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rvin\Desktop\optimizer\loc hs generator\"/>
    </mc:Choice>
  </mc:AlternateContent>
  <bookViews>
    <workbookView xWindow="0" yWindow="0" windowWidth="23040" windowHeight="9384" tabRatio="834" firstSheet="1" activeTab="9"/>
  </bookViews>
  <sheets>
    <sheet name="Form Responses 1" sheetId="2" state="hidden" r:id="rId1"/>
    <sheet name="Official Testing" sheetId="3" r:id="rId2"/>
    <sheet name="Messy Testing Concepts" sheetId="4" r:id="rId3"/>
    <sheet name="Top Schools by Region" sheetId="5" state="hidden" r:id="rId4"/>
    <sheet name="Leaving the StateInternational" sheetId="6" r:id="rId5"/>
    <sheet name="Top 250 HS" sheetId="7" r:id="rId6"/>
    <sheet name="Top 1500 HS LatitudeLongitude" sheetId="8" r:id="rId7"/>
    <sheet name="State Abbreviations" sheetId="9" state="hidden" r:id="rId8"/>
    <sheet name="Public Schools" sheetId="10" r:id="rId9"/>
    <sheet name="Private Schools" sheetId="11" r:id="rId10"/>
  </sheets>
  <externalReferences>
    <externalReference r:id="rId11"/>
  </externalReferences>
  <definedNames>
    <definedName name="_xlnm._FilterDatabase" localSheetId="8" hidden="1">'Public Schools'!$A$1:$A$17719</definedName>
  </definedNames>
  <calcPr calcId="152511"/>
</workbook>
</file>

<file path=xl/calcChain.xml><?xml version="1.0" encoding="utf-8"?>
<calcChain xmlns="http://schemas.openxmlformats.org/spreadsheetml/2006/main">
  <c r="C2" i="6" l="1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E2156" i="11"/>
  <c r="D2156" i="11"/>
  <c r="E2155" i="11"/>
  <c r="D2155" i="11"/>
  <c r="E2154" i="11"/>
  <c r="D2154" i="11"/>
  <c r="E2153" i="11"/>
  <c r="D2153" i="11"/>
  <c r="E2152" i="11"/>
  <c r="D2152" i="11"/>
  <c r="E2151" i="11"/>
  <c r="D2151" i="11"/>
  <c r="E2150" i="11"/>
  <c r="D2150" i="11"/>
  <c r="E2149" i="11"/>
  <c r="D2149" i="11"/>
  <c r="E2148" i="11"/>
  <c r="D2148" i="11"/>
  <c r="E2147" i="11"/>
  <c r="D2147" i="11"/>
  <c r="E2146" i="11"/>
  <c r="D2146" i="11"/>
  <c r="E2145" i="11"/>
  <c r="D2145" i="11"/>
  <c r="E2144" i="11"/>
  <c r="D2144" i="11"/>
  <c r="E2143" i="11"/>
  <c r="D2143" i="11"/>
  <c r="E2142" i="11"/>
  <c r="D2142" i="11"/>
  <c r="E2141" i="11"/>
  <c r="D2141" i="11"/>
  <c r="E2140" i="11"/>
  <c r="D2140" i="11"/>
  <c r="E2139" i="11"/>
  <c r="D2139" i="11"/>
  <c r="E2138" i="11"/>
  <c r="D2138" i="11"/>
  <c r="E2137" i="11"/>
  <c r="D2137" i="11"/>
  <c r="E2136" i="11"/>
  <c r="D2136" i="11"/>
  <c r="E2135" i="11"/>
  <c r="D2135" i="11"/>
  <c r="E2134" i="11"/>
  <c r="D2134" i="11"/>
  <c r="E2133" i="11"/>
  <c r="D2133" i="11"/>
  <c r="E2132" i="11"/>
  <c r="D2132" i="11"/>
  <c r="E2131" i="11"/>
  <c r="D2131" i="11"/>
  <c r="E2130" i="11"/>
  <c r="D2130" i="11"/>
  <c r="E2129" i="11"/>
  <c r="D2129" i="11"/>
  <c r="E2128" i="11"/>
  <c r="D2128" i="11"/>
  <c r="E2127" i="11"/>
  <c r="D2127" i="11"/>
  <c r="E2126" i="11"/>
  <c r="D2126" i="11"/>
  <c r="E2125" i="11"/>
  <c r="D2125" i="11"/>
  <c r="E2124" i="11"/>
  <c r="D2124" i="11"/>
  <c r="E2123" i="11"/>
  <c r="D2123" i="11"/>
  <c r="E2122" i="11"/>
  <c r="D2122" i="11"/>
  <c r="E2121" i="11"/>
  <c r="D2121" i="11"/>
  <c r="E2120" i="11"/>
  <c r="D2120" i="11"/>
  <c r="E2119" i="11"/>
  <c r="D2119" i="11"/>
  <c r="E2118" i="11"/>
  <c r="D2118" i="11"/>
  <c r="E2117" i="11"/>
  <c r="D2117" i="11"/>
  <c r="E2116" i="11"/>
  <c r="D2116" i="11"/>
  <c r="E2115" i="11"/>
  <c r="D2115" i="11"/>
  <c r="E2114" i="11"/>
  <c r="D2114" i="11"/>
  <c r="E2113" i="11"/>
  <c r="D2113" i="11"/>
  <c r="E2112" i="11"/>
  <c r="D2112" i="11"/>
  <c r="E2111" i="11"/>
  <c r="D2111" i="11"/>
  <c r="E2110" i="11"/>
  <c r="D2110" i="11"/>
  <c r="E2109" i="11"/>
  <c r="D2109" i="11"/>
  <c r="E2108" i="11"/>
  <c r="D2108" i="11"/>
  <c r="E2107" i="11"/>
  <c r="D2107" i="11"/>
  <c r="E2106" i="11"/>
  <c r="D2106" i="11"/>
  <c r="E2105" i="11"/>
  <c r="D2105" i="11"/>
  <c r="E2104" i="11"/>
  <c r="D2104" i="11"/>
  <c r="E2103" i="11"/>
  <c r="D2103" i="11"/>
  <c r="E2102" i="11"/>
  <c r="D2102" i="11"/>
  <c r="E2101" i="11"/>
  <c r="D2101" i="11"/>
  <c r="E2100" i="11"/>
  <c r="D2100" i="11"/>
  <c r="E2099" i="11"/>
  <c r="D2099" i="11"/>
  <c r="E2098" i="11"/>
  <c r="D2098" i="11"/>
  <c r="E2097" i="11"/>
  <c r="D2097" i="11"/>
  <c r="E2096" i="11"/>
  <c r="D2096" i="11"/>
  <c r="E2095" i="11"/>
  <c r="D2095" i="11"/>
  <c r="E2094" i="11"/>
  <c r="D2094" i="11"/>
  <c r="E2093" i="11"/>
  <c r="D2093" i="11"/>
  <c r="E2092" i="11"/>
  <c r="D2092" i="11"/>
  <c r="E2091" i="11"/>
  <c r="D2091" i="11"/>
  <c r="E2090" i="11"/>
  <c r="D2090" i="11"/>
  <c r="E2089" i="11"/>
  <c r="D2089" i="11"/>
  <c r="E2088" i="11"/>
  <c r="D2088" i="11"/>
  <c r="E2087" i="11"/>
  <c r="D2087" i="11"/>
  <c r="E2086" i="11"/>
  <c r="D2086" i="11"/>
  <c r="E2085" i="11"/>
  <c r="D2085" i="11"/>
  <c r="E2084" i="11"/>
  <c r="D2084" i="11"/>
  <c r="E2083" i="11"/>
  <c r="D2083" i="11"/>
  <c r="E2082" i="11"/>
  <c r="D2082" i="11"/>
  <c r="E2081" i="11"/>
  <c r="D2081" i="11"/>
  <c r="E2080" i="11"/>
  <c r="D2080" i="11"/>
  <c r="E2079" i="11"/>
  <c r="D2079" i="11"/>
  <c r="E2078" i="11"/>
  <c r="D2078" i="11"/>
  <c r="E2077" i="11"/>
  <c r="D2077" i="11"/>
  <c r="E2076" i="11"/>
  <c r="D2076" i="11"/>
  <c r="E2075" i="11"/>
  <c r="D2075" i="11"/>
  <c r="E2074" i="11"/>
  <c r="D2074" i="11"/>
  <c r="E2073" i="11"/>
  <c r="D2073" i="11"/>
  <c r="E2072" i="11"/>
  <c r="D2072" i="11"/>
  <c r="E2071" i="11"/>
  <c r="D2071" i="11"/>
  <c r="E2070" i="11"/>
  <c r="D2070" i="11"/>
  <c r="E2069" i="11"/>
  <c r="D2069" i="11"/>
  <c r="E2068" i="11"/>
  <c r="D2068" i="11"/>
  <c r="E2067" i="11"/>
  <c r="D2067" i="11"/>
  <c r="E2066" i="11"/>
  <c r="D2066" i="11"/>
  <c r="E2065" i="11"/>
  <c r="D2065" i="11"/>
  <c r="E2064" i="11"/>
  <c r="D2064" i="11"/>
  <c r="E2063" i="11"/>
  <c r="D2063" i="11"/>
  <c r="E2062" i="11"/>
  <c r="D2062" i="11"/>
  <c r="E2061" i="11"/>
  <c r="D2061" i="11"/>
  <c r="E2060" i="11"/>
  <c r="D2060" i="11"/>
  <c r="E2059" i="11"/>
  <c r="D2059" i="11"/>
  <c r="E2058" i="11"/>
  <c r="D2058" i="11"/>
  <c r="E2057" i="11"/>
  <c r="D2057" i="11"/>
  <c r="E2056" i="11"/>
  <c r="D2056" i="11"/>
  <c r="E2055" i="11"/>
  <c r="D2055" i="11"/>
  <c r="E2054" i="11"/>
  <c r="D2054" i="11"/>
  <c r="E2053" i="11"/>
  <c r="D2053" i="11"/>
  <c r="E2052" i="11"/>
  <c r="D2052" i="11"/>
  <c r="E2051" i="11"/>
  <c r="D2051" i="11"/>
  <c r="E2050" i="11"/>
  <c r="D2050" i="11"/>
  <c r="E2049" i="11"/>
  <c r="D2049" i="11"/>
  <c r="E2048" i="11"/>
  <c r="D2048" i="11"/>
  <c r="E2047" i="11"/>
  <c r="D2047" i="11"/>
  <c r="E2046" i="11"/>
  <c r="D2046" i="11"/>
  <c r="E2045" i="11"/>
  <c r="D2045" i="11"/>
  <c r="E2044" i="11"/>
  <c r="D2044" i="11"/>
  <c r="E2043" i="11"/>
  <c r="D2043" i="11"/>
  <c r="E2042" i="11"/>
  <c r="D2042" i="11"/>
  <c r="E2041" i="11"/>
  <c r="D2041" i="11"/>
  <c r="E2040" i="11"/>
  <c r="D2040" i="11"/>
  <c r="E2039" i="11"/>
  <c r="D2039" i="11"/>
  <c r="E2038" i="11"/>
  <c r="D2038" i="11"/>
  <c r="E2037" i="11"/>
  <c r="D2037" i="11"/>
  <c r="E2036" i="11"/>
  <c r="D2036" i="11"/>
  <c r="E2035" i="11"/>
  <c r="D2035" i="11"/>
  <c r="E2034" i="11"/>
  <c r="D2034" i="11"/>
  <c r="E2033" i="11"/>
  <c r="D2033" i="11"/>
  <c r="E2032" i="11"/>
  <c r="D2032" i="11"/>
  <c r="E2031" i="11"/>
  <c r="D2031" i="11"/>
  <c r="E2030" i="11"/>
  <c r="D2030" i="11"/>
  <c r="E2029" i="11"/>
  <c r="D2029" i="11"/>
  <c r="E2028" i="11"/>
  <c r="D2028" i="11"/>
  <c r="E2027" i="11"/>
  <c r="D2027" i="11"/>
  <c r="E2026" i="11"/>
  <c r="D2026" i="11"/>
  <c r="E2025" i="11"/>
  <c r="D2025" i="11"/>
  <c r="E2024" i="11"/>
  <c r="D2024" i="11"/>
  <c r="E2023" i="11"/>
  <c r="D2023" i="11"/>
  <c r="E2022" i="11"/>
  <c r="D2022" i="11"/>
  <c r="E2021" i="11"/>
  <c r="D2021" i="11"/>
  <c r="E2020" i="11"/>
  <c r="D2020" i="11"/>
  <c r="E2019" i="11"/>
  <c r="D2019" i="11"/>
  <c r="E2018" i="11"/>
  <c r="D2018" i="11"/>
  <c r="E2017" i="11"/>
  <c r="D2017" i="11"/>
  <c r="E2016" i="11"/>
  <c r="D2016" i="11"/>
  <c r="E2015" i="11"/>
  <c r="D2015" i="11"/>
  <c r="E2014" i="11"/>
  <c r="D2014" i="11"/>
  <c r="E2013" i="11"/>
  <c r="D2013" i="11"/>
  <c r="E2012" i="11"/>
  <c r="D2012" i="11"/>
  <c r="E2011" i="11"/>
  <c r="D2011" i="11"/>
  <c r="E2010" i="11"/>
  <c r="D2010" i="11"/>
  <c r="E2009" i="11"/>
  <c r="D2009" i="11"/>
  <c r="E2008" i="11"/>
  <c r="D2008" i="11"/>
  <c r="E2007" i="11"/>
  <c r="D2007" i="11"/>
  <c r="E2006" i="11"/>
  <c r="D2006" i="11"/>
  <c r="E2005" i="11"/>
  <c r="D2005" i="11"/>
  <c r="E2004" i="11"/>
  <c r="D2004" i="11"/>
  <c r="E2003" i="11"/>
  <c r="D2003" i="11"/>
  <c r="E2002" i="11"/>
  <c r="D2002" i="11"/>
  <c r="E2001" i="11"/>
  <c r="D2001" i="11"/>
  <c r="E2000" i="11"/>
  <c r="D2000" i="11"/>
  <c r="E1999" i="11"/>
  <c r="D1999" i="11"/>
  <c r="E1998" i="11"/>
  <c r="D1998" i="11"/>
  <c r="E1997" i="11"/>
  <c r="D1997" i="11"/>
  <c r="E1996" i="11"/>
  <c r="D1996" i="11"/>
  <c r="E1995" i="11"/>
  <c r="D1995" i="11"/>
  <c r="E1994" i="11"/>
  <c r="D1994" i="11"/>
  <c r="E1993" i="11"/>
  <c r="D1993" i="11"/>
  <c r="E1992" i="11"/>
  <c r="D1992" i="11"/>
  <c r="E1991" i="11"/>
  <c r="D1991" i="11"/>
  <c r="E1990" i="11"/>
  <c r="D1990" i="11"/>
  <c r="E1989" i="11"/>
  <c r="D1989" i="11"/>
  <c r="E1988" i="11"/>
  <c r="D1988" i="11"/>
  <c r="E1987" i="11"/>
  <c r="D1987" i="11"/>
  <c r="E1986" i="11"/>
  <c r="D1986" i="11"/>
  <c r="E1985" i="11"/>
  <c r="D1985" i="11"/>
  <c r="E1984" i="11"/>
  <c r="D1984" i="11"/>
  <c r="E1983" i="11"/>
  <c r="D1983" i="11"/>
  <c r="E1982" i="11"/>
  <c r="D1982" i="11"/>
  <c r="E1981" i="11"/>
  <c r="D1981" i="11"/>
  <c r="E1980" i="11"/>
  <c r="D1980" i="11"/>
  <c r="E1979" i="11"/>
  <c r="D1979" i="11"/>
  <c r="E1978" i="11"/>
  <c r="D1978" i="11"/>
  <c r="E1977" i="11"/>
  <c r="D1977" i="11"/>
  <c r="E1976" i="11"/>
  <c r="D1976" i="11"/>
  <c r="E1975" i="11"/>
  <c r="D1975" i="11"/>
  <c r="E1974" i="11"/>
  <c r="D1974" i="11"/>
  <c r="E1973" i="11"/>
  <c r="D1973" i="11"/>
  <c r="E1972" i="11"/>
  <c r="D1972" i="11"/>
  <c r="E1971" i="11"/>
  <c r="D1971" i="11"/>
  <c r="E1970" i="11"/>
  <c r="D1970" i="11"/>
  <c r="E1969" i="11"/>
  <c r="D1969" i="11"/>
  <c r="E1968" i="11"/>
  <c r="D1968" i="11"/>
  <c r="E1967" i="11"/>
  <c r="D1967" i="11"/>
  <c r="E1966" i="11"/>
  <c r="D1966" i="11"/>
  <c r="E1965" i="11"/>
  <c r="D1965" i="11"/>
  <c r="E1964" i="11"/>
  <c r="D1964" i="11"/>
  <c r="E1963" i="11"/>
  <c r="D1963" i="11"/>
  <c r="E1962" i="11"/>
  <c r="D1962" i="11"/>
  <c r="E1961" i="11"/>
  <c r="D1961" i="11"/>
  <c r="E1960" i="11"/>
  <c r="D1960" i="11"/>
  <c r="E1959" i="11"/>
  <c r="D1959" i="11"/>
  <c r="E1958" i="11"/>
  <c r="D1958" i="11"/>
  <c r="E1957" i="11"/>
  <c r="D1957" i="11"/>
  <c r="E1956" i="11"/>
  <c r="D1956" i="11"/>
  <c r="E1955" i="11"/>
  <c r="D1955" i="11"/>
  <c r="E1954" i="11"/>
  <c r="D1954" i="11"/>
  <c r="E1953" i="11"/>
  <c r="D1953" i="11"/>
  <c r="E1952" i="11"/>
  <c r="D1952" i="11"/>
  <c r="E1951" i="11"/>
  <c r="D1951" i="11"/>
  <c r="E1950" i="11"/>
  <c r="D1950" i="11"/>
  <c r="E1949" i="11"/>
  <c r="D1949" i="11"/>
  <c r="E1948" i="11"/>
  <c r="D1948" i="11"/>
  <c r="E1947" i="11"/>
  <c r="D1947" i="11"/>
  <c r="E1946" i="11"/>
  <c r="D1946" i="11"/>
  <c r="E1945" i="11"/>
  <c r="D1945" i="11"/>
  <c r="E1944" i="11"/>
  <c r="D1944" i="11"/>
  <c r="E1943" i="11"/>
  <c r="D1943" i="11"/>
  <c r="E1942" i="11"/>
  <c r="D1942" i="11"/>
  <c r="E1941" i="11"/>
  <c r="D1941" i="11"/>
  <c r="E1940" i="11"/>
  <c r="D1940" i="11"/>
  <c r="E1939" i="11"/>
  <c r="D1939" i="11"/>
  <c r="E1938" i="11"/>
  <c r="D1938" i="11"/>
  <c r="E1937" i="11"/>
  <c r="D1937" i="11"/>
  <c r="E1936" i="11"/>
  <c r="D1936" i="11"/>
  <c r="E1935" i="11"/>
  <c r="D1935" i="11"/>
  <c r="E1934" i="11"/>
  <c r="D1934" i="11"/>
  <c r="E1933" i="11"/>
  <c r="D1933" i="11"/>
  <c r="E1932" i="11"/>
  <c r="D1932" i="11"/>
  <c r="E1931" i="11"/>
  <c r="D1931" i="11"/>
  <c r="E1930" i="11"/>
  <c r="D1930" i="11"/>
  <c r="E1929" i="11"/>
  <c r="D1929" i="11"/>
  <c r="E1928" i="11"/>
  <c r="D1928" i="11"/>
  <c r="E1927" i="11"/>
  <c r="D1927" i="11"/>
  <c r="E1926" i="11"/>
  <c r="D1926" i="11"/>
  <c r="E1925" i="11"/>
  <c r="D1925" i="11"/>
  <c r="E1924" i="11"/>
  <c r="D1924" i="11"/>
  <c r="E1923" i="11"/>
  <c r="D1923" i="11"/>
  <c r="E1922" i="11"/>
  <c r="D1922" i="11"/>
  <c r="E1921" i="11"/>
  <c r="D1921" i="11"/>
  <c r="E1920" i="11"/>
  <c r="D1920" i="11"/>
  <c r="E1919" i="11"/>
  <c r="D1919" i="11"/>
  <c r="E1918" i="11"/>
  <c r="D1918" i="11"/>
  <c r="E1917" i="11"/>
  <c r="D1917" i="11"/>
  <c r="E1916" i="11"/>
  <c r="D1916" i="11"/>
  <c r="E1915" i="11"/>
  <c r="D1915" i="11"/>
  <c r="E1914" i="11"/>
  <c r="D1914" i="11"/>
  <c r="E1913" i="11"/>
  <c r="D1913" i="11"/>
  <c r="E1912" i="11"/>
  <c r="D1912" i="11"/>
  <c r="E1911" i="11"/>
  <c r="D1911" i="11"/>
  <c r="E1910" i="11"/>
  <c r="D1910" i="11"/>
  <c r="E1909" i="11"/>
  <c r="D1909" i="11"/>
  <c r="E1908" i="11"/>
  <c r="D1908" i="11"/>
  <c r="E1907" i="11"/>
  <c r="D1907" i="11"/>
  <c r="E1906" i="11"/>
  <c r="D1906" i="11"/>
  <c r="E1905" i="11"/>
  <c r="D1905" i="11"/>
  <c r="E1904" i="11"/>
  <c r="D1904" i="11"/>
  <c r="E1903" i="11"/>
  <c r="D1903" i="11"/>
  <c r="E1902" i="11"/>
  <c r="D1902" i="11"/>
  <c r="E1901" i="11"/>
  <c r="D1901" i="11"/>
  <c r="E1900" i="11"/>
  <c r="D1900" i="11"/>
  <c r="E1899" i="11"/>
  <c r="D1899" i="11"/>
  <c r="E1898" i="11"/>
  <c r="D1898" i="11"/>
  <c r="E1897" i="11"/>
  <c r="D1897" i="11"/>
  <c r="E1896" i="11"/>
  <c r="D1896" i="11"/>
  <c r="E1895" i="11"/>
  <c r="D1895" i="11"/>
  <c r="E1894" i="11"/>
  <c r="D1894" i="11"/>
  <c r="E1893" i="11"/>
  <c r="D1893" i="11"/>
  <c r="E1892" i="11"/>
  <c r="D1892" i="11"/>
  <c r="E1891" i="11"/>
  <c r="D1891" i="11"/>
  <c r="E1890" i="11"/>
  <c r="D1890" i="11"/>
  <c r="E1889" i="11"/>
  <c r="D1889" i="11"/>
  <c r="E1888" i="11"/>
  <c r="D1888" i="11"/>
  <c r="E1887" i="11"/>
  <c r="D1887" i="11"/>
  <c r="E1886" i="11"/>
  <c r="D1886" i="11"/>
  <c r="E1885" i="11"/>
  <c r="D1885" i="11"/>
  <c r="E1884" i="11"/>
  <c r="D1884" i="11"/>
  <c r="E1883" i="11"/>
  <c r="D1883" i="11"/>
  <c r="E1882" i="11"/>
  <c r="D1882" i="11"/>
  <c r="E1881" i="11"/>
  <c r="D1881" i="11"/>
  <c r="E1880" i="11"/>
  <c r="D1880" i="11"/>
  <c r="E1879" i="11"/>
  <c r="D1879" i="11"/>
  <c r="E1878" i="11"/>
  <c r="D1878" i="11"/>
  <c r="E1877" i="11"/>
  <c r="D1877" i="11"/>
  <c r="E1876" i="11"/>
  <c r="D1876" i="11"/>
  <c r="E1875" i="11"/>
  <c r="D1875" i="11"/>
  <c r="E1874" i="11"/>
  <c r="D1874" i="11"/>
  <c r="E1873" i="11"/>
  <c r="D1873" i="11"/>
  <c r="E1872" i="11"/>
  <c r="D1872" i="11"/>
  <c r="E1871" i="11"/>
  <c r="D1871" i="11"/>
  <c r="E1870" i="11"/>
  <c r="D1870" i="11"/>
  <c r="E1869" i="11"/>
  <c r="D1869" i="11"/>
  <c r="E1868" i="11"/>
  <c r="D1868" i="11"/>
  <c r="E1867" i="11"/>
  <c r="D1867" i="11"/>
  <c r="E1866" i="11"/>
  <c r="D1866" i="11"/>
  <c r="E1865" i="11"/>
  <c r="D1865" i="11"/>
  <c r="E1864" i="11"/>
  <c r="D1864" i="11"/>
  <c r="E1863" i="11"/>
  <c r="D1863" i="11"/>
  <c r="E1862" i="11"/>
  <c r="D1862" i="11"/>
  <c r="E1861" i="11"/>
  <c r="D1861" i="11"/>
  <c r="E1860" i="11"/>
  <c r="D1860" i="11"/>
  <c r="E1859" i="11"/>
  <c r="D1859" i="11"/>
  <c r="E1858" i="11"/>
  <c r="D1858" i="11"/>
  <c r="E1857" i="11"/>
  <c r="D1857" i="11"/>
  <c r="E1856" i="11"/>
  <c r="D1856" i="11"/>
  <c r="E1855" i="11"/>
  <c r="D1855" i="11"/>
  <c r="E1854" i="11"/>
  <c r="D1854" i="11"/>
  <c r="E1853" i="11"/>
  <c r="D1853" i="11"/>
  <c r="E1852" i="11"/>
  <c r="D1852" i="11"/>
  <c r="E1851" i="11"/>
  <c r="D1851" i="11"/>
  <c r="E1850" i="11"/>
  <c r="D1850" i="11"/>
  <c r="E1849" i="11"/>
  <c r="D1849" i="11"/>
  <c r="E1848" i="11"/>
  <c r="D1848" i="11"/>
  <c r="E1847" i="11"/>
  <c r="D1847" i="11"/>
  <c r="E1846" i="11"/>
  <c r="D1846" i="11"/>
  <c r="E1845" i="11"/>
  <c r="D1845" i="11"/>
  <c r="E1844" i="11"/>
  <c r="D1844" i="11"/>
  <c r="E1843" i="11"/>
  <c r="D1843" i="11"/>
  <c r="E1842" i="11"/>
  <c r="D1842" i="11"/>
  <c r="E1841" i="11"/>
  <c r="D1841" i="11"/>
  <c r="E1840" i="11"/>
  <c r="D1840" i="11"/>
  <c r="E1839" i="11"/>
  <c r="D1839" i="11"/>
  <c r="E1838" i="11"/>
  <c r="D1838" i="11"/>
  <c r="E1837" i="11"/>
  <c r="D1837" i="11"/>
  <c r="E1836" i="11"/>
  <c r="D1836" i="11"/>
  <c r="E1835" i="11"/>
  <c r="D1835" i="11"/>
  <c r="E1834" i="11"/>
  <c r="D1834" i="11"/>
  <c r="E1833" i="11"/>
  <c r="D1833" i="11"/>
  <c r="E1832" i="11"/>
  <c r="D1832" i="11"/>
  <c r="E1831" i="11"/>
  <c r="D1831" i="11"/>
  <c r="E1830" i="11"/>
  <c r="D1830" i="11"/>
  <c r="E1829" i="11"/>
  <c r="D1829" i="11"/>
  <c r="E1828" i="11"/>
  <c r="D1828" i="11"/>
  <c r="E1827" i="11"/>
  <c r="D1827" i="11"/>
  <c r="E1826" i="11"/>
  <c r="D1826" i="11"/>
  <c r="E1825" i="11"/>
  <c r="D1825" i="11"/>
  <c r="E1824" i="11"/>
  <c r="D1824" i="11"/>
  <c r="E1823" i="11"/>
  <c r="D1823" i="11"/>
  <c r="E1822" i="11"/>
  <c r="D1822" i="11"/>
  <c r="E1821" i="11"/>
  <c r="D1821" i="11"/>
  <c r="E1820" i="11"/>
  <c r="D1820" i="11"/>
  <c r="E1819" i="11"/>
  <c r="D1819" i="11"/>
  <c r="E1818" i="11"/>
  <c r="D1818" i="11"/>
  <c r="E1817" i="11"/>
  <c r="D1817" i="11"/>
  <c r="E1816" i="11"/>
  <c r="D1816" i="11"/>
  <c r="E1815" i="11"/>
  <c r="D1815" i="11"/>
  <c r="E1814" i="11"/>
  <c r="D1814" i="11"/>
  <c r="E1813" i="11"/>
  <c r="D1813" i="11"/>
  <c r="E1812" i="11"/>
  <c r="D1812" i="11"/>
  <c r="E1811" i="11"/>
  <c r="D1811" i="11"/>
  <c r="E1810" i="11"/>
  <c r="D1810" i="11"/>
  <c r="E1809" i="11"/>
  <c r="D1809" i="11"/>
  <c r="E1808" i="11"/>
  <c r="D1808" i="11"/>
  <c r="E1807" i="11"/>
  <c r="D1807" i="11"/>
  <c r="E1806" i="11"/>
  <c r="D1806" i="11"/>
  <c r="E1805" i="11"/>
  <c r="D1805" i="11"/>
  <c r="E1804" i="11"/>
  <c r="D1804" i="11"/>
  <c r="E1803" i="11"/>
  <c r="D1803" i="11"/>
  <c r="E1802" i="11"/>
  <c r="D1802" i="11"/>
  <c r="E1801" i="11"/>
  <c r="D1801" i="11"/>
  <c r="E1800" i="11"/>
  <c r="D1800" i="11"/>
  <c r="E1799" i="11"/>
  <c r="D1799" i="11"/>
  <c r="E1798" i="11"/>
  <c r="D1798" i="11"/>
  <c r="E1797" i="11"/>
  <c r="D1797" i="11"/>
  <c r="E1796" i="11"/>
  <c r="D1796" i="11"/>
  <c r="E1795" i="11"/>
  <c r="D1795" i="11"/>
  <c r="E1794" i="11"/>
  <c r="D1794" i="11"/>
  <c r="E1793" i="11"/>
  <c r="D1793" i="11"/>
  <c r="E1792" i="11"/>
  <c r="D1792" i="11"/>
  <c r="E1791" i="11"/>
  <c r="D1791" i="11"/>
  <c r="E1790" i="11"/>
  <c r="D1790" i="11"/>
  <c r="E1789" i="11"/>
  <c r="D1789" i="11"/>
  <c r="E1788" i="11"/>
  <c r="D1788" i="11"/>
  <c r="E1787" i="11"/>
  <c r="D1787" i="11"/>
  <c r="E1786" i="11"/>
  <c r="D1786" i="11"/>
  <c r="E1785" i="11"/>
  <c r="D1785" i="11"/>
  <c r="E1784" i="11"/>
  <c r="D1784" i="11"/>
  <c r="E1783" i="11"/>
  <c r="D1783" i="11"/>
  <c r="E1782" i="11"/>
  <c r="D1782" i="11"/>
  <c r="E1781" i="11"/>
  <c r="D1781" i="11"/>
  <c r="E1780" i="11"/>
  <c r="D1780" i="11"/>
  <c r="E1779" i="11"/>
  <c r="D1779" i="11"/>
  <c r="E1778" i="11"/>
  <c r="D1778" i="11"/>
  <c r="E1777" i="11"/>
  <c r="D1777" i="11"/>
  <c r="E1776" i="11"/>
  <c r="D1776" i="11"/>
  <c r="E1775" i="11"/>
  <c r="D1775" i="11"/>
  <c r="E1774" i="11"/>
  <c r="D1774" i="11"/>
  <c r="E1773" i="11"/>
  <c r="D1773" i="11"/>
  <c r="E1772" i="11"/>
  <c r="D1772" i="11"/>
  <c r="E1771" i="11"/>
  <c r="D1771" i="11"/>
  <c r="E1770" i="11"/>
  <c r="D1770" i="11"/>
  <c r="E1769" i="11"/>
  <c r="D1769" i="11"/>
  <c r="E1768" i="11"/>
  <c r="D1768" i="11"/>
  <c r="E1767" i="11"/>
  <c r="D1767" i="11"/>
  <c r="E1766" i="11"/>
  <c r="D1766" i="11"/>
  <c r="E1765" i="11"/>
  <c r="D1765" i="11"/>
  <c r="E1764" i="11"/>
  <c r="D1764" i="11"/>
  <c r="E1763" i="11"/>
  <c r="D1763" i="11"/>
  <c r="E1762" i="11"/>
  <c r="D1762" i="11"/>
  <c r="E1761" i="11"/>
  <c r="D1761" i="11"/>
  <c r="E1760" i="11"/>
  <c r="D1760" i="11"/>
  <c r="E1759" i="11"/>
  <c r="D1759" i="11"/>
  <c r="E1758" i="11"/>
  <c r="D1758" i="11"/>
  <c r="E1757" i="11"/>
  <c r="D1757" i="11"/>
  <c r="E1756" i="11"/>
  <c r="D1756" i="11"/>
  <c r="E1755" i="11"/>
  <c r="D1755" i="11"/>
  <c r="E1754" i="11"/>
  <c r="D1754" i="11"/>
  <c r="E1753" i="11"/>
  <c r="D1753" i="11"/>
  <c r="E1752" i="11"/>
  <c r="D1752" i="11"/>
  <c r="E1751" i="11"/>
  <c r="D1751" i="11"/>
  <c r="E1750" i="11"/>
  <c r="D1750" i="11"/>
  <c r="E1749" i="11"/>
  <c r="D1749" i="11"/>
  <c r="E1748" i="11"/>
  <c r="D1748" i="11"/>
  <c r="E1747" i="11"/>
  <c r="D1747" i="11"/>
  <c r="E1746" i="11"/>
  <c r="D1746" i="11"/>
  <c r="E1745" i="11"/>
  <c r="D1745" i="11"/>
  <c r="E1744" i="11"/>
  <c r="D1744" i="11"/>
  <c r="E1743" i="11"/>
  <c r="D1743" i="11"/>
  <c r="E1742" i="11"/>
  <c r="D1742" i="11"/>
  <c r="E1741" i="11"/>
  <c r="D1741" i="11"/>
  <c r="E1740" i="11"/>
  <c r="D1740" i="11"/>
  <c r="E1739" i="11"/>
  <c r="D1739" i="11"/>
  <c r="E1738" i="11"/>
  <c r="D1738" i="11"/>
  <c r="E1737" i="11"/>
  <c r="D1737" i="11"/>
  <c r="E1736" i="11"/>
  <c r="D1736" i="11"/>
  <c r="E1735" i="11"/>
  <c r="D1735" i="11"/>
  <c r="E1734" i="11"/>
  <c r="D1734" i="11"/>
  <c r="E1733" i="11"/>
  <c r="D1733" i="11"/>
  <c r="E1732" i="11"/>
  <c r="D1732" i="11"/>
  <c r="E1731" i="11"/>
  <c r="D1731" i="11"/>
  <c r="E1730" i="11"/>
  <c r="D1730" i="11"/>
  <c r="E1729" i="11"/>
  <c r="D1729" i="11"/>
  <c r="E1728" i="11"/>
  <c r="D1728" i="11"/>
  <c r="E1727" i="11"/>
  <c r="D1727" i="11"/>
  <c r="E1726" i="11"/>
  <c r="D1726" i="11"/>
  <c r="E1725" i="11"/>
  <c r="D1725" i="11"/>
  <c r="E1724" i="11"/>
  <c r="D1724" i="11"/>
  <c r="E1723" i="11"/>
  <c r="D1723" i="11"/>
  <c r="E1722" i="11"/>
  <c r="D1722" i="11"/>
  <c r="E1721" i="11"/>
  <c r="D1721" i="11"/>
  <c r="E1720" i="11"/>
  <c r="D1720" i="11"/>
  <c r="E1719" i="11"/>
  <c r="D1719" i="11"/>
  <c r="E1718" i="11"/>
  <c r="D1718" i="11"/>
  <c r="E1717" i="11"/>
  <c r="D1717" i="11"/>
  <c r="E1716" i="11"/>
  <c r="D1716" i="11"/>
  <c r="E1715" i="11"/>
  <c r="D1715" i="11"/>
  <c r="E1714" i="11"/>
  <c r="D1714" i="11"/>
  <c r="E1713" i="11"/>
  <c r="D1713" i="11"/>
  <c r="E1712" i="11"/>
  <c r="D1712" i="11"/>
  <c r="E1711" i="11"/>
  <c r="D1711" i="11"/>
  <c r="E1710" i="11"/>
  <c r="D1710" i="11"/>
  <c r="E1709" i="11"/>
  <c r="D1709" i="11"/>
  <c r="E1708" i="11"/>
  <c r="D1708" i="11"/>
  <c r="E1707" i="11"/>
  <c r="D1707" i="11"/>
  <c r="E1706" i="11"/>
  <c r="D1706" i="11"/>
  <c r="E1705" i="11"/>
  <c r="D1705" i="11"/>
  <c r="E1704" i="11"/>
  <c r="D1704" i="11"/>
  <c r="E1703" i="11"/>
  <c r="D1703" i="11"/>
  <c r="E1702" i="11"/>
  <c r="D1702" i="11"/>
  <c r="E1701" i="11"/>
  <c r="D1701" i="11"/>
  <c r="E1700" i="11"/>
  <c r="D1700" i="11"/>
  <c r="E1699" i="11"/>
  <c r="D1699" i="11"/>
  <c r="E1698" i="11"/>
  <c r="D1698" i="11"/>
  <c r="E1697" i="11"/>
  <c r="D1697" i="11"/>
  <c r="E1696" i="11"/>
  <c r="D1696" i="11"/>
  <c r="E1695" i="11"/>
  <c r="D1695" i="11"/>
  <c r="E1694" i="11"/>
  <c r="D1694" i="11"/>
  <c r="E1693" i="11"/>
  <c r="D1693" i="11"/>
  <c r="E1692" i="11"/>
  <c r="D1692" i="11"/>
  <c r="E1691" i="11"/>
  <c r="D1691" i="11"/>
  <c r="E1690" i="11"/>
  <c r="D1690" i="11"/>
  <c r="E1689" i="11"/>
  <c r="D1689" i="11"/>
  <c r="E1688" i="11"/>
  <c r="D1688" i="11"/>
  <c r="E1687" i="11"/>
  <c r="D1687" i="11"/>
  <c r="E1686" i="11"/>
  <c r="D1686" i="11"/>
  <c r="E1685" i="11"/>
  <c r="D1685" i="11"/>
  <c r="E1684" i="11"/>
  <c r="D1684" i="11"/>
  <c r="E1683" i="11"/>
  <c r="D1683" i="11"/>
  <c r="E1682" i="11"/>
  <c r="D1682" i="11"/>
  <c r="E1681" i="11"/>
  <c r="D1681" i="11"/>
  <c r="E1680" i="11"/>
  <c r="D1680" i="11"/>
  <c r="E1679" i="11"/>
  <c r="D1679" i="11"/>
  <c r="E1678" i="11"/>
  <c r="D1678" i="11"/>
  <c r="E1677" i="11"/>
  <c r="D1677" i="11"/>
  <c r="E1676" i="11"/>
  <c r="D1676" i="11"/>
  <c r="E1675" i="11"/>
  <c r="D1675" i="11"/>
  <c r="E1674" i="11"/>
  <c r="D1674" i="11"/>
  <c r="E1673" i="11"/>
  <c r="D1673" i="11"/>
  <c r="E1672" i="11"/>
  <c r="D1672" i="11"/>
  <c r="E1671" i="11"/>
  <c r="D1671" i="11"/>
  <c r="E1670" i="11"/>
  <c r="D1670" i="11"/>
  <c r="E1669" i="11"/>
  <c r="D1669" i="11"/>
  <c r="E1668" i="11"/>
  <c r="D1668" i="11"/>
  <c r="E1667" i="11"/>
  <c r="D1667" i="11"/>
  <c r="E1666" i="11"/>
  <c r="D1666" i="11"/>
  <c r="E1665" i="11"/>
  <c r="D1665" i="11"/>
  <c r="E1664" i="11"/>
  <c r="D1664" i="11"/>
  <c r="E1663" i="11"/>
  <c r="D1663" i="11"/>
  <c r="E1662" i="11"/>
  <c r="D1662" i="11"/>
  <c r="E1661" i="11"/>
  <c r="D1661" i="11"/>
  <c r="E1660" i="11"/>
  <c r="D1660" i="11"/>
  <c r="E1659" i="11"/>
  <c r="D1659" i="11"/>
  <c r="E1658" i="11"/>
  <c r="D1658" i="11"/>
  <c r="E1657" i="11"/>
  <c r="D1657" i="11"/>
  <c r="E1656" i="11"/>
  <c r="D1656" i="11"/>
  <c r="E1655" i="11"/>
  <c r="D1655" i="11"/>
  <c r="E1654" i="11"/>
  <c r="D1654" i="11"/>
  <c r="E1653" i="11"/>
  <c r="D1653" i="11"/>
  <c r="E1652" i="11"/>
  <c r="D1652" i="11"/>
  <c r="E1651" i="11"/>
  <c r="D1651" i="11"/>
  <c r="E1650" i="11"/>
  <c r="D1650" i="11"/>
  <c r="E1649" i="11"/>
  <c r="D1649" i="11"/>
  <c r="E1648" i="11"/>
  <c r="D1648" i="11"/>
  <c r="E1647" i="11"/>
  <c r="D1647" i="11"/>
  <c r="E1646" i="11"/>
  <c r="D1646" i="11"/>
  <c r="E1645" i="11"/>
  <c r="D1645" i="11"/>
  <c r="E1644" i="11"/>
  <c r="D1644" i="11"/>
  <c r="E1643" i="11"/>
  <c r="D1643" i="11"/>
  <c r="E1642" i="11"/>
  <c r="D1642" i="11"/>
  <c r="E1641" i="11"/>
  <c r="D1641" i="11"/>
  <c r="E1640" i="11"/>
  <c r="D1640" i="11"/>
  <c r="E1639" i="11"/>
  <c r="D1639" i="11"/>
  <c r="E1638" i="11"/>
  <c r="D1638" i="11"/>
  <c r="E1637" i="11"/>
  <c r="D1637" i="11"/>
  <c r="E1636" i="11"/>
  <c r="D1636" i="11"/>
  <c r="E1635" i="11"/>
  <c r="D1635" i="11"/>
  <c r="E1634" i="11"/>
  <c r="D1634" i="11"/>
  <c r="E1633" i="11"/>
  <c r="D1633" i="11"/>
  <c r="E1632" i="11"/>
  <c r="D1632" i="11"/>
  <c r="E1631" i="11"/>
  <c r="D1631" i="11"/>
  <c r="E1630" i="11"/>
  <c r="D1630" i="11"/>
  <c r="E1629" i="11"/>
  <c r="D1629" i="11"/>
  <c r="E1628" i="11"/>
  <c r="D1628" i="11"/>
  <c r="E1627" i="11"/>
  <c r="D1627" i="11"/>
  <c r="E1626" i="11"/>
  <c r="D1626" i="11"/>
  <c r="E1625" i="11"/>
  <c r="D1625" i="11"/>
  <c r="E1624" i="11"/>
  <c r="D1624" i="11"/>
  <c r="E1623" i="11"/>
  <c r="D1623" i="11"/>
  <c r="E1622" i="11"/>
  <c r="D1622" i="11"/>
  <c r="E1621" i="11"/>
  <c r="D1621" i="11"/>
  <c r="E1620" i="11"/>
  <c r="D1620" i="11"/>
  <c r="E1619" i="11"/>
  <c r="D1619" i="11"/>
  <c r="E1618" i="11"/>
  <c r="D1618" i="11"/>
  <c r="E1617" i="11"/>
  <c r="D1617" i="11"/>
  <c r="E1616" i="11"/>
  <c r="D1616" i="11"/>
  <c r="E1615" i="11"/>
  <c r="D1615" i="11"/>
  <c r="E1614" i="11"/>
  <c r="D1614" i="11"/>
  <c r="E1613" i="11"/>
  <c r="D1613" i="11"/>
  <c r="E1612" i="11"/>
  <c r="D1612" i="11"/>
  <c r="E1611" i="11"/>
  <c r="D1611" i="11"/>
  <c r="E1610" i="11"/>
  <c r="D1610" i="11"/>
  <c r="E1609" i="11"/>
  <c r="D1609" i="11"/>
  <c r="E1608" i="11"/>
  <c r="D1608" i="11"/>
  <c r="E1607" i="11"/>
  <c r="D1607" i="11"/>
  <c r="E1606" i="11"/>
  <c r="D1606" i="11"/>
  <c r="E1605" i="11"/>
  <c r="D1605" i="11"/>
  <c r="E1604" i="11"/>
  <c r="D1604" i="11"/>
  <c r="E1603" i="11"/>
  <c r="D1603" i="11"/>
  <c r="E1602" i="11"/>
  <c r="D1602" i="11"/>
  <c r="E1601" i="11"/>
  <c r="D1601" i="11"/>
  <c r="E1600" i="11"/>
  <c r="D1600" i="11"/>
  <c r="E1599" i="11"/>
  <c r="D1599" i="11"/>
  <c r="E1598" i="11"/>
  <c r="D1598" i="11"/>
  <c r="E1597" i="11"/>
  <c r="D1597" i="11"/>
  <c r="E1596" i="11"/>
  <c r="D1596" i="11"/>
  <c r="E1595" i="11"/>
  <c r="D1595" i="11"/>
  <c r="E1594" i="11"/>
  <c r="D1594" i="11"/>
  <c r="E1593" i="11"/>
  <c r="D1593" i="11"/>
  <c r="E1592" i="11"/>
  <c r="D1592" i="11"/>
  <c r="E1591" i="11"/>
  <c r="D1591" i="11"/>
  <c r="E1590" i="11"/>
  <c r="D1590" i="11"/>
  <c r="E1589" i="11"/>
  <c r="D1589" i="11"/>
  <c r="E1588" i="11"/>
  <c r="D1588" i="11"/>
  <c r="E1587" i="11"/>
  <c r="D1587" i="11"/>
  <c r="E1586" i="11"/>
  <c r="D1586" i="11"/>
  <c r="E1585" i="11"/>
  <c r="D1585" i="11"/>
  <c r="E1584" i="11"/>
  <c r="D1584" i="11"/>
  <c r="E1583" i="11"/>
  <c r="D1583" i="11"/>
  <c r="E1582" i="11"/>
  <c r="D1582" i="11"/>
  <c r="E1581" i="11"/>
  <c r="D1581" i="11"/>
  <c r="E1580" i="11"/>
  <c r="D1580" i="11"/>
  <c r="E1579" i="11"/>
  <c r="D1579" i="11"/>
  <c r="E1578" i="11"/>
  <c r="D1578" i="11"/>
  <c r="E1577" i="11"/>
  <c r="D1577" i="11"/>
  <c r="E1576" i="11"/>
  <c r="D1576" i="11"/>
  <c r="E1575" i="11"/>
  <c r="D1575" i="11"/>
  <c r="E1574" i="11"/>
  <c r="D1574" i="11"/>
  <c r="E1573" i="11"/>
  <c r="D1573" i="11"/>
  <c r="E1572" i="11"/>
  <c r="D1572" i="11"/>
  <c r="E1571" i="11"/>
  <c r="D1571" i="11"/>
  <c r="E1570" i="11"/>
  <c r="D1570" i="11"/>
  <c r="E1569" i="11"/>
  <c r="D1569" i="11"/>
  <c r="E1568" i="11"/>
  <c r="D1568" i="11"/>
  <c r="E1567" i="11"/>
  <c r="D1567" i="11"/>
  <c r="E1566" i="11"/>
  <c r="D1566" i="11"/>
  <c r="E1565" i="11"/>
  <c r="D1565" i="11"/>
  <c r="E1564" i="11"/>
  <c r="D1564" i="11"/>
  <c r="E1563" i="11"/>
  <c r="D1563" i="11"/>
  <c r="E1562" i="11"/>
  <c r="D1562" i="11"/>
  <c r="E1561" i="11"/>
  <c r="D1561" i="11"/>
  <c r="E1560" i="11"/>
  <c r="D1560" i="11"/>
  <c r="E1559" i="11"/>
  <c r="D1559" i="11"/>
  <c r="E1558" i="11"/>
  <c r="D1558" i="11"/>
  <c r="E1557" i="11"/>
  <c r="D1557" i="11"/>
  <c r="E1556" i="11"/>
  <c r="D1556" i="11"/>
  <c r="E1555" i="11"/>
  <c r="D1555" i="11"/>
  <c r="E1554" i="11"/>
  <c r="D1554" i="11"/>
  <c r="E1553" i="11"/>
  <c r="D1553" i="11"/>
  <c r="E1552" i="11"/>
  <c r="D1552" i="11"/>
  <c r="E1551" i="11"/>
  <c r="D1551" i="11"/>
  <c r="E1550" i="11"/>
  <c r="D1550" i="11"/>
  <c r="E1549" i="11"/>
  <c r="D1549" i="11"/>
  <c r="E1548" i="11"/>
  <c r="D1548" i="11"/>
  <c r="E1547" i="11"/>
  <c r="D1547" i="11"/>
  <c r="E1546" i="11"/>
  <c r="D1546" i="11"/>
  <c r="E1545" i="11"/>
  <c r="D1545" i="11"/>
  <c r="E1544" i="11"/>
  <c r="D1544" i="11"/>
  <c r="E1543" i="11"/>
  <c r="D1543" i="11"/>
  <c r="E1542" i="11"/>
  <c r="D1542" i="11"/>
  <c r="E1541" i="11"/>
  <c r="D1541" i="11"/>
  <c r="E1540" i="11"/>
  <c r="D1540" i="11"/>
  <c r="E1539" i="11"/>
  <c r="D1539" i="11"/>
  <c r="E1538" i="11"/>
  <c r="D1538" i="11"/>
  <c r="E1537" i="11"/>
  <c r="D1537" i="11"/>
  <c r="E1536" i="11"/>
  <c r="D1536" i="11"/>
  <c r="E1535" i="11"/>
  <c r="D1535" i="11"/>
  <c r="E1534" i="11"/>
  <c r="D1534" i="11"/>
  <c r="E1533" i="11"/>
  <c r="D1533" i="11"/>
  <c r="E1532" i="11"/>
  <c r="D1532" i="11"/>
  <c r="E1531" i="11"/>
  <c r="D1531" i="11"/>
  <c r="E1530" i="11"/>
  <c r="D1530" i="11"/>
  <c r="E1529" i="11"/>
  <c r="D1529" i="11"/>
  <c r="E1528" i="11"/>
  <c r="D1528" i="11"/>
  <c r="E1527" i="11"/>
  <c r="D1527" i="11"/>
  <c r="E1526" i="11"/>
  <c r="D1526" i="11"/>
  <c r="E1525" i="11"/>
  <c r="D1525" i="11"/>
  <c r="E1524" i="11"/>
  <c r="D1524" i="11"/>
  <c r="E1523" i="11"/>
  <c r="D1523" i="11"/>
  <c r="E1522" i="11"/>
  <c r="D1522" i="11"/>
  <c r="E1521" i="11"/>
  <c r="D1521" i="11"/>
  <c r="E1520" i="11"/>
  <c r="D1520" i="11"/>
  <c r="E1519" i="11"/>
  <c r="D1519" i="11"/>
  <c r="E1518" i="11"/>
  <c r="D1518" i="11"/>
  <c r="E1517" i="11"/>
  <c r="D1517" i="11"/>
  <c r="E1516" i="11"/>
  <c r="D1516" i="11"/>
  <c r="E1515" i="11"/>
  <c r="D1515" i="11"/>
  <c r="E1514" i="11"/>
  <c r="D1514" i="11"/>
  <c r="E1513" i="11"/>
  <c r="D1513" i="11"/>
  <c r="E1512" i="11"/>
  <c r="D1512" i="11"/>
  <c r="E1511" i="11"/>
  <c r="D1511" i="11"/>
  <c r="E1510" i="11"/>
  <c r="D1510" i="11"/>
  <c r="E1509" i="11"/>
  <c r="D1509" i="11"/>
  <c r="E1508" i="11"/>
  <c r="D1508" i="11"/>
  <c r="E1507" i="11"/>
  <c r="D1507" i="11"/>
  <c r="E1506" i="11"/>
  <c r="D1506" i="11"/>
  <c r="E1505" i="11"/>
  <c r="D1505" i="11"/>
  <c r="E1504" i="11"/>
  <c r="D1504" i="11"/>
  <c r="E1503" i="11"/>
  <c r="D1503" i="11"/>
  <c r="E1502" i="11"/>
  <c r="D1502" i="11"/>
  <c r="E1501" i="11"/>
  <c r="D1501" i="11"/>
  <c r="E1500" i="11"/>
  <c r="D1500" i="11"/>
  <c r="E1499" i="11"/>
  <c r="D1499" i="11"/>
  <c r="E1498" i="11"/>
  <c r="D1498" i="11"/>
  <c r="E1497" i="11"/>
  <c r="D1497" i="11"/>
  <c r="E1496" i="11"/>
  <c r="D1496" i="11"/>
  <c r="E1495" i="11"/>
  <c r="D1495" i="11"/>
  <c r="E1494" i="11"/>
  <c r="D1494" i="11"/>
  <c r="E1493" i="11"/>
  <c r="D1493" i="11"/>
  <c r="E1492" i="11"/>
  <c r="D1492" i="11"/>
  <c r="E1491" i="11"/>
  <c r="D1491" i="11"/>
  <c r="E1490" i="11"/>
  <c r="D1490" i="11"/>
  <c r="E1489" i="11"/>
  <c r="D1489" i="11"/>
  <c r="E1488" i="11"/>
  <c r="D1488" i="11"/>
  <c r="E1487" i="11"/>
  <c r="D1487" i="11"/>
  <c r="E1486" i="11"/>
  <c r="D1486" i="11"/>
  <c r="E1485" i="11"/>
  <c r="D1485" i="11"/>
  <c r="E1484" i="11"/>
  <c r="D1484" i="11"/>
  <c r="E1483" i="11"/>
  <c r="D1483" i="11"/>
  <c r="E1482" i="11"/>
  <c r="D1482" i="11"/>
  <c r="E1481" i="11"/>
  <c r="D1481" i="11"/>
  <c r="E1480" i="11"/>
  <c r="D1480" i="11"/>
  <c r="E1479" i="11"/>
  <c r="D1479" i="11"/>
  <c r="E1478" i="11"/>
  <c r="D1478" i="11"/>
  <c r="E1477" i="11"/>
  <c r="D1477" i="11"/>
  <c r="E1476" i="11"/>
  <c r="D1476" i="11"/>
  <c r="E1475" i="11"/>
  <c r="D1475" i="11"/>
  <c r="E1474" i="11"/>
  <c r="D1474" i="11"/>
  <c r="E1473" i="11"/>
  <c r="D1473" i="11"/>
  <c r="E1472" i="11"/>
  <c r="D1472" i="11"/>
  <c r="E1471" i="11"/>
  <c r="D1471" i="11"/>
  <c r="E1470" i="11"/>
  <c r="D1470" i="11"/>
  <c r="E1469" i="11"/>
  <c r="D1469" i="11"/>
  <c r="E1468" i="11"/>
  <c r="D1468" i="11"/>
  <c r="E1467" i="11"/>
  <c r="D1467" i="11"/>
  <c r="E1466" i="11"/>
  <c r="D1466" i="11"/>
  <c r="E1465" i="11"/>
  <c r="D1465" i="11"/>
  <c r="E1464" i="11"/>
  <c r="D1464" i="11"/>
  <c r="E1463" i="11"/>
  <c r="D1463" i="11"/>
  <c r="E1462" i="11"/>
  <c r="D1462" i="11"/>
  <c r="E1461" i="11"/>
  <c r="D1461" i="11"/>
  <c r="E1460" i="11"/>
  <c r="D1460" i="11"/>
  <c r="E1459" i="11"/>
  <c r="D1459" i="11"/>
  <c r="E1458" i="11"/>
  <c r="D1458" i="11"/>
  <c r="E1457" i="11"/>
  <c r="D1457" i="11"/>
  <c r="E1456" i="11"/>
  <c r="D1456" i="11"/>
  <c r="E1455" i="11"/>
  <c r="D1455" i="11"/>
  <c r="E1454" i="11"/>
  <c r="D1454" i="11"/>
  <c r="E1453" i="11"/>
  <c r="D1453" i="11"/>
  <c r="E1452" i="11"/>
  <c r="D1452" i="11"/>
  <c r="E1451" i="11"/>
  <c r="D1451" i="11"/>
  <c r="E1450" i="11"/>
  <c r="D1450" i="11"/>
  <c r="E1449" i="11"/>
  <c r="D1449" i="11"/>
  <c r="E1448" i="11"/>
  <c r="D1448" i="11"/>
  <c r="E1447" i="11"/>
  <c r="D1447" i="11"/>
  <c r="E1446" i="11"/>
  <c r="D1446" i="11"/>
  <c r="E1445" i="11"/>
  <c r="D1445" i="11"/>
  <c r="E1444" i="11"/>
  <c r="D1444" i="11"/>
  <c r="E1443" i="11"/>
  <c r="D1443" i="11"/>
  <c r="E1442" i="11"/>
  <c r="D1442" i="11"/>
  <c r="E1441" i="11"/>
  <c r="D1441" i="11"/>
  <c r="E1440" i="11"/>
  <c r="D1440" i="11"/>
  <c r="E1439" i="11"/>
  <c r="D1439" i="11"/>
  <c r="E1438" i="11"/>
  <c r="D1438" i="11"/>
  <c r="E1437" i="11"/>
  <c r="D1437" i="11"/>
  <c r="E1436" i="11"/>
  <c r="D1436" i="11"/>
  <c r="E1435" i="11"/>
  <c r="D1435" i="11"/>
  <c r="E1434" i="11"/>
  <c r="D1434" i="11"/>
  <c r="E1433" i="11"/>
  <c r="D1433" i="11"/>
  <c r="E1432" i="11"/>
  <c r="D1432" i="11"/>
  <c r="E1431" i="11"/>
  <c r="D1431" i="11"/>
  <c r="E1430" i="11"/>
  <c r="D1430" i="11"/>
  <c r="E1429" i="11"/>
  <c r="D1429" i="11"/>
  <c r="E1428" i="11"/>
  <c r="D1428" i="11"/>
  <c r="E1427" i="11"/>
  <c r="D1427" i="11"/>
  <c r="E1426" i="11"/>
  <c r="D1426" i="11"/>
  <c r="E1425" i="11"/>
  <c r="D1425" i="11"/>
  <c r="E1424" i="11"/>
  <c r="D1424" i="11"/>
  <c r="E1423" i="11"/>
  <c r="D1423" i="11"/>
  <c r="E1422" i="11"/>
  <c r="D1422" i="11"/>
  <c r="E1421" i="11"/>
  <c r="D1421" i="11"/>
  <c r="E1420" i="11"/>
  <c r="D1420" i="11"/>
  <c r="E1419" i="11"/>
  <c r="D1419" i="11"/>
  <c r="E1418" i="11"/>
  <c r="D1418" i="11"/>
  <c r="E1417" i="11"/>
  <c r="D1417" i="11"/>
  <c r="E1416" i="11"/>
  <c r="D1416" i="11"/>
  <c r="E1415" i="11"/>
  <c r="D1415" i="11"/>
  <c r="E1414" i="11"/>
  <c r="D1414" i="11"/>
  <c r="E1413" i="11"/>
  <c r="D1413" i="11"/>
  <c r="E1412" i="11"/>
  <c r="D1412" i="11"/>
  <c r="E1411" i="11"/>
  <c r="D1411" i="11"/>
  <c r="E1410" i="11"/>
  <c r="D1410" i="11"/>
  <c r="E1409" i="11"/>
  <c r="D1409" i="11"/>
  <c r="E1408" i="11"/>
  <c r="D1408" i="11"/>
  <c r="E1407" i="11"/>
  <c r="D1407" i="11"/>
  <c r="E1406" i="11"/>
  <c r="D1406" i="11"/>
  <c r="E1405" i="11"/>
  <c r="D1405" i="11"/>
  <c r="E1404" i="11"/>
  <c r="D1404" i="11"/>
  <c r="E1403" i="11"/>
  <c r="D1403" i="11"/>
  <c r="E1402" i="11"/>
  <c r="D1402" i="11"/>
  <c r="E1401" i="11"/>
  <c r="D1401" i="11"/>
  <c r="E1400" i="11"/>
  <c r="D1400" i="11"/>
  <c r="E1399" i="11"/>
  <c r="D1399" i="11"/>
  <c r="E1398" i="11"/>
  <c r="D1398" i="11"/>
  <c r="E1397" i="11"/>
  <c r="D1397" i="11"/>
  <c r="E1396" i="11"/>
  <c r="D1396" i="11"/>
  <c r="E1395" i="11"/>
  <c r="D1395" i="11"/>
  <c r="E1394" i="11"/>
  <c r="D1394" i="11"/>
  <c r="E1393" i="11"/>
  <c r="D1393" i="11"/>
  <c r="E1392" i="11"/>
  <c r="D1392" i="11"/>
  <c r="E1391" i="11"/>
  <c r="D1391" i="11"/>
  <c r="E1390" i="11"/>
  <c r="D1390" i="11"/>
  <c r="E1389" i="11"/>
  <c r="D1389" i="11"/>
  <c r="E1388" i="11"/>
  <c r="D1388" i="11"/>
  <c r="E1387" i="11"/>
  <c r="D1387" i="11"/>
  <c r="E1386" i="11"/>
  <c r="D1386" i="11"/>
  <c r="E1385" i="11"/>
  <c r="D1385" i="11"/>
  <c r="E1384" i="11"/>
  <c r="D1384" i="11"/>
  <c r="E1383" i="11"/>
  <c r="D1383" i="11"/>
  <c r="E1382" i="11"/>
  <c r="D1382" i="11"/>
  <c r="E1381" i="11"/>
  <c r="D1381" i="11"/>
  <c r="E1380" i="11"/>
  <c r="D1380" i="11"/>
  <c r="E1379" i="11"/>
  <c r="D1379" i="11"/>
  <c r="E1378" i="11"/>
  <c r="D1378" i="11"/>
  <c r="E1377" i="11"/>
  <c r="D1377" i="11"/>
  <c r="E1376" i="11"/>
  <c r="D1376" i="11"/>
  <c r="E1375" i="11"/>
  <c r="D1375" i="11"/>
  <c r="E1374" i="11"/>
  <c r="D1374" i="11"/>
  <c r="E1373" i="11"/>
  <c r="D1373" i="11"/>
  <c r="E1372" i="11"/>
  <c r="D1372" i="11"/>
  <c r="E1371" i="11"/>
  <c r="D1371" i="11"/>
  <c r="E1370" i="11"/>
  <c r="D1370" i="11"/>
  <c r="E1369" i="11"/>
  <c r="D1369" i="11"/>
  <c r="E1368" i="11"/>
  <c r="D1368" i="11"/>
  <c r="E1367" i="11"/>
  <c r="D1367" i="11"/>
  <c r="E1366" i="11"/>
  <c r="D1366" i="11"/>
  <c r="E1365" i="11"/>
  <c r="D1365" i="11"/>
  <c r="E1364" i="11"/>
  <c r="D1364" i="11"/>
  <c r="E1363" i="11"/>
  <c r="D1363" i="11"/>
  <c r="E1362" i="11"/>
  <c r="D1362" i="11"/>
  <c r="E1361" i="11"/>
  <c r="D1361" i="11"/>
  <c r="E1360" i="11"/>
  <c r="D1360" i="11"/>
  <c r="E1359" i="11"/>
  <c r="D1359" i="11"/>
  <c r="E1358" i="11"/>
  <c r="D1358" i="11"/>
  <c r="E1357" i="11"/>
  <c r="D1357" i="11"/>
  <c r="E1356" i="11"/>
  <c r="D1356" i="11"/>
  <c r="E1355" i="11"/>
  <c r="D1355" i="11"/>
  <c r="E1354" i="11"/>
  <c r="D1354" i="11"/>
  <c r="E1353" i="11"/>
  <c r="D1353" i="11"/>
  <c r="E1352" i="11"/>
  <c r="D1352" i="11"/>
  <c r="E1351" i="11"/>
  <c r="D1351" i="11"/>
  <c r="E1350" i="11"/>
  <c r="D1350" i="11"/>
  <c r="E1349" i="11"/>
  <c r="D1349" i="11"/>
  <c r="E1348" i="11"/>
  <c r="D1348" i="11"/>
  <c r="E1347" i="11"/>
  <c r="D1347" i="11"/>
  <c r="E1346" i="11"/>
  <c r="D1346" i="11"/>
  <c r="E1345" i="11"/>
  <c r="D1345" i="11"/>
  <c r="E1344" i="11"/>
  <c r="D1344" i="11"/>
  <c r="E1343" i="11"/>
  <c r="D1343" i="11"/>
  <c r="E1342" i="11"/>
  <c r="D1342" i="11"/>
  <c r="E1341" i="11"/>
  <c r="D1341" i="11"/>
  <c r="E1340" i="11"/>
  <c r="D1340" i="11"/>
  <c r="E1339" i="11"/>
  <c r="D1339" i="11"/>
  <c r="E1338" i="11"/>
  <c r="D1338" i="11"/>
  <c r="E1337" i="11"/>
  <c r="D1337" i="11"/>
  <c r="E1336" i="11"/>
  <c r="D1336" i="11"/>
  <c r="E1335" i="11"/>
  <c r="D1335" i="11"/>
  <c r="E1334" i="11"/>
  <c r="D1334" i="11"/>
  <c r="E1333" i="11"/>
  <c r="D1333" i="11"/>
  <c r="E1332" i="11"/>
  <c r="D1332" i="11"/>
  <c r="E1331" i="11"/>
  <c r="D1331" i="11"/>
  <c r="E1330" i="11"/>
  <c r="D1330" i="11"/>
  <c r="E1329" i="11"/>
  <c r="D1329" i="11"/>
  <c r="E1328" i="11"/>
  <c r="D1328" i="11"/>
  <c r="E1327" i="11"/>
  <c r="D1327" i="11"/>
  <c r="E1326" i="11"/>
  <c r="D1326" i="11"/>
  <c r="E1325" i="11"/>
  <c r="D1325" i="11"/>
  <c r="E1324" i="11"/>
  <c r="D1324" i="11"/>
  <c r="E1323" i="11"/>
  <c r="D1323" i="11"/>
  <c r="E1322" i="11"/>
  <c r="D1322" i="11"/>
  <c r="E1321" i="11"/>
  <c r="D1321" i="11"/>
  <c r="E1320" i="11"/>
  <c r="D1320" i="11"/>
  <c r="E1319" i="11"/>
  <c r="D1319" i="11"/>
  <c r="E1318" i="11"/>
  <c r="D1318" i="11"/>
  <c r="E1317" i="11"/>
  <c r="D1317" i="11"/>
  <c r="E1316" i="11"/>
  <c r="D1316" i="11"/>
  <c r="E1315" i="11"/>
  <c r="D1315" i="11"/>
  <c r="E1314" i="11"/>
  <c r="D1314" i="11"/>
  <c r="E1313" i="11"/>
  <c r="D1313" i="11"/>
  <c r="E1312" i="11"/>
  <c r="D1312" i="11"/>
  <c r="E1311" i="11"/>
  <c r="D1311" i="11"/>
  <c r="E1310" i="11"/>
  <c r="D1310" i="11"/>
  <c r="E1309" i="11"/>
  <c r="D1309" i="11"/>
  <c r="E1308" i="11"/>
  <c r="D1308" i="11"/>
  <c r="E1307" i="11"/>
  <c r="D1307" i="11"/>
  <c r="E1306" i="11"/>
  <c r="D1306" i="11"/>
  <c r="E1305" i="11"/>
  <c r="D1305" i="11"/>
  <c r="E1304" i="11"/>
  <c r="D1304" i="11"/>
  <c r="E1303" i="11"/>
  <c r="D1303" i="11"/>
  <c r="E1302" i="11"/>
  <c r="D1302" i="11"/>
  <c r="E1301" i="11"/>
  <c r="D1301" i="11"/>
  <c r="E1300" i="11"/>
  <c r="D1300" i="11"/>
  <c r="E1299" i="11"/>
  <c r="D1299" i="11"/>
  <c r="E1298" i="11"/>
  <c r="D1298" i="11"/>
  <c r="E1297" i="11"/>
  <c r="D1297" i="11"/>
  <c r="E1296" i="11"/>
  <c r="D1296" i="11"/>
  <c r="E1295" i="11"/>
  <c r="D1295" i="11"/>
  <c r="E1294" i="11"/>
  <c r="D1294" i="11"/>
  <c r="E1293" i="11"/>
  <c r="D1293" i="11"/>
  <c r="E1292" i="11"/>
  <c r="D1292" i="11"/>
  <c r="E1291" i="11"/>
  <c r="D1291" i="11"/>
  <c r="E1290" i="11"/>
  <c r="D1290" i="11"/>
  <c r="E1289" i="11"/>
  <c r="D1289" i="11"/>
  <c r="E1288" i="11"/>
  <c r="D1288" i="11"/>
  <c r="E1287" i="11"/>
  <c r="D1287" i="11"/>
  <c r="E1286" i="11"/>
  <c r="D1286" i="11"/>
  <c r="E1285" i="11"/>
  <c r="D1285" i="11"/>
  <c r="E1284" i="11"/>
  <c r="D1284" i="11"/>
  <c r="E1283" i="11"/>
  <c r="D1283" i="11"/>
  <c r="E1282" i="11"/>
  <c r="D1282" i="11"/>
  <c r="E1281" i="11"/>
  <c r="D1281" i="11"/>
  <c r="E1280" i="11"/>
  <c r="D1280" i="11"/>
  <c r="E1279" i="11"/>
  <c r="D1279" i="11"/>
  <c r="E1278" i="11"/>
  <c r="D1278" i="11"/>
  <c r="E1277" i="11"/>
  <c r="D1277" i="11"/>
  <c r="E1276" i="11"/>
  <c r="D1276" i="11"/>
  <c r="E1275" i="11"/>
  <c r="D1275" i="11"/>
  <c r="E1274" i="11"/>
  <c r="D1274" i="11"/>
  <c r="E1273" i="11"/>
  <c r="D1273" i="11"/>
  <c r="E1272" i="11"/>
  <c r="D1272" i="11"/>
  <c r="E1271" i="11"/>
  <c r="D1271" i="11"/>
  <c r="E1270" i="11"/>
  <c r="D1270" i="11"/>
  <c r="E1269" i="11"/>
  <c r="D1269" i="11"/>
  <c r="E1268" i="11"/>
  <c r="D1268" i="11"/>
  <c r="E1267" i="11"/>
  <c r="D1267" i="11"/>
  <c r="E1266" i="11"/>
  <c r="D1266" i="11"/>
  <c r="E1265" i="11"/>
  <c r="D1265" i="11"/>
  <c r="E1264" i="11"/>
  <c r="D1264" i="11"/>
  <c r="E1263" i="11"/>
  <c r="D1263" i="11"/>
  <c r="E1262" i="11"/>
  <c r="D1262" i="11"/>
  <c r="E1261" i="11"/>
  <c r="D1261" i="11"/>
  <c r="E1260" i="11"/>
  <c r="D1260" i="11"/>
  <c r="E1259" i="11"/>
  <c r="D1259" i="11"/>
  <c r="E1258" i="11"/>
  <c r="D1258" i="11"/>
  <c r="E1257" i="11"/>
  <c r="D1257" i="11"/>
  <c r="E1256" i="11"/>
  <c r="D1256" i="11"/>
  <c r="E1255" i="11"/>
  <c r="D1255" i="11"/>
  <c r="E1254" i="11"/>
  <c r="D1254" i="11"/>
  <c r="E1253" i="11"/>
  <c r="D1253" i="11"/>
  <c r="E1252" i="11"/>
  <c r="D1252" i="11"/>
  <c r="E1251" i="11"/>
  <c r="D1251" i="11"/>
  <c r="E1250" i="11"/>
  <c r="D1250" i="11"/>
  <c r="E1249" i="11"/>
  <c r="D1249" i="11"/>
  <c r="E1248" i="11"/>
  <c r="D1248" i="11"/>
  <c r="E1247" i="11"/>
  <c r="D1247" i="11"/>
  <c r="E1246" i="11"/>
  <c r="D1246" i="11"/>
  <c r="E1245" i="11"/>
  <c r="D1245" i="11"/>
  <c r="E1244" i="11"/>
  <c r="D1244" i="11"/>
  <c r="E1243" i="11"/>
  <c r="D1243" i="11"/>
  <c r="E1242" i="11"/>
  <c r="D1242" i="11"/>
  <c r="E1241" i="11"/>
  <c r="D1241" i="11"/>
  <c r="E1240" i="11"/>
  <c r="D1240" i="11"/>
  <c r="E1239" i="11"/>
  <c r="D1239" i="11"/>
  <c r="E1238" i="11"/>
  <c r="D1238" i="11"/>
  <c r="E1237" i="11"/>
  <c r="D1237" i="11"/>
  <c r="E1236" i="11"/>
  <c r="D1236" i="11"/>
  <c r="E1235" i="11"/>
  <c r="D1235" i="11"/>
  <c r="E1234" i="11"/>
  <c r="D1234" i="11"/>
  <c r="E1233" i="11"/>
  <c r="D1233" i="11"/>
  <c r="E1232" i="11"/>
  <c r="D1232" i="11"/>
  <c r="E1231" i="11"/>
  <c r="D1231" i="11"/>
  <c r="E1230" i="11"/>
  <c r="D1230" i="11"/>
  <c r="E1229" i="11"/>
  <c r="D1229" i="11"/>
  <c r="E1228" i="11"/>
  <c r="D1228" i="11"/>
  <c r="E1227" i="11"/>
  <c r="D1227" i="11"/>
  <c r="E1226" i="11"/>
  <c r="D1226" i="11"/>
  <c r="E1225" i="11"/>
  <c r="D1225" i="11"/>
  <c r="E1224" i="11"/>
  <c r="D1224" i="11"/>
  <c r="E1223" i="11"/>
  <c r="D1223" i="11"/>
  <c r="E1222" i="11"/>
  <c r="D1222" i="11"/>
  <c r="E1221" i="11"/>
  <c r="D1221" i="11"/>
  <c r="E1220" i="11"/>
  <c r="D1220" i="11"/>
  <c r="E1219" i="11"/>
  <c r="D1219" i="11"/>
  <c r="E1218" i="11"/>
  <c r="D1218" i="11"/>
  <c r="E1217" i="11"/>
  <c r="D1217" i="11"/>
  <c r="E1216" i="11"/>
  <c r="D1216" i="11"/>
  <c r="E1215" i="11"/>
  <c r="D1215" i="11"/>
  <c r="E1214" i="11"/>
  <c r="D1214" i="11"/>
  <c r="E1213" i="11"/>
  <c r="D1213" i="11"/>
  <c r="E1212" i="11"/>
  <c r="D1212" i="11"/>
  <c r="E1211" i="11"/>
  <c r="D1211" i="11"/>
  <c r="E1210" i="11"/>
  <c r="D1210" i="11"/>
  <c r="E1209" i="11"/>
  <c r="D1209" i="11"/>
  <c r="E1208" i="11"/>
  <c r="D1208" i="11"/>
  <c r="E1207" i="11"/>
  <c r="D1207" i="11"/>
  <c r="E1206" i="11"/>
  <c r="D1206" i="11"/>
  <c r="E1205" i="11"/>
  <c r="D1205" i="11"/>
  <c r="E1204" i="11"/>
  <c r="D1204" i="11"/>
  <c r="E1203" i="11"/>
  <c r="D1203" i="11"/>
  <c r="E1202" i="11"/>
  <c r="D1202" i="11"/>
  <c r="E1201" i="11"/>
  <c r="D1201" i="11"/>
  <c r="E1200" i="11"/>
  <c r="D1200" i="11"/>
  <c r="E1199" i="11"/>
  <c r="D1199" i="11"/>
  <c r="E1198" i="11"/>
  <c r="D1198" i="11"/>
  <c r="E1197" i="11"/>
  <c r="D1197" i="11"/>
  <c r="E1196" i="11"/>
  <c r="D1196" i="11"/>
  <c r="E1195" i="11"/>
  <c r="D1195" i="11"/>
  <c r="E1194" i="11"/>
  <c r="D1194" i="11"/>
  <c r="E1193" i="11"/>
  <c r="D1193" i="11"/>
  <c r="E1192" i="11"/>
  <c r="D1192" i="11"/>
  <c r="E1191" i="11"/>
  <c r="D1191" i="11"/>
  <c r="E1190" i="11"/>
  <c r="D1190" i="11"/>
  <c r="E1189" i="11"/>
  <c r="D1189" i="11"/>
  <c r="E1188" i="11"/>
  <c r="D1188" i="11"/>
  <c r="E1187" i="11"/>
  <c r="D1187" i="11"/>
  <c r="E1186" i="11"/>
  <c r="D1186" i="11"/>
  <c r="E1185" i="11"/>
  <c r="D1185" i="11"/>
  <c r="E1184" i="11"/>
  <c r="D1184" i="11"/>
  <c r="E1183" i="11"/>
  <c r="D1183" i="11"/>
  <c r="E1182" i="11"/>
  <c r="D1182" i="11"/>
  <c r="E1181" i="11"/>
  <c r="D1181" i="11"/>
  <c r="E1180" i="11"/>
  <c r="D1180" i="11"/>
  <c r="E1179" i="11"/>
  <c r="D1179" i="11"/>
  <c r="E1178" i="11"/>
  <c r="D1178" i="11"/>
  <c r="E1177" i="11"/>
  <c r="D1177" i="11"/>
  <c r="E1176" i="11"/>
  <c r="D1176" i="11"/>
  <c r="E1175" i="11"/>
  <c r="D1175" i="11"/>
  <c r="E1174" i="11"/>
  <c r="D1174" i="11"/>
  <c r="E1173" i="11"/>
  <c r="D1173" i="11"/>
  <c r="E1172" i="11"/>
  <c r="D1172" i="11"/>
  <c r="E1171" i="11"/>
  <c r="D1171" i="11"/>
  <c r="E1170" i="11"/>
  <c r="D1170" i="11"/>
  <c r="E1169" i="11"/>
  <c r="D1169" i="11"/>
  <c r="E1168" i="11"/>
  <c r="D1168" i="11"/>
  <c r="E1167" i="11"/>
  <c r="D1167" i="11"/>
  <c r="E1166" i="11"/>
  <c r="D1166" i="11"/>
  <c r="E1165" i="11"/>
  <c r="D1165" i="11"/>
  <c r="E1164" i="11"/>
  <c r="D1164" i="11"/>
  <c r="E1163" i="11"/>
  <c r="D1163" i="11"/>
  <c r="E1162" i="11"/>
  <c r="D1162" i="11"/>
  <c r="E1161" i="11"/>
  <c r="D1161" i="11"/>
  <c r="E1160" i="11"/>
  <c r="D1160" i="11"/>
  <c r="E1159" i="11"/>
  <c r="D1159" i="11"/>
  <c r="E1158" i="11"/>
  <c r="D1158" i="11"/>
  <c r="E1157" i="11"/>
  <c r="D1157" i="11"/>
  <c r="E1156" i="11"/>
  <c r="D1156" i="11"/>
  <c r="E1155" i="11"/>
  <c r="D1155" i="11"/>
  <c r="E1154" i="11"/>
  <c r="D1154" i="11"/>
  <c r="E1153" i="11"/>
  <c r="D1153" i="11"/>
  <c r="E1152" i="11"/>
  <c r="D1152" i="11"/>
  <c r="E1151" i="11"/>
  <c r="D1151" i="11"/>
  <c r="E1150" i="11"/>
  <c r="D1150" i="11"/>
  <c r="E1149" i="11"/>
  <c r="D1149" i="11"/>
  <c r="E1148" i="11"/>
  <c r="D1148" i="11"/>
  <c r="E1147" i="11"/>
  <c r="D1147" i="11"/>
  <c r="E1146" i="11"/>
  <c r="D1146" i="11"/>
  <c r="E1145" i="11"/>
  <c r="D1145" i="11"/>
  <c r="E1144" i="11"/>
  <c r="D1144" i="11"/>
  <c r="E1143" i="11"/>
  <c r="D1143" i="11"/>
  <c r="E1142" i="11"/>
  <c r="D1142" i="11"/>
  <c r="E1141" i="11"/>
  <c r="D1141" i="11"/>
  <c r="E1140" i="11"/>
  <c r="D1140" i="11"/>
  <c r="E1139" i="11"/>
  <c r="D1139" i="11"/>
  <c r="E1138" i="11"/>
  <c r="D1138" i="11"/>
  <c r="E1137" i="11"/>
  <c r="D1137" i="11"/>
  <c r="E1136" i="11"/>
  <c r="D1136" i="11"/>
  <c r="E1135" i="11"/>
  <c r="D1135" i="11"/>
  <c r="E1134" i="11"/>
  <c r="D1134" i="11"/>
  <c r="E1133" i="11"/>
  <c r="D1133" i="11"/>
  <c r="E1132" i="11"/>
  <c r="D1132" i="11"/>
  <c r="E1131" i="11"/>
  <c r="D1131" i="11"/>
  <c r="E1130" i="11"/>
  <c r="D1130" i="11"/>
  <c r="E1129" i="11"/>
  <c r="D1129" i="11"/>
  <c r="E1128" i="11"/>
  <c r="D1128" i="11"/>
  <c r="E1127" i="11"/>
  <c r="D1127" i="11"/>
  <c r="E1126" i="11"/>
  <c r="D1126" i="11"/>
  <c r="E1125" i="11"/>
  <c r="D1125" i="11"/>
  <c r="E1124" i="11"/>
  <c r="D1124" i="11"/>
  <c r="E1123" i="11"/>
  <c r="D1123" i="11"/>
  <c r="E1122" i="11"/>
  <c r="D1122" i="11"/>
  <c r="E1121" i="11"/>
  <c r="D1121" i="11"/>
  <c r="E1120" i="11"/>
  <c r="D1120" i="11"/>
  <c r="E1119" i="11"/>
  <c r="D1119" i="11"/>
  <c r="E1118" i="11"/>
  <c r="D1118" i="11"/>
  <c r="E1117" i="11"/>
  <c r="D1117" i="11"/>
  <c r="E1116" i="11"/>
  <c r="D1116" i="11"/>
  <c r="E1115" i="11"/>
  <c r="D1115" i="11"/>
  <c r="E1114" i="11"/>
  <c r="D1114" i="11"/>
  <c r="E1113" i="11"/>
  <c r="D1113" i="11"/>
  <c r="E1112" i="11"/>
  <c r="D1112" i="11"/>
  <c r="E1111" i="11"/>
  <c r="D1111" i="11"/>
  <c r="E1110" i="11"/>
  <c r="D1110" i="11"/>
  <c r="E1109" i="11"/>
  <c r="D1109" i="11"/>
  <c r="E1108" i="11"/>
  <c r="D1108" i="11"/>
  <c r="E1107" i="11"/>
  <c r="D1107" i="11"/>
  <c r="E1106" i="11"/>
  <c r="D1106" i="11"/>
  <c r="E1105" i="11"/>
  <c r="D1105" i="11"/>
  <c r="E1104" i="11"/>
  <c r="D1104" i="11"/>
  <c r="E1103" i="11"/>
  <c r="D1103" i="11"/>
  <c r="E1102" i="11"/>
  <c r="D1102" i="11"/>
  <c r="E1101" i="11"/>
  <c r="D1101" i="11"/>
  <c r="E1100" i="11"/>
  <c r="D1100" i="11"/>
  <c r="E1099" i="11"/>
  <c r="D1099" i="11"/>
  <c r="E1098" i="11"/>
  <c r="D1098" i="11"/>
  <c r="E1097" i="11"/>
  <c r="D1097" i="11"/>
  <c r="E1096" i="11"/>
  <c r="D1096" i="11"/>
  <c r="E1095" i="11"/>
  <c r="D1095" i="11"/>
  <c r="E1094" i="11"/>
  <c r="D1094" i="11"/>
  <c r="E1093" i="11"/>
  <c r="D1093" i="11"/>
  <c r="E1092" i="11"/>
  <c r="D1092" i="11"/>
  <c r="E1091" i="11"/>
  <c r="D1091" i="11"/>
  <c r="E1090" i="11"/>
  <c r="D1090" i="11"/>
  <c r="E1089" i="11"/>
  <c r="D1089" i="11"/>
  <c r="E1088" i="11"/>
  <c r="D1088" i="11"/>
  <c r="E1087" i="11"/>
  <c r="D1087" i="11"/>
  <c r="E1086" i="11"/>
  <c r="D1086" i="11"/>
  <c r="E1085" i="11"/>
  <c r="D1085" i="11"/>
  <c r="E1084" i="11"/>
  <c r="D1084" i="11"/>
  <c r="E1083" i="11"/>
  <c r="D1083" i="11"/>
  <c r="E1082" i="11"/>
  <c r="D1082" i="11"/>
  <c r="E1081" i="11"/>
  <c r="D1081" i="11"/>
  <c r="E1080" i="11"/>
  <c r="D1080" i="11"/>
  <c r="E1079" i="11"/>
  <c r="D1079" i="11"/>
  <c r="E1078" i="11"/>
  <c r="D1078" i="11"/>
  <c r="E1077" i="11"/>
  <c r="D1077" i="11"/>
  <c r="E1076" i="11"/>
  <c r="D1076" i="11"/>
  <c r="E1075" i="11"/>
  <c r="D1075" i="11"/>
  <c r="E1074" i="11"/>
  <c r="D1074" i="11"/>
  <c r="E1073" i="11"/>
  <c r="D1073" i="11"/>
  <c r="E1072" i="11"/>
  <c r="D1072" i="11"/>
  <c r="E1071" i="11"/>
  <c r="D1071" i="11"/>
  <c r="E1070" i="11"/>
  <c r="D1070" i="11"/>
  <c r="E1069" i="11"/>
  <c r="D1069" i="11"/>
  <c r="E1068" i="11"/>
  <c r="D1068" i="11"/>
  <c r="E1067" i="11"/>
  <c r="D1067" i="11"/>
  <c r="E1066" i="11"/>
  <c r="D1066" i="11"/>
  <c r="E1065" i="11"/>
  <c r="D1065" i="11"/>
  <c r="E1064" i="11"/>
  <c r="D1064" i="11"/>
  <c r="E1063" i="11"/>
  <c r="D1063" i="11"/>
  <c r="E1062" i="11"/>
  <c r="D1062" i="11"/>
  <c r="E1061" i="11"/>
  <c r="D1061" i="11"/>
  <c r="E1060" i="11"/>
  <c r="D1060" i="11"/>
  <c r="E1059" i="11"/>
  <c r="D1059" i="11"/>
  <c r="E1058" i="11"/>
  <c r="D1058" i="11"/>
  <c r="E1057" i="11"/>
  <c r="D1057" i="11"/>
  <c r="E1056" i="11"/>
  <c r="D1056" i="11"/>
  <c r="E1055" i="11"/>
  <c r="D1055" i="11"/>
  <c r="E1054" i="11"/>
  <c r="D1054" i="11"/>
  <c r="E1053" i="11"/>
  <c r="D1053" i="11"/>
  <c r="E1052" i="11"/>
  <c r="D1052" i="11"/>
  <c r="E1051" i="11"/>
  <c r="D1051" i="11"/>
  <c r="E1050" i="11"/>
  <c r="D1050" i="11"/>
  <c r="E1049" i="11"/>
  <c r="D1049" i="11"/>
  <c r="E1048" i="11"/>
  <c r="D1048" i="11"/>
  <c r="E1047" i="11"/>
  <c r="D1047" i="11"/>
  <c r="E1046" i="11"/>
  <c r="D1046" i="11"/>
  <c r="E1045" i="11"/>
  <c r="D1045" i="11"/>
  <c r="E1044" i="11"/>
  <c r="D1044" i="11"/>
  <c r="E1043" i="11"/>
  <c r="D1043" i="11"/>
  <c r="E1042" i="11"/>
  <c r="D1042" i="11"/>
  <c r="E1041" i="11"/>
  <c r="D1041" i="11"/>
  <c r="E1040" i="11"/>
  <c r="D1040" i="11"/>
  <c r="E1039" i="11"/>
  <c r="D1039" i="11"/>
  <c r="E1038" i="11"/>
  <c r="D1038" i="11"/>
  <c r="E1037" i="11"/>
  <c r="D1037" i="11"/>
  <c r="E1036" i="11"/>
  <c r="D1036" i="11"/>
  <c r="E1035" i="11"/>
  <c r="D1035" i="11"/>
  <c r="E1034" i="11"/>
  <c r="D1034" i="11"/>
  <c r="E1033" i="11"/>
  <c r="D1033" i="11"/>
  <c r="E1032" i="11"/>
  <c r="D1032" i="11"/>
  <c r="E1031" i="11"/>
  <c r="D1031" i="11"/>
  <c r="E1030" i="11"/>
  <c r="D1030" i="11"/>
  <c r="E1029" i="11"/>
  <c r="D1029" i="11"/>
  <c r="E1028" i="11"/>
  <c r="D1028" i="11"/>
  <c r="E1027" i="11"/>
  <c r="D1027" i="11"/>
  <c r="E1026" i="11"/>
  <c r="D1026" i="11"/>
  <c r="E1025" i="11"/>
  <c r="D1025" i="11"/>
  <c r="E1024" i="11"/>
  <c r="D1024" i="11"/>
  <c r="E1023" i="11"/>
  <c r="D1023" i="11"/>
  <c r="E1022" i="11"/>
  <c r="D1022" i="11"/>
  <c r="E1021" i="11"/>
  <c r="D1021" i="11"/>
  <c r="E1020" i="11"/>
  <c r="D1020" i="11"/>
  <c r="E1019" i="11"/>
  <c r="D1019" i="11"/>
  <c r="E1018" i="11"/>
  <c r="D1018" i="11"/>
  <c r="E1017" i="11"/>
  <c r="D1017" i="11"/>
  <c r="E1016" i="11"/>
  <c r="D1016" i="11"/>
  <c r="E1015" i="11"/>
  <c r="D1015" i="11"/>
  <c r="E1014" i="11"/>
  <c r="D1014" i="11"/>
  <c r="E1013" i="11"/>
  <c r="D1013" i="11"/>
  <c r="E1012" i="11"/>
  <c r="D1012" i="11"/>
  <c r="E1011" i="11"/>
  <c r="D1011" i="11"/>
  <c r="E1010" i="11"/>
  <c r="D1010" i="11"/>
  <c r="E1009" i="11"/>
  <c r="D1009" i="11"/>
  <c r="E1008" i="11"/>
  <c r="D1008" i="11"/>
  <c r="E1007" i="11"/>
  <c r="D1007" i="11"/>
  <c r="E1006" i="11"/>
  <c r="D1006" i="11"/>
  <c r="E1005" i="11"/>
  <c r="D1005" i="11"/>
  <c r="E1004" i="11"/>
  <c r="D1004" i="11"/>
  <c r="E1003" i="11"/>
  <c r="D1003" i="11"/>
  <c r="E1002" i="11"/>
  <c r="D1002" i="11"/>
  <c r="E1001" i="11"/>
  <c r="D1001" i="11"/>
  <c r="E1000" i="11"/>
  <c r="D1000" i="11"/>
  <c r="E999" i="11"/>
  <c r="D999" i="11"/>
  <c r="E998" i="11"/>
  <c r="D998" i="11"/>
  <c r="E997" i="11"/>
  <c r="D997" i="11"/>
  <c r="E996" i="11"/>
  <c r="D996" i="11"/>
  <c r="E995" i="11"/>
  <c r="D995" i="11"/>
  <c r="E994" i="11"/>
  <c r="D994" i="11"/>
  <c r="E993" i="11"/>
  <c r="D993" i="11"/>
  <c r="E992" i="11"/>
  <c r="D992" i="11"/>
  <c r="E991" i="11"/>
  <c r="D991" i="11"/>
  <c r="E990" i="11"/>
  <c r="D990" i="11"/>
  <c r="E989" i="11"/>
  <c r="D989" i="11"/>
  <c r="E988" i="11"/>
  <c r="D988" i="11"/>
  <c r="E987" i="11"/>
  <c r="D987" i="11"/>
  <c r="E986" i="11"/>
  <c r="D986" i="11"/>
  <c r="E985" i="11"/>
  <c r="D985" i="11"/>
  <c r="E984" i="11"/>
  <c r="D984" i="11"/>
  <c r="E983" i="11"/>
  <c r="D983" i="11"/>
  <c r="E982" i="11"/>
  <c r="D982" i="11"/>
  <c r="E981" i="11"/>
  <c r="D981" i="11"/>
  <c r="E980" i="11"/>
  <c r="D980" i="11"/>
  <c r="E979" i="11"/>
  <c r="D979" i="11"/>
  <c r="E978" i="11"/>
  <c r="D978" i="11"/>
  <c r="E977" i="11"/>
  <c r="D977" i="11"/>
  <c r="E976" i="11"/>
  <c r="D976" i="11"/>
  <c r="E975" i="11"/>
  <c r="D975" i="11"/>
  <c r="E974" i="11"/>
  <c r="D974" i="11"/>
  <c r="E973" i="11"/>
  <c r="D973" i="11"/>
  <c r="E972" i="11"/>
  <c r="D972" i="11"/>
  <c r="E971" i="11"/>
  <c r="D971" i="11"/>
  <c r="E970" i="11"/>
  <c r="D970" i="11"/>
  <c r="E969" i="11"/>
  <c r="D969" i="11"/>
  <c r="E968" i="11"/>
  <c r="D968" i="11"/>
  <c r="E967" i="11"/>
  <c r="D967" i="11"/>
  <c r="E966" i="11"/>
  <c r="D966" i="11"/>
  <c r="E965" i="11"/>
  <c r="D965" i="11"/>
  <c r="E964" i="11"/>
  <c r="D964" i="11"/>
  <c r="E963" i="11"/>
  <c r="D963" i="11"/>
  <c r="E962" i="11"/>
  <c r="D962" i="11"/>
  <c r="E961" i="11"/>
  <c r="D961" i="11"/>
  <c r="E960" i="11"/>
  <c r="D960" i="11"/>
  <c r="E959" i="11"/>
  <c r="D959" i="11"/>
  <c r="E958" i="11"/>
  <c r="D958" i="11"/>
  <c r="E957" i="11"/>
  <c r="D957" i="11"/>
  <c r="E956" i="11"/>
  <c r="D956" i="11"/>
  <c r="E955" i="11"/>
  <c r="D955" i="11"/>
  <c r="E954" i="11"/>
  <c r="D954" i="11"/>
  <c r="E953" i="11"/>
  <c r="D953" i="11"/>
  <c r="E952" i="11"/>
  <c r="D952" i="11"/>
  <c r="E951" i="11"/>
  <c r="D951" i="11"/>
  <c r="E950" i="11"/>
  <c r="D950" i="11"/>
  <c r="E949" i="11"/>
  <c r="D949" i="11"/>
  <c r="E948" i="11"/>
  <c r="D948" i="11"/>
  <c r="E947" i="11"/>
  <c r="D947" i="11"/>
  <c r="E946" i="11"/>
  <c r="D946" i="11"/>
  <c r="E945" i="11"/>
  <c r="D945" i="11"/>
  <c r="E944" i="11"/>
  <c r="D944" i="11"/>
  <c r="E943" i="11"/>
  <c r="D943" i="11"/>
  <c r="E942" i="11"/>
  <c r="D942" i="11"/>
  <c r="E941" i="11"/>
  <c r="D941" i="11"/>
  <c r="E940" i="11"/>
  <c r="D940" i="11"/>
  <c r="E939" i="11"/>
  <c r="D939" i="11"/>
  <c r="E938" i="11"/>
  <c r="D938" i="11"/>
  <c r="E937" i="11"/>
  <c r="D937" i="11"/>
  <c r="E936" i="11"/>
  <c r="D936" i="11"/>
  <c r="E935" i="11"/>
  <c r="D935" i="11"/>
  <c r="E934" i="11"/>
  <c r="D934" i="11"/>
  <c r="E933" i="11"/>
  <c r="D933" i="11"/>
  <c r="E932" i="11"/>
  <c r="D932" i="11"/>
  <c r="E931" i="11"/>
  <c r="D931" i="11"/>
  <c r="E930" i="11"/>
  <c r="D930" i="11"/>
  <c r="E929" i="11"/>
  <c r="D929" i="11"/>
  <c r="E928" i="11"/>
  <c r="D928" i="11"/>
  <c r="E927" i="11"/>
  <c r="D927" i="11"/>
  <c r="E926" i="11"/>
  <c r="D926" i="11"/>
  <c r="E925" i="11"/>
  <c r="D925" i="11"/>
  <c r="E924" i="11"/>
  <c r="D924" i="11"/>
  <c r="E923" i="11"/>
  <c r="D923" i="11"/>
  <c r="E922" i="11"/>
  <c r="D922" i="11"/>
  <c r="E921" i="11"/>
  <c r="D921" i="11"/>
  <c r="E920" i="11"/>
  <c r="D920" i="11"/>
  <c r="E919" i="11"/>
  <c r="D919" i="11"/>
  <c r="E918" i="11"/>
  <c r="D918" i="11"/>
  <c r="E917" i="11"/>
  <c r="D917" i="11"/>
  <c r="E916" i="11"/>
  <c r="D916" i="11"/>
  <c r="E915" i="11"/>
  <c r="D915" i="11"/>
  <c r="E914" i="11"/>
  <c r="D914" i="11"/>
  <c r="E913" i="11"/>
  <c r="D913" i="11"/>
  <c r="E912" i="11"/>
  <c r="D912" i="11"/>
  <c r="E911" i="11"/>
  <c r="D911" i="11"/>
  <c r="E910" i="11"/>
  <c r="D910" i="11"/>
  <c r="E909" i="11"/>
  <c r="D909" i="11"/>
  <c r="E908" i="11"/>
  <c r="D908" i="11"/>
  <c r="E907" i="11"/>
  <c r="D907" i="11"/>
  <c r="E906" i="11"/>
  <c r="D906" i="11"/>
  <c r="E905" i="11"/>
  <c r="D905" i="11"/>
  <c r="E904" i="11"/>
  <c r="D904" i="11"/>
  <c r="E903" i="11"/>
  <c r="D903" i="11"/>
  <c r="E902" i="11"/>
  <c r="D902" i="11"/>
  <c r="E901" i="11"/>
  <c r="D901" i="11"/>
  <c r="E900" i="11"/>
  <c r="D900" i="11"/>
  <c r="E899" i="11"/>
  <c r="D899" i="11"/>
  <c r="E898" i="11"/>
  <c r="D898" i="11"/>
  <c r="E897" i="11"/>
  <c r="D897" i="11"/>
  <c r="E896" i="11"/>
  <c r="D896" i="11"/>
  <c r="E895" i="11"/>
  <c r="D895" i="11"/>
  <c r="E894" i="11"/>
  <c r="D894" i="11"/>
  <c r="E893" i="11"/>
  <c r="D893" i="11"/>
  <c r="E892" i="11"/>
  <c r="D892" i="11"/>
  <c r="E891" i="11"/>
  <c r="D891" i="11"/>
  <c r="E890" i="11"/>
  <c r="D890" i="11"/>
  <c r="E889" i="11"/>
  <c r="D889" i="11"/>
  <c r="E888" i="11"/>
  <c r="D888" i="11"/>
  <c r="E887" i="11"/>
  <c r="D887" i="11"/>
  <c r="E886" i="11"/>
  <c r="D886" i="11"/>
  <c r="E885" i="11"/>
  <c r="D885" i="11"/>
  <c r="E884" i="11"/>
  <c r="D884" i="11"/>
  <c r="E883" i="11"/>
  <c r="D883" i="11"/>
  <c r="E882" i="11"/>
  <c r="D882" i="11"/>
  <c r="E881" i="11"/>
  <c r="D881" i="11"/>
  <c r="E880" i="11"/>
  <c r="D880" i="11"/>
  <c r="E879" i="11"/>
  <c r="D879" i="11"/>
  <c r="E878" i="11"/>
  <c r="D878" i="11"/>
  <c r="E877" i="11"/>
  <c r="D877" i="11"/>
  <c r="E876" i="11"/>
  <c r="D876" i="11"/>
  <c r="E875" i="11"/>
  <c r="D875" i="11"/>
  <c r="E874" i="11"/>
  <c r="D874" i="11"/>
  <c r="E873" i="11"/>
  <c r="D873" i="11"/>
  <c r="E872" i="11"/>
  <c r="D872" i="11"/>
  <c r="E871" i="11"/>
  <c r="D871" i="11"/>
  <c r="E870" i="11"/>
  <c r="D870" i="11"/>
  <c r="E869" i="11"/>
  <c r="D869" i="11"/>
  <c r="E868" i="11"/>
  <c r="D868" i="11"/>
  <c r="E867" i="11"/>
  <c r="D867" i="11"/>
  <c r="E866" i="11"/>
  <c r="D866" i="11"/>
  <c r="E865" i="11"/>
  <c r="D865" i="11"/>
  <c r="E864" i="11"/>
  <c r="D864" i="11"/>
  <c r="E863" i="11"/>
  <c r="D863" i="11"/>
  <c r="E862" i="11"/>
  <c r="D862" i="11"/>
  <c r="E861" i="11"/>
  <c r="D861" i="11"/>
  <c r="E860" i="11"/>
  <c r="D860" i="11"/>
  <c r="E859" i="11"/>
  <c r="D859" i="11"/>
  <c r="E858" i="11"/>
  <c r="D858" i="11"/>
  <c r="E857" i="11"/>
  <c r="D857" i="11"/>
  <c r="E856" i="11"/>
  <c r="D856" i="11"/>
  <c r="E855" i="11"/>
  <c r="D855" i="11"/>
  <c r="E854" i="11"/>
  <c r="D854" i="11"/>
  <c r="E853" i="11"/>
  <c r="D853" i="11"/>
  <c r="E852" i="11"/>
  <c r="D852" i="11"/>
  <c r="E851" i="11"/>
  <c r="D851" i="11"/>
  <c r="E850" i="11"/>
  <c r="D850" i="11"/>
  <c r="E849" i="11"/>
  <c r="D849" i="11"/>
  <c r="E848" i="11"/>
  <c r="D848" i="11"/>
  <c r="E847" i="11"/>
  <c r="D847" i="11"/>
  <c r="E846" i="11"/>
  <c r="D846" i="11"/>
  <c r="E845" i="11"/>
  <c r="D845" i="11"/>
  <c r="E844" i="11"/>
  <c r="D844" i="11"/>
  <c r="E843" i="11"/>
  <c r="D843" i="11"/>
  <c r="E842" i="11"/>
  <c r="D842" i="11"/>
  <c r="E841" i="11"/>
  <c r="D841" i="11"/>
  <c r="E840" i="11"/>
  <c r="D840" i="11"/>
  <c r="E839" i="11"/>
  <c r="D839" i="11"/>
  <c r="E838" i="11"/>
  <c r="D838" i="11"/>
  <c r="E837" i="11"/>
  <c r="D837" i="11"/>
  <c r="E836" i="11"/>
  <c r="D836" i="11"/>
  <c r="E835" i="11"/>
  <c r="D835" i="11"/>
  <c r="E834" i="11"/>
  <c r="D834" i="11"/>
  <c r="E833" i="11"/>
  <c r="D833" i="11"/>
  <c r="E832" i="11"/>
  <c r="D832" i="11"/>
  <c r="E831" i="11"/>
  <c r="D831" i="11"/>
  <c r="E830" i="11"/>
  <c r="D830" i="11"/>
  <c r="E829" i="11"/>
  <c r="D829" i="11"/>
  <c r="E828" i="11"/>
  <c r="D828" i="11"/>
  <c r="E827" i="11"/>
  <c r="D827" i="11"/>
  <c r="E826" i="11"/>
  <c r="D826" i="11"/>
  <c r="E825" i="11"/>
  <c r="D825" i="11"/>
  <c r="E824" i="11"/>
  <c r="D824" i="11"/>
  <c r="E823" i="11"/>
  <c r="D823" i="11"/>
  <c r="E822" i="11"/>
  <c r="D822" i="11"/>
  <c r="E821" i="11"/>
  <c r="D821" i="11"/>
  <c r="E820" i="11"/>
  <c r="D820" i="11"/>
  <c r="E819" i="11"/>
  <c r="D819" i="11"/>
  <c r="E818" i="11"/>
  <c r="D818" i="11"/>
  <c r="E817" i="11"/>
  <c r="D817" i="11"/>
  <c r="E816" i="11"/>
  <c r="D816" i="11"/>
  <c r="E815" i="11"/>
  <c r="D815" i="11"/>
  <c r="E814" i="11"/>
  <c r="D814" i="11"/>
  <c r="E813" i="11"/>
  <c r="D813" i="11"/>
  <c r="E812" i="11"/>
  <c r="D812" i="11"/>
  <c r="E811" i="11"/>
  <c r="D811" i="11"/>
  <c r="E810" i="11"/>
  <c r="D810" i="11"/>
  <c r="E809" i="11"/>
  <c r="D809" i="11"/>
  <c r="E808" i="11"/>
  <c r="D808" i="11"/>
  <c r="E807" i="11"/>
  <c r="D807" i="11"/>
  <c r="E806" i="11"/>
  <c r="D806" i="11"/>
  <c r="E805" i="11"/>
  <c r="D805" i="11"/>
  <c r="E804" i="11"/>
  <c r="D804" i="11"/>
  <c r="E803" i="11"/>
  <c r="D803" i="11"/>
  <c r="E802" i="11"/>
  <c r="D802" i="11"/>
  <c r="E801" i="11"/>
  <c r="D801" i="11"/>
  <c r="E800" i="11"/>
  <c r="D800" i="11"/>
  <c r="E799" i="11"/>
  <c r="D799" i="11"/>
  <c r="E798" i="11"/>
  <c r="D798" i="11"/>
  <c r="E797" i="11"/>
  <c r="D797" i="11"/>
  <c r="E796" i="11"/>
  <c r="D796" i="11"/>
  <c r="E795" i="11"/>
  <c r="D795" i="11"/>
  <c r="E794" i="11"/>
  <c r="D794" i="11"/>
  <c r="E793" i="11"/>
  <c r="D793" i="11"/>
  <c r="E792" i="11"/>
  <c r="D792" i="11"/>
  <c r="E791" i="11"/>
  <c r="D791" i="11"/>
  <c r="E790" i="11"/>
  <c r="D790" i="11"/>
  <c r="E789" i="11"/>
  <c r="D789" i="11"/>
  <c r="E788" i="11"/>
  <c r="D788" i="11"/>
  <c r="E787" i="11"/>
  <c r="D787" i="11"/>
  <c r="E786" i="11"/>
  <c r="D786" i="11"/>
  <c r="E785" i="11"/>
  <c r="D785" i="11"/>
  <c r="E784" i="11"/>
  <c r="D784" i="11"/>
  <c r="E783" i="11"/>
  <c r="D783" i="11"/>
  <c r="E782" i="11"/>
  <c r="D782" i="11"/>
  <c r="E781" i="11"/>
  <c r="D781" i="11"/>
  <c r="E780" i="11"/>
  <c r="D780" i="11"/>
  <c r="E779" i="11"/>
  <c r="D779" i="11"/>
  <c r="E778" i="11"/>
  <c r="D778" i="11"/>
  <c r="E777" i="11"/>
  <c r="D777" i="11"/>
  <c r="E776" i="11"/>
  <c r="D776" i="11"/>
  <c r="E775" i="11"/>
  <c r="D775" i="11"/>
  <c r="E774" i="11"/>
  <c r="D774" i="11"/>
  <c r="E773" i="11"/>
  <c r="D773" i="11"/>
  <c r="E772" i="11"/>
  <c r="D772" i="11"/>
  <c r="E771" i="11"/>
  <c r="D771" i="11"/>
  <c r="E770" i="11"/>
  <c r="D770" i="11"/>
  <c r="E769" i="11"/>
  <c r="D769" i="11"/>
  <c r="E768" i="11"/>
  <c r="D768" i="11"/>
  <c r="E767" i="11"/>
  <c r="D767" i="11"/>
  <c r="E766" i="11"/>
  <c r="D766" i="11"/>
  <c r="E765" i="11"/>
  <c r="D765" i="11"/>
  <c r="E764" i="11"/>
  <c r="D764" i="11"/>
  <c r="E763" i="11"/>
  <c r="D763" i="11"/>
  <c r="E762" i="11"/>
  <c r="D762" i="11"/>
  <c r="E761" i="11"/>
  <c r="D761" i="11"/>
  <c r="E760" i="11"/>
  <c r="D760" i="11"/>
  <c r="E759" i="11"/>
  <c r="D759" i="11"/>
  <c r="E758" i="11"/>
  <c r="D758" i="11"/>
  <c r="E757" i="11"/>
  <c r="D757" i="11"/>
  <c r="E756" i="11"/>
  <c r="D756" i="11"/>
  <c r="E755" i="11"/>
  <c r="D755" i="11"/>
  <c r="E754" i="11"/>
  <c r="D754" i="11"/>
  <c r="E753" i="11"/>
  <c r="D753" i="11"/>
  <c r="E752" i="11"/>
  <c r="D752" i="11"/>
  <c r="E751" i="11"/>
  <c r="D751" i="11"/>
  <c r="E750" i="11"/>
  <c r="D750" i="11"/>
  <c r="E749" i="11"/>
  <c r="D749" i="11"/>
  <c r="E748" i="11"/>
  <c r="D748" i="11"/>
  <c r="E747" i="11"/>
  <c r="D747" i="11"/>
  <c r="E746" i="11"/>
  <c r="D746" i="11"/>
  <c r="E745" i="11"/>
  <c r="D745" i="11"/>
  <c r="E744" i="11"/>
  <c r="D744" i="11"/>
  <c r="E743" i="11"/>
  <c r="D743" i="11"/>
  <c r="E742" i="11"/>
  <c r="D742" i="11"/>
  <c r="E741" i="11"/>
  <c r="D741" i="11"/>
  <c r="E740" i="11"/>
  <c r="D740" i="11"/>
  <c r="E739" i="11"/>
  <c r="D739" i="11"/>
  <c r="E738" i="11"/>
  <c r="D738" i="11"/>
  <c r="E737" i="11"/>
  <c r="D737" i="11"/>
  <c r="E736" i="11"/>
  <c r="D736" i="11"/>
  <c r="E735" i="11"/>
  <c r="D735" i="11"/>
  <c r="E734" i="11"/>
  <c r="D734" i="11"/>
  <c r="E733" i="11"/>
  <c r="D733" i="11"/>
  <c r="E732" i="11"/>
  <c r="D732" i="11"/>
  <c r="E731" i="11"/>
  <c r="D731" i="11"/>
  <c r="E730" i="11"/>
  <c r="D730" i="11"/>
  <c r="E729" i="11"/>
  <c r="D729" i="11"/>
  <c r="E728" i="11"/>
  <c r="D728" i="11"/>
  <c r="E727" i="11"/>
  <c r="D727" i="11"/>
  <c r="E726" i="11"/>
  <c r="D726" i="11"/>
  <c r="E725" i="11"/>
  <c r="D725" i="11"/>
  <c r="E724" i="11"/>
  <c r="D724" i="11"/>
  <c r="E723" i="11"/>
  <c r="D723" i="11"/>
  <c r="E722" i="11"/>
  <c r="D722" i="11"/>
  <c r="E721" i="11"/>
  <c r="D721" i="11"/>
  <c r="E720" i="11"/>
  <c r="D720" i="11"/>
  <c r="E719" i="11"/>
  <c r="D719" i="11"/>
  <c r="E718" i="11"/>
  <c r="D718" i="11"/>
  <c r="E717" i="11"/>
  <c r="D717" i="11"/>
  <c r="E716" i="11"/>
  <c r="D716" i="11"/>
  <c r="E715" i="11"/>
  <c r="D715" i="11"/>
  <c r="E714" i="11"/>
  <c r="D714" i="11"/>
  <c r="E713" i="11"/>
  <c r="D713" i="11"/>
  <c r="E712" i="11"/>
  <c r="D712" i="11"/>
  <c r="E711" i="11"/>
  <c r="D711" i="11"/>
  <c r="E710" i="11"/>
  <c r="D710" i="11"/>
  <c r="E709" i="11"/>
  <c r="D709" i="11"/>
  <c r="E708" i="11"/>
  <c r="D708" i="11"/>
  <c r="E707" i="11"/>
  <c r="D707" i="11"/>
  <c r="E706" i="11"/>
  <c r="D706" i="11"/>
  <c r="E705" i="11"/>
  <c r="D705" i="11"/>
  <c r="E704" i="11"/>
  <c r="D704" i="11"/>
  <c r="E703" i="11"/>
  <c r="D703" i="11"/>
  <c r="E702" i="11"/>
  <c r="D702" i="11"/>
  <c r="E701" i="11"/>
  <c r="D701" i="11"/>
  <c r="E700" i="11"/>
  <c r="D700" i="11"/>
  <c r="E699" i="11"/>
  <c r="D699" i="11"/>
  <c r="E698" i="11"/>
  <c r="D698" i="11"/>
  <c r="E697" i="11"/>
  <c r="D697" i="11"/>
  <c r="E696" i="11"/>
  <c r="D696" i="11"/>
  <c r="E695" i="11"/>
  <c r="D695" i="11"/>
  <c r="E694" i="11"/>
  <c r="D694" i="11"/>
  <c r="E693" i="11"/>
  <c r="D693" i="11"/>
  <c r="E692" i="11"/>
  <c r="D692" i="11"/>
  <c r="E691" i="11"/>
  <c r="D691" i="11"/>
  <c r="E690" i="11"/>
  <c r="D690" i="11"/>
  <c r="E689" i="11"/>
  <c r="D689" i="11"/>
  <c r="E688" i="11"/>
  <c r="D688" i="11"/>
  <c r="E687" i="11"/>
  <c r="D687" i="11"/>
  <c r="E686" i="11"/>
  <c r="D686" i="11"/>
  <c r="E685" i="11"/>
  <c r="D685" i="11"/>
  <c r="E684" i="11"/>
  <c r="D684" i="11"/>
  <c r="E683" i="11"/>
  <c r="D683" i="11"/>
  <c r="E682" i="11"/>
  <c r="D682" i="11"/>
  <c r="E681" i="11"/>
  <c r="D681" i="11"/>
  <c r="E680" i="11"/>
  <c r="D680" i="11"/>
  <c r="E679" i="11"/>
  <c r="D679" i="11"/>
  <c r="E678" i="11"/>
  <c r="D678" i="11"/>
  <c r="E677" i="11"/>
  <c r="D677" i="11"/>
  <c r="E676" i="11"/>
  <c r="D676" i="11"/>
  <c r="E675" i="11"/>
  <c r="D675" i="11"/>
  <c r="E674" i="11"/>
  <c r="D674" i="11"/>
  <c r="E673" i="11"/>
  <c r="D673" i="11"/>
  <c r="E672" i="11"/>
  <c r="D672" i="11"/>
  <c r="E671" i="11"/>
  <c r="D671" i="11"/>
  <c r="E670" i="11"/>
  <c r="D670" i="11"/>
  <c r="E669" i="11"/>
  <c r="D669" i="11"/>
  <c r="E668" i="11"/>
  <c r="D668" i="11"/>
  <c r="E667" i="11"/>
  <c r="D667" i="11"/>
  <c r="E666" i="11"/>
  <c r="D666" i="11"/>
  <c r="E665" i="11"/>
  <c r="D665" i="11"/>
  <c r="E664" i="11"/>
  <c r="D664" i="11"/>
  <c r="E663" i="11"/>
  <c r="D663" i="11"/>
  <c r="E662" i="11"/>
  <c r="D662" i="11"/>
  <c r="E661" i="11"/>
  <c r="D661" i="11"/>
  <c r="E660" i="11"/>
  <c r="D660" i="11"/>
  <c r="E659" i="11"/>
  <c r="D659" i="11"/>
  <c r="E658" i="11"/>
  <c r="D658" i="11"/>
  <c r="E657" i="11"/>
  <c r="D657" i="11"/>
  <c r="E656" i="11"/>
  <c r="D656" i="11"/>
  <c r="E655" i="11"/>
  <c r="D655" i="11"/>
  <c r="E654" i="11"/>
  <c r="D654" i="11"/>
  <c r="E653" i="11"/>
  <c r="D653" i="11"/>
  <c r="E652" i="11"/>
  <c r="D652" i="11"/>
  <c r="E651" i="11"/>
  <c r="D651" i="11"/>
  <c r="E650" i="11"/>
  <c r="D650" i="11"/>
  <c r="E649" i="11"/>
  <c r="D649" i="11"/>
  <c r="E648" i="11"/>
  <c r="D648" i="11"/>
  <c r="E647" i="11"/>
  <c r="D647" i="11"/>
  <c r="E646" i="11"/>
  <c r="D646" i="11"/>
  <c r="E645" i="11"/>
  <c r="D645" i="11"/>
  <c r="E644" i="11"/>
  <c r="D644" i="11"/>
  <c r="E643" i="11"/>
  <c r="D643" i="11"/>
  <c r="E642" i="11"/>
  <c r="D642" i="11"/>
  <c r="E641" i="11"/>
  <c r="D641" i="11"/>
  <c r="E640" i="11"/>
  <c r="D640" i="11"/>
  <c r="E639" i="11"/>
  <c r="D639" i="11"/>
  <c r="E638" i="11"/>
  <c r="D638" i="11"/>
  <c r="E637" i="11"/>
  <c r="D637" i="11"/>
  <c r="E636" i="11"/>
  <c r="D636" i="11"/>
  <c r="E635" i="11"/>
  <c r="D635" i="11"/>
  <c r="E634" i="11"/>
  <c r="D634" i="11"/>
  <c r="E633" i="11"/>
  <c r="D633" i="11"/>
  <c r="E632" i="11"/>
  <c r="D632" i="11"/>
  <c r="E631" i="11"/>
  <c r="D631" i="11"/>
  <c r="E630" i="11"/>
  <c r="D630" i="11"/>
  <c r="E629" i="11"/>
  <c r="D629" i="11"/>
  <c r="E628" i="11"/>
  <c r="D628" i="11"/>
  <c r="E627" i="11"/>
  <c r="D627" i="11"/>
  <c r="E626" i="11"/>
  <c r="D626" i="11"/>
  <c r="E625" i="11"/>
  <c r="D625" i="11"/>
  <c r="E624" i="11"/>
  <c r="D624" i="11"/>
  <c r="E623" i="11"/>
  <c r="D623" i="11"/>
  <c r="E622" i="11"/>
  <c r="D622" i="11"/>
  <c r="E621" i="11"/>
  <c r="D621" i="11"/>
  <c r="E620" i="11"/>
  <c r="D620" i="11"/>
  <c r="E619" i="11"/>
  <c r="D619" i="11"/>
  <c r="E618" i="11"/>
  <c r="D618" i="11"/>
  <c r="E617" i="11"/>
  <c r="D617" i="11"/>
  <c r="E616" i="11"/>
  <c r="D616" i="11"/>
  <c r="E615" i="11"/>
  <c r="D615" i="11"/>
  <c r="E614" i="11"/>
  <c r="D614" i="11"/>
  <c r="E613" i="11"/>
  <c r="D613" i="11"/>
  <c r="E612" i="11"/>
  <c r="D612" i="11"/>
  <c r="E611" i="11"/>
  <c r="D611" i="11"/>
  <c r="E610" i="11"/>
  <c r="D610" i="11"/>
  <c r="E609" i="11"/>
  <c r="D609" i="11"/>
  <c r="E608" i="11"/>
  <c r="D608" i="11"/>
  <c r="E607" i="11"/>
  <c r="D607" i="11"/>
  <c r="E606" i="11"/>
  <c r="D606" i="11"/>
  <c r="E605" i="11"/>
  <c r="D605" i="11"/>
  <c r="E604" i="11"/>
  <c r="D604" i="11"/>
  <c r="E603" i="11"/>
  <c r="D603" i="11"/>
  <c r="E602" i="11"/>
  <c r="D602" i="11"/>
  <c r="E601" i="11"/>
  <c r="D601" i="11"/>
  <c r="E600" i="11"/>
  <c r="D600" i="11"/>
  <c r="E599" i="11"/>
  <c r="D599" i="11"/>
  <c r="E598" i="11"/>
  <c r="D598" i="11"/>
  <c r="E597" i="11"/>
  <c r="D597" i="11"/>
  <c r="E596" i="11"/>
  <c r="D596" i="11"/>
  <c r="E595" i="11"/>
  <c r="D595" i="11"/>
  <c r="E594" i="11"/>
  <c r="D594" i="11"/>
  <c r="E593" i="11"/>
  <c r="D593" i="11"/>
  <c r="E592" i="11"/>
  <c r="D592" i="11"/>
  <c r="E591" i="11"/>
  <c r="D591" i="11"/>
  <c r="E590" i="11"/>
  <c r="D590" i="11"/>
  <c r="E589" i="11"/>
  <c r="D589" i="11"/>
  <c r="E588" i="11"/>
  <c r="D588" i="11"/>
  <c r="E587" i="11"/>
  <c r="D587" i="11"/>
  <c r="E586" i="11"/>
  <c r="D586" i="11"/>
  <c r="E585" i="11"/>
  <c r="D585" i="11"/>
  <c r="E584" i="11"/>
  <c r="D584" i="11"/>
  <c r="E583" i="11"/>
  <c r="D583" i="11"/>
  <c r="E582" i="11"/>
  <c r="D582" i="11"/>
  <c r="E581" i="11"/>
  <c r="D581" i="11"/>
  <c r="E580" i="11"/>
  <c r="D580" i="11"/>
  <c r="E579" i="11"/>
  <c r="D579" i="11"/>
  <c r="E578" i="11"/>
  <c r="D578" i="11"/>
  <c r="E577" i="11"/>
  <c r="D577" i="11"/>
  <c r="E576" i="11"/>
  <c r="D576" i="11"/>
  <c r="E575" i="11"/>
  <c r="D575" i="11"/>
  <c r="E574" i="11"/>
  <c r="D574" i="11"/>
  <c r="E573" i="11"/>
  <c r="D573" i="11"/>
  <c r="E572" i="11"/>
  <c r="D572" i="11"/>
  <c r="E571" i="11"/>
  <c r="D571" i="11"/>
  <c r="E570" i="11"/>
  <c r="D570" i="11"/>
  <c r="E569" i="11"/>
  <c r="D569" i="11"/>
  <c r="E568" i="11"/>
  <c r="D568" i="11"/>
  <c r="E567" i="11"/>
  <c r="D567" i="11"/>
  <c r="E566" i="11"/>
  <c r="D566" i="11"/>
  <c r="E565" i="11"/>
  <c r="D565" i="11"/>
  <c r="E564" i="11"/>
  <c r="D564" i="11"/>
  <c r="E563" i="11"/>
  <c r="D563" i="11"/>
  <c r="E562" i="11"/>
  <c r="D562" i="11"/>
  <c r="E561" i="11"/>
  <c r="D561" i="11"/>
  <c r="E560" i="11"/>
  <c r="D560" i="11"/>
  <c r="E559" i="11"/>
  <c r="D559" i="11"/>
  <c r="E558" i="11"/>
  <c r="D558" i="11"/>
  <c r="E557" i="11"/>
  <c r="D557" i="11"/>
  <c r="E556" i="11"/>
  <c r="D556" i="11"/>
  <c r="E555" i="11"/>
  <c r="D555" i="11"/>
  <c r="E554" i="11"/>
  <c r="D554" i="11"/>
  <c r="E553" i="11"/>
  <c r="D553" i="11"/>
  <c r="E552" i="11"/>
  <c r="D552" i="11"/>
  <c r="E551" i="11"/>
  <c r="D551" i="11"/>
  <c r="E550" i="11"/>
  <c r="D550" i="11"/>
  <c r="E549" i="11"/>
  <c r="D549" i="11"/>
  <c r="E548" i="11"/>
  <c r="D548" i="11"/>
  <c r="E547" i="11"/>
  <c r="D547" i="11"/>
  <c r="E546" i="11"/>
  <c r="D546" i="11"/>
  <c r="E545" i="11"/>
  <c r="D545" i="11"/>
  <c r="E544" i="11"/>
  <c r="D544" i="11"/>
  <c r="E543" i="11"/>
  <c r="D543" i="11"/>
  <c r="E542" i="11"/>
  <c r="D542" i="11"/>
  <c r="E541" i="11"/>
  <c r="D541" i="11"/>
  <c r="E540" i="11"/>
  <c r="D540" i="11"/>
  <c r="E539" i="11"/>
  <c r="D539" i="11"/>
  <c r="E538" i="11"/>
  <c r="D538" i="11"/>
  <c r="E537" i="11"/>
  <c r="D537" i="11"/>
  <c r="E536" i="11"/>
  <c r="D536" i="11"/>
  <c r="E535" i="11"/>
  <c r="D535" i="11"/>
  <c r="E534" i="11"/>
  <c r="D534" i="11"/>
  <c r="E533" i="11"/>
  <c r="D533" i="11"/>
  <c r="E532" i="11"/>
  <c r="D532" i="11"/>
  <c r="E531" i="11"/>
  <c r="D531" i="11"/>
  <c r="E530" i="11"/>
  <c r="D530" i="11"/>
  <c r="E529" i="11"/>
  <c r="D529" i="11"/>
  <c r="E528" i="11"/>
  <c r="D528" i="11"/>
  <c r="E527" i="11"/>
  <c r="D527" i="11"/>
  <c r="E526" i="11"/>
  <c r="D526" i="11"/>
  <c r="E525" i="11"/>
  <c r="D525" i="11"/>
  <c r="E524" i="11"/>
  <c r="D524" i="11"/>
  <c r="E523" i="11"/>
  <c r="D523" i="11"/>
  <c r="E522" i="11"/>
  <c r="D522" i="11"/>
  <c r="E521" i="11"/>
  <c r="D521" i="11"/>
  <c r="E520" i="11"/>
  <c r="D520" i="11"/>
  <c r="E519" i="11"/>
  <c r="D519" i="11"/>
  <c r="E518" i="11"/>
  <c r="D518" i="11"/>
  <c r="E517" i="11"/>
  <c r="D517" i="11"/>
  <c r="E516" i="11"/>
  <c r="D516" i="11"/>
  <c r="E515" i="11"/>
  <c r="D515" i="11"/>
  <c r="E514" i="11"/>
  <c r="D514" i="11"/>
  <c r="E513" i="11"/>
  <c r="D513" i="11"/>
  <c r="E512" i="11"/>
  <c r="D512" i="11"/>
  <c r="E511" i="11"/>
  <c r="D511" i="11"/>
  <c r="E510" i="11"/>
  <c r="D510" i="11"/>
  <c r="E509" i="11"/>
  <c r="D509" i="11"/>
  <c r="E508" i="11"/>
  <c r="D508" i="11"/>
  <c r="E507" i="11"/>
  <c r="D507" i="11"/>
  <c r="E506" i="11"/>
  <c r="D506" i="11"/>
  <c r="E505" i="11"/>
  <c r="D505" i="11"/>
  <c r="E504" i="11"/>
  <c r="D504" i="11"/>
  <c r="E503" i="11"/>
  <c r="D503" i="11"/>
  <c r="E502" i="11"/>
  <c r="D502" i="11"/>
  <c r="E501" i="11"/>
  <c r="D501" i="11"/>
  <c r="E500" i="11"/>
  <c r="D500" i="11"/>
  <c r="E499" i="11"/>
  <c r="D499" i="11"/>
  <c r="E498" i="11"/>
  <c r="D498" i="11"/>
  <c r="E497" i="11"/>
  <c r="D497" i="11"/>
  <c r="E496" i="11"/>
  <c r="D496" i="11"/>
  <c r="E495" i="11"/>
  <c r="D495" i="11"/>
  <c r="E494" i="11"/>
  <c r="D494" i="11"/>
  <c r="E493" i="11"/>
  <c r="D493" i="11"/>
  <c r="E492" i="11"/>
  <c r="D492" i="11"/>
  <c r="E491" i="11"/>
  <c r="D491" i="11"/>
  <c r="E490" i="11"/>
  <c r="D490" i="11"/>
  <c r="E489" i="11"/>
  <c r="D489" i="11"/>
  <c r="E488" i="11"/>
  <c r="D488" i="11"/>
  <c r="E487" i="11"/>
  <c r="D487" i="11"/>
  <c r="E486" i="11"/>
  <c r="D486" i="11"/>
  <c r="E485" i="11"/>
  <c r="D485" i="11"/>
  <c r="E484" i="11"/>
  <c r="D484" i="11"/>
  <c r="E483" i="11"/>
  <c r="D483" i="11"/>
  <c r="E482" i="11"/>
  <c r="D482" i="11"/>
  <c r="E481" i="11"/>
  <c r="D481" i="11"/>
  <c r="E480" i="11"/>
  <c r="D480" i="11"/>
  <c r="E479" i="11"/>
  <c r="D479" i="11"/>
  <c r="E478" i="11"/>
  <c r="D478" i="11"/>
  <c r="E477" i="11"/>
  <c r="D477" i="11"/>
  <c r="E476" i="11"/>
  <c r="D476" i="11"/>
  <c r="E475" i="11"/>
  <c r="D475" i="11"/>
  <c r="E474" i="11"/>
  <c r="D474" i="11"/>
  <c r="E473" i="11"/>
  <c r="D473" i="11"/>
  <c r="E472" i="11"/>
  <c r="D472" i="11"/>
  <c r="E471" i="11"/>
  <c r="D471" i="11"/>
  <c r="E470" i="11"/>
  <c r="D470" i="11"/>
  <c r="E469" i="11"/>
  <c r="D469" i="11"/>
  <c r="E468" i="11"/>
  <c r="D468" i="11"/>
  <c r="E467" i="11"/>
  <c r="D467" i="11"/>
  <c r="E466" i="11"/>
  <c r="D466" i="11"/>
  <c r="E465" i="11"/>
  <c r="D465" i="11"/>
  <c r="E464" i="11"/>
  <c r="D464" i="11"/>
  <c r="E463" i="11"/>
  <c r="D463" i="11"/>
  <c r="E462" i="11"/>
  <c r="D462" i="11"/>
  <c r="E461" i="11"/>
  <c r="D461" i="11"/>
  <c r="E460" i="11"/>
  <c r="D460" i="11"/>
  <c r="E459" i="11"/>
  <c r="D459" i="11"/>
  <c r="E458" i="11"/>
  <c r="D458" i="11"/>
  <c r="E457" i="11"/>
  <c r="D457" i="11"/>
  <c r="E456" i="11"/>
  <c r="D456" i="11"/>
  <c r="E455" i="11"/>
  <c r="D455" i="11"/>
  <c r="E454" i="11"/>
  <c r="D454" i="11"/>
  <c r="E453" i="11"/>
  <c r="D453" i="11"/>
  <c r="E452" i="11"/>
  <c r="D452" i="11"/>
  <c r="E451" i="11"/>
  <c r="D451" i="11"/>
  <c r="E450" i="11"/>
  <c r="D450" i="11"/>
  <c r="E449" i="11"/>
  <c r="D449" i="11"/>
  <c r="E448" i="11"/>
  <c r="D448" i="11"/>
  <c r="E447" i="11"/>
  <c r="D447" i="11"/>
  <c r="E446" i="11"/>
  <c r="D446" i="11"/>
  <c r="E445" i="11"/>
  <c r="D445" i="11"/>
  <c r="E444" i="11"/>
  <c r="D444" i="11"/>
  <c r="E443" i="11"/>
  <c r="D443" i="11"/>
  <c r="E442" i="11"/>
  <c r="D442" i="11"/>
  <c r="E441" i="11"/>
  <c r="D441" i="11"/>
  <c r="E440" i="11"/>
  <c r="D440" i="11"/>
  <c r="E439" i="11"/>
  <c r="D439" i="11"/>
  <c r="E438" i="11"/>
  <c r="D438" i="11"/>
  <c r="E437" i="11"/>
  <c r="D437" i="11"/>
  <c r="E436" i="11"/>
  <c r="D436" i="11"/>
  <c r="E435" i="11"/>
  <c r="D435" i="11"/>
  <c r="E434" i="11"/>
  <c r="D434" i="11"/>
  <c r="E433" i="11"/>
  <c r="D433" i="11"/>
  <c r="E432" i="11"/>
  <c r="D432" i="11"/>
  <c r="E431" i="11"/>
  <c r="D431" i="11"/>
  <c r="E430" i="11"/>
  <c r="D430" i="11"/>
  <c r="E429" i="11"/>
  <c r="D429" i="11"/>
  <c r="E428" i="11"/>
  <c r="D428" i="11"/>
  <c r="E427" i="11"/>
  <c r="D427" i="11"/>
  <c r="E426" i="11"/>
  <c r="D426" i="11"/>
  <c r="E425" i="11"/>
  <c r="D425" i="11"/>
  <c r="E424" i="11"/>
  <c r="D424" i="11"/>
  <c r="E423" i="11"/>
  <c r="D423" i="11"/>
  <c r="E422" i="11"/>
  <c r="D422" i="11"/>
  <c r="E421" i="11"/>
  <c r="D421" i="11"/>
  <c r="E420" i="11"/>
  <c r="D420" i="11"/>
  <c r="E419" i="11"/>
  <c r="D419" i="11"/>
  <c r="E418" i="11"/>
  <c r="D418" i="11"/>
  <c r="E417" i="11"/>
  <c r="D417" i="11"/>
  <c r="E416" i="11"/>
  <c r="D416" i="11"/>
  <c r="E415" i="11"/>
  <c r="D415" i="11"/>
  <c r="E414" i="11"/>
  <c r="D414" i="11"/>
  <c r="E413" i="11"/>
  <c r="D413" i="11"/>
  <c r="E412" i="11"/>
  <c r="D412" i="11"/>
  <c r="E411" i="11"/>
  <c r="D411" i="11"/>
  <c r="E410" i="11"/>
  <c r="D410" i="11"/>
  <c r="E409" i="11"/>
  <c r="D409" i="11"/>
  <c r="E408" i="11"/>
  <c r="D408" i="11"/>
  <c r="E407" i="11"/>
  <c r="D407" i="11"/>
  <c r="E406" i="11"/>
  <c r="D406" i="11"/>
  <c r="E405" i="11"/>
  <c r="D405" i="11"/>
  <c r="E404" i="11"/>
  <c r="D404" i="11"/>
  <c r="E403" i="11"/>
  <c r="D403" i="11"/>
  <c r="E402" i="11"/>
  <c r="D402" i="11"/>
  <c r="E401" i="11"/>
  <c r="D401" i="11"/>
  <c r="E400" i="11"/>
  <c r="D400" i="11"/>
  <c r="E399" i="11"/>
  <c r="D399" i="11"/>
  <c r="E398" i="11"/>
  <c r="D398" i="11"/>
  <c r="E397" i="11"/>
  <c r="D397" i="11"/>
  <c r="E396" i="11"/>
  <c r="D396" i="11"/>
  <c r="E395" i="11"/>
  <c r="D395" i="11"/>
  <c r="E394" i="11"/>
  <c r="D394" i="11"/>
  <c r="E393" i="11"/>
  <c r="D393" i="11"/>
  <c r="E392" i="11"/>
  <c r="D392" i="11"/>
  <c r="E391" i="11"/>
  <c r="D391" i="11"/>
  <c r="E390" i="11"/>
  <c r="D390" i="11"/>
  <c r="E389" i="11"/>
  <c r="D389" i="11"/>
  <c r="E388" i="11"/>
  <c r="D388" i="11"/>
  <c r="E387" i="11"/>
  <c r="D387" i="11"/>
  <c r="E386" i="11"/>
  <c r="D386" i="11"/>
  <c r="E385" i="11"/>
  <c r="D385" i="11"/>
  <c r="E384" i="11"/>
  <c r="D384" i="11"/>
  <c r="E383" i="11"/>
  <c r="D383" i="11"/>
  <c r="E382" i="11"/>
  <c r="D382" i="11"/>
  <c r="E381" i="11"/>
  <c r="D381" i="11"/>
  <c r="E380" i="11"/>
  <c r="D380" i="11"/>
  <c r="E379" i="11"/>
  <c r="D379" i="11"/>
  <c r="E378" i="11"/>
  <c r="D378" i="11"/>
  <c r="E377" i="11"/>
  <c r="D377" i="11"/>
  <c r="E376" i="11"/>
  <c r="D376" i="11"/>
  <c r="E375" i="11"/>
  <c r="D375" i="11"/>
  <c r="E374" i="11"/>
  <c r="D374" i="11"/>
  <c r="E373" i="11"/>
  <c r="D373" i="11"/>
  <c r="E372" i="11"/>
  <c r="D372" i="11"/>
  <c r="E371" i="11"/>
  <c r="D371" i="11"/>
  <c r="E370" i="11"/>
  <c r="D370" i="11"/>
  <c r="E369" i="11"/>
  <c r="D369" i="11"/>
  <c r="E368" i="11"/>
  <c r="D368" i="11"/>
  <c r="E367" i="11"/>
  <c r="D367" i="11"/>
  <c r="E366" i="11"/>
  <c r="D366" i="11"/>
  <c r="E365" i="11"/>
  <c r="D365" i="11"/>
  <c r="E364" i="11"/>
  <c r="D364" i="11"/>
  <c r="E363" i="11"/>
  <c r="D363" i="11"/>
  <c r="E362" i="11"/>
  <c r="D362" i="11"/>
  <c r="E361" i="11"/>
  <c r="D361" i="11"/>
  <c r="E360" i="11"/>
  <c r="D360" i="11"/>
  <c r="E359" i="11"/>
  <c r="D359" i="11"/>
  <c r="E358" i="11"/>
  <c r="D358" i="11"/>
  <c r="E357" i="11"/>
  <c r="D357" i="11"/>
  <c r="E356" i="11"/>
  <c r="D356" i="11"/>
  <c r="E355" i="11"/>
  <c r="D355" i="11"/>
  <c r="E354" i="11"/>
  <c r="D354" i="11"/>
  <c r="E353" i="11"/>
  <c r="D353" i="11"/>
  <c r="E352" i="11"/>
  <c r="D352" i="11"/>
  <c r="E351" i="11"/>
  <c r="D351" i="11"/>
  <c r="E350" i="11"/>
  <c r="D350" i="11"/>
  <c r="E349" i="11"/>
  <c r="D349" i="11"/>
  <c r="E348" i="11"/>
  <c r="D348" i="11"/>
  <c r="E347" i="11"/>
  <c r="D347" i="11"/>
  <c r="E346" i="11"/>
  <c r="D346" i="11"/>
  <c r="E345" i="11"/>
  <c r="D345" i="11"/>
  <c r="E344" i="11"/>
  <c r="D344" i="11"/>
  <c r="E343" i="11"/>
  <c r="D343" i="11"/>
  <c r="E342" i="11"/>
  <c r="D342" i="11"/>
  <c r="E341" i="11"/>
  <c r="D341" i="11"/>
  <c r="E340" i="11"/>
  <c r="D340" i="11"/>
  <c r="E339" i="11"/>
  <c r="D339" i="11"/>
  <c r="E338" i="11"/>
  <c r="D338" i="11"/>
  <c r="E337" i="11"/>
  <c r="D337" i="11"/>
  <c r="E336" i="11"/>
  <c r="D336" i="11"/>
  <c r="E335" i="11"/>
  <c r="D335" i="11"/>
  <c r="E334" i="11"/>
  <c r="D334" i="11"/>
  <c r="E333" i="11"/>
  <c r="D333" i="11"/>
  <c r="E332" i="11"/>
  <c r="D332" i="11"/>
  <c r="E331" i="11"/>
  <c r="D331" i="11"/>
  <c r="E330" i="11"/>
  <c r="D330" i="11"/>
  <c r="E329" i="11"/>
  <c r="D329" i="11"/>
  <c r="E328" i="11"/>
  <c r="D328" i="11"/>
  <c r="E327" i="11"/>
  <c r="D327" i="11"/>
  <c r="E326" i="11"/>
  <c r="D326" i="11"/>
  <c r="E325" i="11"/>
  <c r="D325" i="11"/>
  <c r="E324" i="11"/>
  <c r="D324" i="11"/>
  <c r="E323" i="11"/>
  <c r="D323" i="11"/>
  <c r="E322" i="11"/>
  <c r="D322" i="11"/>
  <c r="E321" i="11"/>
  <c r="D321" i="11"/>
  <c r="E320" i="11"/>
  <c r="D320" i="11"/>
  <c r="E319" i="11"/>
  <c r="D319" i="11"/>
  <c r="E318" i="11"/>
  <c r="D318" i="11"/>
  <c r="E317" i="11"/>
  <c r="D317" i="11"/>
  <c r="E316" i="11"/>
  <c r="D316" i="11"/>
  <c r="E315" i="11"/>
  <c r="D315" i="11"/>
  <c r="E314" i="11"/>
  <c r="D314" i="11"/>
  <c r="E313" i="11"/>
  <c r="D313" i="11"/>
  <c r="E312" i="11"/>
  <c r="D312" i="11"/>
  <c r="E311" i="11"/>
  <c r="D311" i="11"/>
  <c r="E310" i="11"/>
  <c r="D310" i="11"/>
  <c r="E309" i="11"/>
  <c r="D309" i="11"/>
  <c r="E308" i="11"/>
  <c r="D308" i="11"/>
  <c r="E307" i="11"/>
  <c r="D307" i="11"/>
  <c r="E306" i="11"/>
  <c r="D306" i="11"/>
  <c r="E305" i="11"/>
  <c r="D305" i="11"/>
  <c r="E304" i="11"/>
  <c r="D304" i="11"/>
  <c r="E303" i="11"/>
  <c r="D303" i="11"/>
  <c r="E302" i="11"/>
  <c r="D302" i="11"/>
  <c r="E301" i="11"/>
  <c r="D301" i="11"/>
  <c r="E300" i="11"/>
  <c r="D300" i="11"/>
  <c r="E299" i="11"/>
  <c r="D299" i="11"/>
  <c r="E298" i="11"/>
  <c r="D298" i="11"/>
  <c r="E297" i="11"/>
  <c r="D297" i="11"/>
  <c r="E296" i="11"/>
  <c r="D296" i="11"/>
  <c r="E295" i="11"/>
  <c r="D295" i="11"/>
  <c r="E294" i="11"/>
  <c r="D294" i="11"/>
  <c r="E293" i="11"/>
  <c r="D293" i="11"/>
  <c r="E292" i="11"/>
  <c r="D292" i="11"/>
  <c r="E291" i="11"/>
  <c r="D291" i="11"/>
  <c r="E290" i="11"/>
  <c r="D290" i="11"/>
  <c r="E289" i="11"/>
  <c r="D289" i="11"/>
  <c r="E288" i="11"/>
  <c r="D288" i="11"/>
  <c r="E287" i="11"/>
  <c r="D287" i="11"/>
  <c r="E286" i="11"/>
  <c r="D286" i="11"/>
  <c r="E285" i="11"/>
  <c r="D285" i="11"/>
  <c r="E284" i="11"/>
  <c r="D284" i="11"/>
  <c r="E283" i="11"/>
  <c r="D283" i="11"/>
  <c r="E282" i="11"/>
  <c r="D282" i="11"/>
  <c r="E281" i="11"/>
  <c r="D281" i="11"/>
  <c r="E280" i="11"/>
  <c r="D280" i="11"/>
  <c r="E279" i="11"/>
  <c r="D279" i="11"/>
  <c r="E278" i="11"/>
  <c r="D278" i="11"/>
  <c r="E277" i="11"/>
  <c r="D277" i="11"/>
  <c r="E276" i="11"/>
  <c r="D276" i="11"/>
  <c r="E275" i="11"/>
  <c r="D275" i="11"/>
  <c r="E274" i="11"/>
  <c r="D274" i="11"/>
  <c r="E273" i="11"/>
  <c r="D273" i="11"/>
  <c r="E272" i="11"/>
  <c r="D272" i="11"/>
  <c r="E271" i="11"/>
  <c r="D271" i="11"/>
  <c r="E270" i="11"/>
  <c r="D270" i="11"/>
  <c r="E269" i="11"/>
  <c r="D269" i="11"/>
  <c r="E268" i="11"/>
  <c r="D268" i="11"/>
  <c r="E267" i="11"/>
  <c r="D267" i="11"/>
  <c r="E266" i="11"/>
  <c r="D266" i="11"/>
  <c r="E265" i="11"/>
  <c r="D265" i="11"/>
  <c r="E264" i="11"/>
  <c r="D264" i="11"/>
  <c r="E263" i="11"/>
  <c r="D263" i="11"/>
  <c r="E262" i="11"/>
  <c r="D262" i="11"/>
  <c r="E261" i="11"/>
  <c r="D261" i="11"/>
  <c r="E260" i="11"/>
  <c r="D260" i="11"/>
  <c r="E259" i="11"/>
  <c r="D259" i="11"/>
  <c r="E258" i="11"/>
  <c r="D258" i="11"/>
  <c r="E257" i="11"/>
  <c r="D257" i="11"/>
  <c r="E256" i="11"/>
  <c r="D256" i="11"/>
  <c r="E255" i="11"/>
  <c r="D255" i="11"/>
  <c r="E254" i="11"/>
  <c r="D254" i="11"/>
  <c r="E253" i="11"/>
  <c r="D253" i="11"/>
  <c r="E252" i="11"/>
  <c r="D252" i="11"/>
  <c r="E251" i="11"/>
  <c r="D251" i="11"/>
  <c r="E250" i="11"/>
  <c r="D250" i="11"/>
  <c r="E249" i="11"/>
  <c r="D249" i="11"/>
  <c r="E248" i="11"/>
  <c r="D248" i="11"/>
  <c r="E247" i="11"/>
  <c r="D247" i="11"/>
  <c r="E246" i="11"/>
  <c r="D246" i="11"/>
  <c r="E245" i="11"/>
  <c r="D245" i="11"/>
  <c r="E244" i="11"/>
  <c r="D244" i="11"/>
  <c r="E243" i="11"/>
  <c r="D243" i="11"/>
  <c r="E242" i="11"/>
  <c r="D242" i="11"/>
  <c r="E241" i="11"/>
  <c r="D241" i="11"/>
  <c r="E240" i="11"/>
  <c r="D240" i="11"/>
  <c r="E239" i="11"/>
  <c r="D239" i="11"/>
  <c r="E238" i="11"/>
  <c r="D238" i="11"/>
  <c r="E237" i="11"/>
  <c r="D237" i="11"/>
  <c r="E236" i="11"/>
  <c r="D236" i="11"/>
  <c r="E235" i="11"/>
  <c r="D235" i="11"/>
  <c r="E234" i="11"/>
  <c r="D234" i="11"/>
  <c r="E233" i="11"/>
  <c r="D233" i="11"/>
  <c r="E232" i="11"/>
  <c r="D232" i="11"/>
  <c r="E231" i="11"/>
  <c r="D231" i="11"/>
  <c r="E230" i="11"/>
  <c r="D230" i="11"/>
  <c r="E229" i="11"/>
  <c r="D229" i="11"/>
  <c r="E228" i="11"/>
  <c r="D228" i="11"/>
  <c r="E227" i="11"/>
  <c r="D227" i="11"/>
  <c r="E226" i="11"/>
  <c r="D226" i="11"/>
  <c r="E225" i="11"/>
  <c r="D225" i="11"/>
  <c r="E224" i="11"/>
  <c r="D224" i="11"/>
  <c r="E223" i="11"/>
  <c r="D223" i="11"/>
  <c r="E222" i="11"/>
  <c r="D222" i="11"/>
  <c r="E221" i="11"/>
  <c r="D221" i="11"/>
  <c r="E220" i="11"/>
  <c r="D220" i="11"/>
  <c r="E219" i="11"/>
  <c r="D219" i="11"/>
  <c r="E218" i="11"/>
  <c r="D218" i="11"/>
  <c r="E217" i="11"/>
  <c r="D217" i="11"/>
  <c r="E216" i="11"/>
  <c r="D216" i="11"/>
  <c r="E215" i="11"/>
  <c r="D215" i="11"/>
  <c r="E214" i="11"/>
  <c r="D214" i="11"/>
  <c r="E213" i="11"/>
  <c r="D213" i="11"/>
  <c r="E212" i="11"/>
  <c r="D212" i="11"/>
  <c r="E211" i="11"/>
  <c r="D211" i="11"/>
  <c r="E210" i="11"/>
  <c r="D210" i="11"/>
  <c r="E209" i="11"/>
  <c r="D209" i="11"/>
  <c r="E208" i="11"/>
  <c r="D208" i="11"/>
  <c r="E207" i="11"/>
  <c r="D207" i="11"/>
  <c r="E206" i="11"/>
  <c r="D206" i="11"/>
  <c r="E205" i="11"/>
  <c r="D205" i="11"/>
  <c r="E204" i="11"/>
  <c r="D204" i="11"/>
  <c r="E203" i="11"/>
  <c r="D203" i="11"/>
  <c r="E202" i="11"/>
  <c r="D202" i="11"/>
  <c r="E201" i="11"/>
  <c r="D201" i="11"/>
  <c r="E200" i="11"/>
  <c r="D200" i="11"/>
  <c r="E199" i="11"/>
  <c r="D199" i="11"/>
  <c r="E198" i="11"/>
  <c r="D198" i="11"/>
  <c r="E197" i="11"/>
  <c r="D197" i="11"/>
  <c r="E196" i="11"/>
  <c r="D196" i="11"/>
  <c r="E195" i="11"/>
  <c r="D195" i="11"/>
  <c r="E194" i="11"/>
  <c r="D194" i="11"/>
  <c r="E193" i="11"/>
  <c r="D193" i="11"/>
  <c r="E192" i="11"/>
  <c r="D192" i="11"/>
  <c r="E191" i="11"/>
  <c r="D191" i="11"/>
  <c r="E190" i="11"/>
  <c r="D190" i="11"/>
  <c r="E189" i="11"/>
  <c r="D189" i="11"/>
  <c r="E188" i="11"/>
  <c r="D188" i="11"/>
  <c r="E187" i="11"/>
  <c r="D187" i="11"/>
  <c r="E186" i="11"/>
  <c r="D186" i="11"/>
  <c r="E185" i="11"/>
  <c r="D185" i="11"/>
  <c r="E184" i="11"/>
  <c r="D184" i="11"/>
  <c r="E183" i="11"/>
  <c r="D183" i="11"/>
  <c r="E182" i="11"/>
  <c r="D182" i="11"/>
  <c r="E181" i="11"/>
  <c r="D181" i="11"/>
  <c r="E180" i="11"/>
  <c r="D180" i="11"/>
  <c r="E179" i="11"/>
  <c r="D179" i="11"/>
  <c r="E178" i="11"/>
  <c r="D178" i="11"/>
  <c r="E177" i="11"/>
  <c r="D177" i="11"/>
  <c r="E176" i="11"/>
  <c r="D176" i="11"/>
  <c r="E175" i="11"/>
  <c r="D175" i="11"/>
  <c r="E174" i="11"/>
  <c r="D174" i="11"/>
  <c r="E173" i="11"/>
  <c r="D173" i="11"/>
  <c r="E172" i="11"/>
  <c r="D172" i="11"/>
  <c r="E171" i="11"/>
  <c r="D171" i="11"/>
  <c r="E170" i="11"/>
  <c r="D170" i="11"/>
  <c r="E169" i="11"/>
  <c r="D169" i="11"/>
  <c r="E168" i="11"/>
  <c r="D168" i="11"/>
  <c r="E167" i="11"/>
  <c r="D167" i="11"/>
  <c r="E166" i="11"/>
  <c r="D166" i="11"/>
  <c r="E165" i="11"/>
  <c r="D165" i="11"/>
  <c r="E164" i="11"/>
  <c r="D164" i="11"/>
  <c r="E163" i="11"/>
  <c r="D163" i="11"/>
  <c r="E162" i="11"/>
  <c r="D162" i="11"/>
  <c r="E161" i="11"/>
  <c r="D161" i="11"/>
  <c r="E160" i="11"/>
  <c r="D160" i="11"/>
  <c r="E159" i="11"/>
  <c r="D159" i="11"/>
  <c r="E158" i="11"/>
  <c r="D158" i="11"/>
  <c r="E157" i="11"/>
  <c r="D157" i="11"/>
  <c r="E156" i="11"/>
  <c r="D156" i="11"/>
  <c r="E155" i="11"/>
  <c r="D155" i="11"/>
  <c r="E154" i="11"/>
  <c r="D154" i="11"/>
  <c r="E153" i="11"/>
  <c r="D153" i="11"/>
  <c r="E152" i="11"/>
  <c r="D152" i="11"/>
  <c r="E151" i="11"/>
  <c r="D151" i="11"/>
  <c r="E150" i="11"/>
  <c r="D150" i="11"/>
  <c r="E149" i="11"/>
  <c r="D149" i="11"/>
  <c r="E148" i="11"/>
  <c r="D148" i="11"/>
  <c r="E147" i="11"/>
  <c r="D147" i="11"/>
  <c r="E146" i="11"/>
  <c r="D146" i="11"/>
  <c r="E145" i="11"/>
  <c r="D145" i="11"/>
  <c r="E144" i="11"/>
  <c r="D144" i="11"/>
  <c r="E143" i="11"/>
  <c r="D143" i="11"/>
  <c r="E142" i="11"/>
  <c r="D142" i="11"/>
  <c r="E141" i="11"/>
  <c r="D141" i="11"/>
  <c r="E140" i="11"/>
  <c r="D140" i="11"/>
  <c r="E139" i="11"/>
  <c r="D139" i="11"/>
  <c r="E138" i="11"/>
  <c r="D138" i="11"/>
  <c r="E137" i="11"/>
  <c r="D137" i="11"/>
  <c r="E136" i="11"/>
  <c r="D136" i="11"/>
  <c r="E135" i="11"/>
  <c r="D135" i="11"/>
  <c r="E134" i="11"/>
  <c r="D134" i="11"/>
  <c r="E133" i="11"/>
  <c r="D133" i="11"/>
  <c r="E132" i="11"/>
  <c r="D132" i="11"/>
  <c r="E131" i="11"/>
  <c r="D131" i="11"/>
  <c r="E130" i="11"/>
  <c r="D130" i="11"/>
  <c r="E129" i="11"/>
  <c r="D129" i="11"/>
  <c r="E128" i="11"/>
  <c r="D128" i="11"/>
  <c r="E127" i="11"/>
  <c r="D127" i="11"/>
  <c r="E126" i="11"/>
  <c r="D126" i="11"/>
  <c r="E125" i="11"/>
  <c r="D125" i="11"/>
  <c r="E124" i="11"/>
  <c r="D124" i="11"/>
  <c r="E123" i="11"/>
  <c r="D123" i="11"/>
  <c r="E122" i="11"/>
  <c r="D122" i="11"/>
  <c r="E121" i="11"/>
  <c r="D121" i="11"/>
  <c r="E120" i="11"/>
  <c r="D120" i="11"/>
  <c r="E119" i="11"/>
  <c r="D119" i="11"/>
  <c r="E118" i="11"/>
  <c r="D118" i="11"/>
  <c r="E117" i="11"/>
  <c r="D117" i="11"/>
  <c r="E116" i="11"/>
  <c r="D116" i="11"/>
  <c r="E115" i="11"/>
  <c r="D115" i="11"/>
  <c r="E114" i="11"/>
  <c r="D114" i="11"/>
  <c r="E113" i="11"/>
  <c r="D113" i="11"/>
  <c r="E112" i="11"/>
  <c r="D112" i="11"/>
  <c r="E111" i="11"/>
  <c r="D111" i="11"/>
  <c r="E110" i="11"/>
  <c r="D110" i="11"/>
  <c r="E109" i="11"/>
  <c r="D109" i="11"/>
  <c r="E108" i="11"/>
  <c r="D108" i="11"/>
  <c r="E107" i="11"/>
  <c r="D107" i="11"/>
  <c r="E106" i="11"/>
  <c r="D106" i="11"/>
  <c r="E105" i="11"/>
  <c r="D105" i="11"/>
  <c r="E104" i="11"/>
  <c r="D104" i="11"/>
  <c r="E103" i="11"/>
  <c r="D103" i="11"/>
  <c r="E102" i="11"/>
  <c r="D102" i="11"/>
  <c r="E101" i="11"/>
  <c r="D101" i="11"/>
  <c r="E100" i="11"/>
  <c r="D100" i="11"/>
  <c r="E99" i="11"/>
  <c r="D99" i="11"/>
  <c r="E98" i="11"/>
  <c r="D98" i="11"/>
  <c r="E97" i="11"/>
  <c r="D97" i="11"/>
  <c r="E96" i="11"/>
  <c r="D96" i="11"/>
  <c r="E95" i="11"/>
  <c r="D95" i="11"/>
  <c r="E94" i="11"/>
  <c r="D94" i="11"/>
  <c r="E93" i="11"/>
  <c r="D93" i="11"/>
  <c r="E92" i="11"/>
  <c r="D92" i="11"/>
  <c r="E91" i="11"/>
  <c r="D91" i="11"/>
  <c r="E90" i="11"/>
  <c r="D90" i="11"/>
  <c r="E89" i="11"/>
  <c r="D89" i="11"/>
  <c r="E88" i="11"/>
  <c r="D88" i="11"/>
  <c r="E87" i="11"/>
  <c r="D87" i="11"/>
  <c r="E86" i="11"/>
  <c r="D86" i="11"/>
  <c r="E85" i="11"/>
  <c r="D85" i="11"/>
  <c r="E84" i="11"/>
  <c r="D84" i="11"/>
  <c r="E83" i="11"/>
  <c r="D83" i="11"/>
  <c r="E82" i="11"/>
  <c r="D82" i="11"/>
  <c r="E81" i="11"/>
  <c r="D81" i="11"/>
  <c r="E80" i="11"/>
  <c r="D80" i="11"/>
  <c r="E79" i="11"/>
  <c r="D79" i="11"/>
  <c r="E78" i="11"/>
  <c r="D78" i="11"/>
  <c r="E77" i="11"/>
  <c r="D77" i="11"/>
  <c r="E76" i="11"/>
  <c r="D76" i="11"/>
  <c r="E75" i="11"/>
  <c r="D75" i="11"/>
  <c r="E74" i="11"/>
  <c r="D74" i="11"/>
  <c r="E73" i="11"/>
  <c r="D73" i="11"/>
  <c r="E72" i="11"/>
  <c r="D72" i="11"/>
  <c r="E71" i="11"/>
  <c r="D71" i="11"/>
  <c r="E70" i="11"/>
  <c r="D70" i="11"/>
  <c r="E69" i="11"/>
  <c r="D69" i="11"/>
  <c r="E68" i="11"/>
  <c r="D68" i="11"/>
  <c r="E67" i="11"/>
  <c r="D67" i="11"/>
  <c r="E66" i="11"/>
  <c r="D66" i="11"/>
  <c r="E65" i="11"/>
  <c r="D65" i="11"/>
  <c r="E64" i="11"/>
  <c r="D64" i="11"/>
  <c r="E63" i="11"/>
  <c r="D63" i="11"/>
  <c r="E62" i="11"/>
  <c r="D62" i="11"/>
  <c r="E61" i="11"/>
  <c r="D61" i="11"/>
  <c r="E60" i="11"/>
  <c r="D60" i="11"/>
  <c r="E59" i="11"/>
  <c r="D59" i="11"/>
  <c r="E58" i="11"/>
  <c r="D58" i="11"/>
  <c r="E57" i="11"/>
  <c r="D57" i="11"/>
  <c r="E56" i="11"/>
  <c r="D56" i="11"/>
  <c r="E55" i="11"/>
  <c r="D55" i="11"/>
  <c r="E54" i="11"/>
  <c r="D54" i="11"/>
  <c r="E53" i="11"/>
  <c r="D53" i="11"/>
  <c r="E52" i="11"/>
  <c r="D52" i="11"/>
  <c r="E51" i="11"/>
  <c r="D51" i="11"/>
  <c r="E50" i="11"/>
  <c r="D50" i="11"/>
  <c r="E49" i="11"/>
  <c r="D49" i="11"/>
  <c r="E48" i="11"/>
  <c r="D48" i="11"/>
  <c r="E47" i="11"/>
  <c r="D47" i="11"/>
  <c r="E46" i="11"/>
  <c r="D46" i="11"/>
  <c r="E45" i="11"/>
  <c r="D45" i="11"/>
  <c r="E44" i="11"/>
  <c r="D44" i="11"/>
  <c r="E43" i="11"/>
  <c r="D43" i="11"/>
  <c r="E42" i="11"/>
  <c r="D42" i="11"/>
  <c r="E41" i="11"/>
  <c r="D41" i="11"/>
  <c r="E40" i="11"/>
  <c r="D40" i="11"/>
  <c r="E39" i="11"/>
  <c r="D39" i="11"/>
  <c r="E38" i="11"/>
  <c r="D38" i="11"/>
  <c r="E37" i="11"/>
  <c r="D37" i="11"/>
  <c r="E36" i="11"/>
  <c r="D36" i="11"/>
  <c r="E35" i="11"/>
  <c r="D35" i="11"/>
  <c r="E34" i="11"/>
  <c r="D34" i="11"/>
  <c r="E33" i="11"/>
  <c r="D33" i="11"/>
  <c r="E32" i="11"/>
  <c r="D32" i="11"/>
  <c r="E31" i="11"/>
  <c r="D31" i="11"/>
  <c r="E30" i="11"/>
  <c r="D30" i="11"/>
  <c r="E29" i="11"/>
  <c r="D29" i="11"/>
  <c r="E28" i="11"/>
  <c r="D28" i="11"/>
  <c r="E27" i="11"/>
  <c r="D27" i="11"/>
  <c r="E26" i="11"/>
  <c r="D26" i="11"/>
  <c r="E25" i="11"/>
  <c r="D25" i="11"/>
  <c r="E24" i="11"/>
  <c r="D24" i="11"/>
  <c r="E23" i="11"/>
  <c r="D23" i="11"/>
  <c r="E22" i="11"/>
  <c r="D22" i="11"/>
  <c r="E21" i="11"/>
  <c r="D21" i="11"/>
  <c r="E20" i="11"/>
  <c r="D20" i="11"/>
  <c r="E19" i="11"/>
  <c r="D19" i="11"/>
  <c r="E18" i="11"/>
  <c r="D18" i="11"/>
  <c r="E17" i="11"/>
  <c r="D17" i="11"/>
  <c r="E16" i="11"/>
  <c r="D16" i="11"/>
  <c r="E15" i="11"/>
  <c r="D15" i="11"/>
  <c r="E14" i="11"/>
  <c r="D14" i="11"/>
  <c r="E13" i="11"/>
  <c r="D13" i="11"/>
  <c r="E12" i="11"/>
  <c r="D12" i="11"/>
  <c r="E11" i="11"/>
  <c r="D11" i="11"/>
  <c r="E10" i="11"/>
  <c r="D10" i="11"/>
  <c r="E9" i="11"/>
  <c r="D9" i="11"/>
  <c r="E8" i="11"/>
  <c r="D8" i="11"/>
  <c r="E7" i="11"/>
  <c r="D7" i="11"/>
  <c r="E6" i="11"/>
  <c r="D6" i="11"/>
  <c r="E5" i="11"/>
  <c r="D5" i="11"/>
  <c r="E4" i="11"/>
  <c r="D4" i="11"/>
  <c r="E3" i="11"/>
  <c r="D3" i="11"/>
  <c r="E2" i="11"/>
  <c r="D2" i="11"/>
  <c r="E17719" i="10"/>
  <c r="D17719" i="10"/>
  <c r="E17718" i="10"/>
  <c r="D17718" i="10"/>
  <c r="E17717" i="10"/>
  <c r="D17717" i="10"/>
  <c r="E17716" i="10"/>
  <c r="D17716" i="10"/>
  <c r="E17715" i="10"/>
  <c r="D17715" i="10"/>
  <c r="E17714" i="10"/>
  <c r="D17714" i="10"/>
  <c r="E17713" i="10"/>
  <c r="D17713" i="10"/>
  <c r="E17712" i="10"/>
  <c r="D17712" i="10"/>
  <c r="E17711" i="10"/>
  <c r="D17711" i="10"/>
  <c r="E17710" i="10"/>
  <c r="D17710" i="10"/>
  <c r="E17709" i="10"/>
  <c r="D17709" i="10"/>
  <c r="E17708" i="10"/>
  <c r="D17708" i="10"/>
  <c r="E17707" i="10"/>
  <c r="D17707" i="10"/>
  <c r="E17706" i="10"/>
  <c r="D17706" i="10"/>
  <c r="E17705" i="10"/>
  <c r="D17705" i="10"/>
  <c r="E17704" i="10"/>
  <c r="D17704" i="10"/>
  <c r="E17703" i="10"/>
  <c r="D17703" i="10"/>
  <c r="E17702" i="10"/>
  <c r="D17702" i="10"/>
  <c r="E17701" i="10"/>
  <c r="D17701" i="10"/>
  <c r="E17700" i="10"/>
  <c r="D17700" i="10"/>
  <c r="E17699" i="10"/>
  <c r="D17699" i="10"/>
  <c r="E17698" i="10"/>
  <c r="D17698" i="10"/>
  <c r="E17697" i="10"/>
  <c r="D17697" i="10"/>
  <c r="E17696" i="10"/>
  <c r="D17696" i="10"/>
  <c r="E17695" i="10"/>
  <c r="D17695" i="10"/>
  <c r="E17694" i="10"/>
  <c r="D17694" i="10"/>
  <c r="E17693" i="10"/>
  <c r="D17693" i="10"/>
  <c r="E17692" i="10"/>
  <c r="D17692" i="10"/>
  <c r="E17691" i="10"/>
  <c r="D17691" i="10"/>
  <c r="E17690" i="10"/>
  <c r="D17690" i="10"/>
  <c r="E17689" i="10"/>
  <c r="D17689" i="10"/>
  <c r="E17688" i="10"/>
  <c r="D17688" i="10"/>
  <c r="E17687" i="10"/>
  <c r="D17687" i="10"/>
  <c r="E17686" i="10"/>
  <c r="D17686" i="10"/>
  <c r="E17685" i="10"/>
  <c r="D17685" i="10"/>
  <c r="E17684" i="10"/>
  <c r="D17684" i="10"/>
  <c r="E17683" i="10"/>
  <c r="D17683" i="10"/>
  <c r="E17682" i="10"/>
  <c r="D17682" i="10"/>
  <c r="E17681" i="10"/>
  <c r="D17681" i="10"/>
  <c r="E17680" i="10"/>
  <c r="D17680" i="10"/>
  <c r="E17679" i="10"/>
  <c r="D17679" i="10"/>
  <c r="E17678" i="10"/>
  <c r="D17678" i="10"/>
  <c r="E17677" i="10"/>
  <c r="D17677" i="10"/>
  <c r="E17676" i="10"/>
  <c r="D17676" i="10"/>
  <c r="E17675" i="10"/>
  <c r="D17675" i="10"/>
  <c r="E17674" i="10"/>
  <c r="D17674" i="10"/>
  <c r="E17673" i="10"/>
  <c r="D17673" i="10"/>
  <c r="E17672" i="10"/>
  <c r="D17672" i="10"/>
  <c r="E17671" i="10"/>
  <c r="D17671" i="10"/>
  <c r="E17670" i="10"/>
  <c r="D17670" i="10"/>
  <c r="E17669" i="10"/>
  <c r="D17669" i="10"/>
  <c r="E17668" i="10"/>
  <c r="D17668" i="10"/>
  <c r="E17667" i="10"/>
  <c r="D17667" i="10"/>
  <c r="E17666" i="10"/>
  <c r="D17666" i="10"/>
  <c r="E17665" i="10"/>
  <c r="D17665" i="10"/>
  <c r="E17664" i="10"/>
  <c r="D17664" i="10"/>
  <c r="E17663" i="10"/>
  <c r="D17663" i="10"/>
  <c r="E17662" i="10"/>
  <c r="D17662" i="10"/>
  <c r="E17661" i="10"/>
  <c r="D17661" i="10"/>
  <c r="E17660" i="10"/>
  <c r="D17660" i="10"/>
  <c r="E17659" i="10"/>
  <c r="D17659" i="10"/>
  <c r="E17658" i="10"/>
  <c r="D17658" i="10"/>
  <c r="E17657" i="10"/>
  <c r="D17657" i="10"/>
  <c r="E17656" i="10"/>
  <c r="D17656" i="10"/>
  <c r="E17655" i="10"/>
  <c r="D17655" i="10"/>
  <c r="E17654" i="10"/>
  <c r="D17654" i="10"/>
  <c r="E17653" i="10"/>
  <c r="D17653" i="10"/>
  <c r="E17652" i="10"/>
  <c r="D17652" i="10"/>
  <c r="E17651" i="10"/>
  <c r="D17651" i="10"/>
  <c r="E17650" i="10"/>
  <c r="D17650" i="10"/>
  <c r="E17649" i="10"/>
  <c r="D17649" i="10"/>
  <c r="E17648" i="10"/>
  <c r="D17648" i="10"/>
  <c r="E17647" i="10"/>
  <c r="D17647" i="10"/>
  <c r="E17646" i="10"/>
  <c r="D17646" i="10"/>
  <c r="E17645" i="10"/>
  <c r="D17645" i="10"/>
  <c r="E17644" i="10"/>
  <c r="D17644" i="10"/>
  <c r="E17643" i="10"/>
  <c r="D17643" i="10"/>
  <c r="E17642" i="10"/>
  <c r="D17642" i="10"/>
  <c r="E17641" i="10"/>
  <c r="D17641" i="10"/>
  <c r="E17640" i="10"/>
  <c r="D17640" i="10"/>
  <c r="E17639" i="10"/>
  <c r="D17639" i="10"/>
  <c r="E17638" i="10"/>
  <c r="D17638" i="10"/>
  <c r="E17637" i="10"/>
  <c r="D17637" i="10"/>
  <c r="E17636" i="10"/>
  <c r="D17636" i="10"/>
  <c r="E17635" i="10"/>
  <c r="D17635" i="10"/>
  <c r="E17634" i="10"/>
  <c r="D17634" i="10"/>
  <c r="E17633" i="10"/>
  <c r="D17633" i="10"/>
  <c r="E17632" i="10"/>
  <c r="D17632" i="10"/>
  <c r="E17631" i="10"/>
  <c r="D17631" i="10"/>
  <c r="E17630" i="10"/>
  <c r="D17630" i="10"/>
  <c r="E17629" i="10"/>
  <c r="D17629" i="10"/>
  <c r="E17628" i="10"/>
  <c r="D17628" i="10"/>
  <c r="E17627" i="10"/>
  <c r="D17627" i="10"/>
  <c r="E17626" i="10"/>
  <c r="D17626" i="10"/>
  <c r="E17625" i="10"/>
  <c r="D17625" i="10"/>
  <c r="E17624" i="10"/>
  <c r="D17624" i="10"/>
  <c r="E17623" i="10"/>
  <c r="D17623" i="10"/>
  <c r="E17622" i="10"/>
  <c r="D17622" i="10"/>
  <c r="E17621" i="10"/>
  <c r="D17621" i="10"/>
  <c r="E17620" i="10"/>
  <c r="D17620" i="10"/>
  <c r="E17619" i="10"/>
  <c r="D17619" i="10"/>
  <c r="E17618" i="10"/>
  <c r="D17618" i="10"/>
  <c r="E17617" i="10"/>
  <c r="D17617" i="10"/>
  <c r="E17616" i="10"/>
  <c r="D17616" i="10"/>
  <c r="E17615" i="10"/>
  <c r="D17615" i="10"/>
  <c r="E17614" i="10"/>
  <c r="D17614" i="10"/>
  <c r="E17613" i="10"/>
  <c r="D17613" i="10"/>
  <c r="E17612" i="10"/>
  <c r="D17612" i="10"/>
  <c r="E17611" i="10"/>
  <c r="D17611" i="10"/>
  <c r="E17610" i="10"/>
  <c r="D17610" i="10"/>
  <c r="E17609" i="10"/>
  <c r="D17609" i="10"/>
  <c r="E17608" i="10"/>
  <c r="D17608" i="10"/>
  <c r="E17607" i="10"/>
  <c r="D17607" i="10"/>
  <c r="E17606" i="10"/>
  <c r="D17606" i="10"/>
  <c r="E17605" i="10"/>
  <c r="D17605" i="10"/>
  <c r="E17604" i="10"/>
  <c r="D17604" i="10"/>
  <c r="E17603" i="10"/>
  <c r="D17603" i="10"/>
  <c r="E17602" i="10"/>
  <c r="D17602" i="10"/>
  <c r="E17601" i="10"/>
  <c r="D17601" i="10"/>
  <c r="E17600" i="10"/>
  <c r="D17600" i="10"/>
  <c r="E17599" i="10"/>
  <c r="D17599" i="10"/>
  <c r="E17598" i="10"/>
  <c r="D17598" i="10"/>
  <c r="E17597" i="10"/>
  <c r="D17597" i="10"/>
  <c r="E17596" i="10"/>
  <c r="D17596" i="10"/>
  <c r="E17595" i="10"/>
  <c r="D17595" i="10"/>
  <c r="E17594" i="10"/>
  <c r="D17594" i="10"/>
  <c r="E17593" i="10"/>
  <c r="D17593" i="10"/>
  <c r="E17592" i="10"/>
  <c r="D17592" i="10"/>
  <c r="E17591" i="10"/>
  <c r="D17591" i="10"/>
  <c r="E17590" i="10"/>
  <c r="D17590" i="10"/>
  <c r="E17589" i="10"/>
  <c r="D17589" i="10"/>
  <c r="E17588" i="10"/>
  <c r="D17588" i="10"/>
  <c r="E17587" i="10"/>
  <c r="D17587" i="10"/>
  <c r="E17586" i="10"/>
  <c r="D17586" i="10"/>
  <c r="E17585" i="10"/>
  <c r="D17585" i="10"/>
  <c r="E17584" i="10"/>
  <c r="D17584" i="10"/>
  <c r="E17583" i="10"/>
  <c r="D17583" i="10"/>
  <c r="E17582" i="10"/>
  <c r="D17582" i="10"/>
  <c r="E17581" i="10"/>
  <c r="D17581" i="10"/>
  <c r="E17580" i="10"/>
  <c r="D17580" i="10"/>
  <c r="E17579" i="10"/>
  <c r="D17579" i="10"/>
  <c r="E17578" i="10"/>
  <c r="D17578" i="10"/>
  <c r="E17577" i="10"/>
  <c r="D17577" i="10"/>
  <c r="E17576" i="10"/>
  <c r="D17576" i="10"/>
  <c r="E17575" i="10"/>
  <c r="D17575" i="10"/>
  <c r="E17574" i="10"/>
  <c r="D17574" i="10"/>
  <c r="E17573" i="10"/>
  <c r="D17573" i="10"/>
  <c r="E17572" i="10"/>
  <c r="D17572" i="10"/>
  <c r="E17571" i="10"/>
  <c r="D17571" i="10"/>
  <c r="E17570" i="10"/>
  <c r="D17570" i="10"/>
  <c r="E17569" i="10"/>
  <c r="D17569" i="10"/>
  <c r="E17568" i="10"/>
  <c r="D17568" i="10"/>
  <c r="E17567" i="10"/>
  <c r="D17567" i="10"/>
  <c r="E17566" i="10"/>
  <c r="D17566" i="10"/>
  <c r="E17565" i="10"/>
  <c r="D17565" i="10"/>
  <c r="E17564" i="10"/>
  <c r="D17564" i="10"/>
  <c r="E17563" i="10"/>
  <c r="D17563" i="10"/>
  <c r="E17562" i="10"/>
  <c r="D17562" i="10"/>
  <c r="E17561" i="10"/>
  <c r="D17561" i="10"/>
  <c r="E17560" i="10"/>
  <c r="D17560" i="10"/>
  <c r="E17559" i="10"/>
  <c r="D17559" i="10"/>
  <c r="E17558" i="10"/>
  <c r="D17558" i="10"/>
  <c r="E17557" i="10"/>
  <c r="D17557" i="10"/>
  <c r="E17556" i="10"/>
  <c r="D17556" i="10"/>
  <c r="E17555" i="10"/>
  <c r="D17555" i="10"/>
  <c r="E17554" i="10"/>
  <c r="D17554" i="10"/>
  <c r="E17553" i="10"/>
  <c r="D17553" i="10"/>
  <c r="E17552" i="10"/>
  <c r="D17552" i="10"/>
  <c r="E17551" i="10"/>
  <c r="D17551" i="10"/>
  <c r="E17550" i="10"/>
  <c r="D17550" i="10"/>
  <c r="E17549" i="10"/>
  <c r="D17549" i="10"/>
  <c r="E17548" i="10"/>
  <c r="D17548" i="10"/>
  <c r="E17547" i="10"/>
  <c r="D17547" i="10"/>
  <c r="E17546" i="10"/>
  <c r="D17546" i="10"/>
  <c r="E17545" i="10"/>
  <c r="D17545" i="10"/>
  <c r="E17544" i="10"/>
  <c r="D17544" i="10"/>
  <c r="E17543" i="10"/>
  <c r="D17543" i="10"/>
  <c r="E17542" i="10"/>
  <c r="D17542" i="10"/>
  <c r="E17541" i="10"/>
  <c r="D17541" i="10"/>
  <c r="E17540" i="10"/>
  <c r="D17540" i="10"/>
  <c r="E17539" i="10"/>
  <c r="D17539" i="10"/>
  <c r="E17538" i="10"/>
  <c r="D17538" i="10"/>
  <c r="E17537" i="10"/>
  <c r="D17537" i="10"/>
  <c r="E17536" i="10"/>
  <c r="D17536" i="10"/>
  <c r="E17535" i="10"/>
  <c r="D17535" i="10"/>
  <c r="E17534" i="10"/>
  <c r="D17534" i="10"/>
  <c r="E17533" i="10"/>
  <c r="D17533" i="10"/>
  <c r="E17532" i="10"/>
  <c r="D17532" i="10"/>
  <c r="E17531" i="10"/>
  <c r="D17531" i="10"/>
  <c r="E17530" i="10"/>
  <c r="D17530" i="10"/>
  <c r="E17529" i="10"/>
  <c r="D17529" i="10"/>
  <c r="E17528" i="10"/>
  <c r="D17528" i="10"/>
  <c r="E17527" i="10"/>
  <c r="D17527" i="10"/>
  <c r="E17526" i="10"/>
  <c r="D17526" i="10"/>
  <c r="E17525" i="10"/>
  <c r="D17525" i="10"/>
  <c r="E17524" i="10"/>
  <c r="D17524" i="10"/>
  <c r="E17523" i="10"/>
  <c r="D17523" i="10"/>
  <c r="E17522" i="10"/>
  <c r="D17522" i="10"/>
  <c r="E17521" i="10"/>
  <c r="D17521" i="10"/>
  <c r="E17520" i="10"/>
  <c r="D17520" i="10"/>
  <c r="E17519" i="10"/>
  <c r="D17519" i="10"/>
  <c r="E17518" i="10"/>
  <c r="D17518" i="10"/>
  <c r="E17517" i="10"/>
  <c r="D17517" i="10"/>
  <c r="E17516" i="10"/>
  <c r="D17516" i="10"/>
  <c r="E17515" i="10"/>
  <c r="D17515" i="10"/>
  <c r="E17514" i="10"/>
  <c r="D17514" i="10"/>
  <c r="E17513" i="10"/>
  <c r="D17513" i="10"/>
  <c r="E17512" i="10"/>
  <c r="D17512" i="10"/>
  <c r="E17511" i="10"/>
  <c r="D17511" i="10"/>
  <c r="E17510" i="10"/>
  <c r="D17510" i="10"/>
  <c r="E17509" i="10"/>
  <c r="D17509" i="10"/>
  <c r="E17508" i="10"/>
  <c r="D17508" i="10"/>
  <c r="E17507" i="10"/>
  <c r="D17507" i="10"/>
  <c r="E17506" i="10"/>
  <c r="D17506" i="10"/>
  <c r="E17505" i="10"/>
  <c r="D17505" i="10"/>
  <c r="E17504" i="10"/>
  <c r="D17504" i="10"/>
  <c r="E17503" i="10"/>
  <c r="D17503" i="10"/>
  <c r="E17502" i="10"/>
  <c r="D17502" i="10"/>
  <c r="E17501" i="10"/>
  <c r="D17501" i="10"/>
  <c r="E17500" i="10"/>
  <c r="D17500" i="10"/>
  <c r="E17499" i="10"/>
  <c r="D17499" i="10"/>
  <c r="E17498" i="10"/>
  <c r="D17498" i="10"/>
  <c r="E17497" i="10"/>
  <c r="D17497" i="10"/>
  <c r="E17496" i="10"/>
  <c r="D17496" i="10"/>
  <c r="E17495" i="10"/>
  <c r="D17495" i="10"/>
  <c r="E17494" i="10"/>
  <c r="D17494" i="10"/>
  <c r="E17493" i="10"/>
  <c r="D17493" i="10"/>
  <c r="E17492" i="10"/>
  <c r="D17492" i="10"/>
  <c r="E17491" i="10"/>
  <c r="D17491" i="10"/>
  <c r="E17490" i="10"/>
  <c r="D17490" i="10"/>
  <c r="E17489" i="10"/>
  <c r="D17489" i="10"/>
  <c r="E17488" i="10"/>
  <c r="D17488" i="10"/>
  <c r="E17487" i="10"/>
  <c r="D17487" i="10"/>
  <c r="E17486" i="10"/>
  <c r="D17486" i="10"/>
  <c r="E17485" i="10"/>
  <c r="D17485" i="10"/>
  <c r="E17484" i="10"/>
  <c r="D17484" i="10"/>
  <c r="E17483" i="10"/>
  <c r="D17483" i="10"/>
  <c r="E17482" i="10"/>
  <c r="D17482" i="10"/>
  <c r="E17481" i="10"/>
  <c r="D17481" i="10"/>
  <c r="E17480" i="10"/>
  <c r="D17480" i="10"/>
  <c r="E17479" i="10"/>
  <c r="D17479" i="10"/>
  <c r="E17478" i="10"/>
  <c r="D17478" i="10"/>
  <c r="E17477" i="10"/>
  <c r="D17477" i="10"/>
  <c r="E17476" i="10"/>
  <c r="D17476" i="10"/>
  <c r="E17475" i="10"/>
  <c r="D17475" i="10"/>
  <c r="E17474" i="10"/>
  <c r="D17474" i="10"/>
  <c r="E17473" i="10"/>
  <c r="D17473" i="10"/>
  <c r="E17472" i="10"/>
  <c r="D17472" i="10"/>
  <c r="E17471" i="10"/>
  <c r="D17471" i="10"/>
  <c r="E17470" i="10"/>
  <c r="D17470" i="10"/>
  <c r="E17469" i="10"/>
  <c r="D17469" i="10"/>
  <c r="E17468" i="10"/>
  <c r="D17468" i="10"/>
  <c r="E17467" i="10"/>
  <c r="D17467" i="10"/>
  <c r="E17466" i="10"/>
  <c r="D17466" i="10"/>
  <c r="E17465" i="10"/>
  <c r="D17465" i="10"/>
  <c r="E17464" i="10"/>
  <c r="D17464" i="10"/>
  <c r="E17463" i="10"/>
  <c r="D17463" i="10"/>
  <c r="E17462" i="10"/>
  <c r="D17462" i="10"/>
  <c r="E17461" i="10"/>
  <c r="D17461" i="10"/>
  <c r="E17460" i="10"/>
  <c r="D17460" i="10"/>
  <c r="E17459" i="10"/>
  <c r="D17459" i="10"/>
  <c r="E17458" i="10"/>
  <c r="D17458" i="10"/>
  <c r="E17457" i="10"/>
  <c r="D17457" i="10"/>
  <c r="E17456" i="10"/>
  <c r="D17456" i="10"/>
  <c r="E17455" i="10"/>
  <c r="D17455" i="10"/>
  <c r="E17454" i="10"/>
  <c r="D17454" i="10"/>
  <c r="E17453" i="10"/>
  <c r="D17453" i="10"/>
  <c r="E17452" i="10"/>
  <c r="D17452" i="10"/>
  <c r="E17451" i="10"/>
  <c r="D17451" i="10"/>
  <c r="E17450" i="10"/>
  <c r="D17450" i="10"/>
  <c r="E17449" i="10"/>
  <c r="D17449" i="10"/>
  <c r="E17448" i="10"/>
  <c r="D17448" i="10"/>
  <c r="E17447" i="10"/>
  <c r="D17447" i="10"/>
  <c r="E17446" i="10"/>
  <c r="D17446" i="10"/>
  <c r="E17445" i="10"/>
  <c r="D17445" i="10"/>
  <c r="E17444" i="10"/>
  <c r="D17444" i="10"/>
  <c r="E17443" i="10"/>
  <c r="D17443" i="10"/>
  <c r="E17442" i="10"/>
  <c r="D17442" i="10"/>
  <c r="E17441" i="10"/>
  <c r="D17441" i="10"/>
  <c r="E17440" i="10"/>
  <c r="D17440" i="10"/>
  <c r="E17439" i="10"/>
  <c r="D17439" i="10"/>
  <c r="E17438" i="10"/>
  <c r="D17438" i="10"/>
  <c r="E17437" i="10"/>
  <c r="D17437" i="10"/>
  <c r="E17436" i="10"/>
  <c r="D17436" i="10"/>
  <c r="E17435" i="10"/>
  <c r="D17435" i="10"/>
  <c r="E17434" i="10"/>
  <c r="D17434" i="10"/>
  <c r="E17433" i="10"/>
  <c r="D17433" i="10"/>
  <c r="E17432" i="10"/>
  <c r="D17432" i="10"/>
  <c r="E17431" i="10"/>
  <c r="D17431" i="10"/>
  <c r="E17430" i="10"/>
  <c r="D17430" i="10"/>
  <c r="E17429" i="10"/>
  <c r="D17429" i="10"/>
  <c r="E17428" i="10"/>
  <c r="D17428" i="10"/>
  <c r="E17427" i="10"/>
  <c r="D17427" i="10"/>
  <c r="E17426" i="10"/>
  <c r="D17426" i="10"/>
  <c r="E17425" i="10"/>
  <c r="D17425" i="10"/>
  <c r="E17424" i="10"/>
  <c r="D17424" i="10"/>
  <c r="E17423" i="10"/>
  <c r="D17423" i="10"/>
  <c r="E17422" i="10"/>
  <c r="D17422" i="10"/>
  <c r="E17421" i="10"/>
  <c r="D17421" i="10"/>
  <c r="E17420" i="10"/>
  <c r="D17420" i="10"/>
  <c r="E17419" i="10"/>
  <c r="D17419" i="10"/>
  <c r="E17418" i="10"/>
  <c r="D17418" i="10"/>
  <c r="E17417" i="10"/>
  <c r="D17417" i="10"/>
  <c r="E17416" i="10"/>
  <c r="D17416" i="10"/>
  <c r="E17415" i="10"/>
  <c r="D17415" i="10"/>
  <c r="E17414" i="10"/>
  <c r="D17414" i="10"/>
  <c r="E17413" i="10"/>
  <c r="D17413" i="10"/>
  <c r="E17412" i="10"/>
  <c r="D17412" i="10"/>
  <c r="E17411" i="10"/>
  <c r="D17411" i="10"/>
  <c r="E17410" i="10"/>
  <c r="D17410" i="10"/>
  <c r="E17409" i="10"/>
  <c r="D17409" i="10"/>
  <c r="E17408" i="10"/>
  <c r="D17408" i="10"/>
  <c r="E17407" i="10"/>
  <c r="D17407" i="10"/>
  <c r="E17406" i="10"/>
  <c r="D17406" i="10"/>
  <c r="E17405" i="10"/>
  <c r="D17405" i="10"/>
  <c r="E17404" i="10"/>
  <c r="D17404" i="10"/>
  <c r="E17403" i="10"/>
  <c r="D17403" i="10"/>
  <c r="E17402" i="10"/>
  <c r="D17402" i="10"/>
  <c r="E17401" i="10"/>
  <c r="D17401" i="10"/>
  <c r="E17400" i="10"/>
  <c r="D17400" i="10"/>
  <c r="E17399" i="10"/>
  <c r="D17399" i="10"/>
  <c r="E17398" i="10"/>
  <c r="D17398" i="10"/>
  <c r="E17397" i="10"/>
  <c r="D17397" i="10"/>
  <c r="E17396" i="10"/>
  <c r="D17396" i="10"/>
  <c r="E17395" i="10"/>
  <c r="D17395" i="10"/>
  <c r="E17394" i="10"/>
  <c r="D17394" i="10"/>
  <c r="E17393" i="10"/>
  <c r="D17393" i="10"/>
  <c r="E17392" i="10"/>
  <c r="D17392" i="10"/>
  <c r="E17391" i="10"/>
  <c r="D17391" i="10"/>
  <c r="E17390" i="10"/>
  <c r="D17390" i="10"/>
  <c r="E17389" i="10"/>
  <c r="D17389" i="10"/>
  <c r="E17388" i="10"/>
  <c r="D17388" i="10"/>
  <c r="E17387" i="10"/>
  <c r="D17387" i="10"/>
  <c r="E17386" i="10"/>
  <c r="D17386" i="10"/>
  <c r="E17385" i="10"/>
  <c r="D17385" i="10"/>
  <c r="E17384" i="10"/>
  <c r="D17384" i="10"/>
  <c r="E17383" i="10"/>
  <c r="D17383" i="10"/>
  <c r="E17382" i="10"/>
  <c r="D17382" i="10"/>
  <c r="E17381" i="10"/>
  <c r="D17381" i="10"/>
  <c r="E17380" i="10"/>
  <c r="D17380" i="10"/>
  <c r="E17379" i="10"/>
  <c r="D17379" i="10"/>
  <c r="E17378" i="10"/>
  <c r="D17378" i="10"/>
  <c r="E17377" i="10"/>
  <c r="D17377" i="10"/>
  <c r="E17376" i="10"/>
  <c r="D17376" i="10"/>
  <c r="E17375" i="10"/>
  <c r="D17375" i="10"/>
  <c r="E17374" i="10"/>
  <c r="D17374" i="10"/>
  <c r="E17373" i="10"/>
  <c r="D17373" i="10"/>
  <c r="E17372" i="10"/>
  <c r="D17372" i="10"/>
  <c r="E17371" i="10"/>
  <c r="D17371" i="10"/>
  <c r="E17370" i="10"/>
  <c r="D17370" i="10"/>
  <c r="E17369" i="10"/>
  <c r="D17369" i="10"/>
  <c r="E17368" i="10"/>
  <c r="D17368" i="10"/>
  <c r="E17367" i="10"/>
  <c r="D17367" i="10"/>
  <c r="E17366" i="10"/>
  <c r="D17366" i="10"/>
  <c r="E17365" i="10"/>
  <c r="D17365" i="10"/>
  <c r="E17364" i="10"/>
  <c r="D17364" i="10"/>
  <c r="E17363" i="10"/>
  <c r="D17363" i="10"/>
  <c r="E17362" i="10"/>
  <c r="D17362" i="10"/>
  <c r="E17361" i="10"/>
  <c r="D17361" i="10"/>
  <c r="E17360" i="10"/>
  <c r="D17360" i="10"/>
  <c r="E17359" i="10"/>
  <c r="D17359" i="10"/>
  <c r="E17358" i="10"/>
  <c r="D17358" i="10"/>
  <c r="E17357" i="10"/>
  <c r="D17357" i="10"/>
  <c r="E17356" i="10"/>
  <c r="D17356" i="10"/>
  <c r="E17355" i="10"/>
  <c r="D17355" i="10"/>
  <c r="E17354" i="10"/>
  <c r="D17354" i="10"/>
  <c r="E17353" i="10"/>
  <c r="D17353" i="10"/>
  <c r="E17352" i="10"/>
  <c r="D17352" i="10"/>
  <c r="E17351" i="10"/>
  <c r="D17351" i="10"/>
  <c r="E17350" i="10"/>
  <c r="D17350" i="10"/>
  <c r="E17349" i="10"/>
  <c r="D17349" i="10"/>
  <c r="E17348" i="10"/>
  <c r="D17348" i="10"/>
  <c r="E17347" i="10"/>
  <c r="D17347" i="10"/>
  <c r="E17346" i="10"/>
  <c r="D17346" i="10"/>
  <c r="E17345" i="10"/>
  <c r="D17345" i="10"/>
  <c r="E17344" i="10"/>
  <c r="D17344" i="10"/>
  <c r="E17343" i="10"/>
  <c r="D17343" i="10"/>
  <c r="E17342" i="10"/>
  <c r="D17342" i="10"/>
  <c r="E17341" i="10"/>
  <c r="D17341" i="10"/>
  <c r="E17340" i="10"/>
  <c r="D17340" i="10"/>
  <c r="E17339" i="10"/>
  <c r="D17339" i="10"/>
  <c r="E17338" i="10"/>
  <c r="D17338" i="10"/>
  <c r="E17337" i="10"/>
  <c r="D17337" i="10"/>
  <c r="E17336" i="10"/>
  <c r="D17336" i="10"/>
  <c r="E17335" i="10"/>
  <c r="D17335" i="10"/>
  <c r="E17334" i="10"/>
  <c r="D17334" i="10"/>
  <c r="E17333" i="10"/>
  <c r="D17333" i="10"/>
  <c r="E17332" i="10"/>
  <c r="D17332" i="10"/>
  <c r="E17331" i="10"/>
  <c r="D17331" i="10"/>
  <c r="E17330" i="10"/>
  <c r="D17330" i="10"/>
  <c r="E17329" i="10"/>
  <c r="D17329" i="10"/>
  <c r="E17328" i="10"/>
  <c r="D17328" i="10"/>
  <c r="E17327" i="10"/>
  <c r="D17327" i="10"/>
  <c r="E17326" i="10"/>
  <c r="D17326" i="10"/>
  <c r="E17325" i="10"/>
  <c r="D17325" i="10"/>
  <c r="E17324" i="10"/>
  <c r="D17324" i="10"/>
  <c r="E17323" i="10"/>
  <c r="D17323" i="10"/>
  <c r="E17322" i="10"/>
  <c r="D17322" i="10"/>
  <c r="E17321" i="10"/>
  <c r="D17321" i="10"/>
  <c r="E17320" i="10"/>
  <c r="D17320" i="10"/>
  <c r="E17319" i="10"/>
  <c r="D17319" i="10"/>
  <c r="E17318" i="10"/>
  <c r="D17318" i="10"/>
  <c r="E17317" i="10"/>
  <c r="D17317" i="10"/>
  <c r="E17316" i="10"/>
  <c r="D17316" i="10"/>
  <c r="E17315" i="10"/>
  <c r="D17315" i="10"/>
  <c r="E17314" i="10"/>
  <c r="D17314" i="10"/>
  <c r="E17313" i="10"/>
  <c r="D17313" i="10"/>
  <c r="E17312" i="10"/>
  <c r="D17312" i="10"/>
  <c r="E17311" i="10"/>
  <c r="D17311" i="10"/>
  <c r="E17310" i="10"/>
  <c r="D17310" i="10"/>
  <c r="E17309" i="10"/>
  <c r="D17309" i="10"/>
  <c r="E17308" i="10"/>
  <c r="D17308" i="10"/>
  <c r="E17307" i="10"/>
  <c r="D17307" i="10"/>
  <c r="E17306" i="10"/>
  <c r="D17306" i="10"/>
  <c r="E17305" i="10"/>
  <c r="D17305" i="10"/>
  <c r="E17304" i="10"/>
  <c r="D17304" i="10"/>
  <c r="E17303" i="10"/>
  <c r="D17303" i="10"/>
  <c r="E17302" i="10"/>
  <c r="D17302" i="10"/>
  <c r="E17301" i="10"/>
  <c r="D17301" i="10"/>
  <c r="E17300" i="10"/>
  <c r="D17300" i="10"/>
  <c r="E17299" i="10"/>
  <c r="D17299" i="10"/>
  <c r="E17298" i="10"/>
  <c r="D17298" i="10"/>
  <c r="E17297" i="10"/>
  <c r="D17297" i="10"/>
  <c r="E17296" i="10"/>
  <c r="D17296" i="10"/>
  <c r="E17295" i="10"/>
  <c r="D17295" i="10"/>
  <c r="E17294" i="10"/>
  <c r="D17294" i="10"/>
  <c r="E17293" i="10"/>
  <c r="D17293" i="10"/>
  <c r="E17292" i="10"/>
  <c r="D17292" i="10"/>
  <c r="E17291" i="10"/>
  <c r="D17291" i="10"/>
  <c r="E17290" i="10"/>
  <c r="D17290" i="10"/>
  <c r="E17289" i="10"/>
  <c r="D17289" i="10"/>
  <c r="E17288" i="10"/>
  <c r="D17288" i="10"/>
  <c r="E17287" i="10"/>
  <c r="D17287" i="10"/>
  <c r="E17286" i="10"/>
  <c r="D17286" i="10"/>
  <c r="E17285" i="10"/>
  <c r="D17285" i="10"/>
  <c r="E17284" i="10"/>
  <c r="D17284" i="10"/>
  <c r="E17283" i="10"/>
  <c r="D17283" i="10"/>
  <c r="E17282" i="10"/>
  <c r="D17282" i="10"/>
  <c r="E17281" i="10"/>
  <c r="D17281" i="10"/>
  <c r="E17280" i="10"/>
  <c r="D17280" i="10"/>
  <c r="E17279" i="10"/>
  <c r="D17279" i="10"/>
  <c r="E17278" i="10"/>
  <c r="D17278" i="10"/>
  <c r="E17277" i="10"/>
  <c r="D17277" i="10"/>
  <c r="E17276" i="10"/>
  <c r="D17276" i="10"/>
  <c r="E17275" i="10"/>
  <c r="D17275" i="10"/>
  <c r="E17274" i="10"/>
  <c r="D17274" i="10"/>
  <c r="E17273" i="10"/>
  <c r="D17273" i="10"/>
  <c r="E17272" i="10"/>
  <c r="D17272" i="10"/>
  <c r="E17271" i="10"/>
  <c r="D17271" i="10"/>
  <c r="E17270" i="10"/>
  <c r="D17270" i="10"/>
  <c r="E17269" i="10"/>
  <c r="D17269" i="10"/>
  <c r="E17268" i="10"/>
  <c r="D17268" i="10"/>
  <c r="E17267" i="10"/>
  <c r="D17267" i="10"/>
  <c r="E17266" i="10"/>
  <c r="D17266" i="10"/>
  <c r="E17265" i="10"/>
  <c r="D17265" i="10"/>
  <c r="E17264" i="10"/>
  <c r="D17264" i="10"/>
  <c r="E17263" i="10"/>
  <c r="D17263" i="10"/>
  <c r="E17262" i="10"/>
  <c r="D17262" i="10"/>
  <c r="E17261" i="10"/>
  <c r="D17261" i="10"/>
  <c r="E17260" i="10"/>
  <c r="D17260" i="10"/>
  <c r="E17259" i="10"/>
  <c r="D17259" i="10"/>
  <c r="E17258" i="10"/>
  <c r="D17258" i="10"/>
  <c r="E17257" i="10"/>
  <c r="D17257" i="10"/>
  <c r="E17256" i="10"/>
  <c r="D17256" i="10"/>
  <c r="E17255" i="10"/>
  <c r="D17255" i="10"/>
  <c r="E17254" i="10"/>
  <c r="D17254" i="10"/>
  <c r="E17253" i="10"/>
  <c r="D17253" i="10"/>
  <c r="E17252" i="10"/>
  <c r="D17252" i="10"/>
  <c r="E17251" i="10"/>
  <c r="D17251" i="10"/>
  <c r="E17250" i="10"/>
  <c r="D17250" i="10"/>
  <c r="E17249" i="10"/>
  <c r="D17249" i="10"/>
  <c r="E17248" i="10"/>
  <c r="D17248" i="10"/>
  <c r="E17247" i="10"/>
  <c r="D17247" i="10"/>
  <c r="E17246" i="10"/>
  <c r="D17246" i="10"/>
  <c r="E17245" i="10"/>
  <c r="D17245" i="10"/>
  <c r="E17244" i="10"/>
  <c r="D17244" i="10"/>
  <c r="E17243" i="10"/>
  <c r="D17243" i="10"/>
  <c r="E17242" i="10"/>
  <c r="D17242" i="10"/>
  <c r="E17241" i="10"/>
  <c r="D17241" i="10"/>
  <c r="E17240" i="10"/>
  <c r="D17240" i="10"/>
  <c r="E17239" i="10"/>
  <c r="D17239" i="10"/>
  <c r="E17238" i="10"/>
  <c r="D17238" i="10"/>
  <c r="E17237" i="10"/>
  <c r="D17237" i="10"/>
  <c r="E17236" i="10"/>
  <c r="D17236" i="10"/>
  <c r="E17235" i="10"/>
  <c r="D17235" i="10"/>
  <c r="E17234" i="10"/>
  <c r="D17234" i="10"/>
  <c r="E17233" i="10"/>
  <c r="D17233" i="10"/>
  <c r="E17232" i="10"/>
  <c r="D17232" i="10"/>
  <c r="E17231" i="10"/>
  <c r="D17231" i="10"/>
  <c r="E17230" i="10"/>
  <c r="D17230" i="10"/>
  <c r="E17229" i="10"/>
  <c r="D17229" i="10"/>
  <c r="E17228" i="10"/>
  <c r="D17228" i="10"/>
  <c r="E17227" i="10"/>
  <c r="D17227" i="10"/>
  <c r="E17226" i="10"/>
  <c r="D17226" i="10"/>
  <c r="E17225" i="10"/>
  <c r="D17225" i="10"/>
  <c r="E17224" i="10"/>
  <c r="D17224" i="10"/>
  <c r="E17223" i="10"/>
  <c r="D17223" i="10"/>
  <c r="E17222" i="10"/>
  <c r="D17222" i="10"/>
  <c r="E17221" i="10"/>
  <c r="D17221" i="10"/>
  <c r="E17220" i="10"/>
  <c r="D17220" i="10"/>
  <c r="E17219" i="10"/>
  <c r="D17219" i="10"/>
  <c r="E17218" i="10"/>
  <c r="D17218" i="10"/>
  <c r="E17217" i="10"/>
  <c r="D17217" i="10"/>
  <c r="E17216" i="10"/>
  <c r="D17216" i="10"/>
  <c r="E17215" i="10"/>
  <c r="D17215" i="10"/>
  <c r="E17214" i="10"/>
  <c r="D17214" i="10"/>
  <c r="E17213" i="10"/>
  <c r="D17213" i="10"/>
  <c r="E17212" i="10"/>
  <c r="D17212" i="10"/>
  <c r="E17211" i="10"/>
  <c r="D17211" i="10"/>
  <c r="E17210" i="10"/>
  <c r="D17210" i="10"/>
  <c r="E17209" i="10"/>
  <c r="D17209" i="10"/>
  <c r="E17208" i="10"/>
  <c r="D17208" i="10"/>
  <c r="E17207" i="10"/>
  <c r="D17207" i="10"/>
  <c r="E17206" i="10"/>
  <c r="D17206" i="10"/>
  <c r="E17205" i="10"/>
  <c r="D17205" i="10"/>
  <c r="E17204" i="10"/>
  <c r="D17204" i="10"/>
  <c r="E17203" i="10"/>
  <c r="D17203" i="10"/>
  <c r="E17202" i="10"/>
  <c r="D17202" i="10"/>
  <c r="E17201" i="10"/>
  <c r="D17201" i="10"/>
  <c r="E17200" i="10"/>
  <c r="D17200" i="10"/>
  <c r="E17199" i="10"/>
  <c r="D17199" i="10"/>
  <c r="E17198" i="10"/>
  <c r="D17198" i="10"/>
  <c r="E17197" i="10"/>
  <c r="D17197" i="10"/>
  <c r="E17196" i="10"/>
  <c r="D17196" i="10"/>
  <c r="E17195" i="10"/>
  <c r="D17195" i="10"/>
  <c r="E17194" i="10"/>
  <c r="D17194" i="10"/>
  <c r="E17193" i="10"/>
  <c r="D17193" i="10"/>
  <c r="E17192" i="10"/>
  <c r="D17192" i="10"/>
  <c r="E17191" i="10"/>
  <c r="D17191" i="10"/>
  <c r="E17190" i="10"/>
  <c r="D17190" i="10"/>
  <c r="E17189" i="10"/>
  <c r="D17189" i="10"/>
  <c r="E17188" i="10"/>
  <c r="D17188" i="10"/>
  <c r="E17187" i="10"/>
  <c r="D17187" i="10"/>
  <c r="E17186" i="10"/>
  <c r="D17186" i="10"/>
  <c r="E17185" i="10"/>
  <c r="D17185" i="10"/>
  <c r="E17184" i="10"/>
  <c r="D17184" i="10"/>
  <c r="E17183" i="10"/>
  <c r="D17183" i="10"/>
  <c r="E17182" i="10"/>
  <c r="D17182" i="10"/>
  <c r="E17181" i="10"/>
  <c r="D17181" i="10"/>
  <c r="E17180" i="10"/>
  <c r="D17180" i="10"/>
  <c r="E17179" i="10"/>
  <c r="D17179" i="10"/>
  <c r="E17178" i="10"/>
  <c r="D17178" i="10"/>
  <c r="E17177" i="10"/>
  <c r="D17177" i="10"/>
  <c r="E17176" i="10"/>
  <c r="D17176" i="10"/>
  <c r="E17175" i="10"/>
  <c r="D17175" i="10"/>
  <c r="E17174" i="10"/>
  <c r="D17174" i="10"/>
  <c r="E17173" i="10"/>
  <c r="D17173" i="10"/>
  <c r="E17172" i="10"/>
  <c r="D17172" i="10"/>
  <c r="E17171" i="10"/>
  <c r="D17171" i="10"/>
  <c r="E17170" i="10"/>
  <c r="D17170" i="10"/>
  <c r="E17169" i="10"/>
  <c r="D17169" i="10"/>
  <c r="E17168" i="10"/>
  <c r="D17168" i="10"/>
  <c r="E17167" i="10"/>
  <c r="D17167" i="10"/>
  <c r="E17166" i="10"/>
  <c r="D17166" i="10"/>
  <c r="E17165" i="10"/>
  <c r="D17165" i="10"/>
  <c r="E17164" i="10"/>
  <c r="D17164" i="10"/>
  <c r="E17163" i="10"/>
  <c r="D17163" i="10"/>
  <c r="E17162" i="10"/>
  <c r="D17162" i="10"/>
  <c r="E17161" i="10"/>
  <c r="D17161" i="10"/>
  <c r="E17160" i="10"/>
  <c r="D17160" i="10"/>
  <c r="E17159" i="10"/>
  <c r="D17159" i="10"/>
  <c r="E17158" i="10"/>
  <c r="D17158" i="10"/>
  <c r="E17157" i="10"/>
  <c r="D17157" i="10"/>
  <c r="E17156" i="10"/>
  <c r="D17156" i="10"/>
  <c r="E17155" i="10"/>
  <c r="D17155" i="10"/>
  <c r="E17154" i="10"/>
  <c r="D17154" i="10"/>
  <c r="E17153" i="10"/>
  <c r="D17153" i="10"/>
  <c r="E17152" i="10"/>
  <c r="D17152" i="10"/>
  <c r="E17151" i="10"/>
  <c r="D17151" i="10"/>
  <c r="E17150" i="10"/>
  <c r="D17150" i="10"/>
  <c r="E17149" i="10"/>
  <c r="D17149" i="10"/>
  <c r="E17148" i="10"/>
  <c r="D17148" i="10"/>
  <c r="E17147" i="10"/>
  <c r="D17147" i="10"/>
  <c r="E17146" i="10"/>
  <c r="D17146" i="10"/>
  <c r="E17145" i="10"/>
  <c r="D17145" i="10"/>
  <c r="E17144" i="10"/>
  <c r="D17144" i="10"/>
  <c r="E17143" i="10"/>
  <c r="D17143" i="10"/>
  <c r="E17142" i="10"/>
  <c r="D17142" i="10"/>
  <c r="E17141" i="10"/>
  <c r="D17141" i="10"/>
  <c r="E17140" i="10"/>
  <c r="D17140" i="10"/>
  <c r="E17139" i="10"/>
  <c r="D17139" i="10"/>
  <c r="E17138" i="10"/>
  <c r="D17138" i="10"/>
  <c r="E17137" i="10"/>
  <c r="D17137" i="10"/>
  <c r="E17136" i="10"/>
  <c r="D17136" i="10"/>
  <c r="E17135" i="10"/>
  <c r="D17135" i="10"/>
  <c r="E17134" i="10"/>
  <c r="D17134" i="10"/>
  <c r="E17133" i="10"/>
  <c r="D17133" i="10"/>
  <c r="E17132" i="10"/>
  <c r="D17132" i="10"/>
  <c r="E17131" i="10"/>
  <c r="D17131" i="10"/>
  <c r="E17130" i="10"/>
  <c r="D17130" i="10"/>
  <c r="E17129" i="10"/>
  <c r="D17129" i="10"/>
  <c r="E17128" i="10"/>
  <c r="D17128" i="10"/>
  <c r="E17127" i="10"/>
  <c r="D17127" i="10"/>
  <c r="E17126" i="10"/>
  <c r="D17126" i="10"/>
  <c r="E17125" i="10"/>
  <c r="D17125" i="10"/>
  <c r="E17124" i="10"/>
  <c r="D17124" i="10"/>
  <c r="E17123" i="10"/>
  <c r="D17123" i="10"/>
  <c r="E17122" i="10"/>
  <c r="D17122" i="10"/>
  <c r="E17121" i="10"/>
  <c r="D17121" i="10"/>
  <c r="E17120" i="10"/>
  <c r="D17120" i="10"/>
  <c r="E17119" i="10"/>
  <c r="D17119" i="10"/>
  <c r="E17118" i="10"/>
  <c r="D17118" i="10"/>
  <c r="E17117" i="10"/>
  <c r="D17117" i="10"/>
  <c r="E17116" i="10"/>
  <c r="D17116" i="10"/>
  <c r="E17115" i="10"/>
  <c r="D17115" i="10"/>
  <c r="E17114" i="10"/>
  <c r="D17114" i="10"/>
  <c r="E17113" i="10"/>
  <c r="D17113" i="10"/>
  <c r="E17112" i="10"/>
  <c r="D17112" i="10"/>
  <c r="E17111" i="10"/>
  <c r="D17111" i="10"/>
  <c r="E17110" i="10"/>
  <c r="D17110" i="10"/>
  <c r="E17109" i="10"/>
  <c r="D17109" i="10"/>
  <c r="E17108" i="10"/>
  <c r="D17108" i="10"/>
  <c r="E17107" i="10"/>
  <c r="D17107" i="10"/>
  <c r="E17106" i="10"/>
  <c r="D17106" i="10"/>
  <c r="E17105" i="10"/>
  <c r="D17105" i="10"/>
  <c r="E17104" i="10"/>
  <c r="D17104" i="10"/>
  <c r="E17103" i="10"/>
  <c r="D17103" i="10"/>
  <c r="E17102" i="10"/>
  <c r="D17102" i="10"/>
  <c r="E17101" i="10"/>
  <c r="D17101" i="10"/>
  <c r="E17100" i="10"/>
  <c r="D17100" i="10"/>
  <c r="E17099" i="10"/>
  <c r="D17099" i="10"/>
  <c r="E17098" i="10"/>
  <c r="D17098" i="10"/>
  <c r="E17097" i="10"/>
  <c r="D17097" i="10"/>
  <c r="E17096" i="10"/>
  <c r="D17096" i="10"/>
  <c r="E17095" i="10"/>
  <c r="D17095" i="10"/>
  <c r="E17094" i="10"/>
  <c r="D17094" i="10"/>
  <c r="E17093" i="10"/>
  <c r="D17093" i="10"/>
  <c r="E17092" i="10"/>
  <c r="D17092" i="10"/>
  <c r="E17091" i="10"/>
  <c r="D17091" i="10"/>
  <c r="E17090" i="10"/>
  <c r="D17090" i="10"/>
  <c r="E17089" i="10"/>
  <c r="D17089" i="10"/>
  <c r="E17088" i="10"/>
  <c r="D17088" i="10"/>
  <c r="E17087" i="10"/>
  <c r="D17087" i="10"/>
  <c r="E17086" i="10"/>
  <c r="D17086" i="10"/>
  <c r="E17085" i="10"/>
  <c r="D17085" i="10"/>
  <c r="E17084" i="10"/>
  <c r="D17084" i="10"/>
  <c r="E17083" i="10"/>
  <c r="D17083" i="10"/>
  <c r="E17082" i="10"/>
  <c r="D17082" i="10"/>
  <c r="E17081" i="10"/>
  <c r="D17081" i="10"/>
  <c r="E17080" i="10"/>
  <c r="D17080" i="10"/>
  <c r="E17079" i="10"/>
  <c r="D17079" i="10"/>
  <c r="E17078" i="10"/>
  <c r="D17078" i="10"/>
  <c r="E17077" i="10"/>
  <c r="D17077" i="10"/>
  <c r="E17076" i="10"/>
  <c r="D17076" i="10"/>
  <c r="E17075" i="10"/>
  <c r="D17075" i="10"/>
  <c r="E17074" i="10"/>
  <c r="D17074" i="10"/>
  <c r="E17073" i="10"/>
  <c r="D17073" i="10"/>
  <c r="E17072" i="10"/>
  <c r="D17072" i="10"/>
  <c r="E17071" i="10"/>
  <c r="D17071" i="10"/>
  <c r="E17070" i="10"/>
  <c r="D17070" i="10"/>
  <c r="E17069" i="10"/>
  <c r="D17069" i="10"/>
  <c r="E17068" i="10"/>
  <c r="D17068" i="10"/>
  <c r="E17067" i="10"/>
  <c r="D17067" i="10"/>
  <c r="E17066" i="10"/>
  <c r="D17066" i="10"/>
  <c r="E17065" i="10"/>
  <c r="D17065" i="10"/>
  <c r="E17064" i="10"/>
  <c r="D17064" i="10"/>
  <c r="E17063" i="10"/>
  <c r="D17063" i="10"/>
  <c r="E17062" i="10"/>
  <c r="D17062" i="10"/>
  <c r="E17061" i="10"/>
  <c r="D17061" i="10"/>
  <c r="E17060" i="10"/>
  <c r="D17060" i="10"/>
  <c r="E17059" i="10"/>
  <c r="D17059" i="10"/>
  <c r="E17058" i="10"/>
  <c r="D17058" i="10"/>
  <c r="E17057" i="10"/>
  <c r="D17057" i="10"/>
  <c r="E17056" i="10"/>
  <c r="D17056" i="10"/>
  <c r="E17055" i="10"/>
  <c r="D17055" i="10"/>
  <c r="E17054" i="10"/>
  <c r="D17054" i="10"/>
  <c r="E17053" i="10"/>
  <c r="D17053" i="10"/>
  <c r="E17052" i="10"/>
  <c r="D17052" i="10"/>
  <c r="E17051" i="10"/>
  <c r="D17051" i="10"/>
  <c r="E17050" i="10"/>
  <c r="D17050" i="10"/>
  <c r="E17049" i="10"/>
  <c r="D17049" i="10"/>
  <c r="E17048" i="10"/>
  <c r="D17048" i="10"/>
  <c r="E17047" i="10"/>
  <c r="D17047" i="10"/>
  <c r="E17046" i="10"/>
  <c r="D17046" i="10"/>
  <c r="E17045" i="10"/>
  <c r="D17045" i="10"/>
  <c r="E17044" i="10"/>
  <c r="D17044" i="10"/>
  <c r="E17043" i="10"/>
  <c r="D17043" i="10"/>
  <c r="E17042" i="10"/>
  <c r="D17042" i="10"/>
  <c r="E17041" i="10"/>
  <c r="D17041" i="10"/>
  <c r="E17040" i="10"/>
  <c r="D17040" i="10"/>
  <c r="E17039" i="10"/>
  <c r="D17039" i="10"/>
  <c r="E17038" i="10"/>
  <c r="D17038" i="10"/>
  <c r="E17037" i="10"/>
  <c r="D17037" i="10"/>
  <c r="E17036" i="10"/>
  <c r="D17036" i="10"/>
  <c r="E17035" i="10"/>
  <c r="D17035" i="10"/>
  <c r="E17034" i="10"/>
  <c r="D17034" i="10"/>
  <c r="E17033" i="10"/>
  <c r="D17033" i="10"/>
  <c r="E17032" i="10"/>
  <c r="D17032" i="10"/>
  <c r="E17031" i="10"/>
  <c r="D17031" i="10"/>
  <c r="E17030" i="10"/>
  <c r="D17030" i="10"/>
  <c r="E17029" i="10"/>
  <c r="D17029" i="10"/>
  <c r="E17028" i="10"/>
  <c r="D17028" i="10"/>
  <c r="E17027" i="10"/>
  <c r="D17027" i="10"/>
  <c r="E17026" i="10"/>
  <c r="D17026" i="10"/>
  <c r="E17025" i="10"/>
  <c r="D17025" i="10"/>
  <c r="E17024" i="10"/>
  <c r="D17024" i="10"/>
  <c r="E17023" i="10"/>
  <c r="D17023" i="10"/>
  <c r="E17022" i="10"/>
  <c r="D17022" i="10"/>
  <c r="E17021" i="10"/>
  <c r="D17021" i="10"/>
  <c r="E17020" i="10"/>
  <c r="D17020" i="10"/>
  <c r="E17019" i="10"/>
  <c r="D17019" i="10"/>
  <c r="E17018" i="10"/>
  <c r="D17018" i="10"/>
  <c r="E17017" i="10"/>
  <c r="D17017" i="10"/>
  <c r="E17016" i="10"/>
  <c r="D17016" i="10"/>
  <c r="E17015" i="10"/>
  <c r="D17015" i="10"/>
  <c r="E17014" i="10"/>
  <c r="D17014" i="10"/>
  <c r="E17013" i="10"/>
  <c r="D17013" i="10"/>
  <c r="E17012" i="10"/>
  <c r="D17012" i="10"/>
  <c r="E17011" i="10"/>
  <c r="D17011" i="10"/>
  <c r="E17010" i="10"/>
  <c r="D17010" i="10"/>
  <c r="E17009" i="10"/>
  <c r="D17009" i="10"/>
  <c r="E17008" i="10"/>
  <c r="D17008" i="10"/>
  <c r="E17007" i="10"/>
  <c r="D17007" i="10"/>
  <c r="E17006" i="10"/>
  <c r="D17006" i="10"/>
  <c r="E17005" i="10"/>
  <c r="D17005" i="10"/>
  <c r="E17004" i="10"/>
  <c r="D17004" i="10"/>
  <c r="E17003" i="10"/>
  <c r="D17003" i="10"/>
  <c r="E17002" i="10"/>
  <c r="D17002" i="10"/>
  <c r="E17001" i="10"/>
  <c r="D17001" i="10"/>
  <c r="E17000" i="10"/>
  <c r="D17000" i="10"/>
  <c r="E16999" i="10"/>
  <c r="D16999" i="10"/>
  <c r="E16998" i="10"/>
  <c r="D16998" i="10"/>
  <c r="E16997" i="10"/>
  <c r="D16997" i="10"/>
  <c r="E16996" i="10"/>
  <c r="D16996" i="10"/>
  <c r="E16995" i="10"/>
  <c r="D16995" i="10"/>
  <c r="E16994" i="10"/>
  <c r="D16994" i="10"/>
  <c r="E16993" i="10"/>
  <c r="D16993" i="10"/>
  <c r="E16992" i="10"/>
  <c r="D16992" i="10"/>
  <c r="E16991" i="10"/>
  <c r="D16991" i="10"/>
  <c r="E16990" i="10"/>
  <c r="D16990" i="10"/>
  <c r="E16989" i="10"/>
  <c r="D16989" i="10"/>
  <c r="E16988" i="10"/>
  <c r="D16988" i="10"/>
  <c r="E16987" i="10"/>
  <c r="D16987" i="10"/>
  <c r="E16986" i="10"/>
  <c r="D16986" i="10"/>
  <c r="E16985" i="10"/>
  <c r="D16985" i="10"/>
  <c r="E16984" i="10"/>
  <c r="D16984" i="10"/>
  <c r="E16983" i="10"/>
  <c r="D16983" i="10"/>
  <c r="E16982" i="10"/>
  <c r="D16982" i="10"/>
  <c r="E16981" i="10"/>
  <c r="D16981" i="10"/>
  <c r="E16980" i="10"/>
  <c r="D16980" i="10"/>
  <c r="E16979" i="10"/>
  <c r="D16979" i="10"/>
  <c r="E16978" i="10"/>
  <c r="D16978" i="10"/>
  <c r="E16977" i="10"/>
  <c r="D16977" i="10"/>
  <c r="E16976" i="10"/>
  <c r="D16976" i="10"/>
  <c r="E16975" i="10"/>
  <c r="D16975" i="10"/>
  <c r="E16974" i="10"/>
  <c r="D16974" i="10"/>
  <c r="E16973" i="10"/>
  <c r="D16973" i="10"/>
  <c r="E16972" i="10"/>
  <c r="D16972" i="10"/>
  <c r="E16971" i="10"/>
  <c r="D16971" i="10"/>
  <c r="E16970" i="10"/>
  <c r="D16970" i="10"/>
  <c r="E16969" i="10"/>
  <c r="D16969" i="10"/>
  <c r="E16968" i="10"/>
  <c r="D16968" i="10"/>
  <c r="E16967" i="10"/>
  <c r="D16967" i="10"/>
  <c r="E16966" i="10"/>
  <c r="D16966" i="10"/>
  <c r="E16965" i="10"/>
  <c r="D16965" i="10"/>
  <c r="E16964" i="10"/>
  <c r="D16964" i="10"/>
  <c r="E16963" i="10"/>
  <c r="D16963" i="10"/>
  <c r="E16962" i="10"/>
  <c r="D16962" i="10"/>
  <c r="E16961" i="10"/>
  <c r="D16961" i="10"/>
  <c r="E16960" i="10"/>
  <c r="D16960" i="10"/>
  <c r="E16959" i="10"/>
  <c r="D16959" i="10"/>
  <c r="E16958" i="10"/>
  <c r="D16958" i="10"/>
  <c r="E16957" i="10"/>
  <c r="D16957" i="10"/>
  <c r="E16956" i="10"/>
  <c r="D16956" i="10"/>
  <c r="E16955" i="10"/>
  <c r="D16955" i="10"/>
  <c r="E16954" i="10"/>
  <c r="D16954" i="10"/>
  <c r="E16953" i="10"/>
  <c r="D16953" i="10"/>
  <c r="E16952" i="10"/>
  <c r="D16952" i="10"/>
  <c r="E16951" i="10"/>
  <c r="D16951" i="10"/>
  <c r="E16950" i="10"/>
  <c r="D16950" i="10"/>
  <c r="E16949" i="10"/>
  <c r="D16949" i="10"/>
  <c r="E16948" i="10"/>
  <c r="D16948" i="10"/>
  <c r="E16947" i="10"/>
  <c r="D16947" i="10"/>
  <c r="E16946" i="10"/>
  <c r="D16946" i="10"/>
  <c r="E16945" i="10"/>
  <c r="D16945" i="10"/>
  <c r="E16944" i="10"/>
  <c r="D16944" i="10"/>
  <c r="E16943" i="10"/>
  <c r="D16943" i="10"/>
  <c r="E16942" i="10"/>
  <c r="D16942" i="10"/>
  <c r="E16941" i="10"/>
  <c r="D16941" i="10"/>
  <c r="E16940" i="10"/>
  <c r="D16940" i="10"/>
  <c r="E16939" i="10"/>
  <c r="D16939" i="10"/>
  <c r="E16938" i="10"/>
  <c r="D16938" i="10"/>
  <c r="E16937" i="10"/>
  <c r="D16937" i="10"/>
  <c r="E16936" i="10"/>
  <c r="D16936" i="10"/>
  <c r="E16935" i="10"/>
  <c r="D16935" i="10"/>
  <c r="E16934" i="10"/>
  <c r="D16934" i="10"/>
  <c r="E16933" i="10"/>
  <c r="D16933" i="10"/>
  <c r="E16932" i="10"/>
  <c r="D16932" i="10"/>
  <c r="E16931" i="10"/>
  <c r="D16931" i="10"/>
  <c r="E16930" i="10"/>
  <c r="D16930" i="10"/>
  <c r="E16929" i="10"/>
  <c r="D16929" i="10"/>
  <c r="E16928" i="10"/>
  <c r="D16928" i="10"/>
  <c r="E16927" i="10"/>
  <c r="D16927" i="10"/>
  <c r="E16926" i="10"/>
  <c r="D16926" i="10"/>
  <c r="E16925" i="10"/>
  <c r="D16925" i="10"/>
  <c r="E16924" i="10"/>
  <c r="D16924" i="10"/>
  <c r="E16923" i="10"/>
  <c r="D16923" i="10"/>
  <c r="E16922" i="10"/>
  <c r="D16922" i="10"/>
  <c r="E16921" i="10"/>
  <c r="D16921" i="10"/>
  <c r="E16920" i="10"/>
  <c r="D16920" i="10"/>
  <c r="E16919" i="10"/>
  <c r="D16919" i="10"/>
  <c r="E16918" i="10"/>
  <c r="D16918" i="10"/>
  <c r="E16917" i="10"/>
  <c r="D16917" i="10"/>
  <c r="E16916" i="10"/>
  <c r="D16916" i="10"/>
  <c r="E16915" i="10"/>
  <c r="D16915" i="10"/>
  <c r="E16914" i="10"/>
  <c r="D16914" i="10"/>
  <c r="E16913" i="10"/>
  <c r="D16913" i="10"/>
  <c r="E16912" i="10"/>
  <c r="D16912" i="10"/>
  <c r="E16911" i="10"/>
  <c r="D16911" i="10"/>
  <c r="E16910" i="10"/>
  <c r="D16910" i="10"/>
  <c r="E16909" i="10"/>
  <c r="D16909" i="10"/>
  <c r="E16908" i="10"/>
  <c r="D16908" i="10"/>
  <c r="E16907" i="10"/>
  <c r="D16907" i="10"/>
  <c r="E16906" i="10"/>
  <c r="D16906" i="10"/>
  <c r="E16905" i="10"/>
  <c r="D16905" i="10"/>
  <c r="E16904" i="10"/>
  <c r="D16904" i="10"/>
  <c r="E16903" i="10"/>
  <c r="D16903" i="10"/>
  <c r="E16902" i="10"/>
  <c r="D16902" i="10"/>
  <c r="E16901" i="10"/>
  <c r="D16901" i="10"/>
  <c r="E16900" i="10"/>
  <c r="D16900" i="10"/>
  <c r="E16899" i="10"/>
  <c r="D16899" i="10"/>
  <c r="E16898" i="10"/>
  <c r="D16898" i="10"/>
  <c r="E16897" i="10"/>
  <c r="D16897" i="10"/>
  <c r="E16896" i="10"/>
  <c r="D16896" i="10"/>
  <c r="E16895" i="10"/>
  <c r="D16895" i="10"/>
  <c r="E16894" i="10"/>
  <c r="D16894" i="10"/>
  <c r="E16893" i="10"/>
  <c r="D16893" i="10"/>
  <c r="E16892" i="10"/>
  <c r="D16892" i="10"/>
  <c r="E16891" i="10"/>
  <c r="D16891" i="10"/>
  <c r="E16890" i="10"/>
  <c r="D16890" i="10"/>
  <c r="E16889" i="10"/>
  <c r="D16889" i="10"/>
  <c r="E16888" i="10"/>
  <c r="D16888" i="10"/>
  <c r="E16887" i="10"/>
  <c r="D16887" i="10"/>
  <c r="E16886" i="10"/>
  <c r="D16886" i="10"/>
  <c r="E16885" i="10"/>
  <c r="D16885" i="10"/>
  <c r="E16884" i="10"/>
  <c r="D16884" i="10"/>
  <c r="E16883" i="10"/>
  <c r="D16883" i="10"/>
  <c r="E16882" i="10"/>
  <c r="D16882" i="10"/>
  <c r="E16881" i="10"/>
  <c r="D16881" i="10"/>
  <c r="E16880" i="10"/>
  <c r="D16880" i="10"/>
  <c r="E16879" i="10"/>
  <c r="D16879" i="10"/>
  <c r="E16878" i="10"/>
  <c r="D16878" i="10"/>
  <c r="E16877" i="10"/>
  <c r="D16877" i="10"/>
  <c r="E16876" i="10"/>
  <c r="D16876" i="10"/>
  <c r="E16875" i="10"/>
  <c r="D16875" i="10"/>
  <c r="E16874" i="10"/>
  <c r="D16874" i="10"/>
  <c r="E16873" i="10"/>
  <c r="D16873" i="10"/>
  <c r="E16872" i="10"/>
  <c r="D16872" i="10"/>
  <c r="E16871" i="10"/>
  <c r="D16871" i="10"/>
  <c r="E16870" i="10"/>
  <c r="D16870" i="10"/>
  <c r="E16869" i="10"/>
  <c r="D16869" i="10"/>
  <c r="E16868" i="10"/>
  <c r="D16868" i="10"/>
  <c r="E16867" i="10"/>
  <c r="D16867" i="10"/>
  <c r="E16866" i="10"/>
  <c r="D16866" i="10"/>
  <c r="E16865" i="10"/>
  <c r="D16865" i="10"/>
  <c r="E16864" i="10"/>
  <c r="D16864" i="10"/>
  <c r="E16863" i="10"/>
  <c r="D16863" i="10"/>
  <c r="E16862" i="10"/>
  <c r="D16862" i="10"/>
  <c r="E16861" i="10"/>
  <c r="D16861" i="10"/>
  <c r="E16860" i="10"/>
  <c r="D16860" i="10"/>
  <c r="E16859" i="10"/>
  <c r="D16859" i="10"/>
  <c r="E16858" i="10"/>
  <c r="D16858" i="10"/>
  <c r="E16857" i="10"/>
  <c r="D16857" i="10"/>
  <c r="E16856" i="10"/>
  <c r="D16856" i="10"/>
  <c r="E16855" i="10"/>
  <c r="D16855" i="10"/>
  <c r="E16854" i="10"/>
  <c r="D16854" i="10"/>
  <c r="E16853" i="10"/>
  <c r="D16853" i="10"/>
  <c r="E16852" i="10"/>
  <c r="D16852" i="10"/>
  <c r="E16851" i="10"/>
  <c r="D16851" i="10"/>
  <c r="E16850" i="10"/>
  <c r="D16850" i="10"/>
  <c r="E16849" i="10"/>
  <c r="D16849" i="10"/>
  <c r="E16848" i="10"/>
  <c r="D16848" i="10"/>
  <c r="E16847" i="10"/>
  <c r="D16847" i="10"/>
  <c r="E16846" i="10"/>
  <c r="D16846" i="10"/>
  <c r="E16845" i="10"/>
  <c r="D16845" i="10"/>
  <c r="E16844" i="10"/>
  <c r="D16844" i="10"/>
  <c r="E16843" i="10"/>
  <c r="D16843" i="10"/>
  <c r="E16842" i="10"/>
  <c r="D16842" i="10"/>
  <c r="E16841" i="10"/>
  <c r="D16841" i="10"/>
  <c r="E16840" i="10"/>
  <c r="D16840" i="10"/>
  <c r="E16839" i="10"/>
  <c r="D16839" i="10"/>
  <c r="E16838" i="10"/>
  <c r="D16838" i="10"/>
  <c r="E16837" i="10"/>
  <c r="D16837" i="10"/>
  <c r="E16836" i="10"/>
  <c r="D16836" i="10"/>
  <c r="E16835" i="10"/>
  <c r="D16835" i="10"/>
  <c r="E16834" i="10"/>
  <c r="D16834" i="10"/>
  <c r="E16833" i="10"/>
  <c r="D16833" i="10"/>
  <c r="E16832" i="10"/>
  <c r="D16832" i="10"/>
  <c r="E16831" i="10"/>
  <c r="D16831" i="10"/>
  <c r="E16830" i="10"/>
  <c r="D16830" i="10"/>
  <c r="E16829" i="10"/>
  <c r="D16829" i="10"/>
  <c r="E16828" i="10"/>
  <c r="D16828" i="10"/>
  <c r="E16827" i="10"/>
  <c r="D16827" i="10"/>
  <c r="E16826" i="10"/>
  <c r="D16826" i="10"/>
  <c r="E16825" i="10"/>
  <c r="D16825" i="10"/>
  <c r="E16824" i="10"/>
  <c r="D16824" i="10"/>
  <c r="E16823" i="10"/>
  <c r="D16823" i="10"/>
  <c r="E16822" i="10"/>
  <c r="D16822" i="10"/>
  <c r="E16821" i="10"/>
  <c r="D16821" i="10"/>
  <c r="E16820" i="10"/>
  <c r="D16820" i="10"/>
  <c r="E16819" i="10"/>
  <c r="D16819" i="10"/>
  <c r="E16818" i="10"/>
  <c r="D16818" i="10"/>
  <c r="E16817" i="10"/>
  <c r="D16817" i="10"/>
  <c r="E16816" i="10"/>
  <c r="D16816" i="10"/>
  <c r="E16815" i="10"/>
  <c r="D16815" i="10"/>
  <c r="E16814" i="10"/>
  <c r="D16814" i="10"/>
  <c r="E16813" i="10"/>
  <c r="D16813" i="10"/>
  <c r="E16812" i="10"/>
  <c r="D16812" i="10"/>
  <c r="E16811" i="10"/>
  <c r="D16811" i="10"/>
  <c r="E16810" i="10"/>
  <c r="D16810" i="10"/>
  <c r="E16809" i="10"/>
  <c r="D16809" i="10"/>
  <c r="E16808" i="10"/>
  <c r="D16808" i="10"/>
  <c r="E16807" i="10"/>
  <c r="D16807" i="10"/>
  <c r="E16806" i="10"/>
  <c r="D16806" i="10"/>
  <c r="E16805" i="10"/>
  <c r="D16805" i="10"/>
  <c r="E16804" i="10"/>
  <c r="D16804" i="10"/>
  <c r="E16803" i="10"/>
  <c r="D16803" i="10"/>
  <c r="E16802" i="10"/>
  <c r="D16802" i="10"/>
  <c r="E16801" i="10"/>
  <c r="D16801" i="10"/>
  <c r="E16800" i="10"/>
  <c r="D16800" i="10"/>
  <c r="E16799" i="10"/>
  <c r="D16799" i="10"/>
  <c r="E16798" i="10"/>
  <c r="D16798" i="10"/>
  <c r="E16797" i="10"/>
  <c r="D16797" i="10"/>
  <c r="E16796" i="10"/>
  <c r="D16796" i="10"/>
  <c r="E16795" i="10"/>
  <c r="D16795" i="10"/>
  <c r="E16794" i="10"/>
  <c r="D16794" i="10"/>
  <c r="E16793" i="10"/>
  <c r="D16793" i="10"/>
  <c r="E16792" i="10"/>
  <c r="D16792" i="10"/>
  <c r="E16791" i="10"/>
  <c r="D16791" i="10"/>
  <c r="E16790" i="10"/>
  <c r="D16790" i="10"/>
  <c r="E16789" i="10"/>
  <c r="D16789" i="10"/>
  <c r="E16788" i="10"/>
  <c r="D16788" i="10"/>
  <c r="E16787" i="10"/>
  <c r="D16787" i="10"/>
  <c r="E16786" i="10"/>
  <c r="D16786" i="10"/>
  <c r="E16785" i="10"/>
  <c r="D16785" i="10"/>
  <c r="E16784" i="10"/>
  <c r="D16784" i="10"/>
  <c r="E16783" i="10"/>
  <c r="D16783" i="10"/>
  <c r="E16782" i="10"/>
  <c r="D16782" i="10"/>
  <c r="E16781" i="10"/>
  <c r="D16781" i="10"/>
  <c r="E16780" i="10"/>
  <c r="D16780" i="10"/>
  <c r="E16779" i="10"/>
  <c r="D16779" i="10"/>
  <c r="E16778" i="10"/>
  <c r="D16778" i="10"/>
  <c r="E16777" i="10"/>
  <c r="D16777" i="10"/>
  <c r="E16776" i="10"/>
  <c r="D16776" i="10"/>
  <c r="E16775" i="10"/>
  <c r="D16775" i="10"/>
  <c r="E16774" i="10"/>
  <c r="D16774" i="10"/>
  <c r="E16773" i="10"/>
  <c r="D16773" i="10"/>
  <c r="E16772" i="10"/>
  <c r="D16772" i="10"/>
  <c r="E16771" i="10"/>
  <c r="D16771" i="10"/>
  <c r="E16770" i="10"/>
  <c r="D16770" i="10"/>
  <c r="E16769" i="10"/>
  <c r="D16769" i="10"/>
  <c r="E16768" i="10"/>
  <c r="D16768" i="10"/>
  <c r="E16767" i="10"/>
  <c r="D16767" i="10"/>
  <c r="E16766" i="10"/>
  <c r="D16766" i="10"/>
  <c r="E16765" i="10"/>
  <c r="D16765" i="10"/>
  <c r="E16764" i="10"/>
  <c r="D16764" i="10"/>
  <c r="E16763" i="10"/>
  <c r="D16763" i="10"/>
  <c r="E16762" i="10"/>
  <c r="D16762" i="10"/>
  <c r="E16761" i="10"/>
  <c r="D16761" i="10"/>
  <c r="E16760" i="10"/>
  <c r="D16760" i="10"/>
  <c r="E16759" i="10"/>
  <c r="D16759" i="10"/>
  <c r="E16758" i="10"/>
  <c r="D16758" i="10"/>
  <c r="E16757" i="10"/>
  <c r="D16757" i="10"/>
  <c r="E16756" i="10"/>
  <c r="D16756" i="10"/>
  <c r="E16755" i="10"/>
  <c r="D16755" i="10"/>
  <c r="E16754" i="10"/>
  <c r="D16754" i="10"/>
  <c r="E16753" i="10"/>
  <c r="D16753" i="10"/>
  <c r="E16752" i="10"/>
  <c r="D16752" i="10"/>
  <c r="E16751" i="10"/>
  <c r="D16751" i="10"/>
  <c r="E16750" i="10"/>
  <c r="D16750" i="10"/>
  <c r="E16749" i="10"/>
  <c r="D16749" i="10"/>
  <c r="E16748" i="10"/>
  <c r="D16748" i="10"/>
  <c r="E16747" i="10"/>
  <c r="D16747" i="10"/>
  <c r="E16746" i="10"/>
  <c r="D16746" i="10"/>
  <c r="E16745" i="10"/>
  <c r="D16745" i="10"/>
  <c r="E16744" i="10"/>
  <c r="D16744" i="10"/>
  <c r="E16743" i="10"/>
  <c r="D16743" i="10"/>
  <c r="E16742" i="10"/>
  <c r="D16742" i="10"/>
  <c r="E16741" i="10"/>
  <c r="D16741" i="10"/>
  <c r="E16740" i="10"/>
  <c r="D16740" i="10"/>
  <c r="E16739" i="10"/>
  <c r="D16739" i="10"/>
  <c r="E16738" i="10"/>
  <c r="D16738" i="10"/>
  <c r="E16737" i="10"/>
  <c r="D16737" i="10"/>
  <c r="E16736" i="10"/>
  <c r="D16736" i="10"/>
  <c r="E16735" i="10"/>
  <c r="D16735" i="10"/>
  <c r="E16734" i="10"/>
  <c r="D16734" i="10"/>
  <c r="E16733" i="10"/>
  <c r="D16733" i="10"/>
  <c r="E16732" i="10"/>
  <c r="D16732" i="10"/>
  <c r="E16731" i="10"/>
  <c r="D16731" i="10"/>
  <c r="E16730" i="10"/>
  <c r="D16730" i="10"/>
  <c r="E16729" i="10"/>
  <c r="D16729" i="10"/>
  <c r="E16728" i="10"/>
  <c r="D16728" i="10"/>
  <c r="E16727" i="10"/>
  <c r="D16727" i="10"/>
  <c r="E16726" i="10"/>
  <c r="D16726" i="10"/>
  <c r="E16725" i="10"/>
  <c r="D16725" i="10"/>
  <c r="E16724" i="10"/>
  <c r="D16724" i="10"/>
  <c r="E16723" i="10"/>
  <c r="D16723" i="10"/>
  <c r="E16722" i="10"/>
  <c r="D16722" i="10"/>
  <c r="E16721" i="10"/>
  <c r="D16721" i="10"/>
  <c r="E16720" i="10"/>
  <c r="D16720" i="10"/>
  <c r="E16719" i="10"/>
  <c r="D16719" i="10"/>
  <c r="E16718" i="10"/>
  <c r="D16718" i="10"/>
  <c r="E16717" i="10"/>
  <c r="D16717" i="10"/>
  <c r="E16716" i="10"/>
  <c r="D16716" i="10"/>
  <c r="E16715" i="10"/>
  <c r="D16715" i="10"/>
  <c r="E16714" i="10"/>
  <c r="D16714" i="10"/>
  <c r="E16713" i="10"/>
  <c r="D16713" i="10"/>
  <c r="E16712" i="10"/>
  <c r="D16712" i="10"/>
  <c r="E16711" i="10"/>
  <c r="D16711" i="10"/>
  <c r="E16710" i="10"/>
  <c r="D16710" i="10"/>
  <c r="E16709" i="10"/>
  <c r="D16709" i="10"/>
  <c r="E16708" i="10"/>
  <c r="D16708" i="10"/>
  <c r="E16707" i="10"/>
  <c r="D16707" i="10"/>
  <c r="E16706" i="10"/>
  <c r="D16706" i="10"/>
  <c r="E16705" i="10"/>
  <c r="D16705" i="10"/>
  <c r="E16704" i="10"/>
  <c r="D16704" i="10"/>
  <c r="E16703" i="10"/>
  <c r="D16703" i="10"/>
  <c r="E16702" i="10"/>
  <c r="D16702" i="10"/>
  <c r="E16701" i="10"/>
  <c r="D16701" i="10"/>
  <c r="E16700" i="10"/>
  <c r="D16700" i="10"/>
  <c r="E16699" i="10"/>
  <c r="D16699" i="10"/>
  <c r="E16698" i="10"/>
  <c r="D16698" i="10"/>
  <c r="E16697" i="10"/>
  <c r="D16697" i="10"/>
  <c r="E16696" i="10"/>
  <c r="D16696" i="10"/>
  <c r="E16695" i="10"/>
  <c r="D16695" i="10"/>
  <c r="E16694" i="10"/>
  <c r="D16694" i="10"/>
  <c r="E16693" i="10"/>
  <c r="D16693" i="10"/>
  <c r="E16692" i="10"/>
  <c r="D16692" i="10"/>
  <c r="E16691" i="10"/>
  <c r="D16691" i="10"/>
  <c r="E16690" i="10"/>
  <c r="D16690" i="10"/>
  <c r="E16689" i="10"/>
  <c r="D16689" i="10"/>
  <c r="E16688" i="10"/>
  <c r="D16688" i="10"/>
  <c r="E16687" i="10"/>
  <c r="D16687" i="10"/>
  <c r="E16686" i="10"/>
  <c r="D16686" i="10"/>
  <c r="E16685" i="10"/>
  <c r="D16685" i="10"/>
  <c r="E16684" i="10"/>
  <c r="D16684" i="10"/>
  <c r="E16683" i="10"/>
  <c r="D16683" i="10"/>
  <c r="E16682" i="10"/>
  <c r="D16682" i="10"/>
  <c r="E16681" i="10"/>
  <c r="D16681" i="10"/>
  <c r="E16680" i="10"/>
  <c r="D16680" i="10"/>
  <c r="E16679" i="10"/>
  <c r="D16679" i="10"/>
  <c r="E16678" i="10"/>
  <c r="D16678" i="10"/>
  <c r="E16677" i="10"/>
  <c r="D16677" i="10"/>
  <c r="E16676" i="10"/>
  <c r="D16676" i="10"/>
  <c r="E16675" i="10"/>
  <c r="D16675" i="10"/>
  <c r="E16674" i="10"/>
  <c r="D16674" i="10"/>
  <c r="E16673" i="10"/>
  <c r="D16673" i="10"/>
  <c r="E16672" i="10"/>
  <c r="D16672" i="10"/>
  <c r="E16671" i="10"/>
  <c r="D16671" i="10"/>
  <c r="E16670" i="10"/>
  <c r="D16670" i="10"/>
  <c r="E16669" i="10"/>
  <c r="D16669" i="10"/>
  <c r="E16668" i="10"/>
  <c r="D16668" i="10"/>
  <c r="E16667" i="10"/>
  <c r="D16667" i="10"/>
  <c r="E16666" i="10"/>
  <c r="D16666" i="10"/>
  <c r="E16665" i="10"/>
  <c r="D16665" i="10"/>
  <c r="E16664" i="10"/>
  <c r="D16664" i="10"/>
  <c r="E16663" i="10"/>
  <c r="D16663" i="10"/>
  <c r="E16662" i="10"/>
  <c r="D16662" i="10"/>
  <c r="E16661" i="10"/>
  <c r="D16661" i="10"/>
  <c r="E16660" i="10"/>
  <c r="D16660" i="10"/>
  <c r="E16659" i="10"/>
  <c r="D16659" i="10"/>
  <c r="E16658" i="10"/>
  <c r="D16658" i="10"/>
  <c r="E16657" i="10"/>
  <c r="D16657" i="10"/>
  <c r="E16656" i="10"/>
  <c r="D16656" i="10"/>
  <c r="E16655" i="10"/>
  <c r="D16655" i="10"/>
  <c r="E16654" i="10"/>
  <c r="D16654" i="10"/>
  <c r="E16653" i="10"/>
  <c r="D16653" i="10"/>
  <c r="E16652" i="10"/>
  <c r="D16652" i="10"/>
  <c r="E16651" i="10"/>
  <c r="D16651" i="10"/>
  <c r="E16650" i="10"/>
  <c r="D16650" i="10"/>
  <c r="E16649" i="10"/>
  <c r="D16649" i="10"/>
  <c r="E16648" i="10"/>
  <c r="D16648" i="10"/>
  <c r="E16647" i="10"/>
  <c r="D16647" i="10"/>
  <c r="E16646" i="10"/>
  <c r="D16646" i="10"/>
  <c r="E16645" i="10"/>
  <c r="D16645" i="10"/>
  <c r="E16644" i="10"/>
  <c r="D16644" i="10"/>
  <c r="E16643" i="10"/>
  <c r="D16643" i="10"/>
  <c r="E16642" i="10"/>
  <c r="D16642" i="10"/>
  <c r="E16641" i="10"/>
  <c r="D16641" i="10"/>
  <c r="E16640" i="10"/>
  <c r="D16640" i="10"/>
  <c r="E16639" i="10"/>
  <c r="D16639" i="10"/>
  <c r="E16638" i="10"/>
  <c r="D16638" i="10"/>
  <c r="E16637" i="10"/>
  <c r="D16637" i="10"/>
  <c r="E16636" i="10"/>
  <c r="D16636" i="10"/>
  <c r="E16635" i="10"/>
  <c r="D16635" i="10"/>
  <c r="E16634" i="10"/>
  <c r="D16634" i="10"/>
  <c r="E16633" i="10"/>
  <c r="D16633" i="10"/>
  <c r="E16632" i="10"/>
  <c r="D16632" i="10"/>
  <c r="E16631" i="10"/>
  <c r="D16631" i="10"/>
  <c r="E16630" i="10"/>
  <c r="D16630" i="10"/>
  <c r="E16629" i="10"/>
  <c r="D16629" i="10"/>
  <c r="E16628" i="10"/>
  <c r="D16628" i="10"/>
  <c r="E16627" i="10"/>
  <c r="D16627" i="10"/>
  <c r="E16626" i="10"/>
  <c r="D16626" i="10"/>
  <c r="E16625" i="10"/>
  <c r="D16625" i="10"/>
  <c r="E16624" i="10"/>
  <c r="D16624" i="10"/>
  <c r="E16623" i="10"/>
  <c r="D16623" i="10"/>
  <c r="E16622" i="10"/>
  <c r="D16622" i="10"/>
  <c r="E16621" i="10"/>
  <c r="D16621" i="10"/>
  <c r="E16620" i="10"/>
  <c r="D16620" i="10"/>
  <c r="E16619" i="10"/>
  <c r="D16619" i="10"/>
  <c r="E16618" i="10"/>
  <c r="D16618" i="10"/>
  <c r="E16617" i="10"/>
  <c r="D16617" i="10"/>
  <c r="E16616" i="10"/>
  <c r="D16616" i="10"/>
  <c r="E16615" i="10"/>
  <c r="D16615" i="10"/>
  <c r="E16614" i="10"/>
  <c r="D16614" i="10"/>
  <c r="E16613" i="10"/>
  <c r="D16613" i="10"/>
  <c r="E16612" i="10"/>
  <c r="D16612" i="10"/>
  <c r="E16611" i="10"/>
  <c r="D16611" i="10"/>
  <c r="E16610" i="10"/>
  <c r="D16610" i="10"/>
  <c r="E16609" i="10"/>
  <c r="D16609" i="10"/>
  <c r="E16608" i="10"/>
  <c r="D16608" i="10"/>
  <c r="E16607" i="10"/>
  <c r="D16607" i="10"/>
  <c r="E16606" i="10"/>
  <c r="D16606" i="10"/>
  <c r="E16605" i="10"/>
  <c r="D16605" i="10"/>
  <c r="E16604" i="10"/>
  <c r="D16604" i="10"/>
  <c r="E16603" i="10"/>
  <c r="D16603" i="10"/>
  <c r="E16602" i="10"/>
  <c r="D16602" i="10"/>
  <c r="E16601" i="10"/>
  <c r="D16601" i="10"/>
  <c r="E16600" i="10"/>
  <c r="D16600" i="10"/>
  <c r="E16599" i="10"/>
  <c r="D16599" i="10"/>
  <c r="E16598" i="10"/>
  <c r="D16598" i="10"/>
  <c r="E16597" i="10"/>
  <c r="D16597" i="10"/>
  <c r="E16596" i="10"/>
  <c r="D16596" i="10"/>
  <c r="E16595" i="10"/>
  <c r="D16595" i="10"/>
  <c r="E16594" i="10"/>
  <c r="D16594" i="10"/>
  <c r="E16593" i="10"/>
  <c r="D16593" i="10"/>
  <c r="E16592" i="10"/>
  <c r="D16592" i="10"/>
  <c r="E16591" i="10"/>
  <c r="D16591" i="10"/>
  <c r="E16590" i="10"/>
  <c r="D16590" i="10"/>
  <c r="E16589" i="10"/>
  <c r="D16589" i="10"/>
  <c r="E16588" i="10"/>
  <c r="D16588" i="10"/>
  <c r="E16587" i="10"/>
  <c r="D16587" i="10"/>
  <c r="E16586" i="10"/>
  <c r="D16586" i="10"/>
  <c r="E16585" i="10"/>
  <c r="D16585" i="10"/>
  <c r="E16584" i="10"/>
  <c r="D16584" i="10"/>
  <c r="E16583" i="10"/>
  <c r="D16583" i="10"/>
  <c r="E16582" i="10"/>
  <c r="D16582" i="10"/>
  <c r="E16581" i="10"/>
  <c r="D16581" i="10"/>
  <c r="E16580" i="10"/>
  <c r="D16580" i="10"/>
  <c r="E16579" i="10"/>
  <c r="D16579" i="10"/>
  <c r="E16578" i="10"/>
  <c r="D16578" i="10"/>
  <c r="E16577" i="10"/>
  <c r="D16577" i="10"/>
  <c r="E16576" i="10"/>
  <c r="D16576" i="10"/>
  <c r="E16575" i="10"/>
  <c r="D16575" i="10"/>
  <c r="E16574" i="10"/>
  <c r="D16574" i="10"/>
  <c r="E16573" i="10"/>
  <c r="D16573" i="10"/>
  <c r="E16572" i="10"/>
  <c r="D16572" i="10"/>
  <c r="E16571" i="10"/>
  <c r="D16571" i="10"/>
  <c r="E16570" i="10"/>
  <c r="D16570" i="10"/>
  <c r="E16569" i="10"/>
  <c r="D16569" i="10"/>
  <c r="E16568" i="10"/>
  <c r="D16568" i="10"/>
  <c r="E16567" i="10"/>
  <c r="D16567" i="10"/>
  <c r="E16566" i="10"/>
  <c r="D16566" i="10"/>
  <c r="E16565" i="10"/>
  <c r="D16565" i="10"/>
  <c r="E16564" i="10"/>
  <c r="D16564" i="10"/>
  <c r="E16563" i="10"/>
  <c r="D16563" i="10"/>
  <c r="E16562" i="10"/>
  <c r="D16562" i="10"/>
  <c r="E16561" i="10"/>
  <c r="D16561" i="10"/>
  <c r="E16560" i="10"/>
  <c r="D16560" i="10"/>
  <c r="E16559" i="10"/>
  <c r="D16559" i="10"/>
  <c r="E16558" i="10"/>
  <c r="D16558" i="10"/>
  <c r="E16557" i="10"/>
  <c r="D16557" i="10"/>
  <c r="E16556" i="10"/>
  <c r="D16556" i="10"/>
  <c r="E16555" i="10"/>
  <c r="D16555" i="10"/>
  <c r="E16554" i="10"/>
  <c r="D16554" i="10"/>
  <c r="E16553" i="10"/>
  <c r="D16553" i="10"/>
  <c r="E16552" i="10"/>
  <c r="D16552" i="10"/>
  <c r="E16551" i="10"/>
  <c r="D16551" i="10"/>
  <c r="E16550" i="10"/>
  <c r="D16550" i="10"/>
  <c r="E16549" i="10"/>
  <c r="D16549" i="10"/>
  <c r="E16548" i="10"/>
  <c r="D16548" i="10"/>
  <c r="E16547" i="10"/>
  <c r="D16547" i="10"/>
  <c r="E16546" i="10"/>
  <c r="D16546" i="10"/>
  <c r="E16545" i="10"/>
  <c r="D16545" i="10"/>
  <c r="E16544" i="10"/>
  <c r="D16544" i="10"/>
  <c r="E16543" i="10"/>
  <c r="D16543" i="10"/>
  <c r="E16542" i="10"/>
  <c r="D16542" i="10"/>
  <c r="E16541" i="10"/>
  <c r="D16541" i="10"/>
  <c r="E16540" i="10"/>
  <c r="D16540" i="10"/>
  <c r="E16539" i="10"/>
  <c r="D16539" i="10"/>
  <c r="E16538" i="10"/>
  <c r="D16538" i="10"/>
  <c r="E16537" i="10"/>
  <c r="D16537" i="10"/>
  <c r="E16536" i="10"/>
  <c r="D16536" i="10"/>
  <c r="E16535" i="10"/>
  <c r="D16535" i="10"/>
  <c r="E16534" i="10"/>
  <c r="D16534" i="10"/>
  <c r="E16533" i="10"/>
  <c r="D16533" i="10"/>
  <c r="E16532" i="10"/>
  <c r="D16532" i="10"/>
  <c r="E16531" i="10"/>
  <c r="D16531" i="10"/>
  <c r="E16530" i="10"/>
  <c r="D16530" i="10"/>
  <c r="E16529" i="10"/>
  <c r="D16529" i="10"/>
  <c r="E16528" i="10"/>
  <c r="D16528" i="10"/>
  <c r="E16527" i="10"/>
  <c r="D16527" i="10"/>
  <c r="E16526" i="10"/>
  <c r="D16526" i="10"/>
  <c r="E16525" i="10"/>
  <c r="D16525" i="10"/>
  <c r="E16524" i="10"/>
  <c r="D16524" i="10"/>
  <c r="E16523" i="10"/>
  <c r="D16523" i="10"/>
  <c r="E16522" i="10"/>
  <c r="D16522" i="10"/>
  <c r="E16521" i="10"/>
  <c r="D16521" i="10"/>
  <c r="E16520" i="10"/>
  <c r="D16520" i="10"/>
  <c r="E16519" i="10"/>
  <c r="D16519" i="10"/>
  <c r="E16518" i="10"/>
  <c r="D16518" i="10"/>
  <c r="E16517" i="10"/>
  <c r="D16517" i="10"/>
  <c r="E16516" i="10"/>
  <c r="D16516" i="10"/>
  <c r="E16515" i="10"/>
  <c r="D16515" i="10"/>
  <c r="E16514" i="10"/>
  <c r="D16514" i="10"/>
  <c r="E16513" i="10"/>
  <c r="D16513" i="10"/>
  <c r="E16512" i="10"/>
  <c r="D16512" i="10"/>
  <c r="E16511" i="10"/>
  <c r="D16511" i="10"/>
  <c r="E16510" i="10"/>
  <c r="D16510" i="10"/>
  <c r="E16509" i="10"/>
  <c r="D16509" i="10"/>
  <c r="E16508" i="10"/>
  <c r="D16508" i="10"/>
  <c r="E16507" i="10"/>
  <c r="D16507" i="10"/>
  <c r="E16506" i="10"/>
  <c r="D16506" i="10"/>
  <c r="E16505" i="10"/>
  <c r="D16505" i="10"/>
  <c r="E16504" i="10"/>
  <c r="D16504" i="10"/>
  <c r="E16503" i="10"/>
  <c r="D16503" i="10"/>
  <c r="E16502" i="10"/>
  <c r="D16502" i="10"/>
  <c r="E16501" i="10"/>
  <c r="D16501" i="10"/>
  <c r="E16500" i="10"/>
  <c r="D16500" i="10"/>
  <c r="E16499" i="10"/>
  <c r="D16499" i="10"/>
  <c r="E16498" i="10"/>
  <c r="D16498" i="10"/>
  <c r="E16497" i="10"/>
  <c r="D16497" i="10"/>
  <c r="E16496" i="10"/>
  <c r="D16496" i="10"/>
  <c r="E16495" i="10"/>
  <c r="D16495" i="10"/>
  <c r="E16494" i="10"/>
  <c r="D16494" i="10"/>
  <c r="E16493" i="10"/>
  <c r="D16493" i="10"/>
  <c r="E16492" i="10"/>
  <c r="D16492" i="10"/>
  <c r="E16491" i="10"/>
  <c r="D16491" i="10"/>
  <c r="E16490" i="10"/>
  <c r="D16490" i="10"/>
  <c r="E16489" i="10"/>
  <c r="D16489" i="10"/>
  <c r="E16488" i="10"/>
  <c r="D16488" i="10"/>
  <c r="E16487" i="10"/>
  <c r="D16487" i="10"/>
  <c r="E16486" i="10"/>
  <c r="D16486" i="10"/>
  <c r="E16485" i="10"/>
  <c r="D16485" i="10"/>
  <c r="E16484" i="10"/>
  <c r="D16484" i="10"/>
  <c r="E16483" i="10"/>
  <c r="D16483" i="10"/>
  <c r="E16482" i="10"/>
  <c r="D16482" i="10"/>
  <c r="E16481" i="10"/>
  <c r="D16481" i="10"/>
  <c r="E16480" i="10"/>
  <c r="D16480" i="10"/>
  <c r="E16479" i="10"/>
  <c r="D16479" i="10"/>
  <c r="E16478" i="10"/>
  <c r="D16478" i="10"/>
  <c r="E16477" i="10"/>
  <c r="D16477" i="10"/>
  <c r="E16476" i="10"/>
  <c r="D16476" i="10"/>
  <c r="E16475" i="10"/>
  <c r="D16475" i="10"/>
  <c r="E16474" i="10"/>
  <c r="D16474" i="10"/>
  <c r="E16473" i="10"/>
  <c r="D16473" i="10"/>
  <c r="E16472" i="10"/>
  <c r="D16472" i="10"/>
  <c r="E16471" i="10"/>
  <c r="D16471" i="10"/>
  <c r="E16470" i="10"/>
  <c r="D16470" i="10"/>
  <c r="E16469" i="10"/>
  <c r="D16469" i="10"/>
  <c r="E16468" i="10"/>
  <c r="D16468" i="10"/>
  <c r="E16467" i="10"/>
  <c r="D16467" i="10"/>
  <c r="E16466" i="10"/>
  <c r="D16466" i="10"/>
  <c r="E16465" i="10"/>
  <c r="D16465" i="10"/>
  <c r="E16464" i="10"/>
  <c r="D16464" i="10"/>
  <c r="E16463" i="10"/>
  <c r="D16463" i="10"/>
  <c r="E16462" i="10"/>
  <c r="D16462" i="10"/>
  <c r="E16461" i="10"/>
  <c r="D16461" i="10"/>
  <c r="E16460" i="10"/>
  <c r="D16460" i="10"/>
  <c r="E16459" i="10"/>
  <c r="D16459" i="10"/>
  <c r="E16458" i="10"/>
  <c r="D16458" i="10"/>
  <c r="E16457" i="10"/>
  <c r="D16457" i="10"/>
  <c r="E16456" i="10"/>
  <c r="D16456" i="10"/>
  <c r="E16455" i="10"/>
  <c r="D16455" i="10"/>
  <c r="E16454" i="10"/>
  <c r="D16454" i="10"/>
  <c r="E16453" i="10"/>
  <c r="D16453" i="10"/>
  <c r="E16452" i="10"/>
  <c r="D16452" i="10"/>
  <c r="E16451" i="10"/>
  <c r="D16451" i="10"/>
  <c r="E16450" i="10"/>
  <c r="D16450" i="10"/>
  <c r="E16449" i="10"/>
  <c r="D16449" i="10"/>
  <c r="E16448" i="10"/>
  <c r="D16448" i="10"/>
  <c r="E16447" i="10"/>
  <c r="D16447" i="10"/>
  <c r="E16446" i="10"/>
  <c r="D16446" i="10"/>
  <c r="E16445" i="10"/>
  <c r="D16445" i="10"/>
  <c r="E16444" i="10"/>
  <c r="D16444" i="10"/>
  <c r="E16443" i="10"/>
  <c r="D16443" i="10"/>
  <c r="E16442" i="10"/>
  <c r="D16442" i="10"/>
  <c r="E16441" i="10"/>
  <c r="D16441" i="10"/>
  <c r="E16440" i="10"/>
  <c r="D16440" i="10"/>
  <c r="E16439" i="10"/>
  <c r="D16439" i="10"/>
  <c r="E16438" i="10"/>
  <c r="D16438" i="10"/>
  <c r="E16437" i="10"/>
  <c r="D16437" i="10"/>
  <c r="E16436" i="10"/>
  <c r="D16436" i="10"/>
  <c r="E16435" i="10"/>
  <c r="D16435" i="10"/>
  <c r="E16434" i="10"/>
  <c r="D16434" i="10"/>
  <c r="E16433" i="10"/>
  <c r="D16433" i="10"/>
  <c r="E16432" i="10"/>
  <c r="D16432" i="10"/>
  <c r="E16431" i="10"/>
  <c r="D16431" i="10"/>
  <c r="E16430" i="10"/>
  <c r="D16430" i="10"/>
  <c r="E16429" i="10"/>
  <c r="D16429" i="10"/>
  <c r="E16428" i="10"/>
  <c r="D16428" i="10"/>
  <c r="E16427" i="10"/>
  <c r="D16427" i="10"/>
  <c r="E16426" i="10"/>
  <c r="D16426" i="10"/>
  <c r="E16425" i="10"/>
  <c r="D16425" i="10"/>
  <c r="E16424" i="10"/>
  <c r="D16424" i="10"/>
  <c r="E16423" i="10"/>
  <c r="D16423" i="10"/>
  <c r="E16422" i="10"/>
  <c r="D16422" i="10"/>
  <c r="E16421" i="10"/>
  <c r="D16421" i="10"/>
  <c r="E16420" i="10"/>
  <c r="D16420" i="10"/>
  <c r="E16419" i="10"/>
  <c r="D16419" i="10"/>
  <c r="E16418" i="10"/>
  <c r="D16418" i="10"/>
  <c r="E16417" i="10"/>
  <c r="D16417" i="10"/>
  <c r="E16416" i="10"/>
  <c r="D16416" i="10"/>
  <c r="E16415" i="10"/>
  <c r="D16415" i="10"/>
  <c r="E16414" i="10"/>
  <c r="D16414" i="10"/>
  <c r="E16413" i="10"/>
  <c r="D16413" i="10"/>
  <c r="E16412" i="10"/>
  <c r="D16412" i="10"/>
  <c r="E16411" i="10"/>
  <c r="D16411" i="10"/>
  <c r="E16410" i="10"/>
  <c r="D16410" i="10"/>
  <c r="E16409" i="10"/>
  <c r="D16409" i="10"/>
  <c r="E16408" i="10"/>
  <c r="D16408" i="10"/>
  <c r="E16407" i="10"/>
  <c r="D16407" i="10"/>
  <c r="E16406" i="10"/>
  <c r="D16406" i="10"/>
  <c r="E16405" i="10"/>
  <c r="D16405" i="10"/>
  <c r="E16404" i="10"/>
  <c r="D16404" i="10"/>
  <c r="E16403" i="10"/>
  <c r="D16403" i="10"/>
  <c r="E16402" i="10"/>
  <c r="D16402" i="10"/>
  <c r="E16401" i="10"/>
  <c r="D16401" i="10"/>
  <c r="E16400" i="10"/>
  <c r="D16400" i="10"/>
  <c r="E16399" i="10"/>
  <c r="D16399" i="10"/>
  <c r="E16398" i="10"/>
  <c r="D16398" i="10"/>
  <c r="E16397" i="10"/>
  <c r="D16397" i="10"/>
  <c r="E16396" i="10"/>
  <c r="D16396" i="10"/>
  <c r="E16395" i="10"/>
  <c r="D16395" i="10"/>
  <c r="E16394" i="10"/>
  <c r="D16394" i="10"/>
  <c r="E16393" i="10"/>
  <c r="D16393" i="10"/>
  <c r="E16392" i="10"/>
  <c r="D16392" i="10"/>
  <c r="E16391" i="10"/>
  <c r="D16391" i="10"/>
  <c r="E16390" i="10"/>
  <c r="D16390" i="10"/>
  <c r="E16389" i="10"/>
  <c r="D16389" i="10"/>
  <c r="E16388" i="10"/>
  <c r="D16388" i="10"/>
  <c r="E16387" i="10"/>
  <c r="D16387" i="10"/>
  <c r="E16386" i="10"/>
  <c r="D16386" i="10"/>
  <c r="E16385" i="10"/>
  <c r="D16385" i="10"/>
  <c r="E16384" i="10"/>
  <c r="D16384" i="10"/>
  <c r="E16383" i="10"/>
  <c r="D16383" i="10"/>
  <c r="E16382" i="10"/>
  <c r="D16382" i="10"/>
  <c r="E16381" i="10"/>
  <c r="D16381" i="10"/>
  <c r="E16380" i="10"/>
  <c r="D16380" i="10"/>
  <c r="E16379" i="10"/>
  <c r="D16379" i="10"/>
  <c r="E16378" i="10"/>
  <c r="D16378" i="10"/>
  <c r="E16377" i="10"/>
  <c r="D16377" i="10"/>
  <c r="E16376" i="10"/>
  <c r="D16376" i="10"/>
  <c r="E16375" i="10"/>
  <c r="D16375" i="10"/>
  <c r="E16374" i="10"/>
  <c r="D16374" i="10"/>
  <c r="E16373" i="10"/>
  <c r="D16373" i="10"/>
  <c r="E16372" i="10"/>
  <c r="D16372" i="10"/>
  <c r="E16371" i="10"/>
  <c r="D16371" i="10"/>
  <c r="E16370" i="10"/>
  <c r="D16370" i="10"/>
  <c r="E16369" i="10"/>
  <c r="D16369" i="10"/>
  <c r="E16368" i="10"/>
  <c r="D16368" i="10"/>
  <c r="E16367" i="10"/>
  <c r="D16367" i="10"/>
  <c r="E16366" i="10"/>
  <c r="D16366" i="10"/>
  <c r="E16365" i="10"/>
  <c r="D16365" i="10"/>
  <c r="E16364" i="10"/>
  <c r="D16364" i="10"/>
  <c r="E16363" i="10"/>
  <c r="D16363" i="10"/>
  <c r="E16362" i="10"/>
  <c r="D16362" i="10"/>
  <c r="E16361" i="10"/>
  <c r="D16361" i="10"/>
  <c r="E16360" i="10"/>
  <c r="D16360" i="10"/>
  <c r="E16359" i="10"/>
  <c r="D16359" i="10"/>
  <c r="E16358" i="10"/>
  <c r="D16358" i="10"/>
  <c r="E16357" i="10"/>
  <c r="D16357" i="10"/>
  <c r="E16356" i="10"/>
  <c r="D16356" i="10"/>
  <c r="E16355" i="10"/>
  <c r="D16355" i="10"/>
  <c r="E16354" i="10"/>
  <c r="D16354" i="10"/>
  <c r="E16353" i="10"/>
  <c r="D16353" i="10"/>
  <c r="E16352" i="10"/>
  <c r="D16352" i="10"/>
  <c r="E16351" i="10"/>
  <c r="D16351" i="10"/>
  <c r="E16350" i="10"/>
  <c r="D16350" i="10"/>
  <c r="E16349" i="10"/>
  <c r="D16349" i="10"/>
  <c r="E16348" i="10"/>
  <c r="D16348" i="10"/>
  <c r="E16347" i="10"/>
  <c r="D16347" i="10"/>
  <c r="E16346" i="10"/>
  <c r="D16346" i="10"/>
  <c r="E16345" i="10"/>
  <c r="D16345" i="10"/>
  <c r="E16344" i="10"/>
  <c r="D16344" i="10"/>
  <c r="E16343" i="10"/>
  <c r="D16343" i="10"/>
  <c r="E16342" i="10"/>
  <c r="D16342" i="10"/>
  <c r="E16341" i="10"/>
  <c r="D16341" i="10"/>
  <c r="E16340" i="10"/>
  <c r="D16340" i="10"/>
  <c r="E16339" i="10"/>
  <c r="D16339" i="10"/>
  <c r="E16338" i="10"/>
  <c r="D16338" i="10"/>
  <c r="E16337" i="10"/>
  <c r="D16337" i="10"/>
  <c r="E16336" i="10"/>
  <c r="D16336" i="10"/>
  <c r="E16335" i="10"/>
  <c r="D16335" i="10"/>
  <c r="E16334" i="10"/>
  <c r="D16334" i="10"/>
  <c r="E16333" i="10"/>
  <c r="D16333" i="10"/>
  <c r="E16332" i="10"/>
  <c r="D16332" i="10"/>
  <c r="E16331" i="10"/>
  <c r="D16331" i="10"/>
  <c r="E16330" i="10"/>
  <c r="D16330" i="10"/>
  <c r="E16329" i="10"/>
  <c r="D16329" i="10"/>
  <c r="E16328" i="10"/>
  <c r="D16328" i="10"/>
  <c r="E16327" i="10"/>
  <c r="D16327" i="10"/>
  <c r="E16326" i="10"/>
  <c r="D16326" i="10"/>
  <c r="E16325" i="10"/>
  <c r="D16325" i="10"/>
  <c r="E16324" i="10"/>
  <c r="D16324" i="10"/>
  <c r="E16323" i="10"/>
  <c r="D16323" i="10"/>
  <c r="E16322" i="10"/>
  <c r="D16322" i="10"/>
  <c r="E16321" i="10"/>
  <c r="D16321" i="10"/>
  <c r="E16320" i="10"/>
  <c r="D16320" i="10"/>
  <c r="E16319" i="10"/>
  <c r="D16319" i="10"/>
  <c r="E16318" i="10"/>
  <c r="D16318" i="10"/>
  <c r="E16317" i="10"/>
  <c r="D16317" i="10"/>
  <c r="E16316" i="10"/>
  <c r="D16316" i="10"/>
  <c r="E16315" i="10"/>
  <c r="D16315" i="10"/>
  <c r="E16314" i="10"/>
  <c r="D16314" i="10"/>
  <c r="E16313" i="10"/>
  <c r="D16313" i="10"/>
  <c r="E16312" i="10"/>
  <c r="D16312" i="10"/>
  <c r="E16311" i="10"/>
  <c r="D16311" i="10"/>
  <c r="E16310" i="10"/>
  <c r="D16310" i="10"/>
  <c r="E16309" i="10"/>
  <c r="D16309" i="10"/>
  <c r="E16308" i="10"/>
  <c r="D16308" i="10"/>
  <c r="E16307" i="10"/>
  <c r="D16307" i="10"/>
  <c r="E16306" i="10"/>
  <c r="D16306" i="10"/>
  <c r="E16305" i="10"/>
  <c r="D16305" i="10"/>
  <c r="E16304" i="10"/>
  <c r="D16304" i="10"/>
  <c r="E16303" i="10"/>
  <c r="D16303" i="10"/>
  <c r="E16302" i="10"/>
  <c r="D16302" i="10"/>
  <c r="E16301" i="10"/>
  <c r="D16301" i="10"/>
  <c r="E16300" i="10"/>
  <c r="D16300" i="10"/>
  <c r="E16299" i="10"/>
  <c r="D16299" i="10"/>
  <c r="E16298" i="10"/>
  <c r="D16298" i="10"/>
  <c r="E16297" i="10"/>
  <c r="D16297" i="10"/>
  <c r="E16296" i="10"/>
  <c r="D16296" i="10"/>
  <c r="E16295" i="10"/>
  <c r="D16295" i="10"/>
  <c r="E16294" i="10"/>
  <c r="D16294" i="10"/>
  <c r="E16293" i="10"/>
  <c r="D16293" i="10"/>
  <c r="E16292" i="10"/>
  <c r="D16292" i="10"/>
  <c r="E16291" i="10"/>
  <c r="D16291" i="10"/>
  <c r="E16290" i="10"/>
  <c r="D16290" i="10"/>
  <c r="E16289" i="10"/>
  <c r="D16289" i="10"/>
  <c r="E16288" i="10"/>
  <c r="D16288" i="10"/>
  <c r="E16287" i="10"/>
  <c r="D16287" i="10"/>
  <c r="E16286" i="10"/>
  <c r="D16286" i="10"/>
  <c r="E16285" i="10"/>
  <c r="D16285" i="10"/>
  <c r="E16284" i="10"/>
  <c r="D16284" i="10"/>
  <c r="E16283" i="10"/>
  <c r="D16283" i="10"/>
  <c r="E16282" i="10"/>
  <c r="D16282" i="10"/>
  <c r="E16281" i="10"/>
  <c r="D16281" i="10"/>
  <c r="E16280" i="10"/>
  <c r="D16280" i="10"/>
  <c r="E16279" i="10"/>
  <c r="D16279" i="10"/>
  <c r="E16278" i="10"/>
  <c r="D16278" i="10"/>
  <c r="E16277" i="10"/>
  <c r="D16277" i="10"/>
  <c r="E16276" i="10"/>
  <c r="D16276" i="10"/>
  <c r="E16275" i="10"/>
  <c r="D16275" i="10"/>
  <c r="E16274" i="10"/>
  <c r="D16274" i="10"/>
  <c r="E16273" i="10"/>
  <c r="D16273" i="10"/>
  <c r="E16272" i="10"/>
  <c r="D16272" i="10"/>
  <c r="E16271" i="10"/>
  <c r="D16271" i="10"/>
  <c r="E16270" i="10"/>
  <c r="D16270" i="10"/>
  <c r="E16269" i="10"/>
  <c r="D16269" i="10"/>
  <c r="E16268" i="10"/>
  <c r="D16268" i="10"/>
  <c r="E16267" i="10"/>
  <c r="D16267" i="10"/>
  <c r="E16266" i="10"/>
  <c r="D16266" i="10"/>
  <c r="E16265" i="10"/>
  <c r="D16265" i="10"/>
  <c r="E16264" i="10"/>
  <c r="D16264" i="10"/>
  <c r="E16263" i="10"/>
  <c r="D16263" i="10"/>
  <c r="E16262" i="10"/>
  <c r="D16262" i="10"/>
  <c r="E16261" i="10"/>
  <c r="D16261" i="10"/>
  <c r="E16260" i="10"/>
  <c r="D16260" i="10"/>
  <c r="E16259" i="10"/>
  <c r="D16259" i="10"/>
  <c r="E16258" i="10"/>
  <c r="D16258" i="10"/>
  <c r="E16257" i="10"/>
  <c r="D16257" i="10"/>
  <c r="E16256" i="10"/>
  <c r="D16256" i="10"/>
  <c r="E16255" i="10"/>
  <c r="D16255" i="10"/>
  <c r="E16254" i="10"/>
  <c r="D16254" i="10"/>
  <c r="E16253" i="10"/>
  <c r="D16253" i="10"/>
  <c r="E16252" i="10"/>
  <c r="D16252" i="10"/>
  <c r="E16251" i="10"/>
  <c r="D16251" i="10"/>
  <c r="E16250" i="10"/>
  <c r="D16250" i="10"/>
  <c r="E16249" i="10"/>
  <c r="D16249" i="10"/>
  <c r="E16248" i="10"/>
  <c r="D16248" i="10"/>
  <c r="E16247" i="10"/>
  <c r="D16247" i="10"/>
  <c r="E16246" i="10"/>
  <c r="D16246" i="10"/>
  <c r="E16245" i="10"/>
  <c r="D16245" i="10"/>
  <c r="E16244" i="10"/>
  <c r="D16244" i="10"/>
  <c r="E16243" i="10"/>
  <c r="D16243" i="10"/>
  <c r="E16242" i="10"/>
  <c r="D16242" i="10"/>
  <c r="E16241" i="10"/>
  <c r="D16241" i="10"/>
  <c r="E16240" i="10"/>
  <c r="D16240" i="10"/>
  <c r="E16239" i="10"/>
  <c r="D16239" i="10"/>
  <c r="E16238" i="10"/>
  <c r="D16238" i="10"/>
  <c r="E16237" i="10"/>
  <c r="D16237" i="10"/>
  <c r="E16236" i="10"/>
  <c r="D16236" i="10"/>
  <c r="E16235" i="10"/>
  <c r="D16235" i="10"/>
  <c r="E16234" i="10"/>
  <c r="D16234" i="10"/>
  <c r="E16233" i="10"/>
  <c r="D16233" i="10"/>
  <c r="E16232" i="10"/>
  <c r="D16232" i="10"/>
  <c r="E16231" i="10"/>
  <c r="D16231" i="10"/>
  <c r="E16230" i="10"/>
  <c r="D16230" i="10"/>
  <c r="E16229" i="10"/>
  <c r="D16229" i="10"/>
  <c r="E16228" i="10"/>
  <c r="D16228" i="10"/>
  <c r="E16227" i="10"/>
  <c r="D16227" i="10"/>
  <c r="E16226" i="10"/>
  <c r="D16226" i="10"/>
  <c r="E16225" i="10"/>
  <c r="D16225" i="10"/>
  <c r="E16224" i="10"/>
  <c r="D16224" i="10"/>
  <c r="E16223" i="10"/>
  <c r="D16223" i="10"/>
  <c r="E16222" i="10"/>
  <c r="D16222" i="10"/>
  <c r="E16221" i="10"/>
  <c r="D16221" i="10"/>
  <c r="E16220" i="10"/>
  <c r="D16220" i="10"/>
  <c r="E16219" i="10"/>
  <c r="D16219" i="10"/>
  <c r="E16218" i="10"/>
  <c r="D16218" i="10"/>
  <c r="E16217" i="10"/>
  <c r="D16217" i="10"/>
  <c r="E16216" i="10"/>
  <c r="D16216" i="10"/>
  <c r="E16215" i="10"/>
  <c r="D16215" i="10"/>
  <c r="E16214" i="10"/>
  <c r="D16214" i="10"/>
  <c r="E16213" i="10"/>
  <c r="D16213" i="10"/>
  <c r="E16212" i="10"/>
  <c r="D16212" i="10"/>
  <c r="E16211" i="10"/>
  <c r="D16211" i="10"/>
  <c r="E16210" i="10"/>
  <c r="D16210" i="10"/>
  <c r="E16209" i="10"/>
  <c r="D16209" i="10"/>
  <c r="E16208" i="10"/>
  <c r="D16208" i="10"/>
  <c r="E16207" i="10"/>
  <c r="D16207" i="10"/>
  <c r="E16206" i="10"/>
  <c r="D16206" i="10"/>
  <c r="E16205" i="10"/>
  <c r="D16205" i="10"/>
  <c r="E16204" i="10"/>
  <c r="D16204" i="10"/>
  <c r="E16203" i="10"/>
  <c r="D16203" i="10"/>
  <c r="E16202" i="10"/>
  <c r="D16202" i="10"/>
  <c r="E16201" i="10"/>
  <c r="D16201" i="10"/>
  <c r="E16200" i="10"/>
  <c r="D16200" i="10"/>
  <c r="E16199" i="10"/>
  <c r="D16199" i="10"/>
  <c r="E16198" i="10"/>
  <c r="D16198" i="10"/>
  <c r="E16197" i="10"/>
  <c r="D16197" i="10"/>
  <c r="E16196" i="10"/>
  <c r="D16196" i="10"/>
  <c r="E16195" i="10"/>
  <c r="D16195" i="10"/>
  <c r="E16194" i="10"/>
  <c r="D16194" i="10"/>
  <c r="E16193" i="10"/>
  <c r="D16193" i="10"/>
  <c r="E16192" i="10"/>
  <c r="D16192" i="10"/>
  <c r="E16191" i="10"/>
  <c r="D16191" i="10"/>
  <c r="E16190" i="10"/>
  <c r="D16190" i="10"/>
  <c r="E16189" i="10"/>
  <c r="D16189" i="10"/>
  <c r="E16188" i="10"/>
  <c r="D16188" i="10"/>
  <c r="E16187" i="10"/>
  <c r="D16187" i="10"/>
  <c r="E16186" i="10"/>
  <c r="D16186" i="10"/>
  <c r="E16185" i="10"/>
  <c r="D16185" i="10"/>
  <c r="E16184" i="10"/>
  <c r="D16184" i="10"/>
  <c r="E16183" i="10"/>
  <c r="D16183" i="10"/>
  <c r="E16182" i="10"/>
  <c r="D16182" i="10"/>
  <c r="E16181" i="10"/>
  <c r="D16181" i="10"/>
  <c r="E16180" i="10"/>
  <c r="D16180" i="10"/>
  <c r="E16179" i="10"/>
  <c r="D16179" i="10"/>
  <c r="E16178" i="10"/>
  <c r="D16178" i="10"/>
  <c r="E16177" i="10"/>
  <c r="D16177" i="10"/>
  <c r="E16176" i="10"/>
  <c r="D16176" i="10"/>
  <c r="E16175" i="10"/>
  <c r="D16175" i="10"/>
  <c r="E16174" i="10"/>
  <c r="D16174" i="10"/>
  <c r="E16173" i="10"/>
  <c r="D16173" i="10"/>
  <c r="E16172" i="10"/>
  <c r="D16172" i="10"/>
  <c r="E16171" i="10"/>
  <c r="D16171" i="10"/>
  <c r="E16170" i="10"/>
  <c r="D16170" i="10"/>
  <c r="E16169" i="10"/>
  <c r="D16169" i="10"/>
  <c r="E16168" i="10"/>
  <c r="D16168" i="10"/>
  <c r="E16167" i="10"/>
  <c r="D16167" i="10"/>
  <c r="E16166" i="10"/>
  <c r="D16166" i="10"/>
  <c r="E16165" i="10"/>
  <c r="D16165" i="10"/>
  <c r="E16164" i="10"/>
  <c r="D16164" i="10"/>
  <c r="E16163" i="10"/>
  <c r="D16163" i="10"/>
  <c r="E16162" i="10"/>
  <c r="D16162" i="10"/>
  <c r="E16161" i="10"/>
  <c r="D16161" i="10"/>
  <c r="E16160" i="10"/>
  <c r="D16160" i="10"/>
  <c r="E16159" i="10"/>
  <c r="D16159" i="10"/>
  <c r="E16158" i="10"/>
  <c r="D16158" i="10"/>
  <c r="E16157" i="10"/>
  <c r="D16157" i="10"/>
  <c r="E16156" i="10"/>
  <c r="D16156" i="10"/>
  <c r="E16155" i="10"/>
  <c r="D16155" i="10"/>
  <c r="E16154" i="10"/>
  <c r="D16154" i="10"/>
  <c r="E16153" i="10"/>
  <c r="D16153" i="10"/>
  <c r="E16152" i="10"/>
  <c r="D16152" i="10"/>
  <c r="E16151" i="10"/>
  <c r="D16151" i="10"/>
  <c r="E16150" i="10"/>
  <c r="D16150" i="10"/>
  <c r="E16149" i="10"/>
  <c r="D16149" i="10"/>
  <c r="E16148" i="10"/>
  <c r="D16148" i="10"/>
  <c r="E16147" i="10"/>
  <c r="D16147" i="10"/>
  <c r="E16146" i="10"/>
  <c r="D16146" i="10"/>
  <c r="E16145" i="10"/>
  <c r="D16145" i="10"/>
  <c r="E16144" i="10"/>
  <c r="D16144" i="10"/>
  <c r="E16143" i="10"/>
  <c r="D16143" i="10"/>
  <c r="E16142" i="10"/>
  <c r="D16142" i="10"/>
  <c r="E16141" i="10"/>
  <c r="D16141" i="10"/>
  <c r="E16140" i="10"/>
  <c r="D16140" i="10"/>
  <c r="E16139" i="10"/>
  <c r="D16139" i="10"/>
  <c r="E16138" i="10"/>
  <c r="D16138" i="10"/>
  <c r="E16137" i="10"/>
  <c r="D16137" i="10"/>
  <c r="E16136" i="10"/>
  <c r="D16136" i="10"/>
  <c r="E16135" i="10"/>
  <c r="D16135" i="10"/>
  <c r="E16134" i="10"/>
  <c r="D16134" i="10"/>
  <c r="E16133" i="10"/>
  <c r="D16133" i="10"/>
  <c r="E16132" i="10"/>
  <c r="D16132" i="10"/>
  <c r="E16131" i="10"/>
  <c r="D16131" i="10"/>
  <c r="E16130" i="10"/>
  <c r="D16130" i="10"/>
  <c r="E16129" i="10"/>
  <c r="D16129" i="10"/>
  <c r="E16128" i="10"/>
  <c r="D16128" i="10"/>
  <c r="E16127" i="10"/>
  <c r="D16127" i="10"/>
  <c r="E16126" i="10"/>
  <c r="D16126" i="10"/>
  <c r="E16125" i="10"/>
  <c r="D16125" i="10"/>
  <c r="E16124" i="10"/>
  <c r="D16124" i="10"/>
  <c r="E16123" i="10"/>
  <c r="D16123" i="10"/>
  <c r="E16122" i="10"/>
  <c r="D16122" i="10"/>
  <c r="E16121" i="10"/>
  <c r="D16121" i="10"/>
  <c r="E16120" i="10"/>
  <c r="D16120" i="10"/>
  <c r="E16119" i="10"/>
  <c r="D16119" i="10"/>
  <c r="E16118" i="10"/>
  <c r="D16118" i="10"/>
  <c r="E16117" i="10"/>
  <c r="D16117" i="10"/>
  <c r="E16116" i="10"/>
  <c r="D16116" i="10"/>
  <c r="E16115" i="10"/>
  <c r="D16115" i="10"/>
  <c r="E16114" i="10"/>
  <c r="D16114" i="10"/>
  <c r="E16113" i="10"/>
  <c r="D16113" i="10"/>
  <c r="E16112" i="10"/>
  <c r="D16112" i="10"/>
  <c r="E16111" i="10"/>
  <c r="D16111" i="10"/>
  <c r="E16110" i="10"/>
  <c r="D16110" i="10"/>
  <c r="E16109" i="10"/>
  <c r="D16109" i="10"/>
  <c r="E16108" i="10"/>
  <c r="D16108" i="10"/>
  <c r="E16107" i="10"/>
  <c r="D16107" i="10"/>
  <c r="E16106" i="10"/>
  <c r="D16106" i="10"/>
  <c r="E16105" i="10"/>
  <c r="D16105" i="10"/>
  <c r="E16104" i="10"/>
  <c r="D16104" i="10"/>
  <c r="E16103" i="10"/>
  <c r="D16103" i="10"/>
  <c r="E16102" i="10"/>
  <c r="D16102" i="10"/>
  <c r="E16101" i="10"/>
  <c r="D16101" i="10"/>
  <c r="E16100" i="10"/>
  <c r="D16100" i="10"/>
  <c r="E16099" i="10"/>
  <c r="D16099" i="10"/>
  <c r="E16098" i="10"/>
  <c r="D16098" i="10"/>
  <c r="E16097" i="10"/>
  <c r="D16097" i="10"/>
  <c r="E16096" i="10"/>
  <c r="D16096" i="10"/>
  <c r="E16095" i="10"/>
  <c r="D16095" i="10"/>
  <c r="E16094" i="10"/>
  <c r="D16094" i="10"/>
  <c r="E16093" i="10"/>
  <c r="D16093" i="10"/>
  <c r="E16092" i="10"/>
  <c r="D16092" i="10"/>
  <c r="E16091" i="10"/>
  <c r="D16091" i="10"/>
  <c r="E16090" i="10"/>
  <c r="D16090" i="10"/>
  <c r="E16089" i="10"/>
  <c r="D16089" i="10"/>
  <c r="E16088" i="10"/>
  <c r="D16088" i="10"/>
  <c r="E16087" i="10"/>
  <c r="D16087" i="10"/>
  <c r="E16086" i="10"/>
  <c r="D16086" i="10"/>
  <c r="E16085" i="10"/>
  <c r="D16085" i="10"/>
  <c r="E16084" i="10"/>
  <c r="D16084" i="10"/>
  <c r="E16083" i="10"/>
  <c r="D16083" i="10"/>
  <c r="E16082" i="10"/>
  <c r="D16082" i="10"/>
  <c r="E16081" i="10"/>
  <c r="D16081" i="10"/>
  <c r="E16080" i="10"/>
  <c r="D16080" i="10"/>
  <c r="E16079" i="10"/>
  <c r="D16079" i="10"/>
  <c r="E16078" i="10"/>
  <c r="D16078" i="10"/>
  <c r="E16077" i="10"/>
  <c r="D16077" i="10"/>
  <c r="E16076" i="10"/>
  <c r="D16076" i="10"/>
  <c r="E16075" i="10"/>
  <c r="D16075" i="10"/>
  <c r="E16074" i="10"/>
  <c r="D16074" i="10"/>
  <c r="E16073" i="10"/>
  <c r="D16073" i="10"/>
  <c r="E16072" i="10"/>
  <c r="D16072" i="10"/>
  <c r="E16071" i="10"/>
  <c r="D16071" i="10"/>
  <c r="E16070" i="10"/>
  <c r="D16070" i="10"/>
  <c r="E16069" i="10"/>
  <c r="D16069" i="10"/>
  <c r="E16068" i="10"/>
  <c r="D16068" i="10"/>
  <c r="E16067" i="10"/>
  <c r="D16067" i="10"/>
  <c r="E16066" i="10"/>
  <c r="D16066" i="10"/>
  <c r="E16065" i="10"/>
  <c r="D16065" i="10"/>
  <c r="E16064" i="10"/>
  <c r="D16064" i="10"/>
  <c r="E16063" i="10"/>
  <c r="D16063" i="10"/>
  <c r="E16062" i="10"/>
  <c r="D16062" i="10"/>
  <c r="E16061" i="10"/>
  <c r="D16061" i="10"/>
  <c r="E16060" i="10"/>
  <c r="D16060" i="10"/>
  <c r="E16059" i="10"/>
  <c r="D16059" i="10"/>
  <c r="E16058" i="10"/>
  <c r="D16058" i="10"/>
  <c r="E16057" i="10"/>
  <c r="D16057" i="10"/>
  <c r="E16056" i="10"/>
  <c r="D16056" i="10"/>
  <c r="E16055" i="10"/>
  <c r="D16055" i="10"/>
  <c r="E16054" i="10"/>
  <c r="D16054" i="10"/>
  <c r="E16053" i="10"/>
  <c r="D16053" i="10"/>
  <c r="E16052" i="10"/>
  <c r="D16052" i="10"/>
  <c r="E16051" i="10"/>
  <c r="D16051" i="10"/>
  <c r="E16050" i="10"/>
  <c r="D16050" i="10"/>
  <c r="E16049" i="10"/>
  <c r="D16049" i="10"/>
  <c r="E16048" i="10"/>
  <c r="D16048" i="10"/>
  <c r="E16047" i="10"/>
  <c r="D16047" i="10"/>
  <c r="E16046" i="10"/>
  <c r="D16046" i="10"/>
  <c r="E16045" i="10"/>
  <c r="D16045" i="10"/>
  <c r="E16044" i="10"/>
  <c r="D16044" i="10"/>
  <c r="E16043" i="10"/>
  <c r="D16043" i="10"/>
  <c r="E16042" i="10"/>
  <c r="D16042" i="10"/>
  <c r="E16041" i="10"/>
  <c r="D16041" i="10"/>
  <c r="E16040" i="10"/>
  <c r="D16040" i="10"/>
  <c r="E16039" i="10"/>
  <c r="D16039" i="10"/>
  <c r="E16038" i="10"/>
  <c r="D16038" i="10"/>
  <c r="E16037" i="10"/>
  <c r="D16037" i="10"/>
  <c r="E16036" i="10"/>
  <c r="D16036" i="10"/>
  <c r="E16035" i="10"/>
  <c r="D16035" i="10"/>
  <c r="E16034" i="10"/>
  <c r="D16034" i="10"/>
  <c r="E16033" i="10"/>
  <c r="D16033" i="10"/>
  <c r="E16032" i="10"/>
  <c r="D16032" i="10"/>
  <c r="E16031" i="10"/>
  <c r="D16031" i="10"/>
  <c r="E16030" i="10"/>
  <c r="D16030" i="10"/>
  <c r="E16029" i="10"/>
  <c r="D16029" i="10"/>
  <c r="E16028" i="10"/>
  <c r="D16028" i="10"/>
  <c r="E16027" i="10"/>
  <c r="D16027" i="10"/>
  <c r="E16026" i="10"/>
  <c r="D16026" i="10"/>
  <c r="E16025" i="10"/>
  <c r="D16025" i="10"/>
  <c r="E16024" i="10"/>
  <c r="D16024" i="10"/>
  <c r="E16023" i="10"/>
  <c r="D16023" i="10"/>
  <c r="E16022" i="10"/>
  <c r="D16022" i="10"/>
  <c r="E16021" i="10"/>
  <c r="D16021" i="10"/>
  <c r="E16020" i="10"/>
  <c r="D16020" i="10"/>
  <c r="E16019" i="10"/>
  <c r="D16019" i="10"/>
  <c r="E16018" i="10"/>
  <c r="D16018" i="10"/>
  <c r="E16017" i="10"/>
  <c r="D16017" i="10"/>
  <c r="E16016" i="10"/>
  <c r="D16016" i="10"/>
  <c r="E16015" i="10"/>
  <c r="D16015" i="10"/>
  <c r="E16014" i="10"/>
  <c r="D16014" i="10"/>
  <c r="E16013" i="10"/>
  <c r="D16013" i="10"/>
  <c r="E16012" i="10"/>
  <c r="D16012" i="10"/>
  <c r="E16011" i="10"/>
  <c r="D16011" i="10"/>
  <c r="E16010" i="10"/>
  <c r="D16010" i="10"/>
  <c r="E16009" i="10"/>
  <c r="D16009" i="10"/>
  <c r="E16008" i="10"/>
  <c r="D16008" i="10"/>
  <c r="E16007" i="10"/>
  <c r="D16007" i="10"/>
  <c r="E16006" i="10"/>
  <c r="D16006" i="10"/>
  <c r="E16005" i="10"/>
  <c r="D16005" i="10"/>
  <c r="E16004" i="10"/>
  <c r="D16004" i="10"/>
  <c r="E16003" i="10"/>
  <c r="D16003" i="10"/>
  <c r="E16002" i="10"/>
  <c r="D16002" i="10"/>
  <c r="E16001" i="10"/>
  <c r="D16001" i="10"/>
  <c r="E16000" i="10"/>
  <c r="D16000" i="10"/>
  <c r="E15999" i="10"/>
  <c r="D15999" i="10"/>
  <c r="E15998" i="10"/>
  <c r="D15998" i="10"/>
  <c r="E15997" i="10"/>
  <c r="D15997" i="10"/>
  <c r="E15996" i="10"/>
  <c r="D15996" i="10"/>
  <c r="E15995" i="10"/>
  <c r="D15995" i="10"/>
  <c r="E15994" i="10"/>
  <c r="D15994" i="10"/>
  <c r="E15993" i="10"/>
  <c r="D15993" i="10"/>
  <c r="E15992" i="10"/>
  <c r="D15992" i="10"/>
  <c r="E15991" i="10"/>
  <c r="D15991" i="10"/>
  <c r="E15990" i="10"/>
  <c r="D15990" i="10"/>
  <c r="E15989" i="10"/>
  <c r="D15989" i="10"/>
  <c r="E15988" i="10"/>
  <c r="D15988" i="10"/>
  <c r="E15987" i="10"/>
  <c r="D15987" i="10"/>
  <c r="E15986" i="10"/>
  <c r="D15986" i="10"/>
  <c r="E15985" i="10"/>
  <c r="D15985" i="10"/>
  <c r="E15984" i="10"/>
  <c r="D15984" i="10"/>
  <c r="E15983" i="10"/>
  <c r="D15983" i="10"/>
  <c r="E15982" i="10"/>
  <c r="D15982" i="10"/>
  <c r="E15981" i="10"/>
  <c r="D15981" i="10"/>
  <c r="E15980" i="10"/>
  <c r="D15980" i="10"/>
  <c r="E15979" i="10"/>
  <c r="D15979" i="10"/>
  <c r="E15978" i="10"/>
  <c r="D15978" i="10"/>
  <c r="E15977" i="10"/>
  <c r="D15977" i="10"/>
  <c r="E15976" i="10"/>
  <c r="D15976" i="10"/>
  <c r="E15975" i="10"/>
  <c r="D15975" i="10"/>
  <c r="E15974" i="10"/>
  <c r="D15974" i="10"/>
  <c r="E15973" i="10"/>
  <c r="D15973" i="10"/>
  <c r="E15972" i="10"/>
  <c r="D15972" i="10"/>
  <c r="E15971" i="10"/>
  <c r="D15971" i="10"/>
  <c r="E15970" i="10"/>
  <c r="D15970" i="10"/>
  <c r="E15969" i="10"/>
  <c r="D15969" i="10"/>
  <c r="E15968" i="10"/>
  <c r="D15968" i="10"/>
  <c r="E15967" i="10"/>
  <c r="D15967" i="10"/>
  <c r="E15966" i="10"/>
  <c r="D15966" i="10"/>
  <c r="E15965" i="10"/>
  <c r="D15965" i="10"/>
  <c r="E15964" i="10"/>
  <c r="D15964" i="10"/>
  <c r="E15963" i="10"/>
  <c r="D15963" i="10"/>
  <c r="E15962" i="10"/>
  <c r="D15962" i="10"/>
  <c r="E15961" i="10"/>
  <c r="D15961" i="10"/>
  <c r="E15960" i="10"/>
  <c r="D15960" i="10"/>
  <c r="E15959" i="10"/>
  <c r="D15959" i="10"/>
  <c r="E15958" i="10"/>
  <c r="D15958" i="10"/>
  <c r="E15957" i="10"/>
  <c r="D15957" i="10"/>
  <c r="E15956" i="10"/>
  <c r="D15956" i="10"/>
  <c r="E15955" i="10"/>
  <c r="D15955" i="10"/>
  <c r="E15954" i="10"/>
  <c r="D15954" i="10"/>
  <c r="E15953" i="10"/>
  <c r="D15953" i="10"/>
  <c r="E15952" i="10"/>
  <c r="D15952" i="10"/>
  <c r="E15951" i="10"/>
  <c r="D15951" i="10"/>
  <c r="E15950" i="10"/>
  <c r="D15950" i="10"/>
  <c r="E15949" i="10"/>
  <c r="D15949" i="10"/>
  <c r="E15948" i="10"/>
  <c r="D15948" i="10"/>
  <c r="E15947" i="10"/>
  <c r="D15947" i="10"/>
  <c r="E15946" i="10"/>
  <c r="D15946" i="10"/>
  <c r="E15945" i="10"/>
  <c r="D15945" i="10"/>
  <c r="E15944" i="10"/>
  <c r="D15944" i="10"/>
  <c r="E15943" i="10"/>
  <c r="D15943" i="10"/>
  <c r="E15942" i="10"/>
  <c r="D15942" i="10"/>
  <c r="E15941" i="10"/>
  <c r="D15941" i="10"/>
  <c r="E15940" i="10"/>
  <c r="D15940" i="10"/>
  <c r="E15939" i="10"/>
  <c r="D15939" i="10"/>
  <c r="E15938" i="10"/>
  <c r="D15938" i="10"/>
  <c r="E15937" i="10"/>
  <c r="D15937" i="10"/>
  <c r="E15936" i="10"/>
  <c r="D15936" i="10"/>
  <c r="E15935" i="10"/>
  <c r="D15935" i="10"/>
  <c r="E15934" i="10"/>
  <c r="D15934" i="10"/>
  <c r="E15933" i="10"/>
  <c r="D15933" i="10"/>
  <c r="E15932" i="10"/>
  <c r="D15932" i="10"/>
  <c r="E15931" i="10"/>
  <c r="D15931" i="10"/>
  <c r="E15930" i="10"/>
  <c r="D15930" i="10"/>
  <c r="E15929" i="10"/>
  <c r="D15929" i="10"/>
  <c r="E15928" i="10"/>
  <c r="D15928" i="10"/>
  <c r="E15927" i="10"/>
  <c r="D15927" i="10"/>
  <c r="E15926" i="10"/>
  <c r="D15926" i="10"/>
  <c r="E15925" i="10"/>
  <c r="D15925" i="10"/>
  <c r="E15924" i="10"/>
  <c r="D15924" i="10"/>
  <c r="E15923" i="10"/>
  <c r="D15923" i="10"/>
  <c r="E15922" i="10"/>
  <c r="D15922" i="10"/>
  <c r="E15921" i="10"/>
  <c r="D15921" i="10"/>
  <c r="E15920" i="10"/>
  <c r="D15920" i="10"/>
  <c r="E15919" i="10"/>
  <c r="D15919" i="10"/>
  <c r="E15918" i="10"/>
  <c r="D15918" i="10"/>
  <c r="E15917" i="10"/>
  <c r="D15917" i="10"/>
  <c r="E15916" i="10"/>
  <c r="D15916" i="10"/>
  <c r="E15915" i="10"/>
  <c r="D15915" i="10"/>
  <c r="E15914" i="10"/>
  <c r="D15914" i="10"/>
  <c r="E15913" i="10"/>
  <c r="D15913" i="10"/>
  <c r="E15912" i="10"/>
  <c r="D15912" i="10"/>
  <c r="E15911" i="10"/>
  <c r="D15911" i="10"/>
  <c r="E15910" i="10"/>
  <c r="D15910" i="10"/>
  <c r="E15909" i="10"/>
  <c r="D15909" i="10"/>
  <c r="E15908" i="10"/>
  <c r="D15908" i="10"/>
  <c r="E15907" i="10"/>
  <c r="D15907" i="10"/>
  <c r="E15906" i="10"/>
  <c r="D15906" i="10"/>
  <c r="E15905" i="10"/>
  <c r="D15905" i="10"/>
  <c r="E15904" i="10"/>
  <c r="D15904" i="10"/>
  <c r="E15903" i="10"/>
  <c r="D15903" i="10"/>
  <c r="E15902" i="10"/>
  <c r="D15902" i="10"/>
  <c r="E15901" i="10"/>
  <c r="D15901" i="10"/>
  <c r="E15900" i="10"/>
  <c r="D15900" i="10"/>
  <c r="E15899" i="10"/>
  <c r="D15899" i="10"/>
  <c r="E15898" i="10"/>
  <c r="D15898" i="10"/>
  <c r="E15897" i="10"/>
  <c r="D15897" i="10"/>
  <c r="E15896" i="10"/>
  <c r="D15896" i="10"/>
  <c r="E15895" i="10"/>
  <c r="D15895" i="10"/>
  <c r="E15894" i="10"/>
  <c r="D15894" i="10"/>
  <c r="E15893" i="10"/>
  <c r="D15893" i="10"/>
  <c r="E15892" i="10"/>
  <c r="D15892" i="10"/>
  <c r="E15891" i="10"/>
  <c r="D15891" i="10"/>
  <c r="E15890" i="10"/>
  <c r="D15890" i="10"/>
  <c r="E15889" i="10"/>
  <c r="D15889" i="10"/>
  <c r="E15888" i="10"/>
  <c r="D15888" i="10"/>
  <c r="E15887" i="10"/>
  <c r="D15887" i="10"/>
  <c r="E15886" i="10"/>
  <c r="D15886" i="10"/>
  <c r="E15885" i="10"/>
  <c r="D15885" i="10"/>
  <c r="E15884" i="10"/>
  <c r="D15884" i="10"/>
  <c r="E15883" i="10"/>
  <c r="D15883" i="10"/>
  <c r="E15882" i="10"/>
  <c r="D15882" i="10"/>
  <c r="E15881" i="10"/>
  <c r="D15881" i="10"/>
  <c r="E15880" i="10"/>
  <c r="D15880" i="10"/>
  <c r="E15879" i="10"/>
  <c r="D15879" i="10"/>
  <c r="E15878" i="10"/>
  <c r="D15878" i="10"/>
  <c r="E15877" i="10"/>
  <c r="D15877" i="10"/>
  <c r="E15876" i="10"/>
  <c r="D15876" i="10"/>
  <c r="E15875" i="10"/>
  <c r="D15875" i="10"/>
  <c r="E15874" i="10"/>
  <c r="D15874" i="10"/>
  <c r="E15873" i="10"/>
  <c r="D15873" i="10"/>
  <c r="E15872" i="10"/>
  <c r="D15872" i="10"/>
  <c r="E15871" i="10"/>
  <c r="D15871" i="10"/>
  <c r="E15870" i="10"/>
  <c r="D15870" i="10"/>
  <c r="E15869" i="10"/>
  <c r="D15869" i="10"/>
  <c r="E15868" i="10"/>
  <c r="D15868" i="10"/>
  <c r="E15867" i="10"/>
  <c r="D15867" i="10"/>
  <c r="E15866" i="10"/>
  <c r="D15866" i="10"/>
  <c r="E15865" i="10"/>
  <c r="D15865" i="10"/>
  <c r="E15864" i="10"/>
  <c r="D15864" i="10"/>
  <c r="E15863" i="10"/>
  <c r="D15863" i="10"/>
  <c r="E15862" i="10"/>
  <c r="D15862" i="10"/>
  <c r="E15861" i="10"/>
  <c r="D15861" i="10"/>
  <c r="E15860" i="10"/>
  <c r="D15860" i="10"/>
  <c r="E15859" i="10"/>
  <c r="D15859" i="10"/>
  <c r="E15858" i="10"/>
  <c r="D15858" i="10"/>
  <c r="E15857" i="10"/>
  <c r="D15857" i="10"/>
  <c r="E15856" i="10"/>
  <c r="D15856" i="10"/>
  <c r="E15855" i="10"/>
  <c r="D15855" i="10"/>
  <c r="E15854" i="10"/>
  <c r="D15854" i="10"/>
  <c r="E15853" i="10"/>
  <c r="D15853" i="10"/>
  <c r="E15852" i="10"/>
  <c r="D15852" i="10"/>
  <c r="E15851" i="10"/>
  <c r="D15851" i="10"/>
  <c r="E15850" i="10"/>
  <c r="D15850" i="10"/>
  <c r="E15849" i="10"/>
  <c r="D15849" i="10"/>
  <c r="E15848" i="10"/>
  <c r="D15848" i="10"/>
  <c r="E15847" i="10"/>
  <c r="D15847" i="10"/>
  <c r="E15846" i="10"/>
  <c r="D15846" i="10"/>
  <c r="E15845" i="10"/>
  <c r="D15845" i="10"/>
  <c r="E15844" i="10"/>
  <c r="D15844" i="10"/>
  <c r="E15843" i="10"/>
  <c r="D15843" i="10"/>
  <c r="E15842" i="10"/>
  <c r="D15842" i="10"/>
  <c r="E15841" i="10"/>
  <c r="D15841" i="10"/>
  <c r="E15840" i="10"/>
  <c r="D15840" i="10"/>
  <c r="E15839" i="10"/>
  <c r="D15839" i="10"/>
  <c r="E15838" i="10"/>
  <c r="D15838" i="10"/>
  <c r="E15837" i="10"/>
  <c r="D15837" i="10"/>
  <c r="E15836" i="10"/>
  <c r="D15836" i="10"/>
  <c r="E15835" i="10"/>
  <c r="D15835" i="10"/>
  <c r="E15834" i="10"/>
  <c r="D15834" i="10"/>
  <c r="E15833" i="10"/>
  <c r="D15833" i="10"/>
  <c r="E15832" i="10"/>
  <c r="D15832" i="10"/>
  <c r="E15831" i="10"/>
  <c r="D15831" i="10"/>
  <c r="E15830" i="10"/>
  <c r="D15830" i="10"/>
  <c r="E15829" i="10"/>
  <c r="D15829" i="10"/>
  <c r="E15828" i="10"/>
  <c r="D15828" i="10"/>
  <c r="E15827" i="10"/>
  <c r="D15827" i="10"/>
  <c r="E15826" i="10"/>
  <c r="D15826" i="10"/>
  <c r="E15825" i="10"/>
  <c r="D15825" i="10"/>
  <c r="E15824" i="10"/>
  <c r="D15824" i="10"/>
  <c r="E15823" i="10"/>
  <c r="D15823" i="10"/>
  <c r="E15822" i="10"/>
  <c r="D15822" i="10"/>
  <c r="E15821" i="10"/>
  <c r="D15821" i="10"/>
  <c r="E15820" i="10"/>
  <c r="D15820" i="10"/>
  <c r="E15819" i="10"/>
  <c r="D15819" i="10"/>
  <c r="E15818" i="10"/>
  <c r="D15818" i="10"/>
  <c r="E15817" i="10"/>
  <c r="D15817" i="10"/>
  <c r="E15816" i="10"/>
  <c r="D15816" i="10"/>
  <c r="E15815" i="10"/>
  <c r="D15815" i="10"/>
  <c r="E15814" i="10"/>
  <c r="D15814" i="10"/>
  <c r="E15813" i="10"/>
  <c r="D15813" i="10"/>
  <c r="E15812" i="10"/>
  <c r="D15812" i="10"/>
  <c r="E15811" i="10"/>
  <c r="D15811" i="10"/>
  <c r="E15810" i="10"/>
  <c r="D15810" i="10"/>
  <c r="E15809" i="10"/>
  <c r="D15809" i="10"/>
  <c r="E15808" i="10"/>
  <c r="D15808" i="10"/>
  <c r="E15807" i="10"/>
  <c r="D15807" i="10"/>
  <c r="E15806" i="10"/>
  <c r="D15806" i="10"/>
  <c r="E15805" i="10"/>
  <c r="D15805" i="10"/>
  <c r="E15804" i="10"/>
  <c r="D15804" i="10"/>
  <c r="E15803" i="10"/>
  <c r="D15803" i="10"/>
  <c r="E15802" i="10"/>
  <c r="D15802" i="10"/>
  <c r="E15801" i="10"/>
  <c r="D15801" i="10"/>
  <c r="E15800" i="10"/>
  <c r="D15800" i="10"/>
  <c r="E15799" i="10"/>
  <c r="D15799" i="10"/>
  <c r="E15798" i="10"/>
  <c r="D15798" i="10"/>
  <c r="E15797" i="10"/>
  <c r="D15797" i="10"/>
  <c r="E15796" i="10"/>
  <c r="D15796" i="10"/>
  <c r="E15795" i="10"/>
  <c r="D15795" i="10"/>
  <c r="E15794" i="10"/>
  <c r="D15794" i="10"/>
  <c r="E15793" i="10"/>
  <c r="D15793" i="10"/>
  <c r="E15792" i="10"/>
  <c r="D15792" i="10"/>
  <c r="E15791" i="10"/>
  <c r="D15791" i="10"/>
  <c r="E15790" i="10"/>
  <c r="D15790" i="10"/>
  <c r="E15789" i="10"/>
  <c r="D15789" i="10"/>
  <c r="E15788" i="10"/>
  <c r="D15788" i="10"/>
  <c r="E15787" i="10"/>
  <c r="D15787" i="10"/>
  <c r="E15786" i="10"/>
  <c r="D15786" i="10"/>
  <c r="E15785" i="10"/>
  <c r="D15785" i="10"/>
  <c r="E15784" i="10"/>
  <c r="D15784" i="10"/>
  <c r="E15783" i="10"/>
  <c r="D15783" i="10"/>
  <c r="E15782" i="10"/>
  <c r="D15782" i="10"/>
  <c r="E15781" i="10"/>
  <c r="D15781" i="10"/>
  <c r="E15780" i="10"/>
  <c r="D15780" i="10"/>
  <c r="E15779" i="10"/>
  <c r="D15779" i="10"/>
  <c r="E15778" i="10"/>
  <c r="D15778" i="10"/>
  <c r="E15777" i="10"/>
  <c r="D15777" i="10"/>
  <c r="E15776" i="10"/>
  <c r="D15776" i="10"/>
  <c r="E15775" i="10"/>
  <c r="D15775" i="10"/>
  <c r="E15774" i="10"/>
  <c r="D15774" i="10"/>
  <c r="E15773" i="10"/>
  <c r="D15773" i="10"/>
  <c r="E15772" i="10"/>
  <c r="D15772" i="10"/>
  <c r="E15771" i="10"/>
  <c r="D15771" i="10"/>
  <c r="E15770" i="10"/>
  <c r="D15770" i="10"/>
  <c r="E15769" i="10"/>
  <c r="D15769" i="10"/>
  <c r="E15768" i="10"/>
  <c r="D15768" i="10"/>
  <c r="E15767" i="10"/>
  <c r="D15767" i="10"/>
  <c r="E15766" i="10"/>
  <c r="D15766" i="10"/>
  <c r="E15765" i="10"/>
  <c r="D15765" i="10"/>
  <c r="E15764" i="10"/>
  <c r="D15764" i="10"/>
  <c r="E15763" i="10"/>
  <c r="D15763" i="10"/>
  <c r="E15762" i="10"/>
  <c r="D15762" i="10"/>
  <c r="E15761" i="10"/>
  <c r="D15761" i="10"/>
  <c r="E15760" i="10"/>
  <c r="D15760" i="10"/>
  <c r="E15759" i="10"/>
  <c r="D15759" i="10"/>
  <c r="E15758" i="10"/>
  <c r="D15758" i="10"/>
  <c r="E15757" i="10"/>
  <c r="D15757" i="10"/>
  <c r="E15756" i="10"/>
  <c r="D15756" i="10"/>
  <c r="E15755" i="10"/>
  <c r="D15755" i="10"/>
  <c r="E15754" i="10"/>
  <c r="D15754" i="10"/>
  <c r="E15753" i="10"/>
  <c r="D15753" i="10"/>
  <c r="E15752" i="10"/>
  <c r="D15752" i="10"/>
  <c r="E15751" i="10"/>
  <c r="D15751" i="10"/>
  <c r="E15750" i="10"/>
  <c r="D15750" i="10"/>
  <c r="E15749" i="10"/>
  <c r="D15749" i="10"/>
  <c r="E15748" i="10"/>
  <c r="D15748" i="10"/>
  <c r="E15747" i="10"/>
  <c r="D15747" i="10"/>
  <c r="E15746" i="10"/>
  <c r="D15746" i="10"/>
  <c r="E15745" i="10"/>
  <c r="D15745" i="10"/>
  <c r="E15744" i="10"/>
  <c r="D15744" i="10"/>
  <c r="E15743" i="10"/>
  <c r="D15743" i="10"/>
  <c r="E15742" i="10"/>
  <c r="D15742" i="10"/>
  <c r="E15741" i="10"/>
  <c r="D15741" i="10"/>
  <c r="E15740" i="10"/>
  <c r="D15740" i="10"/>
  <c r="E15739" i="10"/>
  <c r="D15739" i="10"/>
  <c r="E15738" i="10"/>
  <c r="D15738" i="10"/>
  <c r="E15737" i="10"/>
  <c r="D15737" i="10"/>
  <c r="E15736" i="10"/>
  <c r="D15736" i="10"/>
  <c r="E15735" i="10"/>
  <c r="D15735" i="10"/>
  <c r="E15734" i="10"/>
  <c r="D15734" i="10"/>
  <c r="E15733" i="10"/>
  <c r="D15733" i="10"/>
  <c r="E15732" i="10"/>
  <c r="D15732" i="10"/>
  <c r="E15731" i="10"/>
  <c r="D15731" i="10"/>
  <c r="E15730" i="10"/>
  <c r="D15730" i="10"/>
  <c r="E15729" i="10"/>
  <c r="D15729" i="10"/>
  <c r="E15728" i="10"/>
  <c r="D15728" i="10"/>
  <c r="E15727" i="10"/>
  <c r="D15727" i="10"/>
  <c r="E15726" i="10"/>
  <c r="D15726" i="10"/>
  <c r="E15725" i="10"/>
  <c r="D15725" i="10"/>
  <c r="E15724" i="10"/>
  <c r="D15724" i="10"/>
  <c r="E15723" i="10"/>
  <c r="D15723" i="10"/>
  <c r="E15722" i="10"/>
  <c r="D15722" i="10"/>
  <c r="E15721" i="10"/>
  <c r="D15721" i="10"/>
  <c r="E15720" i="10"/>
  <c r="D15720" i="10"/>
  <c r="E15719" i="10"/>
  <c r="D15719" i="10"/>
  <c r="E15718" i="10"/>
  <c r="D15718" i="10"/>
  <c r="E15717" i="10"/>
  <c r="D15717" i="10"/>
  <c r="E15716" i="10"/>
  <c r="D15716" i="10"/>
  <c r="E15715" i="10"/>
  <c r="D15715" i="10"/>
  <c r="E15714" i="10"/>
  <c r="D15714" i="10"/>
  <c r="E15713" i="10"/>
  <c r="D15713" i="10"/>
  <c r="E15712" i="10"/>
  <c r="D15712" i="10"/>
  <c r="E15711" i="10"/>
  <c r="D15711" i="10"/>
  <c r="E15710" i="10"/>
  <c r="D15710" i="10"/>
  <c r="E15709" i="10"/>
  <c r="D15709" i="10"/>
  <c r="E15708" i="10"/>
  <c r="D15708" i="10"/>
  <c r="E15707" i="10"/>
  <c r="D15707" i="10"/>
  <c r="E15706" i="10"/>
  <c r="D15706" i="10"/>
  <c r="E15705" i="10"/>
  <c r="D15705" i="10"/>
  <c r="E15704" i="10"/>
  <c r="D15704" i="10"/>
  <c r="E15703" i="10"/>
  <c r="D15703" i="10"/>
  <c r="E15702" i="10"/>
  <c r="D15702" i="10"/>
  <c r="E15701" i="10"/>
  <c r="D15701" i="10"/>
  <c r="E15700" i="10"/>
  <c r="D15700" i="10"/>
  <c r="E15699" i="10"/>
  <c r="D15699" i="10"/>
  <c r="E15698" i="10"/>
  <c r="D15698" i="10"/>
  <c r="E15697" i="10"/>
  <c r="D15697" i="10"/>
  <c r="E15696" i="10"/>
  <c r="D15696" i="10"/>
  <c r="E15695" i="10"/>
  <c r="D15695" i="10"/>
  <c r="E15694" i="10"/>
  <c r="D15694" i="10"/>
  <c r="E15693" i="10"/>
  <c r="D15693" i="10"/>
  <c r="E15692" i="10"/>
  <c r="D15692" i="10"/>
  <c r="E15691" i="10"/>
  <c r="D15691" i="10"/>
  <c r="E15690" i="10"/>
  <c r="D15690" i="10"/>
  <c r="E15689" i="10"/>
  <c r="D15689" i="10"/>
  <c r="E15688" i="10"/>
  <c r="D15688" i="10"/>
  <c r="E15687" i="10"/>
  <c r="D15687" i="10"/>
  <c r="E15686" i="10"/>
  <c r="D15686" i="10"/>
  <c r="E15685" i="10"/>
  <c r="D15685" i="10"/>
  <c r="E15684" i="10"/>
  <c r="D15684" i="10"/>
  <c r="E15683" i="10"/>
  <c r="D15683" i="10"/>
  <c r="E15682" i="10"/>
  <c r="D15682" i="10"/>
  <c r="E15681" i="10"/>
  <c r="D15681" i="10"/>
  <c r="E15680" i="10"/>
  <c r="D15680" i="10"/>
  <c r="E15679" i="10"/>
  <c r="D15679" i="10"/>
  <c r="E15678" i="10"/>
  <c r="D15678" i="10"/>
  <c r="E15677" i="10"/>
  <c r="D15677" i="10"/>
  <c r="E15676" i="10"/>
  <c r="D15676" i="10"/>
  <c r="E15675" i="10"/>
  <c r="D15675" i="10"/>
  <c r="E15674" i="10"/>
  <c r="D15674" i="10"/>
  <c r="E15673" i="10"/>
  <c r="D15673" i="10"/>
  <c r="E15672" i="10"/>
  <c r="D15672" i="10"/>
  <c r="E15671" i="10"/>
  <c r="D15671" i="10"/>
  <c r="E15670" i="10"/>
  <c r="D15670" i="10"/>
  <c r="E15669" i="10"/>
  <c r="D15669" i="10"/>
  <c r="E15668" i="10"/>
  <c r="D15668" i="10"/>
  <c r="E15667" i="10"/>
  <c r="D15667" i="10"/>
  <c r="E15666" i="10"/>
  <c r="D15666" i="10"/>
  <c r="E15665" i="10"/>
  <c r="D15665" i="10"/>
  <c r="E15664" i="10"/>
  <c r="D15664" i="10"/>
  <c r="E15663" i="10"/>
  <c r="D15663" i="10"/>
  <c r="E15662" i="10"/>
  <c r="D15662" i="10"/>
  <c r="E15661" i="10"/>
  <c r="D15661" i="10"/>
  <c r="E15660" i="10"/>
  <c r="D15660" i="10"/>
  <c r="E15659" i="10"/>
  <c r="D15659" i="10"/>
  <c r="E15658" i="10"/>
  <c r="D15658" i="10"/>
  <c r="E15657" i="10"/>
  <c r="D15657" i="10"/>
  <c r="E15656" i="10"/>
  <c r="D15656" i="10"/>
  <c r="E15655" i="10"/>
  <c r="D15655" i="10"/>
  <c r="E15654" i="10"/>
  <c r="D15654" i="10"/>
  <c r="E15653" i="10"/>
  <c r="D15653" i="10"/>
  <c r="E15652" i="10"/>
  <c r="D15652" i="10"/>
  <c r="E15651" i="10"/>
  <c r="D15651" i="10"/>
  <c r="E15650" i="10"/>
  <c r="D15650" i="10"/>
  <c r="E15649" i="10"/>
  <c r="D15649" i="10"/>
  <c r="E15648" i="10"/>
  <c r="D15648" i="10"/>
  <c r="E15647" i="10"/>
  <c r="D15647" i="10"/>
  <c r="E15646" i="10"/>
  <c r="D15646" i="10"/>
  <c r="E15645" i="10"/>
  <c r="D15645" i="10"/>
  <c r="E15644" i="10"/>
  <c r="D15644" i="10"/>
  <c r="E15643" i="10"/>
  <c r="D15643" i="10"/>
  <c r="E15642" i="10"/>
  <c r="D15642" i="10"/>
  <c r="E15641" i="10"/>
  <c r="D15641" i="10"/>
  <c r="E15640" i="10"/>
  <c r="D15640" i="10"/>
  <c r="E15639" i="10"/>
  <c r="D15639" i="10"/>
  <c r="E15638" i="10"/>
  <c r="D15638" i="10"/>
  <c r="E15637" i="10"/>
  <c r="D15637" i="10"/>
  <c r="E15636" i="10"/>
  <c r="D15636" i="10"/>
  <c r="E15635" i="10"/>
  <c r="D15635" i="10"/>
  <c r="E15634" i="10"/>
  <c r="D15634" i="10"/>
  <c r="E15633" i="10"/>
  <c r="D15633" i="10"/>
  <c r="E15632" i="10"/>
  <c r="D15632" i="10"/>
  <c r="E15631" i="10"/>
  <c r="D15631" i="10"/>
  <c r="E15630" i="10"/>
  <c r="D15630" i="10"/>
  <c r="E15629" i="10"/>
  <c r="D15629" i="10"/>
  <c r="E15628" i="10"/>
  <c r="D15628" i="10"/>
  <c r="E15627" i="10"/>
  <c r="D15627" i="10"/>
  <c r="E15626" i="10"/>
  <c r="D15626" i="10"/>
  <c r="E15625" i="10"/>
  <c r="D15625" i="10"/>
  <c r="E15624" i="10"/>
  <c r="D15624" i="10"/>
  <c r="E15623" i="10"/>
  <c r="D15623" i="10"/>
  <c r="E15622" i="10"/>
  <c r="D15622" i="10"/>
  <c r="E15621" i="10"/>
  <c r="D15621" i="10"/>
  <c r="E15620" i="10"/>
  <c r="D15620" i="10"/>
  <c r="E15619" i="10"/>
  <c r="D15619" i="10"/>
  <c r="E15618" i="10"/>
  <c r="D15618" i="10"/>
  <c r="E15617" i="10"/>
  <c r="D15617" i="10"/>
  <c r="E15616" i="10"/>
  <c r="D15616" i="10"/>
  <c r="E15615" i="10"/>
  <c r="D15615" i="10"/>
  <c r="E15614" i="10"/>
  <c r="D15614" i="10"/>
  <c r="E15613" i="10"/>
  <c r="D15613" i="10"/>
  <c r="E15612" i="10"/>
  <c r="D15612" i="10"/>
  <c r="E15611" i="10"/>
  <c r="D15611" i="10"/>
  <c r="E15610" i="10"/>
  <c r="D15610" i="10"/>
  <c r="E15609" i="10"/>
  <c r="D15609" i="10"/>
  <c r="E15608" i="10"/>
  <c r="D15608" i="10"/>
  <c r="E15607" i="10"/>
  <c r="D15607" i="10"/>
  <c r="E15606" i="10"/>
  <c r="D15606" i="10"/>
  <c r="E15605" i="10"/>
  <c r="D15605" i="10"/>
  <c r="E15604" i="10"/>
  <c r="D15604" i="10"/>
  <c r="E15603" i="10"/>
  <c r="D15603" i="10"/>
  <c r="E15602" i="10"/>
  <c r="D15602" i="10"/>
  <c r="E15601" i="10"/>
  <c r="D15601" i="10"/>
  <c r="E15600" i="10"/>
  <c r="D15600" i="10"/>
  <c r="E15599" i="10"/>
  <c r="D15599" i="10"/>
  <c r="E15598" i="10"/>
  <c r="D15598" i="10"/>
  <c r="E15597" i="10"/>
  <c r="D15597" i="10"/>
  <c r="E15596" i="10"/>
  <c r="D15596" i="10"/>
  <c r="E15595" i="10"/>
  <c r="D15595" i="10"/>
  <c r="E15594" i="10"/>
  <c r="D15594" i="10"/>
  <c r="E15593" i="10"/>
  <c r="D15593" i="10"/>
  <c r="E15592" i="10"/>
  <c r="D15592" i="10"/>
  <c r="E15591" i="10"/>
  <c r="D15591" i="10"/>
  <c r="E15590" i="10"/>
  <c r="D15590" i="10"/>
  <c r="E15589" i="10"/>
  <c r="D15589" i="10"/>
  <c r="E15588" i="10"/>
  <c r="D15588" i="10"/>
  <c r="E15587" i="10"/>
  <c r="D15587" i="10"/>
  <c r="E15586" i="10"/>
  <c r="D15586" i="10"/>
  <c r="E15585" i="10"/>
  <c r="D15585" i="10"/>
  <c r="E15584" i="10"/>
  <c r="D15584" i="10"/>
  <c r="E15583" i="10"/>
  <c r="D15583" i="10"/>
  <c r="E15582" i="10"/>
  <c r="D15582" i="10"/>
  <c r="E15581" i="10"/>
  <c r="D15581" i="10"/>
  <c r="E15580" i="10"/>
  <c r="D15580" i="10"/>
  <c r="E15579" i="10"/>
  <c r="D15579" i="10"/>
  <c r="E15578" i="10"/>
  <c r="D15578" i="10"/>
  <c r="E15577" i="10"/>
  <c r="D15577" i="10"/>
  <c r="E15576" i="10"/>
  <c r="D15576" i="10"/>
  <c r="E15575" i="10"/>
  <c r="D15575" i="10"/>
  <c r="E15574" i="10"/>
  <c r="D15574" i="10"/>
  <c r="E15573" i="10"/>
  <c r="D15573" i="10"/>
  <c r="E15572" i="10"/>
  <c r="D15572" i="10"/>
  <c r="E15571" i="10"/>
  <c r="D15571" i="10"/>
  <c r="E15570" i="10"/>
  <c r="D15570" i="10"/>
  <c r="E15569" i="10"/>
  <c r="D15569" i="10"/>
  <c r="E15568" i="10"/>
  <c r="D15568" i="10"/>
  <c r="E15567" i="10"/>
  <c r="D15567" i="10"/>
  <c r="E15566" i="10"/>
  <c r="D15566" i="10"/>
  <c r="E15565" i="10"/>
  <c r="D15565" i="10"/>
  <c r="E15564" i="10"/>
  <c r="D15564" i="10"/>
  <c r="E15563" i="10"/>
  <c r="D15563" i="10"/>
  <c r="E15562" i="10"/>
  <c r="D15562" i="10"/>
  <c r="E15561" i="10"/>
  <c r="D15561" i="10"/>
  <c r="E15560" i="10"/>
  <c r="D15560" i="10"/>
  <c r="E15559" i="10"/>
  <c r="D15559" i="10"/>
  <c r="E15558" i="10"/>
  <c r="D15558" i="10"/>
  <c r="E15557" i="10"/>
  <c r="D15557" i="10"/>
  <c r="E15556" i="10"/>
  <c r="D15556" i="10"/>
  <c r="E15555" i="10"/>
  <c r="D15555" i="10"/>
  <c r="E15554" i="10"/>
  <c r="D15554" i="10"/>
  <c r="E15553" i="10"/>
  <c r="D15553" i="10"/>
  <c r="E15552" i="10"/>
  <c r="D15552" i="10"/>
  <c r="E15551" i="10"/>
  <c r="D15551" i="10"/>
  <c r="E15550" i="10"/>
  <c r="D15550" i="10"/>
  <c r="E15549" i="10"/>
  <c r="D15549" i="10"/>
  <c r="E15548" i="10"/>
  <c r="D15548" i="10"/>
  <c r="E15547" i="10"/>
  <c r="D15547" i="10"/>
  <c r="E15546" i="10"/>
  <c r="D15546" i="10"/>
  <c r="E15545" i="10"/>
  <c r="D15545" i="10"/>
  <c r="E15544" i="10"/>
  <c r="D15544" i="10"/>
  <c r="E15543" i="10"/>
  <c r="D15543" i="10"/>
  <c r="E15542" i="10"/>
  <c r="D15542" i="10"/>
  <c r="E15541" i="10"/>
  <c r="D15541" i="10"/>
  <c r="E15540" i="10"/>
  <c r="D15540" i="10"/>
  <c r="E15539" i="10"/>
  <c r="D15539" i="10"/>
  <c r="E15538" i="10"/>
  <c r="D15538" i="10"/>
  <c r="E15537" i="10"/>
  <c r="D15537" i="10"/>
  <c r="E15536" i="10"/>
  <c r="D15536" i="10"/>
  <c r="E15535" i="10"/>
  <c r="D15535" i="10"/>
  <c r="E15534" i="10"/>
  <c r="D15534" i="10"/>
  <c r="E15533" i="10"/>
  <c r="D15533" i="10"/>
  <c r="E15532" i="10"/>
  <c r="D15532" i="10"/>
  <c r="E15531" i="10"/>
  <c r="D15531" i="10"/>
  <c r="E15530" i="10"/>
  <c r="D15530" i="10"/>
  <c r="E15529" i="10"/>
  <c r="D15529" i="10"/>
  <c r="E15528" i="10"/>
  <c r="D15528" i="10"/>
  <c r="E15527" i="10"/>
  <c r="D15527" i="10"/>
  <c r="E15526" i="10"/>
  <c r="D15526" i="10"/>
  <c r="E15525" i="10"/>
  <c r="D15525" i="10"/>
  <c r="E15524" i="10"/>
  <c r="D15524" i="10"/>
  <c r="E15523" i="10"/>
  <c r="D15523" i="10"/>
  <c r="E15522" i="10"/>
  <c r="D15522" i="10"/>
  <c r="E15521" i="10"/>
  <c r="D15521" i="10"/>
  <c r="E15520" i="10"/>
  <c r="D15520" i="10"/>
  <c r="E15519" i="10"/>
  <c r="D15519" i="10"/>
  <c r="E15518" i="10"/>
  <c r="D15518" i="10"/>
  <c r="E15517" i="10"/>
  <c r="D15517" i="10"/>
  <c r="E15516" i="10"/>
  <c r="D15516" i="10"/>
  <c r="E15515" i="10"/>
  <c r="D15515" i="10"/>
  <c r="E15514" i="10"/>
  <c r="D15514" i="10"/>
  <c r="E15513" i="10"/>
  <c r="D15513" i="10"/>
  <c r="E15512" i="10"/>
  <c r="D15512" i="10"/>
  <c r="E15511" i="10"/>
  <c r="D15511" i="10"/>
  <c r="E15510" i="10"/>
  <c r="D15510" i="10"/>
  <c r="E15509" i="10"/>
  <c r="D15509" i="10"/>
  <c r="E15508" i="10"/>
  <c r="D15508" i="10"/>
  <c r="E15507" i="10"/>
  <c r="D15507" i="10"/>
  <c r="E15506" i="10"/>
  <c r="D15506" i="10"/>
  <c r="E15505" i="10"/>
  <c r="D15505" i="10"/>
  <c r="E15504" i="10"/>
  <c r="D15504" i="10"/>
  <c r="E15503" i="10"/>
  <c r="D15503" i="10"/>
  <c r="E15502" i="10"/>
  <c r="D15502" i="10"/>
  <c r="E15501" i="10"/>
  <c r="D15501" i="10"/>
  <c r="E15500" i="10"/>
  <c r="D15500" i="10"/>
  <c r="E15499" i="10"/>
  <c r="D15499" i="10"/>
  <c r="E15498" i="10"/>
  <c r="D15498" i="10"/>
  <c r="E15497" i="10"/>
  <c r="D15497" i="10"/>
  <c r="E15496" i="10"/>
  <c r="D15496" i="10"/>
  <c r="E15495" i="10"/>
  <c r="D15495" i="10"/>
  <c r="E15494" i="10"/>
  <c r="D15494" i="10"/>
  <c r="E15493" i="10"/>
  <c r="D15493" i="10"/>
  <c r="E15492" i="10"/>
  <c r="D15492" i="10"/>
  <c r="E15491" i="10"/>
  <c r="D15491" i="10"/>
  <c r="E15490" i="10"/>
  <c r="D15490" i="10"/>
  <c r="E15489" i="10"/>
  <c r="D15489" i="10"/>
  <c r="E15488" i="10"/>
  <c r="D15488" i="10"/>
  <c r="E15487" i="10"/>
  <c r="D15487" i="10"/>
  <c r="E15486" i="10"/>
  <c r="D15486" i="10"/>
  <c r="E15485" i="10"/>
  <c r="D15485" i="10"/>
  <c r="E15484" i="10"/>
  <c r="D15484" i="10"/>
  <c r="E15483" i="10"/>
  <c r="D15483" i="10"/>
  <c r="E15482" i="10"/>
  <c r="D15482" i="10"/>
  <c r="E15481" i="10"/>
  <c r="D15481" i="10"/>
  <c r="E15480" i="10"/>
  <c r="D15480" i="10"/>
  <c r="E15479" i="10"/>
  <c r="D15479" i="10"/>
  <c r="E15478" i="10"/>
  <c r="D15478" i="10"/>
  <c r="E15477" i="10"/>
  <c r="D15477" i="10"/>
  <c r="E15476" i="10"/>
  <c r="D15476" i="10"/>
  <c r="E15475" i="10"/>
  <c r="D15475" i="10"/>
  <c r="E15474" i="10"/>
  <c r="D15474" i="10"/>
  <c r="E15473" i="10"/>
  <c r="D15473" i="10"/>
  <c r="E15472" i="10"/>
  <c r="D15472" i="10"/>
  <c r="E15471" i="10"/>
  <c r="D15471" i="10"/>
  <c r="E15470" i="10"/>
  <c r="D15470" i="10"/>
  <c r="E15469" i="10"/>
  <c r="D15469" i="10"/>
  <c r="E15468" i="10"/>
  <c r="D15468" i="10"/>
  <c r="E15467" i="10"/>
  <c r="D15467" i="10"/>
  <c r="E15466" i="10"/>
  <c r="D15466" i="10"/>
  <c r="E15465" i="10"/>
  <c r="D15465" i="10"/>
  <c r="E15464" i="10"/>
  <c r="D15464" i="10"/>
  <c r="E15463" i="10"/>
  <c r="D15463" i="10"/>
  <c r="E15462" i="10"/>
  <c r="D15462" i="10"/>
  <c r="E15461" i="10"/>
  <c r="D15461" i="10"/>
  <c r="E15460" i="10"/>
  <c r="D15460" i="10"/>
  <c r="E15459" i="10"/>
  <c r="D15459" i="10"/>
  <c r="E15458" i="10"/>
  <c r="D15458" i="10"/>
  <c r="E15457" i="10"/>
  <c r="D15457" i="10"/>
  <c r="E15456" i="10"/>
  <c r="D15456" i="10"/>
  <c r="E15455" i="10"/>
  <c r="D15455" i="10"/>
  <c r="E15454" i="10"/>
  <c r="D15454" i="10"/>
  <c r="E15453" i="10"/>
  <c r="D15453" i="10"/>
  <c r="E15452" i="10"/>
  <c r="D15452" i="10"/>
  <c r="E15451" i="10"/>
  <c r="D15451" i="10"/>
  <c r="E15450" i="10"/>
  <c r="D15450" i="10"/>
  <c r="E15449" i="10"/>
  <c r="D15449" i="10"/>
  <c r="E15448" i="10"/>
  <c r="D15448" i="10"/>
  <c r="E15447" i="10"/>
  <c r="D15447" i="10"/>
  <c r="E15446" i="10"/>
  <c r="D15446" i="10"/>
  <c r="E15445" i="10"/>
  <c r="D15445" i="10"/>
  <c r="E15444" i="10"/>
  <c r="D15444" i="10"/>
  <c r="E15443" i="10"/>
  <c r="D15443" i="10"/>
  <c r="E15442" i="10"/>
  <c r="D15442" i="10"/>
  <c r="E15441" i="10"/>
  <c r="D15441" i="10"/>
  <c r="E15440" i="10"/>
  <c r="D15440" i="10"/>
  <c r="E15439" i="10"/>
  <c r="D15439" i="10"/>
  <c r="E15438" i="10"/>
  <c r="D15438" i="10"/>
  <c r="E15437" i="10"/>
  <c r="D15437" i="10"/>
  <c r="E15436" i="10"/>
  <c r="D15436" i="10"/>
  <c r="E15435" i="10"/>
  <c r="D15435" i="10"/>
  <c r="E15434" i="10"/>
  <c r="D15434" i="10"/>
  <c r="E15433" i="10"/>
  <c r="D15433" i="10"/>
  <c r="E15432" i="10"/>
  <c r="D15432" i="10"/>
  <c r="E15431" i="10"/>
  <c r="D15431" i="10"/>
  <c r="E15430" i="10"/>
  <c r="D15430" i="10"/>
  <c r="E15429" i="10"/>
  <c r="D15429" i="10"/>
  <c r="E15428" i="10"/>
  <c r="D15428" i="10"/>
  <c r="E15427" i="10"/>
  <c r="D15427" i="10"/>
  <c r="E15426" i="10"/>
  <c r="D15426" i="10"/>
  <c r="E15425" i="10"/>
  <c r="D15425" i="10"/>
  <c r="E15424" i="10"/>
  <c r="D15424" i="10"/>
  <c r="E15423" i="10"/>
  <c r="D15423" i="10"/>
  <c r="E15422" i="10"/>
  <c r="D15422" i="10"/>
  <c r="E15421" i="10"/>
  <c r="D15421" i="10"/>
  <c r="E15420" i="10"/>
  <c r="D15420" i="10"/>
  <c r="E15419" i="10"/>
  <c r="D15419" i="10"/>
  <c r="E15418" i="10"/>
  <c r="D15418" i="10"/>
  <c r="E15417" i="10"/>
  <c r="D15417" i="10"/>
  <c r="E15416" i="10"/>
  <c r="D15416" i="10"/>
  <c r="E15415" i="10"/>
  <c r="D15415" i="10"/>
  <c r="E15414" i="10"/>
  <c r="D15414" i="10"/>
  <c r="E15413" i="10"/>
  <c r="D15413" i="10"/>
  <c r="E15412" i="10"/>
  <c r="D15412" i="10"/>
  <c r="E15411" i="10"/>
  <c r="D15411" i="10"/>
  <c r="E15410" i="10"/>
  <c r="D15410" i="10"/>
  <c r="E15409" i="10"/>
  <c r="D15409" i="10"/>
  <c r="E15408" i="10"/>
  <c r="D15408" i="10"/>
  <c r="E15407" i="10"/>
  <c r="D15407" i="10"/>
  <c r="E15406" i="10"/>
  <c r="D15406" i="10"/>
  <c r="E15405" i="10"/>
  <c r="D15405" i="10"/>
  <c r="E15404" i="10"/>
  <c r="D15404" i="10"/>
  <c r="E15403" i="10"/>
  <c r="D15403" i="10"/>
  <c r="E15402" i="10"/>
  <c r="D15402" i="10"/>
  <c r="E15401" i="10"/>
  <c r="D15401" i="10"/>
  <c r="E15400" i="10"/>
  <c r="D15400" i="10"/>
  <c r="E15399" i="10"/>
  <c r="D15399" i="10"/>
  <c r="E15398" i="10"/>
  <c r="D15398" i="10"/>
  <c r="E15397" i="10"/>
  <c r="D15397" i="10"/>
  <c r="E15396" i="10"/>
  <c r="D15396" i="10"/>
  <c r="E15395" i="10"/>
  <c r="D15395" i="10"/>
  <c r="E15394" i="10"/>
  <c r="D15394" i="10"/>
  <c r="E15393" i="10"/>
  <c r="D15393" i="10"/>
  <c r="E15392" i="10"/>
  <c r="D15392" i="10"/>
  <c r="E15391" i="10"/>
  <c r="D15391" i="10"/>
  <c r="E15390" i="10"/>
  <c r="D15390" i="10"/>
  <c r="E15389" i="10"/>
  <c r="D15389" i="10"/>
  <c r="E15388" i="10"/>
  <c r="D15388" i="10"/>
  <c r="E15387" i="10"/>
  <c r="D15387" i="10"/>
  <c r="E15386" i="10"/>
  <c r="D15386" i="10"/>
  <c r="E15385" i="10"/>
  <c r="D15385" i="10"/>
  <c r="E15384" i="10"/>
  <c r="D15384" i="10"/>
  <c r="E15383" i="10"/>
  <c r="D15383" i="10"/>
  <c r="E15382" i="10"/>
  <c r="D15382" i="10"/>
  <c r="E15381" i="10"/>
  <c r="D15381" i="10"/>
  <c r="E15380" i="10"/>
  <c r="D15380" i="10"/>
  <c r="E15379" i="10"/>
  <c r="D15379" i="10"/>
  <c r="E15378" i="10"/>
  <c r="D15378" i="10"/>
  <c r="E15377" i="10"/>
  <c r="D15377" i="10"/>
  <c r="E15376" i="10"/>
  <c r="D15376" i="10"/>
  <c r="E15375" i="10"/>
  <c r="D15375" i="10"/>
  <c r="E15374" i="10"/>
  <c r="D15374" i="10"/>
  <c r="E15373" i="10"/>
  <c r="D15373" i="10"/>
  <c r="E15372" i="10"/>
  <c r="D15372" i="10"/>
  <c r="E15371" i="10"/>
  <c r="D15371" i="10"/>
  <c r="E15370" i="10"/>
  <c r="D15370" i="10"/>
  <c r="E15369" i="10"/>
  <c r="D15369" i="10"/>
  <c r="E15368" i="10"/>
  <c r="D15368" i="10"/>
  <c r="E15367" i="10"/>
  <c r="D15367" i="10"/>
  <c r="E15366" i="10"/>
  <c r="D15366" i="10"/>
  <c r="E15365" i="10"/>
  <c r="D15365" i="10"/>
  <c r="E15364" i="10"/>
  <c r="D15364" i="10"/>
  <c r="E15363" i="10"/>
  <c r="D15363" i="10"/>
  <c r="E15362" i="10"/>
  <c r="D15362" i="10"/>
  <c r="E15361" i="10"/>
  <c r="D15361" i="10"/>
  <c r="E15360" i="10"/>
  <c r="D15360" i="10"/>
  <c r="E15359" i="10"/>
  <c r="D15359" i="10"/>
  <c r="E15358" i="10"/>
  <c r="D15358" i="10"/>
  <c r="E15357" i="10"/>
  <c r="D15357" i="10"/>
  <c r="E15356" i="10"/>
  <c r="D15356" i="10"/>
  <c r="E15355" i="10"/>
  <c r="D15355" i="10"/>
  <c r="E15354" i="10"/>
  <c r="D15354" i="10"/>
  <c r="E15353" i="10"/>
  <c r="D15353" i="10"/>
  <c r="E15352" i="10"/>
  <c r="D15352" i="10"/>
  <c r="E15351" i="10"/>
  <c r="D15351" i="10"/>
  <c r="E15350" i="10"/>
  <c r="D15350" i="10"/>
  <c r="E15349" i="10"/>
  <c r="D15349" i="10"/>
  <c r="E15348" i="10"/>
  <c r="D15348" i="10"/>
  <c r="E15347" i="10"/>
  <c r="D15347" i="10"/>
  <c r="E15346" i="10"/>
  <c r="D15346" i="10"/>
  <c r="E15345" i="10"/>
  <c r="D15345" i="10"/>
  <c r="E15344" i="10"/>
  <c r="D15344" i="10"/>
  <c r="E15343" i="10"/>
  <c r="D15343" i="10"/>
  <c r="E15342" i="10"/>
  <c r="D15342" i="10"/>
  <c r="E15341" i="10"/>
  <c r="D15341" i="10"/>
  <c r="E15340" i="10"/>
  <c r="D15340" i="10"/>
  <c r="E15339" i="10"/>
  <c r="D15339" i="10"/>
  <c r="E15338" i="10"/>
  <c r="D15338" i="10"/>
  <c r="E15337" i="10"/>
  <c r="D15337" i="10"/>
  <c r="E15336" i="10"/>
  <c r="D15336" i="10"/>
  <c r="E15335" i="10"/>
  <c r="D15335" i="10"/>
  <c r="E15334" i="10"/>
  <c r="D15334" i="10"/>
  <c r="E15333" i="10"/>
  <c r="D15333" i="10"/>
  <c r="E15332" i="10"/>
  <c r="D15332" i="10"/>
  <c r="E15331" i="10"/>
  <c r="D15331" i="10"/>
  <c r="E15330" i="10"/>
  <c r="D15330" i="10"/>
  <c r="E15329" i="10"/>
  <c r="D15329" i="10"/>
  <c r="E15328" i="10"/>
  <c r="D15328" i="10"/>
  <c r="E15327" i="10"/>
  <c r="D15327" i="10"/>
  <c r="E15326" i="10"/>
  <c r="D15326" i="10"/>
  <c r="E15325" i="10"/>
  <c r="D15325" i="10"/>
  <c r="E15324" i="10"/>
  <c r="D15324" i="10"/>
  <c r="E15323" i="10"/>
  <c r="D15323" i="10"/>
  <c r="E15322" i="10"/>
  <c r="D15322" i="10"/>
  <c r="E15321" i="10"/>
  <c r="D15321" i="10"/>
  <c r="E15320" i="10"/>
  <c r="D15320" i="10"/>
  <c r="E15319" i="10"/>
  <c r="D15319" i="10"/>
  <c r="E15318" i="10"/>
  <c r="D15318" i="10"/>
  <c r="E15317" i="10"/>
  <c r="D15317" i="10"/>
  <c r="E15316" i="10"/>
  <c r="D15316" i="10"/>
  <c r="E15315" i="10"/>
  <c r="D15315" i="10"/>
  <c r="E15314" i="10"/>
  <c r="D15314" i="10"/>
  <c r="E15313" i="10"/>
  <c r="D15313" i="10"/>
  <c r="E15312" i="10"/>
  <c r="D15312" i="10"/>
  <c r="E15311" i="10"/>
  <c r="D15311" i="10"/>
  <c r="E15310" i="10"/>
  <c r="D15310" i="10"/>
  <c r="E15309" i="10"/>
  <c r="D15309" i="10"/>
  <c r="E15308" i="10"/>
  <c r="D15308" i="10"/>
  <c r="E15307" i="10"/>
  <c r="D15307" i="10"/>
  <c r="E15306" i="10"/>
  <c r="D15306" i="10"/>
  <c r="E15305" i="10"/>
  <c r="D15305" i="10"/>
  <c r="E15304" i="10"/>
  <c r="D15304" i="10"/>
  <c r="E15303" i="10"/>
  <c r="D15303" i="10"/>
  <c r="E15302" i="10"/>
  <c r="D15302" i="10"/>
  <c r="E15301" i="10"/>
  <c r="D15301" i="10"/>
  <c r="E15300" i="10"/>
  <c r="D15300" i="10"/>
  <c r="E15299" i="10"/>
  <c r="D15299" i="10"/>
  <c r="E15298" i="10"/>
  <c r="D15298" i="10"/>
  <c r="E15297" i="10"/>
  <c r="D15297" i="10"/>
  <c r="E15296" i="10"/>
  <c r="D15296" i="10"/>
  <c r="E15295" i="10"/>
  <c r="D15295" i="10"/>
  <c r="E15294" i="10"/>
  <c r="D15294" i="10"/>
  <c r="E15293" i="10"/>
  <c r="D15293" i="10"/>
  <c r="E15292" i="10"/>
  <c r="D15292" i="10"/>
  <c r="E15291" i="10"/>
  <c r="D15291" i="10"/>
  <c r="E15290" i="10"/>
  <c r="D15290" i="10"/>
  <c r="E15289" i="10"/>
  <c r="D15289" i="10"/>
  <c r="E15288" i="10"/>
  <c r="D15288" i="10"/>
  <c r="E15287" i="10"/>
  <c r="D15287" i="10"/>
  <c r="E15286" i="10"/>
  <c r="D15286" i="10"/>
  <c r="E15285" i="10"/>
  <c r="D15285" i="10"/>
  <c r="E15284" i="10"/>
  <c r="D15284" i="10"/>
  <c r="E15283" i="10"/>
  <c r="D15283" i="10"/>
  <c r="E15282" i="10"/>
  <c r="D15282" i="10"/>
  <c r="E15281" i="10"/>
  <c r="D15281" i="10"/>
  <c r="E15280" i="10"/>
  <c r="D15280" i="10"/>
  <c r="E15279" i="10"/>
  <c r="D15279" i="10"/>
  <c r="E15278" i="10"/>
  <c r="D15278" i="10"/>
  <c r="E15277" i="10"/>
  <c r="D15277" i="10"/>
  <c r="E15276" i="10"/>
  <c r="D15276" i="10"/>
  <c r="E15275" i="10"/>
  <c r="D15275" i="10"/>
  <c r="E15274" i="10"/>
  <c r="D15274" i="10"/>
  <c r="E15273" i="10"/>
  <c r="D15273" i="10"/>
  <c r="E15272" i="10"/>
  <c r="D15272" i="10"/>
  <c r="E15271" i="10"/>
  <c r="D15271" i="10"/>
  <c r="E15270" i="10"/>
  <c r="D15270" i="10"/>
  <c r="E15269" i="10"/>
  <c r="D15269" i="10"/>
  <c r="E15268" i="10"/>
  <c r="D15268" i="10"/>
  <c r="E15267" i="10"/>
  <c r="D15267" i="10"/>
  <c r="E15266" i="10"/>
  <c r="D15266" i="10"/>
  <c r="E15265" i="10"/>
  <c r="D15265" i="10"/>
  <c r="E15264" i="10"/>
  <c r="D15264" i="10"/>
  <c r="E15263" i="10"/>
  <c r="D15263" i="10"/>
  <c r="E15262" i="10"/>
  <c r="D15262" i="10"/>
  <c r="E15261" i="10"/>
  <c r="D15261" i="10"/>
  <c r="E15260" i="10"/>
  <c r="D15260" i="10"/>
  <c r="E15259" i="10"/>
  <c r="D15259" i="10"/>
  <c r="E15258" i="10"/>
  <c r="D15258" i="10"/>
  <c r="E15257" i="10"/>
  <c r="D15257" i="10"/>
  <c r="E15256" i="10"/>
  <c r="D15256" i="10"/>
  <c r="E15255" i="10"/>
  <c r="D15255" i="10"/>
  <c r="E15254" i="10"/>
  <c r="D15254" i="10"/>
  <c r="E15253" i="10"/>
  <c r="D15253" i="10"/>
  <c r="E15252" i="10"/>
  <c r="D15252" i="10"/>
  <c r="E15251" i="10"/>
  <c r="D15251" i="10"/>
  <c r="E15250" i="10"/>
  <c r="D15250" i="10"/>
  <c r="E15249" i="10"/>
  <c r="D15249" i="10"/>
  <c r="E15248" i="10"/>
  <c r="D15248" i="10"/>
  <c r="E15247" i="10"/>
  <c r="D15247" i="10"/>
  <c r="E15246" i="10"/>
  <c r="D15246" i="10"/>
  <c r="E15245" i="10"/>
  <c r="D15245" i="10"/>
  <c r="E15244" i="10"/>
  <c r="D15244" i="10"/>
  <c r="E15243" i="10"/>
  <c r="D15243" i="10"/>
  <c r="E15242" i="10"/>
  <c r="D15242" i="10"/>
  <c r="E15241" i="10"/>
  <c r="D15241" i="10"/>
  <c r="E15240" i="10"/>
  <c r="D15240" i="10"/>
  <c r="E15239" i="10"/>
  <c r="D15239" i="10"/>
  <c r="E15238" i="10"/>
  <c r="D15238" i="10"/>
  <c r="E15237" i="10"/>
  <c r="D15237" i="10"/>
  <c r="E15236" i="10"/>
  <c r="D15236" i="10"/>
  <c r="E15235" i="10"/>
  <c r="D15235" i="10"/>
  <c r="E15234" i="10"/>
  <c r="D15234" i="10"/>
  <c r="E15233" i="10"/>
  <c r="D15233" i="10"/>
  <c r="E15232" i="10"/>
  <c r="D15232" i="10"/>
  <c r="E15231" i="10"/>
  <c r="D15231" i="10"/>
  <c r="E15230" i="10"/>
  <c r="D15230" i="10"/>
  <c r="E15229" i="10"/>
  <c r="D15229" i="10"/>
  <c r="E15228" i="10"/>
  <c r="D15228" i="10"/>
  <c r="E15227" i="10"/>
  <c r="D15227" i="10"/>
  <c r="E15226" i="10"/>
  <c r="D15226" i="10"/>
  <c r="E15225" i="10"/>
  <c r="D15225" i="10"/>
  <c r="E15224" i="10"/>
  <c r="D15224" i="10"/>
  <c r="E15223" i="10"/>
  <c r="D15223" i="10"/>
  <c r="E15222" i="10"/>
  <c r="D15222" i="10"/>
  <c r="E15221" i="10"/>
  <c r="D15221" i="10"/>
  <c r="E15220" i="10"/>
  <c r="D15220" i="10"/>
  <c r="E15219" i="10"/>
  <c r="D15219" i="10"/>
  <c r="E15218" i="10"/>
  <c r="D15218" i="10"/>
  <c r="E15217" i="10"/>
  <c r="D15217" i="10"/>
  <c r="E15216" i="10"/>
  <c r="D15216" i="10"/>
  <c r="E15215" i="10"/>
  <c r="D15215" i="10"/>
  <c r="E15214" i="10"/>
  <c r="D15214" i="10"/>
  <c r="E15213" i="10"/>
  <c r="D15213" i="10"/>
  <c r="E15212" i="10"/>
  <c r="D15212" i="10"/>
  <c r="E15211" i="10"/>
  <c r="D15211" i="10"/>
  <c r="E15210" i="10"/>
  <c r="D15210" i="10"/>
  <c r="E15209" i="10"/>
  <c r="D15209" i="10"/>
  <c r="E15208" i="10"/>
  <c r="D15208" i="10"/>
  <c r="E15207" i="10"/>
  <c r="D15207" i="10"/>
  <c r="E15206" i="10"/>
  <c r="D15206" i="10"/>
  <c r="E15205" i="10"/>
  <c r="D15205" i="10"/>
  <c r="E15204" i="10"/>
  <c r="D15204" i="10"/>
  <c r="E15203" i="10"/>
  <c r="D15203" i="10"/>
  <c r="E15202" i="10"/>
  <c r="D15202" i="10"/>
  <c r="E15201" i="10"/>
  <c r="D15201" i="10"/>
  <c r="E15200" i="10"/>
  <c r="D15200" i="10"/>
  <c r="E15199" i="10"/>
  <c r="D15199" i="10"/>
  <c r="E15198" i="10"/>
  <c r="D15198" i="10"/>
  <c r="E15197" i="10"/>
  <c r="D15197" i="10"/>
  <c r="E15196" i="10"/>
  <c r="D15196" i="10"/>
  <c r="E15195" i="10"/>
  <c r="D15195" i="10"/>
  <c r="E15194" i="10"/>
  <c r="D15194" i="10"/>
  <c r="E15193" i="10"/>
  <c r="D15193" i="10"/>
  <c r="E15192" i="10"/>
  <c r="D15192" i="10"/>
  <c r="E15191" i="10"/>
  <c r="D15191" i="10"/>
  <c r="E15190" i="10"/>
  <c r="D15190" i="10"/>
  <c r="E15189" i="10"/>
  <c r="D15189" i="10"/>
  <c r="E15188" i="10"/>
  <c r="D15188" i="10"/>
  <c r="E15187" i="10"/>
  <c r="D15187" i="10"/>
  <c r="E15186" i="10"/>
  <c r="D15186" i="10"/>
  <c r="E15185" i="10"/>
  <c r="D15185" i="10"/>
  <c r="E15184" i="10"/>
  <c r="D15184" i="10"/>
  <c r="E15183" i="10"/>
  <c r="D15183" i="10"/>
  <c r="E15182" i="10"/>
  <c r="D15182" i="10"/>
  <c r="E15181" i="10"/>
  <c r="D15181" i="10"/>
  <c r="E15180" i="10"/>
  <c r="D15180" i="10"/>
  <c r="E15179" i="10"/>
  <c r="D15179" i="10"/>
  <c r="E15178" i="10"/>
  <c r="D15178" i="10"/>
  <c r="E15177" i="10"/>
  <c r="D15177" i="10"/>
  <c r="E15176" i="10"/>
  <c r="D15176" i="10"/>
  <c r="E15175" i="10"/>
  <c r="D15175" i="10"/>
  <c r="E15174" i="10"/>
  <c r="D15174" i="10"/>
  <c r="E15173" i="10"/>
  <c r="D15173" i="10"/>
  <c r="E15172" i="10"/>
  <c r="D15172" i="10"/>
  <c r="E15171" i="10"/>
  <c r="D15171" i="10"/>
  <c r="E15170" i="10"/>
  <c r="D15170" i="10"/>
  <c r="E15169" i="10"/>
  <c r="D15169" i="10"/>
  <c r="E15168" i="10"/>
  <c r="D15168" i="10"/>
  <c r="E15167" i="10"/>
  <c r="D15167" i="10"/>
  <c r="E15166" i="10"/>
  <c r="D15166" i="10"/>
  <c r="E15165" i="10"/>
  <c r="D15165" i="10"/>
  <c r="E15164" i="10"/>
  <c r="D15164" i="10"/>
  <c r="E15163" i="10"/>
  <c r="D15163" i="10"/>
  <c r="E15162" i="10"/>
  <c r="D15162" i="10"/>
  <c r="E15161" i="10"/>
  <c r="D15161" i="10"/>
  <c r="E15160" i="10"/>
  <c r="D15160" i="10"/>
  <c r="E15159" i="10"/>
  <c r="D15159" i="10"/>
  <c r="E15158" i="10"/>
  <c r="D15158" i="10"/>
  <c r="E15157" i="10"/>
  <c r="D15157" i="10"/>
  <c r="E15156" i="10"/>
  <c r="D15156" i="10"/>
  <c r="E15155" i="10"/>
  <c r="D15155" i="10"/>
  <c r="E15154" i="10"/>
  <c r="D15154" i="10"/>
  <c r="E15153" i="10"/>
  <c r="D15153" i="10"/>
  <c r="E15152" i="10"/>
  <c r="D15152" i="10"/>
  <c r="E15151" i="10"/>
  <c r="D15151" i="10"/>
  <c r="E15150" i="10"/>
  <c r="D15150" i="10"/>
  <c r="E15149" i="10"/>
  <c r="D15149" i="10"/>
  <c r="E15148" i="10"/>
  <c r="D15148" i="10"/>
  <c r="E15147" i="10"/>
  <c r="D15147" i="10"/>
  <c r="E15146" i="10"/>
  <c r="D15146" i="10"/>
  <c r="E15145" i="10"/>
  <c r="D15145" i="10"/>
  <c r="E15144" i="10"/>
  <c r="D15144" i="10"/>
  <c r="E15143" i="10"/>
  <c r="D15143" i="10"/>
  <c r="E15142" i="10"/>
  <c r="D15142" i="10"/>
  <c r="E15141" i="10"/>
  <c r="D15141" i="10"/>
  <c r="E15140" i="10"/>
  <c r="D15140" i="10"/>
  <c r="E15139" i="10"/>
  <c r="D15139" i="10"/>
  <c r="E15138" i="10"/>
  <c r="D15138" i="10"/>
  <c r="E15137" i="10"/>
  <c r="D15137" i="10"/>
  <c r="E15136" i="10"/>
  <c r="D15136" i="10"/>
  <c r="E15135" i="10"/>
  <c r="D15135" i="10"/>
  <c r="E15134" i="10"/>
  <c r="D15134" i="10"/>
  <c r="E15133" i="10"/>
  <c r="D15133" i="10"/>
  <c r="E15132" i="10"/>
  <c r="D15132" i="10"/>
  <c r="E15131" i="10"/>
  <c r="D15131" i="10"/>
  <c r="E15130" i="10"/>
  <c r="D15130" i="10"/>
  <c r="E15129" i="10"/>
  <c r="D15129" i="10"/>
  <c r="E15128" i="10"/>
  <c r="D15128" i="10"/>
  <c r="E15127" i="10"/>
  <c r="D15127" i="10"/>
  <c r="E15126" i="10"/>
  <c r="D15126" i="10"/>
  <c r="E15125" i="10"/>
  <c r="D15125" i="10"/>
  <c r="E15124" i="10"/>
  <c r="D15124" i="10"/>
  <c r="E15123" i="10"/>
  <c r="D15123" i="10"/>
  <c r="E15122" i="10"/>
  <c r="D15122" i="10"/>
  <c r="E15121" i="10"/>
  <c r="D15121" i="10"/>
  <c r="E15120" i="10"/>
  <c r="D15120" i="10"/>
  <c r="E15119" i="10"/>
  <c r="D15119" i="10"/>
  <c r="E15118" i="10"/>
  <c r="D15118" i="10"/>
  <c r="E15117" i="10"/>
  <c r="D15117" i="10"/>
  <c r="E15116" i="10"/>
  <c r="D15116" i="10"/>
  <c r="E15115" i="10"/>
  <c r="D15115" i="10"/>
  <c r="E15114" i="10"/>
  <c r="D15114" i="10"/>
  <c r="E15113" i="10"/>
  <c r="D15113" i="10"/>
  <c r="E15112" i="10"/>
  <c r="D15112" i="10"/>
  <c r="E15111" i="10"/>
  <c r="D15111" i="10"/>
  <c r="E15110" i="10"/>
  <c r="D15110" i="10"/>
  <c r="E15109" i="10"/>
  <c r="D15109" i="10"/>
  <c r="E15108" i="10"/>
  <c r="D15108" i="10"/>
  <c r="E15107" i="10"/>
  <c r="D15107" i="10"/>
  <c r="E15106" i="10"/>
  <c r="D15106" i="10"/>
  <c r="E15105" i="10"/>
  <c r="D15105" i="10"/>
  <c r="E15104" i="10"/>
  <c r="D15104" i="10"/>
  <c r="E15103" i="10"/>
  <c r="D15103" i="10"/>
  <c r="E15102" i="10"/>
  <c r="D15102" i="10"/>
  <c r="E15101" i="10"/>
  <c r="D15101" i="10"/>
  <c r="E15100" i="10"/>
  <c r="D15100" i="10"/>
  <c r="E15099" i="10"/>
  <c r="D15099" i="10"/>
  <c r="E15098" i="10"/>
  <c r="D15098" i="10"/>
  <c r="E15097" i="10"/>
  <c r="D15097" i="10"/>
  <c r="E15096" i="10"/>
  <c r="D15096" i="10"/>
  <c r="E15095" i="10"/>
  <c r="D15095" i="10"/>
  <c r="E15094" i="10"/>
  <c r="D15094" i="10"/>
  <c r="E15093" i="10"/>
  <c r="D15093" i="10"/>
  <c r="E15092" i="10"/>
  <c r="D15092" i="10"/>
  <c r="E15091" i="10"/>
  <c r="D15091" i="10"/>
  <c r="E15090" i="10"/>
  <c r="D15090" i="10"/>
  <c r="E15089" i="10"/>
  <c r="D15089" i="10"/>
  <c r="E15088" i="10"/>
  <c r="D15088" i="10"/>
  <c r="E15087" i="10"/>
  <c r="D15087" i="10"/>
  <c r="E15086" i="10"/>
  <c r="D15086" i="10"/>
  <c r="E15085" i="10"/>
  <c r="D15085" i="10"/>
  <c r="E15084" i="10"/>
  <c r="D15084" i="10"/>
  <c r="E15083" i="10"/>
  <c r="D15083" i="10"/>
  <c r="E15082" i="10"/>
  <c r="D15082" i="10"/>
  <c r="E15081" i="10"/>
  <c r="D15081" i="10"/>
  <c r="E15080" i="10"/>
  <c r="D15080" i="10"/>
  <c r="E15079" i="10"/>
  <c r="D15079" i="10"/>
  <c r="E15078" i="10"/>
  <c r="D15078" i="10"/>
  <c r="E15077" i="10"/>
  <c r="D15077" i="10"/>
  <c r="E15076" i="10"/>
  <c r="D15076" i="10"/>
  <c r="E15075" i="10"/>
  <c r="D15075" i="10"/>
  <c r="E15074" i="10"/>
  <c r="D15074" i="10"/>
  <c r="E15073" i="10"/>
  <c r="D15073" i="10"/>
  <c r="E15072" i="10"/>
  <c r="D15072" i="10"/>
  <c r="E15071" i="10"/>
  <c r="D15071" i="10"/>
  <c r="E15070" i="10"/>
  <c r="D15070" i="10"/>
  <c r="E15069" i="10"/>
  <c r="D15069" i="10"/>
  <c r="E15068" i="10"/>
  <c r="D15068" i="10"/>
  <c r="E15067" i="10"/>
  <c r="D15067" i="10"/>
  <c r="E15066" i="10"/>
  <c r="D15066" i="10"/>
  <c r="E15065" i="10"/>
  <c r="D15065" i="10"/>
  <c r="E15064" i="10"/>
  <c r="D15064" i="10"/>
  <c r="E15063" i="10"/>
  <c r="D15063" i="10"/>
  <c r="E15062" i="10"/>
  <c r="D15062" i="10"/>
  <c r="E15061" i="10"/>
  <c r="D15061" i="10"/>
  <c r="E15060" i="10"/>
  <c r="D15060" i="10"/>
  <c r="E15059" i="10"/>
  <c r="D15059" i="10"/>
  <c r="E15058" i="10"/>
  <c r="D15058" i="10"/>
  <c r="E15057" i="10"/>
  <c r="D15057" i="10"/>
  <c r="E15056" i="10"/>
  <c r="D15056" i="10"/>
  <c r="E15055" i="10"/>
  <c r="D15055" i="10"/>
  <c r="E15054" i="10"/>
  <c r="D15054" i="10"/>
  <c r="E15053" i="10"/>
  <c r="D15053" i="10"/>
  <c r="E15052" i="10"/>
  <c r="D15052" i="10"/>
  <c r="E15051" i="10"/>
  <c r="D15051" i="10"/>
  <c r="E15050" i="10"/>
  <c r="D15050" i="10"/>
  <c r="E15049" i="10"/>
  <c r="D15049" i="10"/>
  <c r="E15048" i="10"/>
  <c r="D15048" i="10"/>
  <c r="E15047" i="10"/>
  <c r="D15047" i="10"/>
  <c r="E15046" i="10"/>
  <c r="D15046" i="10"/>
  <c r="E15045" i="10"/>
  <c r="D15045" i="10"/>
  <c r="E15044" i="10"/>
  <c r="D15044" i="10"/>
  <c r="E15043" i="10"/>
  <c r="D15043" i="10"/>
  <c r="E15042" i="10"/>
  <c r="D15042" i="10"/>
  <c r="E15041" i="10"/>
  <c r="D15041" i="10"/>
  <c r="E15040" i="10"/>
  <c r="D15040" i="10"/>
  <c r="E15039" i="10"/>
  <c r="D15039" i="10"/>
  <c r="E15038" i="10"/>
  <c r="D15038" i="10"/>
  <c r="E15037" i="10"/>
  <c r="D15037" i="10"/>
  <c r="E15036" i="10"/>
  <c r="D15036" i="10"/>
  <c r="E15035" i="10"/>
  <c r="D15035" i="10"/>
  <c r="E15034" i="10"/>
  <c r="D15034" i="10"/>
  <c r="E15033" i="10"/>
  <c r="D15033" i="10"/>
  <c r="E15032" i="10"/>
  <c r="D15032" i="10"/>
  <c r="E15031" i="10"/>
  <c r="D15031" i="10"/>
  <c r="E15030" i="10"/>
  <c r="D15030" i="10"/>
  <c r="E15029" i="10"/>
  <c r="D15029" i="10"/>
  <c r="E15028" i="10"/>
  <c r="D15028" i="10"/>
  <c r="E15027" i="10"/>
  <c r="D15027" i="10"/>
  <c r="E15026" i="10"/>
  <c r="D15026" i="10"/>
  <c r="E15025" i="10"/>
  <c r="D15025" i="10"/>
  <c r="E15024" i="10"/>
  <c r="D15024" i="10"/>
  <c r="E15023" i="10"/>
  <c r="D15023" i="10"/>
  <c r="E15022" i="10"/>
  <c r="D15022" i="10"/>
  <c r="E15021" i="10"/>
  <c r="D15021" i="10"/>
  <c r="E15020" i="10"/>
  <c r="D15020" i="10"/>
  <c r="E15019" i="10"/>
  <c r="D15019" i="10"/>
  <c r="E15018" i="10"/>
  <c r="D15018" i="10"/>
  <c r="E15017" i="10"/>
  <c r="D15017" i="10"/>
  <c r="E15016" i="10"/>
  <c r="D15016" i="10"/>
  <c r="E15015" i="10"/>
  <c r="D15015" i="10"/>
  <c r="E15014" i="10"/>
  <c r="D15014" i="10"/>
  <c r="E15013" i="10"/>
  <c r="D15013" i="10"/>
  <c r="E15012" i="10"/>
  <c r="D15012" i="10"/>
  <c r="E15011" i="10"/>
  <c r="D15011" i="10"/>
  <c r="E15010" i="10"/>
  <c r="D15010" i="10"/>
  <c r="E15009" i="10"/>
  <c r="D15009" i="10"/>
  <c r="E15008" i="10"/>
  <c r="D15008" i="10"/>
  <c r="E15007" i="10"/>
  <c r="D15007" i="10"/>
  <c r="E15006" i="10"/>
  <c r="D15006" i="10"/>
  <c r="E15005" i="10"/>
  <c r="D15005" i="10"/>
  <c r="E15004" i="10"/>
  <c r="D15004" i="10"/>
  <c r="E15003" i="10"/>
  <c r="D15003" i="10"/>
  <c r="E15002" i="10"/>
  <c r="D15002" i="10"/>
  <c r="E15001" i="10"/>
  <c r="D15001" i="10"/>
  <c r="E15000" i="10"/>
  <c r="D15000" i="10"/>
  <c r="E14999" i="10"/>
  <c r="D14999" i="10"/>
  <c r="E14998" i="10"/>
  <c r="D14998" i="10"/>
  <c r="E14997" i="10"/>
  <c r="D14997" i="10"/>
  <c r="E14996" i="10"/>
  <c r="D14996" i="10"/>
  <c r="E14995" i="10"/>
  <c r="D14995" i="10"/>
  <c r="E14994" i="10"/>
  <c r="D14994" i="10"/>
  <c r="E14993" i="10"/>
  <c r="D14993" i="10"/>
  <c r="E14992" i="10"/>
  <c r="D14992" i="10"/>
  <c r="E14991" i="10"/>
  <c r="D14991" i="10"/>
  <c r="E14990" i="10"/>
  <c r="D14990" i="10"/>
  <c r="E14989" i="10"/>
  <c r="D14989" i="10"/>
  <c r="E14988" i="10"/>
  <c r="D14988" i="10"/>
  <c r="E14987" i="10"/>
  <c r="D14987" i="10"/>
  <c r="E14986" i="10"/>
  <c r="D14986" i="10"/>
  <c r="E14985" i="10"/>
  <c r="D14985" i="10"/>
  <c r="E14984" i="10"/>
  <c r="D14984" i="10"/>
  <c r="E14983" i="10"/>
  <c r="D14983" i="10"/>
  <c r="E14982" i="10"/>
  <c r="D14982" i="10"/>
  <c r="E14981" i="10"/>
  <c r="D14981" i="10"/>
  <c r="E14980" i="10"/>
  <c r="D14980" i="10"/>
  <c r="E14979" i="10"/>
  <c r="D14979" i="10"/>
  <c r="E14978" i="10"/>
  <c r="D14978" i="10"/>
  <c r="E14977" i="10"/>
  <c r="D14977" i="10"/>
  <c r="E14976" i="10"/>
  <c r="D14976" i="10"/>
  <c r="E14975" i="10"/>
  <c r="D14975" i="10"/>
  <c r="E14974" i="10"/>
  <c r="D14974" i="10"/>
  <c r="E14973" i="10"/>
  <c r="D14973" i="10"/>
  <c r="E14972" i="10"/>
  <c r="D14972" i="10"/>
  <c r="E14971" i="10"/>
  <c r="D14971" i="10"/>
  <c r="E14970" i="10"/>
  <c r="D14970" i="10"/>
  <c r="E14969" i="10"/>
  <c r="D14969" i="10"/>
  <c r="E14968" i="10"/>
  <c r="D14968" i="10"/>
  <c r="E14967" i="10"/>
  <c r="D14967" i="10"/>
  <c r="E14966" i="10"/>
  <c r="D14966" i="10"/>
  <c r="E14965" i="10"/>
  <c r="D14965" i="10"/>
  <c r="E14964" i="10"/>
  <c r="D14964" i="10"/>
  <c r="E14963" i="10"/>
  <c r="D14963" i="10"/>
  <c r="E14962" i="10"/>
  <c r="D14962" i="10"/>
  <c r="E14961" i="10"/>
  <c r="D14961" i="10"/>
  <c r="E14960" i="10"/>
  <c r="D14960" i="10"/>
  <c r="E14959" i="10"/>
  <c r="D14959" i="10"/>
  <c r="E14958" i="10"/>
  <c r="D14958" i="10"/>
  <c r="E14957" i="10"/>
  <c r="D14957" i="10"/>
  <c r="E14956" i="10"/>
  <c r="D14956" i="10"/>
  <c r="E14955" i="10"/>
  <c r="D14955" i="10"/>
  <c r="E14954" i="10"/>
  <c r="D14954" i="10"/>
  <c r="E14953" i="10"/>
  <c r="D14953" i="10"/>
  <c r="E14952" i="10"/>
  <c r="D14952" i="10"/>
  <c r="E14951" i="10"/>
  <c r="D14951" i="10"/>
  <c r="E14950" i="10"/>
  <c r="D14950" i="10"/>
  <c r="E14949" i="10"/>
  <c r="D14949" i="10"/>
  <c r="E14948" i="10"/>
  <c r="D14948" i="10"/>
  <c r="E14947" i="10"/>
  <c r="D14947" i="10"/>
  <c r="E14946" i="10"/>
  <c r="D14946" i="10"/>
  <c r="E14945" i="10"/>
  <c r="D14945" i="10"/>
  <c r="E14944" i="10"/>
  <c r="D14944" i="10"/>
  <c r="E14943" i="10"/>
  <c r="D14943" i="10"/>
  <c r="E14942" i="10"/>
  <c r="D14942" i="10"/>
  <c r="E14941" i="10"/>
  <c r="D14941" i="10"/>
  <c r="E14940" i="10"/>
  <c r="D14940" i="10"/>
  <c r="E14939" i="10"/>
  <c r="D14939" i="10"/>
  <c r="E14938" i="10"/>
  <c r="D14938" i="10"/>
  <c r="E14937" i="10"/>
  <c r="D14937" i="10"/>
  <c r="E14936" i="10"/>
  <c r="D14936" i="10"/>
  <c r="E14935" i="10"/>
  <c r="D14935" i="10"/>
  <c r="E14934" i="10"/>
  <c r="D14934" i="10"/>
  <c r="E14933" i="10"/>
  <c r="D14933" i="10"/>
  <c r="E14932" i="10"/>
  <c r="D14932" i="10"/>
  <c r="E14931" i="10"/>
  <c r="D14931" i="10"/>
  <c r="E14930" i="10"/>
  <c r="D14930" i="10"/>
  <c r="E14929" i="10"/>
  <c r="D14929" i="10"/>
  <c r="E14928" i="10"/>
  <c r="D14928" i="10"/>
  <c r="E14927" i="10"/>
  <c r="D14927" i="10"/>
  <c r="E14926" i="10"/>
  <c r="D14926" i="10"/>
  <c r="E14925" i="10"/>
  <c r="D14925" i="10"/>
  <c r="E14924" i="10"/>
  <c r="D14924" i="10"/>
  <c r="E14923" i="10"/>
  <c r="D14923" i="10"/>
  <c r="E14922" i="10"/>
  <c r="D14922" i="10"/>
  <c r="E14921" i="10"/>
  <c r="D14921" i="10"/>
  <c r="E14920" i="10"/>
  <c r="D14920" i="10"/>
  <c r="E14919" i="10"/>
  <c r="D14919" i="10"/>
  <c r="E14918" i="10"/>
  <c r="D14918" i="10"/>
  <c r="E14917" i="10"/>
  <c r="D14917" i="10"/>
  <c r="E14916" i="10"/>
  <c r="D14916" i="10"/>
  <c r="E14915" i="10"/>
  <c r="D14915" i="10"/>
  <c r="E14914" i="10"/>
  <c r="D14914" i="10"/>
  <c r="E14913" i="10"/>
  <c r="D14913" i="10"/>
  <c r="E14912" i="10"/>
  <c r="D14912" i="10"/>
  <c r="E14911" i="10"/>
  <c r="D14911" i="10"/>
  <c r="E14910" i="10"/>
  <c r="D14910" i="10"/>
  <c r="E14909" i="10"/>
  <c r="D14909" i="10"/>
  <c r="E14908" i="10"/>
  <c r="D14908" i="10"/>
  <c r="E14907" i="10"/>
  <c r="D14907" i="10"/>
  <c r="E14906" i="10"/>
  <c r="D14906" i="10"/>
  <c r="E14905" i="10"/>
  <c r="D14905" i="10"/>
  <c r="E14904" i="10"/>
  <c r="D14904" i="10"/>
  <c r="E14903" i="10"/>
  <c r="D14903" i="10"/>
  <c r="E14902" i="10"/>
  <c r="D14902" i="10"/>
  <c r="E14901" i="10"/>
  <c r="D14901" i="10"/>
  <c r="E14900" i="10"/>
  <c r="D14900" i="10"/>
  <c r="E14899" i="10"/>
  <c r="D14899" i="10"/>
  <c r="E14898" i="10"/>
  <c r="D14898" i="10"/>
  <c r="E14897" i="10"/>
  <c r="D14897" i="10"/>
  <c r="E14896" i="10"/>
  <c r="D14896" i="10"/>
  <c r="E14895" i="10"/>
  <c r="D14895" i="10"/>
  <c r="E14894" i="10"/>
  <c r="D14894" i="10"/>
  <c r="E14893" i="10"/>
  <c r="D14893" i="10"/>
  <c r="E14892" i="10"/>
  <c r="D14892" i="10"/>
  <c r="E14891" i="10"/>
  <c r="D14891" i="10"/>
  <c r="E14890" i="10"/>
  <c r="D14890" i="10"/>
  <c r="E14889" i="10"/>
  <c r="D14889" i="10"/>
  <c r="E14888" i="10"/>
  <c r="D14888" i="10"/>
  <c r="E14887" i="10"/>
  <c r="D14887" i="10"/>
  <c r="E14886" i="10"/>
  <c r="D14886" i="10"/>
  <c r="E14885" i="10"/>
  <c r="D14885" i="10"/>
  <c r="E14884" i="10"/>
  <c r="D14884" i="10"/>
  <c r="E14883" i="10"/>
  <c r="D14883" i="10"/>
  <c r="E14882" i="10"/>
  <c r="D14882" i="10"/>
  <c r="E14881" i="10"/>
  <c r="D14881" i="10"/>
  <c r="E14880" i="10"/>
  <c r="D14880" i="10"/>
  <c r="E14879" i="10"/>
  <c r="D14879" i="10"/>
  <c r="E14878" i="10"/>
  <c r="D14878" i="10"/>
  <c r="E14877" i="10"/>
  <c r="D14877" i="10"/>
  <c r="E14876" i="10"/>
  <c r="D14876" i="10"/>
  <c r="E14875" i="10"/>
  <c r="D14875" i="10"/>
  <c r="E14874" i="10"/>
  <c r="D14874" i="10"/>
  <c r="E14873" i="10"/>
  <c r="D14873" i="10"/>
  <c r="E14872" i="10"/>
  <c r="D14872" i="10"/>
  <c r="E14871" i="10"/>
  <c r="D14871" i="10"/>
  <c r="E14870" i="10"/>
  <c r="D14870" i="10"/>
  <c r="E14869" i="10"/>
  <c r="D14869" i="10"/>
  <c r="E14868" i="10"/>
  <c r="D14868" i="10"/>
  <c r="E14867" i="10"/>
  <c r="D14867" i="10"/>
  <c r="E14866" i="10"/>
  <c r="D14866" i="10"/>
  <c r="E14865" i="10"/>
  <c r="D14865" i="10"/>
  <c r="E14864" i="10"/>
  <c r="D14864" i="10"/>
  <c r="E14863" i="10"/>
  <c r="D14863" i="10"/>
  <c r="E14862" i="10"/>
  <c r="D14862" i="10"/>
  <c r="E14861" i="10"/>
  <c r="D14861" i="10"/>
  <c r="E14860" i="10"/>
  <c r="D14860" i="10"/>
  <c r="E14859" i="10"/>
  <c r="D14859" i="10"/>
  <c r="E14858" i="10"/>
  <c r="D14858" i="10"/>
  <c r="E14857" i="10"/>
  <c r="D14857" i="10"/>
  <c r="E14856" i="10"/>
  <c r="D14856" i="10"/>
  <c r="E14855" i="10"/>
  <c r="D14855" i="10"/>
  <c r="E14854" i="10"/>
  <c r="D14854" i="10"/>
  <c r="E14853" i="10"/>
  <c r="D14853" i="10"/>
  <c r="E14852" i="10"/>
  <c r="D14852" i="10"/>
  <c r="E14851" i="10"/>
  <c r="D14851" i="10"/>
  <c r="E14850" i="10"/>
  <c r="D14850" i="10"/>
  <c r="E14849" i="10"/>
  <c r="D14849" i="10"/>
  <c r="E14848" i="10"/>
  <c r="D14848" i="10"/>
  <c r="E14847" i="10"/>
  <c r="D14847" i="10"/>
  <c r="E14846" i="10"/>
  <c r="D14846" i="10"/>
  <c r="E14845" i="10"/>
  <c r="D14845" i="10"/>
  <c r="E14844" i="10"/>
  <c r="D14844" i="10"/>
  <c r="E14843" i="10"/>
  <c r="D14843" i="10"/>
  <c r="E14842" i="10"/>
  <c r="D14842" i="10"/>
  <c r="E14841" i="10"/>
  <c r="D14841" i="10"/>
  <c r="E14840" i="10"/>
  <c r="D14840" i="10"/>
  <c r="E14839" i="10"/>
  <c r="D14839" i="10"/>
  <c r="E14838" i="10"/>
  <c r="D14838" i="10"/>
  <c r="E14837" i="10"/>
  <c r="D14837" i="10"/>
  <c r="E14836" i="10"/>
  <c r="D14836" i="10"/>
  <c r="E14835" i="10"/>
  <c r="D14835" i="10"/>
  <c r="E14834" i="10"/>
  <c r="D14834" i="10"/>
  <c r="E14833" i="10"/>
  <c r="D14833" i="10"/>
  <c r="E14832" i="10"/>
  <c r="D14832" i="10"/>
  <c r="E14831" i="10"/>
  <c r="D14831" i="10"/>
  <c r="E14830" i="10"/>
  <c r="D14830" i="10"/>
  <c r="E14829" i="10"/>
  <c r="D14829" i="10"/>
  <c r="E14828" i="10"/>
  <c r="D14828" i="10"/>
  <c r="E14827" i="10"/>
  <c r="D14827" i="10"/>
  <c r="E14826" i="10"/>
  <c r="D14826" i="10"/>
  <c r="E14825" i="10"/>
  <c r="D14825" i="10"/>
  <c r="E14824" i="10"/>
  <c r="D14824" i="10"/>
  <c r="E14823" i="10"/>
  <c r="D14823" i="10"/>
  <c r="E14822" i="10"/>
  <c r="D14822" i="10"/>
  <c r="E14821" i="10"/>
  <c r="D14821" i="10"/>
  <c r="E14820" i="10"/>
  <c r="D14820" i="10"/>
  <c r="E14819" i="10"/>
  <c r="D14819" i="10"/>
  <c r="E14818" i="10"/>
  <c r="D14818" i="10"/>
  <c r="E14817" i="10"/>
  <c r="D14817" i="10"/>
  <c r="E14816" i="10"/>
  <c r="D14816" i="10"/>
  <c r="E14815" i="10"/>
  <c r="D14815" i="10"/>
  <c r="E14814" i="10"/>
  <c r="D14814" i="10"/>
  <c r="E14813" i="10"/>
  <c r="D14813" i="10"/>
  <c r="E14812" i="10"/>
  <c r="D14812" i="10"/>
  <c r="E14811" i="10"/>
  <c r="D14811" i="10"/>
  <c r="E14810" i="10"/>
  <c r="D14810" i="10"/>
  <c r="E14809" i="10"/>
  <c r="D14809" i="10"/>
  <c r="E14808" i="10"/>
  <c r="D14808" i="10"/>
  <c r="E14807" i="10"/>
  <c r="D14807" i="10"/>
  <c r="E14806" i="10"/>
  <c r="D14806" i="10"/>
  <c r="E14805" i="10"/>
  <c r="D14805" i="10"/>
  <c r="E14804" i="10"/>
  <c r="D14804" i="10"/>
  <c r="E14803" i="10"/>
  <c r="D14803" i="10"/>
  <c r="E14802" i="10"/>
  <c r="D14802" i="10"/>
  <c r="E14801" i="10"/>
  <c r="D14801" i="10"/>
  <c r="E14800" i="10"/>
  <c r="D14800" i="10"/>
  <c r="E14799" i="10"/>
  <c r="D14799" i="10"/>
  <c r="E14798" i="10"/>
  <c r="D14798" i="10"/>
  <c r="E14797" i="10"/>
  <c r="D14797" i="10"/>
  <c r="E14796" i="10"/>
  <c r="D14796" i="10"/>
  <c r="E14795" i="10"/>
  <c r="D14795" i="10"/>
  <c r="E14794" i="10"/>
  <c r="D14794" i="10"/>
  <c r="E14793" i="10"/>
  <c r="D14793" i="10"/>
  <c r="E14792" i="10"/>
  <c r="D14792" i="10"/>
  <c r="E14791" i="10"/>
  <c r="D14791" i="10"/>
  <c r="E14790" i="10"/>
  <c r="D14790" i="10"/>
  <c r="E14789" i="10"/>
  <c r="D14789" i="10"/>
  <c r="E14788" i="10"/>
  <c r="D14788" i="10"/>
  <c r="E14787" i="10"/>
  <c r="D14787" i="10"/>
  <c r="E14786" i="10"/>
  <c r="D14786" i="10"/>
  <c r="E14785" i="10"/>
  <c r="D14785" i="10"/>
  <c r="E14784" i="10"/>
  <c r="D14784" i="10"/>
  <c r="E14783" i="10"/>
  <c r="D14783" i="10"/>
  <c r="E14782" i="10"/>
  <c r="D14782" i="10"/>
  <c r="E14781" i="10"/>
  <c r="D14781" i="10"/>
  <c r="E14780" i="10"/>
  <c r="D14780" i="10"/>
  <c r="E14779" i="10"/>
  <c r="D14779" i="10"/>
  <c r="E14778" i="10"/>
  <c r="D14778" i="10"/>
  <c r="E14777" i="10"/>
  <c r="D14777" i="10"/>
  <c r="E14776" i="10"/>
  <c r="D14776" i="10"/>
  <c r="E14775" i="10"/>
  <c r="D14775" i="10"/>
  <c r="E14774" i="10"/>
  <c r="D14774" i="10"/>
  <c r="E14773" i="10"/>
  <c r="D14773" i="10"/>
  <c r="E14772" i="10"/>
  <c r="D14772" i="10"/>
  <c r="E14771" i="10"/>
  <c r="D14771" i="10"/>
  <c r="E14770" i="10"/>
  <c r="D14770" i="10"/>
  <c r="E14769" i="10"/>
  <c r="D14769" i="10"/>
  <c r="E14768" i="10"/>
  <c r="D14768" i="10"/>
  <c r="E14767" i="10"/>
  <c r="D14767" i="10"/>
  <c r="E14766" i="10"/>
  <c r="D14766" i="10"/>
  <c r="E14765" i="10"/>
  <c r="D14765" i="10"/>
  <c r="E14764" i="10"/>
  <c r="D14764" i="10"/>
  <c r="E14763" i="10"/>
  <c r="D14763" i="10"/>
  <c r="E14762" i="10"/>
  <c r="D14762" i="10"/>
  <c r="E14761" i="10"/>
  <c r="D14761" i="10"/>
  <c r="E14760" i="10"/>
  <c r="D14760" i="10"/>
  <c r="E14759" i="10"/>
  <c r="D14759" i="10"/>
  <c r="E14758" i="10"/>
  <c r="D14758" i="10"/>
  <c r="E14757" i="10"/>
  <c r="D14757" i="10"/>
  <c r="E14756" i="10"/>
  <c r="D14756" i="10"/>
  <c r="E14755" i="10"/>
  <c r="D14755" i="10"/>
  <c r="E14754" i="10"/>
  <c r="D14754" i="10"/>
  <c r="E14753" i="10"/>
  <c r="D14753" i="10"/>
  <c r="E14752" i="10"/>
  <c r="D14752" i="10"/>
  <c r="E14751" i="10"/>
  <c r="D14751" i="10"/>
  <c r="E14750" i="10"/>
  <c r="D14750" i="10"/>
  <c r="E14749" i="10"/>
  <c r="D14749" i="10"/>
  <c r="E14748" i="10"/>
  <c r="D14748" i="10"/>
  <c r="E14747" i="10"/>
  <c r="D14747" i="10"/>
  <c r="E14746" i="10"/>
  <c r="D14746" i="10"/>
  <c r="E14745" i="10"/>
  <c r="D14745" i="10"/>
  <c r="E14744" i="10"/>
  <c r="D14744" i="10"/>
  <c r="E14743" i="10"/>
  <c r="D14743" i="10"/>
  <c r="E14742" i="10"/>
  <c r="D14742" i="10"/>
  <c r="E14741" i="10"/>
  <c r="D14741" i="10"/>
  <c r="E14740" i="10"/>
  <c r="D14740" i="10"/>
  <c r="E14739" i="10"/>
  <c r="D14739" i="10"/>
  <c r="E14738" i="10"/>
  <c r="D14738" i="10"/>
  <c r="E14737" i="10"/>
  <c r="D14737" i="10"/>
  <c r="E14736" i="10"/>
  <c r="D14736" i="10"/>
  <c r="E14735" i="10"/>
  <c r="D14735" i="10"/>
  <c r="E14734" i="10"/>
  <c r="D14734" i="10"/>
  <c r="E14733" i="10"/>
  <c r="D14733" i="10"/>
  <c r="E14732" i="10"/>
  <c r="D14732" i="10"/>
  <c r="E14731" i="10"/>
  <c r="D14731" i="10"/>
  <c r="E14730" i="10"/>
  <c r="D14730" i="10"/>
  <c r="E14729" i="10"/>
  <c r="D14729" i="10"/>
  <c r="E14728" i="10"/>
  <c r="D14728" i="10"/>
  <c r="E14727" i="10"/>
  <c r="D14727" i="10"/>
  <c r="E14726" i="10"/>
  <c r="D14726" i="10"/>
  <c r="E14725" i="10"/>
  <c r="D14725" i="10"/>
  <c r="E14724" i="10"/>
  <c r="D14724" i="10"/>
  <c r="E14723" i="10"/>
  <c r="D14723" i="10"/>
  <c r="E14722" i="10"/>
  <c r="D14722" i="10"/>
  <c r="E14721" i="10"/>
  <c r="D14721" i="10"/>
  <c r="E14720" i="10"/>
  <c r="D14720" i="10"/>
  <c r="E14719" i="10"/>
  <c r="D14719" i="10"/>
  <c r="E14718" i="10"/>
  <c r="D14718" i="10"/>
  <c r="E14717" i="10"/>
  <c r="D14717" i="10"/>
  <c r="E14716" i="10"/>
  <c r="D14716" i="10"/>
  <c r="E14715" i="10"/>
  <c r="D14715" i="10"/>
  <c r="E14714" i="10"/>
  <c r="D14714" i="10"/>
  <c r="E14713" i="10"/>
  <c r="D14713" i="10"/>
  <c r="E14712" i="10"/>
  <c r="D14712" i="10"/>
  <c r="E14711" i="10"/>
  <c r="D14711" i="10"/>
  <c r="E14710" i="10"/>
  <c r="D14710" i="10"/>
  <c r="E14709" i="10"/>
  <c r="D14709" i="10"/>
  <c r="E14708" i="10"/>
  <c r="D14708" i="10"/>
  <c r="E14707" i="10"/>
  <c r="D14707" i="10"/>
  <c r="E14706" i="10"/>
  <c r="D14706" i="10"/>
  <c r="E14705" i="10"/>
  <c r="D14705" i="10"/>
  <c r="E14704" i="10"/>
  <c r="D14704" i="10"/>
  <c r="E14703" i="10"/>
  <c r="D14703" i="10"/>
  <c r="E14702" i="10"/>
  <c r="D14702" i="10"/>
  <c r="E14701" i="10"/>
  <c r="D14701" i="10"/>
  <c r="E14700" i="10"/>
  <c r="D14700" i="10"/>
  <c r="E14699" i="10"/>
  <c r="D14699" i="10"/>
  <c r="E14698" i="10"/>
  <c r="D14698" i="10"/>
  <c r="E14697" i="10"/>
  <c r="D14697" i="10"/>
  <c r="E14696" i="10"/>
  <c r="D14696" i="10"/>
  <c r="E14695" i="10"/>
  <c r="D14695" i="10"/>
  <c r="E14694" i="10"/>
  <c r="D14694" i="10"/>
  <c r="E14693" i="10"/>
  <c r="D14693" i="10"/>
  <c r="E14692" i="10"/>
  <c r="D14692" i="10"/>
  <c r="E14691" i="10"/>
  <c r="D14691" i="10"/>
  <c r="E14690" i="10"/>
  <c r="D14690" i="10"/>
  <c r="E14689" i="10"/>
  <c r="D14689" i="10"/>
  <c r="E14688" i="10"/>
  <c r="D14688" i="10"/>
  <c r="E14687" i="10"/>
  <c r="D14687" i="10"/>
  <c r="E14686" i="10"/>
  <c r="D14686" i="10"/>
  <c r="E14685" i="10"/>
  <c r="D14685" i="10"/>
  <c r="E14684" i="10"/>
  <c r="D14684" i="10"/>
  <c r="E14683" i="10"/>
  <c r="D14683" i="10"/>
  <c r="E14682" i="10"/>
  <c r="D14682" i="10"/>
  <c r="E14681" i="10"/>
  <c r="D14681" i="10"/>
  <c r="E14680" i="10"/>
  <c r="D14680" i="10"/>
  <c r="E14679" i="10"/>
  <c r="D14679" i="10"/>
  <c r="E14678" i="10"/>
  <c r="D14678" i="10"/>
  <c r="E14677" i="10"/>
  <c r="D14677" i="10"/>
  <c r="E14676" i="10"/>
  <c r="D14676" i="10"/>
  <c r="E14675" i="10"/>
  <c r="D14675" i="10"/>
  <c r="E14674" i="10"/>
  <c r="D14674" i="10"/>
  <c r="E14673" i="10"/>
  <c r="D14673" i="10"/>
  <c r="E14672" i="10"/>
  <c r="D14672" i="10"/>
  <c r="E14671" i="10"/>
  <c r="D14671" i="10"/>
  <c r="E14670" i="10"/>
  <c r="D14670" i="10"/>
  <c r="E14669" i="10"/>
  <c r="D14669" i="10"/>
  <c r="E14668" i="10"/>
  <c r="D14668" i="10"/>
  <c r="E14667" i="10"/>
  <c r="D14667" i="10"/>
  <c r="E14666" i="10"/>
  <c r="D14666" i="10"/>
  <c r="E14665" i="10"/>
  <c r="D14665" i="10"/>
  <c r="E14664" i="10"/>
  <c r="D14664" i="10"/>
  <c r="E14663" i="10"/>
  <c r="D14663" i="10"/>
  <c r="E14662" i="10"/>
  <c r="D14662" i="10"/>
  <c r="E14661" i="10"/>
  <c r="D14661" i="10"/>
  <c r="E14660" i="10"/>
  <c r="D14660" i="10"/>
  <c r="E14659" i="10"/>
  <c r="D14659" i="10"/>
  <c r="E14658" i="10"/>
  <c r="D14658" i="10"/>
  <c r="E14657" i="10"/>
  <c r="D14657" i="10"/>
  <c r="E14656" i="10"/>
  <c r="D14656" i="10"/>
  <c r="E14655" i="10"/>
  <c r="D14655" i="10"/>
  <c r="E14654" i="10"/>
  <c r="D14654" i="10"/>
  <c r="E14653" i="10"/>
  <c r="D14653" i="10"/>
  <c r="E14652" i="10"/>
  <c r="D14652" i="10"/>
  <c r="E14651" i="10"/>
  <c r="D14651" i="10"/>
  <c r="E14650" i="10"/>
  <c r="D14650" i="10"/>
  <c r="E14649" i="10"/>
  <c r="D14649" i="10"/>
  <c r="E14648" i="10"/>
  <c r="D14648" i="10"/>
  <c r="E14647" i="10"/>
  <c r="D14647" i="10"/>
  <c r="E14646" i="10"/>
  <c r="D14646" i="10"/>
  <c r="E14645" i="10"/>
  <c r="D14645" i="10"/>
  <c r="E14644" i="10"/>
  <c r="D14644" i="10"/>
  <c r="E14643" i="10"/>
  <c r="D14643" i="10"/>
  <c r="E14642" i="10"/>
  <c r="D14642" i="10"/>
  <c r="E14641" i="10"/>
  <c r="D14641" i="10"/>
  <c r="E14640" i="10"/>
  <c r="D14640" i="10"/>
  <c r="E14639" i="10"/>
  <c r="D14639" i="10"/>
  <c r="E14638" i="10"/>
  <c r="D14638" i="10"/>
  <c r="E14637" i="10"/>
  <c r="D14637" i="10"/>
  <c r="E14636" i="10"/>
  <c r="D14636" i="10"/>
  <c r="E14635" i="10"/>
  <c r="D14635" i="10"/>
  <c r="E14634" i="10"/>
  <c r="D14634" i="10"/>
  <c r="E14633" i="10"/>
  <c r="D14633" i="10"/>
  <c r="E14632" i="10"/>
  <c r="D14632" i="10"/>
  <c r="E14631" i="10"/>
  <c r="D14631" i="10"/>
  <c r="E14630" i="10"/>
  <c r="D14630" i="10"/>
  <c r="E14629" i="10"/>
  <c r="D14629" i="10"/>
  <c r="E14628" i="10"/>
  <c r="D14628" i="10"/>
  <c r="E14627" i="10"/>
  <c r="D14627" i="10"/>
  <c r="E14626" i="10"/>
  <c r="D14626" i="10"/>
  <c r="E14625" i="10"/>
  <c r="D14625" i="10"/>
  <c r="E14624" i="10"/>
  <c r="D14624" i="10"/>
  <c r="E14623" i="10"/>
  <c r="D14623" i="10"/>
  <c r="E14622" i="10"/>
  <c r="D14622" i="10"/>
  <c r="E14621" i="10"/>
  <c r="D14621" i="10"/>
  <c r="E14620" i="10"/>
  <c r="D14620" i="10"/>
  <c r="E14619" i="10"/>
  <c r="D14619" i="10"/>
  <c r="E14618" i="10"/>
  <c r="D14618" i="10"/>
  <c r="E14617" i="10"/>
  <c r="D14617" i="10"/>
  <c r="E14616" i="10"/>
  <c r="D14616" i="10"/>
  <c r="E14615" i="10"/>
  <c r="D14615" i="10"/>
  <c r="E14614" i="10"/>
  <c r="D14614" i="10"/>
  <c r="E14613" i="10"/>
  <c r="D14613" i="10"/>
  <c r="E14612" i="10"/>
  <c r="D14612" i="10"/>
  <c r="E14611" i="10"/>
  <c r="D14611" i="10"/>
  <c r="E14610" i="10"/>
  <c r="D14610" i="10"/>
  <c r="E14609" i="10"/>
  <c r="D14609" i="10"/>
  <c r="E14608" i="10"/>
  <c r="D14608" i="10"/>
  <c r="E14607" i="10"/>
  <c r="D14607" i="10"/>
  <c r="E14606" i="10"/>
  <c r="D14606" i="10"/>
  <c r="E14605" i="10"/>
  <c r="D14605" i="10"/>
  <c r="E14604" i="10"/>
  <c r="D14604" i="10"/>
  <c r="E14603" i="10"/>
  <c r="D14603" i="10"/>
  <c r="E14602" i="10"/>
  <c r="D14602" i="10"/>
  <c r="E14601" i="10"/>
  <c r="D14601" i="10"/>
  <c r="E14600" i="10"/>
  <c r="D14600" i="10"/>
  <c r="E14599" i="10"/>
  <c r="D14599" i="10"/>
  <c r="E14598" i="10"/>
  <c r="D14598" i="10"/>
  <c r="E14597" i="10"/>
  <c r="D14597" i="10"/>
  <c r="E14596" i="10"/>
  <c r="D14596" i="10"/>
  <c r="E14595" i="10"/>
  <c r="D14595" i="10"/>
  <c r="E14594" i="10"/>
  <c r="D14594" i="10"/>
  <c r="E14593" i="10"/>
  <c r="D14593" i="10"/>
  <c r="E14592" i="10"/>
  <c r="D14592" i="10"/>
  <c r="E14591" i="10"/>
  <c r="D14591" i="10"/>
  <c r="E14590" i="10"/>
  <c r="D14590" i="10"/>
  <c r="E14589" i="10"/>
  <c r="D14589" i="10"/>
  <c r="E14588" i="10"/>
  <c r="D14588" i="10"/>
  <c r="E14587" i="10"/>
  <c r="D14587" i="10"/>
  <c r="E14586" i="10"/>
  <c r="D14586" i="10"/>
  <c r="E14585" i="10"/>
  <c r="D14585" i="10"/>
  <c r="E14584" i="10"/>
  <c r="D14584" i="10"/>
  <c r="E14583" i="10"/>
  <c r="D14583" i="10"/>
  <c r="E14582" i="10"/>
  <c r="D14582" i="10"/>
  <c r="E14581" i="10"/>
  <c r="D14581" i="10"/>
  <c r="E14580" i="10"/>
  <c r="D14580" i="10"/>
  <c r="E14579" i="10"/>
  <c r="D14579" i="10"/>
  <c r="E14578" i="10"/>
  <c r="D14578" i="10"/>
  <c r="E14577" i="10"/>
  <c r="D14577" i="10"/>
  <c r="E14576" i="10"/>
  <c r="D14576" i="10"/>
  <c r="E14575" i="10"/>
  <c r="D14575" i="10"/>
  <c r="E14574" i="10"/>
  <c r="D14574" i="10"/>
  <c r="E14573" i="10"/>
  <c r="D14573" i="10"/>
  <c r="E14572" i="10"/>
  <c r="D14572" i="10"/>
  <c r="E14571" i="10"/>
  <c r="D14571" i="10"/>
  <c r="E14570" i="10"/>
  <c r="D14570" i="10"/>
  <c r="E14569" i="10"/>
  <c r="D14569" i="10"/>
  <c r="E14568" i="10"/>
  <c r="D14568" i="10"/>
  <c r="E14567" i="10"/>
  <c r="D14567" i="10"/>
  <c r="E14566" i="10"/>
  <c r="D14566" i="10"/>
  <c r="E14565" i="10"/>
  <c r="D14565" i="10"/>
  <c r="E14564" i="10"/>
  <c r="D14564" i="10"/>
  <c r="E14563" i="10"/>
  <c r="D14563" i="10"/>
  <c r="E14562" i="10"/>
  <c r="D14562" i="10"/>
  <c r="E14561" i="10"/>
  <c r="D14561" i="10"/>
  <c r="E14560" i="10"/>
  <c r="D14560" i="10"/>
  <c r="E14559" i="10"/>
  <c r="D14559" i="10"/>
  <c r="E14558" i="10"/>
  <c r="D14558" i="10"/>
  <c r="E14557" i="10"/>
  <c r="D14557" i="10"/>
  <c r="E14556" i="10"/>
  <c r="D14556" i="10"/>
  <c r="E14555" i="10"/>
  <c r="D14555" i="10"/>
  <c r="E14554" i="10"/>
  <c r="D14554" i="10"/>
  <c r="E14553" i="10"/>
  <c r="D14553" i="10"/>
  <c r="E14552" i="10"/>
  <c r="D14552" i="10"/>
  <c r="E14551" i="10"/>
  <c r="D14551" i="10"/>
  <c r="E14550" i="10"/>
  <c r="D14550" i="10"/>
  <c r="E14549" i="10"/>
  <c r="D14549" i="10"/>
  <c r="E14548" i="10"/>
  <c r="D14548" i="10"/>
  <c r="E14547" i="10"/>
  <c r="D14547" i="10"/>
  <c r="E14546" i="10"/>
  <c r="D14546" i="10"/>
  <c r="E14545" i="10"/>
  <c r="D14545" i="10"/>
  <c r="E14544" i="10"/>
  <c r="D14544" i="10"/>
  <c r="E14543" i="10"/>
  <c r="D14543" i="10"/>
  <c r="E14542" i="10"/>
  <c r="D14542" i="10"/>
  <c r="E14541" i="10"/>
  <c r="D14541" i="10"/>
  <c r="E14540" i="10"/>
  <c r="D14540" i="10"/>
  <c r="E14539" i="10"/>
  <c r="D14539" i="10"/>
  <c r="E14538" i="10"/>
  <c r="D14538" i="10"/>
  <c r="E14537" i="10"/>
  <c r="D14537" i="10"/>
  <c r="E14536" i="10"/>
  <c r="D14536" i="10"/>
  <c r="E14535" i="10"/>
  <c r="D14535" i="10"/>
  <c r="E14534" i="10"/>
  <c r="D14534" i="10"/>
  <c r="E14533" i="10"/>
  <c r="D14533" i="10"/>
  <c r="E14532" i="10"/>
  <c r="D14532" i="10"/>
  <c r="E14531" i="10"/>
  <c r="D14531" i="10"/>
  <c r="E14530" i="10"/>
  <c r="D14530" i="10"/>
  <c r="E14529" i="10"/>
  <c r="D14529" i="10"/>
  <c r="E14528" i="10"/>
  <c r="D14528" i="10"/>
  <c r="E14527" i="10"/>
  <c r="D14527" i="10"/>
  <c r="E14526" i="10"/>
  <c r="D14526" i="10"/>
  <c r="E14525" i="10"/>
  <c r="D14525" i="10"/>
  <c r="E14524" i="10"/>
  <c r="D14524" i="10"/>
  <c r="E14523" i="10"/>
  <c r="D14523" i="10"/>
  <c r="E14522" i="10"/>
  <c r="D14522" i="10"/>
  <c r="E14521" i="10"/>
  <c r="D14521" i="10"/>
  <c r="E14520" i="10"/>
  <c r="D14520" i="10"/>
  <c r="E14519" i="10"/>
  <c r="D14519" i="10"/>
  <c r="E14518" i="10"/>
  <c r="D14518" i="10"/>
  <c r="E14517" i="10"/>
  <c r="D14517" i="10"/>
  <c r="E14516" i="10"/>
  <c r="D14516" i="10"/>
  <c r="E14515" i="10"/>
  <c r="D14515" i="10"/>
  <c r="E14514" i="10"/>
  <c r="D14514" i="10"/>
  <c r="E14513" i="10"/>
  <c r="D14513" i="10"/>
  <c r="E14512" i="10"/>
  <c r="D14512" i="10"/>
  <c r="E14511" i="10"/>
  <c r="D14511" i="10"/>
  <c r="E14510" i="10"/>
  <c r="D14510" i="10"/>
  <c r="E14509" i="10"/>
  <c r="D14509" i="10"/>
  <c r="E14508" i="10"/>
  <c r="D14508" i="10"/>
  <c r="E14507" i="10"/>
  <c r="D14507" i="10"/>
  <c r="E14506" i="10"/>
  <c r="D14506" i="10"/>
  <c r="E14505" i="10"/>
  <c r="D14505" i="10"/>
  <c r="E14504" i="10"/>
  <c r="D14504" i="10"/>
  <c r="E14503" i="10"/>
  <c r="D14503" i="10"/>
  <c r="E14502" i="10"/>
  <c r="D14502" i="10"/>
  <c r="E14501" i="10"/>
  <c r="D14501" i="10"/>
  <c r="E14500" i="10"/>
  <c r="D14500" i="10"/>
  <c r="E14499" i="10"/>
  <c r="D14499" i="10"/>
  <c r="E14498" i="10"/>
  <c r="D14498" i="10"/>
  <c r="E14497" i="10"/>
  <c r="D14497" i="10"/>
  <c r="E14496" i="10"/>
  <c r="D14496" i="10"/>
  <c r="E14495" i="10"/>
  <c r="D14495" i="10"/>
  <c r="E14494" i="10"/>
  <c r="D14494" i="10"/>
  <c r="E14493" i="10"/>
  <c r="D14493" i="10"/>
  <c r="E14492" i="10"/>
  <c r="D14492" i="10"/>
  <c r="E14491" i="10"/>
  <c r="D14491" i="10"/>
  <c r="E14490" i="10"/>
  <c r="D14490" i="10"/>
  <c r="E14489" i="10"/>
  <c r="D14489" i="10"/>
  <c r="E14488" i="10"/>
  <c r="D14488" i="10"/>
  <c r="E14487" i="10"/>
  <c r="D14487" i="10"/>
  <c r="E14486" i="10"/>
  <c r="D14486" i="10"/>
  <c r="E14485" i="10"/>
  <c r="D14485" i="10"/>
  <c r="E14484" i="10"/>
  <c r="D14484" i="10"/>
  <c r="E14483" i="10"/>
  <c r="D14483" i="10"/>
  <c r="E14482" i="10"/>
  <c r="D14482" i="10"/>
  <c r="E14481" i="10"/>
  <c r="D14481" i="10"/>
  <c r="E14480" i="10"/>
  <c r="D14480" i="10"/>
  <c r="E14479" i="10"/>
  <c r="D14479" i="10"/>
  <c r="E14478" i="10"/>
  <c r="D14478" i="10"/>
  <c r="E14477" i="10"/>
  <c r="D14477" i="10"/>
  <c r="E14476" i="10"/>
  <c r="D14476" i="10"/>
  <c r="E14475" i="10"/>
  <c r="D14475" i="10"/>
  <c r="E14474" i="10"/>
  <c r="D14474" i="10"/>
  <c r="E14473" i="10"/>
  <c r="D14473" i="10"/>
  <c r="E14472" i="10"/>
  <c r="D14472" i="10"/>
  <c r="E14471" i="10"/>
  <c r="D14471" i="10"/>
  <c r="E14470" i="10"/>
  <c r="D14470" i="10"/>
  <c r="E14469" i="10"/>
  <c r="D14469" i="10"/>
  <c r="E14468" i="10"/>
  <c r="D14468" i="10"/>
  <c r="E14467" i="10"/>
  <c r="D14467" i="10"/>
  <c r="E14466" i="10"/>
  <c r="D14466" i="10"/>
  <c r="E14465" i="10"/>
  <c r="D14465" i="10"/>
  <c r="E14464" i="10"/>
  <c r="D14464" i="10"/>
  <c r="E14463" i="10"/>
  <c r="D14463" i="10"/>
  <c r="E14462" i="10"/>
  <c r="D14462" i="10"/>
  <c r="E14461" i="10"/>
  <c r="D14461" i="10"/>
  <c r="E14460" i="10"/>
  <c r="D14460" i="10"/>
  <c r="E14459" i="10"/>
  <c r="D14459" i="10"/>
  <c r="E14458" i="10"/>
  <c r="D14458" i="10"/>
  <c r="E14457" i="10"/>
  <c r="D14457" i="10"/>
  <c r="E14456" i="10"/>
  <c r="D14456" i="10"/>
  <c r="E14455" i="10"/>
  <c r="D14455" i="10"/>
  <c r="E14454" i="10"/>
  <c r="D14454" i="10"/>
  <c r="E14453" i="10"/>
  <c r="D14453" i="10"/>
  <c r="E14452" i="10"/>
  <c r="D14452" i="10"/>
  <c r="E14451" i="10"/>
  <c r="D14451" i="10"/>
  <c r="E14450" i="10"/>
  <c r="D14450" i="10"/>
  <c r="E14449" i="10"/>
  <c r="D14449" i="10"/>
  <c r="E14448" i="10"/>
  <c r="D14448" i="10"/>
  <c r="E14447" i="10"/>
  <c r="D14447" i="10"/>
  <c r="E14446" i="10"/>
  <c r="D14446" i="10"/>
  <c r="E14445" i="10"/>
  <c r="D14445" i="10"/>
  <c r="E14444" i="10"/>
  <c r="D14444" i="10"/>
  <c r="E14443" i="10"/>
  <c r="D14443" i="10"/>
  <c r="E14442" i="10"/>
  <c r="D14442" i="10"/>
  <c r="E14441" i="10"/>
  <c r="D14441" i="10"/>
  <c r="E14440" i="10"/>
  <c r="D14440" i="10"/>
  <c r="E14439" i="10"/>
  <c r="D14439" i="10"/>
  <c r="E14438" i="10"/>
  <c r="D14438" i="10"/>
  <c r="E14437" i="10"/>
  <c r="D14437" i="10"/>
  <c r="E14436" i="10"/>
  <c r="D14436" i="10"/>
  <c r="E14435" i="10"/>
  <c r="D14435" i="10"/>
  <c r="E14434" i="10"/>
  <c r="D14434" i="10"/>
  <c r="E14433" i="10"/>
  <c r="D14433" i="10"/>
  <c r="E14432" i="10"/>
  <c r="D14432" i="10"/>
  <c r="E14431" i="10"/>
  <c r="D14431" i="10"/>
  <c r="E14430" i="10"/>
  <c r="D14430" i="10"/>
  <c r="E14429" i="10"/>
  <c r="D14429" i="10"/>
  <c r="E14428" i="10"/>
  <c r="D14428" i="10"/>
  <c r="E14427" i="10"/>
  <c r="D14427" i="10"/>
  <c r="E14426" i="10"/>
  <c r="D14426" i="10"/>
  <c r="E14425" i="10"/>
  <c r="D14425" i="10"/>
  <c r="E14424" i="10"/>
  <c r="D14424" i="10"/>
  <c r="E14423" i="10"/>
  <c r="D14423" i="10"/>
  <c r="E14422" i="10"/>
  <c r="D14422" i="10"/>
  <c r="E14421" i="10"/>
  <c r="D14421" i="10"/>
  <c r="E14420" i="10"/>
  <c r="D14420" i="10"/>
  <c r="E14419" i="10"/>
  <c r="D14419" i="10"/>
  <c r="E14418" i="10"/>
  <c r="D14418" i="10"/>
  <c r="E14417" i="10"/>
  <c r="D14417" i="10"/>
  <c r="E14416" i="10"/>
  <c r="D14416" i="10"/>
  <c r="E14415" i="10"/>
  <c r="D14415" i="10"/>
  <c r="E14414" i="10"/>
  <c r="D14414" i="10"/>
  <c r="E14413" i="10"/>
  <c r="D14413" i="10"/>
  <c r="E14412" i="10"/>
  <c r="D14412" i="10"/>
  <c r="E14411" i="10"/>
  <c r="D14411" i="10"/>
  <c r="E14410" i="10"/>
  <c r="D14410" i="10"/>
  <c r="E14409" i="10"/>
  <c r="D14409" i="10"/>
  <c r="E14408" i="10"/>
  <c r="D14408" i="10"/>
  <c r="E14407" i="10"/>
  <c r="D14407" i="10"/>
  <c r="E14406" i="10"/>
  <c r="D14406" i="10"/>
  <c r="E14405" i="10"/>
  <c r="D14405" i="10"/>
  <c r="E14404" i="10"/>
  <c r="D14404" i="10"/>
  <c r="E14403" i="10"/>
  <c r="D14403" i="10"/>
  <c r="E14402" i="10"/>
  <c r="D14402" i="10"/>
  <c r="E14401" i="10"/>
  <c r="D14401" i="10"/>
  <c r="E14400" i="10"/>
  <c r="D14400" i="10"/>
  <c r="E14399" i="10"/>
  <c r="D14399" i="10"/>
  <c r="E14398" i="10"/>
  <c r="D14398" i="10"/>
  <c r="E14397" i="10"/>
  <c r="D14397" i="10"/>
  <c r="E14396" i="10"/>
  <c r="D14396" i="10"/>
  <c r="E14395" i="10"/>
  <c r="D14395" i="10"/>
  <c r="E14394" i="10"/>
  <c r="D14394" i="10"/>
  <c r="E14393" i="10"/>
  <c r="D14393" i="10"/>
  <c r="E14392" i="10"/>
  <c r="D14392" i="10"/>
  <c r="E14391" i="10"/>
  <c r="D14391" i="10"/>
  <c r="E14390" i="10"/>
  <c r="D14390" i="10"/>
  <c r="E14389" i="10"/>
  <c r="D14389" i="10"/>
  <c r="E14388" i="10"/>
  <c r="D14388" i="10"/>
  <c r="E14387" i="10"/>
  <c r="D14387" i="10"/>
  <c r="E14386" i="10"/>
  <c r="D14386" i="10"/>
  <c r="E14385" i="10"/>
  <c r="D14385" i="10"/>
  <c r="E14384" i="10"/>
  <c r="D14384" i="10"/>
  <c r="E14383" i="10"/>
  <c r="D14383" i="10"/>
  <c r="E14382" i="10"/>
  <c r="D14382" i="10"/>
  <c r="E14381" i="10"/>
  <c r="D14381" i="10"/>
  <c r="E14380" i="10"/>
  <c r="D14380" i="10"/>
  <c r="E14379" i="10"/>
  <c r="D14379" i="10"/>
  <c r="E14378" i="10"/>
  <c r="D14378" i="10"/>
  <c r="E14377" i="10"/>
  <c r="D14377" i="10"/>
  <c r="E14376" i="10"/>
  <c r="D14376" i="10"/>
  <c r="E14375" i="10"/>
  <c r="D14375" i="10"/>
  <c r="E14374" i="10"/>
  <c r="D14374" i="10"/>
  <c r="E14373" i="10"/>
  <c r="D14373" i="10"/>
  <c r="E14372" i="10"/>
  <c r="D14372" i="10"/>
  <c r="E14371" i="10"/>
  <c r="D14371" i="10"/>
  <c r="E14370" i="10"/>
  <c r="D14370" i="10"/>
  <c r="E14369" i="10"/>
  <c r="D14369" i="10"/>
  <c r="E14368" i="10"/>
  <c r="D14368" i="10"/>
  <c r="E14367" i="10"/>
  <c r="D14367" i="10"/>
  <c r="E14366" i="10"/>
  <c r="D14366" i="10"/>
  <c r="E14365" i="10"/>
  <c r="D14365" i="10"/>
  <c r="E14364" i="10"/>
  <c r="D14364" i="10"/>
  <c r="E14363" i="10"/>
  <c r="D14363" i="10"/>
  <c r="E14362" i="10"/>
  <c r="D14362" i="10"/>
  <c r="E14361" i="10"/>
  <c r="D14361" i="10"/>
  <c r="E14360" i="10"/>
  <c r="D14360" i="10"/>
  <c r="E14359" i="10"/>
  <c r="D14359" i="10"/>
  <c r="E14358" i="10"/>
  <c r="D14358" i="10"/>
  <c r="E14357" i="10"/>
  <c r="D14357" i="10"/>
  <c r="E14356" i="10"/>
  <c r="D14356" i="10"/>
  <c r="E14355" i="10"/>
  <c r="D14355" i="10"/>
  <c r="E14354" i="10"/>
  <c r="D14354" i="10"/>
  <c r="E14353" i="10"/>
  <c r="D14353" i="10"/>
  <c r="E14352" i="10"/>
  <c r="D14352" i="10"/>
  <c r="E14351" i="10"/>
  <c r="D14351" i="10"/>
  <c r="E14350" i="10"/>
  <c r="D14350" i="10"/>
  <c r="E14349" i="10"/>
  <c r="D14349" i="10"/>
  <c r="E14348" i="10"/>
  <c r="D14348" i="10"/>
  <c r="E14347" i="10"/>
  <c r="D14347" i="10"/>
  <c r="E14346" i="10"/>
  <c r="D14346" i="10"/>
  <c r="E14345" i="10"/>
  <c r="D14345" i="10"/>
  <c r="E14344" i="10"/>
  <c r="D14344" i="10"/>
  <c r="E14343" i="10"/>
  <c r="D14343" i="10"/>
  <c r="E14342" i="10"/>
  <c r="D14342" i="10"/>
  <c r="E14341" i="10"/>
  <c r="D14341" i="10"/>
  <c r="E14340" i="10"/>
  <c r="D14340" i="10"/>
  <c r="E14339" i="10"/>
  <c r="D14339" i="10"/>
  <c r="E14338" i="10"/>
  <c r="D14338" i="10"/>
  <c r="E14337" i="10"/>
  <c r="D14337" i="10"/>
  <c r="E14336" i="10"/>
  <c r="D14336" i="10"/>
  <c r="E14335" i="10"/>
  <c r="D14335" i="10"/>
  <c r="E14334" i="10"/>
  <c r="D14334" i="10"/>
  <c r="E14333" i="10"/>
  <c r="D14333" i="10"/>
  <c r="E14332" i="10"/>
  <c r="D14332" i="10"/>
  <c r="E14331" i="10"/>
  <c r="D14331" i="10"/>
  <c r="E14330" i="10"/>
  <c r="D14330" i="10"/>
  <c r="E14329" i="10"/>
  <c r="D14329" i="10"/>
  <c r="E14328" i="10"/>
  <c r="D14328" i="10"/>
  <c r="E14327" i="10"/>
  <c r="D14327" i="10"/>
  <c r="E14326" i="10"/>
  <c r="D14326" i="10"/>
  <c r="E14325" i="10"/>
  <c r="D14325" i="10"/>
  <c r="E14324" i="10"/>
  <c r="D14324" i="10"/>
  <c r="E14323" i="10"/>
  <c r="D14323" i="10"/>
  <c r="E14322" i="10"/>
  <c r="D14322" i="10"/>
  <c r="E14321" i="10"/>
  <c r="D14321" i="10"/>
  <c r="E14320" i="10"/>
  <c r="D14320" i="10"/>
  <c r="E14319" i="10"/>
  <c r="D14319" i="10"/>
  <c r="E14318" i="10"/>
  <c r="D14318" i="10"/>
  <c r="E14317" i="10"/>
  <c r="D14317" i="10"/>
  <c r="E14316" i="10"/>
  <c r="D14316" i="10"/>
  <c r="E14315" i="10"/>
  <c r="D14315" i="10"/>
  <c r="E14314" i="10"/>
  <c r="D14314" i="10"/>
  <c r="E14313" i="10"/>
  <c r="D14313" i="10"/>
  <c r="E14312" i="10"/>
  <c r="D14312" i="10"/>
  <c r="E14311" i="10"/>
  <c r="D14311" i="10"/>
  <c r="E14310" i="10"/>
  <c r="D14310" i="10"/>
  <c r="E14309" i="10"/>
  <c r="D14309" i="10"/>
  <c r="E14308" i="10"/>
  <c r="D14308" i="10"/>
  <c r="E14307" i="10"/>
  <c r="D14307" i="10"/>
  <c r="E14306" i="10"/>
  <c r="D14306" i="10"/>
  <c r="E14305" i="10"/>
  <c r="D14305" i="10"/>
  <c r="E14304" i="10"/>
  <c r="D14304" i="10"/>
  <c r="E14303" i="10"/>
  <c r="D14303" i="10"/>
  <c r="E14302" i="10"/>
  <c r="D14302" i="10"/>
  <c r="E14301" i="10"/>
  <c r="D14301" i="10"/>
  <c r="E14300" i="10"/>
  <c r="D14300" i="10"/>
  <c r="E14299" i="10"/>
  <c r="D14299" i="10"/>
  <c r="E14298" i="10"/>
  <c r="D14298" i="10"/>
  <c r="E14297" i="10"/>
  <c r="D14297" i="10"/>
  <c r="E14296" i="10"/>
  <c r="D14296" i="10"/>
  <c r="E14295" i="10"/>
  <c r="D14295" i="10"/>
  <c r="E14294" i="10"/>
  <c r="D14294" i="10"/>
  <c r="E14293" i="10"/>
  <c r="D14293" i="10"/>
  <c r="E14292" i="10"/>
  <c r="D14292" i="10"/>
  <c r="E14291" i="10"/>
  <c r="D14291" i="10"/>
  <c r="E14290" i="10"/>
  <c r="D14290" i="10"/>
  <c r="E14289" i="10"/>
  <c r="D14289" i="10"/>
  <c r="E14288" i="10"/>
  <c r="D14288" i="10"/>
  <c r="E14287" i="10"/>
  <c r="D14287" i="10"/>
  <c r="E14286" i="10"/>
  <c r="D14286" i="10"/>
  <c r="E14285" i="10"/>
  <c r="D14285" i="10"/>
  <c r="E14284" i="10"/>
  <c r="D14284" i="10"/>
  <c r="E14283" i="10"/>
  <c r="D14283" i="10"/>
  <c r="E14282" i="10"/>
  <c r="D14282" i="10"/>
  <c r="E14281" i="10"/>
  <c r="D14281" i="10"/>
  <c r="E14280" i="10"/>
  <c r="D14280" i="10"/>
  <c r="E14279" i="10"/>
  <c r="D14279" i="10"/>
  <c r="E14278" i="10"/>
  <c r="D14278" i="10"/>
  <c r="E14277" i="10"/>
  <c r="D14277" i="10"/>
  <c r="E14276" i="10"/>
  <c r="D14276" i="10"/>
  <c r="E14275" i="10"/>
  <c r="D14275" i="10"/>
  <c r="E14274" i="10"/>
  <c r="D14274" i="10"/>
  <c r="E14273" i="10"/>
  <c r="D14273" i="10"/>
  <c r="E14272" i="10"/>
  <c r="D14272" i="10"/>
  <c r="E14271" i="10"/>
  <c r="D14271" i="10"/>
  <c r="E14270" i="10"/>
  <c r="D14270" i="10"/>
  <c r="E14269" i="10"/>
  <c r="D14269" i="10"/>
  <c r="E14268" i="10"/>
  <c r="D14268" i="10"/>
  <c r="E14267" i="10"/>
  <c r="D14267" i="10"/>
  <c r="E14266" i="10"/>
  <c r="D14266" i="10"/>
  <c r="E14265" i="10"/>
  <c r="D14265" i="10"/>
  <c r="E14264" i="10"/>
  <c r="D14264" i="10"/>
  <c r="E14263" i="10"/>
  <c r="D14263" i="10"/>
  <c r="E14262" i="10"/>
  <c r="D14262" i="10"/>
  <c r="E14261" i="10"/>
  <c r="D14261" i="10"/>
  <c r="E14260" i="10"/>
  <c r="D14260" i="10"/>
  <c r="E14259" i="10"/>
  <c r="D14259" i="10"/>
  <c r="E14258" i="10"/>
  <c r="D14258" i="10"/>
  <c r="E14257" i="10"/>
  <c r="D14257" i="10"/>
  <c r="E14256" i="10"/>
  <c r="D14256" i="10"/>
  <c r="E14255" i="10"/>
  <c r="D14255" i="10"/>
  <c r="E14254" i="10"/>
  <c r="D14254" i="10"/>
  <c r="E14253" i="10"/>
  <c r="D14253" i="10"/>
  <c r="E14252" i="10"/>
  <c r="D14252" i="10"/>
  <c r="E14251" i="10"/>
  <c r="D14251" i="10"/>
  <c r="E14250" i="10"/>
  <c r="D14250" i="10"/>
  <c r="E14249" i="10"/>
  <c r="D14249" i="10"/>
  <c r="E14248" i="10"/>
  <c r="D14248" i="10"/>
  <c r="E14247" i="10"/>
  <c r="D14247" i="10"/>
  <c r="E14246" i="10"/>
  <c r="D14246" i="10"/>
  <c r="E14245" i="10"/>
  <c r="D14245" i="10"/>
  <c r="E14244" i="10"/>
  <c r="D14244" i="10"/>
  <c r="E14243" i="10"/>
  <c r="D14243" i="10"/>
  <c r="E14242" i="10"/>
  <c r="D14242" i="10"/>
  <c r="E14241" i="10"/>
  <c r="D14241" i="10"/>
  <c r="E14240" i="10"/>
  <c r="D14240" i="10"/>
  <c r="E14239" i="10"/>
  <c r="D14239" i="10"/>
  <c r="E14238" i="10"/>
  <c r="D14238" i="10"/>
  <c r="E14237" i="10"/>
  <c r="D14237" i="10"/>
  <c r="E14236" i="10"/>
  <c r="D14236" i="10"/>
  <c r="E14235" i="10"/>
  <c r="D14235" i="10"/>
  <c r="E14234" i="10"/>
  <c r="D14234" i="10"/>
  <c r="E14233" i="10"/>
  <c r="D14233" i="10"/>
  <c r="E14232" i="10"/>
  <c r="D14232" i="10"/>
  <c r="E14231" i="10"/>
  <c r="D14231" i="10"/>
  <c r="E14230" i="10"/>
  <c r="D14230" i="10"/>
  <c r="E14229" i="10"/>
  <c r="D14229" i="10"/>
  <c r="E14228" i="10"/>
  <c r="D14228" i="10"/>
  <c r="E14227" i="10"/>
  <c r="D14227" i="10"/>
  <c r="E14226" i="10"/>
  <c r="D14226" i="10"/>
  <c r="E14225" i="10"/>
  <c r="D14225" i="10"/>
  <c r="E14224" i="10"/>
  <c r="D14224" i="10"/>
  <c r="E14223" i="10"/>
  <c r="D14223" i="10"/>
  <c r="E14222" i="10"/>
  <c r="D14222" i="10"/>
  <c r="E14221" i="10"/>
  <c r="D14221" i="10"/>
  <c r="E14220" i="10"/>
  <c r="D14220" i="10"/>
  <c r="E14219" i="10"/>
  <c r="D14219" i="10"/>
  <c r="E14218" i="10"/>
  <c r="D14218" i="10"/>
  <c r="E14217" i="10"/>
  <c r="D14217" i="10"/>
  <c r="E14216" i="10"/>
  <c r="D14216" i="10"/>
  <c r="E14215" i="10"/>
  <c r="D14215" i="10"/>
  <c r="E14214" i="10"/>
  <c r="D14214" i="10"/>
  <c r="E14213" i="10"/>
  <c r="D14213" i="10"/>
  <c r="E14212" i="10"/>
  <c r="D14212" i="10"/>
  <c r="E14211" i="10"/>
  <c r="D14211" i="10"/>
  <c r="E14210" i="10"/>
  <c r="D14210" i="10"/>
  <c r="E14209" i="10"/>
  <c r="D14209" i="10"/>
  <c r="E14208" i="10"/>
  <c r="D14208" i="10"/>
  <c r="E14207" i="10"/>
  <c r="D14207" i="10"/>
  <c r="E14206" i="10"/>
  <c r="D14206" i="10"/>
  <c r="E14205" i="10"/>
  <c r="D14205" i="10"/>
  <c r="E14204" i="10"/>
  <c r="D14204" i="10"/>
  <c r="E14203" i="10"/>
  <c r="D14203" i="10"/>
  <c r="E14202" i="10"/>
  <c r="D14202" i="10"/>
  <c r="E14201" i="10"/>
  <c r="D14201" i="10"/>
  <c r="E14200" i="10"/>
  <c r="D14200" i="10"/>
  <c r="E14199" i="10"/>
  <c r="D14199" i="10"/>
  <c r="E14198" i="10"/>
  <c r="D14198" i="10"/>
  <c r="E14197" i="10"/>
  <c r="D14197" i="10"/>
  <c r="E14196" i="10"/>
  <c r="D14196" i="10"/>
  <c r="E14195" i="10"/>
  <c r="D14195" i="10"/>
  <c r="E14194" i="10"/>
  <c r="D14194" i="10"/>
  <c r="E14193" i="10"/>
  <c r="D14193" i="10"/>
  <c r="E14192" i="10"/>
  <c r="D14192" i="10"/>
  <c r="E14191" i="10"/>
  <c r="D14191" i="10"/>
  <c r="E14190" i="10"/>
  <c r="D14190" i="10"/>
  <c r="E14189" i="10"/>
  <c r="D14189" i="10"/>
  <c r="E14188" i="10"/>
  <c r="D14188" i="10"/>
  <c r="E14187" i="10"/>
  <c r="D14187" i="10"/>
  <c r="E14186" i="10"/>
  <c r="D14186" i="10"/>
  <c r="E14185" i="10"/>
  <c r="D14185" i="10"/>
  <c r="E14184" i="10"/>
  <c r="D14184" i="10"/>
  <c r="E14183" i="10"/>
  <c r="D14183" i="10"/>
  <c r="E14182" i="10"/>
  <c r="D14182" i="10"/>
  <c r="E14181" i="10"/>
  <c r="D14181" i="10"/>
  <c r="E14180" i="10"/>
  <c r="D14180" i="10"/>
  <c r="E14179" i="10"/>
  <c r="D14179" i="10"/>
  <c r="E14178" i="10"/>
  <c r="D14178" i="10"/>
  <c r="E14177" i="10"/>
  <c r="D14177" i="10"/>
  <c r="E14176" i="10"/>
  <c r="D14176" i="10"/>
  <c r="E14175" i="10"/>
  <c r="D14175" i="10"/>
  <c r="E14174" i="10"/>
  <c r="D14174" i="10"/>
  <c r="E14173" i="10"/>
  <c r="D14173" i="10"/>
  <c r="E14172" i="10"/>
  <c r="D14172" i="10"/>
  <c r="E14171" i="10"/>
  <c r="D14171" i="10"/>
  <c r="E14170" i="10"/>
  <c r="D14170" i="10"/>
  <c r="E14169" i="10"/>
  <c r="D14169" i="10"/>
  <c r="E14168" i="10"/>
  <c r="D14168" i="10"/>
  <c r="E14167" i="10"/>
  <c r="D14167" i="10"/>
  <c r="E14166" i="10"/>
  <c r="D14166" i="10"/>
  <c r="E14165" i="10"/>
  <c r="D14165" i="10"/>
  <c r="E14164" i="10"/>
  <c r="D14164" i="10"/>
  <c r="E14163" i="10"/>
  <c r="D14163" i="10"/>
  <c r="E14162" i="10"/>
  <c r="D14162" i="10"/>
  <c r="E14161" i="10"/>
  <c r="D14161" i="10"/>
  <c r="E14160" i="10"/>
  <c r="D14160" i="10"/>
  <c r="E14159" i="10"/>
  <c r="D14159" i="10"/>
  <c r="E14158" i="10"/>
  <c r="D14158" i="10"/>
  <c r="E14157" i="10"/>
  <c r="D14157" i="10"/>
  <c r="E14156" i="10"/>
  <c r="D14156" i="10"/>
  <c r="E14155" i="10"/>
  <c r="D14155" i="10"/>
  <c r="E14154" i="10"/>
  <c r="D14154" i="10"/>
  <c r="E14153" i="10"/>
  <c r="D14153" i="10"/>
  <c r="E14152" i="10"/>
  <c r="D14152" i="10"/>
  <c r="E14151" i="10"/>
  <c r="D14151" i="10"/>
  <c r="E14150" i="10"/>
  <c r="D14150" i="10"/>
  <c r="E14149" i="10"/>
  <c r="D14149" i="10"/>
  <c r="E14148" i="10"/>
  <c r="D14148" i="10"/>
  <c r="E14147" i="10"/>
  <c r="D14147" i="10"/>
  <c r="E14146" i="10"/>
  <c r="D14146" i="10"/>
  <c r="E14145" i="10"/>
  <c r="D14145" i="10"/>
  <c r="E14144" i="10"/>
  <c r="D14144" i="10"/>
  <c r="E14143" i="10"/>
  <c r="D14143" i="10"/>
  <c r="E14142" i="10"/>
  <c r="D14142" i="10"/>
  <c r="E14141" i="10"/>
  <c r="D14141" i="10"/>
  <c r="E14140" i="10"/>
  <c r="D14140" i="10"/>
  <c r="E14139" i="10"/>
  <c r="D14139" i="10"/>
  <c r="E14138" i="10"/>
  <c r="D14138" i="10"/>
  <c r="E14137" i="10"/>
  <c r="D14137" i="10"/>
  <c r="E14136" i="10"/>
  <c r="D14136" i="10"/>
  <c r="E14135" i="10"/>
  <c r="D14135" i="10"/>
  <c r="E14134" i="10"/>
  <c r="D14134" i="10"/>
  <c r="E14133" i="10"/>
  <c r="D14133" i="10"/>
  <c r="E14132" i="10"/>
  <c r="D14132" i="10"/>
  <c r="E14131" i="10"/>
  <c r="D14131" i="10"/>
  <c r="E14130" i="10"/>
  <c r="D14130" i="10"/>
  <c r="E14129" i="10"/>
  <c r="D14129" i="10"/>
  <c r="E14128" i="10"/>
  <c r="D14128" i="10"/>
  <c r="E14127" i="10"/>
  <c r="D14127" i="10"/>
  <c r="E14126" i="10"/>
  <c r="D14126" i="10"/>
  <c r="E14125" i="10"/>
  <c r="D14125" i="10"/>
  <c r="E14124" i="10"/>
  <c r="D14124" i="10"/>
  <c r="E14123" i="10"/>
  <c r="D14123" i="10"/>
  <c r="E14122" i="10"/>
  <c r="D14122" i="10"/>
  <c r="E14121" i="10"/>
  <c r="D14121" i="10"/>
  <c r="E14120" i="10"/>
  <c r="D14120" i="10"/>
  <c r="E14119" i="10"/>
  <c r="D14119" i="10"/>
  <c r="E14118" i="10"/>
  <c r="D14118" i="10"/>
  <c r="E14117" i="10"/>
  <c r="D14117" i="10"/>
  <c r="E14116" i="10"/>
  <c r="D14116" i="10"/>
  <c r="E14115" i="10"/>
  <c r="D14115" i="10"/>
  <c r="E14114" i="10"/>
  <c r="D14114" i="10"/>
  <c r="E14113" i="10"/>
  <c r="D14113" i="10"/>
  <c r="E14112" i="10"/>
  <c r="D14112" i="10"/>
  <c r="E14111" i="10"/>
  <c r="D14111" i="10"/>
  <c r="E14110" i="10"/>
  <c r="D14110" i="10"/>
  <c r="E14109" i="10"/>
  <c r="D14109" i="10"/>
  <c r="E14108" i="10"/>
  <c r="D14108" i="10"/>
  <c r="E14107" i="10"/>
  <c r="D14107" i="10"/>
  <c r="E14106" i="10"/>
  <c r="D14106" i="10"/>
  <c r="E14105" i="10"/>
  <c r="D14105" i="10"/>
  <c r="E14104" i="10"/>
  <c r="D14104" i="10"/>
  <c r="E14103" i="10"/>
  <c r="D14103" i="10"/>
  <c r="E14102" i="10"/>
  <c r="D14102" i="10"/>
  <c r="E14101" i="10"/>
  <c r="D14101" i="10"/>
  <c r="E14100" i="10"/>
  <c r="D14100" i="10"/>
  <c r="E14099" i="10"/>
  <c r="D14099" i="10"/>
  <c r="E14098" i="10"/>
  <c r="D14098" i="10"/>
  <c r="E14097" i="10"/>
  <c r="D14097" i="10"/>
  <c r="E14096" i="10"/>
  <c r="D14096" i="10"/>
  <c r="E14095" i="10"/>
  <c r="D14095" i="10"/>
  <c r="E14094" i="10"/>
  <c r="D14094" i="10"/>
  <c r="E14093" i="10"/>
  <c r="D14093" i="10"/>
  <c r="E14092" i="10"/>
  <c r="D14092" i="10"/>
  <c r="E14091" i="10"/>
  <c r="D14091" i="10"/>
  <c r="E14090" i="10"/>
  <c r="D14090" i="10"/>
  <c r="E14089" i="10"/>
  <c r="D14089" i="10"/>
  <c r="E14088" i="10"/>
  <c r="D14088" i="10"/>
  <c r="E14087" i="10"/>
  <c r="D14087" i="10"/>
  <c r="E14086" i="10"/>
  <c r="D14086" i="10"/>
  <c r="E14085" i="10"/>
  <c r="D14085" i="10"/>
  <c r="E14084" i="10"/>
  <c r="D14084" i="10"/>
  <c r="E14083" i="10"/>
  <c r="D14083" i="10"/>
  <c r="E14082" i="10"/>
  <c r="D14082" i="10"/>
  <c r="E14081" i="10"/>
  <c r="D14081" i="10"/>
  <c r="E14080" i="10"/>
  <c r="D14080" i="10"/>
  <c r="E14079" i="10"/>
  <c r="D14079" i="10"/>
  <c r="E14078" i="10"/>
  <c r="D14078" i="10"/>
  <c r="E14077" i="10"/>
  <c r="D14077" i="10"/>
  <c r="E14076" i="10"/>
  <c r="D14076" i="10"/>
  <c r="E14075" i="10"/>
  <c r="D14075" i="10"/>
  <c r="E14074" i="10"/>
  <c r="D14074" i="10"/>
  <c r="E14073" i="10"/>
  <c r="D14073" i="10"/>
  <c r="E14072" i="10"/>
  <c r="D14072" i="10"/>
  <c r="E14071" i="10"/>
  <c r="D14071" i="10"/>
  <c r="E14070" i="10"/>
  <c r="D14070" i="10"/>
  <c r="E14069" i="10"/>
  <c r="D14069" i="10"/>
  <c r="E14068" i="10"/>
  <c r="D14068" i="10"/>
  <c r="E14067" i="10"/>
  <c r="D14067" i="10"/>
  <c r="E14066" i="10"/>
  <c r="D14066" i="10"/>
  <c r="E14065" i="10"/>
  <c r="D14065" i="10"/>
  <c r="E14064" i="10"/>
  <c r="D14064" i="10"/>
  <c r="E14063" i="10"/>
  <c r="D14063" i="10"/>
  <c r="E14062" i="10"/>
  <c r="D14062" i="10"/>
  <c r="E14061" i="10"/>
  <c r="D14061" i="10"/>
  <c r="E14060" i="10"/>
  <c r="D14060" i="10"/>
  <c r="E14059" i="10"/>
  <c r="D14059" i="10"/>
  <c r="E14058" i="10"/>
  <c r="D14058" i="10"/>
  <c r="E14057" i="10"/>
  <c r="D14057" i="10"/>
  <c r="E14056" i="10"/>
  <c r="D14056" i="10"/>
  <c r="E14055" i="10"/>
  <c r="D14055" i="10"/>
  <c r="E14054" i="10"/>
  <c r="D14054" i="10"/>
  <c r="E14053" i="10"/>
  <c r="D14053" i="10"/>
  <c r="E14052" i="10"/>
  <c r="D14052" i="10"/>
  <c r="E14051" i="10"/>
  <c r="D14051" i="10"/>
  <c r="E14050" i="10"/>
  <c r="D14050" i="10"/>
  <c r="E14049" i="10"/>
  <c r="D14049" i="10"/>
  <c r="E14048" i="10"/>
  <c r="D14048" i="10"/>
  <c r="E14047" i="10"/>
  <c r="D14047" i="10"/>
  <c r="E14046" i="10"/>
  <c r="D14046" i="10"/>
  <c r="E14045" i="10"/>
  <c r="D14045" i="10"/>
  <c r="E14044" i="10"/>
  <c r="D14044" i="10"/>
  <c r="E14043" i="10"/>
  <c r="D14043" i="10"/>
  <c r="E14042" i="10"/>
  <c r="D14042" i="10"/>
  <c r="E14041" i="10"/>
  <c r="D14041" i="10"/>
  <c r="E14040" i="10"/>
  <c r="D14040" i="10"/>
  <c r="E14039" i="10"/>
  <c r="D14039" i="10"/>
  <c r="E14038" i="10"/>
  <c r="D14038" i="10"/>
  <c r="E14037" i="10"/>
  <c r="D14037" i="10"/>
  <c r="E14036" i="10"/>
  <c r="D14036" i="10"/>
  <c r="E14035" i="10"/>
  <c r="D14035" i="10"/>
  <c r="E14034" i="10"/>
  <c r="D14034" i="10"/>
  <c r="E14033" i="10"/>
  <c r="D14033" i="10"/>
  <c r="E14032" i="10"/>
  <c r="D14032" i="10"/>
  <c r="E14031" i="10"/>
  <c r="D14031" i="10"/>
  <c r="E14030" i="10"/>
  <c r="D14030" i="10"/>
  <c r="E14029" i="10"/>
  <c r="D14029" i="10"/>
  <c r="E14028" i="10"/>
  <c r="D14028" i="10"/>
  <c r="E14027" i="10"/>
  <c r="D14027" i="10"/>
  <c r="E14026" i="10"/>
  <c r="D14026" i="10"/>
  <c r="E14025" i="10"/>
  <c r="D14025" i="10"/>
  <c r="E14024" i="10"/>
  <c r="D14024" i="10"/>
  <c r="E14023" i="10"/>
  <c r="D14023" i="10"/>
  <c r="E14022" i="10"/>
  <c r="D14022" i="10"/>
  <c r="E14021" i="10"/>
  <c r="D14021" i="10"/>
  <c r="E14020" i="10"/>
  <c r="D14020" i="10"/>
  <c r="E14019" i="10"/>
  <c r="D14019" i="10"/>
  <c r="E14018" i="10"/>
  <c r="D14018" i="10"/>
  <c r="E14017" i="10"/>
  <c r="D14017" i="10"/>
  <c r="E14016" i="10"/>
  <c r="D14016" i="10"/>
  <c r="E14015" i="10"/>
  <c r="D14015" i="10"/>
  <c r="E14014" i="10"/>
  <c r="D14014" i="10"/>
  <c r="E14013" i="10"/>
  <c r="D14013" i="10"/>
  <c r="E14012" i="10"/>
  <c r="D14012" i="10"/>
  <c r="E14011" i="10"/>
  <c r="D14011" i="10"/>
  <c r="E14010" i="10"/>
  <c r="D14010" i="10"/>
  <c r="E14009" i="10"/>
  <c r="D14009" i="10"/>
  <c r="E14008" i="10"/>
  <c r="D14008" i="10"/>
  <c r="E14007" i="10"/>
  <c r="D14007" i="10"/>
  <c r="E14006" i="10"/>
  <c r="D14006" i="10"/>
  <c r="E14005" i="10"/>
  <c r="D14005" i="10"/>
  <c r="E14004" i="10"/>
  <c r="D14004" i="10"/>
  <c r="E14003" i="10"/>
  <c r="D14003" i="10"/>
  <c r="E14002" i="10"/>
  <c r="D14002" i="10"/>
  <c r="E14001" i="10"/>
  <c r="D14001" i="10"/>
  <c r="E14000" i="10"/>
  <c r="D14000" i="10"/>
  <c r="E13999" i="10"/>
  <c r="D13999" i="10"/>
  <c r="E13998" i="10"/>
  <c r="D13998" i="10"/>
  <c r="E13997" i="10"/>
  <c r="D13997" i="10"/>
  <c r="E13996" i="10"/>
  <c r="D13996" i="10"/>
  <c r="E13995" i="10"/>
  <c r="D13995" i="10"/>
  <c r="E13994" i="10"/>
  <c r="D13994" i="10"/>
  <c r="E13993" i="10"/>
  <c r="D13993" i="10"/>
  <c r="E13992" i="10"/>
  <c r="D13992" i="10"/>
  <c r="E13991" i="10"/>
  <c r="D13991" i="10"/>
  <c r="E13990" i="10"/>
  <c r="D13990" i="10"/>
  <c r="E13989" i="10"/>
  <c r="D13989" i="10"/>
  <c r="E13988" i="10"/>
  <c r="D13988" i="10"/>
  <c r="E13987" i="10"/>
  <c r="D13987" i="10"/>
  <c r="E13986" i="10"/>
  <c r="D13986" i="10"/>
  <c r="E13985" i="10"/>
  <c r="D13985" i="10"/>
  <c r="E13984" i="10"/>
  <c r="D13984" i="10"/>
  <c r="E13983" i="10"/>
  <c r="D13983" i="10"/>
  <c r="E13982" i="10"/>
  <c r="D13982" i="10"/>
  <c r="E13981" i="10"/>
  <c r="D13981" i="10"/>
  <c r="E13980" i="10"/>
  <c r="D13980" i="10"/>
  <c r="E13979" i="10"/>
  <c r="D13979" i="10"/>
  <c r="E13978" i="10"/>
  <c r="D13978" i="10"/>
  <c r="E13977" i="10"/>
  <c r="D13977" i="10"/>
  <c r="E13976" i="10"/>
  <c r="D13976" i="10"/>
  <c r="E13975" i="10"/>
  <c r="D13975" i="10"/>
  <c r="E13974" i="10"/>
  <c r="D13974" i="10"/>
  <c r="E13973" i="10"/>
  <c r="D13973" i="10"/>
  <c r="E13972" i="10"/>
  <c r="D13972" i="10"/>
  <c r="E13971" i="10"/>
  <c r="D13971" i="10"/>
  <c r="E13970" i="10"/>
  <c r="D13970" i="10"/>
  <c r="E13969" i="10"/>
  <c r="D13969" i="10"/>
  <c r="E13968" i="10"/>
  <c r="D13968" i="10"/>
  <c r="E13967" i="10"/>
  <c r="D13967" i="10"/>
  <c r="E13966" i="10"/>
  <c r="D13966" i="10"/>
  <c r="E13965" i="10"/>
  <c r="D13965" i="10"/>
  <c r="E13964" i="10"/>
  <c r="D13964" i="10"/>
  <c r="E13963" i="10"/>
  <c r="D13963" i="10"/>
  <c r="E13962" i="10"/>
  <c r="D13962" i="10"/>
  <c r="E13961" i="10"/>
  <c r="D13961" i="10"/>
  <c r="E13960" i="10"/>
  <c r="D13960" i="10"/>
  <c r="E13959" i="10"/>
  <c r="D13959" i="10"/>
  <c r="E13958" i="10"/>
  <c r="D13958" i="10"/>
  <c r="E13957" i="10"/>
  <c r="D13957" i="10"/>
  <c r="E13956" i="10"/>
  <c r="D13956" i="10"/>
  <c r="E13955" i="10"/>
  <c r="D13955" i="10"/>
  <c r="E13954" i="10"/>
  <c r="D13954" i="10"/>
  <c r="E13953" i="10"/>
  <c r="D13953" i="10"/>
  <c r="E13952" i="10"/>
  <c r="D13952" i="10"/>
  <c r="E13951" i="10"/>
  <c r="D13951" i="10"/>
  <c r="E13950" i="10"/>
  <c r="D13950" i="10"/>
  <c r="E13949" i="10"/>
  <c r="D13949" i="10"/>
  <c r="E13948" i="10"/>
  <c r="D13948" i="10"/>
  <c r="E13947" i="10"/>
  <c r="D13947" i="10"/>
  <c r="E13946" i="10"/>
  <c r="D13946" i="10"/>
  <c r="E13945" i="10"/>
  <c r="D13945" i="10"/>
  <c r="E13944" i="10"/>
  <c r="D13944" i="10"/>
  <c r="E13943" i="10"/>
  <c r="D13943" i="10"/>
  <c r="E13942" i="10"/>
  <c r="D13942" i="10"/>
  <c r="E13941" i="10"/>
  <c r="D13941" i="10"/>
  <c r="E13940" i="10"/>
  <c r="D13940" i="10"/>
  <c r="E13939" i="10"/>
  <c r="D13939" i="10"/>
  <c r="E13938" i="10"/>
  <c r="D13938" i="10"/>
  <c r="E13937" i="10"/>
  <c r="D13937" i="10"/>
  <c r="E13936" i="10"/>
  <c r="D13936" i="10"/>
  <c r="E13935" i="10"/>
  <c r="D13935" i="10"/>
  <c r="E13934" i="10"/>
  <c r="D13934" i="10"/>
  <c r="E13933" i="10"/>
  <c r="D13933" i="10"/>
  <c r="E13932" i="10"/>
  <c r="D13932" i="10"/>
  <c r="E13931" i="10"/>
  <c r="D13931" i="10"/>
  <c r="E13930" i="10"/>
  <c r="D13930" i="10"/>
  <c r="E13929" i="10"/>
  <c r="D13929" i="10"/>
  <c r="E13928" i="10"/>
  <c r="D13928" i="10"/>
  <c r="E13927" i="10"/>
  <c r="D13927" i="10"/>
  <c r="E13926" i="10"/>
  <c r="D13926" i="10"/>
  <c r="E13925" i="10"/>
  <c r="D13925" i="10"/>
  <c r="E13924" i="10"/>
  <c r="D13924" i="10"/>
  <c r="E13923" i="10"/>
  <c r="D13923" i="10"/>
  <c r="E13922" i="10"/>
  <c r="D13922" i="10"/>
  <c r="E13921" i="10"/>
  <c r="D13921" i="10"/>
  <c r="E13920" i="10"/>
  <c r="D13920" i="10"/>
  <c r="E13919" i="10"/>
  <c r="D13919" i="10"/>
  <c r="E13918" i="10"/>
  <c r="D13918" i="10"/>
  <c r="E13917" i="10"/>
  <c r="D13917" i="10"/>
  <c r="E13916" i="10"/>
  <c r="D13916" i="10"/>
  <c r="E13915" i="10"/>
  <c r="D13915" i="10"/>
  <c r="E13914" i="10"/>
  <c r="D13914" i="10"/>
  <c r="E13913" i="10"/>
  <c r="D13913" i="10"/>
  <c r="E13912" i="10"/>
  <c r="D13912" i="10"/>
  <c r="E13911" i="10"/>
  <c r="D13911" i="10"/>
  <c r="E13910" i="10"/>
  <c r="D13910" i="10"/>
  <c r="E13909" i="10"/>
  <c r="D13909" i="10"/>
  <c r="E13908" i="10"/>
  <c r="D13908" i="10"/>
  <c r="E13907" i="10"/>
  <c r="D13907" i="10"/>
  <c r="E13906" i="10"/>
  <c r="D13906" i="10"/>
  <c r="E13905" i="10"/>
  <c r="D13905" i="10"/>
  <c r="E13904" i="10"/>
  <c r="D13904" i="10"/>
  <c r="E13903" i="10"/>
  <c r="D13903" i="10"/>
  <c r="E13902" i="10"/>
  <c r="D13902" i="10"/>
  <c r="E13901" i="10"/>
  <c r="D13901" i="10"/>
  <c r="E13900" i="10"/>
  <c r="D13900" i="10"/>
  <c r="E13899" i="10"/>
  <c r="D13899" i="10"/>
  <c r="E13898" i="10"/>
  <c r="D13898" i="10"/>
  <c r="E13897" i="10"/>
  <c r="D13897" i="10"/>
  <c r="E13896" i="10"/>
  <c r="D13896" i="10"/>
  <c r="E13895" i="10"/>
  <c r="D13895" i="10"/>
  <c r="E13894" i="10"/>
  <c r="D13894" i="10"/>
  <c r="E13893" i="10"/>
  <c r="D13893" i="10"/>
  <c r="E13892" i="10"/>
  <c r="D13892" i="10"/>
  <c r="E13891" i="10"/>
  <c r="D13891" i="10"/>
  <c r="E13890" i="10"/>
  <c r="D13890" i="10"/>
  <c r="E13889" i="10"/>
  <c r="D13889" i="10"/>
  <c r="E13888" i="10"/>
  <c r="D13888" i="10"/>
  <c r="E13887" i="10"/>
  <c r="D13887" i="10"/>
  <c r="E13886" i="10"/>
  <c r="D13886" i="10"/>
  <c r="E13885" i="10"/>
  <c r="D13885" i="10"/>
  <c r="E13884" i="10"/>
  <c r="D13884" i="10"/>
  <c r="E13883" i="10"/>
  <c r="D13883" i="10"/>
  <c r="E13882" i="10"/>
  <c r="D13882" i="10"/>
  <c r="E13881" i="10"/>
  <c r="D13881" i="10"/>
  <c r="E13880" i="10"/>
  <c r="D13880" i="10"/>
  <c r="E13879" i="10"/>
  <c r="D13879" i="10"/>
  <c r="E13878" i="10"/>
  <c r="D13878" i="10"/>
  <c r="E13877" i="10"/>
  <c r="D13877" i="10"/>
  <c r="E13876" i="10"/>
  <c r="D13876" i="10"/>
  <c r="E13875" i="10"/>
  <c r="D13875" i="10"/>
  <c r="E13874" i="10"/>
  <c r="D13874" i="10"/>
  <c r="E13873" i="10"/>
  <c r="D13873" i="10"/>
  <c r="E13872" i="10"/>
  <c r="D13872" i="10"/>
  <c r="E13871" i="10"/>
  <c r="D13871" i="10"/>
  <c r="E13870" i="10"/>
  <c r="D13870" i="10"/>
  <c r="E13869" i="10"/>
  <c r="D13869" i="10"/>
  <c r="E13868" i="10"/>
  <c r="D13868" i="10"/>
  <c r="E13867" i="10"/>
  <c r="D13867" i="10"/>
  <c r="E13866" i="10"/>
  <c r="D13866" i="10"/>
  <c r="E13865" i="10"/>
  <c r="D13865" i="10"/>
  <c r="E13864" i="10"/>
  <c r="D13864" i="10"/>
  <c r="E13863" i="10"/>
  <c r="D13863" i="10"/>
  <c r="E13862" i="10"/>
  <c r="D13862" i="10"/>
  <c r="E13861" i="10"/>
  <c r="D13861" i="10"/>
  <c r="E13860" i="10"/>
  <c r="D13860" i="10"/>
  <c r="E13859" i="10"/>
  <c r="D13859" i="10"/>
  <c r="E13858" i="10"/>
  <c r="D13858" i="10"/>
  <c r="E13857" i="10"/>
  <c r="D13857" i="10"/>
  <c r="E13856" i="10"/>
  <c r="D13856" i="10"/>
  <c r="E13855" i="10"/>
  <c r="D13855" i="10"/>
  <c r="E13854" i="10"/>
  <c r="D13854" i="10"/>
  <c r="E13853" i="10"/>
  <c r="D13853" i="10"/>
  <c r="E13852" i="10"/>
  <c r="D13852" i="10"/>
  <c r="E13851" i="10"/>
  <c r="D13851" i="10"/>
  <c r="E13850" i="10"/>
  <c r="D13850" i="10"/>
  <c r="E13849" i="10"/>
  <c r="D13849" i="10"/>
  <c r="E13848" i="10"/>
  <c r="D13848" i="10"/>
  <c r="E13847" i="10"/>
  <c r="D13847" i="10"/>
  <c r="E13846" i="10"/>
  <c r="D13846" i="10"/>
  <c r="E13845" i="10"/>
  <c r="D13845" i="10"/>
  <c r="E13844" i="10"/>
  <c r="D13844" i="10"/>
  <c r="E13843" i="10"/>
  <c r="D13843" i="10"/>
  <c r="E13842" i="10"/>
  <c r="D13842" i="10"/>
  <c r="E13841" i="10"/>
  <c r="D13841" i="10"/>
  <c r="E13840" i="10"/>
  <c r="D13840" i="10"/>
  <c r="E13839" i="10"/>
  <c r="D13839" i="10"/>
  <c r="E13838" i="10"/>
  <c r="D13838" i="10"/>
  <c r="E13837" i="10"/>
  <c r="D13837" i="10"/>
  <c r="E13836" i="10"/>
  <c r="D13836" i="10"/>
  <c r="E13835" i="10"/>
  <c r="D13835" i="10"/>
  <c r="E13834" i="10"/>
  <c r="D13834" i="10"/>
  <c r="E13833" i="10"/>
  <c r="D13833" i="10"/>
  <c r="E13832" i="10"/>
  <c r="D13832" i="10"/>
  <c r="E13831" i="10"/>
  <c r="D13831" i="10"/>
  <c r="E13830" i="10"/>
  <c r="D13830" i="10"/>
  <c r="E13829" i="10"/>
  <c r="D13829" i="10"/>
  <c r="E13828" i="10"/>
  <c r="D13828" i="10"/>
  <c r="E13827" i="10"/>
  <c r="D13827" i="10"/>
  <c r="E13826" i="10"/>
  <c r="D13826" i="10"/>
  <c r="E13825" i="10"/>
  <c r="D13825" i="10"/>
  <c r="E13824" i="10"/>
  <c r="D13824" i="10"/>
  <c r="E13823" i="10"/>
  <c r="D13823" i="10"/>
  <c r="E13822" i="10"/>
  <c r="D13822" i="10"/>
  <c r="E13821" i="10"/>
  <c r="D13821" i="10"/>
  <c r="E13820" i="10"/>
  <c r="D13820" i="10"/>
  <c r="E13819" i="10"/>
  <c r="D13819" i="10"/>
  <c r="E13818" i="10"/>
  <c r="D13818" i="10"/>
  <c r="E13817" i="10"/>
  <c r="D13817" i="10"/>
  <c r="E13816" i="10"/>
  <c r="D13816" i="10"/>
  <c r="E13815" i="10"/>
  <c r="D13815" i="10"/>
  <c r="E13814" i="10"/>
  <c r="D13814" i="10"/>
  <c r="E13813" i="10"/>
  <c r="D13813" i="10"/>
  <c r="E13812" i="10"/>
  <c r="D13812" i="10"/>
  <c r="E13811" i="10"/>
  <c r="D13811" i="10"/>
  <c r="E13810" i="10"/>
  <c r="D13810" i="10"/>
  <c r="E13809" i="10"/>
  <c r="D13809" i="10"/>
  <c r="E13808" i="10"/>
  <c r="D13808" i="10"/>
  <c r="E13807" i="10"/>
  <c r="D13807" i="10"/>
  <c r="E13806" i="10"/>
  <c r="D13806" i="10"/>
  <c r="E13805" i="10"/>
  <c r="D13805" i="10"/>
  <c r="E13804" i="10"/>
  <c r="D13804" i="10"/>
  <c r="E13803" i="10"/>
  <c r="D13803" i="10"/>
  <c r="E13802" i="10"/>
  <c r="D13802" i="10"/>
  <c r="E13801" i="10"/>
  <c r="D13801" i="10"/>
  <c r="E13800" i="10"/>
  <c r="D13800" i="10"/>
  <c r="E13799" i="10"/>
  <c r="D13799" i="10"/>
  <c r="E13798" i="10"/>
  <c r="D13798" i="10"/>
  <c r="E13797" i="10"/>
  <c r="D13797" i="10"/>
  <c r="E13796" i="10"/>
  <c r="D13796" i="10"/>
  <c r="E13795" i="10"/>
  <c r="D13795" i="10"/>
  <c r="E13794" i="10"/>
  <c r="D13794" i="10"/>
  <c r="E13793" i="10"/>
  <c r="D13793" i="10"/>
  <c r="E13792" i="10"/>
  <c r="D13792" i="10"/>
  <c r="E13791" i="10"/>
  <c r="D13791" i="10"/>
  <c r="E13790" i="10"/>
  <c r="D13790" i="10"/>
  <c r="E13789" i="10"/>
  <c r="D13789" i="10"/>
  <c r="E13788" i="10"/>
  <c r="D13788" i="10"/>
  <c r="E13787" i="10"/>
  <c r="D13787" i="10"/>
  <c r="E13786" i="10"/>
  <c r="D13786" i="10"/>
  <c r="E13785" i="10"/>
  <c r="D13785" i="10"/>
  <c r="E13784" i="10"/>
  <c r="D13784" i="10"/>
  <c r="E13783" i="10"/>
  <c r="D13783" i="10"/>
  <c r="E13782" i="10"/>
  <c r="D13782" i="10"/>
  <c r="E13781" i="10"/>
  <c r="D13781" i="10"/>
  <c r="E13780" i="10"/>
  <c r="D13780" i="10"/>
  <c r="E13779" i="10"/>
  <c r="D13779" i="10"/>
  <c r="E13778" i="10"/>
  <c r="D13778" i="10"/>
  <c r="E13777" i="10"/>
  <c r="D13777" i="10"/>
  <c r="E13776" i="10"/>
  <c r="D13776" i="10"/>
  <c r="E13775" i="10"/>
  <c r="D13775" i="10"/>
  <c r="E13774" i="10"/>
  <c r="D13774" i="10"/>
  <c r="E13773" i="10"/>
  <c r="D13773" i="10"/>
  <c r="E13772" i="10"/>
  <c r="D13772" i="10"/>
  <c r="E13771" i="10"/>
  <c r="D13771" i="10"/>
  <c r="E13770" i="10"/>
  <c r="D13770" i="10"/>
  <c r="E13769" i="10"/>
  <c r="D13769" i="10"/>
  <c r="E13768" i="10"/>
  <c r="D13768" i="10"/>
  <c r="E13767" i="10"/>
  <c r="D13767" i="10"/>
  <c r="E13766" i="10"/>
  <c r="D13766" i="10"/>
  <c r="E13765" i="10"/>
  <c r="D13765" i="10"/>
  <c r="E13764" i="10"/>
  <c r="D13764" i="10"/>
  <c r="E13763" i="10"/>
  <c r="D13763" i="10"/>
  <c r="E13762" i="10"/>
  <c r="D13762" i="10"/>
  <c r="E13761" i="10"/>
  <c r="D13761" i="10"/>
  <c r="E13760" i="10"/>
  <c r="D13760" i="10"/>
  <c r="E13759" i="10"/>
  <c r="D13759" i="10"/>
  <c r="E13758" i="10"/>
  <c r="D13758" i="10"/>
  <c r="E13757" i="10"/>
  <c r="D13757" i="10"/>
  <c r="E13756" i="10"/>
  <c r="D13756" i="10"/>
  <c r="E13755" i="10"/>
  <c r="D13755" i="10"/>
  <c r="E13754" i="10"/>
  <c r="D13754" i="10"/>
  <c r="E13753" i="10"/>
  <c r="D13753" i="10"/>
  <c r="E13752" i="10"/>
  <c r="D13752" i="10"/>
  <c r="E13751" i="10"/>
  <c r="D13751" i="10"/>
  <c r="E13750" i="10"/>
  <c r="D13750" i="10"/>
  <c r="E13749" i="10"/>
  <c r="D13749" i="10"/>
  <c r="E13748" i="10"/>
  <c r="D13748" i="10"/>
  <c r="E13747" i="10"/>
  <c r="D13747" i="10"/>
  <c r="E13746" i="10"/>
  <c r="D13746" i="10"/>
  <c r="E13745" i="10"/>
  <c r="D13745" i="10"/>
  <c r="E13744" i="10"/>
  <c r="D13744" i="10"/>
  <c r="E13743" i="10"/>
  <c r="D13743" i="10"/>
  <c r="E13742" i="10"/>
  <c r="D13742" i="10"/>
  <c r="E13741" i="10"/>
  <c r="D13741" i="10"/>
  <c r="E13740" i="10"/>
  <c r="D13740" i="10"/>
  <c r="E13739" i="10"/>
  <c r="D13739" i="10"/>
  <c r="E13738" i="10"/>
  <c r="D13738" i="10"/>
  <c r="E13737" i="10"/>
  <c r="D13737" i="10"/>
  <c r="E13736" i="10"/>
  <c r="D13736" i="10"/>
  <c r="E13735" i="10"/>
  <c r="D13735" i="10"/>
  <c r="E13734" i="10"/>
  <c r="D13734" i="10"/>
  <c r="E13733" i="10"/>
  <c r="D13733" i="10"/>
  <c r="E13732" i="10"/>
  <c r="D13732" i="10"/>
  <c r="E13731" i="10"/>
  <c r="D13731" i="10"/>
  <c r="E13730" i="10"/>
  <c r="D13730" i="10"/>
  <c r="E13729" i="10"/>
  <c r="D13729" i="10"/>
  <c r="E13728" i="10"/>
  <c r="D13728" i="10"/>
  <c r="E13727" i="10"/>
  <c r="D13727" i="10"/>
  <c r="E13726" i="10"/>
  <c r="D13726" i="10"/>
  <c r="E13725" i="10"/>
  <c r="D13725" i="10"/>
  <c r="E13724" i="10"/>
  <c r="D13724" i="10"/>
  <c r="E13723" i="10"/>
  <c r="D13723" i="10"/>
  <c r="E13722" i="10"/>
  <c r="D13722" i="10"/>
  <c r="E13721" i="10"/>
  <c r="D13721" i="10"/>
  <c r="E13720" i="10"/>
  <c r="D13720" i="10"/>
  <c r="E13719" i="10"/>
  <c r="D13719" i="10"/>
  <c r="E13718" i="10"/>
  <c r="D13718" i="10"/>
  <c r="E13717" i="10"/>
  <c r="D13717" i="10"/>
  <c r="E13716" i="10"/>
  <c r="D13716" i="10"/>
  <c r="E13715" i="10"/>
  <c r="D13715" i="10"/>
  <c r="E13714" i="10"/>
  <c r="D13714" i="10"/>
  <c r="E13713" i="10"/>
  <c r="D13713" i="10"/>
  <c r="E13712" i="10"/>
  <c r="D13712" i="10"/>
  <c r="E13711" i="10"/>
  <c r="D13711" i="10"/>
  <c r="E13710" i="10"/>
  <c r="D13710" i="10"/>
  <c r="E13709" i="10"/>
  <c r="D13709" i="10"/>
  <c r="E13708" i="10"/>
  <c r="D13708" i="10"/>
  <c r="E13707" i="10"/>
  <c r="D13707" i="10"/>
  <c r="E13706" i="10"/>
  <c r="D13706" i="10"/>
  <c r="E13705" i="10"/>
  <c r="D13705" i="10"/>
  <c r="E13704" i="10"/>
  <c r="D13704" i="10"/>
  <c r="E13703" i="10"/>
  <c r="D13703" i="10"/>
  <c r="E13702" i="10"/>
  <c r="D13702" i="10"/>
  <c r="E13701" i="10"/>
  <c r="D13701" i="10"/>
  <c r="E13700" i="10"/>
  <c r="D13700" i="10"/>
  <c r="E13699" i="10"/>
  <c r="D13699" i="10"/>
  <c r="E13698" i="10"/>
  <c r="D13698" i="10"/>
  <c r="E13697" i="10"/>
  <c r="D13697" i="10"/>
  <c r="E13696" i="10"/>
  <c r="D13696" i="10"/>
  <c r="E13695" i="10"/>
  <c r="D13695" i="10"/>
  <c r="E13694" i="10"/>
  <c r="D13694" i="10"/>
  <c r="E13693" i="10"/>
  <c r="D13693" i="10"/>
  <c r="E13692" i="10"/>
  <c r="D13692" i="10"/>
  <c r="E13691" i="10"/>
  <c r="D13691" i="10"/>
  <c r="E13690" i="10"/>
  <c r="D13690" i="10"/>
  <c r="E13689" i="10"/>
  <c r="D13689" i="10"/>
  <c r="E13688" i="10"/>
  <c r="D13688" i="10"/>
  <c r="E13687" i="10"/>
  <c r="D13687" i="10"/>
  <c r="E13686" i="10"/>
  <c r="D13686" i="10"/>
  <c r="E13685" i="10"/>
  <c r="D13685" i="10"/>
  <c r="E13684" i="10"/>
  <c r="D13684" i="10"/>
  <c r="E13683" i="10"/>
  <c r="D13683" i="10"/>
  <c r="E13682" i="10"/>
  <c r="D13682" i="10"/>
  <c r="E13681" i="10"/>
  <c r="D13681" i="10"/>
  <c r="E13680" i="10"/>
  <c r="D13680" i="10"/>
  <c r="E13679" i="10"/>
  <c r="D13679" i="10"/>
  <c r="E13678" i="10"/>
  <c r="D13678" i="10"/>
  <c r="E13677" i="10"/>
  <c r="D13677" i="10"/>
  <c r="E13676" i="10"/>
  <c r="D13676" i="10"/>
  <c r="E13675" i="10"/>
  <c r="D13675" i="10"/>
  <c r="E13674" i="10"/>
  <c r="D13674" i="10"/>
  <c r="E13673" i="10"/>
  <c r="D13673" i="10"/>
  <c r="E13672" i="10"/>
  <c r="D13672" i="10"/>
  <c r="E13671" i="10"/>
  <c r="D13671" i="10"/>
  <c r="E13670" i="10"/>
  <c r="D13670" i="10"/>
  <c r="E13669" i="10"/>
  <c r="D13669" i="10"/>
  <c r="E13668" i="10"/>
  <c r="D13668" i="10"/>
  <c r="E13667" i="10"/>
  <c r="D13667" i="10"/>
  <c r="E13666" i="10"/>
  <c r="D13666" i="10"/>
  <c r="E13665" i="10"/>
  <c r="D13665" i="10"/>
  <c r="E13664" i="10"/>
  <c r="D13664" i="10"/>
  <c r="E13663" i="10"/>
  <c r="D13663" i="10"/>
  <c r="E13662" i="10"/>
  <c r="D13662" i="10"/>
  <c r="E13661" i="10"/>
  <c r="D13661" i="10"/>
  <c r="E13660" i="10"/>
  <c r="D13660" i="10"/>
  <c r="E13659" i="10"/>
  <c r="D13659" i="10"/>
  <c r="E13658" i="10"/>
  <c r="D13658" i="10"/>
  <c r="E13657" i="10"/>
  <c r="D13657" i="10"/>
  <c r="E13656" i="10"/>
  <c r="D13656" i="10"/>
  <c r="E13655" i="10"/>
  <c r="D13655" i="10"/>
  <c r="E13654" i="10"/>
  <c r="D13654" i="10"/>
  <c r="E13653" i="10"/>
  <c r="D13653" i="10"/>
  <c r="E13652" i="10"/>
  <c r="D13652" i="10"/>
  <c r="E13651" i="10"/>
  <c r="D13651" i="10"/>
  <c r="E13650" i="10"/>
  <c r="D13650" i="10"/>
  <c r="E13649" i="10"/>
  <c r="D13649" i="10"/>
  <c r="E13648" i="10"/>
  <c r="D13648" i="10"/>
  <c r="E13647" i="10"/>
  <c r="D13647" i="10"/>
  <c r="E13646" i="10"/>
  <c r="D13646" i="10"/>
  <c r="E13645" i="10"/>
  <c r="D13645" i="10"/>
  <c r="E13644" i="10"/>
  <c r="D13644" i="10"/>
  <c r="E13643" i="10"/>
  <c r="D13643" i="10"/>
  <c r="E13642" i="10"/>
  <c r="D13642" i="10"/>
  <c r="E13641" i="10"/>
  <c r="D13641" i="10"/>
  <c r="E13640" i="10"/>
  <c r="D13640" i="10"/>
  <c r="E13639" i="10"/>
  <c r="D13639" i="10"/>
  <c r="E13638" i="10"/>
  <c r="D13638" i="10"/>
  <c r="E13637" i="10"/>
  <c r="D13637" i="10"/>
  <c r="E13636" i="10"/>
  <c r="D13636" i="10"/>
  <c r="E13635" i="10"/>
  <c r="D13635" i="10"/>
  <c r="E13634" i="10"/>
  <c r="D13634" i="10"/>
  <c r="E13633" i="10"/>
  <c r="D13633" i="10"/>
  <c r="E13632" i="10"/>
  <c r="D13632" i="10"/>
  <c r="E13631" i="10"/>
  <c r="D13631" i="10"/>
  <c r="E13630" i="10"/>
  <c r="D13630" i="10"/>
  <c r="E13629" i="10"/>
  <c r="D13629" i="10"/>
  <c r="E13628" i="10"/>
  <c r="D13628" i="10"/>
  <c r="E13627" i="10"/>
  <c r="D13627" i="10"/>
  <c r="E13626" i="10"/>
  <c r="D13626" i="10"/>
  <c r="E13625" i="10"/>
  <c r="D13625" i="10"/>
  <c r="E13624" i="10"/>
  <c r="D13624" i="10"/>
  <c r="E13623" i="10"/>
  <c r="D13623" i="10"/>
  <c r="E13622" i="10"/>
  <c r="D13622" i="10"/>
  <c r="E13621" i="10"/>
  <c r="D13621" i="10"/>
  <c r="E13620" i="10"/>
  <c r="D13620" i="10"/>
  <c r="E13619" i="10"/>
  <c r="D13619" i="10"/>
  <c r="E13618" i="10"/>
  <c r="D13618" i="10"/>
  <c r="E13617" i="10"/>
  <c r="D13617" i="10"/>
  <c r="E13616" i="10"/>
  <c r="D13616" i="10"/>
  <c r="E13615" i="10"/>
  <c r="D13615" i="10"/>
  <c r="E13614" i="10"/>
  <c r="D13614" i="10"/>
  <c r="E13613" i="10"/>
  <c r="D13613" i="10"/>
  <c r="E13612" i="10"/>
  <c r="D13612" i="10"/>
  <c r="E13611" i="10"/>
  <c r="D13611" i="10"/>
  <c r="E13610" i="10"/>
  <c r="D13610" i="10"/>
  <c r="E13609" i="10"/>
  <c r="D13609" i="10"/>
  <c r="E13608" i="10"/>
  <c r="D13608" i="10"/>
  <c r="E13607" i="10"/>
  <c r="D13607" i="10"/>
  <c r="E13606" i="10"/>
  <c r="D13606" i="10"/>
  <c r="E13605" i="10"/>
  <c r="D13605" i="10"/>
  <c r="E13604" i="10"/>
  <c r="D13604" i="10"/>
  <c r="E13603" i="10"/>
  <c r="D13603" i="10"/>
  <c r="E13602" i="10"/>
  <c r="D13602" i="10"/>
  <c r="E13601" i="10"/>
  <c r="D13601" i="10"/>
  <c r="E13600" i="10"/>
  <c r="D13600" i="10"/>
  <c r="E13599" i="10"/>
  <c r="D13599" i="10"/>
  <c r="E13598" i="10"/>
  <c r="D13598" i="10"/>
  <c r="E13597" i="10"/>
  <c r="D13597" i="10"/>
  <c r="E13596" i="10"/>
  <c r="D13596" i="10"/>
  <c r="E13595" i="10"/>
  <c r="D13595" i="10"/>
  <c r="E13594" i="10"/>
  <c r="D13594" i="10"/>
  <c r="E13593" i="10"/>
  <c r="D13593" i="10"/>
  <c r="E13592" i="10"/>
  <c r="D13592" i="10"/>
  <c r="E13591" i="10"/>
  <c r="D13591" i="10"/>
  <c r="E13590" i="10"/>
  <c r="D13590" i="10"/>
  <c r="E13589" i="10"/>
  <c r="D13589" i="10"/>
  <c r="E13588" i="10"/>
  <c r="D13588" i="10"/>
  <c r="E13587" i="10"/>
  <c r="D13587" i="10"/>
  <c r="E13586" i="10"/>
  <c r="D13586" i="10"/>
  <c r="E13585" i="10"/>
  <c r="D13585" i="10"/>
  <c r="E13584" i="10"/>
  <c r="D13584" i="10"/>
  <c r="E13583" i="10"/>
  <c r="D13583" i="10"/>
  <c r="E13582" i="10"/>
  <c r="D13582" i="10"/>
  <c r="E13581" i="10"/>
  <c r="D13581" i="10"/>
  <c r="E13580" i="10"/>
  <c r="D13580" i="10"/>
  <c r="E13579" i="10"/>
  <c r="D13579" i="10"/>
  <c r="E13578" i="10"/>
  <c r="D13578" i="10"/>
  <c r="E13577" i="10"/>
  <c r="D13577" i="10"/>
  <c r="E13576" i="10"/>
  <c r="D13576" i="10"/>
  <c r="E13575" i="10"/>
  <c r="D13575" i="10"/>
  <c r="E13574" i="10"/>
  <c r="D13574" i="10"/>
  <c r="E13573" i="10"/>
  <c r="D13573" i="10"/>
  <c r="E13572" i="10"/>
  <c r="D13572" i="10"/>
  <c r="E13571" i="10"/>
  <c r="D13571" i="10"/>
  <c r="E13570" i="10"/>
  <c r="D13570" i="10"/>
  <c r="E13569" i="10"/>
  <c r="D13569" i="10"/>
  <c r="E13568" i="10"/>
  <c r="D13568" i="10"/>
  <c r="E13567" i="10"/>
  <c r="D13567" i="10"/>
  <c r="E13566" i="10"/>
  <c r="D13566" i="10"/>
  <c r="E13565" i="10"/>
  <c r="D13565" i="10"/>
  <c r="E13564" i="10"/>
  <c r="D13564" i="10"/>
  <c r="E13563" i="10"/>
  <c r="D13563" i="10"/>
  <c r="E13562" i="10"/>
  <c r="D13562" i="10"/>
  <c r="E13561" i="10"/>
  <c r="D13561" i="10"/>
  <c r="E13560" i="10"/>
  <c r="D13560" i="10"/>
  <c r="E13559" i="10"/>
  <c r="D13559" i="10"/>
  <c r="E13558" i="10"/>
  <c r="D13558" i="10"/>
  <c r="E13557" i="10"/>
  <c r="D13557" i="10"/>
  <c r="E13556" i="10"/>
  <c r="D13556" i="10"/>
  <c r="E13555" i="10"/>
  <c r="D13555" i="10"/>
  <c r="E13554" i="10"/>
  <c r="D13554" i="10"/>
  <c r="E13553" i="10"/>
  <c r="D13553" i="10"/>
  <c r="E13552" i="10"/>
  <c r="D13552" i="10"/>
  <c r="E13551" i="10"/>
  <c r="D13551" i="10"/>
  <c r="E13550" i="10"/>
  <c r="D13550" i="10"/>
  <c r="E13549" i="10"/>
  <c r="D13549" i="10"/>
  <c r="E13548" i="10"/>
  <c r="D13548" i="10"/>
  <c r="E13547" i="10"/>
  <c r="D13547" i="10"/>
  <c r="E13546" i="10"/>
  <c r="D13546" i="10"/>
  <c r="E13545" i="10"/>
  <c r="D13545" i="10"/>
  <c r="E13544" i="10"/>
  <c r="D13544" i="10"/>
  <c r="E13543" i="10"/>
  <c r="D13543" i="10"/>
  <c r="E13542" i="10"/>
  <c r="D13542" i="10"/>
  <c r="E13541" i="10"/>
  <c r="D13541" i="10"/>
  <c r="E13540" i="10"/>
  <c r="D13540" i="10"/>
  <c r="E13539" i="10"/>
  <c r="D13539" i="10"/>
  <c r="E13538" i="10"/>
  <c r="D13538" i="10"/>
  <c r="E13537" i="10"/>
  <c r="D13537" i="10"/>
  <c r="E13536" i="10"/>
  <c r="D13536" i="10"/>
  <c r="E13535" i="10"/>
  <c r="D13535" i="10"/>
  <c r="E13534" i="10"/>
  <c r="D13534" i="10"/>
  <c r="E13533" i="10"/>
  <c r="D13533" i="10"/>
  <c r="E13532" i="10"/>
  <c r="D13532" i="10"/>
  <c r="E13531" i="10"/>
  <c r="D13531" i="10"/>
  <c r="E13530" i="10"/>
  <c r="D13530" i="10"/>
  <c r="E13529" i="10"/>
  <c r="D13529" i="10"/>
  <c r="E13528" i="10"/>
  <c r="D13528" i="10"/>
  <c r="E13527" i="10"/>
  <c r="D13527" i="10"/>
  <c r="E13526" i="10"/>
  <c r="D13526" i="10"/>
  <c r="E13525" i="10"/>
  <c r="D13525" i="10"/>
  <c r="E13524" i="10"/>
  <c r="D13524" i="10"/>
  <c r="E13523" i="10"/>
  <c r="D13523" i="10"/>
  <c r="E13522" i="10"/>
  <c r="D13522" i="10"/>
  <c r="E13521" i="10"/>
  <c r="D13521" i="10"/>
  <c r="E13520" i="10"/>
  <c r="D13520" i="10"/>
  <c r="E13519" i="10"/>
  <c r="D13519" i="10"/>
  <c r="E13518" i="10"/>
  <c r="D13518" i="10"/>
  <c r="E13517" i="10"/>
  <c r="D13517" i="10"/>
  <c r="E13516" i="10"/>
  <c r="D13516" i="10"/>
  <c r="E13515" i="10"/>
  <c r="D13515" i="10"/>
  <c r="E13514" i="10"/>
  <c r="D13514" i="10"/>
  <c r="E13513" i="10"/>
  <c r="D13513" i="10"/>
  <c r="E13512" i="10"/>
  <c r="D13512" i="10"/>
  <c r="E13511" i="10"/>
  <c r="D13511" i="10"/>
  <c r="E13510" i="10"/>
  <c r="D13510" i="10"/>
  <c r="E13509" i="10"/>
  <c r="D13509" i="10"/>
  <c r="E13508" i="10"/>
  <c r="D13508" i="10"/>
  <c r="E13507" i="10"/>
  <c r="D13507" i="10"/>
  <c r="E13506" i="10"/>
  <c r="D13506" i="10"/>
  <c r="E13505" i="10"/>
  <c r="D13505" i="10"/>
  <c r="E13504" i="10"/>
  <c r="D13504" i="10"/>
  <c r="E13503" i="10"/>
  <c r="D13503" i="10"/>
  <c r="E13502" i="10"/>
  <c r="D13502" i="10"/>
  <c r="E13501" i="10"/>
  <c r="D13501" i="10"/>
  <c r="E13500" i="10"/>
  <c r="D13500" i="10"/>
  <c r="E13499" i="10"/>
  <c r="D13499" i="10"/>
  <c r="E13498" i="10"/>
  <c r="D13498" i="10"/>
  <c r="E13497" i="10"/>
  <c r="D13497" i="10"/>
  <c r="E13496" i="10"/>
  <c r="D13496" i="10"/>
  <c r="E13495" i="10"/>
  <c r="D13495" i="10"/>
  <c r="E13494" i="10"/>
  <c r="D13494" i="10"/>
  <c r="E13493" i="10"/>
  <c r="D13493" i="10"/>
  <c r="E13492" i="10"/>
  <c r="D13492" i="10"/>
  <c r="E13491" i="10"/>
  <c r="D13491" i="10"/>
  <c r="E13490" i="10"/>
  <c r="D13490" i="10"/>
  <c r="E13489" i="10"/>
  <c r="D13489" i="10"/>
  <c r="E13488" i="10"/>
  <c r="D13488" i="10"/>
  <c r="E13487" i="10"/>
  <c r="D13487" i="10"/>
  <c r="E13486" i="10"/>
  <c r="D13486" i="10"/>
  <c r="E13485" i="10"/>
  <c r="D13485" i="10"/>
  <c r="E13484" i="10"/>
  <c r="D13484" i="10"/>
  <c r="E13483" i="10"/>
  <c r="D13483" i="10"/>
  <c r="E13482" i="10"/>
  <c r="D13482" i="10"/>
  <c r="E13481" i="10"/>
  <c r="D13481" i="10"/>
  <c r="E13480" i="10"/>
  <c r="D13480" i="10"/>
  <c r="E13479" i="10"/>
  <c r="D13479" i="10"/>
  <c r="E13478" i="10"/>
  <c r="D13478" i="10"/>
  <c r="E13477" i="10"/>
  <c r="D13477" i="10"/>
  <c r="E13476" i="10"/>
  <c r="D13476" i="10"/>
  <c r="E13475" i="10"/>
  <c r="D13475" i="10"/>
  <c r="E13474" i="10"/>
  <c r="D13474" i="10"/>
  <c r="E13473" i="10"/>
  <c r="D13473" i="10"/>
  <c r="E13472" i="10"/>
  <c r="D13472" i="10"/>
  <c r="E13471" i="10"/>
  <c r="D13471" i="10"/>
  <c r="E13470" i="10"/>
  <c r="D13470" i="10"/>
  <c r="E13469" i="10"/>
  <c r="D13469" i="10"/>
  <c r="E13468" i="10"/>
  <c r="D13468" i="10"/>
  <c r="E13467" i="10"/>
  <c r="D13467" i="10"/>
  <c r="E13466" i="10"/>
  <c r="D13466" i="10"/>
  <c r="E13465" i="10"/>
  <c r="D13465" i="10"/>
  <c r="E13464" i="10"/>
  <c r="D13464" i="10"/>
  <c r="E13463" i="10"/>
  <c r="D13463" i="10"/>
  <c r="E13462" i="10"/>
  <c r="D13462" i="10"/>
  <c r="E13461" i="10"/>
  <c r="D13461" i="10"/>
  <c r="E13460" i="10"/>
  <c r="D13460" i="10"/>
  <c r="E13459" i="10"/>
  <c r="D13459" i="10"/>
  <c r="E13458" i="10"/>
  <c r="D13458" i="10"/>
  <c r="E13457" i="10"/>
  <c r="D13457" i="10"/>
  <c r="E13456" i="10"/>
  <c r="D13456" i="10"/>
  <c r="E13455" i="10"/>
  <c r="D13455" i="10"/>
  <c r="E13454" i="10"/>
  <c r="D13454" i="10"/>
  <c r="E13453" i="10"/>
  <c r="D13453" i="10"/>
  <c r="E13452" i="10"/>
  <c r="D13452" i="10"/>
  <c r="E13451" i="10"/>
  <c r="D13451" i="10"/>
  <c r="E13450" i="10"/>
  <c r="D13450" i="10"/>
  <c r="E13449" i="10"/>
  <c r="D13449" i="10"/>
  <c r="E13448" i="10"/>
  <c r="D13448" i="10"/>
  <c r="E13447" i="10"/>
  <c r="D13447" i="10"/>
  <c r="E13446" i="10"/>
  <c r="D13446" i="10"/>
  <c r="E13445" i="10"/>
  <c r="D13445" i="10"/>
  <c r="E13444" i="10"/>
  <c r="D13444" i="10"/>
  <c r="E13443" i="10"/>
  <c r="D13443" i="10"/>
  <c r="E13442" i="10"/>
  <c r="D13442" i="10"/>
  <c r="E13441" i="10"/>
  <c r="D13441" i="10"/>
  <c r="E13440" i="10"/>
  <c r="D13440" i="10"/>
  <c r="E13439" i="10"/>
  <c r="D13439" i="10"/>
  <c r="E13438" i="10"/>
  <c r="D13438" i="10"/>
  <c r="E13437" i="10"/>
  <c r="D13437" i="10"/>
  <c r="E13436" i="10"/>
  <c r="D13436" i="10"/>
  <c r="E13435" i="10"/>
  <c r="D13435" i="10"/>
  <c r="E13434" i="10"/>
  <c r="D13434" i="10"/>
  <c r="E13433" i="10"/>
  <c r="D13433" i="10"/>
  <c r="E13432" i="10"/>
  <c r="D13432" i="10"/>
  <c r="E13431" i="10"/>
  <c r="D13431" i="10"/>
  <c r="E13430" i="10"/>
  <c r="D13430" i="10"/>
  <c r="E13429" i="10"/>
  <c r="D13429" i="10"/>
  <c r="E13428" i="10"/>
  <c r="D13428" i="10"/>
  <c r="E13427" i="10"/>
  <c r="D13427" i="10"/>
  <c r="E13426" i="10"/>
  <c r="D13426" i="10"/>
  <c r="E13425" i="10"/>
  <c r="D13425" i="10"/>
  <c r="E13424" i="10"/>
  <c r="D13424" i="10"/>
  <c r="E13423" i="10"/>
  <c r="D13423" i="10"/>
  <c r="E13422" i="10"/>
  <c r="D13422" i="10"/>
  <c r="E13421" i="10"/>
  <c r="D13421" i="10"/>
  <c r="E13420" i="10"/>
  <c r="D13420" i="10"/>
  <c r="E13419" i="10"/>
  <c r="D13419" i="10"/>
  <c r="E13418" i="10"/>
  <c r="D13418" i="10"/>
  <c r="E13417" i="10"/>
  <c r="D13417" i="10"/>
  <c r="E13416" i="10"/>
  <c r="D13416" i="10"/>
  <c r="E13415" i="10"/>
  <c r="D13415" i="10"/>
  <c r="E13414" i="10"/>
  <c r="D13414" i="10"/>
  <c r="E13413" i="10"/>
  <c r="D13413" i="10"/>
  <c r="E13412" i="10"/>
  <c r="D13412" i="10"/>
  <c r="E13411" i="10"/>
  <c r="D13411" i="10"/>
  <c r="E13410" i="10"/>
  <c r="D13410" i="10"/>
  <c r="E13409" i="10"/>
  <c r="D13409" i="10"/>
  <c r="E13408" i="10"/>
  <c r="D13408" i="10"/>
  <c r="E13407" i="10"/>
  <c r="D13407" i="10"/>
  <c r="E13406" i="10"/>
  <c r="D13406" i="10"/>
  <c r="E13405" i="10"/>
  <c r="D13405" i="10"/>
  <c r="E13404" i="10"/>
  <c r="D13404" i="10"/>
  <c r="E13403" i="10"/>
  <c r="D13403" i="10"/>
  <c r="E13402" i="10"/>
  <c r="D13402" i="10"/>
  <c r="E13401" i="10"/>
  <c r="D13401" i="10"/>
  <c r="E13400" i="10"/>
  <c r="D13400" i="10"/>
  <c r="E13399" i="10"/>
  <c r="D13399" i="10"/>
  <c r="E13398" i="10"/>
  <c r="D13398" i="10"/>
  <c r="E13397" i="10"/>
  <c r="D13397" i="10"/>
  <c r="E13396" i="10"/>
  <c r="D13396" i="10"/>
  <c r="E13395" i="10"/>
  <c r="D13395" i="10"/>
  <c r="E13394" i="10"/>
  <c r="D13394" i="10"/>
  <c r="E13393" i="10"/>
  <c r="D13393" i="10"/>
  <c r="E13392" i="10"/>
  <c r="D13392" i="10"/>
  <c r="E13391" i="10"/>
  <c r="D13391" i="10"/>
  <c r="E13390" i="10"/>
  <c r="D13390" i="10"/>
  <c r="E13389" i="10"/>
  <c r="D13389" i="10"/>
  <c r="E13388" i="10"/>
  <c r="D13388" i="10"/>
  <c r="E13387" i="10"/>
  <c r="D13387" i="10"/>
  <c r="E13386" i="10"/>
  <c r="D13386" i="10"/>
  <c r="E13385" i="10"/>
  <c r="D13385" i="10"/>
  <c r="E13384" i="10"/>
  <c r="D13384" i="10"/>
  <c r="E13383" i="10"/>
  <c r="D13383" i="10"/>
  <c r="E13382" i="10"/>
  <c r="D13382" i="10"/>
  <c r="E13381" i="10"/>
  <c r="D13381" i="10"/>
  <c r="E13380" i="10"/>
  <c r="D13380" i="10"/>
  <c r="E13379" i="10"/>
  <c r="D13379" i="10"/>
  <c r="E13378" i="10"/>
  <c r="D13378" i="10"/>
  <c r="E13377" i="10"/>
  <c r="D13377" i="10"/>
  <c r="E13376" i="10"/>
  <c r="D13376" i="10"/>
  <c r="E13375" i="10"/>
  <c r="D13375" i="10"/>
  <c r="E13374" i="10"/>
  <c r="D13374" i="10"/>
  <c r="E13373" i="10"/>
  <c r="D13373" i="10"/>
  <c r="E13372" i="10"/>
  <c r="D13372" i="10"/>
  <c r="E13371" i="10"/>
  <c r="D13371" i="10"/>
  <c r="E13370" i="10"/>
  <c r="D13370" i="10"/>
  <c r="E13369" i="10"/>
  <c r="D13369" i="10"/>
  <c r="E13368" i="10"/>
  <c r="D13368" i="10"/>
  <c r="E13367" i="10"/>
  <c r="D13367" i="10"/>
  <c r="E13366" i="10"/>
  <c r="D13366" i="10"/>
  <c r="E13365" i="10"/>
  <c r="D13365" i="10"/>
  <c r="E13364" i="10"/>
  <c r="D13364" i="10"/>
  <c r="E13363" i="10"/>
  <c r="D13363" i="10"/>
  <c r="E13362" i="10"/>
  <c r="D13362" i="10"/>
  <c r="E13361" i="10"/>
  <c r="D13361" i="10"/>
  <c r="E13360" i="10"/>
  <c r="D13360" i="10"/>
  <c r="E13359" i="10"/>
  <c r="D13359" i="10"/>
  <c r="E13358" i="10"/>
  <c r="D13358" i="10"/>
  <c r="E13357" i="10"/>
  <c r="D13357" i="10"/>
  <c r="E13356" i="10"/>
  <c r="D13356" i="10"/>
  <c r="E13355" i="10"/>
  <c r="D13355" i="10"/>
  <c r="E13354" i="10"/>
  <c r="D13354" i="10"/>
  <c r="E13353" i="10"/>
  <c r="D13353" i="10"/>
  <c r="E13352" i="10"/>
  <c r="D13352" i="10"/>
  <c r="E13351" i="10"/>
  <c r="D13351" i="10"/>
  <c r="E13350" i="10"/>
  <c r="D13350" i="10"/>
  <c r="E13349" i="10"/>
  <c r="D13349" i="10"/>
  <c r="E13348" i="10"/>
  <c r="D13348" i="10"/>
  <c r="E13347" i="10"/>
  <c r="D13347" i="10"/>
  <c r="E13346" i="10"/>
  <c r="D13346" i="10"/>
  <c r="E13345" i="10"/>
  <c r="D13345" i="10"/>
  <c r="E13344" i="10"/>
  <c r="D13344" i="10"/>
  <c r="E13343" i="10"/>
  <c r="D13343" i="10"/>
  <c r="E13342" i="10"/>
  <c r="D13342" i="10"/>
  <c r="E13341" i="10"/>
  <c r="D13341" i="10"/>
  <c r="E13340" i="10"/>
  <c r="D13340" i="10"/>
  <c r="E13339" i="10"/>
  <c r="D13339" i="10"/>
  <c r="E13338" i="10"/>
  <c r="D13338" i="10"/>
  <c r="E13337" i="10"/>
  <c r="D13337" i="10"/>
  <c r="E13336" i="10"/>
  <c r="D13336" i="10"/>
  <c r="E13335" i="10"/>
  <c r="D13335" i="10"/>
  <c r="E13334" i="10"/>
  <c r="D13334" i="10"/>
  <c r="E13333" i="10"/>
  <c r="D13333" i="10"/>
  <c r="E13332" i="10"/>
  <c r="D13332" i="10"/>
  <c r="E13331" i="10"/>
  <c r="D13331" i="10"/>
  <c r="E13330" i="10"/>
  <c r="D13330" i="10"/>
  <c r="E13329" i="10"/>
  <c r="D13329" i="10"/>
  <c r="E13328" i="10"/>
  <c r="D13328" i="10"/>
  <c r="E13327" i="10"/>
  <c r="D13327" i="10"/>
  <c r="E13326" i="10"/>
  <c r="D13326" i="10"/>
  <c r="E13325" i="10"/>
  <c r="D13325" i="10"/>
  <c r="E13324" i="10"/>
  <c r="D13324" i="10"/>
  <c r="E13323" i="10"/>
  <c r="D13323" i="10"/>
  <c r="E13322" i="10"/>
  <c r="D13322" i="10"/>
  <c r="E13321" i="10"/>
  <c r="D13321" i="10"/>
  <c r="E13320" i="10"/>
  <c r="D13320" i="10"/>
  <c r="E13319" i="10"/>
  <c r="D13319" i="10"/>
  <c r="E13318" i="10"/>
  <c r="D13318" i="10"/>
  <c r="E13317" i="10"/>
  <c r="D13317" i="10"/>
  <c r="E13316" i="10"/>
  <c r="D13316" i="10"/>
  <c r="E13315" i="10"/>
  <c r="D13315" i="10"/>
  <c r="E13314" i="10"/>
  <c r="D13314" i="10"/>
  <c r="E13313" i="10"/>
  <c r="D13313" i="10"/>
  <c r="E13312" i="10"/>
  <c r="D13312" i="10"/>
  <c r="E13311" i="10"/>
  <c r="D13311" i="10"/>
  <c r="E13310" i="10"/>
  <c r="D13310" i="10"/>
  <c r="E13309" i="10"/>
  <c r="D13309" i="10"/>
  <c r="E13308" i="10"/>
  <c r="D13308" i="10"/>
  <c r="E13307" i="10"/>
  <c r="D13307" i="10"/>
  <c r="E13306" i="10"/>
  <c r="D13306" i="10"/>
  <c r="E13305" i="10"/>
  <c r="D13305" i="10"/>
  <c r="E13304" i="10"/>
  <c r="D13304" i="10"/>
  <c r="E13303" i="10"/>
  <c r="D13303" i="10"/>
  <c r="E13302" i="10"/>
  <c r="D13302" i="10"/>
  <c r="E13301" i="10"/>
  <c r="D13301" i="10"/>
  <c r="E13300" i="10"/>
  <c r="D13300" i="10"/>
  <c r="E13299" i="10"/>
  <c r="D13299" i="10"/>
  <c r="E13298" i="10"/>
  <c r="D13298" i="10"/>
  <c r="E13297" i="10"/>
  <c r="D13297" i="10"/>
  <c r="E13296" i="10"/>
  <c r="D13296" i="10"/>
  <c r="E13295" i="10"/>
  <c r="D13295" i="10"/>
  <c r="E13294" i="10"/>
  <c r="D13294" i="10"/>
  <c r="E13293" i="10"/>
  <c r="D13293" i="10"/>
  <c r="E13292" i="10"/>
  <c r="D13292" i="10"/>
  <c r="E13291" i="10"/>
  <c r="D13291" i="10"/>
  <c r="E13290" i="10"/>
  <c r="D13290" i="10"/>
  <c r="E13289" i="10"/>
  <c r="D13289" i="10"/>
  <c r="E13288" i="10"/>
  <c r="D13288" i="10"/>
  <c r="E13287" i="10"/>
  <c r="D13287" i="10"/>
  <c r="E13286" i="10"/>
  <c r="D13286" i="10"/>
  <c r="E13285" i="10"/>
  <c r="D13285" i="10"/>
  <c r="E13284" i="10"/>
  <c r="D13284" i="10"/>
  <c r="E13283" i="10"/>
  <c r="D13283" i="10"/>
  <c r="E13282" i="10"/>
  <c r="D13282" i="10"/>
  <c r="E13281" i="10"/>
  <c r="D13281" i="10"/>
  <c r="E13280" i="10"/>
  <c r="D13280" i="10"/>
  <c r="E13279" i="10"/>
  <c r="D13279" i="10"/>
  <c r="E13278" i="10"/>
  <c r="D13278" i="10"/>
  <c r="E13277" i="10"/>
  <c r="D13277" i="10"/>
  <c r="E13276" i="10"/>
  <c r="D13276" i="10"/>
  <c r="E13275" i="10"/>
  <c r="D13275" i="10"/>
  <c r="E13274" i="10"/>
  <c r="D13274" i="10"/>
  <c r="E13273" i="10"/>
  <c r="D13273" i="10"/>
  <c r="E13272" i="10"/>
  <c r="D13272" i="10"/>
  <c r="E13271" i="10"/>
  <c r="D13271" i="10"/>
  <c r="E13270" i="10"/>
  <c r="D13270" i="10"/>
  <c r="E13269" i="10"/>
  <c r="D13269" i="10"/>
  <c r="E13268" i="10"/>
  <c r="D13268" i="10"/>
  <c r="E13267" i="10"/>
  <c r="D13267" i="10"/>
  <c r="E13266" i="10"/>
  <c r="D13266" i="10"/>
  <c r="E13265" i="10"/>
  <c r="D13265" i="10"/>
  <c r="E13264" i="10"/>
  <c r="D13264" i="10"/>
  <c r="E13263" i="10"/>
  <c r="D13263" i="10"/>
  <c r="E13262" i="10"/>
  <c r="D13262" i="10"/>
  <c r="E13261" i="10"/>
  <c r="D13261" i="10"/>
  <c r="E13260" i="10"/>
  <c r="D13260" i="10"/>
  <c r="E13259" i="10"/>
  <c r="D13259" i="10"/>
  <c r="E13258" i="10"/>
  <c r="D13258" i="10"/>
  <c r="E13257" i="10"/>
  <c r="D13257" i="10"/>
  <c r="E13256" i="10"/>
  <c r="D13256" i="10"/>
  <c r="E13255" i="10"/>
  <c r="D13255" i="10"/>
  <c r="E13254" i="10"/>
  <c r="D13254" i="10"/>
  <c r="E13253" i="10"/>
  <c r="D13253" i="10"/>
  <c r="E13252" i="10"/>
  <c r="D13252" i="10"/>
  <c r="E13251" i="10"/>
  <c r="D13251" i="10"/>
  <c r="E13250" i="10"/>
  <c r="D13250" i="10"/>
  <c r="E13249" i="10"/>
  <c r="D13249" i="10"/>
  <c r="E13248" i="10"/>
  <c r="D13248" i="10"/>
  <c r="E13247" i="10"/>
  <c r="D13247" i="10"/>
  <c r="E13246" i="10"/>
  <c r="D13246" i="10"/>
  <c r="E13245" i="10"/>
  <c r="D13245" i="10"/>
  <c r="E13244" i="10"/>
  <c r="D13244" i="10"/>
  <c r="E13243" i="10"/>
  <c r="D13243" i="10"/>
  <c r="E13242" i="10"/>
  <c r="D13242" i="10"/>
  <c r="E13241" i="10"/>
  <c r="D13241" i="10"/>
  <c r="E13240" i="10"/>
  <c r="D13240" i="10"/>
  <c r="E13239" i="10"/>
  <c r="D13239" i="10"/>
  <c r="E13238" i="10"/>
  <c r="D13238" i="10"/>
  <c r="E13237" i="10"/>
  <c r="D13237" i="10"/>
  <c r="E13236" i="10"/>
  <c r="D13236" i="10"/>
  <c r="E13235" i="10"/>
  <c r="D13235" i="10"/>
  <c r="E13234" i="10"/>
  <c r="D13234" i="10"/>
  <c r="E13233" i="10"/>
  <c r="D13233" i="10"/>
  <c r="E13232" i="10"/>
  <c r="D13232" i="10"/>
  <c r="E13231" i="10"/>
  <c r="D13231" i="10"/>
  <c r="E13230" i="10"/>
  <c r="D13230" i="10"/>
  <c r="E13229" i="10"/>
  <c r="D13229" i="10"/>
  <c r="E13228" i="10"/>
  <c r="D13228" i="10"/>
  <c r="E13227" i="10"/>
  <c r="D13227" i="10"/>
  <c r="E13226" i="10"/>
  <c r="D13226" i="10"/>
  <c r="E13225" i="10"/>
  <c r="D13225" i="10"/>
  <c r="E13224" i="10"/>
  <c r="D13224" i="10"/>
  <c r="E13223" i="10"/>
  <c r="D13223" i="10"/>
  <c r="E13222" i="10"/>
  <c r="D13222" i="10"/>
  <c r="E13221" i="10"/>
  <c r="D13221" i="10"/>
  <c r="E13220" i="10"/>
  <c r="D13220" i="10"/>
  <c r="E13219" i="10"/>
  <c r="D13219" i="10"/>
  <c r="E13218" i="10"/>
  <c r="D13218" i="10"/>
  <c r="E13217" i="10"/>
  <c r="D13217" i="10"/>
  <c r="E13216" i="10"/>
  <c r="D13216" i="10"/>
  <c r="E13215" i="10"/>
  <c r="D13215" i="10"/>
  <c r="E13214" i="10"/>
  <c r="D13214" i="10"/>
  <c r="E13213" i="10"/>
  <c r="D13213" i="10"/>
  <c r="E13212" i="10"/>
  <c r="D13212" i="10"/>
  <c r="E13211" i="10"/>
  <c r="D13211" i="10"/>
  <c r="E13210" i="10"/>
  <c r="D13210" i="10"/>
  <c r="E13209" i="10"/>
  <c r="D13209" i="10"/>
  <c r="E13208" i="10"/>
  <c r="D13208" i="10"/>
  <c r="E13207" i="10"/>
  <c r="D13207" i="10"/>
  <c r="E13206" i="10"/>
  <c r="D13206" i="10"/>
  <c r="E13205" i="10"/>
  <c r="D13205" i="10"/>
  <c r="E13204" i="10"/>
  <c r="D13204" i="10"/>
  <c r="E13203" i="10"/>
  <c r="D13203" i="10"/>
  <c r="E13202" i="10"/>
  <c r="D13202" i="10"/>
  <c r="E13201" i="10"/>
  <c r="D13201" i="10"/>
  <c r="E13200" i="10"/>
  <c r="D13200" i="10"/>
  <c r="E13199" i="10"/>
  <c r="D13199" i="10"/>
  <c r="E13198" i="10"/>
  <c r="D13198" i="10"/>
  <c r="E13197" i="10"/>
  <c r="D13197" i="10"/>
  <c r="E13196" i="10"/>
  <c r="D13196" i="10"/>
  <c r="E13195" i="10"/>
  <c r="D13195" i="10"/>
  <c r="E13194" i="10"/>
  <c r="D13194" i="10"/>
  <c r="E13193" i="10"/>
  <c r="D13193" i="10"/>
  <c r="E13192" i="10"/>
  <c r="D13192" i="10"/>
  <c r="E13191" i="10"/>
  <c r="D13191" i="10"/>
  <c r="E13190" i="10"/>
  <c r="D13190" i="10"/>
  <c r="E13189" i="10"/>
  <c r="D13189" i="10"/>
  <c r="E13188" i="10"/>
  <c r="D13188" i="10"/>
  <c r="E13187" i="10"/>
  <c r="D13187" i="10"/>
  <c r="E13186" i="10"/>
  <c r="D13186" i="10"/>
  <c r="E13185" i="10"/>
  <c r="D13185" i="10"/>
  <c r="E13184" i="10"/>
  <c r="D13184" i="10"/>
  <c r="E13183" i="10"/>
  <c r="D13183" i="10"/>
  <c r="E13182" i="10"/>
  <c r="D13182" i="10"/>
  <c r="E13181" i="10"/>
  <c r="D13181" i="10"/>
  <c r="E13180" i="10"/>
  <c r="D13180" i="10"/>
  <c r="E13179" i="10"/>
  <c r="D13179" i="10"/>
  <c r="E13178" i="10"/>
  <c r="D13178" i="10"/>
  <c r="E13177" i="10"/>
  <c r="D13177" i="10"/>
  <c r="E13176" i="10"/>
  <c r="D13176" i="10"/>
  <c r="E13175" i="10"/>
  <c r="D13175" i="10"/>
  <c r="E13174" i="10"/>
  <c r="D13174" i="10"/>
  <c r="E13173" i="10"/>
  <c r="D13173" i="10"/>
  <c r="E13172" i="10"/>
  <c r="D13172" i="10"/>
  <c r="E13171" i="10"/>
  <c r="D13171" i="10"/>
  <c r="E13170" i="10"/>
  <c r="D13170" i="10"/>
  <c r="E13169" i="10"/>
  <c r="D13169" i="10"/>
  <c r="E13168" i="10"/>
  <c r="D13168" i="10"/>
  <c r="E13167" i="10"/>
  <c r="D13167" i="10"/>
  <c r="E13166" i="10"/>
  <c r="D13166" i="10"/>
  <c r="E13165" i="10"/>
  <c r="D13165" i="10"/>
  <c r="E13164" i="10"/>
  <c r="D13164" i="10"/>
  <c r="E13163" i="10"/>
  <c r="D13163" i="10"/>
  <c r="E13162" i="10"/>
  <c r="D13162" i="10"/>
  <c r="E13161" i="10"/>
  <c r="D13161" i="10"/>
  <c r="E13160" i="10"/>
  <c r="D13160" i="10"/>
  <c r="E13159" i="10"/>
  <c r="D13159" i="10"/>
  <c r="E13158" i="10"/>
  <c r="D13158" i="10"/>
  <c r="E13157" i="10"/>
  <c r="D13157" i="10"/>
  <c r="E13156" i="10"/>
  <c r="D13156" i="10"/>
  <c r="E13155" i="10"/>
  <c r="D13155" i="10"/>
  <c r="E13154" i="10"/>
  <c r="D13154" i="10"/>
  <c r="E13153" i="10"/>
  <c r="D13153" i="10"/>
  <c r="E13152" i="10"/>
  <c r="D13152" i="10"/>
  <c r="E13151" i="10"/>
  <c r="D13151" i="10"/>
  <c r="E13150" i="10"/>
  <c r="D13150" i="10"/>
  <c r="E13149" i="10"/>
  <c r="D13149" i="10"/>
  <c r="E13148" i="10"/>
  <c r="D13148" i="10"/>
  <c r="E13147" i="10"/>
  <c r="D13147" i="10"/>
  <c r="E13146" i="10"/>
  <c r="D13146" i="10"/>
  <c r="E13145" i="10"/>
  <c r="D13145" i="10"/>
  <c r="E13144" i="10"/>
  <c r="D13144" i="10"/>
  <c r="E13143" i="10"/>
  <c r="D13143" i="10"/>
  <c r="E13142" i="10"/>
  <c r="D13142" i="10"/>
  <c r="E13141" i="10"/>
  <c r="D13141" i="10"/>
  <c r="E13140" i="10"/>
  <c r="D13140" i="10"/>
  <c r="E13139" i="10"/>
  <c r="D13139" i="10"/>
  <c r="E13138" i="10"/>
  <c r="D13138" i="10"/>
  <c r="E13137" i="10"/>
  <c r="D13137" i="10"/>
  <c r="E13136" i="10"/>
  <c r="D13136" i="10"/>
  <c r="E13135" i="10"/>
  <c r="D13135" i="10"/>
  <c r="E13134" i="10"/>
  <c r="D13134" i="10"/>
  <c r="E13133" i="10"/>
  <c r="D13133" i="10"/>
  <c r="E13132" i="10"/>
  <c r="D13132" i="10"/>
  <c r="E13131" i="10"/>
  <c r="D13131" i="10"/>
  <c r="E13130" i="10"/>
  <c r="D13130" i="10"/>
  <c r="E13129" i="10"/>
  <c r="D13129" i="10"/>
  <c r="E13128" i="10"/>
  <c r="D13128" i="10"/>
  <c r="E13127" i="10"/>
  <c r="D13127" i="10"/>
  <c r="E13126" i="10"/>
  <c r="D13126" i="10"/>
  <c r="E13125" i="10"/>
  <c r="D13125" i="10"/>
  <c r="E13124" i="10"/>
  <c r="D13124" i="10"/>
  <c r="E13123" i="10"/>
  <c r="D13123" i="10"/>
  <c r="E13122" i="10"/>
  <c r="D13122" i="10"/>
  <c r="E13121" i="10"/>
  <c r="D13121" i="10"/>
  <c r="E13120" i="10"/>
  <c r="D13120" i="10"/>
  <c r="E13119" i="10"/>
  <c r="D13119" i="10"/>
  <c r="E13118" i="10"/>
  <c r="D13118" i="10"/>
  <c r="E13117" i="10"/>
  <c r="D13117" i="10"/>
  <c r="E13116" i="10"/>
  <c r="D13116" i="10"/>
  <c r="E13115" i="10"/>
  <c r="D13115" i="10"/>
  <c r="E13114" i="10"/>
  <c r="D13114" i="10"/>
  <c r="E13113" i="10"/>
  <c r="D13113" i="10"/>
  <c r="E13112" i="10"/>
  <c r="D13112" i="10"/>
  <c r="E13111" i="10"/>
  <c r="D13111" i="10"/>
  <c r="E13110" i="10"/>
  <c r="D13110" i="10"/>
  <c r="E13109" i="10"/>
  <c r="D13109" i="10"/>
  <c r="E13108" i="10"/>
  <c r="D13108" i="10"/>
  <c r="E13107" i="10"/>
  <c r="D13107" i="10"/>
  <c r="E13106" i="10"/>
  <c r="D13106" i="10"/>
  <c r="E13105" i="10"/>
  <c r="D13105" i="10"/>
  <c r="E13104" i="10"/>
  <c r="D13104" i="10"/>
  <c r="E13103" i="10"/>
  <c r="D13103" i="10"/>
  <c r="E13102" i="10"/>
  <c r="D13102" i="10"/>
  <c r="E13101" i="10"/>
  <c r="D13101" i="10"/>
  <c r="E13100" i="10"/>
  <c r="D13100" i="10"/>
  <c r="E13099" i="10"/>
  <c r="D13099" i="10"/>
  <c r="E13098" i="10"/>
  <c r="D13098" i="10"/>
  <c r="E13097" i="10"/>
  <c r="D13097" i="10"/>
  <c r="E13096" i="10"/>
  <c r="D13096" i="10"/>
  <c r="E13095" i="10"/>
  <c r="D13095" i="10"/>
  <c r="E13094" i="10"/>
  <c r="D13094" i="10"/>
  <c r="E13093" i="10"/>
  <c r="D13093" i="10"/>
  <c r="E13092" i="10"/>
  <c r="D13092" i="10"/>
  <c r="E13091" i="10"/>
  <c r="D13091" i="10"/>
  <c r="E13090" i="10"/>
  <c r="D13090" i="10"/>
  <c r="E13089" i="10"/>
  <c r="D13089" i="10"/>
  <c r="E13088" i="10"/>
  <c r="D13088" i="10"/>
  <c r="E13087" i="10"/>
  <c r="D13087" i="10"/>
  <c r="E13086" i="10"/>
  <c r="D13086" i="10"/>
  <c r="E13085" i="10"/>
  <c r="D13085" i="10"/>
  <c r="E13084" i="10"/>
  <c r="D13084" i="10"/>
  <c r="E13083" i="10"/>
  <c r="D13083" i="10"/>
  <c r="E13082" i="10"/>
  <c r="D13082" i="10"/>
  <c r="E13081" i="10"/>
  <c r="D13081" i="10"/>
  <c r="E13080" i="10"/>
  <c r="D13080" i="10"/>
  <c r="E13079" i="10"/>
  <c r="D13079" i="10"/>
  <c r="E13078" i="10"/>
  <c r="D13078" i="10"/>
  <c r="E13077" i="10"/>
  <c r="D13077" i="10"/>
  <c r="E13076" i="10"/>
  <c r="D13076" i="10"/>
  <c r="E13075" i="10"/>
  <c r="D13075" i="10"/>
  <c r="E13074" i="10"/>
  <c r="D13074" i="10"/>
  <c r="E13073" i="10"/>
  <c r="D13073" i="10"/>
  <c r="E13072" i="10"/>
  <c r="D13072" i="10"/>
  <c r="E13071" i="10"/>
  <c r="D13071" i="10"/>
  <c r="E13070" i="10"/>
  <c r="D13070" i="10"/>
  <c r="E13069" i="10"/>
  <c r="D13069" i="10"/>
  <c r="E13068" i="10"/>
  <c r="D13068" i="10"/>
  <c r="E13067" i="10"/>
  <c r="D13067" i="10"/>
  <c r="E13066" i="10"/>
  <c r="D13066" i="10"/>
  <c r="E13065" i="10"/>
  <c r="D13065" i="10"/>
  <c r="E13064" i="10"/>
  <c r="D13064" i="10"/>
  <c r="E13063" i="10"/>
  <c r="D13063" i="10"/>
  <c r="E13062" i="10"/>
  <c r="D13062" i="10"/>
  <c r="E13061" i="10"/>
  <c r="D13061" i="10"/>
  <c r="E13060" i="10"/>
  <c r="D13060" i="10"/>
  <c r="E13059" i="10"/>
  <c r="D13059" i="10"/>
  <c r="E13058" i="10"/>
  <c r="D13058" i="10"/>
  <c r="E13057" i="10"/>
  <c r="D13057" i="10"/>
  <c r="E13056" i="10"/>
  <c r="D13056" i="10"/>
  <c r="E13055" i="10"/>
  <c r="D13055" i="10"/>
  <c r="E13054" i="10"/>
  <c r="D13054" i="10"/>
  <c r="E13053" i="10"/>
  <c r="D13053" i="10"/>
  <c r="E13052" i="10"/>
  <c r="D13052" i="10"/>
  <c r="E13051" i="10"/>
  <c r="D13051" i="10"/>
  <c r="E13050" i="10"/>
  <c r="D13050" i="10"/>
  <c r="E13049" i="10"/>
  <c r="D13049" i="10"/>
  <c r="E13048" i="10"/>
  <c r="D13048" i="10"/>
  <c r="E13047" i="10"/>
  <c r="D13047" i="10"/>
  <c r="E13046" i="10"/>
  <c r="D13046" i="10"/>
  <c r="E13045" i="10"/>
  <c r="D13045" i="10"/>
  <c r="E13044" i="10"/>
  <c r="D13044" i="10"/>
  <c r="E13043" i="10"/>
  <c r="D13043" i="10"/>
  <c r="E13042" i="10"/>
  <c r="D13042" i="10"/>
  <c r="E13041" i="10"/>
  <c r="D13041" i="10"/>
  <c r="E13040" i="10"/>
  <c r="D13040" i="10"/>
  <c r="E13039" i="10"/>
  <c r="D13039" i="10"/>
  <c r="E13038" i="10"/>
  <c r="D13038" i="10"/>
  <c r="E13037" i="10"/>
  <c r="D13037" i="10"/>
  <c r="E13036" i="10"/>
  <c r="D13036" i="10"/>
  <c r="E13035" i="10"/>
  <c r="D13035" i="10"/>
  <c r="E13034" i="10"/>
  <c r="D13034" i="10"/>
  <c r="E13033" i="10"/>
  <c r="D13033" i="10"/>
  <c r="E13032" i="10"/>
  <c r="D13032" i="10"/>
  <c r="E13031" i="10"/>
  <c r="D13031" i="10"/>
  <c r="E13030" i="10"/>
  <c r="D13030" i="10"/>
  <c r="E13029" i="10"/>
  <c r="D13029" i="10"/>
  <c r="E13028" i="10"/>
  <c r="D13028" i="10"/>
  <c r="E13027" i="10"/>
  <c r="D13027" i="10"/>
  <c r="E13026" i="10"/>
  <c r="D13026" i="10"/>
  <c r="E13025" i="10"/>
  <c r="D13025" i="10"/>
  <c r="E13024" i="10"/>
  <c r="D13024" i="10"/>
  <c r="E13023" i="10"/>
  <c r="D13023" i="10"/>
  <c r="E13022" i="10"/>
  <c r="D13022" i="10"/>
  <c r="E13021" i="10"/>
  <c r="D13021" i="10"/>
  <c r="E13020" i="10"/>
  <c r="D13020" i="10"/>
  <c r="E13019" i="10"/>
  <c r="D13019" i="10"/>
  <c r="E13018" i="10"/>
  <c r="D13018" i="10"/>
  <c r="E13017" i="10"/>
  <c r="D13017" i="10"/>
  <c r="E13016" i="10"/>
  <c r="D13016" i="10"/>
  <c r="E13015" i="10"/>
  <c r="D13015" i="10"/>
  <c r="E13014" i="10"/>
  <c r="D13014" i="10"/>
  <c r="E13013" i="10"/>
  <c r="D13013" i="10"/>
  <c r="E13012" i="10"/>
  <c r="D13012" i="10"/>
  <c r="E13011" i="10"/>
  <c r="D13011" i="10"/>
  <c r="E13010" i="10"/>
  <c r="D13010" i="10"/>
  <c r="E13009" i="10"/>
  <c r="D13009" i="10"/>
  <c r="E13008" i="10"/>
  <c r="D13008" i="10"/>
  <c r="E13007" i="10"/>
  <c r="D13007" i="10"/>
  <c r="E13006" i="10"/>
  <c r="D13006" i="10"/>
  <c r="E13005" i="10"/>
  <c r="D13005" i="10"/>
  <c r="E13004" i="10"/>
  <c r="D13004" i="10"/>
  <c r="E13003" i="10"/>
  <c r="D13003" i="10"/>
  <c r="E13002" i="10"/>
  <c r="D13002" i="10"/>
  <c r="E13001" i="10"/>
  <c r="D13001" i="10"/>
  <c r="E13000" i="10"/>
  <c r="D13000" i="10"/>
  <c r="E12999" i="10"/>
  <c r="D12999" i="10"/>
  <c r="E12998" i="10"/>
  <c r="D12998" i="10"/>
  <c r="E12997" i="10"/>
  <c r="D12997" i="10"/>
  <c r="E12996" i="10"/>
  <c r="D12996" i="10"/>
  <c r="E12995" i="10"/>
  <c r="D12995" i="10"/>
  <c r="E12994" i="10"/>
  <c r="D12994" i="10"/>
  <c r="E12993" i="10"/>
  <c r="D12993" i="10"/>
  <c r="E12992" i="10"/>
  <c r="D12992" i="10"/>
  <c r="E12991" i="10"/>
  <c r="D12991" i="10"/>
  <c r="E12990" i="10"/>
  <c r="D12990" i="10"/>
  <c r="E12989" i="10"/>
  <c r="D12989" i="10"/>
  <c r="E12988" i="10"/>
  <c r="D12988" i="10"/>
  <c r="E12987" i="10"/>
  <c r="D12987" i="10"/>
  <c r="E12986" i="10"/>
  <c r="D12986" i="10"/>
  <c r="E12985" i="10"/>
  <c r="D12985" i="10"/>
  <c r="E12984" i="10"/>
  <c r="D12984" i="10"/>
  <c r="E12983" i="10"/>
  <c r="D12983" i="10"/>
  <c r="E12982" i="10"/>
  <c r="D12982" i="10"/>
  <c r="E12981" i="10"/>
  <c r="D12981" i="10"/>
  <c r="E12980" i="10"/>
  <c r="D12980" i="10"/>
  <c r="E12979" i="10"/>
  <c r="D12979" i="10"/>
  <c r="E12978" i="10"/>
  <c r="D12978" i="10"/>
  <c r="E12977" i="10"/>
  <c r="D12977" i="10"/>
  <c r="E12976" i="10"/>
  <c r="D12976" i="10"/>
  <c r="E12975" i="10"/>
  <c r="D12975" i="10"/>
  <c r="E12974" i="10"/>
  <c r="D12974" i="10"/>
  <c r="E12973" i="10"/>
  <c r="D12973" i="10"/>
  <c r="E12972" i="10"/>
  <c r="D12972" i="10"/>
  <c r="E12971" i="10"/>
  <c r="D12971" i="10"/>
  <c r="E12970" i="10"/>
  <c r="D12970" i="10"/>
  <c r="E12969" i="10"/>
  <c r="D12969" i="10"/>
  <c r="E12968" i="10"/>
  <c r="D12968" i="10"/>
  <c r="E12967" i="10"/>
  <c r="D12967" i="10"/>
  <c r="E12966" i="10"/>
  <c r="D12966" i="10"/>
  <c r="E12965" i="10"/>
  <c r="D12965" i="10"/>
  <c r="E12964" i="10"/>
  <c r="D12964" i="10"/>
  <c r="E12963" i="10"/>
  <c r="D12963" i="10"/>
  <c r="E12962" i="10"/>
  <c r="D12962" i="10"/>
  <c r="E12961" i="10"/>
  <c r="D12961" i="10"/>
  <c r="E12960" i="10"/>
  <c r="D12960" i="10"/>
  <c r="E12959" i="10"/>
  <c r="D12959" i="10"/>
  <c r="E12958" i="10"/>
  <c r="D12958" i="10"/>
  <c r="E12957" i="10"/>
  <c r="D12957" i="10"/>
  <c r="E12956" i="10"/>
  <c r="D12956" i="10"/>
  <c r="E12955" i="10"/>
  <c r="D12955" i="10"/>
  <c r="E12954" i="10"/>
  <c r="D12954" i="10"/>
  <c r="E12953" i="10"/>
  <c r="D12953" i="10"/>
  <c r="E12952" i="10"/>
  <c r="D12952" i="10"/>
  <c r="E12951" i="10"/>
  <c r="D12951" i="10"/>
  <c r="E12950" i="10"/>
  <c r="D12950" i="10"/>
  <c r="E12949" i="10"/>
  <c r="D12949" i="10"/>
  <c r="E12948" i="10"/>
  <c r="D12948" i="10"/>
  <c r="E12947" i="10"/>
  <c r="D12947" i="10"/>
  <c r="E12946" i="10"/>
  <c r="D12946" i="10"/>
  <c r="E12945" i="10"/>
  <c r="D12945" i="10"/>
  <c r="E12944" i="10"/>
  <c r="D12944" i="10"/>
  <c r="E12943" i="10"/>
  <c r="D12943" i="10"/>
  <c r="E12942" i="10"/>
  <c r="D12942" i="10"/>
  <c r="E12941" i="10"/>
  <c r="D12941" i="10"/>
  <c r="E12940" i="10"/>
  <c r="D12940" i="10"/>
  <c r="E12939" i="10"/>
  <c r="D12939" i="10"/>
  <c r="E12938" i="10"/>
  <c r="D12938" i="10"/>
  <c r="E12937" i="10"/>
  <c r="D12937" i="10"/>
  <c r="E12936" i="10"/>
  <c r="D12936" i="10"/>
  <c r="E12935" i="10"/>
  <c r="D12935" i="10"/>
  <c r="E12934" i="10"/>
  <c r="D12934" i="10"/>
  <c r="E12933" i="10"/>
  <c r="D12933" i="10"/>
  <c r="E12932" i="10"/>
  <c r="D12932" i="10"/>
  <c r="E12931" i="10"/>
  <c r="D12931" i="10"/>
  <c r="E12930" i="10"/>
  <c r="D12930" i="10"/>
  <c r="E12929" i="10"/>
  <c r="D12929" i="10"/>
  <c r="E12928" i="10"/>
  <c r="D12928" i="10"/>
  <c r="E12927" i="10"/>
  <c r="D12927" i="10"/>
  <c r="E12926" i="10"/>
  <c r="D12926" i="10"/>
  <c r="E12925" i="10"/>
  <c r="D12925" i="10"/>
  <c r="E12924" i="10"/>
  <c r="D12924" i="10"/>
  <c r="E12923" i="10"/>
  <c r="D12923" i="10"/>
  <c r="E12922" i="10"/>
  <c r="D12922" i="10"/>
  <c r="E12921" i="10"/>
  <c r="D12921" i="10"/>
  <c r="E12920" i="10"/>
  <c r="D12920" i="10"/>
  <c r="E12919" i="10"/>
  <c r="D12919" i="10"/>
  <c r="E12918" i="10"/>
  <c r="D12918" i="10"/>
  <c r="E12917" i="10"/>
  <c r="D12917" i="10"/>
  <c r="E12916" i="10"/>
  <c r="D12916" i="10"/>
  <c r="E12915" i="10"/>
  <c r="D12915" i="10"/>
  <c r="E12914" i="10"/>
  <c r="D12914" i="10"/>
  <c r="E12913" i="10"/>
  <c r="D12913" i="10"/>
  <c r="E12912" i="10"/>
  <c r="D12912" i="10"/>
  <c r="E12911" i="10"/>
  <c r="D12911" i="10"/>
  <c r="E12910" i="10"/>
  <c r="D12910" i="10"/>
  <c r="E12909" i="10"/>
  <c r="D12909" i="10"/>
  <c r="E12908" i="10"/>
  <c r="D12908" i="10"/>
  <c r="E12907" i="10"/>
  <c r="D12907" i="10"/>
  <c r="E12906" i="10"/>
  <c r="D12906" i="10"/>
  <c r="E12905" i="10"/>
  <c r="D12905" i="10"/>
  <c r="E12904" i="10"/>
  <c r="D12904" i="10"/>
  <c r="E12903" i="10"/>
  <c r="D12903" i="10"/>
  <c r="E12902" i="10"/>
  <c r="D12902" i="10"/>
  <c r="E12901" i="10"/>
  <c r="D12901" i="10"/>
  <c r="E12900" i="10"/>
  <c r="D12900" i="10"/>
  <c r="E12899" i="10"/>
  <c r="D12899" i="10"/>
  <c r="E12898" i="10"/>
  <c r="D12898" i="10"/>
  <c r="E12897" i="10"/>
  <c r="D12897" i="10"/>
  <c r="E12896" i="10"/>
  <c r="D12896" i="10"/>
  <c r="E12895" i="10"/>
  <c r="D12895" i="10"/>
  <c r="E12894" i="10"/>
  <c r="D12894" i="10"/>
  <c r="E12893" i="10"/>
  <c r="D12893" i="10"/>
  <c r="E12892" i="10"/>
  <c r="D12892" i="10"/>
  <c r="E12891" i="10"/>
  <c r="D12891" i="10"/>
  <c r="E12890" i="10"/>
  <c r="D12890" i="10"/>
  <c r="E12889" i="10"/>
  <c r="D12889" i="10"/>
  <c r="E12888" i="10"/>
  <c r="D12888" i="10"/>
  <c r="E12887" i="10"/>
  <c r="D12887" i="10"/>
  <c r="E12886" i="10"/>
  <c r="D12886" i="10"/>
  <c r="E12885" i="10"/>
  <c r="D12885" i="10"/>
  <c r="E12884" i="10"/>
  <c r="D12884" i="10"/>
  <c r="E12883" i="10"/>
  <c r="D12883" i="10"/>
  <c r="E12882" i="10"/>
  <c r="D12882" i="10"/>
  <c r="E12881" i="10"/>
  <c r="D12881" i="10"/>
  <c r="E12880" i="10"/>
  <c r="D12880" i="10"/>
  <c r="E12879" i="10"/>
  <c r="D12879" i="10"/>
  <c r="E12878" i="10"/>
  <c r="D12878" i="10"/>
  <c r="E12877" i="10"/>
  <c r="D12877" i="10"/>
  <c r="E12876" i="10"/>
  <c r="D12876" i="10"/>
  <c r="E12875" i="10"/>
  <c r="D12875" i="10"/>
  <c r="E12874" i="10"/>
  <c r="D12874" i="10"/>
  <c r="E12873" i="10"/>
  <c r="D12873" i="10"/>
  <c r="E12872" i="10"/>
  <c r="D12872" i="10"/>
  <c r="E12871" i="10"/>
  <c r="D12871" i="10"/>
  <c r="E12870" i="10"/>
  <c r="D12870" i="10"/>
  <c r="E12869" i="10"/>
  <c r="D12869" i="10"/>
  <c r="E12868" i="10"/>
  <c r="D12868" i="10"/>
  <c r="E12867" i="10"/>
  <c r="D12867" i="10"/>
  <c r="E12866" i="10"/>
  <c r="D12866" i="10"/>
  <c r="E12865" i="10"/>
  <c r="D12865" i="10"/>
  <c r="E12864" i="10"/>
  <c r="D12864" i="10"/>
  <c r="E12863" i="10"/>
  <c r="D12863" i="10"/>
  <c r="E12862" i="10"/>
  <c r="D12862" i="10"/>
  <c r="E12861" i="10"/>
  <c r="D12861" i="10"/>
  <c r="E12860" i="10"/>
  <c r="D12860" i="10"/>
  <c r="E12859" i="10"/>
  <c r="D12859" i="10"/>
  <c r="E12858" i="10"/>
  <c r="D12858" i="10"/>
  <c r="E12857" i="10"/>
  <c r="D12857" i="10"/>
  <c r="E12856" i="10"/>
  <c r="D12856" i="10"/>
  <c r="E12855" i="10"/>
  <c r="D12855" i="10"/>
  <c r="E12854" i="10"/>
  <c r="D12854" i="10"/>
  <c r="E12853" i="10"/>
  <c r="D12853" i="10"/>
  <c r="E12852" i="10"/>
  <c r="D12852" i="10"/>
  <c r="E12851" i="10"/>
  <c r="D12851" i="10"/>
  <c r="E12850" i="10"/>
  <c r="D12850" i="10"/>
  <c r="E12849" i="10"/>
  <c r="D12849" i="10"/>
  <c r="E12848" i="10"/>
  <c r="D12848" i="10"/>
  <c r="E12847" i="10"/>
  <c r="D12847" i="10"/>
  <c r="E12846" i="10"/>
  <c r="D12846" i="10"/>
  <c r="E12845" i="10"/>
  <c r="D12845" i="10"/>
  <c r="E12844" i="10"/>
  <c r="D12844" i="10"/>
  <c r="E12843" i="10"/>
  <c r="D12843" i="10"/>
  <c r="E12842" i="10"/>
  <c r="D12842" i="10"/>
  <c r="E12841" i="10"/>
  <c r="D12841" i="10"/>
  <c r="E12840" i="10"/>
  <c r="D12840" i="10"/>
  <c r="E12839" i="10"/>
  <c r="D12839" i="10"/>
  <c r="E12838" i="10"/>
  <c r="D12838" i="10"/>
  <c r="E12837" i="10"/>
  <c r="D12837" i="10"/>
  <c r="E12836" i="10"/>
  <c r="D12836" i="10"/>
  <c r="E12835" i="10"/>
  <c r="D12835" i="10"/>
  <c r="E12834" i="10"/>
  <c r="D12834" i="10"/>
  <c r="E12833" i="10"/>
  <c r="D12833" i="10"/>
  <c r="E12832" i="10"/>
  <c r="D12832" i="10"/>
  <c r="E12831" i="10"/>
  <c r="D12831" i="10"/>
  <c r="E12830" i="10"/>
  <c r="D12830" i="10"/>
  <c r="E12829" i="10"/>
  <c r="D12829" i="10"/>
  <c r="E12828" i="10"/>
  <c r="D12828" i="10"/>
  <c r="E12827" i="10"/>
  <c r="D12827" i="10"/>
  <c r="E12826" i="10"/>
  <c r="D12826" i="10"/>
  <c r="E12825" i="10"/>
  <c r="D12825" i="10"/>
  <c r="E12824" i="10"/>
  <c r="D12824" i="10"/>
  <c r="E12823" i="10"/>
  <c r="D12823" i="10"/>
  <c r="E12822" i="10"/>
  <c r="D12822" i="10"/>
  <c r="E12821" i="10"/>
  <c r="D12821" i="10"/>
  <c r="E12820" i="10"/>
  <c r="D12820" i="10"/>
  <c r="E12819" i="10"/>
  <c r="D12819" i="10"/>
  <c r="E12818" i="10"/>
  <c r="D12818" i="10"/>
  <c r="E12817" i="10"/>
  <c r="D12817" i="10"/>
  <c r="E12816" i="10"/>
  <c r="D12816" i="10"/>
  <c r="E12815" i="10"/>
  <c r="D12815" i="10"/>
  <c r="E12814" i="10"/>
  <c r="D12814" i="10"/>
  <c r="E12813" i="10"/>
  <c r="D12813" i="10"/>
  <c r="E12812" i="10"/>
  <c r="D12812" i="10"/>
  <c r="E12811" i="10"/>
  <c r="D12811" i="10"/>
  <c r="E12810" i="10"/>
  <c r="D12810" i="10"/>
  <c r="E12809" i="10"/>
  <c r="D12809" i="10"/>
  <c r="E12808" i="10"/>
  <c r="D12808" i="10"/>
  <c r="E12807" i="10"/>
  <c r="D12807" i="10"/>
  <c r="E12806" i="10"/>
  <c r="D12806" i="10"/>
  <c r="E12805" i="10"/>
  <c r="D12805" i="10"/>
  <c r="E12804" i="10"/>
  <c r="D12804" i="10"/>
  <c r="E12803" i="10"/>
  <c r="D12803" i="10"/>
  <c r="E12802" i="10"/>
  <c r="D12802" i="10"/>
  <c r="E12801" i="10"/>
  <c r="D12801" i="10"/>
  <c r="E12800" i="10"/>
  <c r="D12800" i="10"/>
  <c r="E12799" i="10"/>
  <c r="D12799" i="10"/>
  <c r="E12798" i="10"/>
  <c r="D12798" i="10"/>
  <c r="E12797" i="10"/>
  <c r="D12797" i="10"/>
  <c r="E12796" i="10"/>
  <c r="D12796" i="10"/>
  <c r="E12795" i="10"/>
  <c r="D12795" i="10"/>
  <c r="E12794" i="10"/>
  <c r="D12794" i="10"/>
  <c r="E12793" i="10"/>
  <c r="D12793" i="10"/>
  <c r="E12792" i="10"/>
  <c r="D12792" i="10"/>
  <c r="E12791" i="10"/>
  <c r="D12791" i="10"/>
  <c r="E12790" i="10"/>
  <c r="D12790" i="10"/>
  <c r="E12789" i="10"/>
  <c r="D12789" i="10"/>
  <c r="E12788" i="10"/>
  <c r="D12788" i="10"/>
  <c r="E12787" i="10"/>
  <c r="D12787" i="10"/>
  <c r="E12786" i="10"/>
  <c r="D12786" i="10"/>
  <c r="E12785" i="10"/>
  <c r="D12785" i="10"/>
  <c r="E12784" i="10"/>
  <c r="D12784" i="10"/>
  <c r="E12783" i="10"/>
  <c r="D12783" i="10"/>
  <c r="E12782" i="10"/>
  <c r="D12782" i="10"/>
  <c r="E12781" i="10"/>
  <c r="D12781" i="10"/>
  <c r="E12780" i="10"/>
  <c r="D12780" i="10"/>
  <c r="E12779" i="10"/>
  <c r="D12779" i="10"/>
  <c r="E12778" i="10"/>
  <c r="D12778" i="10"/>
  <c r="E12777" i="10"/>
  <c r="D12777" i="10"/>
  <c r="E12776" i="10"/>
  <c r="D12776" i="10"/>
  <c r="E12775" i="10"/>
  <c r="D12775" i="10"/>
  <c r="E12774" i="10"/>
  <c r="D12774" i="10"/>
  <c r="E12773" i="10"/>
  <c r="D12773" i="10"/>
  <c r="E12772" i="10"/>
  <c r="D12772" i="10"/>
  <c r="E12771" i="10"/>
  <c r="D12771" i="10"/>
  <c r="E12770" i="10"/>
  <c r="D12770" i="10"/>
  <c r="E12769" i="10"/>
  <c r="D12769" i="10"/>
  <c r="E12768" i="10"/>
  <c r="D12768" i="10"/>
  <c r="E12767" i="10"/>
  <c r="D12767" i="10"/>
  <c r="E12766" i="10"/>
  <c r="D12766" i="10"/>
  <c r="E12765" i="10"/>
  <c r="D12765" i="10"/>
  <c r="E12764" i="10"/>
  <c r="D12764" i="10"/>
  <c r="E12763" i="10"/>
  <c r="D12763" i="10"/>
  <c r="E12762" i="10"/>
  <c r="D12762" i="10"/>
  <c r="E12761" i="10"/>
  <c r="D12761" i="10"/>
  <c r="E12760" i="10"/>
  <c r="D12760" i="10"/>
  <c r="E12759" i="10"/>
  <c r="D12759" i="10"/>
  <c r="E12758" i="10"/>
  <c r="D12758" i="10"/>
  <c r="E12757" i="10"/>
  <c r="D12757" i="10"/>
  <c r="E12756" i="10"/>
  <c r="D12756" i="10"/>
  <c r="E12755" i="10"/>
  <c r="D12755" i="10"/>
  <c r="E12754" i="10"/>
  <c r="D12754" i="10"/>
  <c r="E12753" i="10"/>
  <c r="D12753" i="10"/>
  <c r="E12752" i="10"/>
  <c r="D12752" i="10"/>
  <c r="E12751" i="10"/>
  <c r="D12751" i="10"/>
  <c r="E12750" i="10"/>
  <c r="D12750" i="10"/>
  <c r="E12749" i="10"/>
  <c r="D12749" i="10"/>
  <c r="E12748" i="10"/>
  <c r="D12748" i="10"/>
  <c r="E12747" i="10"/>
  <c r="D12747" i="10"/>
  <c r="E12746" i="10"/>
  <c r="D12746" i="10"/>
  <c r="E12745" i="10"/>
  <c r="D12745" i="10"/>
  <c r="E12744" i="10"/>
  <c r="D12744" i="10"/>
  <c r="E12743" i="10"/>
  <c r="D12743" i="10"/>
  <c r="E12742" i="10"/>
  <c r="D12742" i="10"/>
  <c r="E12741" i="10"/>
  <c r="D12741" i="10"/>
  <c r="E12740" i="10"/>
  <c r="D12740" i="10"/>
  <c r="E12739" i="10"/>
  <c r="D12739" i="10"/>
  <c r="E12738" i="10"/>
  <c r="D12738" i="10"/>
  <c r="E12737" i="10"/>
  <c r="D12737" i="10"/>
  <c r="E12736" i="10"/>
  <c r="D12736" i="10"/>
  <c r="E12735" i="10"/>
  <c r="D12735" i="10"/>
  <c r="E12734" i="10"/>
  <c r="D12734" i="10"/>
  <c r="E12733" i="10"/>
  <c r="D12733" i="10"/>
  <c r="E12732" i="10"/>
  <c r="D12732" i="10"/>
  <c r="E12731" i="10"/>
  <c r="D12731" i="10"/>
  <c r="E12730" i="10"/>
  <c r="D12730" i="10"/>
  <c r="E12729" i="10"/>
  <c r="D12729" i="10"/>
  <c r="E12728" i="10"/>
  <c r="D12728" i="10"/>
  <c r="E12727" i="10"/>
  <c r="D12727" i="10"/>
  <c r="E12726" i="10"/>
  <c r="D12726" i="10"/>
  <c r="E12725" i="10"/>
  <c r="D12725" i="10"/>
  <c r="E12724" i="10"/>
  <c r="D12724" i="10"/>
  <c r="E12723" i="10"/>
  <c r="D12723" i="10"/>
  <c r="E12722" i="10"/>
  <c r="D12722" i="10"/>
  <c r="E12721" i="10"/>
  <c r="D12721" i="10"/>
  <c r="E12720" i="10"/>
  <c r="D12720" i="10"/>
  <c r="E12719" i="10"/>
  <c r="D12719" i="10"/>
  <c r="E12718" i="10"/>
  <c r="D12718" i="10"/>
  <c r="E12717" i="10"/>
  <c r="D12717" i="10"/>
  <c r="E12716" i="10"/>
  <c r="D12716" i="10"/>
  <c r="E12715" i="10"/>
  <c r="D12715" i="10"/>
  <c r="E12714" i="10"/>
  <c r="D12714" i="10"/>
  <c r="E12713" i="10"/>
  <c r="D12713" i="10"/>
  <c r="E12712" i="10"/>
  <c r="D12712" i="10"/>
  <c r="E12711" i="10"/>
  <c r="D12711" i="10"/>
  <c r="E12710" i="10"/>
  <c r="D12710" i="10"/>
  <c r="E12709" i="10"/>
  <c r="D12709" i="10"/>
  <c r="E12708" i="10"/>
  <c r="D12708" i="10"/>
  <c r="E12707" i="10"/>
  <c r="D12707" i="10"/>
  <c r="E12706" i="10"/>
  <c r="D12706" i="10"/>
  <c r="E12705" i="10"/>
  <c r="D12705" i="10"/>
  <c r="E12704" i="10"/>
  <c r="D12704" i="10"/>
  <c r="E12703" i="10"/>
  <c r="D12703" i="10"/>
  <c r="E12702" i="10"/>
  <c r="D12702" i="10"/>
  <c r="E12701" i="10"/>
  <c r="D12701" i="10"/>
  <c r="E12700" i="10"/>
  <c r="D12700" i="10"/>
  <c r="E12699" i="10"/>
  <c r="D12699" i="10"/>
  <c r="E12698" i="10"/>
  <c r="D12698" i="10"/>
  <c r="E12697" i="10"/>
  <c r="D12697" i="10"/>
  <c r="E12696" i="10"/>
  <c r="D12696" i="10"/>
  <c r="E12695" i="10"/>
  <c r="D12695" i="10"/>
  <c r="E12694" i="10"/>
  <c r="D12694" i="10"/>
  <c r="E12693" i="10"/>
  <c r="D12693" i="10"/>
  <c r="E12692" i="10"/>
  <c r="D12692" i="10"/>
  <c r="E12691" i="10"/>
  <c r="D12691" i="10"/>
  <c r="E12690" i="10"/>
  <c r="D12690" i="10"/>
  <c r="E12689" i="10"/>
  <c r="D12689" i="10"/>
  <c r="E12688" i="10"/>
  <c r="D12688" i="10"/>
  <c r="E12687" i="10"/>
  <c r="D12687" i="10"/>
  <c r="E12686" i="10"/>
  <c r="D12686" i="10"/>
  <c r="E12685" i="10"/>
  <c r="D12685" i="10"/>
  <c r="E12684" i="10"/>
  <c r="D12684" i="10"/>
  <c r="E12683" i="10"/>
  <c r="D12683" i="10"/>
  <c r="E12682" i="10"/>
  <c r="D12682" i="10"/>
  <c r="E12681" i="10"/>
  <c r="D12681" i="10"/>
  <c r="E12680" i="10"/>
  <c r="D12680" i="10"/>
  <c r="E12679" i="10"/>
  <c r="D12679" i="10"/>
  <c r="E12678" i="10"/>
  <c r="D12678" i="10"/>
  <c r="E12677" i="10"/>
  <c r="D12677" i="10"/>
  <c r="E12676" i="10"/>
  <c r="D12676" i="10"/>
  <c r="E12675" i="10"/>
  <c r="D12675" i="10"/>
  <c r="E12674" i="10"/>
  <c r="D12674" i="10"/>
  <c r="E12673" i="10"/>
  <c r="D12673" i="10"/>
  <c r="E12672" i="10"/>
  <c r="D12672" i="10"/>
  <c r="E12671" i="10"/>
  <c r="D12671" i="10"/>
  <c r="E12670" i="10"/>
  <c r="D12670" i="10"/>
  <c r="E12669" i="10"/>
  <c r="D12669" i="10"/>
  <c r="E12668" i="10"/>
  <c r="D12668" i="10"/>
  <c r="E12667" i="10"/>
  <c r="D12667" i="10"/>
  <c r="E12666" i="10"/>
  <c r="D12666" i="10"/>
  <c r="E12665" i="10"/>
  <c r="D12665" i="10"/>
  <c r="E12664" i="10"/>
  <c r="D12664" i="10"/>
  <c r="E12663" i="10"/>
  <c r="D12663" i="10"/>
  <c r="E12662" i="10"/>
  <c r="D12662" i="10"/>
  <c r="E12661" i="10"/>
  <c r="D12661" i="10"/>
  <c r="E12660" i="10"/>
  <c r="D12660" i="10"/>
  <c r="E12659" i="10"/>
  <c r="D12659" i="10"/>
  <c r="E12658" i="10"/>
  <c r="D12658" i="10"/>
  <c r="E12657" i="10"/>
  <c r="D12657" i="10"/>
  <c r="E12656" i="10"/>
  <c r="D12656" i="10"/>
  <c r="E12655" i="10"/>
  <c r="D12655" i="10"/>
  <c r="E12654" i="10"/>
  <c r="D12654" i="10"/>
  <c r="E12653" i="10"/>
  <c r="D12653" i="10"/>
  <c r="E12652" i="10"/>
  <c r="D12652" i="10"/>
  <c r="E12651" i="10"/>
  <c r="D12651" i="10"/>
  <c r="E12650" i="10"/>
  <c r="D12650" i="10"/>
  <c r="E12649" i="10"/>
  <c r="D12649" i="10"/>
  <c r="E12648" i="10"/>
  <c r="D12648" i="10"/>
  <c r="E12647" i="10"/>
  <c r="D12647" i="10"/>
  <c r="E12646" i="10"/>
  <c r="D12646" i="10"/>
  <c r="E12645" i="10"/>
  <c r="D12645" i="10"/>
  <c r="E12644" i="10"/>
  <c r="D12644" i="10"/>
  <c r="E12643" i="10"/>
  <c r="D12643" i="10"/>
  <c r="E12642" i="10"/>
  <c r="D12642" i="10"/>
  <c r="E12641" i="10"/>
  <c r="D12641" i="10"/>
  <c r="E12640" i="10"/>
  <c r="D12640" i="10"/>
  <c r="E12639" i="10"/>
  <c r="D12639" i="10"/>
  <c r="E12638" i="10"/>
  <c r="D12638" i="10"/>
  <c r="E12637" i="10"/>
  <c r="D12637" i="10"/>
  <c r="E12636" i="10"/>
  <c r="D12636" i="10"/>
  <c r="E12635" i="10"/>
  <c r="D12635" i="10"/>
  <c r="E12634" i="10"/>
  <c r="D12634" i="10"/>
  <c r="E12633" i="10"/>
  <c r="D12633" i="10"/>
  <c r="E12632" i="10"/>
  <c r="D12632" i="10"/>
  <c r="E12631" i="10"/>
  <c r="D12631" i="10"/>
  <c r="E12630" i="10"/>
  <c r="D12630" i="10"/>
  <c r="E12629" i="10"/>
  <c r="D12629" i="10"/>
  <c r="E12628" i="10"/>
  <c r="D12628" i="10"/>
  <c r="E12627" i="10"/>
  <c r="D12627" i="10"/>
  <c r="E12626" i="10"/>
  <c r="D12626" i="10"/>
  <c r="E12625" i="10"/>
  <c r="D12625" i="10"/>
  <c r="E12624" i="10"/>
  <c r="D12624" i="10"/>
  <c r="E12623" i="10"/>
  <c r="D12623" i="10"/>
  <c r="E12622" i="10"/>
  <c r="D12622" i="10"/>
  <c r="E12621" i="10"/>
  <c r="D12621" i="10"/>
  <c r="E12620" i="10"/>
  <c r="D12620" i="10"/>
  <c r="E12619" i="10"/>
  <c r="D12619" i="10"/>
  <c r="E12618" i="10"/>
  <c r="D12618" i="10"/>
  <c r="E12617" i="10"/>
  <c r="D12617" i="10"/>
  <c r="E12616" i="10"/>
  <c r="D12616" i="10"/>
  <c r="E12615" i="10"/>
  <c r="D12615" i="10"/>
  <c r="E12614" i="10"/>
  <c r="D12614" i="10"/>
  <c r="E12613" i="10"/>
  <c r="D12613" i="10"/>
  <c r="E12612" i="10"/>
  <c r="D12612" i="10"/>
  <c r="E12611" i="10"/>
  <c r="D12611" i="10"/>
  <c r="E12610" i="10"/>
  <c r="D12610" i="10"/>
  <c r="E12609" i="10"/>
  <c r="D12609" i="10"/>
  <c r="E12608" i="10"/>
  <c r="D12608" i="10"/>
  <c r="E12607" i="10"/>
  <c r="D12607" i="10"/>
  <c r="E12606" i="10"/>
  <c r="D12606" i="10"/>
  <c r="E12605" i="10"/>
  <c r="D12605" i="10"/>
  <c r="E12604" i="10"/>
  <c r="D12604" i="10"/>
  <c r="E12603" i="10"/>
  <c r="D12603" i="10"/>
  <c r="E12602" i="10"/>
  <c r="D12602" i="10"/>
  <c r="E12601" i="10"/>
  <c r="D12601" i="10"/>
  <c r="E12600" i="10"/>
  <c r="D12600" i="10"/>
  <c r="E12599" i="10"/>
  <c r="D12599" i="10"/>
  <c r="E12598" i="10"/>
  <c r="D12598" i="10"/>
  <c r="E12597" i="10"/>
  <c r="D12597" i="10"/>
  <c r="E12596" i="10"/>
  <c r="D12596" i="10"/>
  <c r="E12595" i="10"/>
  <c r="D12595" i="10"/>
  <c r="E12594" i="10"/>
  <c r="D12594" i="10"/>
  <c r="E12593" i="10"/>
  <c r="D12593" i="10"/>
  <c r="E12592" i="10"/>
  <c r="D12592" i="10"/>
  <c r="E12591" i="10"/>
  <c r="D12591" i="10"/>
  <c r="E12590" i="10"/>
  <c r="D12590" i="10"/>
  <c r="E12589" i="10"/>
  <c r="D12589" i="10"/>
  <c r="E12588" i="10"/>
  <c r="D12588" i="10"/>
  <c r="E12587" i="10"/>
  <c r="D12587" i="10"/>
  <c r="E12586" i="10"/>
  <c r="D12586" i="10"/>
  <c r="E12585" i="10"/>
  <c r="D12585" i="10"/>
  <c r="E12584" i="10"/>
  <c r="D12584" i="10"/>
  <c r="E12583" i="10"/>
  <c r="D12583" i="10"/>
  <c r="E12582" i="10"/>
  <c r="D12582" i="10"/>
  <c r="E12581" i="10"/>
  <c r="D12581" i="10"/>
  <c r="E12580" i="10"/>
  <c r="D12580" i="10"/>
  <c r="E12579" i="10"/>
  <c r="D12579" i="10"/>
  <c r="E12578" i="10"/>
  <c r="D12578" i="10"/>
  <c r="E12577" i="10"/>
  <c r="D12577" i="10"/>
  <c r="E12576" i="10"/>
  <c r="D12576" i="10"/>
  <c r="E12575" i="10"/>
  <c r="D12575" i="10"/>
  <c r="E12574" i="10"/>
  <c r="D12574" i="10"/>
  <c r="E12573" i="10"/>
  <c r="D12573" i="10"/>
  <c r="E12572" i="10"/>
  <c r="D12572" i="10"/>
  <c r="E12571" i="10"/>
  <c r="D12571" i="10"/>
  <c r="E12570" i="10"/>
  <c r="D12570" i="10"/>
  <c r="E12569" i="10"/>
  <c r="D12569" i="10"/>
  <c r="E12568" i="10"/>
  <c r="D12568" i="10"/>
  <c r="E12567" i="10"/>
  <c r="D12567" i="10"/>
  <c r="E12566" i="10"/>
  <c r="D12566" i="10"/>
  <c r="E12565" i="10"/>
  <c r="D12565" i="10"/>
  <c r="E12564" i="10"/>
  <c r="D12564" i="10"/>
  <c r="E12563" i="10"/>
  <c r="D12563" i="10"/>
  <c r="E12562" i="10"/>
  <c r="D12562" i="10"/>
  <c r="E12561" i="10"/>
  <c r="D12561" i="10"/>
  <c r="E12560" i="10"/>
  <c r="D12560" i="10"/>
  <c r="E12559" i="10"/>
  <c r="D12559" i="10"/>
  <c r="E12558" i="10"/>
  <c r="D12558" i="10"/>
  <c r="E12557" i="10"/>
  <c r="D12557" i="10"/>
  <c r="E12556" i="10"/>
  <c r="D12556" i="10"/>
  <c r="E12555" i="10"/>
  <c r="D12555" i="10"/>
  <c r="E12554" i="10"/>
  <c r="D12554" i="10"/>
  <c r="E12553" i="10"/>
  <c r="D12553" i="10"/>
  <c r="E12552" i="10"/>
  <c r="D12552" i="10"/>
  <c r="E12551" i="10"/>
  <c r="D12551" i="10"/>
  <c r="E12550" i="10"/>
  <c r="D12550" i="10"/>
  <c r="E12549" i="10"/>
  <c r="D12549" i="10"/>
  <c r="E12548" i="10"/>
  <c r="D12548" i="10"/>
  <c r="E12547" i="10"/>
  <c r="D12547" i="10"/>
  <c r="E12546" i="10"/>
  <c r="D12546" i="10"/>
  <c r="E12545" i="10"/>
  <c r="D12545" i="10"/>
  <c r="E12544" i="10"/>
  <c r="D12544" i="10"/>
  <c r="E12543" i="10"/>
  <c r="D12543" i="10"/>
  <c r="E12542" i="10"/>
  <c r="D12542" i="10"/>
  <c r="E12541" i="10"/>
  <c r="D12541" i="10"/>
  <c r="E12540" i="10"/>
  <c r="D12540" i="10"/>
  <c r="E12539" i="10"/>
  <c r="D12539" i="10"/>
  <c r="E12538" i="10"/>
  <c r="D12538" i="10"/>
  <c r="E12537" i="10"/>
  <c r="D12537" i="10"/>
  <c r="E12536" i="10"/>
  <c r="D12536" i="10"/>
  <c r="E12535" i="10"/>
  <c r="D12535" i="10"/>
  <c r="E12534" i="10"/>
  <c r="D12534" i="10"/>
  <c r="E12533" i="10"/>
  <c r="D12533" i="10"/>
  <c r="E12532" i="10"/>
  <c r="D12532" i="10"/>
  <c r="E12531" i="10"/>
  <c r="D12531" i="10"/>
  <c r="E12530" i="10"/>
  <c r="D12530" i="10"/>
  <c r="E12529" i="10"/>
  <c r="D12529" i="10"/>
  <c r="E12528" i="10"/>
  <c r="D12528" i="10"/>
  <c r="E12527" i="10"/>
  <c r="D12527" i="10"/>
  <c r="E12526" i="10"/>
  <c r="D12526" i="10"/>
  <c r="E12525" i="10"/>
  <c r="D12525" i="10"/>
  <c r="E12524" i="10"/>
  <c r="D12524" i="10"/>
  <c r="E12523" i="10"/>
  <c r="D12523" i="10"/>
  <c r="E12522" i="10"/>
  <c r="D12522" i="10"/>
  <c r="E12521" i="10"/>
  <c r="D12521" i="10"/>
  <c r="E12520" i="10"/>
  <c r="D12520" i="10"/>
  <c r="E12519" i="10"/>
  <c r="D12519" i="10"/>
  <c r="E12518" i="10"/>
  <c r="D12518" i="10"/>
  <c r="E12517" i="10"/>
  <c r="D12517" i="10"/>
  <c r="E12516" i="10"/>
  <c r="D12516" i="10"/>
  <c r="E12515" i="10"/>
  <c r="D12515" i="10"/>
  <c r="E12514" i="10"/>
  <c r="D12514" i="10"/>
  <c r="E12513" i="10"/>
  <c r="D12513" i="10"/>
  <c r="E12512" i="10"/>
  <c r="D12512" i="10"/>
  <c r="E12511" i="10"/>
  <c r="D12511" i="10"/>
  <c r="E12510" i="10"/>
  <c r="D12510" i="10"/>
  <c r="E12509" i="10"/>
  <c r="D12509" i="10"/>
  <c r="E12508" i="10"/>
  <c r="D12508" i="10"/>
  <c r="E12507" i="10"/>
  <c r="D12507" i="10"/>
  <c r="E12506" i="10"/>
  <c r="D12506" i="10"/>
  <c r="E12505" i="10"/>
  <c r="D12505" i="10"/>
  <c r="E12504" i="10"/>
  <c r="D12504" i="10"/>
  <c r="E12503" i="10"/>
  <c r="D12503" i="10"/>
  <c r="E12502" i="10"/>
  <c r="D12502" i="10"/>
  <c r="E12501" i="10"/>
  <c r="D12501" i="10"/>
  <c r="E12500" i="10"/>
  <c r="D12500" i="10"/>
  <c r="E12499" i="10"/>
  <c r="D12499" i="10"/>
  <c r="E12498" i="10"/>
  <c r="D12498" i="10"/>
  <c r="E12497" i="10"/>
  <c r="D12497" i="10"/>
  <c r="E12496" i="10"/>
  <c r="D12496" i="10"/>
  <c r="E12495" i="10"/>
  <c r="D12495" i="10"/>
  <c r="E12494" i="10"/>
  <c r="D12494" i="10"/>
  <c r="E12493" i="10"/>
  <c r="D12493" i="10"/>
  <c r="E12492" i="10"/>
  <c r="D12492" i="10"/>
  <c r="E12491" i="10"/>
  <c r="D12491" i="10"/>
  <c r="E12490" i="10"/>
  <c r="D12490" i="10"/>
  <c r="E12489" i="10"/>
  <c r="D12489" i="10"/>
  <c r="E12488" i="10"/>
  <c r="D12488" i="10"/>
  <c r="E12487" i="10"/>
  <c r="D12487" i="10"/>
  <c r="E12486" i="10"/>
  <c r="D12486" i="10"/>
  <c r="E12485" i="10"/>
  <c r="D12485" i="10"/>
  <c r="E12484" i="10"/>
  <c r="D12484" i="10"/>
  <c r="E12483" i="10"/>
  <c r="D12483" i="10"/>
  <c r="E12482" i="10"/>
  <c r="D12482" i="10"/>
  <c r="E12481" i="10"/>
  <c r="D12481" i="10"/>
  <c r="E12480" i="10"/>
  <c r="D12480" i="10"/>
  <c r="E12479" i="10"/>
  <c r="D12479" i="10"/>
  <c r="E12478" i="10"/>
  <c r="D12478" i="10"/>
  <c r="E12477" i="10"/>
  <c r="D12477" i="10"/>
  <c r="E12476" i="10"/>
  <c r="D12476" i="10"/>
  <c r="E12475" i="10"/>
  <c r="D12475" i="10"/>
  <c r="E12474" i="10"/>
  <c r="D12474" i="10"/>
  <c r="E12473" i="10"/>
  <c r="D12473" i="10"/>
  <c r="E12472" i="10"/>
  <c r="D12472" i="10"/>
  <c r="E12471" i="10"/>
  <c r="D12471" i="10"/>
  <c r="E12470" i="10"/>
  <c r="D12470" i="10"/>
  <c r="E12469" i="10"/>
  <c r="D12469" i="10"/>
  <c r="E12468" i="10"/>
  <c r="D12468" i="10"/>
  <c r="E12467" i="10"/>
  <c r="D12467" i="10"/>
  <c r="E12466" i="10"/>
  <c r="D12466" i="10"/>
  <c r="E12465" i="10"/>
  <c r="D12465" i="10"/>
  <c r="E12464" i="10"/>
  <c r="D12464" i="10"/>
  <c r="E12463" i="10"/>
  <c r="D12463" i="10"/>
  <c r="E12462" i="10"/>
  <c r="D12462" i="10"/>
  <c r="E12461" i="10"/>
  <c r="D12461" i="10"/>
  <c r="E12460" i="10"/>
  <c r="D12460" i="10"/>
  <c r="E12459" i="10"/>
  <c r="D12459" i="10"/>
  <c r="E12458" i="10"/>
  <c r="D12458" i="10"/>
  <c r="E12457" i="10"/>
  <c r="D12457" i="10"/>
  <c r="E12456" i="10"/>
  <c r="D12456" i="10"/>
  <c r="E12455" i="10"/>
  <c r="D12455" i="10"/>
  <c r="E12454" i="10"/>
  <c r="D12454" i="10"/>
  <c r="E12453" i="10"/>
  <c r="D12453" i="10"/>
  <c r="E12452" i="10"/>
  <c r="D12452" i="10"/>
  <c r="E12451" i="10"/>
  <c r="D12451" i="10"/>
  <c r="E12450" i="10"/>
  <c r="D12450" i="10"/>
  <c r="E12449" i="10"/>
  <c r="D12449" i="10"/>
  <c r="E12448" i="10"/>
  <c r="D12448" i="10"/>
  <c r="E12447" i="10"/>
  <c r="D12447" i="10"/>
  <c r="E12446" i="10"/>
  <c r="D12446" i="10"/>
  <c r="E12445" i="10"/>
  <c r="D12445" i="10"/>
  <c r="E12444" i="10"/>
  <c r="D12444" i="10"/>
  <c r="E12443" i="10"/>
  <c r="D12443" i="10"/>
  <c r="E12442" i="10"/>
  <c r="D12442" i="10"/>
  <c r="E12441" i="10"/>
  <c r="D12441" i="10"/>
  <c r="E12440" i="10"/>
  <c r="D12440" i="10"/>
  <c r="E12439" i="10"/>
  <c r="D12439" i="10"/>
  <c r="E12438" i="10"/>
  <c r="D12438" i="10"/>
  <c r="E12437" i="10"/>
  <c r="D12437" i="10"/>
  <c r="E12436" i="10"/>
  <c r="D12436" i="10"/>
  <c r="E12435" i="10"/>
  <c r="D12435" i="10"/>
  <c r="E12434" i="10"/>
  <c r="D12434" i="10"/>
  <c r="E12433" i="10"/>
  <c r="D12433" i="10"/>
  <c r="E12432" i="10"/>
  <c r="D12432" i="10"/>
  <c r="E12431" i="10"/>
  <c r="D12431" i="10"/>
  <c r="E12430" i="10"/>
  <c r="D12430" i="10"/>
  <c r="E12429" i="10"/>
  <c r="D12429" i="10"/>
  <c r="E12428" i="10"/>
  <c r="D12428" i="10"/>
  <c r="E12427" i="10"/>
  <c r="D12427" i="10"/>
  <c r="E12426" i="10"/>
  <c r="D12426" i="10"/>
  <c r="E12425" i="10"/>
  <c r="D12425" i="10"/>
  <c r="E12424" i="10"/>
  <c r="D12424" i="10"/>
  <c r="E12423" i="10"/>
  <c r="D12423" i="10"/>
  <c r="E12422" i="10"/>
  <c r="D12422" i="10"/>
  <c r="E12421" i="10"/>
  <c r="D12421" i="10"/>
  <c r="E12420" i="10"/>
  <c r="D12420" i="10"/>
  <c r="E12419" i="10"/>
  <c r="D12419" i="10"/>
  <c r="E12418" i="10"/>
  <c r="D12418" i="10"/>
  <c r="E12417" i="10"/>
  <c r="D12417" i="10"/>
  <c r="E12416" i="10"/>
  <c r="D12416" i="10"/>
  <c r="E12415" i="10"/>
  <c r="D12415" i="10"/>
  <c r="E12414" i="10"/>
  <c r="D12414" i="10"/>
  <c r="E12413" i="10"/>
  <c r="D12413" i="10"/>
  <c r="E12412" i="10"/>
  <c r="D12412" i="10"/>
  <c r="E12411" i="10"/>
  <c r="D12411" i="10"/>
  <c r="E12410" i="10"/>
  <c r="D12410" i="10"/>
  <c r="E12409" i="10"/>
  <c r="D12409" i="10"/>
  <c r="E12408" i="10"/>
  <c r="D12408" i="10"/>
  <c r="E12407" i="10"/>
  <c r="D12407" i="10"/>
  <c r="E12406" i="10"/>
  <c r="D12406" i="10"/>
  <c r="E12405" i="10"/>
  <c r="D12405" i="10"/>
  <c r="E12404" i="10"/>
  <c r="D12404" i="10"/>
  <c r="E12403" i="10"/>
  <c r="D12403" i="10"/>
  <c r="E12402" i="10"/>
  <c r="D12402" i="10"/>
  <c r="E12401" i="10"/>
  <c r="D12401" i="10"/>
  <c r="E12400" i="10"/>
  <c r="D12400" i="10"/>
  <c r="E12399" i="10"/>
  <c r="D12399" i="10"/>
  <c r="E12398" i="10"/>
  <c r="D12398" i="10"/>
  <c r="E12397" i="10"/>
  <c r="D12397" i="10"/>
  <c r="E12396" i="10"/>
  <c r="D12396" i="10"/>
  <c r="E12395" i="10"/>
  <c r="D12395" i="10"/>
  <c r="E12394" i="10"/>
  <c r="D12394" i="10"/>
  <c r="E12393" i="10"/>
  <c r="D12393" i="10"/>
  <c r="E12392" i="10"/>
  <c r="D12392" i="10"/>
  <c r="E12391" i="10"/>
  <c r="D12391" i="10"/>
  <c r="E12390" i="10"/>
  <c r="D12390" i="10"/>
  <c r="E12389" i="10"/>
  <c r="D12389" i="10"/>
  <c r="E12388" i="10"/>
  <c r="D12388" i="10"/>
  <c r="E12387" i="10"/>
  <c r="D12387" i="10"/>
  <c r="E12386" i="10"/>
  <c r="D12386" i="10"/>
  <c r="E12385" i="10"/>
  <c r="D12385" i="10"/>
  <c r="E12384" i="10"/>
  <c r="D12384" i="10"/>
  <c r="E12383" i="10"/>
  <c r="D12383" i="10"/>
  <c r="E12382" i="10"/>
  <c r="D12382" i="10"/>
  <c r="E12381" i="10"/>
  <c r="D12381" i="10"/>
  <c r="E12380" i="10"/>
  <c r="D12380" i="10"/>
  <c r="E12379" i="10"/>
  <c r="D12379" i="10"/>
  <c r="E12378" i="10"/>
  <c r="D12378" i="10"/>
  <c r="E12377" i="10"/>
  <c r="D12377" i="10"/>
  <c r="E12376" i="10"/>
  <c r="D12376" i="10"/>
  <c r="E12375" i="10"/>
  <c r="D12375" i="10"/>
  <c r="E12374" i="10"/>
  <c r="D12374" i="10"/>
  <c r="E12373" i="10"/>
  <c r="D12373" i="10"/>
  <c r="E12372" i="10"/>
  <c r="D12372" i="10"/>
  <c r="E12371" i="10"/>
  <c r="D12371" i="10"/>
  <c r="E12370" i="10"/>
  <c r="D12370" i="10"/>
  <c r="E12369" i="10"/>
  <c r="D12369" i="10"/>
  <c r="E12368" i="10"/>
  <c r="D12368" i="10"/>
  <c r="E12367" i="10"/>
  <c r="D12367" i="10"/>
  <c r="E12366" i="10"/>
  <c r="D12366" i="10"/>
  <c r="E12365" i="10"/>
  <c r="D12365" i="10"/>
  <c r="E12364" i="10"/>
  <c r="D12364" i="10"/>
  <c r="E12363" i="10"/>
  <c r="D12363" i="10"/>
  <c r="E12362" i="10"/>
  <c r="D12362" i="10"/>
  <c r="E12361" i="10"/>
  <c r="D12361" i="10"/>
  <c r="E12360" i="10"/>
  <c r="D12360" i="10"/>
  <c r="E12359" i="10"/>
  <c r="D12359" i="10"/>
  <c r="E12358" i="10"/>
  <c r="D12358" i="10"/>
  <c r="E12357" i="10"/>
  <c r="D12357" i="10"/>
  <c r="E12356" i="10"/>
  <c r="D12356" i="10"/>
  <c r="E12355" i="10"/>
  <c r="D12355" i="10"/>
  <c r="E12354" i="10"/>
  <c r="D12354" i="10"/>
  <c r="E12353" i="10"/>
  <c r="D12353" i="10"/>
  <c r="E12352" i="10"/>
  <c r="D12352" i="10"/>
  <c r="E12351" i="10"/>
  <c r="D12351" i="10"/>
  <c r="E12350" i="10"/>
  <c r="D12350" i="10"/>
  <c r="E12349" i="10"/>
  <c r="D12349" i="10"/>
  <c r="E12348" i="10"/>
  <c r="D12348" i="10"/>
  <c r="E12347" i="10"/>
  <c r="D12347" i="10"/>
  <c r="E12346" i="10"/>
  <c r="D12346" i="10"/>
  <c r="E12345" i="10"/>
  <c r="D12345" i="10"/>
  <c r="E12344" i="10"/>
  <c r="D12344" i="10"/>
  <c r="E12343" i="10"/>
  <c r="D12343" i="10"/>
  <c r="E12342" i="10"/>
  <c r="D12342" i="10"/>
  <c r="E12341" i="10"/>
  <c r="D12341" i="10"/>
  <c r="E12340" i="10"/>
  <c r="D12340" i="10"/>
  <c r="E12339" i="10"/>
  <c r="D12339" i="10"/>
  <c r="E12338" i="10"/>
  <c r="D12338" i="10"/>
  <c r="E12337" i="10"/>
  <c r="D12337" i="10"/>
  <c r="E12336" i="10"/>
  <c r="D12336" i="10"/>
  <c r="E12335" i="10"/>
  <c r="D12335" i="10"/>
  <c r="E12334" i="10"/>
  <c r="D12334" i="10"/>
  <c r="E12333" i="10"/>
  <c r="D12333" i="10"/>
  <c r="E12332" i="10"/>
  <c r="D12332" i="10"/>
  <c r="E12331" i="10"/>
  <c r="D12331" i="10"/>
  <c r="E12330" i="10"/>
  <c r="D12330" i="10"/>
  <c r="E12329" i="10"/>
  <c r="D12329" i="10"/>
  <c r="E12328" i="10"/>
  <c r="D12328" i="10"/>
  <c r="E12327" i="10"/>
  <c r="D12327" i="10"/>
  <c r="E12326" i="10"/>
  <c r="D12326" i="10"/>
  <c r="E12325" i="10"/>
  <c r="D12325" i="10"/>
  <c r="E12324" i="10"/>
  <c r="D12324" i="10"/>
  <c r="E12323" i="10"/>
  <c r="D12323" i="10"/>
  <c r="E12322" i="10"/>
  <c r="D12322" i="10"/>
  <c r="E12321" i="10"/>
  <c r="D12321" i="10"/>
  <c r="E12320" i="10"/>
  <c r="D12320" i="10"/>
  <c r="E12319" i="10"/>
  <c r="D12319" i="10"/>
  <c r="E12318" i="10"/>
  <c r="D12318" i="10"/>
  <c r="E12317" i="10"/>
  <c r="D12317" i="10"/>
  <c r="E12316" i="10"/>
  <c r="D12316" i="10"/>
  <c r="E12315" i="10"/>
  <c r="D12315" i="10"/>
  <c r="E12314" i="10"/>
  <c r="D12314" i="10"/>
  <c r="E12313" i="10"/>
  <c r="D12313" i="10"/>
  <c r="E12312" i="10"/>
  <c r="D12312" i="10"/>
  <c r="E12311" i="10"/>
  <c r="D12311" i="10"/>
  <c r="E12310" i="10"/>
  <c r="D12310" i="10"/>
  <c r="E12309" i="10"/>
  <c r="D12309" i="10"/>
  <c r="E12308" i="10"/>
  <c r="D12308" i="10"/>
  <c r="E12307" i="10"/>
  <c r="D12307" i="10"/>
  <c r="E12306" i="10"/>
  <c r="D12306" i="10"/>
  <c r="E12305" i="10"/>
  <c r="D12305" i="10"/>
  <c r="E12304" i="10"/>
  <c r="D12304" i="10"/>
  <c r="E12303" i="10"/>
  <c r="D12303" i="10"/>
  <c r="E12302" i="10"/>
  <c r="D12302" i="10"/>
  <c r="E12301" i="10"/>
  <c r="D12301" i="10"/>
  <c r="E12300" i="10"/>
  <c r="D12300" i="10"/>
  <c r="E12299" i="10"/>
  <c r="D12299" i="10"/>
  <c r="E12298" i="10"/>
  <c r="D12298" i="10"/>
  <c r="E12297" i="10"/>
  <c r="D12297" i="10"/>
  <c r="E12296" i="10"/>
  <c r="D12296" i="10"/>
  <c r="E12295" i="10"/>
  <c r="D12295" i="10"/>
  <c r="E12294" i="10"/>
  <c r="D12294" i="10"/>
  <c r="E12293" i="10"/>
  <c r="D12293" i="10"/>
  <c r="E12292" i="10"/>
  <c r="D12292" i="10"/>
  <c r="E12291" i="10"/>
  <c r="D12291" i="10"/>
  <c r="E12290" i="10"/>
  <c r="D12290" i="10"/>
  <c r="E12289" i="10"/>
  <c r="D12289" i="10"/>
  <c r="E12288" i="10"/>
  <c r="D12288" i="10"/>
  <c r="E12287" i="10"/>
  <c r="D12287" i="10"/>
  <c r="E12286" i="10"/>
  <c r="D12286" i="10"/>
  <c r="E12285" i="10"/>
  <c r="D12285" i="10"/>
  <c r="E12284" i="10"/>
  <c r="D12284" i="10"/>
  <c r="E12283" i="10"/>
  <c r="D12283" i="10"/>
  <c r="E12282" i="10"/>
  <c r="D12282" i="10"/>
  <c r="E12281" i="10"/>
  <c r="D12281" i="10"/>
  <c r="E12280" i="10"/>
  <c r="D12280" i="10"/>
  <c r="E12279" i="10"/>
  <c r="D12279" i="10"/>
  <c r="E12278" i="10"/>
  <c r="D12278" i="10"/>
  <c r="E12277" i="10"/>
  <c r="D12277" i="10"/>
  <c r="E12276" i="10"/>
  <c r="D12276" i="10"/>
  <c r="E12275" i="10"/>
  <c r="D12275" i="10"/>
  <c r="E12274" i="10"/>
  <c r="D12274" i="10"/>
  <c r="E12273" i="10"/>
  <c r="D12273" i="10"/>
  <c r="E12272" i="10"/>
  <c r="D12272" i="10"/>
  <c r="E12271" i="10"/>
  <c r="D12271" i="10"/>
  <c r="E12270" i="10"/>
  <c r="D12270" i="10"/>
  <c r="E12269" i="10"/>
  <c r="D12269" i="10"/>
  <c r="E12268" i="10"/>
  <c r="D12268" i="10"/>
  <c r="E12267" i="10"/>
  <c r="D12267" i="10"/>
  <c r="E12266" i="10"/>
  <c r="D12266" i="10"/>
  <c r="E12265" i="10"/>
  <c r="D12265" i="10"/>
  <c r="E12264" i="10"/>
  <c r="D12264" i="10"/>
  <c r="E12263" i="10"/>
  <c r="D12263" i="10"/>
  <c r="E12262" i="10"/>
  <c r="D12262" i="10"/>
  <c r="E12261" i="10"/>
  <c r="D12261" i="10"/>
  <c r="E12260" i="10"/>
  <c r="D12260" i="10"/>
  <c r="E12259" i="10"/>
  <c r="D12259" i="10"/>
  <c r="E12258" i="10"/>
  <c r="D12258" i="10"/>
  <c r="E12257" i="10"/>
  <c r="D12257" i="10"/>
  <c r="E12256" i="10"/>
  <c r="D12256" i="10"/>
  <c r="E12255" i="10"/>
  <c r="D12255" i="10"/>
  <c r="E12254" i="10"/>
  <c r="D12254" i="10"/>
  <c r="E12253" i="10"/>
  <c r="D12253" i="10"/>
  <c r="E12252" i="10"/>
  <c r="D12252" i="10"/>
  <c r="E12251" i="10"/>
  <c r="D12251" i="10"/>
  <c r="E12250" i="10"/>
  <c r="D12250" i="10"/>
  <c r="E12249" i="10"/>
  <c r="D12249" i="10"/>
  <c r="E12248" i="10"/>
  <c r="D12248" i="10"/>
  <c r="E12247" i="10"/>
  <c r="D12247" i="10"/>
  <c r="E12246" i="10"/>
  <c r="D12246" i="10"/>
  <c r="E12245" i="10"/>
  <c r="D12245" i="10"/>
  <c r="E12244" i="10"/>
  <c r="D12244" i="10"/>
  <c r="E12243" i="10"/>
  <c r="D12243" i="10"/>
  <c r="E12242" i="10"/>
  <c r="D12242" i="10"/>
  <c r="E12241" i="10"/>
  <c r="D12241" i="10"/>
  <c r="E12240" i="10"/>
  <c r="D12240" i="10"/>
  <c r="E12239" i="10"/>
  <c r="D12239" i="10"/>
  <c r="E12238" i="10"/>
  <c r="D12238" i="10"/>
  <c r="E12237" i="10"/>
  <c r="D12237" i="10"/>
  <c r="E12236" i="10"/>
  <c r="D12236" i="10"/>
  <c r="E12235" i="10"/>
  <c r="D12235" i="10"/>
  <c r="E12234" i="10"/>
  <c r="D12234" i="10"/>
  <c r="E12233" i="10"/>
  <c r="D12233" i="10"/>
  <c r="E12232" i="10"/>
  <c r="D12232" i="10"/>
  <c r="E12231" i="10"/>
  <c r="D12231" i="10"/>
  <c r="E12230" i="10"/>
  <c r="D12230" i="10"/>
  <c r="E12229" i="10"/>
  <c r="D12229" i="10"/>
  <c r="E12228" i="10"/>
  <c r="D12228" i="10"/>
  <c r="E12227" i="10"/>
  <c r="D12227" i="10"/>
  <c r="E12226" i="10"/>
  <c r="D12226" i="10"/>
  <c r="E12225" i="10"/>
  <c r="D12225" i="10"/>
  <c r="E12224" i="10"/>
  <c r="D12224" i="10"/>
  <c r="E12223" i="10"/>
  <c r="D12223" i="10"/>
  <c r="E12222" i="10"/>
  <c r="D12222" i="10"/>
  <c r="E12221" i="10"/>
  <c r="D12221" i="10"/>
  <c r="E12220" i="10"/>
  <c r="D12220" i="10"/>
  <c r="E12219" i="10"/>
  <c r="D12219" i="10"/>
  <c r="E12218" i="10"/>
  <c r="D12218" i="10"/>
  <c r="E12217" i="10"/>
  <c r="D12217" i="10"/>
  <c r="E12216" i="10"/>
  <c r="D12216" i="10"/>
  <c r="E12215" i="10"/>
  <c r="D12215" i="10"/>
  <c r="E12214" i="10"/>
  <c r="D12214" i="10"/>
  <c r="E12213" i="10"/>
  <c r="D12213" i="10"/>
  <c r="E12212" i="10"/>
  <c r="D12212" i="10"/>
  <c r="E12211" i="10"/>
  <c r="D12211" i="10"/>
  <c r="E12210" i="10"/>
  <c r="D12210" i="10"/>
  <c r="E12209" i="10"/>
  <c r="D12209" i="10"/>
  <c r="E12208" i="10"/>
  <c r="D12208" i="10"/>
  <c r="E12207" i="10"/>
  <c r="D12207" i="10"/>
  <c r="E12206" i="10"/>
  <c r="D12206" i="10"/>
  <c r="E12205" i="10"/>
  <c r="D12205" i="10"/>
  <c r="E12204" i="10"/>
  <c r="D12204" i="10"/>
  <c r="E12203" i="10"/>
  <c r="D12203" i="10"/>
  <c r="E12202" i="10"/>
  <c r="D12202" i="10"/>
  <c r="E12201" i="10"/>
  <c r="D12201" i="10"/>
  <c r="E12200" i="10"/>
  <c r="D12200" i="10"/>
  <c r="E12199" i="10"/>
  <c r="D12199" i="10"/>
  <c r="E12198" i="10"/>
  <c r="D12198" i="10"/>
  <c r="E12197" i="10"/>
  <c r="D12197" i="10"/>
  <c r="E12196" i="10"/>
  <c r="D12196" i="10"/>
  <c r="E12195" i="10"/>
  <c r="D12195" i="10"/>
  <c r="E12194" i="10"/>
  <c r="D12194" i="10"/>
  <c r="E12193" i="10"/>
  <c r="D12193" i="10"/>
  <c r="E12192" i="10"/>
  <c r="D12192" i="10"/>
  <c r="E12191" i="10"/>
  <c r="D12191" i="10"/>
  <c r="E12190" i="10"/>
  <c r="D12190" i="10"/>
  <c r="E12189" i="10"/>
  <c r="D12189" i="10"/>
  <c r="E12188" i="10"/>
  <c r="D12188" i="10"/>
  <c r="E12187" i="10"/>
  <c r="D12187" i="10"/>
  <c r="E12186" i="10"/>
  <c r="D12186" i="10"/>
  <c r="E12185" i="10"/>
  <c r="D12185" i="10"/>
  <c r="E12184" i="10"/>
  <c r="D12184" i="10"/>
  <c r="E12183" i="10"/>
  <c r="D12183" i="10"/>
  <c r="E12182" i="10"/>
  <c r="D12182" i="10"/>
  <c r="E12181" i="10"/>
  <c r="D12181" i="10"/>
  <c r="E12180" i="10"/>
  <c r="D12180" i="10"/>
  <c r="E12179" i="10"/>
  <c r="D12179" i="10"/>
  <c r="E12178" i="10"/>
  <c r="D12178" i="10"/>
  <c r="E12177" i="10"/>
  <c r="D12177" i="10"/>
  <c r="E12176" i="10"/>
  <c r="D12176" i="10"/>
  <c r="E12175" i="10"/>
  <c r="D12175" i="10"/>
  <c r="E12174" i="10"/>
  <c r="D12174" i="10"/>
  <c r="E12173" i="10"/>
  <c r="D12173" i="10"/>
  <c r="E12172" i="10"/>
  <c r="D12172" i="10"/>
  <c r="E12171" i="10"/>
  <c r="D12171" i="10"/>
  <c r="E12170" i="10"/>
  <c r="D12170" i="10"/>
  <c r="E12169" i="10"/>
  <c r="D12169" i="10"/>
  <c r="E12168" i="10"/>
  <c r="D12168" i="10"/>
  <c r="E12167" i="10"/>
  <c r="D12167" i="10"/>
  <c r="E12166" i="10"/>
  <c r="D12166" i="10"/>
  <c r="E12165" i="10"/>
  <c r="D12165" i="10"/>
  <c r="E12164" i="10"/>
  <c r="D12164" i="10"/>
  <c r="E12163" i="10"/>
  <c r="D12163" i="10"/>
  <c r="E12162" i="10"/>
  <c r="D12162" i="10"/>
  <c r="E12161" i="10"/>
  <c r="D12161" i="10"/>
  <c r="E12160" i="10"/>
  <c r="D12160" i="10"/>
  <c r="E12159" i="10"/>
  <c r="D12159" i="10"/>
  <c r="E12158" i="10"/>
  <c r="D12158" i="10"/>
  <c r="E12157" i="10"/>
  <c r="D12157" i="10"/>
  <c r="E12156" i="10"/>
  <c r="D12156" i="10"/>
  <c r="E12155" i="10"/>
  <c r="D12155" i="10"/>
  <c r="E12154" i="10"/>
  <c r="D12154" i="10"/>
  <c r="E12153" i="10"/>
  <c r="D12153" i="10"/>
  <c r="E12152" i="10"/>
  <c r="D12152" i="10"/>
  <c r="E12151" i="10"/>
  <c r="D12151" i="10"/>
  <c r="E12150" i="10"/>
  <c r="D12150" i="10"/>
  <c r="E12149" i="10"/>
  <c r="D12149" i="10"/>
  <c r="E12148" i="10"/>
  <c r="D12148" i="10"/>
  <c r="E12147" i="10"/>
  <c r="D12147" i="10"/>
  <c r="E12146" i="10"/>
  <c r="D12146" i="10"/>
  <c r="E12145" i="10"/>
  <c r="D12145" i="10"/>
  <c r="E12144" i="10"/>
  <c r="D12144" i="10"/>
  <c r="E12143" i="10"/>
  <c r="D12143" i="10"/>
  <c r="E12142" i="10"/>
  <c r="D12142" i="10"/>
  <c r="E12141" i="10"/>
  <c r="D12141" i="10"/>
  <c r="E12140" i="10"/>
  <c r="D12140" i="10"/>
  <c r="E12139" i="10"/>
  <c r="D12139" i="10"/>
  <c r="E12138" i="10"/>
  <c r="D12138" i="10"/>
  <c r="E12137" i="10"/>
  <c r="D12137" i="10"/>
  <c r="E12136" i="10"/>
  <c r="D12136" i="10"/>
  <c r="E12135" i="10"/>
  <c r="D12135" i="10"/>
  <c r="E12134" i="10"/>
  <c r="D12134" i="10"/>
  <c r="E12133" i="10"/>
  <c r="D12133" i="10"/>
  <c r="E12132" i="10"/>
  <c r="D12132" i="10"/>
  <c r="E12131" i="10"/>
  <c r="D12131" i="10"/>
  <c r="E12130" i="10"/>
  <c r="D12130" i="10"/>
  <c r="E12129" i="10"/>
  <c r="D12129" i="10"/>
  <c r="E12128" i="10"/>
  <c r="D12128" i="10"/>
  <c r="E12127" i="10"/>
  <c r="D12127" i="10"/>
  <c r="E12126" i="10"/>
  <c r="D12126" i="10"/>
  <c r="E12125" i="10"/>
  <c r="D12125" i="10"/>
  <c r="E12124" i="10"/>
  <c r="D12124" i="10"/>
  <c r="E12123" i="10"/>
  <c r="D12123" i="10"/>
  <c r="E12122" i="10"/>
  <c r="D12122" i="10"/>
  <c r="E12121" i="10"/>
  <c r="D12121" i="10"/>
  <c r="E12120" i="10"/>
  <c r="D12120" i="10"/>
  <c r="E12119" i="10"/>
  <c r="D12119" i="10"/>
  <c r="E12118" i="10"/>
  <c r="D12118" i="10"/>
  <c r="E12117" i="10"/>
  <c r="D12117" i="10"/>
  <c r="E12116" i="10"/>
  <c r="D12116" i="10"/>
  <c r="E12115" i="10"/>
  <c r="D12115" i="10"/>
  <c r="E12114" i="10"/>
  <c r="D12114" i="10"/>
  <c r="E12113" i="10"/>
  <c r="D12113" i="10"/>
  <c r="E12112" i="10"/>
  <c r="D12112" i="10"/>
  <c r="E12111" i="10"/>
  <c r="D12111" i="10"/>
  <c r="E12110" i="10"/>
  <c r="D12110" i="10"/>
  <c r="E12109" i="10"/>
  <c r="D12109" i="10"/>
  <c r="E12108" i="10"/>
  <c r="D12108" i="10"/>
  <c r="E12107" i="10"/>
  <c r="D12107" i="10"/>
  <c r="E12106" i="10"/>
  <c r="D12106" i="10"/>
  <c r="E12105" i="10"/>
  <c r="D12105" i="10"/>
  <c r="E12104" i="10"/>
  <c r="D12104" i="10"/>
  <c r="E12103" i="10"/>
  <c r="D12103" i="10"/>
  <c r="E12102" i="10"/>
  <c r="D12102" i="10"/>
  <c r="E12101" i="10"/>
  <c r="D12101" i="10"/>
  <c r="E12100" i="10"/>
  <c r="D12100" i="10"/>
  <c r="E12099" i="10"/>
  <c r="D12099" i="10"/>
  <c r="E12098" i="10"/>
  <c r="D12098" i="10"/>
  <c r="E12097" i="10"/>
  <c r="D12097" i="10"/>
  <c r="E12096" i="10"/>
  <c r="D12096" i="10"/>
  <c r="E12095" i="10"/>
  <c r="D12095" i="10"/>
  <c r="E12094" i="10"/>
  <c r="D12094" i="10"/>
  <c r="E12093" i="10"/>
  <c r="D12093" i="10"/>
  <c r="E12092" i="10"/>
  <c r="D12092" i="10"/>
  <c r="E12091" i="10"/>
  <c r="D12091" i="10"/>
  <c r="E12090" i="10"/>
  <c r="D12090" i="10"/>
  <c r="E12089" i="10"/>
  <c r="D12089" i="10"/>
  <c r="E12088" i="10"/>
  <c r="D12088" i="10"/>
  <c r="E12087" i="10"/>
  <c r="D12087" i="10"/>
  <c r="E12086" i="10"/>
  <c r="D12086" i="10"/>
  <c r="E12085" i="10"/>
  <c r="D12085" i="10"/>
  <c r="E12084" i="10"/>
  <c r="D12084" i="10"/>
  <c r="E12083" i="10"/>
  <c r="D12083" i="10"/>
  <c r="E12082" i="10"/>
  <c r="D12082" i="10"/>
  <c r="E12081" i="10"/>
  <c r="D12081" i="10"/>
  <c r="E12080" i="10"/>
  <c r="D12080" i="10"/>
  <c r="E12079" i="10"/>
  <c r="D12079" i="10"/>
  <c r="E12078" i="10"/>
  <c r="D12078" i="10"/>
  <c r="E12077" i="10"/>
  <c r="D12077" i="10"/>
  <c r="E12076" i="10"/>
  <c r="D12076" i="10"/>
  <c r="E12075" i="10"/>
  <c r="D12075" i="10"/>
  <c r="E12074" i="10"/>
  <c r="D12074" i="10"/>
  <c r="E12073" i="10"/>
  <c r="D12073" i="10"/>
  <c r="E12072" i="10"/>
  <c r="D12072" i="10"/>
  <c r="E12071" i="10"/>
  <c r="D12071" i="10"/>
  <c r="E12070" i="10"/>
  <c r="D12070" i="10"/>
  <c r="E12069" i="10"/>
  <c r="D12069" i="10"/>
  <c r="E12068" i="10"/>
  <c r="D12068" i="10"/>
  <c r="E12067" i="10"/>
  <c r="D12067" i="10"/>
  <c r="E12066" i="10"/>
  <c r="D12066" i="10"/>
  <c r="E12065" i="10"/>
  <c r="D12065" i="10"/>
  <c r="E12064" i="10"/>
  <c r="D12064" i="10"/>
  <c r="E12063" i="10"/>
  <c r="D12063" i="10"/>
  <c r="E12062" i="10"/>
  <c r="D12062" i="10"/>
  <c r="E12061" i="10"/>
  <c r="D12061" i="10"/>
  <c r="E12060" i="10"/>
  <c r="D12060" i="10"/>
  <c r="E12059" i="10"/>
  <c r="D12059" i="10"/>
  <c r="E12058" i="10"/>
  <c r="D12058" i="10"/>
  <c r="E12057" i="10"/>
  <c r="D12057" i="10"/>
  <c r="E12056" i="10"/>
  <c r="D12056" i="10"/>
  <c r="E12055" i="10"/>
  <c r="D12055" i="10"/>
  <c r="E12054" i="10"/>
  <c r="D12054" i="10"/>
  <c r="E12053" i="10"/>
  <c r="D12053" i="10"/>
  <c r="E12052" i="10"/>
  <c r="D12052" i="10"/>
  <c r="E12051" i="10"/>
  <c r="D12051" i="10"/>
  <c r="E12050" i="10"/>
  <c r="D12050" i="10"/>
  <c r="E12049" i="10"/>
  <c r="D12049" i="10"/>
  <c r="E12048" i="10"/>
  <c r="D12048" i="10"/>
  <c r="E12047" i="10"/>
  <c r="D12047" i="10"/>
  <c r="E12046" i="10"/>
  <c r="D12046" i="10"/>
  <c r="E12045" i="10"/>
  <c r="D12045" i="10"/>
  <c r="E12044" i="10"/>
  <c r="D12044" i="10"/>
  <c r="E12043" i="10"/>
  <c r="D12043" i="10"/>
  <c r="E12042" i="10"/>
  <c r="D12042" i="10"/>
  <c r="E12041" i="10"/>
  <c r="D12041" i="10"/>
  <c r="E12040" i="10"/>
  <c r="D12040" i="10"/>
  <c r="E12039" i="10"/>
  <c r="D12039" i="10"/>
  <c r="E12038" i="10"/>
  <c r="D12038" i="10"/>
  <c r="E12037" i="10"/>
  <c r="D12037" i="10"/>
  <c r="E12036" i="10"/>
  <c r="D12036" i="10"/>
  <c r="E12035" i="10"/>
  <c r="D12035" i="10"/>
  <c r="E12034" i="10"/>
  <c r="D12034" i="10"/>
  <c r="E12033" i="10"/>
  <c r="D12033" i="10"/>
  <c r="E12032" i="10"/>
  <c r="D12032" i="10"/>
  <c r="E12031" i="10"/>
  <c r="D12031" i="10"/>
  <c r="E12030" i="10"/>
  <c r="D12030" i="10"/>
  <c r="E12029" i="10"/>
  <c r="D12029" i="10"/>
  <c r="E12028" i="10"/>
  <c r="D12028" i="10"/>
  <c r="E12027" i="10"/>
  <c r="D12027" i="10"/>
  <c r="E12026" i="10"/>
  <c r="D12026" i="10"/>
  <c r="E12025" i="10"/>
  <c r="D12025" i="10"/>
  <c r="E12024" i="10"/>
  <c r="D12024" i="10"/>
  <c r="E12023" i="10"/>
  <c r="D12023" i="10"/>
  <c r="E12022" i="10"/>
  <c r="D12022" i="10"/>
  <c r="E12021" i="10"/>
  <c r="D12021" i="10"/>
  <c r="E12020" i="10"/>
  <c r="D12020" i="10"/>
  <c r="E12019" i="10"/>
  <c r="D12019" i="10"/>
  <c r="E12018" i="10"/>
  <c r="D12018" i="10"/>
  <c r="E12017" i="10"/>
  <c r="D12017" i="10"/>
  <c r="E12016" i="10"/>
  <c r="D12016" i="10"/>
  <c r="E12015" i="10"/>
  <c r="D12015" i="10"/>
  <c r="E12014" i="10"/>
  <c r="D12014" i="10"/>
  <c r="E12013" i="10"/>
  <c r="D12013" i="10"/>
  <c r="E12012" i="10"/>
  <c r="D12012" i="10"/>
  <c r="E12011" i="10"/>
  <c r="D12011" i="10"/>
  <c r="E12010" i="10"/>
  <c r="D12010" i="10"/>
  <c r="E12009" i="10"/>
  <c r="D12009" i="10"/>
  <c r="E12008" i="10"/>
  <c r="D12008" i="10"/>
  <c r="E12007" i="10"/>
  <c r="D12007" i="10"/>
  <c r="E12006" i="10"/>
  <c r="D12006" i="10"/>
  <c r="E12005" i="10"/>
  <c r="D12005" i="10"/>
  <c r="E12004" i="10"/>
  <c r="D12004" i="10"/>
  <c r="E12003" i="10"/>
  <c r="D12003" i="10"/>
  <c r="E12002" i="10"/>
  <c r="D12002" i="10"/>
  <c r="E12001" i="10"/>
  <c r="D12001" i="10"/>
  <c r="E12000" i="10"/>
  <c r="D12000" i="10"/>
  <c r="E11999" i="10"/>
  <c r="D11999" i="10"/>
  <c r="E11998" i="10"/>
  <c r="D11998" i="10"/>
  <c r="E11997" i="10"/>
  <c r="D11997" i="10"/>
  <c r="E11996" i="10"/>
  <c r="D11996" i="10"/>
  <c r="E11995" i="10"/>
  <c r="D11995" i="10"/>
  <c r="E11994" i="10"/>
  <c r="D11994" i="10"/>
  <c r="E11993" i="10"/>
  <c r="D11993" i="10"/>
  <c r="E11992" i="10"/>
  <c r="D11992" i="10"/>
  <c r="E11991" i="10"/>
  <c r="D11991" i="10"/>
  <c r="E11990" i="10"/>
  <c r="D11990" i="10"/>
  <c r="E11989" i="10"/>
  <c r="D11989" i="10"/>
  <c r="E11988" i="10"/>
  <c r="D11988" i="10"/>
  <c r="E11987" i="10"/>
  <c r="D11987" i="10"/>
  <c r="E11986" i="10"/>
  <c r="D11986" i="10"/>
  <c r="E11985" i="10"/>
  <c r="D11985" i="10"/>
  <c r="E11984" i="10"/>
  <c r="D11984" i="10"/>
  <c r="E11983" i="10"/>
  <c r="D11983" i="10"/>
  <c r="E11982" i="10"/>
  <c r="D11982" i="10"/>
  <c r="E11981" i="10"/>
  <c r="D11981" i="10"/>
  <c r="E11980" i="10"/>
  <c r="D11980" i="10"/>
  <c r="E11979" i="10"/>
  <c r="D11979" i="10"/>
  <c r="E11978" i="10"/>
  <c r="D11978" i="10"/>
  <c r="E11977" i="10"/>
  <c r="D11977" i="10"/>
  <c r="E11976" i="10"/>
  <c r="D11976" i="10"/>
  <c r="E11975" i="10"/>
  <c r="D11975" i="10"/>
  <c r="E11974" i="10"/>
  <c r="D11974" i="10"/>
  <c r="E11973" i="10"/>
  <c r="D11973" i="10"/>
  <c r="E11972" i="10"/>
  <c r="D11972" i="10"/>
  <c r="E11971" i="10"/>
  <c r="D11971" i="10"/>
  <c r="E11970" i="10"/>
  <c r="D11970" i="10"/>
  <c r="E11969" i="10"/>
  <c r="D11969" i="10"/>
  <c r="E11968" i="10"/>
  <c r="D11968" i="10"/>
  <c r="E11967" i="10"/>
  <c r="D11967" i="10"/>
  <c r="E11966" i="10"/>
  <c r="D11966" i="10"/>
  <c r="E11965" i="10"/>
  <c r="D11965" i="10"/>
  <c r="E11964" i="10"/>
  <c r="D11964" i="10"/>
  <c r="E11963" i="10"/>
  <c r="D11963" i="10"/>
  <c r="E11962" i="10"/>
  <c r="D11962" i="10"/>
  <c r="E11961" i="10"/>
  <c r="D11961" i="10"/>
  <c r="E11960" i="10"/>
  <c r="D11960" i="10"/>
  <c r="E11959" i="10"/>
  <c r="D11959" i="10"/>
  <c r="E11958" i="10"/>
  <c r="D11958" i="10"/>
  <c r="E11957" i="10"/>
  <c r="D11957" i="10"/>
  <c r="E11956" i="10"/>
  <c r="D11956" i="10"/>
  <c r="E11955" i="10"/>
  <c r="D11955" i="10"/>
  <c r="E11954" i="10"/>
  <c r="D11954" i="10"/>
  <c r="E11953" i="10"/>
  <c r="D11953" i="10"/>
  <c r="E11952" i="10"/>
  <c r="D11952" i="10"/>
  <c r="E11951" i="10"/>
  <c r="D11951" i="10"/>
  <c r="E11950" i="10"/>
  <c r="D11950" i="10"/>
  <c r="E11949" i="10"/>
  <c r="D11949" i="10"/>
  <c r="E11948" i="10"/>
  <c r="D11948" i="10"/>
  <c r="E11947" i="10"/>
  <c r="D11947" i="10"/>
  <c r="E11946" i="10"/>
  <c r="D11946" i="10"/>
  <c r="E11945" i="10"/>
  <c r="D11945" i="10"/>
  <c r="E11944" i="10"/>
  <c r="D11944" i="10"/>
  <c r="E11943" i="10"/>
  <c r="D11943" i="10"/>
  <c r="E11942" i="10"/>
  <c r="D11942" i="10"/>
  <c r="E11941" i="10"/>
  <c r="D11941" i="10"/>
  <c r="E11940" i="10"/>
  <c r="D11940" i="10"/>
  <c r="E11939" i="10"/>
  <c r="D11939" i="10"/>
  <c r="E11938" i="10"/>
  <c r="D11938" i="10"/>
  <c r="E11937" i="10"/>
  <c r="D11937" i="10"/>
  <c r="E11936" i="10"/>
  <c r="D11936" i="10"/>
  <c r="E11935" i="10"/>
  <c r="D11935" i="10"/>
  <c r="E11934" i="10"/>
  <c r="D11934" i="10"/>
  <c r="E11933" i="10"/>
  <c r="D11933" i="10"/>
  <c r="E11932" i="10"/>
  <c r="D11932" i="10"/>
  <c r="E11931" i="10"/>
  <c r="D11931" i="10"/>
  <c r="E11930" i="10"/>
  <c r="D11930" i="10"/>
  <c r="E11929" i="10"/>
  <c r="D11929" i="10"/>
  <c r="E11928" i="10"/>
  <c r="D11928" i="10"/>
  <c r="E11927" i="10"/>
  <c r="D11927" i="10"/>
  <c r="E11926" i="10"/>
  <c r="D11926" i="10"/>
  <c r="E11925" i="10"/>
  <c r="D11925" i="10"/>
  <c r="E11924" i="10"/>
  <c r="D11924" i="10"/>
  <c r="E11923" i="10"/>
  <c r="D11923" i="10"/>
  <c r="E11922" i="10"/>
  <c r="D11922" i="10"/>
  <c r="E11921" i="10"/>
  <c r="D11921" i="10"/>
  <c r="E11920" i="10"/>
  <c r="D11920" i="10"/>
  <c r="E11919" i="10"/>
  <c r="D11919" i="10"/>
  <c r="E11918" i="10"/>
  <c r="D11918" i="10"/>
  <c r="E11917" i="10"/>
  <c r="D11917" i="10"/>
  <c r="E11916" i="10"/>
  <c r="D11916" i="10"/>
  <c r="E11915" i="10"/>
  <c r="D11915" i="10"/>
  <c r="E11914" i="10"/>
  <c r="D11914" i="10"/>
  <c r="E11913" i="10"/>
  <c r="D11913" i="10"/>
  <c r="E11912" i="10"/>
  <c r="D11912" i="10"/>
  <c r="E11911" i="10"/>
  <c r="D11911" i="10"/>
  <c r="E11910" i="10"/>
  <c r="D11910" i="10"/>
  <c r="E11909" i="10"/>
  <c r="D11909" i="10"/>
  <c r="E11908" i="10"/>
  <c r="D11908" i="10"/>
  <c r="E11907" i="10"/>
  <c r="D11907" i="10"/>
  <c r="E11906" i="10"/>
  <c r="D11906" i="10"/>
  <c r="E11905" i="10"/>
  <c r="D11905" i="10"/>
  <c r="E11904" i="10"/>
  <c r="D11904" i="10"/>
  <c r="E11903" i="10"/>
  <c r="D11903" i="10"/>
  <c r="E11902" i="10"/>
  <c r="D11902" i="10"/>
  <c r="E11901" i="10"/>
  <c r="D11901" i="10"/>
  <c r="E11900" i="10"/>
  <c r="D11900" i="10"/>
  <c r="E11899" i="10"/>
  <c r="D11899" i="10"/>
  <c r="E11898" i="10"/>
  <c r="D11898" i="10"/>
  <c r="E11897" i="10"/>
  <c r="D11897" i="10"/>
  <c r="E11896" i="10"/>
  <c r="D11896" i="10"/>
  <c r="E11895" i="10"/>
  <c r="D11895" i="10"/>
  <c r="E11894" i="10"/>
  <c r="D11894" i="10"/>
  <c r="E11893" i="10"/>
  <c r="D11893" i="10"/>
  <c r="E11892" i="10"/>
  <c r="D11892" i="10"/>
  <c r="E11891" i="10"/>
  <c r="D11891" i="10"/>
  <c r="E11890" i="10"/>
  <c r="D11890" i="10"/>
  <c r="E11889" i="10"/>
  <c r="D11889" i="10"/>
  <c r="E11888" i="10"/>
  <c r="D11888" i="10"/>
  <c r="E11887" i="10"/>
  <c r="D11887" i="10"/>
  <c r="E11886" i="10"/>
  <c r="D11886" i="10"/>
  <c r="E11885" i="10"/>
  <c r="D11885" i="10"/>
  <c r="E11884" i="10"/>
  <c r="D11884" i="10"/>
  <c r="E11883" i="10"/>
  <c r="D11883" i="10"/>
  <c r="E11882" i="10"/>
  <c r="D11882" i="10"/>
  <c r="E11881" i="10"/>
  <c r="D11881" i="10"/>
  <c r="E11880" i="10"/>
  <c r="D11880" i="10"/>
  <c r="E11879" i="10"/>
  <c r="D11879" i="10"/>
  <c r="E11878" i="10"/>
  <c r="D11878" i="10"/>
  <c r="E11877" i="10"/>
  <c r="D11877" i="10"/>
  <c r="E11876" i="10"/>
  <c r="D11876" i="10"/>
  <c r="E11875" i="10"/>
  <c r="D11875" i="10"/>
  <c r="E11874" i="10"/>
  <c r="D11874" i="10"/>
  <c r="E11873" i="10"/>
  <c r="D11873" i="10"/>
  <c r="E11872" i="10"/>
  <c r="D11872" i="10"/>
  <c r="E11871" i="10"/>
  <c r="D11871" i="10"/>
  <c r="E11870" i="10"/>
  <c r="D11870" i="10"/>
  <c r="E11869" i="10"/>
  <c r="D11869" i="10"/>
  <c r="E11868" i="10"/>
  <c r="D11868" i="10"/>
  <c r="E11867" i="10"/>
  <c r="D11867" i="10"/>
  <c r="E11866" i="10"/>
  <c r="D11866" i="10"/>
  <c r="E11865" i="10"/>
  <c r="D11865" i="10"/>
  <c r="E11864" i="10"/>
  <c r="D11864" i="10"/>
  <c r="E11863" i="10"/>
  <c r="D11863" i="10"/>
  <c r="E11862" i="10"/>
  <c r="D11862" i="10"/>
  <c r="E11861" i="10"/>
  <c r="D11861" i="10"/>
  <c r="E11860" i="10"/>
  <c r="D11860" i="10"/>
  <c r="E11859" i="10"/>
  <c r="D11859" i="10"/>
  <c r="E11858" i="10"/>
  <c r="D11858" i="10"/>
  <c r="E11857" i="10"/>
  <c r="D11857" i="10"/>
  <c r="E11856" i="10"/>
  <c r="D11856" i="10"/>
  <c r="E11855" i="10"/>
  <c r="D11855" i="10"/>
  <c r="E11854" i="10"/>
  <c r="D11854" i="10"/>
  <c r="E11853" i="10"/>
  <c r="D11853" i="10"/>
  <c r="E11852" i="10"/>
  <c r="D11852" i="10"/>
  <c r="E11851" i="10"/>
  <c r="D11851" i="10"/>
  <c r="E11850" i="10"/>
  <c r="D11850" i="10"/>
  <c r="E11849" i="10"/>
  <c r="D11849" i="10"/>
  <c r="E11848" i="10"/>
  <c r="D11848" i="10"/>
  <c r="E11847" i="10"/>
  <c r="D11847" i="10"/>
  <c r="E11846" i="10"/>
  <c r="D11846" i="10"/>
  <c r="E11845" i="10"/>
  <c r="D11845" i="10"/>
  <c r="E11844" i="10"/>
  <c r="D11844" i="10"/>
  <c r="E11843" i="10"/>
  <c r="D11843" i="10"/>
  <c r="E11842" i="10"/>
  <c r="D11842" i="10"/>
  <c r="E11841" i="10"/>
  <c r="D11841" i="10"/>
  <c r="E11840" i="10"/>
  <c r="D11840" i="10"/>
  <c r="E11839" i="10"/>
  <c r="D11839" i="10"/>
  <c r="E11838" i="10"/>
  <c r="D11838" i="10"/>
  <c r="E11837" i="10"/>
  <c r="D11837" i="10"/>
  <c r="E11836" i="10"/>
  <c r="D11836" i="10"/>
  <c r="E11835" i="10"/>
  <c r="D11835" i="10"/>
  <c r="E11834" i="10"/>
  <c r="D11834" i="10"/>
  <c r="E11833" i="10"/>
  <c r="D11833" i="10"/>
  <c r="E11832" i="10"/>
  <c r="D11832" i="10"/>
  <c r="E11831" i="10"/>
  <c r="D11831" i="10"/>
  <c r="E11830" i="10"/>
  <c r="D11830" i="10"/>
  <c r="E11829" i="10"/>
  <c r="D11829" i="10"/>
  <c r="E11828" i="10"/>
  <c r="D11828" i="10"/>
  <c r="E11827" i="10"/>
  <c r="D11827" i="10"/>
  <c r="E11826" i="10"/>
  <c r="D11826" i="10"/>
  <c r="E11825" i="10"/>
  <c r="D11825" i="10"/>
  <c r="E11824" i="10"/>
  <c r="D11824" i="10"/>
  <c r="E11823" i="10"/>
  <c r="D11823" i="10"/>
  <c r="E11822" i="10"/>
  <c r="D11822" i="10"/>
  <c r="E11821" i="10"/>
  <c r="D11821" i="10"/>
  <c r="E11820" i="10"/>
  <c r="D11820" i="10"/>
  <c r="E11819" i="10"/>
  <c r="D11819" i="10"/>
  <c r="E11818" i="10"/>
  <c r="D11818" i="10"/>
  <c r="E11817" i="10"/>
  <c r="D11817" i="10"/>
  <c r="E11816" i="10"/>
  <c r="D11816" i="10"/>
  <c r="E11815" i="10"/>
  <c r="D11815" i="10"/>
  <c r="E11814" i="10"/>
  <c r="D11814" i="10"/>
  <c r="E11813" i="10"/>
  <c r="D11813" i="10"/>
  <c r="E11812" i="10"/>
  <c r="D11812" i="10"/>
  <c r="E11811" i="10"/>
  <c r="D11811" i="10"/>
  <c r="E11810" i="10"/>
  <c r="D11810" i="10"/>
  <c r="E11809" i="10"/>
  <c r="D11809" i="10"/>
  <c r="E11808" i="10"/>
  <c r="D11808" i="10"/>
  <c r="E11807" i="10"/>
  <c r="D11807" i="10"/>
  <c r="E11806" i="10"/>
  <c r="D11806" i="10"/>
  <c r="E11805" i="10"/>
  <c r="D11805" i="10"/>
  <c r="E11804" i="10"/>
  <c r="D11804" i="10"/>
  <c r="E11803" i="10"/>
  <c r="D11803" i="10"/>
  <c r="E11802" i="10"/>
  <c r="D11802" i="10"/>
  <c r="E11801" i="10"/>
  <c r="D11801" i="10"/>
  <c r="E11800" i="10"/>
  <c r="D11800" i="10"/>
  <c r="E11799" i="10"/>
  <c r="D11799" i="10"/>
  <c r="E11798" i="10"/>
  <c r="D11798" i="10"/>
  <c r="E11797" i="10"/>
  <c r="D11797" i="10"/>
  <c r="E11796" i="10"/>
  <c r="D11796" i="10"/>
  <c r="E11795" i="10"/>
  <c r="D11795" i="10"/>
  <c r="E11794" i="10"/>
  <c r="D11794" i="10"/>
  <c r="E11793" i="10"/>
  <c r="D11793" i="10"/>
  <c r="E11792" i="10"/>
  <c r="D11792" i="10"/>
  <c r="E11791" i="10"/>
  <c r="D11791" i="10"/>
  <c r="E11790" i="10"/>
  <c r="D11790" i="10"/>
  <c r="E11789" i="10"/>
  <c r="D11789" i="10"/>
  <c r="E11788" i="10"/>
  <c r="D11788" i="10"/>
  <c r="E11787" i="10"/>
  <c r="D11787" i="10"/>
  <c r="E11786" i="10"/>
  <c r="D11786" i="10"/>
  <c r="E11785" i="10"/>
  <c r="D11785" i="10"/>
  <c r="E11784" i="10"/>
  <c r="D11784" i="10"/>
  <c r="E11783" i="10"/>
  <c r="D11783" i="10"/>
  <c r="E11782" i="10"/>
  <c r="D11782" i="10"/>
  <c r="E11781" i="10"/>
  <c r="D11781" i="10"/>
  <c r="E11780" i="10"/>
  <c r="D11780" i="10"/>
  <c r="E11779" i="10"/>
  <c r="D11779" i="10"/>
  <c r="E11778" i="10"/>
  <c r="D11778" i="10"/>
  <c r="E11777" i="10"/>
  <c r="D11777" i="10"/>
  <c r="E11776" i="10"/>
  <c r="D11776" i="10"/>
  <c r="E11775" i="10"/>
  <c r="D11775" i="10"/>
  <c r="E11774" i="10"/>
  <c r="D11774" i="10"/>
  <c r="E11773" i="10"/>
  <c r="D11773" i="10"/>
  <c r="E11772" i="10"/>
  <c r="D11772" i="10"/>
  <c r="E11771" i="10"/>
  <c r="D11771" i="10"/>
  <c r="E11770" i="10"/>
  <c r="D11770" i="10"/>
  <c r="E11769" i="10"/>
  <c r="D11769" i="10"/>
  <c r="E11768" i="10"/>
  <c r="D11768" i="10"/>
  <c r="E11767" i="10"/>
  <c r="D11767" i="10"/>
  <c r="E11766" i="10"/>
  <c r="D11766" i="10"/>
  <c r="E11765" i="10"/>
  <c r="D11765" i="10"/>
  <c r="E11764" i="10"/>
  <c r="D11764" i="10"/>
  <c r="E11763" i="10"/>
  <c r="D11763" i="10"/>
  <c r="E11762" i="10"/>
  <c r="D11762" i="10"/>
  <c r="E11761" i="10"/>
  <c r="D11761" i="10"/>
  <c r="E11760" i="10"/>
  <c r="D11760" i="10"/>
  <c r="E11759" i="10"/>
  <c r="D11759" i="10"/>
  <c r="E11758" i="10"/>
  <c r="D11758" i="10"/>
  <c r="E11757" i="10"/>
  <c r="D11757" i="10"/>
  <c r="E11756" i="10"/>
  <c r="D11756" i="10"/>
  <c r="E11755" i="10"/>
  <c r="D11755" i="10"/>
  <c r="E11754" i="10"/>
  <c r="D11754" i="10"/>
  <c r="E11753" i="10"/>
  <c r="D11753" i="10"/>
  <c r="E11752" i="10"/>
  <c r="D11752" i="10"/>
  <c r="E11751" i="10"/>
  <c r="D11751" i="10"/>
  <c r="E11750" i="10"/>
  <c r="D11750" i="10"/>
  <c r="E11749" i="10"/>
  <c r="D11749" i="10"/>
  <c r="E11748" i="10"/>
  <c r="D11748" i="10"/>
  <c r="E11747" i="10"/>
  <c r="D11747" i="10"/>
  <c r="E11746" i="10"/>
  <c r="D11746" i="10"/>
  <c r="E11745" i="10"/>
  <c r="D11745" i="10"/>
  <c r="E11744" i="10"/>
  <c r="D11744" i="10"/>
  <c r="E11743" i="10"/>
  <c r="D11743" i="10"/>
  <c r="E11742" i="10"/>
  <c r="D11742" i="10"/>
  <c r="E11741" i="10"/>
  <c r="D11741" i="10"/>
  <c r="E11740" i="10"/>
  <c r="D11740" i="10"/>
  <c r="E11739" i="10"/>
  <c r="D11739" i="10"/>
  <c r="E11738" i="10"/>
  <c r="D11738" i="10"/>
  <c r="E11737" i="10"/>
  <c r="D11737" i="10"/>
  <c r="E11736" i="10"/>
  <c r="D11736" i="10"/>
  <c r="E11735" i="10"/>
  <c r="D11735" i="10"/>
  <c r="E11734" i="10"/>
  <c r="D11734" i="10"/>
  <c r="E11733" i="10"/>
  <c r="D11733" i="10"/>
  <c r="E11732" i="10"/>
  <c r="D11732" i="10"/>
  <c r="E11731" i="10"/>
  <c r="D11731" i="10"/>
  <c r="E11730" i="10"/>
  <c r="D11730" i="10"/>
  <c r="E11729" i="10"/>
  <c r="D11729" i="10"/>
  <c r="E11728" i="10"/>
  <c r="D11728" i="10"/>
  <c r="E11727" i="10"/>
  <c r="D11727" i="10"/>
  <c r="E11726" i="10"/>
  <c r="D11726" i="10"/>
  <c r="E11725" i="10"/>
  <c r="D11725" i="10"/>
  <c r="E11724" i="10"/>
  <c r="D11724" i="10"/>
  <c r="E11723" i="10"/>
  <c r="D11723" i="10"/>
  <c r="E11722" i="10"/>
  <c r="D11722" i="10"/>
  <c r="E11721" i="10"/>
  <c r="D11721" i="10"/>
  <c r="E11720" i="10"/>
  <c r="D11720" i="10"/>
  <c r="E11719" i="10"/>
  <c r="D11719" i="10"/>
  <c r="E11718" i="10"/>
  <c r="D11718" i="10"/>
  <c r="E11717" i="10"/>
  <c r="D11717" i="10"/>
  <c r="E11716" i="10"/>
  <c r="D11716" i="10"/>
  <c r="E11715" i="10"/>
  <c r="D11715" i="10"/>
  <c r="E11714" i="10"/>
  <c r="D11714" i="10"/>
  <c r="E11713" i="10"/>
  <c r="D11713" i="10"/>
  <c r="E11712" i="10"/>
  <c r="D11712" i="10"/>
  <c r="E11711" i="10"/>
  <c r="D11711" i="10"/>
  <c r="E11710" i="10"/>
  <c r="D11710" i="10"/>
  <c r="E11709" i="10"/>
  <c r="D11709" i="10"/>
  <c r="E11708" i="10"/>
  <c r="D11708" i="10"/>
  <c r="E11707" i="10"/>
  <c r="D11707" i="10"/>
  <c r="E11706" i="10"/>
  <c r="D11706" i="10"/>
  <c r="E11705" i="10"/>
  <c r="D11705" i="10"/>
  <c r="E11704" i="10"/>
  <c r="D11704" i="10"/>
  <c r="E11703" i="10"/>
  <c r="D11703" i="10"/>
  <c r="E11702" i="10"/>
  <c r="D11702" i="10"/>
  <c r="E11701" i="10"/>
  <c r="D11701" i="10"/>
  <c r="E11700" i="10"/>
  <c r="D11700" i="10"/>
  <c r="E11699" i="10"/>
  <c r="D11699" i="10"/>
  <c r="E11698" i="10"/>
  <c r="D11698" i="10"/>
  <c r="E11697" i="10"/>
  <c r="D11697" i="10"/>
  <c r="E11696" i="10"/>
  <c r="D11696" i="10"/>
  <c r="E11695" i="10"/>
  <c r="D11695" i="10"/>
  <c r="E11694" i="10"/>
  <c r="D11694" i="10"/>
  <c r="E11693" i="10"/>
  <c r="D11693" i="10"/>
  <c r="E11692" i="10"/>
  <c r="D11692" i="10"/>
  <c r="E11691" i="10"/>
  <c r="D11691" i="10"/>
  <c r="E11690" i="10"/>
  <c r="D11690" i="10"/>
  <c r="E11689" i="10"/>
  <c r="D11689" i="10"/>
  <c r="E11688" i="10"/>
  <c r="D11688" i="10"/>
  <c r="E11687" i="10"/>
  <c r="D11687" i="10"/>
  <c r="E11686" i="10"/>
  <c r="D11686" i="10"/>
  <c r="E11685" i="10"/>
  <c r="D11685" i="10"/>
  <c r="E11684" i="10"/>
  <c r="D11684" i="10"/>
  <c r="E11683" i="10"/>
  <c r="D11683" i="10"/>
  <c r="E11682" i="10"/>
  <c r="D11682" i="10"/>
  <c r="E11681" i="10"/>
  <c r="D11681" i="10"/>
  <c r="E11680" i="10"/>
  <c r="D11680" i="10"/>
  <c r="E11679" i="10"/>
  <c r="D11679" i="10"/>
  <c r="E11678" i="10"/>
  <c r="D11678" i="10"/>
  <c r="E11677" i="10"/>
  <c r="D11677" i="10"/>
  <c r="E11676" i="10"/>
  <c r="D11676" i="10"/>
  <c r="E11675" i="10"/>
  <c r="D11675" i="10"/>
  <c r="E11674" i="10"/>
  <c r="D11674" i="10"/>
  <c r="E11673" i="10"/>
  <c r="D11673" i="10"/>
  <c r="E11672" i="10"/>
  <c r="D11672" i="10"/>
  <c r="E11671" i="10"/>
  <c r="D11671" i="10"/>
  <c r="E11670" i="10"/>
  <c r="D11670" i="10"/>
  <c r="E11669" i="10"/>
  <c r="D11669" i="10"/>
  <c r="E11668" i="10"/>
  <c r="D11668" i="10"/>
  <c r="E11667" i="10"/>
  <c r="D11667" i="10"/>
  <c r="E11666" i="10"/>
  <c r="D11666" i="10"/>
  <c r="E11665" i="10"/>
  <c r="D11665" i="10"/>
  <c r="E11664" i="10"/>
  <c r="D11664" i="10"/>
  <c r="E11663" i="10"/>
  <c r="D11663" i="10"/>
  <c r="E11662" i="10"/>
  <c r="D11662" i="10"/>
  <c r="E11661" i="10"/>
  <c r="D11661" i="10"/>
  <c r="E11660" i="10"/>
  <c r="D11660" i="10"/>
  <c r="E11659" i="10"/>
  <c r="D11659" i="10"/>
  <c r="E11658" i="10"/>
  <c r="D11658" i="10"/>
  <c r="E11657" i="10"/>
  <c r="D11657" i="10"/>
  <c r="E11656" i="10"/>
  <c r="D11656" i="10"/>
  <c r="E11655" i="10"/>
  <c r="D11655" i="10"/>
  <c r="E11654" i="10"/>
  <c r="D11654" i="10"/>
  <c r="E11653" i="10"/>
  <c r="D11653" i="10"/>
  <c r="E11652" i="10"/>
  <c r="D11652" i="10"/>
  <c r="E11651" i="10"/>
  <c r="D11651" i="10"/>
  <c r="E11650" i="10"/>
  <c r="D11650" i="10"/>
  <c r="E11649" i="10"/>
  <c r="D11649" i="10"/>
  <c r="E11648" i="10"/>
  <c r="D11648" i="10"/>
  <c r="E11647" i="10"/>
  <c r="D11647" i="10"/>
  <c r="E11646" i="10"/>
  <c r="D11646" i="10"/>
  <c r="E11645" i="10"/>
  <c r="D11645" i="10"/>
  <c r="E11644" i="10"/>
  <c r="D11644" i="10"/>
  <c r="E11643" i="10"/>
  <c r="D11643" i="10"/>
  <c r="E11642" i="10"/>
  <c r="D11642" i="10"/>
  <c r="E11641" i="10"/>
  <c r="D11641" i="10"/>
  <c r="E11640" i="10"/>
  <c r="D11640" i="10"/>
  <c r="E11639" i="10"/>
  <c r="D11639" i="10"/>
  <c r="E11638" i="10"/>
  <c r="D11638" i="10"/>
  <c r="E11637" i="10"/>
  <c r="D11637" i="10"/>
  <c r="E11636" i="10"/>
  <c r="D11636" i="10"/>
  <c r="E11635" i="10"/>
  <c r="D11635" i="10"/>
  <c r="E11634" i="10"/>
  <c r="D11634" i="10"/>
  <c r="E11633" i="10"/>
  <c r="D11633" i="10"/>
  <c r="E11632" i="10"/>
  <c r="D11632" i="10"/>
  <c r="E11631" i="10"/>
  <c r="D11631" i="10"/>
  <c r="E11630" i="10"/>
  <c r="D11630" i="10"/>
  <c r="E11629" i="10"/>
  <c r="D11629" i="10"/>
  <c r="E11628" i="10"/>
  <c r="D11628" i="10"/>
  <c r="E11627" i="10"/>
  <c r="D11627" i="10"/>
  <c r="E11626" i="10"/>
  <c r="D11626" i="10"/>
  <c r="E11625" i="10"/>
  <c r="D11625" i="10"/>
  <c r="E11624" i="10"/>
  <c r="D11624" i="10"/>
  <c r="E11623" i="10"/>
  <c r="D11623" i="10"/>
  <c r="E11622" i="10"/>
  <c r="D11622" i="10"/>
  <c r="E11621" i="10"/>
  <c r="D11621" i="10"/>
  <c r="E11620" i="10"/>
  <c r="D11620" i="10"/>
  <c r="E11619" i="10"/>
  <c r="D11619" i="10"/>
  <c r="E11618" i="10"/>
  <c r="D11618" i="10"/>
  <c r="E11617" i="10"/>
  <c r="D11617" i="10"/>
  <c r="E11616" i="10"/>
  <c r="D11616" i="10"/>
  <c r="E11615" i="10"/>
  <c r="D11615" i="10"/>
  <c r="E11614" i="10"/>
  <c r="D11614" i="10"/>
  <c r="E11613" i="10"/>
  <c r="D11613" i="10"/>
  <c r="E11612" i="10"/>
  <c r="D11612" i="10"/>
  <c r="E11611" i="10"/>
  <c r="D11611" i="10"/>
  <c r="E11610" i="10"/>
  <c r="D11610" i="10"/>
  <c r="E11609" i="10"/>
  <c r="D11609" i="10"/>
  <c r="E11608" i="10"/>
  <c r="D11608" i="10"/>
  <c r="E11607" i="10"/>
  <c r="D11607" i="10"/>
  <c r="E11606" i="10"/>
  <c r="D11606" i="10"/>
  <c r="E11605" i="10"/>
  <c r="D11605" i="10"/>
  <c r="E11604" i="10"/>
  <c r="D11604" i="10"/>
  <c r="E11603" i="10"/>
  <c r="D11603" i="10"/>
  <c r="E11602" i="10"/>
  <c r="D11602" i="10"/>
  <c r="E11601" i="10"/>
  <c r="D11601" i="10"/>
  <c r="E11600" i="10"/>
  <c r="D11600" i="10"/>
  <c r="E11599" i="10"/>
  <c r="D11599" i="10"/>
  <c r="E11598" i="10"/>
  <c r="D11598" i="10"/>
  <c r="E11597" i="10"/>
  <c r="D11597" i="10"/>
  <c r="E11596" i="10"/>
  <c r="D11596" i="10"/>
  <c r="E11595" i="10"/>
  <c r="D11595" i="10"/>
  <c r="E11594" i="10"/>
  <c r="D11594" i="10"/>
  <c r="E11593" i="10"/>
  <c r="D11593" i="10"/>
  <c r="E11592" i="10"/>
  <c r="D11592" i="10"/>
  <c r="E11591" i="10"/>
  <c r="D11591" i="10"/>
  <c r="E11590" i="10"/>
  <c r="D11590" i="10"/>
  <c r="E11589" i="10"/>
  <c r="D11589" i="10"/>
  <c r="E11588" i="10"/>
  <c r="D11588" i="10"/>
  <c r="E11587" i="10"/>
  <c r="D11587" i="10"/>
  <c r="E11586" i="10"/>
  <c r="D11586" i="10"/>
  <c r="E11585" i="10"/>
  <c r="D11585" i="10"/>
  <c r="E11584" i="10"/>
  <c r="D11584" i="10"/>
  <c r="E11583" i="10"/>
  <c r="D11583" i="10"/>
  <c r="E11582" i="10"/>
  <c r="D11582" i="10"/>
  <c r="E11581" i="10"/>
  <c r="D11581" i="10"/>
  <c r="E11580" i="10"/>
  <c r="D11580" i="10"/>
  <c r="E11579" i="10"/>
  <c r="D11579" i="10"/>
  <c r="E11578" i="10"/>
  <c r="D11578" i="10"/>
  <c r="E11577" i="10"/>
  <c r="D11577" i="10"/>
  <c r="E11576" i="10"/>
  <c r="D11576" i="10"/>
  <c r="E11575" i="10"/>
  <c r="D11575" i="10"/>
  <c r="E11574" i="10"/>
  <c r="D11574" i="10"/>
  <c r="E11573" i="10"/>
  <c r="D11573" i="10"/>
  <c r="E11572" i="10"/>
  <c r="D11572" i="10"/>
  <c r="E11571" i="10"/>
  <c r="D11571" i="10"/>
  <c r="E11570" i="10"/>
  <c r="D11570" i="10"/>
  <c r="E11569" i="10"/>
  <c r="D11569" i="10"/>
  <c r="E11568" i="10"/>
  <c r="D11568" i="10"/>
  <c r="E11567" i="10"/>
  <c r="D11567" i="10"/>
  <c r="E11566" i="10"/>
  <c r="D11566" i="10"/>
  <c r="E11565" i="10"/>
  <c r="D11565" i="10"/>
  <c r="E11564" i="10"/>
  <c r="D11564" i="10"/>
  <c r="E11563" i="10"/>
  <c r="D11563" i="10"/>
  <c r="E11562" i="10"/>
  <c r="D11562" i="10"/>
  <c r="E11561" i="10"/>
  <c r="D11561" i="10"/>
  <c r="E11560" i="10"/>
  <c r="D11560" i="10"/>
  <c r="E11559" i="10"/>
  <c r="D11559" i="10"/>
  <c r="E11558" i="10"/>
  <c r="D11558" i="10"/>
  <c r="E11557" i="10"/>
  <c r="D11557" i="10"/>
  <c r="E11556" i="10"/>
  <c r="D11556" i="10"/>
  <c r="E11555" i="10"/>
  <c r="D11555" i="10"/>
  <c r="E11554" i="10"/>
  <c r="D11554" i="10"/>
  <c r="E11553" i="10"/>
  <c r="D11553" i="10"/>
  <c r="E11552" i="10"/>
  <c r="D11552" i="10"/>
  <c r="E11551" i="10"/>
  <c r="D11551" i="10"/>
  <c r="E11550" i="10"/>
  <c r="D11550" i="10"/>
  <c r="E11549" i="10"/>
  <c r="D11549" i="10"/>
  <c r="E11548" i="10"/>
  <c r="D11548" i="10"/>
  <c r="E11547" i="10"/>
  <c r="D11547" i="10"/>
  <c r="E11546" i="10"/>
  <c r="D11546" i="10"/>
  <c r="E11545" i="10"/>
  <c r="D11545" i="10"/>
  <c r="E11544" i="10"/>
  <c r="D11544" i="10"/>
  <c r="E11543" i="10"/>
  <c r="D11543" i="10"/>
  <c r="E11542" i="10"/>
  <c r="D11542" i="10"/>
  <c r="E11541" i="10"/>
  <c r="D11541" i="10"/>
  <c r="E11540" i="10"/>
  <c r="D11540" i="10"/>
  <c r="E11539" i="10"/>
  <c r="D11539" i="10"/>
  <c r="E11538" i="10"/>
  <c r="D11538" i="10"/>
  <c r="E11537" i="10"/>
  <c r="D11537" i="10"/>
  <c r="E11536" i="10"/>
  <c r="D11536" i="10"/>
  <c r="E11535" i="10"/>
  <c r="D11535" i="10"/>
  <c r="E11534" i="10"/>
  <c r="D11534" i="10"/>
  <c r="E11533" i="10"/>
  <c r="D11533" i="10"/>
  <c r="E11532" i="10"/>
  <c r="D11532" i="10"/>
  <c r="E11531" i="10"/>
  <c r="D11531" i="10"/>
  <c r="E11530" i="10"/>
  <c r="D11530" i="10"/>
  <c r="E11529" i="10"/>
  <c r="D11529" i="10"/>
  <c r="E11528" i="10"/>
  <c r="D11528" i="10"/>
  <c r="E11527" i="10"/>
  <c r="D11527" i="10"/>
  <c r="E11526" i="10"/>
  <c r="D11526" i="10"/>
  <c r="E11525" i="10"/>
  <c r="D11525" i="10"/>
  <c r="E11524" i="10"/>
  <c r="D11524" i="10"/>
  <c r="E11523" i="10"/>
  <c r="D11523" i="10"/>
  <c r="E11522" i="10"/>
  <c r="D11522" i="10"/>
  <c r="E11521" i="10"/>
  <c r="D11521" i="10"/>
  <c r="E11520" i="10"/>
  <c r="D11520" i="10"/>
  <c r="E11519" i="10"/>
  <c r="D11519" i="10"/>
  <c r="E11518" i="10"/>
  <c r="D11518" i="10"/>
  <c r="E11517" i="10"/>
  <c r="D11517" i="10"/>
  <c r="E11516" i="10"/>
  <c r="D11516" i="10"/>
  <c r="E11515" i="10"/>
  <c r="D11515" i="10"/>
  <c r="E11514" i="10"/>
  <c r="D11514" i="10"/>
  <c r="E11513" i="10"/>
  <c r="D11513" i="10"/>
  <c r="E11512" i="10"/>
  <c r="D11512" i="10"/>
  <c r="E11511" i="10"/>
  <c r="D11511" i="10"/>
  <c r="E11510" i="10"/>
  <c r="D11510" i="10"/>
  <c r="E11509" i="10"/>
  <c r="D11509" i="10"/>
  <c r="E11508" i="10"/>
  <c r="D11508" i="10"/>
  <c r="E11507" i="10"/>
  <c r="D11507" i="10"/>
  <c r="E11506" i="10"/>
  <c r="D11506" i="10"/>
  <c r="E11505" i="10"/>
  <c r="D11505" i="10"/>
  <c r="E11504" i="10"/>
  <c r="D11504" i="10"/>
  <c r="E11503" i="10"/>
  <c r="D11503" i="10"/>
  <c r="E11502" i="10"/>
  <c r="D11502" i="10"/>
  <c r="E11501" i="10"/>
  <c r="D11501" i="10"/>
  <c r="E11500" i="10"/>
  <c r="D11500" i="10"/>
  <c r="E11499" i="10"/>
  <c r="D11499" i="10"/>
  <c r="E11498" i="10"/>
  <c r="D11498" i="10"/>
  <c r="E11497" i="10"/>
  <c r="D11497" i="10"/>
  <c r="E11496" i="10"/>
  <c r="D11496" i="10"/>
  <c r="E11495" i="10"/>
  <c r="D11495" i="10"/>
  <c r="E11494" i="10"/>
  <c r="D11494" i="10"/>
  <c r="E11493" i="10"/>
  <c r="D11493" i="10"/>
  <c r="E11492" i="10"/>
  <c r="D11492" i="10"/>
  <c r="E11491" i="10"/>
  <c r="D11491" i="10"/>
  <c r="E11490" i="10"/>
  <c r="D11490" i="10"/>
  <c r="E11489" i="10"/>
  <c r="D11489" i="10"/>
  <c r="E11488" i="10"/>
  <c r="D11488" i="10"/>
  <c r="E11487" i="10"/>
  <c r="D11487" i="10"/>
  <c r="E11486" i="10"/>
  <c r="D11486" i="10"/>
  <c r="E11485" i="10"/>
  <c r="D11485" i="10"/>
  <c r="E11484" i="10"/>
  <c r="D11484" i="10"/>
  <c r="E11483" i="10"/>
  <c r="D11483" i="10"/>
  <c r="E11482" i="10"/>
  <c r="D11482" i="10"/>
  <c r="E11481" i="10"/>
  <c r="D11481" i="10"/>
  <c r="E11480" i="10"/>
  <c r="D11480" i="10"/>
  <c r="E11479" i="10"/>
  <c r="D11479" i="10"/>
  <c r="E11478" i="10"/>
  <c r="D11478" i="10"/>
  <c r="E11477" i="10"/>
  <c r="D11477" i="10"/>
  <c r="E11476" i="10"/>
  <c r="D11476" i="10"/>
  <c r="E11475" i="10"/>
  <c r="D11475" i="10"/>
  <c r="E11474" i="10"/>
  <c r="D11474" i="10"/>
  <c r="E11473" i="10"/>
  <c r="D11473" i="10"/>
  <c r="E11472" i="10"/>
  <c r="D11472" i="10"/>
  <c r="E11471" i="10"/>
  <c r="D11471" i="10"/>
  <c r="E11470" i="10"/>
  <c r="D11470" i="10"/>
  <c r="E11469" i="10"/>
  <c r="D11469" i="10"/>
  <c r="E11468" i="10"/>
  <c r="D11468" i="10"/>
  <c r="E11467" i="10"/>
  <c r="D11467" i="10"/>
  <c r="E11466" i="10"/>
  <c r="D11466" i="10"/>
  <c r="E11465" i="10"/>
  <c r="D11465" i="10"/>
  <c r="E11464" i="10"/>
  <c r="D11464" i="10"/>
  <c r="E11463" i="10"/>
  <c r="D11463" i="10"/>
  <c r="E11462" i="10"/>
  <c r="D11462" i="10"/>
  <c r="E11461" i="10"/>
  <c r="D11461" i="10"/>
  <c r="E11460" i="10"/>
  <c r="D11460" i="10"/>
  <c r="E11459" i="10"/>
  <c r="D11459" i="10"/>
  <c r="E11458" i="10"/>
  <c r="D11458" i="10"/>
  <c r="E11457" i="10"/>
  <c r="D11457" i="10"/>
  <c r="E11456" i="10"/>
  <c r="D11456" i="10"/>
  <c r="E11455" i="10"/>
  <c r="D11455" i="10"/>
  <c r="E11454" i="10"/>
  <c r="D11454" i="10"/>
  <c r="E11453" i="10"/>
  <c r="D11453" i="10"/>
  <c r="E11452" i="10"/>
  <c r="D11452" i="10"/>
  <c r="E11451" i="10"/>
  <c r="D11451" i="10"/>
  <c r="E11450" i="10"/>
  <c r="D11450" i="10"/>
  <c r="E11449" i="10"/>
  <c r="D11449" i="10"/>
  <c r="E11448" i="10"/>
  <c r="D11448" i="10"/>
  <c r="E11447" i="10"/>
  <c r="D11447" i="10"/>
  <c r="E11446" i="10"/>
  <c r="D11446" i="10"/>
  <c r="E11445" i="10"/>
  <c r="D11445" i="10"/>
  <c r="E11444" i="10"/>
  <c r="D11444" i="10"/>
  <c r="E11443" i="10"/>
  <c r="D11443" i="10"/>
  <c r="E11442" i="10"/>
  <c r="D11442" i="10"/>
  <c r="E11441" i="10"/>
  <c r="D11441" i="10"/>
  <c r="E11440" i="10"/>
  <c r="D11440" i="10"/>
  <c r="E11439" i="10"/>
  <c r="D11439" i="10"/>
  <c r="E11438" i="10"/>
  <c r="D11438" i="10"/>
  <c r="E11437" i="10"/>
  <c r="D11437" i="10"/>
  <c r="E11436" i="10"/>
  <c r="D11436" i="10"/>
  <c r="E11435" i="10"/>
  <c r="D11435" i="10"/>
  <c r="E11434" i="10"/>
  <c r="D11434" i="10"/>
  <c r="E11433" i="10"/>
  <c r="D11433" i="10"/>
  <c r="E11432" i="10"/>
  <c r="D11432" i="10"/>
  <c r="E11431" i="10"/>
  <c r="D11431" i="10"/>
  <c r="E11430" i="10"/>
  <c r="D11430" i="10"/>
  <c r="E11429" i="10"/>
  <c r="D11429" i="10"/>
  <c r="E11428" i="10"/>
  <c r="D11428" i="10"/>
  <c r="E11427" i="10"/>
  <c r="D11427" i="10"/>
  <c r="E11426" i="10"/>
  <c r="D11426" i="10"/>
  <c r="E11425" i="10"/>
  <c r="D11425" i="10"/>
  <c r="E11424" i="10"/>
  <c r="D11424" i="10"/>
  <c r="E11423" i="10"/>
  <c r="D11423" i="10"/>
  <c r="E11422" i="10"/>
  <c r="D11422" i="10"/>
  <c r="E11421" i="10"/>
  <c r="D11421" i="10"/>
  <c r="E11420" i="10"/>
  <c r="D11420" i="10"/>
  <c r="E11419" i="10"/>
  <c r="D11419" i="10"/>
  <c r="E11418" i="10"/>
  <c r="D11418" i="10"/>
  <c r="E11417" i="10"/>
  <c r="D11417" i="10"/>
  <c r="E11416" i="10"/>
  <c r="D11416" i="10"/>
  <c r="E11415" i="10"/>
  <c r="D11415" i="10"/>
  <c r="E11414" i="10"/>
  <c r="D11414" i="10"/>
  <c r="E11413" i="10"/>
  <c r="D11413" i="10"/>
  <c r="E11412" i="10"/>
  <c r="D11412" i="10"/>
  <c r="E11411" i="10"/>
  <c r="D11411" i="10"/>
  <c r="E11410" i="10"/>
  <c r="D11410" i="10"/>
  <c r="E11409" i="10"/>
  <c r="D11409" i="10"/>
  <c r="E11408" i="10"/>
  <c r="D11408" i="10"/>
  <c r="E11407" i="10"/>
  <c r="D11407" i="10"/>
  <c r="E11406" i="10"/>
  <c r="D11406" i="10"/>
  <c r="E11405" i="10"/>
  <c r="D11405" i="10"/>
  <c r="E11404" i="10"/>
  <c r="D11404" i="10"/>
  <c r="E11403" i="10"/>
  <c r="D11403" i="10"/>
  <c r="E11402" i="10"/>
  <c r="D11402" i="10"/>
  <c r="E11401" i="10"/>
  <c r="D11401" i="10"/>
  <c r="E11400" i="10"/>
  <c r="D11400" i="10"/>
  <c r="E11399" i="10"/>
  <c r="D11399" i="10"/>
  <c r="E11398" i="10"/>
  <c r="D11398" i="10"/>
  <c r="E11397" i="10"/>
  <c r="D11397" i="10"/>
  <c r="E11396" i="10"/>
  <c r="D11396" i="10"/>
  <c r="E11395" i="10"/>
  <c r="D11395" i="10"/>
  <c r="E11394" i="10"/>
  <c r="D11394" i="10"/>
  <c r="E11393" i="10"/>
  <c r="D11393" i="10"/>
  <c r="E11392" i="10"/>
  <c r="D11392" i="10"/>
  <c r="E11391" i="10"/>
  <c r="D11391" i="10"/>
  <c r="E11390" i="10"/>
  <c r="D11390" i="10"/>
  <c r="E11389" i="10"/>
  <c r="D11389" i="10"/>
  <c r="E11388" i="10"/>
  <c r="D11388" i="10"/>
  <c r="E11387" i="10"/>
  <c r="D11387" i="10"/>
  <c r="E11386" i="10"/>
  <c r="D11386" i="10"/>
  <c r="E11385" i="10"/>
  <c r="D11385" i="10"/>
  <c r="E11384" i="10"/>
  <c r="D11384" i="10"/>
  <c r="E11383" i="10"/>
  <c r="D11383" i="10"/>
  <c r="E11382" i="10"/>
  <c r="D11382" i="10"/>
  <c r="E11381" i="10"/>
  <c r="D11381" i="10"/>
  <c r="E11380" i="10"/>
  <c r="D11380" i="10"/>
  <c r="E11379" i="10"/>
  <c r="D11379" i="10"/>
  <c r="E11378" i="10"/>
  <c r="D11378" i="10"/>
  <c r="E11377" i="10"/>
  <c r="D11377" i="10"/>
  <c r="E11376" i="10"/>
  <c r="D11376" i="10"/>
  <c r="E11375" i="10"/>
  <c r="D11375" i="10"/>
  <c r="E11374" i="10"/>
  <c r="D11374" i="10"/>
  <c r="E11373" i="10"/>
  <c r="D11373" i="10"/>
  <c r="E11372" i="10"/>
  <c r="D11372" i="10"/>
  <c r="E11371" i="10"/>
  <c r="D11371" i="10"/>
  <c r="E11370" i="10"/>
  <c r="D11370" i="10"/>
  <c r="E11369" i="10"/>
  <c r="D11369" i="10"/>
  <c r="E11368" i="10"/>
  <c r="D11368" i="10"/>
  <c r="E11367" i="10"/>
  <c r="D11367" i="10"/>
  <c r="E11366" i="10"/>
  <c r="D11366" i="10"/>
  <c r="E11365" i="10"/>
  <c r="D11365" i="10"/>
  <c r="E11364" i="10"/>
  <c r="D11364" i="10"/>
  <c r="E11363" i="10"/>
  <c r="D11363" i="10"/>
  <c r="E11362" i="10"/>
  <c r="D11362" i="10"/>
  <c r="E11361" i="10"/>
  <c r="D11361" i="10"/>
  <c r="E11360" i="10"/>
  <c r="D11360" i="10"/>
  <c r="E11359" i="10"/>
  <c r="D11359" i="10"/>
  <c r="E11358" i="10"/>
  <c r="D11358" i="10"/>
  <c r="E11357" i="10"/>
  <c r="D11357" i="10"/>
  <c r="E11356" i="10"/>
  <c r="D11356" i="10"/>
  <c r="E11355" i="10"/>
  <c r="D11355" i="10"/>
  <c r="E11354" i="10"/>
  <c r="D11354" i="10"/>
  <c r="E11353" i="10"/>
  <c r="D11353" i="10"/>
  <c r="E11352" i="10"/>
  <c r="D11352" i="10"/>
  <c r="E11351" i="10"/>
  <c r="D11351" i="10"/>
  <c r="E11350" i="10"/>
  <c r="D11350" i="10"/>
  <c r="E11349" i="10"/>
  <c r="D11349" i="10"/>
  <c r="E11348" i="10"/>
  <c r="D11348" i="10"/>
  <c r="E11347" i="10"/>
  <c r="D11347" i="10"/>
  <c r="E11346" i="10"/>
  <c r="D11346" i="10"/>
  <c r="E11345" i="10"/>
  <c r="D11345" i="10"/>
  <c r="E11344" i="10"/>
  <c r="D11344" i="10"/>
  <c r="E11343" i="10"/>
  <c r="D11343" i="10"/>
  <c r="E11342" i="10"/>
  <c r="D11342" i="10"/>
  <c r="E11341" i="10"/>
  <c r="D11341" i="10"/>
  <c r="E11340" i="10"/>
  <c r="D11340" i="10"/>
  <c r="E11339" i="10"/>
  <c r="D11339" i="10"/>
  <c r="E11338" i="10"/>
  <c r="D11338" i="10"/>
  <c r="E11337" i="10"/>
  <c r="D11337" i="10"/>
  <c r="E11336" i="10"/>
  <c r="D11336" i="10"/>
  <c r="E11335" i="10"/>
  <c r="D11335" i="10"/>
  <c r="E11334" i="10"/>
  <c r="D11334" i="10"/>
  <c r="E11333" i="10"/>
  <c r="D11333" i="10"/>
  <c r="E11332" i="10"/>
  <c r="D11332" i="10"/>
  <c r="E11331" i="10"/>
  <c r="D11331" i="10"/>
  <c r="E11330" i="10"/>
  <c r="D11330" i="10"/>
  <c r="E11329" i="10"/>
  <c r="D11329" i="10"/>
  <c r="E11328" i="10"/>
  <c r="D11328" i="10"/>
  <c r="E11327" i="10"/>
  <c r="D11327" i="10"/>
  <c r="E11326" i="10"/>
  <c r="D11326" i="10"/>
  <c r="E11325" i="10"/>
  <c r="D11325" i="10"/>
  <c r="E11324" i="10"/>
  <c r="D11324" i="10"/>
  <c r="E11323" i="10"/>
  <c r="D11323" i="10"/>
  <c r="E11322" i="10"/>
  <c r="D11322" i="10"/>
  <c r="E11321" i="10"/>
  <c r="D11321" i="10"/>
  <c r="E11320" i="10"/>
  <c r="D11320" i="10"/>
  <c r="E11319" i="10"/>
  <c r="D11319" i="10"/>
  <c r="E11318" i="10"/>
  <c r="D11318" i="10"/>
  <c r="E11317" i="10"/>
  <c r="D11317" i="10"/>
  <c r="E11316" i="10"/>
  <c r="D11316" i="10"/>
  <c r="E11315" i="10"/>
  <c r="D11315" i="10"/>
  <c r="E11314" i="10"/>
  <c r="D11314" i="10"/>
  <c r="E11313" i="10"/>
  <c r="D11313" i="10"/>
  <c r="E11312" i="10"/>
  <c r="D11312" i="10"/>
  <c r="E11311" i="10"/>
  <c r="D11311" i="10"/>
  <c r="E11310" i="10"/>
  <c r="D11310" i="10"/>
  <c r="E11309" i="10"/>
  <c r="D11309" i="10"/>
  <c r="E11308" i="10"/>
  <c r="D11308" i="10"/>
  <c r="E11307" i="10"/>
  <c r="D11307" i="10"/>
  <c r="E11306" i="10"/>
  <c r="D11306" i="10"/>
  <c r="E11305" i="10"/>
  <c r="D11305" i="10"/>
  <c r="E11304" i="10"/>
  <c r="D11304" i="10"/>
  <c r="E11303" i="10"/>
  <c r="D11303" i="10"/>
  <c r="E11302" i="10"/>
  <c r="D11302" i="10"/>
  <c r="E11301" i="10"/>
  <c r="D11301" i="10"/>
  <c r="E11300" i="10"/>
  <c r="D11300" i="10"/>
  <c r="E11299" i="10"/>
  <c r="D11299" i="10"/>
  <c r="E11298" i="10"/>
  <c r="D11298" i="10"/>
  <c r="E11297" i="10"/>
  <c r="D11297" i="10"/>
  <c r="E11296" i="10"/>
  <c r="D11296" i="10"/>
  <c r="E11295" i="10"/>
  <c r="D11295" i="10"/>
  <c r="E11294" i="10"/>
  <c r="D11294" i="10"/>
  <c r="E11293" i="10"/>
  <c r="D11293" i="10"/>
  <c r="E11292" i="10"/>
  <c r="D11292" i="10"/>
  <c r="E11291" i="10"/>
  <c r="D11291" i="10"/>
  <c r="E11290" i="10"/>
  <c r="D11290" i="10"/>
  <c r="E11289" i="10"/>
  <c r="D11289" i="10"/>
  <c r="E11288" i="10"/>
  <c r="D11288" i="10"/>
  <c r="E11287" i="10"/>
  <c r="D11287" i="10"/>
  <c r="E11286" i="10"/>
  <c r="D11286" i="10"/>
  <c r="E11285" i="10"/>
  <c r="D11285" i="10"/>
  <c r="E11284" i="10"/>
  <c r="D11284" i="10"/>
  <c r="E11283" i="10"/>
  <c r="D11283" i="10"/>
  <c r="E11282" i="10"/>
  <c r="D11282" i="10"/>
  <c r="E11281" i="10"/>
  <c r="D11281" i="10"/>
  <c r="E11280" i="10"/>
  <c r="D11280" i="10"/>
  <c r="E11279" i="10"/>
  <c r="D11279" i="10"/>
  <c r="E11278" i="10"/>
  <c r="D11278" i="10"/>
  <c r="E11277" i="10"/>
  <c r="D11277" i="10"/>
  <c r="E11276" i="10"/>
  <c r="D11276" i="10"/>
  <c r="E11275" i="10"/>
  <c r="D11275" i="10"/>
  <c r="E11274" i="10"/>
  <c r="D11274" i="10"/>
  <c r="E11273" i="10"/>
  <c r="D11273" i="10"/>
  <c r="E11272" i="10"/>
  <c r="D11272" i="10"/>
  <c r="E11271" i="10"/>
  <c r="D11271" i="10"/>
  <c r="E11270" i="10"/>
  <c r="D11270" i="10"/>
  <c r="E11269" i="10"/>
  <c r="D11269" i="10"/>
  <c r="E11268" i="10"/>
  <c r="D11268" i="10"/>
  <c r="E11267" i="10"/>
  <c r="D11267" i="10"/>
  <c r="E11266" i="10"/>
  <c r="D11266" i="10"/>
  <c r="E11265" i="10"/>
  <c r="D11265" i="10"/>
  <c r="E11264" i="10"/>
  <c r="D11264" i="10"/>
  <c r="E11263" i="10"/>
  <c r="D11263" i="10"/>
  <c r="E11262" i="10"/>
  <c r="D11262" i="10"/>
  <c r="E11261" i="10"/>
  <c r="D11261" i="10"/>
  <c r="E11260" i="10"/>
  <c r="D11260" i="10"/>
  <c r="E11259" i="10"/>
  <c r="D11259" i="10"/>
  <c r="E11258" i="10"/>
  <c r="D11258" i="10"/>
  <c r="E11257" i="10"/>
  <c r="D11257" i="10"/>
  <c r="E11256" i="10"/>
  <c r="D11256" i="10"/>
  <c r="E11255" i="10"/>
  <c r="D11255" i="10"/>
  <c r="E11254" i="10"/>
  <c r="D11254" i="10"/>
  <c r="E11253" i="10"/>
  <c r="D11253" i="10"/>
  <c r="E11252" i="10"/>
  <c r="D11252" i="10"/>
  <c r="E11251" i="10"/>
  <c r="D11251" i="10"/>
  <c r="E11250" i="10"/>
  <c r="D11250" i="10"/>
  <c r="E11249" i="10"/>
  <c r="D11249" i="10"/>
  <c r="E11248" i="10"/>
  <c r="D11248" i="10"/>
  <c r="E11247" i="10"/>
  <c r="D11247" i="10"/>
  <c r="E11246" i="10"/>
  <c r="D11246" i="10"/>
  <c r="E11245" i="10"/>
  <c r="D11245" i="10"/>
  <c r="E11244" i="10"/>
  <c r="D11244" i="10"/>
  <c r="E11243" i="10"/>
  <c r="D11243" i="10"/>
  <c r="E11242" i="10"/>
  <c r="D11242" i="10"/>
  <c r="E11241" i="10"/>
  <c r="D11241" i="10"/>
  <c r="E11240" i="10"/>
  <c r="D11240" i="10"/>
  <c r="E11239" i="10"/>
  <c r="D11239" i="10"/>
  <c r="E11238" i="10"/>
  <c r="D11238" i="10"/>
  <c r="E11237" i="10"/>
  <c r="D11237" i="10"/>
  <c r="E11236" i="10"/>
  <c r="D11236" i="10"/>
  <c r="E11235" i="10"/>
  <c r="D11235" i="10"/>
  <c r="E11234" i="10"/>
  <c r="D11234" i="10"/>
  <c r="E11233" i="10"/>
  <c r="D11233" i="10"/>
  <c r="E11232" i="10"/>
  <c r="D11232" i="10"/>
  <c r="E11231" i="10"/>
  <c r="D11231" i="10"/>
  <c r="E11230" i="10"/>
  <c r="D11230" i="10"/>
  <c r="E11229" i="10"/>
  <c r="D11229" i="10"/>
  <c r="E11228" i="10"/>
  <c r="D11228" i="10"/>
  <c r="E11227" i="10"/>
  <c r="D11227" i="10"/>
  <c r="E11226" i="10"/>
  <c r="D11226" i="10"/>
  <c r="E11225" i="10"/>
  <c r="D11225" i="10"/>
  <c r="E11224" i="10"/>
  <c r="D11224" i="10"/>
  <c r="E11223" i="10"/>
  <c r="D11223" i="10"/>
  <c r="E11222" i="10"/>
  <c r="D11222" i="10"/>
  <c r="E11221" i="10"/>
  <c r="D11221" i="10"/>
  <c r="E11220" i="10"/>
  <c r="D11220" i="10"/>
  <c r="E11219" i="10"/>
  <c r="D11219" i="10"/>
  <c r="E11218" i="10"/>
  <c r="D11218" i="10"/>
  <c r="E11217" i="10"/>
  <c r="D11217" i="10"/>
  <c r="E11216" i="10"/>
  <c r="D11216" i="10"/>
  <c r="E11215" i="10"/>
  <c r="D11215" i="10"/>
  <c r="E11214" i="10"/>
  <c r="D11214" i="10"/>
  <c r="E11213" i="10"/>
  <c r="D11213" i="10"/>
  <c r="E11212" i="10"/>
  <c r="D11212" i="10"/>
  <c r="E11211" i="10"/>
  <c r="D11211" i="10"/>
  <c r="E11210" i="10"/>
  <c r="D11210" i="10"/>
  <c r="E11209" i="10"/>
  <c r="D11209" i="10"/>
  <c r="E11208" i="10"/>
  <c r="D11208" i="10"/>
  <c r="E11207" i="10"/>
  <c r="D11207" i="10"/>
  <c r="E11206" i="10"/>
  <c r="D11206" i="10"/>
  <c r="E11205" i="10"/>
  <c r="D11205" i="10"/>
  <c r="E11204" i="10"/>
  <c r="D11204" i="10"/>
  <c r="E11203" i="10"/>
  <c r="D11203" i="10"/>
  <c r="E11202" i="10"/>
  <c r="D11202" i="10"/>
  <c r="E11201" i="10"/>
  <c r="D11201" i="10"/>
  <c r="E11200" i="10"/>
  <c r="D11200" i="10"/>
  <c r="E11199" i="10"/>
  <c r="D11199" i="10"/>
  <c r="E11198" i="10"/>
  <c r="D11198" i="10"/>
  <c r="E11197" i="10"/>
  <c r="D11197" i="10"/>
  <c r="E11196" i="10"/>
  <c r="D11196" i="10"/>
  <c r="E11195" i="10"/>
  <c r="D11195" i="10"/>
  <c r="E11194" i="10"/>
  <c r="D11194" i="10"/>
  <c r="E11193" i="10"/>
  <c r="D11193" i="10"/>
  <c r="E11192" i="10"/>
  <c r="D11192" i="10"/>
  <c r="E11191" i="10"/>
  <c r="D11191" i="10"/>
  <c r="E11190" i="10"/>
  <c r="D11190" i="10"/>
  <c r="E11189" i="10"/>
  <c r="D11189" i="10"/>
  <c r="E11188" i="10"/>
  <c r="D11188" i="10"/>
  <c r="E11187" i="10"/>
  <c r="D11187" i="10"/>
  <c r="E11186" i="10"/>
  <c r="D11186" i="10"/>
  <c r="E11185" i="10"/>
  <c r="D11185" i="10"/>
  <c r="E11184" i="10"/>
  <c r="D11184" i="10"/>
  <c r="E11183" i="10"/>
  <c r="D11183" i="10"/>
  <c r="E11182" i="10"/>
  <c r="D11182" i="10"/>
  <c r="E11181" i="10"/>
  <c r="D11181" i="10"/>
  <c r="E11180" i="10"/>
  <c r="D11180" i="10"/>
  <c r="E11179" i="10"/>
  <c r="D11179" i="10"/>
  <c r="E11178" i="10"/>
  <c r="D11178" i="10"/>
  <c r="E11177" i="10"/>
  <c r="D11177" i="10"/>
  <c r="E11176" i="10"/>
  <c r="D11176" i="10"/>
  <c r="E11175" i="10"/>
  <c r="D11175" i="10"/>
  <c r="E11174" i="10"/>
  <c r="D11174" i="10"/>
  <c r="E11173" i="10"/>
  <c r="D11173" i="10"/>
  <c r="E11172" i="10"/>
  <c r="D11172" i="10"/>
  <c r="E11171" i="10"/>
  <c r="D11171" i="10"/>
  <c r="E11170" i="10"/>
  <c r="D11170" i="10"/>
  <c r="E11169" i="10"/>
  <c r="D11169" i="10"/>
  <c r="E11168" i="10"/>
  <c r="D11168" i="10"/>
  <c r="E11167" i="10"/>
  <c r="D11167" i="10"/>
  <c r="E11166" i="10"/>
  <c r="D11166" i="10"/>
  <c r="E11165" i="10"/>
  <c r="D11165" i="10"/>
  <c r="E11164" i="10"/>
  <c r="D11164" i="10"/>
  <c r="E11163" i="10"/>
  <c r="D11163" i="10"/>
  <c r="E11162" i="10"/>
  <c r="D11162" i="10"/>
  <c r="E11161" i="10"/>
  <c r="D11161" i="10"/>
  <c r="E11160" i="10"/>
  <c r="D11160" i="10"/>
  <c r="E11159" i="10"/>
  <c r="D11159" i="10"/>
  <c r="E11158" i="10"/>
  <c r="D11158" i="10"/>
  <c r="E11157" i="10"/>
  <c r="D11157" i="10"/>
  <c r="E11156" i="10"/>
  <c r="D11156" i="10"/>
  <c r="E11155" i="10"/>
  <c r="D11155" i="10"/>
  <c r="E11154" i="10"/>
  <c r="D11154" i="10"/>
  <c r="E11153" i="10"/>
  <c r="D11153" i="10"/>
  <c r="E11152" i="10"/>
  <c r="D11152" i="10"/>
  <c r="E11151" i="10"/>
  <c r="D11151" i="10"/>
  <c r="E11150" i="10"/>
  <c r="D11150" i="10"/>
  <c r="E11149" i="10"/>
  <c r="D11149" i="10"/>
  <c r="E11148" i="10"/>
  <c r="D11148" i="10"/>
  <c r="E11147" i="10"/>
  <c r="D11147" i="10"/>
  <c r="E11146" i="10"/>
  <c r="D11146" i="10"/>
  <c r="E11145" i="10"/>
  <c r="D11145" i="10"/>
  <c r="E11144" i="10"/>
  <c r="D11144" i="10"/>
  <c r="E11143" i="10"/>
  <c r="D11143" i="10"/>
  <c r="E11142" i="10"/>
  <c r="D11142" i="10"/>
  <c r="E11141" i="10"/>
  <c r="D11141" i="10"/>
  <c r="E11140" i="10"/>
  <c r="D11140" i="10"/>
  <c r="E11139" i="10"/>
  <c r="D11139" i="10"/>
  <c r="E11138" i="10"/>
  <c r="D11138" i="10"/>
  <c r="E11137" i="10"/>
  <c r="D11137" i="10"/>
  <c r="E11136" i="10"/>
  <c r="D11136" i="10"/>
  <c r="E11135" i="10"/>
  <c r="D11135" i="10"/>
  <c r="E11134" i="10"/>
  <c r="D11134" i="10"/>
  <c r="E11133" i="10"/>
  <c r="D11133" i="10"/>
  <c r="E11132" i="10"/>
  <c r="D11132" i="10"/>
  <c r="E11131" i="10"/>
  <c r="D11131" i="10"/>
  <c r="E11130" i="10"/>
  <c r="D11130" i="10"/>
  <c r="E11129" i="10"/>
  <c r="D11129" i="10"/>
  <c r="E11128" i="10"/>
  <c r="D11128" i="10"/>
  <c r="E11127" i="10"/>
  <c r="D11127" i="10"/>
  <c r="E11126" i="10"/>
  <c r="D11126" i="10"/>
  <c r="E11125" i="10"/>
  <c r="D11125" i="10"/>
  <c r="E11124" i="10"/>
  <c r="D11124" i="10"/>
  <c r="E11123" i="10"/>
  <c r="D11123" i="10"/>
  <c r="E11122" i="10"/>
  <c r="D11122" i="10"/>
  <c r="E11121" i="10"/>
  <c r="D11121" i="10"/>
  <c r="E11120" i="10"/>
  <c r="D11120" i="10"/>
  <c r="E11119" i="10"/>
  <c r="D11119" i="10"/>
  <c r="E11118" i="10"/>
  <c r="D11118" i="10"/>
  <c r="E11117" i="10"/>
  <c r="D11117" i="10"/>
  <c r="E11116" i="10"/>
  <c r="D11116" i="10"/>
  <c r="E11115" i="10"/>
  <c r="D11115" i="10"/>
  <c r="E11114" i="10"/>
  <c r="D11114" i="10"/>
  <c r="E11113" i="10"/>
  <c r="D11113" i="10"/>
  <c r="E11112" i="10"/>
  <c r="D11112" i="10"/>
  <c r="E11111" i="10"/>
  <c r="D11111" i="10"/>
  <c r="E11110" i="10"/>
  <c r="D11110" i="10"/>
  <c r="E11109" i="10"/>
  <c r="D11109" i="10"/>
  <c r="E11108" i="10"/>
  <c r="D11108" i="10"/>
  <c r="E11107" i="10"/>
  <c r="D11107" i="10"/>
  <c r="E11106" i="10"/>
  <c r="D11106" i="10"/>
  <c r="E11105" i="10"/>
  <c r="D11105" i="10"/>
  <c r="E11104" i="10"/>
  <c r="D11104" i="10"/>
  <c r="E11103" i="10"/>
  <c r="D11103" i="10"/>
  <c r="E11102" i="10"/>
  <c r="D11102" i="10"/>
  <c r="E11101" i="10"/>
  <c r="D11101" i="10"/>
  <c r="E11100" i="10"/>
  <c r="D11100" i="10"/>
  <c r="E11099" i="10"/>
  <c r="D11099" i="10"/>
  <c r="E11098" i="10"/>
  <c r="D11098" i="10"/>
  <c r="E11097" i="10"/>
  <c r="D11097" i="10"/>
  <c r="E11096" i="10"/>
  <c r="D11096" i="10"/>
  <c r="E11095" i="10"/>
  <c r="D11095" i="10"/>
  <c r="E11094" i="10"/>
  <c r="D11094" i="10"/>
  <c r="E11093" i="10"/>
  <c r="D11093" i="10"/>
  <c r="E11092" i="10"/>
  <c r="D11092" i="10"/>
  <c r="E11091" i="10"/>
  <c r="D11091" i="10"/>
  <c r="E11090" i="10"/>
  <c r="D11090" i="10"/>
  <c r="E11089" i="10"/>
  <c r="D11089" i="10"/>
  <c r="E11088" i="10"/>
  <c r="D11088" i="10"/>
  <c r="E11087" i="10"/>
  <c r="D11087" i="10"/>
  <c r="E11086" i="10"/>
  <c r="D11086" i="10"/>
  <c r="E11085" i="10"/>
  <c r="D11085" i="10"/>
  <c r="E11084" i="10"/>
  <c r="D11084" i="10"/>
  <c r="E11083" i="10"/>
  <c r="D11083" i="10"/>
  <c r="E11082" i="10"/>
  <c r="D11082" i="10"/>
  <c r="E11081" i="10"/>
  <c r="D11081" i="10"/>
  <c r="E11080" i="10"/>
  <c r="D11080" i="10"/>
  <c r="E11079" i="10"/>
  <c r="D11079" i="10"/>
  <c r="E11078" i="10"/>
  <c r="D11078" i="10"/>
  <c r="E11077" i="10"/>
  <c r="D11077" i="10"/>
  <c r="E11076" i="10"/>
  <c r="D11076" i="10"/>
  <c r="E11075" i="10"/>
  <c r="D11075" i="10"/>
  <c r="E11074" i="10"/>
  <c r="D11074" i="10"/>
  <c r="E11073" i="10"/>
  <c r="D11073" i="10"/>
  <c r="E11072" i="10"/>
  <c r="D11072" i="10"/>
  <c r="E11071" i="10"/>
  <c r="D11071" i="10"/>
  <c r="E11070" i="10"/>
  <c r="D11070" i="10"/>
  <c r="E11069" i="10"/>
  <c r="D11069" i="10"/>
  <c r="E11068" i="10"/>
  <c r="D11068" i="10"/>
  <c r="E11067" i="10"/>
  <c r="D11067" i="10"/>
  <c r="E11066" i="10"/>
  <c r="D11066" i="10"/>
  <c r="E11065" i="10"/>
  <c r="D11065" i="10"/>
  <c r="E11064" i="10"/>
  <c r="D11064" i="10"/>
  <c r="E11063" i="10"/>
  <c r="D11063" i="10"/>
  <c r="E11062" i="10"/>
  <c r="D11062" i="10"/>
  <c r="E11061" i="10"/>
  <c r="D11061" i="10"/>
  <c r="E11060" i="10"/>
  <c r="D11060" i="10"/>
  <c r="E11059" i="10"/>
  <c r="D11059" i="10"/>
  <c r="E11058" i="10"/>
  <c r="D11058" i="10"/>
  <c r="E11057" i="10"/>
  <c r="D11057" i="10"/>
  <c r="E11056" i="10"/>
  <c r="D11056" i="10"/>
  <c r="E11055" i="10"/>
  <c r="D11055" i="10"/>
  <c r="E11054" i="10"/>
  <c r="D11054" i="10"/>
  <c r="E11053" i="10"/>
  <c r="D11053" i="10"/>
  <c r="E11052" i="10"/>
  <c r="D11052" i="10"/>
  <c r="E11051" i="10"/>
  <c r="D11051" i="10"/>
  <c r="E11050" i="10"/>
  <c r="D11050" i="10"/>
  <c r="E11049" i="10"/>
  <c r="D11049" i="10"/>
  <c r="E11048" i="10"/>
  <c r="D11048" i="10"/>
  <c r="E11047" i="10"/>
  <c r="D11047" i="10"/>
  <c r="E11046" i="10"/>
  <c r="D11046" i="10"/>
  <c r="E11045" i="10"/>
  <c r="D11045" i="10"/>
  <c r="E11044" i="10"/>
  <c r="D11044" i="10"/>
  <c r="E11043" i="10"/>
  <c r="D11043" i="10"/>
  <c r="E11042" i="10"/>
  <c r="D11042" i="10"/>
  <c r="E11041" i="10"/>
  <c r="D11041" i="10"/>
  <c r="E11040" i="10"/>
  <c r="D11040" i="10"/>
  <c r="E11039" i="10"/>
  <c r="D11039" i="10"/>
  <c r="E11038" i="10"/>
  <c r="D11038" i="10"/>
  <c r="E11037" i="10"/>
  <c r="D11037" i="10"/>
  <c r="E11036" i="10"/>
  <c r="D11036" i="10"/>
  <c r="E11035" i="10"/>
  <c r="D11035" i="10"/>
  <c r="E11034" i="10"/>
  <c r="D11034" i="10"/>
  <c r="E11033" i="10"/>
  <c r="D11033" i="10"/>
  <c r="E11032" i="10"/>
  <c r="D11032" i="10"/>
  <c r="E11031" i="10"/>
  <c r="D11031" i="10"/>
  <c r="E11030" i="10"/>
  <c r="D11030" i="10"/>
  <c r="E11029" i="10"/>
  <c r="D11029" i="10"/>
  <c r="E11028" i="10"/>
  <c r="D11028" i="10"/>
  <c r="E11027" i="10"/>
  <c r="D11027" i="10"/>
  <c r="E11026" i="10"/>
  <c r="D11026" i="10"/>
  <c r="E11025" i="10"/>
  <c r="D11025" i="10"/>
  <c r="E11024" i="10"/>
  <c r="D11024" i="10"/>
  <c r="E11023" i="10"/>
  <c r="D11023" i="10"/>
  <c r="E11022" i="10"/>
  <c r="D11022" i="10"/>
  <c r="E11021" i="10"/>
  <c r="D11021" i="10"/>
  <c r="E11020" i="10"/>
  <c r="D11020" i="10"/>
  <c r="E11019" i="10"/>
  <c r="D11019" i="10"/>
  <c r="E11018" i="10"/>
  <c r="D11018" i="10"/>
  <c r="E11017" i="10"/>
  <c r="D11017" i="10"/>
  <c r="E11016" i="10"/>
  <c r="D11016" i="10"/>
  <c r="E11015" i="10"/>
  <c r="D11015" i="10"/>
  <c r="E11014" i="10"/>
  <c r="D11014" i="10"/>
  <c r="E11013" i="10"/>
  <c r="D11013" i="10"/>
  <c r="E11012" i="10"/>
  <c r="D11012" i="10"/>
  <c r="E11011" i="10"/>
  <c r="D11011" i="10"/>
  <c r="E11010" i="10"/>
  <c r="D11010" i="10"/>
  <c r="E11009" i="10"/>
  <c r="D11009" i="10"/>
  <c r="E11008" i="10"/>
  <c r="D11008" i="10"/>
  <c r="E11007" i="10"/>
  <c r="D11007" i="10"/>
  <c r="E11006" i="10"/>
  <c r="D11006" i="10"/>
  <c r="E11005" i="10"/>
  <c r="D11005" i="10"/>
  <c r="E11004" i="10"/>
  <c r="D11004" i="10"/>
  <c r="E11003" i="10"/>
  <c r="D11003" i="10"/>
  <c r="E11002" i="10"/>
  <c r="D11002" i="10"/>
  <c r="E11001" i="10"/>
  <c r="D11001" i="10"/>
  <c r="E11000" i="10"/>
  <c r="D11000" i="10"/>
  <c r="E10999" i="10"/>
  <c r="D10999" i="10"/>
  <c r="E10998" i="10"/>
  <c r="D10998" i="10"/>
  <c r="E10997" i="10"/>
  <c r="D10997" i="10"/>
  <c r="E10996" i="10"/>
  <c r="D10996" i="10"/>
  <c r="E10995" i="10"/>
  <c r="D10995" i="10"/>
  <c r="E10994" i="10"/>
  <c r="D10994" i="10"/>
  <c r="E10993" i="10"/>
  <c r="D10993" i="10"/>
  <c r="E10992" i="10"/>
  <c r="D10992" i="10"/>
  <c r="E10991" i="10"/>
  <c r="D10991" i="10"/>
  <c r="E10990" i="10"/>
  <c r="D10990" i="10"/>
  <c r="E10989" i="10"/>
  <c r="D10989" i="10"/>
  <c r="E10988" i="10"/>
  <c r="D10988" i="10"/>
  <c r="E10987" i="10"/>
  <c r="D10987" i="10"/>
  <c r="E10986" i="10"/>
  <c r="D10986" i="10"/>
  <c r="E10985" i="10"/>
  <c r="D10985" i="10"/>
  <c r="E10984" i="10"/>
  <c r="D10984" i="10"/>
  <c r="E10983" i="10"/>
  <c r="D10983" i="10"/>
  <c r="E10982" i="10"/>
  <c r="D10982" i="10"/>
  <c r="E10981" i="10"/>
  <c r="D10981" i="10"/>
  <c r="E10980" i="10"/>
  <c r="D10980" i="10"/>
  <c r="E10979" i="10"/>
  <c r="D10979" i="10"/>
  <c r="E10978" i="10"/>
  <c r="D10978" i="10"/>
  <c r="E10977" i="10"/>
  <c r="D10977" i="10"/>
  <c r="E10976" i="10"/>
  <c r="D10976" i="10"/>
  <c r="E10975" i="10"/>
  <c r="D10975" i="10"/>
  <c r="E10974" i="10"/>
  <c r="D10974" i="10"/>
  <c r="E10973" i="10"/>
  <c r="D10973" i="10"/>
  <c r="E10972" i="10"/>
  <c r="D10972" i="10"/>
  <c r="E10971" i="10"/>
  <c r="D10971" i="10"/>
  <c r="E10970" i="10"/>
  <c r="D10970" i="10"/>
  <c r="E10969" i="10"/>
  <c r="D10969" i="10"/>
  <c r="E10968" i="10"/>
  <c r="D10968" i="10"/>
  <c r="E10967" i="10"/>
  <c r="D10967" i="10"/>
  <c r="E10966" i="10"/>
  <c r="D10966" i="10"/>
  <c r="E10965" i="10"/>
  <c r="D10965" i="10"/>
  <c r="E10964" i="10"/>
  <c r="D10964" i="10"/>
  <c r="E10963" i="10"/>
  <c r="D10963" i="10"/>
  <c r="E10962" i="10"/>
  <c r="D10962" i="10"/>
  <c r="E10961" i="10"/>
  <c r="D10961" i="10"/>
  <c r="E10960" i="10"/>
  <c r="D10960" i="10"/>
  <c r="E10959" i="10"/>
  <c r="D10959" i="10"/>
  <c r="E10958" i="10"/>
  <c r="D10958" i="10"/>
  <c r="E10957" i="10"/>
  <c r="D10957" i="10"/>
  <c r="E10956" i="10"/>
  <c r="D10956" i="10"/>
  <c r="E10955" i="10"/>
  <c r="D10955" i="10"/>
  <c r="E10954" i="10"/>
  <c r="D10954" i="10"/>
  <c r="E10953" i="10"/>
  <c r="D10953" i="10"/>
  <c r="E10952" i="10"/>
  <c r="D10952" i="10"/>
  <c r="E10951" i="10"/>
  <c r="D10951" i="10"/>
  <c r="E10950" i="10"/>
  <c r="D10950" i="10"/>
  <c r="E10949" i="10"/>
  <c r="D10949" i="10"/>
  <c r="E10948" i="10"/>
  <c r="D10948" i="10"/>
  <c r="E10947" i="10"/>
  <c r="D10947" i="10"/>
  <c r="E10946" i="10"/>
  <c r="D10946" i="10"/>
  <c r="E10945" i="10"/>
  <c r="D10945" i="10"/>
  <c r="E10944" i="10"/>
  <c r="D10944" i="10"/>
  <c r="E10943" i="10"/>
  <c r="D10943" i="10"/>
  <c r="E10942" i="10"/>
  <c r="D10942" i="10"/>
  <c r="E10941" i="10"/>
  <c r="D10941" i="10"/>
  <c r="E10940" i="10"/>
  <c r="D10940" i="10"/>
  <c r="E10939" i="10"/>
  <c r="D10939" i="10"/>
  <c r="E10938" i="10"/>
  <c r="D10938" i="10"/>
  <c r="E10937" i="10"/>
  <c r="D10937" i="10"/>
  <c r="E10936" i="10"/>
  <c r="D10936" i="10"/>
  <c r="E10935" i="10"/>
  <c r="D10935" i="10"/>
  <c r="E10934" i="10"/>
  <c r="D10934" i="10"/>
  <c r="E10933" i="10"/>
  <c r="D10933" i="10"/>
  <c r="E10932" i="10"/>
  <c r="D10932" i="10"/>
  <c r="E10931" i="10"/>
  <c r="D10931" i="10"/>
  <c r="E10930" i="10"/>
  <c r="D10930" i="10"/>
  <c r="E10929" i="10"/>
  <c r="D10929" i="10"/>
  <c r="E10928" i="10"/>
  <c r="D10928" i="10"/>
  <c r="E10927" i="10"/>
  <c r="D10927" i="10"/>
  <c r="E10926" i="10"/>
  <c r="D10926" i="10"/>
  <c r="E10925" i="10"/>
  <c r="D10925" i="10"/>
  <c r="E10924" i="10"/>
  <c r="D10924" i="10"/>
  <c r="E10923" i="10"/>
  <c r="D10923" i="10"/>
  <c r="E10922" i="10"/>
  <c r="D10922" i="10"/>
  <c r="E10921" i="10"/>
  <c r="D10921" i="10"/>
  <c r="E10920" i="10"/>
  <c r="D10920" i="10"/>
  <c r="E10919" i="10"/>
  <c r="D10919" i="10"/>
  <c r="E10918" i="10"/>
  <c r="D10918" i="10"/>
  <c r="E10917" i="10"/>
  <c r="D10917" i="10"/>
  <c r="E10916" i="10"/>
  <c r="D10916" i="10"/>
  <c r="E10915" i="10"/>
  <c r="D10915" i="10"/>
  <c r="E10914" i="10"/>
  <c r="D10914" i="10"/>
  <c r="E10913" i="10"/>
  <c r="D10913" i="10"/>
  <c r="E10912" i="10"/>
  <c r="D10912" i="10"/>
  <c r="E10911" i="10"/>
  <c r="D10911" i="10"/>
  <c r="E10910" i="10"/>
  <c r="D10910" i="10"/>
  <c r="E10909" i="10"/>
  <c r="D10909" i="10"/>
  <c r="E10908" i="10"/>
  <c r="D10908" i="10"/>
  <c r="E10907" i="10"/>
  <c r="D10907" i="10"/>
  <c r="E10906" i="10"/>
  <c r="D10906" i="10"/>
  <c r="E10905" i="10"/>
  <c r="D10905" i="10"/>
  <c r="E10904" i="10"/>
  <c r="D10904" i="10"/>
  <c r="E10903" i="10"/>
  <c r="D10903" i="10"/>
  <c r="E10902" i="10"/>
  <c r="D10902" i="10"/>
  <c r="E10901" i="10"/>
  <c r="D10901" i="10"/>
  <c r="E10900" i="10"/>
  <c r="D10900" i="10"/>
  <c r="E10899" i="10"/>
  <c r="D10899" i="10"/>
  <c r="E10898" i="10"/>
  <c r="D10898" i="10"/>
  <c r="E10897" i="10"/>
  <c r="D10897" i="10"/>
  <c r="E10896" i="10"/>
  <c r="D10896" i="10"/>
  <c r="E10895" i="10"/>
  <c r="D10895" i="10"/>
  <c r="E10894" i="10"/>
  <c r="D10894" i="10"/>
  <c r="E10893" i="10"/>
  <c r="D10893" i="10"/>
  <c r="E10892" i="10"/>
  <c r="D10892" i="10"/>
  <c r="E10891" i="10"/>
  <c r="D10891" i="10"/>
  <c r="E10890" i="10"/>
  <c r="D10890" i="10"/>
  <c r="E10889" i="10"/>
  <c r="D10889" i="10"/>
  <c r="E10888" i="10"/>
  <c r="D10888" i="10"/>
  <c r="E10887" i="10"/>
  <c r="D10887" i="10"/>
  <c r="E10886" i="10"/>
  <c r="D10886" i="10"/>
  <c r="E10885" i="10"/>
  <c r="D10885" i="10"/>
  <c r="E10884" i="10"/>
  <c r="D10884" i="10"/>
  <c r="E10883" i="10"/>
  <c r="D10883" i="10"/>
  <c r="E10882" i="10"/>
  <c r="D10882" i="10"/>
  <c r="E10881" i="10"/>
  <c r="D10881" i="10"/>
  <c r="E10880" i="10"/>
  <c r="D10880" i="10"/>
  <c r="E10879" i="10"/>
  <c r="D10879" i="10"/>
  <c r="E10878" i="10"/>
  <c r="D10878" i="10"/>
  <c r="E10877" i="10"/>
  <c r="D10877" i="10"/>
  <c r="E10876" i="10"/>
  <c r="D10876" i="10"/>
  <c r="E10875" i="10"/>
  <c r="D10875" i="10"/>
  <c r="E10874" i="10"/>
  <c r="D10874" i="10"/>
  <c r="E10873" i="10"/>
  <c r="D10873" i="10"/>
  <c r="E10872" i="10"/>
  <c r="D10872" i="10"/>
  <c r="E10871" i="10"/>
  <c r="D10871" i="10"/>
  <c r="E10870" i="10"/>
  <c r="D10870" i="10"/>
  <c r="E10869" i="10"/>
  <c r="D10869" i="10"/>
  <c r="E10868" i="10"/>
  <c r="D10868" i="10"/>
  <c r="E10867" i="10"/>
  <c r="D10867" i="10"/>
  <c r="E10866" i="10"/>
  <c r="D10866" i="10"/>
  <c r="E10865" i="10"/>
  <c r="D10865" i="10"/>
  <c r="E10864" i="10"/>
  <c r="D10864" i="10"/>
  <c r="E10863" i="10"/>
  <c r="D10863" i="10"/>
  <c r="E10862" i="10"/>
  <c r="D10862" i="10"/>
  <c r="E10861" i="10"/>
  <c r="D10861" i="10"/>
  <c r="E10860" i="10"/>
  <c r="D10860" i="10"/>
  <c r="E10859" i="10"/>
  <c r="D10859" i="10"/>
  <c r="E10858" i="10"/>
  <c r="D10858" i="10"/>
  <c r="E10857" i="10"/>
  <c r="D10857" i="10"/>
  <c r="E10856" i="10"/>
  <c r="D10856" i="10"/>
  <c r="E10855" i="10"/>
  <c r="D10855" i="10"/>
  <c r="E10854" i="10"/>
  <c r="D10854" i="10"/>
  <c r="E10853" i="10"/>
  <c r="D10853" i="10"/>
  <c r="E10852" i="10"/>
  <c r="D10852" i="10"/>
  <c r="E10851" i="10"/>
  <c r="D10851" i="10"/>
  <c r="E10850" i="10"/>
  <c r="D10850" i="10"/>
  <c r="E10849" i="10"/>
  <c r="D10849" i="10"/>
  <c r="E10848" i="10"/>
  <c r="D10848" i="10"/>
  <c r="E10847" i="10"/>
  <c r="D10847" i="10"/>
  <c r="E10846" i="10"/>
  <c r="D10846" i="10"/>
  <c r="E10845" i="10"/>
  <c r="D10845" i="10"/>
  <c r="E10844" i="10"/>
  <c r="D10844" i="10"/>
  <c r="E10843" i="10"/>
  <c r="D10843" i="10"/>
  <c r="E10842" i="10"/>
  <c r="D10842" i="10"/>
  <c r="E10841" i="10"/>
  <c r="D10841" i="10"/>
  <c r="E10840" i="10"/>
  <c r="D10840" i="10"/>
  <c r="E10839" i="10"/>
  <c r="D10839" i="10"/>
  <c r="E10838" i="10"/>
  <c r="D10838" i="10"/>
  <c r="E10837" i="10"/>
  <c r="D10837" i="10"/>
  <c r="E10836" i="10"/>
  <c r="D10836" i="10"/>
  <c r="E10835" i="10"/>
  <c r="D10835" i="10"/>
  <c r="E10834" i="10"/>
  <c r="D10834" i="10"/>
  <c r="E10833" i="10"/>
  <c r="D10833" i="10"/>
  <c r="E10832" i="10"/>
  <c r="D10832" i="10"/>
  <c r="E10831" i="10"/>
  <c r="D10831" i="10"/>
  <c r="E10830" i="10"/>
  <c r="D10830" i="10"/>
  <c r="E10829" i="10"/>
  <c r="D10829" i="10"/>
  <c r="E10828" i="10"/>
  <c r="D10828" i="10"/>
  <c r="E10827" i="10"/>
  <c r="D10827" i="10"/>
  <c r="E10826" i="10"/>
  <c r="D10826" i="10"/>
  <c r="E10825" i="10"/>
  <c r="D10825" i="10"/>
  <c r="E10824" i="10"/>
  <c r="D10824" i="10"/>
  <c r="E10823" i="10"/>
  <c r="D10823" i="10"/>
  <c r="E10822" i="10"/>
  <c r="D10822" i="10"/>
  <c r="E10821" i="10"/>
  <c r="D10821" i="10"/>
  <c r="E10820" i="10"/>
  <c r="D10820" i="10"/>
  <c r="E10819" i="10"/>
  <c r="D10819" i="10"/>
  <c r="E10818" i="10"/>
  <c r="D10818" i="10"/>
  <c r="E10817" i="10"/>
  <c r="D10817" i="10"/>
  <c r="E10816" i="10"/>
  <c r="D10816" i="10"/>
  <c r="E10815" i="10"/>
  <c r="D10815" i="10"/>
  <c r="E10814" i="10"/>
  <c r="D10814" i="10"/>
  <c r="E10813" i="10"/>
  <c r="D10813" i="10"/>
  <c r="E10812" i="10"/>
  <c r="D10812" i="10"/>
  <c r="E10811" i="10"/>
  <c r="D10811" i="10"/>
  <c r="E10810" i="10"/>
  <c r="D10810" i="10"/>
  <c r="E10809" i="10"/>
  <c r="D10809" i="10"/>
  <c r="E10808" i="10"/>
  <c r="D10808" i="10"/>
  <c r="E10807" i="10"/>
  <c r="D10807" i="10"/>
  <c r="E10806" i="10"/>
  <c r="D10806" i="10"/>
  <c r="E10805" i="10"/>
  <c r="D10805" i="10"/>
  <c r="E10804" i="10"/>
  <c r="D10804" i="10"/>
  <c r="E10803" i="10"/>
  <c r="D10803" i="10"/>
  <c r="E10802" i="10"/>
  <c r="D10802" i="10"/>
  <c r="E10801" i="10"/>
  <c r="D10801" i="10"/>
  <c r="E10800" i="10"/>
  <c r="D10800" i="10"/>
  <c r="E10799" i="10"/>
  <c r="D10799" i="10"/>
  <c r="E10798" i="10"/>
  <c r="D10798" i="10"/>
  <c r="E10797" i="10"/>
  <c r="D10797" i="10"/>
  <c r="E10796" i="10"/>
  <c r="D10796" i="10"/>
  <c r="E10795" i="10"/>
  <c r="D10795" i="10"/>
  <c r="E10794" i="10"/>
  <c r="D10794" i="10"/>
  <c r="E10793" i="10"/>
  <c r="D10793" i="10"/>
  <c r="E10792" i="10"/>
  <c r="D10792" i="10"/>
  <c r="E10791" i="10"/>
  <c r="D10791" i="10"/>
  <c r="E10790" i="10"/>
  <c r="D10790" i="10"/>
  <c r="E10789" i="10"/>
  <c r="D10789" i="10"/>
  <c r="E10788" i="10"/>
  <c r="D10788" i="10"/>
  <c r="E10787" i="10"/>
  <c r="D10787" i="10"/>
  <c r="E10786" i="10"/>
  <c r="D10786" i="10"/>
  <c r="E10785" i="10"/>
  <c r="D10785" i="10"/>
  <c r="E10784" i="10"/>
  <c r="D10784" i="10"/>
  <c r="E10783" i="10"/>
  <c r="D10783" i="10"/>
  <c r="E10782" i="10"/>
  <c r="D10782" i="10"/>
  <c r="E10781" i="10"/>
  <c r="D10781" i="10"/>
  <c r="E10780" i="10"/>
  <c r="D10780" i="10"/>
  <c r="E10779" i="10"/>
  <c r="D10779" i="10"/>
  <c r="E10778" i="10"/>
  <c r="D10778" i="10"/>
  <c r="E10777" i="10"/>
  <c r="D10777" i="10"/>
  <c r="E10776" i="10"/>
  <c r="D10776" i="10"/>
  <c r="E10775" i="10"/>
  <c r="D10775" i="10"/>
  <c r="E10774" i="10"/>
  <c r="D10774" i="10"/>
  <c r="E10773" i="10"/>
  <c r="D10773" i="10"/>
  <c r="E10772" i="10"/>
  <c r="D10772" i="10"/>
  <c r="E10771" i="10"/>
  <c r="D10771" i="10"/>
  <c r="E10770" i="10"/>
  <c r="D10770" i="10"/>
  <c r="E10769" i="10"/>
  <c r="D10769" i="10"/>
  <c r="E10768" i="10"/>
  <c r="D10768" i="10"/>
  <c r="E10767" i="10"/>
  <c r="D10767" i="10"/>
  <c r="E10766" i="10"/>
  <c r="D10766" i="10"/>
  <c r="E10765" i="10"/>
  <c r="D10765" i="10"/>
  <c r="E10764" i="10"/>
  <c r="D10764" i="10"/>
  <c r="E10763" i="10"/>
  <c r="D10763" i="10"/>
  <c r="E10762" i="10"/>
  <c r="D10762" i="10"/>
  <c r="E10761" i="10"/>
  <c r="D10761" i="10"/>
  <c r="E10760" i="10"/>
  <c r="D10760" i="10"/>
  <c r="E10759" i="10"/>
  <c r="D10759" i="10"/>
  <c r="E10758" i="10"/>
  <c r="D10758" i="10"/>
  <c r="E10757" i="10"/>
  <c r="D10757" i="10"/>
  <c r="E10756" i="10"/>
  <c r="D10756" i="10"/>
  <c r="E10755" i="10"/>
  <c r="D10755" i="10"/>
  <c r="E10754" i="10"/>
  <c r="D10754" i="10"/>
  <c r="E10753" i="10"/>
  <c r="D10753" i="10"/>
  <c r="E10752" i="10"/>
  <c r="D10752" i="10"/>
  <c r="E10751" i="10"/>
  <c r="D10751" i="10"/>
  <c r="E10750" i="10"/>
  <c r="D10750" i="10"/>
  <c r="E10749" i="10"/>
  <c r="D10749" i="10"/>
  <c r="E10748" i="10"/>
  <c r="D10748" i="10"/>
  <c r="E10747" i="10"/>
  <c r="D10747" i="10"/>
  <c r="E10746" i="10"/>
  <c r="D10746" i="10"/>
  <c r="E10745" i="10"/>
  <c r="D10745" i="10"/>
  <c r="E10744" i="10"/>
  <c r="D10744" i="10"/>
  <c r="E10743" i="10"/>
  <c r="D10743" i="10"/>
  <c r="E10742" i="10"/>
  <c r="D10742" i="10"/>
  <c r="E10741" i="10"/>
  <c r="D10741" i="10"/>
  <c r="E10740" i="10"/>
  <c r="D10740" i="10"/>
  <c r="E10739" i="10"/>
  <c r="D10739" i="10"/>
  <c r="E10738" i="10"/>
  <c r="D10738" i="10"/>
  <c r="E10737" i="10"/>
  <c r="D10737" i="10"/>
  <c r="E10736" i="10"/>
  <c r="D10736" i="10"/>
  <c r="E10735" i="10"/>
  <c r="D10735" i="10"/>
  <c r="E10734" i="10"/>
  <c r="D10734" i="10"/>
  <c r="E10733" i="10"/>
  <c r="D10733" i="10"/>
  <c r="E10732" i="10"/>
  <c r="D10732" i="10"/>
  <c r="E10731" i="10"/>
  <c r="D10731" i="10"/>
  <c r="E10730" i="10"/>
  <c r="D10730" i="10"/>
  <c r="E10729" i="10"/>
  <c r="D10729" i="10"/>
  <c r="E10728" i="10"/>
  <c r="D10728" i="10"/>
  <c r="E10727" i="10"/>
  <c r="D10727" i="10"/>
  <c r="E10726" i="10"/>
  <c r="D10726" i="10"/>
  <c r="E10725" i="10"/>
  <c r="D10725" i="10"/>
  <c r="E10724" i="10"/>
  <c r="D10724" i="10"/>
  <c r="E10723" i="10"/>
  <c r="D10723" i="10"/>
  <c r="E10722" i="10"/>
  <c r="D10722" i="10"/>
  <c r="E10721" i="10"/>
  <c r="D10721" i="10"/>
  <c r="E10720" i="10"/>
  <c r="D10720" i="10"/>
  <c r="E10719" i="10"/>
  <c r="D10719" i="10"/>
  <c r="E10718" i="10"/>
  <c r="D10718" i="10"/>
  <c r="E10717" i="10"/>
  <c r="D10717" i="10"/>
  <c r="E10716" i="10"/>
  <c r="D10716" i="10"/>
  <c r="E10715" i="10"/>
  <c r="D10715" i="10"/>
  <c r="E10714" i="10"/>
  <c r="D10714" i="10"/>
  <c r="E10713" i="10"/>
  <c r="D10713" i="10"/>
  <c r="E10712" i="10"/>
  <c r="D10712" i="10"/>
  <c r="E10711" i="10"/>
  <c r="D10711" i="10"/>
  <c r="E10710" i="10"/>
  <c r="D10710" i="10"/>
  <c r="E10709" i="10"/>
  <c r="D10709" i="10"/>
  <c r="E10708" i="10"/>
  <c r="D10708" i="10"/>
  <c r="E10707" i="10"/>
  <c r="D10707" i="10"/>
  <c r="E10706" i="10"/>
  <c r="D10706" i="10"/>
  <c r="E10705" i="10"/>
  <c r="D10705" i="10"/>
  <c r="E10704" i="10"/>
  <c r="D10704" i="10"/>
  <c r="E10703" i="10"/>
  <c r="D10703" i="10"/>
  <c r="E10702" i="10"/>
  <c r="D10702" i="10"/>
  <c r="E10701" i="10"/>
  <c r="D10701" i="10"/>
  <c r="E10700" i="10"/>
  <c r="D10700" i="10"/>
  <c r="E10699" i="10"/>
  <c r="D10699" i="10"/>
  <c r="E10698" i="10"/>
  <c r="D10698" i="10"/>
  <c r="E10697" i="10"/>
  <c r="D10697" i="10"/>
  <c r="E10696" i="10"/>
  <c r="D10696" i="10"/>
  <c r="E10695" i="10"/>
  <c r="D10695" i="10"/>
  <c r="E10694" i="10"/>
  <c r="D10694" i="10"/>
  <c r="E10693" i="10"/>
  <c r="D10693" i="10"/>
  <c r="E10692" i="10"/>
  <c r="D10692" i="10"/>
  <c r="E10691" i="10"/>
  <c r="D10691" i="10"/>
  <c r="E10690" i="10"/>
  <c r="D10690" i="10"/>
  <c r="E10689" i="10"/>
  <c r="D10689" i="10"/>
  <c r="E10688" i="10"/>
  <c r="D10688" i="10"/>
  <c r="E10687" i="10"/>
  <c r="D10687" i="10"/>
  <c r="E10686" i="10"/>
  <c r="D10686" i="10"/>
  <c r="E10685" i="10"/>
  <c r="D10685" i="10"/>
  <c r="E10684" i="10"/>
  <c r="D10684" i="10"/>
  <c r="E10683" i="10"/>
  <c r="D10683" i="10"/>
  <c r="E10682" i="10"/>
  <c r="D10682" i="10"/>
  <c r="E10681" i="10"/>
  <c r="D10681" i="10"/>
  <c r="E10680" i="10"/>
  <c r="D10680" i="10"/>
  <c r="E10679" i="10"/>
  <c r="D10679" i="10"/>
  <c r="E10678" i="10"/>
  <c r="D10678" i="10"/>
  <c r="E10677" i="10"/>
  <c r="D10677" i="10"/>
  <c r="E10676" i="10"/>
  <c r="D10676" i="10"/>
  <c r="E10675" i="10"/>
  <c r="D10675" i="10"/>
  <c r="E10674" i="10"/>
  <c r="D10674" i="10"/>
  <c r="E10673" i="10"/>
  <c r="D10673" i="10"/>
  <c r="E10672" i="10"/>
  <c r="D10672" i="10"/>
  <c r="E10671" i="10"/>
  <c r="D10671" i="10"/>
  <c r="E10670" i="10"/>
  <c r="D10670" i="10"/>
  <c r="E10669" i="10"/>
  <c r="D10669" i="10"/>
  <c r="E10668" i="10"/>
  <c r="D10668" i="10"/>
  <c r="E10667" i="10"/>
  <c r="D10667" i="10"/>
  <c r="E10666" i="10"/>
  <c r="D10666" i="10"/>
  <c r="E10665" i="10"/>
  <c r="D10665" i="10"/>
  <c r="E10664" i="10"/>
  <c r="D10664" i="10"/>
  <c r="E10663" i="10"/>
  <c r="D10663" i="10"/>
  <c r="E10662" i="10"/>
  <c r="D10662" i="10"/>
  <c r="E10661" i="10"/>
  <c r="D10661" i="10"/>
  <c r="E10660" i="10"/>
  <c r="D10660" i="10"/>
  <c r="E10659" i="10"/>
  <c r="D10659" i="10"/>
  <c r="E10658" i="10"/>
  <c r="D10658" i="10"/>
  <c r="E10657" i="10"/>
  <c r="D10657" i="10"/>
  <c r="E10656" i="10"/>
  <c r="D10656" i="10"/>
  <c r="E10655" i="10"/>
  <c r="D10655" i="10"/>
  <c r="E10654" i="10"/>
  <c r="D10654" i="10"/>
  <c r="E10653" i="10"/>
  <c r="D10653" i="10"/>
  <c r="E10652" i="10"/>
  <c r="D10652" i="10"/>
  <c r="E10651" i="10"/>
  <c r="D10651" i="10"/>
  <c r="E10650" i="10"/>
  <c r="D10650" i="10"/>
  <c r="E10649" i="10"/>
  <c r="D10649" i="10"/>
  <c r="E10648" i="10"/>
  <c r="D10648" i="10"/>
  <c r="E10647" i="10"/>
  <c r="D10647" i="10"/>
  <c r="E10646" i="10"/>
  <c r="D10646" i="10"/>
  <c r="E10645" i="10"/>
  <c r="D10645" i="10"/>
  <c r="E10644" i="10"/>
  <c r="D10644" i="10"/>
  <c r="E10643" i="10"/>
  <c r="D10643" i="10"/>
  <c r="E10642" i="10"/>
  <c r="D10642" i="10"/>
  <c r="E10641" i="10"/>
  <c r="D10641" i="10"/>
  <c r="E10640" i="10"/>
  <c r="D10640" i="10"/>
  <c r="E10639" i="10"/>
  <c r="D10639" i="10"/>
  <c r="E10638" i="10"/>
  <c r="D10638" i="10"/>
  <c r="E10637" i="10"/>
  <c r="D10637" i="10"/>
  <c r="E10636" i="10"/>
  <c r="D10636" i="10"/>
  <c r="E10635" i="10"/>
  <c r="D10635" i="10"/>
  <c r="E10634" i="10"/>
  <c r="D10634" i="10"/>
  <c r="E10633" i="10"/>
  <c r="D10633" i="10"/>
  <c r="E10632" i="10"/>
  <c r="D10632" i="10"/>
  <c r="E10631" i="10"/>
  <c r="D10631" i="10"/>
  <c r="E10630" i="10"/>
  <c r="D10630" i="10"/>
  <c r="E10629" i="10"/>
  <c r="D10629" i="10"/>
  <c r="E10628" i="10"/>
  <c r="D10628" i="10"/>
  <c r="E10627" i="10"/>
  <c r="D10627" i="10"/>
  <c r="E10626" i="10"/>
  <c r="D10626" i="10"/>
  <c r="E10625" i="10"/>
  <c r="D10625" i="10"/>
  <c r="E10624" i="10"/>
  <c r="D10624" i="10"/>
  <c r="E10623" i="10"/>
  <c r="D10623" i="10"/>
  <c r="E10622" i="10"/>
  <c r="D10622" i="10"/>
  <c r="E10621" i="10"/>
  <c r="D10621" i="10"/>
  <c r="E10620" i="10"/>
  <c r="D10620" i="10"/>
  <c r="E10619" i="10"/>
  <c r="D10619" i="10"/>
  <c r="E10618" i="10"/>
  <c r="D10618" i="10"/>
  <c r="E10617" i="10"/>
  <c r="D10617" i="10"/>
  <c r="E10616" i="10"/>
  <c r="D10616" i="10"/>
  <c r="E10615" i="10"/>
  <c r="D10615" i="10"/>
  <c r="E10614" i="10"/>
  <c r="D10614" i="10"/>
  <c r="E10613" i="10"/>
  <c r="D10613" i="10"/>
  <c r="E10612" i="10"/>
  <c r="D10612" i="10"/>
  <c r="E10611" i="10"/>
  <c r="D10611" i="10"/>
  <c r="E10610" i="10"/>
  <c r="D10610" i="10"/>
  <c r="E10609" i="10"/>
  <c r="D10609" i="10"/>
  <c r="E10608" i="10"/>
  <c r="D10608" i="10"/>
  <c r="E10607" i="10"/>
  <c r="D10607" i="10"/>
  <c r="E10606" i="10"/>
  <c r="D10606" i="10"/>
  <c r="E10605" i="10"/>
  <c r="D10605" i="10"/>
  <c r="E10604" i="10"/>
  <c r="D10604" i="10"/>
  <c r="E10603" i="10"/>
  <c r="D10603" i="10"/>
  <c r="E10602" i="10"/>
  <c r="D10602" i="10"/>
  <c r="E10601" i="10"/>
  <c r="D10601" i="10"/>
  <c r="E10600" i="10"/>
  <c r="D10600" i="10"/>
  <c r="E10599" i="10"/>
  <c r="D10599" i="10"/>
  <c r="E10598" i="10"/>
  <c r="D10598" i="10"/>
  <c r="E10597" i="10"/>
  <c r="D10597" i="10"/>
  <c r="E10596" i="10"/>
  <c r="D10596" i="10"/>
  <c r="E10595" i="10"/>
  <c r="D10595" i="10"/>
  <c r="E10594" i="10"/>
  <c r="D10594" i="10"/>
  <c r="E10593" i="10"/>
  <c r="D10593" i="10"/>
  <c r="E10592" i="10"/>
  <c r="D10592" i="10"/>
  <c r="E10591" i="10"/>
  <c r="D10591" i="10"/>
  <c r="E10590" i="10"/>
  <c r="D10590" i="10"/>
  <c r="E10589" i="10"/>
  <c r="D10589" i="10"/>
  <c r="E10588" i="10"/>
  <c r="D10588" i="10"/>
  <c r="E10587" i="10"/>
  <c r="D10587" i="10"/>
  <c r="E10586" i="10"/>
  <c r="D10586" i="10"/>
  <c r="E10585" i="10"/>
  <c r="D10585" i="10"/>
  <c r="E10584" i="10"/>
  <c r="D10584" i="10"/>
  <c r="E10583" i="10"/>
  <c r="D10583" i="10"/>
  <c r="E10582" i="10"/>
  <c r="D10582" i="10"/>
  <c r="E10581" i="10"/>
  <c r="D10581" i="10"/>
  <c r="E10580" i="10"/>
  <c r="D10580" i="10"/>
  <c r="E10579" i="10"/>
  <c r="D10579" i="10"/>
  <c r="E10578" i="10"/>
  <c r="D10578" i="10"/>
  <c r="E10577" i="10"/>
  <c r="D10577" i="10"/>
  <c r="E10576" i="10"/>
  <c r="D10576" i="10"/>
  <c r="E10575" i="10"/>
  <c r="D10575" i="10"/>
  <c r="E10574" i="10"/>
  <c r="D10574" i="10"/>
  <c r="E10573" i="10"/>
  <c r="D10573" i="10"/>
  <c r="E10572" i="10"/>
  <c r="D10572" i="10"/>
  <c r="E10571" i="10"/>
  <c r="D10571" i="10"/>
  <c r="E10570" i="10"/>
  <c r="D10570" i="10"/>
  <c r="E10569" i="10"/>
  <c r="D10569" i="10"/>
  <c r="E10568" i="10"/>
  <c r="D10568" i="10"/>
  <c r="E10567" i="10"/>
  <c r="D10567" i="10"/>
  <c r="E10566" i="10"/>
  <c r="D10566" i="10"/>
  <c r="E10565" i="10"/>
  <c r="D10565" i="10"/>
  <c r="E10564" i="10"/>
  <c r="D10564" i="10"/>
  <c r="E10563" i="10"/>
  <c r="D10563" i="10"/>
  <c r="E10562" i="10"/>
  <c r="D10562" i="10"/>
  <c r="E10561" i="10"/>
  <c r="D10561" i="10"/>
  <c r="E10560" i="10"/>
  <c r="D10560" i="10"/>
  <c r="E10559" i="10"/>
  <c r="D10559" i="10"/>
  <c r="E10558" i="10"/>
  <c r="D10558" i="10"/>
  <c r="E10557" i="10"/>
  <c r="D10557" i="10"/>
  <c r="E10556" i="10"/>
  <c r="D10556" i="10"/>
  <c r="E10555" i="10"/>
  <c r="D10555" i="10"/>
  <c r="E10554" i="10"/>
  <c r="D10554" i="10"/>
  <c r="E10553" i="10"/>
  <c r="D10553" i="10"/>
  <c r="E10552" i="10"/>
  <c r="D10552" i="10"/>
  <c r="E10551" i="10"/>
  <c r="D10551" i="10"/>
  <c r="E10550" i="10"/>
  <c r="D10550" i="10"/>
  <c r="E10549" i="10"/>
  <c r="D10549" i="10"/>
  <c r="E10548" i="10"/>
  <c r="D10548" i="10"/>
  <c r="E10547" i="10"/>
  <c r="D10547" i="10"/>
  <c r="E10546" i="10"/>
  <c r="D10546" i="10"/>
  <c r="E10545" i="10"/>
  <c r="D10545" i="10"/>
  <c r="E10544" i="10"/>
  <c r="D10544" i="10"/>
  <c r="E10543" i="10"/>
  <c r="D10543" i="10"/>
  <c r="E10542" i="10"/>
  <c r="D10542" i="10"/>
  <c r="E10541" i="10"/>
  <c r="D10541" i="10"/>
  <c r="E10540" i="10"/>
  <c r="D10540" i="10"/>
  <c r="E10539" i="10"/>
  <c r="D10539" i="10"/>
  <c r="E10538" i="10"/>
  <c r="D10538" i="10"/>
  <c r="E10537" i="10"/>
  <c r="D10537" i="10"/>
  <c r="E10536" i="10"/>
  <c r="D10536" i="10"/>
  <c r="E10535" i="10"/>
  <c r="D10535" i="10"/>
  <c r="E10534" i="10"/>
  <c r="D10534" i="10"/>
  <c r="E10533" i="10"/>
  <c r="D10533" i="10"/>
  <c r="E10532" i="10"/>
  <c r="D10532" i="10"/>
  <c r="E10531" i="10"/>
  <c r="D10531" i="10"/>
  <c r="E10530" i="10"/>
  <c r="D10530" i="10"/>
  <c r="E10529" i="10"/>
  <c r="D10529" i="10"/>
  <c r="E10528" i="10"/>
  <c r="D10528" i="10"/>
  <c r="E10527" i="10"/>
  <c r="D10527" i="10"/>
  <c r="E10526" i="10"/>
  <c r="D10526" i="10"/>
  <c r="E10525" i="10"/>
  <c r="D10525" i="10"/>
  <c r="E10524" i="10"/>
  <c r="D10524" i="10"/>
  <c r="E10523" i="10"/>
  <c r="D10523" i="10"/>
  <c r="E10522" i="10"/>
  <c r="D10522" i="10"/>
  <c r="E10521" i="10"/>
  <c r="D10521" i="10"/>
  <c r="E10520" i="10"/>
  <c r="D10520" i="10"/>
  <c r="E10519" i="10"/>
  <c r="D10519" i="10"/>
  <c r="E10518" i="10"/>
  <c r="D10518" i="10"/>
  <c r="E10517" i="10"/>
  <c r="D10517" i="10"/>
  <c r="E10516" i="10"/>
  <c r="D10516" i="10"/>
  <c r="E10515" i="10"/>
  <c r="D10515" i="10"/>
  <c r="E10514" i="10"/>
  <c r="D10514" i="10"/>
  <c r="E10513" i="10"/>
  <c r="D10513" i="10"/>
  <c r="E10512" i="10"/>
  <c r="D10512" i="10"/>
  <c r="E10511" i="10"/>
  <c r="D10511" i="10"/>
  <c r="E10510" i="10"/>
  <c r="D10510" i="10"/>
  <c r="E10509" i="10"/>
  <c r="D10509" i="10"/>
  <c r="E10508" i="10"/>
  <c r="D10508" i="10"/>
  <c r="E10507" i="10"/>
  <c r="D10507" i="10"/>
  <c r="E10506" i="10"/>
  <c r="D10506" i="10"/>
  <c r="E10505" i="10"/>
  <c r="D10505" i="10"/>
  <c r="E10504" i="10"/>
  <c r="D10504" i="10"/>
  <c r="E10503" i="10"/>
  <c r="D10503" i="10"/>
  <c r="E10502" i="10"/>
  <c r="D10502" i="10"/>
  <c r="E10501" i="10"/>
  <c r="D10501" i="10"/>
  <c r="E10500" i="10"/>
  <c r="D10500" i="10"/>
  <c r="E10499" i="10"/>
  <c r="D10499" i="10"/>
  <c r="E10498" i="10"/>
  <c r="D10498" i="10"/>
  <c r="E10497" i="10"/>
  <c r="D10497" i="10"/>
  <c r="E10496" i="10"/>
  <c r="D10496" i="10"/>
  <c r="E10495" i="10"/>
  <c r="D10495" i="10"/>
  <c r="E10494" i="10"/>
  <c r="D10494" i="10"/>
  <c r="E10493" i="10"/>
  <c r="D10493" i="10"/>
  <c r="E10492" i="10"/>
  <c r="D10492" i="10"/>
  <c r="E10491" i="10"/>
  <c r="D10491" i="10"/>
  <c r="E10490" i="10"/>
  <c r="D10490" i="10"/>
  <c r="E10489" i="10"/>
  <c r="D10489" i="10"/>
  <c r="E10488" i="10"/>
  <c r="D10488" i="10"/>
  <c r="E10487" i="10"/>
  <c r="D10487" i="10"/>
  <c r="E10486" i="10"/>
  <c r="D10486" i="10"/>
  <c r="E10485" i="10"/>
  <c r="D10485" i="10"/>
  <c r="E10484" i="10"/>
  <c r="D10484" i="10"/>
  <c r="E10483" i="10"/>
  <c r="D10483" i="10"/>
  <c r="E10482" i="10"/>
  <c r="D10482" i="10"/>
  <c r="E10481" i="10"/>
  <c r="D10481" i="10"/>
  <c r="E10480" i="10"/>
  <c r="D10480" i="10"/>
  <c r="E10479" i="10"/>
  <c r="D10479" i="10"/>
  <c r="E10478" i="10"/>
  <c r="D10478" i="10"/>
  <c r="E10477" i="10"/>
  <c r="D10477" i="10"/>
  <c r="E10476" i="10"/>
  <c r="D10476" i="10"/>
  <c r="E10475" i="10"/>
  <c r="D10475" i="10"/>
  <c r="E10474" i="10"/>
  <c r="D10474" i="10"/>
  <c r="E10473" i="10"/>
  <c r="D10473" i="10"/>
  <c r="E10472" i="10"/>
  <c r="D10472" i="10"/>
  <c r="E10471" i="10"/>
  <c r="D10471" i="10"/>
  <c r="E10470" i="10"/>
  <c r="D10470" i="10"/>
  <c r="E10469" i="10"/>
  <c r="D10469" i="10"/>
  <c r="E10468" i="10"/>
  <c r="D10468" i="10"/>
  <c r="E10467" i="10"/>
  <c r="D10467" i="10"/>
  <c r="E10466" i="10"/>
  <c r="D10466" i="10"/>
  <c r="E10465" i="10"/>
  <c r="D10465" i="10"/>
  <c r="E10464" i="10"/>
  <c r="D10464" i="10"/>
  <c r="E10463" i="10"/>
  <c r="D10463" i="10"/>
  <c r="E10462" i="10"/>
  <c r="D10462" i="10"/>
  <c r="E10461" i="10"/>
  <c r="D10461" i="10"/>
  <c r="E10460" i="10"/>
  <c r="D10460" i="10"/>
  <c r="E10459" i="10"/>
  <c r="D10459" i="10"/>
  <c r="E10458" i="10"/>
  <c r="D10458" i="10"/>
  <c r="E10457" i="10"/>
  <c r="D10457" i="10"/>
  <c r="E10456" i="10"/>
  <c r="D10456" i="10"/>
  <c r="E10455" i="10"/>
  <c r="D10455" i="10"/>
  <c r="E10454" i="10"/>
  <c r="D10454" i="10"/>
  <c r="E10453" i="10"/>
  <c r="D10453" i="10"/>
  <c r="E10452" i="10"/>
  <c r="D10452" i="10"/>
  <c r="E10451" i="10"/>
  <c r="D10451" i="10"/>
  <c r="E10450" i="10"/>
  <c r="D10450" i="10"/>
  <c r="E10449" i="10"/>
  <c r="D10449" i="10"/>
  <c r="E10448" i="10"/>
  <c r="D10448" i="10"/>
  <c r="E10447" i="10"/>
  <c r="D10447" i="10"/>
  <c r="E10446" i="10"/>
  <c r="D10446" i="10"/>
  <c r="E10445" i="10"/>
  <c r="D10445" i="10"/>
  <c r="E10444" i="10"/>
  <c r="D10444" i="10"/>
  <c r="E10443" i="10"/>
  <c r="D10443" i="10"/>
  <c r="E10442" i="10"/>
  <c r="D10442" i="10"/>
  <c r="E10441" i="10"/>
  <c r="D10441" i="10"/>
  <c r="E10440" i="10"/>
  <c r="D10440" i="10"/>
  <c r="E10439" i="10"/>
  <c r="D10439" i="10"/>
  <c r="E10438" i="10"/>
  <c r="D10438" i="10"/>
  <c r="E10437" i="10"/>
  <c r="D10437" i="10"/>
  <c r="E10436" i="10"/>
  <c r="D10436" i="10"/>
  <c r="E10435" i="10"/>
  <c r="D10435" i="10"/>
  <c r="E10434" i="10"/>
  <c r="D10434" i="10"/>
  <c r="E10433" i="10"/>
  <c r="D10433" i="10"/>
  <c r="E10432" i="10"/>
  <c r="D10432" i="10"/>
  <c r="E10431" i="10"/>
  <c r="D10431" i="10"/>
  <c r="E10430" i="10"/>
  <c r="D10430" i="10"/>
  <c r="E10429" i="10"/>
  <c r="D10429" i="10"/>
  <c r="E10428" i="10"/>
  <c r="D10428" i="10"/>
  <c r="E10427" i="10"/>
  <c r="D10427" i="10"/>
  <c r="E10426" i="10"/>
  <c r="D10426" i="10"/>
  <c r="E10425" i="10"/>
  <c r="D10425" i="10"/>
  <c r="E10424" i="10"/>
  <c r="D10424" i="10"/>
  <c r="E10423" i="10"/>
  <c r="D10423" i="10"/>
  <c r="E10422" i="10"/>
  <c r="D10422" i="10"/>
  <c r="E10421" i="10"/>
  <c r="D10421" i="10"/>
  <c r="E10420" i="10"/>
  <c r="D10420" i="10"/>
  <c r="E10419" i="10"/>
  <c r="D10419" i="10"/>
  <c r="E10418" i="10"/>
  <c r="D10418" i="10"/>
  <c r="E10417" i="10"/>
  <c r="D10417" i="10"/>
  <c r="E10416" i="10"/>
  <c r="D10416" i="10"/>
  <c r="E10415" i="10"/>
  <c r="D10415" i="10"/>
  <c r="E10414" i="10"/>
  <c r="D10414" i="10"/>
  <c r="E10413" i="10"/>
  <c r="D10413" i="10"/>
  <c r="E10412" i="10"/>
  <c r="D10412" i="10"/>
  <c r="E10411" i="10"/>
  <c r="D10411" i="10"/>
  <c r="E10410" i="10"/>
  <c r="D10410" i="10"/>
  <c r="E10409" i="10"/>
  <c r="D10409" i="10"/>
  <c r="E10408" i="10"/>
  <c r="D10408" i="10"/>
  <c r="E10407" i="10"/>
  <c r="D10407" i="10"/>
  <c r="E10406" i="10"/>
  <c r="D10406" i="10"/>
  <c r="E10405" i="10"/>
  <c r="D10405" i="10"/>
  <c r="E10404" i="10"/>
  <c r="D10404" i="10"/>
  <c r="E10403" i="10"/>
  <c r="D10403" i="10"/>
  <c r="E10402" i="10"/>
  <c r="D10402" i="10"/>
  <c r="E10401" i="10"/>
  <c r="D10401" i="10"/>
  <c r="E10400" i="10"/>
  <c r="D10400" i="10"/>
  <c r="E10399" i="10"/>
  <c r="D10399" i="10"/>
  <c r="E10398" i="10"/>
  <c r="D10398" i="10"/>
  <c r="E10397" i="10"/>
  <c r="D10397" i="10"/>
  <c r="E10396" i="10"/>
  <c r="D10396" i="10"/>
  <c r="E10395" i="10"/>
  <c r="D10395" i="10"/>
  <c r="E10394" i="10"/>
  <c r="D10394" i="10"/>
  <c r="E10393" i="10"/>
  <c r="D10393" i="10"/>
  <c r="E10392" i="10"/>
  <c r="D10392" i="10"/>
  <c r="E10391" i="10"/>
  <c r="D10391" i="10"/>
  <c r="E10390" i="10"/>
  <c r="D10390" i="10"/>
  <c r="E10389" i="10"/>
  <c r="D10389" i="10"/>
  <c r="E10388" i="10"/>
  <c r="D10388" i="10"/>
  <c r="E10387" i="10"/>
  <c r="D10387" i="10"/>
  <c r="E10386" i="10"/>
  <c r="D10386" i="10"/>
  <c r="E10385" i="10"/>
  <c r="D10385" i="10"/>
  <c r="E10384" i="10"/>
  <c r="D10384" i="10"/>
  <c r="E10383" i="10"/>
  <c r="D10383" i="10"/>
  <c r="E10382" i="10"/>
  <c r="D10382" i="10"/>
  <c r="E10381" i="10"/>
  <c r="D10381" i="10"/>
  <c r="E10380" i="10"/>
  <c r="D10380" i="10"/>
  <c r="E10379" i="10"/>
  <c r="D10379" i="10"/>
  <c r="E10378" i="10"/>
  <c r="D10378" i="10"/>
  <c r="E10377" i="10"/>
  <c r="D10377" i="10"/>
  <c r="E10376" i="10"/>
  <c r="D10376" i="10"/>
  <c r="E10375" i="10"/>
  <c r="D10375" i="10"/>
  <c r="E10374" i="10"/>
  <c r="D10374" i="10"/>
  <c r="E10373" i="10"/>
  <c r="D10373" i="10"/>
  <c r="E10372" i="10"/>
  <c r="D10372" i="10"/>
  <c r="E10371" i="10"/>
  <c r="D10371" i="10"/>
  <c r="E10370" i="10"/>
  <c r="D10370" i="10"/>
  <c r="E10369" i="10"/>
  <c r="D10369" i="10"/>
  <c r="E10368" i="10"/>
  <c r="D10368" i="10"/>
  <c r="E10367" i="10"/>
  <c r="D10367" i="10"/>
  <c r="E10366" i="10"/>
  <c r="D10366" i="10"/>
  <c r="E10365" i="10"/>
  <c r="D10365" i="10"/>
  <c r="E10364" i="10"/>
  <c r="D10364" i="10"/>
  <c r="E10363" i="10"/>
  <c r="D10363" i="10"/>
  <c r="E10362" i="10"/>
  <c r="D10362" i="10"/>
  <c r="E10361" i="10"/>
  <c r="D10361" i="10"/>
  <c r="E10360" i="10"/>
  <c r="D10360" i="10"/>
  <c r="E10359" i="10"/>
  <c r="D10359" i="10"/>
  <c r="E10358" i="10"/>
  <c r="D10358" i="10"/>
  <c r="E10357" i="10"/>
  <c r="D10357" i="10"/>
  <c r="E10356" i="10"/>
  <c r="D10356" i="10"/>
  <c r="E10355" i="10"/>
  <c r="D10355" i="10"/>
  <c r="E10354" i="10"/>
  <c r="D10354" i="10"/>
  <c r="E10353" i="10"/>
  <c r="D10353" i="10"/>
  <c r="E10352" i="10"/>
  <c r="D10352" i="10"/>
  <c r="E10351" i="10"/>
  <c r="D10351" i="10"/>
  <c r="E10350" i="10"/>
  <c r="D10350" i="10"/>
  <c r="E10349" i="10"/>
  <c r="D10349" i="10"/>
  <c r="E10348" i="10"/>
  <c r="D10348" i="10"/>
  <c r="E10347" i="10"/>
  <c r="D10347" i="10"/>
  <c r="E10346" i="10"/>
  <c r="D10346" i="10"/>
  <c r="E10345" i="10"/>
  <c r="D10345" i="10"/>
  <c r="E10344" i="10"/>
  <c r="D10344" i="10"/>
  <c r="E10343" i="10"/>
  <c r="D10343" i="10"/>
  <c r="E10342" i="10"/>
  <c r="D10342" i="10"/>
  <c r="E10341" i="10"/>
  <c r="D10341" i="10"/>
  <c r="E10340" i="10"/>
  <c r="D10340" i="10"/>
  <c r="E10339" i="10"/>
  <c r="D10339" i="10"/>
  <c r="E10338" i="10"/>
  <c r="D10338" i="10"/>
  <c r="E10337" i="10"/>
  <c r="D10337" i="10"/>
  <c r="E10336" i="10"/>
  <c r="D10336" i="10"/>
  <c r="E10335" i="10"/>
  <c r="D10335" i="10"/>
  <c r="E10334" i="10"/>
  <c r="D10334" i="10"/>
  <c r="E10333" i="10"/>
  <c r="D10333" i="10"/>
  <c r="E10332" i="10"/>
  <c r="D10332" i="10"/>
  <c r="E10331" i="10"/>
  <c r="D10331" i="10"/>
  <c r="E10330" i="10"/>
  <c r="D10330" i="10"/>
  <c r="E10329" i="10"/>
  <c r="D10329" i="10"/>
  <c r="E10328" i="10"/>
  <c r="D10328" i="10"/>
  <c r="E10327" i="10"/>
  <c r="D10327" i="10"/>
  <c r="E10326" i="10"/>
  <c r="D10326" i="10"/>
  <c r="E10325" i="10"/>
  <c r="D10325" i="10"/>
  <c r="E10324" i="10"/>
  <c r="D10324" i="10"/>
  <c r="E10323" i="10"/>
  <c r="D10323" i="10"/>
  <c r="E10322" i="10"/>
  <c r="D10322" i="10"/>
  <c r="E10321" i="10"/>
  <c r="D10321" i="10"/>
  <c r="E10320" i="10"/>
  <c r="D10320" i="10"/>
  <c r="E10319" i="10"/>
  <c r="D10319" i="10"/>
  <c r="E10318" i="10"/>
  <c r="D10318" i="10"/>
  <c r="E10317" i="10"/>
  <c r="D10317" i="10"/>
  <c r="E10316" i="10"/>
  <c r="D10316" i="10"/>
  <c r="E10315" i="10"/>
  <c r="D10315" i="10"/>
  <c r="E10314" i="10"/>
  <c r="D10314" i="10"/>
  <c r="E10313" i="10"/>
  <c r="D10313" i="10"/>
  <c r="E10312" i="10"/>
  <c r="D10312" i="10"/>
  <c r="E10311" i="10"/>
  <c r="D10311" i="10"/>
  <c r="E10310" i="10"/>
  <c r="D10310" i="10"/>
  <c r="E10309" i="10"/>
  <c r="D10309" i="10"/>
  <c r="E10308" i="10"/>
  <c r="D10308" i="10"/>
  <c r="E10307" i="10"/>
  <c r="D10307" i="10"/>
  <c r="E10306" i="10"/>
  <c r="D10306" i="10"/>
  <c r="E10305" i="10"/>
  <c r="D10305" i="10"/>
  <c r="E10304" i="10"/>
  <c r="D10304" i="10"/>
  <c r="E10303" i="10"/>
  <c r="D10303" i="10"/>
  <c r="E10302" i="10"/>
  <c r="D10302" i="10"/>
  <c r="E10301" i="10"/>
  <c r="D10301" i="10"/>
  <c r="E10300" i="10"/>
  <c r="D10300" i="10"/>
  <c r="E10299" i="10"/>
  <c r="D10299" i="10"/>
  <c r="E10298" i="10"/>
  <c r="D10298" i="10"/>
  <c r="E10297" i="10"/>
  <c r="D10297" i="10"/>
  <c r="E10296" i="10"/>
  <c r="D10296" i="10"/>
  <c r="E10295" i="10"/>
  <c r="D10295" i="10"/>
  <c r="E10294" i="10"/>
  <c r="D10294" i="10"/>
  <c r="E10293" i="10"/>
  <c r="D10293" i="10"/>
  <c r="E10292" i="10"/>
  <c r="D10292" i="10"/>
  <c r="E10291" i="10"/>
  <c r="D10291" i="10"/>
  <c r="E10290" i="10"/>
  <c r="D10290" i="10"/>
  <c r="E10289" i="10"/>
  <c r="D10289" i="10"/>
  <c r="E10288" i="10"/>
  <c r="D10288" i="10"/>
  <c r="E10287" i="10"/>
  <c r="D10287" i="10"/>
  <c r="E10286" i="10"/>
  <c r="D10286" i="10"/>
  <c r="E10285" i="10"/>
  <c r="D10285" i="10"/>
  <c r="E10284" i="10"/>
  <c r="D10284" i="10"/>
  <c r="E10283" i="10"/>
  <c r="D10283" i="10"/>
  <c r="E10282" i="10"/>
  <c r="D10282" i="10"/>
  <c r="E10281" i="10"/>
  <c r="D10281" i="10"/>
  <c r="E10280" i="10"/>
  <c r="D10280" i="10"/>
  <c r="E10279" i="10"/>
  <c r="D10279" i="10"/>
  <c r="E10278" i="10"/>
  <c r="D10278" i="10"/>
  <c r="E10277" i="10"/>
  <c r="D10277" i="10"/>
  <c r="E10276" i="10"/>
  <c r="D10276" i="10"/>
  <c r="E10275" i="10"/>
  <c r="D10275" i="10"/>
  <c r="E10274" i="10"/>
  <c r="D10274" i="10"/>
  <c r="E10273" i="10"/>
  <c r="D10273" i="10"/>
  <c r="E10272" i="10"/>
  <c r="D10272" i="10"/>
  <c r="E10271" i="10"/>
  <c r="D10271" i="10"/>
  <c r="E10270" i="10"/>
  <c r="D10270" i="10"/>
  <c r="E10269" i="10"/>
  <c r="D10269" i="10"/>
  <c r="E10268" i="10"/>
  <c r="D10268" i="10"/>
  <c r="E10267" i="10"/>
  <c r="D10267" i="10"/>
  <c r="E10266" i="10"/>
  <c r="D10266" i="10"/>
  <c r="E10265" i="10"/>
  <c r="D10265" i="10"/>
  <c r="E10264" i="10"/>
  <c r="D10264" i="10"/>
  <c r="E10263" i="10"/>
  <c r="D10263" i="10"/>
  <c r="E10262" i="10"/>
  <c r="D10262" i="10"/>
  <c r="E10261" i="10"/>
  <c r="D10261" i="10"/>
  <c r="E10260" i="10"/>
  <c r="D10260" i="10"/>
  <c r="E10259" i="10"/>
  <c r="D10259" i="10"/>
  <c r="E10258" i="10"/>
  <c r="D10258" i="10"/>
  <c r="E10257" i="10"/>
  <c r="D10257" i="10"/>
  <c r="E10256" i="10"/>
  <c r="D10256" i="10"/>
  <c r="E10255" i="10"/>
  <c r="D10255" i="10"/>
  <c r="E10254" i="10"/>
  <c r="D10254" i="10"/>
  <c r="E10253" i="10"/>
  <c r="D10253" i="10"/>
  <c r="E10252" i="10"/>
  <c r="D10252" i="10"/>
  <c r="E10251" i="10"/>
  <c r="D10251" i="10"/>
  <c r="E10250" i="10"/>
  <c r="D10250" i="10"/>
  <c r="E10249" i="10"/>
  <c r="D10249" i="10"/>
  <c r="E10248" i="10"/>
  <c r="D10248" i="10"/>
  <c r="E10247" i="10"/>
  <c r="D10247" i="10"/>
  <c r="E10246" i="10"/>
  <c r="D10246" i="10"/>
  <c r="E10245" i="10"/>
  <c r="D10245" i="10"/>
  <c r="E10244" i="10"/>
  <c r="D10244" i="10"/>
  <c r="E10243" i="10"/>
  <c r="D10243" i="10"/>
  <c r="E10242" i="10"/>
  <c r="D10242" i="10"/>
  <c r="E10241" i="10"/>
  <c r="D10241" i="10"/>
  <c r="E10240" i="10"/>
  <c r="D10240" i="10"/>
  <c r="E10239" i="10"/>
  <c r="D10239" i="10"/>
  <c r="E10238" i="10"/>
  <c r="D10238" i="10"/>
  <c r="E10237" i="10"/>
  <c r="D10237" i="10"/>
  <c r="E10236" i="10"/>
  <c r="D10236" i="10"/>
  <c r="E10235" i="10"/>
  <c r="D10235" i="10"/>
  <c r="E10234" i="10"/>
  <c r="D10234" i="10"/>
  <c r="E10233" i="10"/>
  <c r="D10233" i="10"/>
  <c r="E10232" i="10"/>
  <c r="D10232" i="10"/>
  <c r="E10231" i="10"/>
  <c r="D10231" i="10"/>
  <c r="E10230" i="10"/>
  <c r="D10230" i="10"/>
  <c r="E10229" i="10"/>
  <c r="D10229" i="10"/>
  <c r="E10228" i="10"/>
  <c r="D10228" i="10"/>
  <c r="E10227" i="10"/>
  <c r="D10227" i="10"/>
  <c r="E10226" i="10"/>
  <c r="D10226" i="10"/>
  <c r="E10225" i="10"/>
  <c r="D10225" i="10"/>
  <c r="E10224" i="10"/>
  <c r="D10224" i="10"/>
  <c r="E10223" i="10"/>
  <c r="D10223" i="10"/>
  <c r="E10222" i="10"/>
  <c r="D10222" i="10"/>
  <c r="E10221" i="10"/>
  <c r="D10221" i="10"/>
  <c r="E10220" i="10"/>
  <c r="D10220" i="10"/>
  <c r="E10219" i="10"/>
  <c r="D10219" i="10"/>
  <c r="E10218" i="10"/>
  <c r="D10218" i="10"/>
  <c r="E10217" i="10"/>
  <c r="D10217" i="10"/>
  <c r="E10216" i="10"/>
  <c r="D10216" i="10"/>
  <c r="E10215" i="10"/>
  <c r="D10215" i="10"/>
  <c r="E10214" i="10"/>
  <c r="D10214" i="10"/>
  <c r="E10213" i="10"/>
  <c r="D10213" i="10"/>
  <c r="E10212" i="10"/>
  <c r="D10212" i="10"/>
  <c r="E10211" i="10"/>
  <c r="D10211" i="10"/>
  <c r="E10210" i="10"/>
  <c r="D10210" i="10"/>
  <c r="E10209" i="10"/>
  <c r="D10209" i="10"/>
  <c r="E10208" i="10"/>
  <c r="D10208" i="10"/>
  <c r="E10207" i="10"/>
  <c r="D10207" i="10"/>
  <c r="E10206" i="10"/>
  <c r="D10206" i="10"/>
  <c r="E10205" i="10"/>
  <c r="D10205" i="10"/>
  <c r="E10204" i="10"/>
  <c r="D10204" i="10"/>
  <c r="E10203" i="10"/>
  <c r="D10203" i="10"/>
  <c r="E10202" i="10"/>
  <c r="D10202" i="10"/>
  <c r="E10201" i="10"/>
  <c r="D10201" i="10"/>
  <c r="E10200" i="10"/>
  <c r="D10200" i="10"/>
  <c r="E10199" i="10"/>
  <c r="D10199" i="10"/>
  <c r="E10198" i="10"/>
  <c r="D10198" i="10"/>
  <c r="E10197" i="10"/>
  <c r="D10197" i="10"/>
  <c r="E10196" i="10"/>
  <c r="D10196" i="10"/>
  <c r="E10195" i="10"/>
  <c r="D10195" i="10"/>
  <c r="E10194" i="10"/>
  <c r="D10194" i="10"/>
  <c r="E10193" i="10"/>
  <c r="D10193" i="10"/>
  <c r="E10192" i="10"/>
  <c r="D10192" i="10"/>
  <c r="E10191" i="10"/>
  <c r="D10191" i="10"/>
  <c r="E10190" i="10"/>
  <c r="D10190" i="10"/>
  <c r="E10189" i="10"/>
  <c r="D10189" i="10"/>
  <c r="E10188" i="10"/>
  <c r="D10188" i="10"/>
  <c r="E10187" i="10"/>
  <c r="D10187" i="10"/>
  <c r="E10186" i="10"/>
  <c r="D10186" i="10"/>
  <c r="E10185" i="10"/>
  <c r="D10185" i="10"/>
  <c r="E10184" i="10"/>
  <c r="D10184" i="10"/>
  <c r="E10183" i="10"/>
  <c r="D10183" i="10"/>
  <c r="E10182" i="10"/>
  <c r="D10182" i="10"/>
  <c r="E10181" i="10"/>
  <c r="D10181" i="10"/>
  <c r="E10180" i="10"/>
  <c r="D10180" i="10"/>
  <c r="E10179" i="10"/>
  <c r="D10179" i="10"/>
  <c r="E10178" i="10"/>
  <c r="D10178" i="10"/>
  <c r="E10177" i="10"/>
  <c r="D10177" i="10"/>
  <c r="E10176" i="10"/>
  <c r="D10176" i="10"/>
  <c r="E10175" i="10"/>
  <c r="D10175" i="10"/>
  <c r="E10174" i="10"/>
  <c r="D10174" i="10"/>
  <c r="E10173" i="10"/>
  <c r="D10173" i="10"/>
  <c r="E10172" i="10"/>
  <c r="D10172" i="10"/>
  <c r="E10171" i="10"/>
  <c r="D10171" i="10"/>
  <c r="E10170" i="10"/>
  <c r="D10170" i="10"/>
  <c r="E10169" i="10"/>
  <c r="D10169" i="10"/>
  <c r="E10168" i="10"/>
  <c r="D10168" i="10"/>
  <c r="E10167" i="10"/>
  <c r="D10167" i="10"/>
  <c r="E10166" i="10"/>
  <c r="D10166" i="10"/>
  <c r="E10165" i="10"/>
  <c r="D10165" i="10"/>
  <c r="E10164" i="10"/>
  <c r="D10164" i="10"/>
  <c r="E10163" i="10"/>
  <c r="D10163" i="10"/>
  <c r="E10162" i="10"/>
  <c r="D10162" i="10"/>
  <c r="E10161" i="10"/>
  <c r="D10161" i="10"/>
  <c r="E10160" i="10"/>
  <c r="D10160" i="10"/>
  <c r="E10159" i="10"/>
  <c r="D10159" i="10"/>
  <c r="E10158" i="10"/>
  <c r="D10158" i="10"/>
  <c r="E10157" i="10"/>
  <c r="D10157" i="10"/>
  <c r="E10156" i="10"/>
  <c r="D10156" i="10"/>
  <c r="E10155" i="10"/>
  <c r="D10155" i="10"/>
  <c r="E10154" i="10"/>
  <c r="D10154" i="10"/>
  <c r="E10153" i="10"/>
  <c r="D10153" i="10"/>
  <c r="E10152" i="10"/>
  <c r="D10152" i="10"/>
  <c r="E10151" i="10"/>
  <c r="D10151" i="10"/>
  <c r="E10150" i="10"/>
  <c r="D10150" i="10"/>
  <c r="E10149" i="10"/>
  <c r="D10149" i="10"/>
  <c r="E10148" i="10"/>
  <c r="D10148" i="10"/>
  <c r="E10147" i="10"/>
  <c r="D10147" i="10"/>
  <c r="E10146" i="10"/>
  <c r="D10146" i="10"/>
  <c r="E10145" i="10"/>
  <c r="D10145" i="10"/>
  <c r="E10144" i="10"/>
  <c r="D10144" i="10"/>
  <c r="E10143" i="10"/>
  <c r="D10143" i="10"/>
  <c r="E10142" i="10"/>
  <c r="D10142" i="10"/>
  <c r="E10141" i="10"/>
  <c r="D10141" i="10"/>
  <c r="E10140" i="10"/>
  <c r="D10140" i="10"/>
  <c r="E10139" i="10"/>
  <c r="D10139" i="10"/>
  <c r="E10138" i="10"/>
  <c r="D10138" i="10"/>
  <c r="E10137" i="10"/>
  <c r="D10137" i="10"/>
  <c r="E10136" i="10"/>
  <c r="D10136" i="10"/>
  <c r="E10135" i="10"/>
  <c r="D10135" i="10"/>
  <c r="E10134" i="10"/>
  <c r="D10134" i="10"/>
  <c r="E10133" i="10"/>
  <c r="D10133" i="10"/>
  <c r="E10132" i="10"/>
  <c r="D10132" i="10"/>
  <c r="E10131" i="10"/>
  <c r="D10131" i="10"/>
  <c r="E10130" i="10"/>
  <c r="D10130" i="10"/>
  <c r="E10129" i="10"/>
  <c r="D10129" i="10"/>
  <c r="E10128" i="10"/>
  <c r="D10128" i="10"/>
  <c r="E10127" i="10"/>
  <c r="D10127" i="10"/>
  <c r="E10126" i="10"/>
  <c r="D10126" i="10"/>
  <c r="E10125" i="10"/>
  <c r="D10125" i="10"/>
  <c r="E10124" i="10"/>
  <c r="D10124" i="10"/>
  <c r="E10123" i="10"/>
  <c r="D10123" i="10"/>
  <c r="E10122" i="10"/>
  <c r="D10122" i="10"/>
  <c r="E10121" i="10"/>
  <c r="D10121" i="10"/>
  <c r="E10120" i="10"/>
  <c r="D10120" i="10"/>
  <c r="E10119" i="10"/>
  <c r="D10119" i="10"/>
  <c r="E10118" i="10"/>
  <c r="D10118" i="10"/>
  <c r="E10117" i="10"/>
  <c r="D10117" i="10"/>
  <c r="E10116" i="10"/>
  <c r="D10116" i="10"/>
  <c r="E10115" i="10"/>
  <c r="D10115" i="10"/>
  <c r="E10114" i="10"/>
  <c r="D10114" i="10"/>
  <c r="E10113" i="10"/>
  <c r="D10113" i="10"/>
  <c r="E10112" i="10"/>
  <c r="D10112" i="10"/>
  <c r="E10111" i="10"/>
  <c r="D10111" i="10"/>
  <c r="E10110" i="10"/>
  <c r="D10110" i="10"/>
  <c r="E10109" i="10"/>
  <c r="D10109" i="10"/>
  <c r="E10108" i="10"/>
  <c r="D10108" i="10"/>
  <c r="E10107" i="10"/>
  <c r="D10107" i="10"/>
  <c r="E10106" i="10"/>
  <c r="D10106" i="10"/>
  <c r="E10105" i="10"/>
  <c r="D10105" i="10"/>
  <c r="E10104" i="10"/>
  <c r="D10104" i="10"/>
  <c r="E10103" i="10"/>
  <c r="D10103" i="10"/>
  <c r="E10102" i="10"/>
  <c r="D10102" i="10"/>
  <c r="E10101" i="10"/>
  <c r="D10101" i="10"/>
  <c r="E10100" i="10"/>
  <c r="D10100" i="10"/>
  <c r="E10099" i="10"/>
  <c r="D10099" i="10"/>
  <c r="E10098" i="10"/>
  <c r="D10098" i="10"/>
  <c r="E10097" i="10"/>
  <c r="D10097" i="10"/>
  <c r="E10096" i="10"/>
  <c r="D10096" i="10"/>
  <c r="E10095" i="10"/>
  <c r="D10095" i="10"/>
  <c r="E10094" i="10"/>
  <c r="D10094" i="10"/>
  <c r="E10093" i="10"/>
  <c r="D10093" i="10"/>
  <c r="E10092" i="10"/>
  <c r="D10092" i="10"/>
  <c r="E10091" i="10"/>
  <c r="D10091" i="10"/>
  <c r="E10090" i="10"/>
  <c r="D10090" i="10"/>
  <c r="E10089" i="10"/>
  <c r="D10089" i="10"/>
  <c r="E10088" i="10"/>
  <c r="D10088" i="10"/>
  <c r="E10087" i="10"/>
  <c r="D10087" i="10"/>
  <c r="E10086" i="10"/>
  <c r="D10086" i="10"/>
  <c r="E10085" i="10"/>
  <c r="D10085" i="10"/>
  <c r="E10084" i="10"/>
  <c r="D10084" i="10"/>
  <c r="E10083" i="10"/>
  <c r="D10083" i="10"/>
  <c r="E10082" i="10"/>
  <c r="D10082" i="10"/>
  <c r="E10081" i="10"/>
  <c r="D10081" i="10"/>
  <c r="E10080" i="10"/>
  <c r="D10080" i="10"/>
  <c r="E10079" i="10"/>
  <c r="D10079" i="10"/>
  <c r="E10078" i="10"/>
  <c r="D10078" i="10"/>
  <c r="E10077" i="10"/>
  <c r="D10077" i="10"/>
  <c r="E10076" i="10"/>
  <c r="D10076" i="10"/>
  <c r="E10075" i="10"/>
  <c r="D10075" i="10"/>
  <c r="E10074" i="10"/>
  <c r="D10074" i="10"/>
  <c r="E10073" i="10"/>
  <c r="D10073" i="10"/>
  <c r="E10072" i="10"/>
  <c r="D10072" i="10"/>
  <c r="E10071" i="10"/>
  <c r="D10071" i="10"/>
  <c r="E10070" i="10"/>
  <c r="D10070" i="10"/>
  <c r="E10069" i="10"/>
  <c r="D10069" i="10"/>
  <c r="E10068" i="10"/>
  <c r="D10068" i="10"/>
  <c r="E10067" i="10"/>
  <c r="D10067" i="10"/>
  <c r="E10066" i="10"/>
  <c r="D10066" i="10"/>
  <c r="E10065" i="10"/>
  <c r="D10065" i="10"/>
  <c r="E10064" i="10"/>
  <c r="D10064" i="10"/>
  <c r="E10063" i="10"/>
  <c r="D10063" i="10"/>
  <c r="E10062" i="10"/>
  <c r="D10062" i="10"/>
  <c r="E10061" i="10"/>
  <c r="D10061" i="10"/>
  <c r="E10060" i="10"/>
  <c r="D10060" i="10"/>
  <c r="E10059" i="10"/>
  <c r="D10059" i="10"/>
  <c r="E10058" i="10"/>
  <c r="D10058" i="10"/>
  <c r="E10057" i="10"/>
  <c r="D10057" i="10"/>
  <c r="E10056" i="10"/>
  <c r="D10056" i="10"/>
  <c r="E10055" i="10"/>
  <c r="D10055" i="10"/>
  <c r="E10054" i="10"/>
  <c r="D10054" i="10"/>
  <c r="E10053" i="10"/>
  <c r="D10053" i="10"/>
  <c r="E10052" i="10"/>
  <c r="D10052" i="10"/>
  <c r="E10051" i="10"/>
  <c r="D10051" i="10"/>
  <c r="E10050" i="10"/>
  <c r="D10050" i="10"/>
  <c r="E10049" i="10"/>
  <c r="D10049" i="10"/>
  <c r="E10048" i="10"/>
  <c r="D10048" i="10"/>
  <c r="E10047" i="10"/>
  <c r="D10047" i="10"/>
  <c r="E10046" i="10"/>
  <c r="D10046" i="10"/>
  <c r="E10045" i="10"/>
  <c r="D10045" i="10"/>
  <c r="E10044" i="10"/>
  <c r="D10044" i="10"/>
  <c r="E10043" i="10"/>
  <c r="D10043" i="10"/>
  <c r="E10042" i="10"/>
  <c r="D10042" i="10"/>
  <c r="E10041" i="10"/>
  <c r="D10041" i="10"/>
  <c r="E10040" i="10"/>
  <c r="D10040" i="10"/>
  <c r="E10039" i="10"/>
  <c r="D10039" i="10"/>
  <c r="E10038" i="10"/>
  <c r="D10038" i="10"/>
  <c r="E10037" i="10"/>
  <c r="D10037" i="10"/>
  <c r="E10036" i="10"/>
  <c r="D10036" i="10"/>
  <c r="E10035" i="10"/>
  <c r="D10035" i="10"/>
  <c r="E10034" i="10"/>
  <c r="D10034" i="10"/>
  <c r="E10033" i="10"/>
  <c r="D10033" i="10"/>
  <c r="E10032" i="10"/>
  <c r="D10032" i="10"/>
  <c r="E10031" i="10"/>
  <c r="D10031" i="10"/>
  <c r="E10030" i="10"/>
  <c r="D10030" i="10"/>
  <c r="E10029" i="10"/>
  <c r="D10029" i="10"/>
  <c r="E10028" i="10"/>
  <c r="D10028" i="10"/>
  <c r="E10027" i="10"/>
  <c r="D10027" i="10"/>
  <c r="E10026" i="10"/>
  <c r="D10026" i="10"/>
  <c r="E10025" i="10"/>
  <c r="D10025" i="10"/>
  <c r="E10024" i="10"/>
  <c r="D10024" i="10"/>
  <c r="E10023" i="10"/>
  <c r="D10023" i="10"/>
  <c r="E10022" i="10"/>
  <c r="D10022" i="10"/>
  <c r="E10021" i="10"/>
  <c r="D10021" i="10"/>
  <c r="E10020" i="10"/>
  <c r="D10020" i="10"/>
  <c r="E10019" i="10"/>
  <c r="D10019" i="10"/>
  <c r="E10018" i="10"/>
  <c r="D10018" i="10"/>
  <c r="E10017" i="10"/>
  <c r="D10017" i="10"/>
  <c r="E10016" i="10"/>
  <c r="D10016" i="10"/>
  <c r="E10015" i="10"/>
  <c r="D10015" i="10"/>
  <c r="E10014" i="10"/>
  <c r="D10014" i="10"/>
  <c r="E10013" i="10"/>
  <c r="D10013" i="10"/>
  <c r="E10012" i="10"/>
  <c r="D10012" i="10"/>
  <c r="E10011" i="10"/>
  <c r="D10011" i="10"/>
  <c r="E10010" i="10"/>
  <c r="D10010" i="10"/>
  <c r="E10009" i="10"/>
  <c r="D10009" i="10"/>
  <c r="E10008" i="10"/>
  <c r="D10008" i="10"/>
  <c r="E10007" i="10"/>
  <c r="D10007" i="10"/>
  <c r="E10006" i="10"/>
  <c r="D10006" i="10"/>
  <c r="E10005" i="10"/>
  <c r="D10005" i="10"/>
  <c r="E10004" i="10"/>
  <c r="D10004" i="10"/>
  <c r="E10003" i="10"/>
  <c r="D10003" i="10"/>
  <c r="E10002" i="10"/>
  <c r="D10002" i="10"/>
  <c r="E10001" i="10"/>
  <c r="D10001" i="10"/>
  <c r="E10000" i="10"/>
  <c r="D10000" i="10"/>
  <c r="E9999" i="10"/>
  <c r="D9999" i="10"/>
  <c r="E9998" i="10"/>
  <c r="D9998" i="10"/>
  <c r="E9997" i="10"/>
  <c r="D9997" i="10"/>
  <c r="E9996" i="10"/>
  <c r="D9996" i="10"/>
  <c r="E9995" i="10"/>
  <c r="D9995" i="10"/>
  <c r="E9994" i="10"/>
  <c r="D9994" i="10"/>
  <c r="E9993" i="10"/>
  <c r="D9993" i="10"/>
  <c r="E9992" i="10"/>
  <c r="D9992" i="10"/>
  <c r="E9991" i="10"/>
  <c r="D9991" i="10"/>
  <c r="E9990" i="10"/>
  <c r="D9990" i="10"/>
  <c r="E9989" i="10"/>
  <c r="D9989" i="10"/>
  <c r="E9988" i="10"/>
  <c r="D9988" i="10"/>
  <c r="E9987" i="10"/>
  <c r="D9987" i="10"/>
  <c r="E9986" i="10"/>
  <c r="D9986" i="10"/>
  <c r="E9985" i="10"/>
  <c r="D9985" i="10"/>
  <c r="E9984" i="10"/>
  <c r="D9984" i="10"/>
  <c r="E9983" i="10"/>
  <c r="D9983" i="10"/>
  <c r="E9982" i="10"/>
  <c r="D9982" i="10"/>
  <c r="E9981" i="10"/>
  <c r="D9981" i="10"/>
  <c r="E9980" i="10"/>
  <c r="D9980" i="10"/>
  <c r="E9979" i="10"/>
  <c r="D9979" i="10"/>
  <c r="E9978" i="10"/>
  <c r="D9978" i="10"/>
  <c r="E9977" i="10"/>
  <c r="D9977" i="10"/>
  <c r="E9976" i="10"/>
  <c r="D9976" i="10"/>
  <c r="E9975" i="10"/>
  <c r="D9975" i="10"/>
  <c r="E9974" i="10"/>
  <c r="D9974" i="10"/>
  <c r="E9973" i="10"/>
  <c r="D9973" i="10"/>
  <c r="E9972" i="10"/>
  <c r="D9972" i="10"/>
  <c r="E9971" i="10"/>
  <c r="D9971" i="10"/>
  <c r="E9970" i="10"/>
  <c r="D9970" i="10"/>
  <c r="E9969" i="10"/>
  <c r="D9969" i="10"/>
  <c r="E9968" i="10"/>
  <c r="D9968" i="10"/>
  <c r="E9967" i="10"/>
  <c r="D9967" i="10"/>
  <c r="E9966" i="10"/>
  <c r="D9966" i="10"/>
  <c r="E9965" i="10"/>
  <c r="D9965" i="10"/>
  <c r="E9964" i="10"/>
  <c r="D9964" i="10"/>
  <c r="E9963" i="10"/>
  <c r="D9963" i="10"/>
  <c r="E9962" i="10"/>
  <c r="D9962" i="10"/>
  <c r="E9961" i="10"/>
  <c r="D9961" i="10"/>
  <c r="E9960" i="10"/>
  <c r="D9960" i="10"/>
  <c r="E9959" i="10"/>
  <c r="D9959" i="10"/>
  <c r="E9958" i="10"/>
  <c r="D9958" i="10"/>
  <c r="E9957" i="10"/>
  <c r="D9957" i="10"/>
  <c r="E9956" i="10"/>
  <c r="D9956" i="10"/>
  <c r="E9955" i="10"/>
  <c r="D9955" i="10"/>
  <c r="E9954" i="10"/>
  <c r="D9954" i="10"/>
  <c r="E9953" i="10"/>
  <c r="D9953" i="10"/>
  <c r="E9952" i="10"/>
  <c r="D9952" i="10"/>
  <c r="E9951" i="10"/>
  <c r="D9951" i="10"/>
  <c r="E9950" i="10"/>
  <c r="D9950" i="10"/>
  <c r="E9949" i="10"/>
  <c r="D9949" i="10"/>
  <c r="E9948" i="10"/>
  <c r="D9948" i="10"/>
  <c r="E9947" i="10"/>
  <c r="D9947" i="10"/>
  <c r="E9946" i="10"/>
  <c r="D9946" i="10"/>
  <c r="E9945" i="10"/>
  <c r="D9945" i="10"/>
  <c r="E9944" i="10"/>
  <c r="D9944" i="10"/>
  <c r="E9943" i="10"/>
  <c r="D9943" i="10"/>
  <c r="E9942" i="10"/>
  <c r="D9942" i="10"/>
  <c r="E9941" i="10"/>
  <c r="D9941" i="10"/>
  <c r="E9940" i="10"/>
  <c r="D9940" i="10"/>
  <c r="E9939" i="10"/>
  <c r="D9939" i="10"/>
  <c r="E9938" i="10"/>
  <c r="D9938" i="10"/>
  <c r="E9937" i="10"/>
  <c r="D9937" i="10"/>
  <c r="E9936" i="10"/>
  <c r="D9936" i="10"/>
  <c r="E9935" i="10"/>
  <c r="D9935" i="10"/>
  <c r="E9934" i="10"/>
  <c r="D9934" i="10"/>
  <c r="E9933" i="10"/>
  <c r="D9933" i="10"/>
  <c r="E9932" i="10"/>
  <c r="D9932" i="10"/>
  <c r="E9931" i="10"/>
  <c r="D9931" i="10"/>
  <c r="E9930" i="10"/>
  <c r="D9930" i="10"/>
  <c r="E9929" i="10"/>
  <c r="D9929" i="10"/>
  <c r="E9928" i="10"/>
  <c r="D9928" i="10"/>
  <c r="E9927" i="10"/>
  <c r="D9927" i="10"/>
  <c r="E9926" i="10"/>
  <c r="D9926" i="10"/>
  <c r="E9925" i="10"/>
  <c r="D9925" i="10"/>
  <c r="E9924" i="10"/>
  <c r="D9924" i="10"/>
  <c r="E9923" i="10"/>
  <c r="D9923" i="10"/>
  <c r="E9922" i="10"/>
  <c r="D9922" i="10"/>
  <c r="E9921" i="10"/>
  <c r="D9921" i="10"/>
  <c r="E9920" i="10"/>
  <c r="D9920" i="10"/>
  <c r="E9919" i="10"/>
  <c r="D9919" i="10"/>
  <c r="E9918" i="10"/>
  <c r="D9918" i="10"/>
  <c r="E9917" i="10"/>
  <c r="D9917" i="10"/>
  <c r="E9916" i="10"/>
  <c r="D9916" i="10"/>
  <c r="E9915" i="10"/>
  <c r="D9915" i="10"/>
  <c r="E9914" i="10"/>
  <c r="D9914" i="10"/>
  <c r="E9913" i="10"/>
  <c r="D9913" i="10"/>
  <c r="E9912" i="10"/>
  <c r="D9912" i="10"/>
  <c r="E9911" i="10"/>
  <c r="D9911" i="10"/>
  <c r="E9910" i="10"/>
  <c r="D9910" i="10"/>
  <c r="E9909" i="10"/>
  <c r="D9909" i="10"/>
  <c r="E9908" i="10"/>
  <c r="D9908" i="10"/>
  <c r="E9907" i="10"/>
  <c r="D9907" i="10"/>
  <c r="E9906" i="10"/>
  <c r="D9906" i="10"/>
  <c r="E9905" i="10"/>
  <c r="D9905" i="10"/>
  <c r="E9904" i="10"/>
  <c r="D9904" i="10"/>
  <c r="E9903" i="10"/>
  <c r="D9903" i="10"/>
  <c r="E9902" i="10"/>
  <c r="D9902" i="10"/>
  <c r="E9901" i="10"/>
  <c r="D9901" i="10"/>
  <c r="E9900" i="10"/>
  <c r="D9900" i="10"/>
  <c r="E9899" i="10"/>
  <c r="D9899" i="10"/>
  <c r="E9898" i="10"/>
  <c r="D9898" i="10"/>
  <c r="E9897" i="10"/>
  <c r="D9897" i="10"/>
  <c r="E9896" i="10"/>
  <c r="D9896" i="10"/>
  <c r="E9895" i="10"/>
  <c r="D9895" i="10"/>
  <c r="E9894" i="10"/>
  <c r="D9894" i="10"/>
  <c r="E9893" i="10"/>
  <c r="D9893" i="10"/>
  <c r="E9892" i="10"/>
  <c r="D9892" i="10"/>
  <c r="E9891" i="10"/>
  <c r="D9891" i="10"/>
  <c r="E9890" i="10"/>
  <c r="D9890" i="10"/>
  <c r="E9889" i="10"/>
  <c r="D9889" i="10"/>
  <c r="E9888" i="10"/>
  <c r="D9888" i="10"/>
  <c r="E9887" i="10"/>
  <c r="D9887" i="10"/>
  <c r="E9886" i="10"/>
  <c r="D9886" i="10"/>
  <c r="E9885" i="10"/>
  <c r="D9885" i="10"/>
  <c r="E9884" i="10"/>
  <c r="D9884" i="10"/>
  <c r="E9883" i="10"/>
  <c r="D9883" i="10"/>
  <c r="E9882" i="10"/>
  <c r="D9882" i="10"/>
  <c r="E9881" i="10"/>
  <c r="D9881" i="10"/>
  <c r="E9880" i="10"/>
  <c r="D9880" i="10"/>
  <c r="E9879" i="10"/>
  <c r="D9879" i="10"/>
  <c r="E9878" i="10"/>
  <c r="D9878" i="10"/>
  <c r="E9877" i="10"/>
  <c r="D9877" i="10"/>
  <c r="E9876" i="10"/>
  <c r="D9876" i="10"/>
  <c r="E9875" i="10"/>
  <c r="D9875" i="10"/>
  <c r="E9874" i="10"/>
  <c r="D9874" i="10"/>
  <c r="E9873" i="10"/>
  <c r="D9873" i="10"/>
  <c r="E9872" i="10"/>
  <c r="D9872" i="10"/>
  <c r="E9871" i="10"/>
  <c r="D9871" i="10"/>
  <c r="E9870" i="10"/>
  <c r="D9870" i="10"/>
  <c r="E9869" i="10"/>
  <c r="D9869" i="10"/>
  <c r="E9868" i="10"/>
  <c r="D9868" i="10"/>
  <c r="E9867" i="10"/>
  <c r="D9867" i="10"/>
  <c r="E9866" i="10"/>
  <c r="D9866" i="10"/>
  <c r="E9865" i="10"/>
  <c r="D9865" i="10"/>
  <c r="E9864" i="10"/>
  <c r="D9864" i="10"/>
  <c r="E9863" i="10"/>
  <c r="D9863" i="10"/>
  <c r="E9862" i="10"/>
  <c r="D9862" i="10"/>
  <c r="E9861" i="10"/>
  <c r="D9861" i="10"/>
  <c r="E9860" i="10"/>
  <c r="D9860" i="10"/>
  <c r="E9859" i="10"/>
  <c r="D9859" i="10"/>
  <c r="E9858" i="10"/>
  <c r="D9858" i="10"/>
  <c r="E9857" i="10"/>
  <c r="D9857" i="10"/>
  <c r="E9856" i="10"/>
  <c r="D9856" i="10"/>
  <c r="E9855" i="10"/>
  <c r="D9855" i="10"/>
  <c r="E9854" i="10"/>
  <c r="D9854" i="10"/>
  <c r="E9853" i="10"/>
  <c r="D9853" i="10"/>
  <c r="E9852" i="10"/>
  <c r="D9852" i="10"/>
  <c r="E9851" i="10"/>
  <c r="D9851" i="10"/>
  <c r="E9850" i="10"/>
  <c r="D9850" i="10"/>
  <c r="E9849" i="10"/>
  <c r="D9849" i="10"/>
  <c r="E9848" i="10"/>
  <c r="D9848" i="10"/>
  <c r="E9847" i="10"/>
  <c r="D9847" i="10"/>
  <c r="E9846" i="10"/>
  <c r="D9846" i="10"/>
  <c r="E9845" i="10"/>
  <c r="D9845" i="10"/>
  <c r="E9844" i="10"/>
  <c r="D9844" i="10"/>
  <c r="E9843" i="10"/>
  <c r="D9843" i="10"/>
  <c r="E9842" i="10"/>
  <c r="D9842" i="10"/>
  <c r="E9841" i="10"/>
  <c r="D9841" i="10"/>
  <c r="E9840" i="10"/>
  <c r="D9840" i="10"/>
  <c r="E9839" i="10"/>
  <c r="D9839" i="10"/>
  <c r="E9838" i="10"/>
  <c r="D9838" i="10"/>
  <c r="E9837" i="10"/>
  <c r="D9837" i="10"/>
  <c r="E9836" i="10"/>
  <c r="D9836" i="10"/>
  <c r="E9835" i="10"/>
  <c r="D9835" i="10"/>
  <c r="E9834" i="10"/>
  <c r="D9834" i="10"/>
  <c r="E9833" i="10"/>
  <c r="D9833" i="10"/>
  <c r="E9832" i="10"/>
  <c r="D9832" i="10"/>
  <c r="E9831" i="10"/>
  <c r="D9831" i="10"/>
  <c r="E9830" i="10"/>
  <c r="D9830" i="10"/>
  <c r="E9829" i="10"/>
  <c r="D9829" i="10"/>
  <c r="E9828" i="10"/>
  <c r="D9828" i="10"/>
  <c r="E9827" i="10"/>
  <c r="D9827" i="10"/>
  <c r="E9826" i="10"/>
  <c r="D9826" i="10"/>
  <c r="E9825" i="10"/>
  <c r="D9825" i="10"/>
  <c r="E9824" i="10"/>
  <c r="D9824" i="10"/>
  <c r="E9823" i="10"/>
  <c r="D9823" i="10"/>
  <c r="E9822" i="10"/>
  <c r="D9822" i="10"/>
  <c r="E9821" i="10"/>
  <c r="D9821" i="10"/>
  <c r="E9820" i="10"/>
  <c r="D9820" i="10"/>
  <c r="E9819" i="10"/>
  <c r="D9819" i="10"/>
  <c r="E9818" i="10"/>
  <c r="D9818" i="10"/>
  <c r="E9817" i="10"/>
  <c r="D9817" i="10"/>
  <c r="E9816" i="10"/>
  <c r="D9816" i="10"/>
  <c r="E9815" i="10"/>
  <c r="D9815" i="10"/>
  <c r="E9814" i="10"/>
  <c r="D9814" i="10"/>
  <c r="E9813" i="10"/>
  <c r="D9813" i="10"/>
  <c r="E9812" i="10"/>
  <c r="D9812" i="10"/>
  <c r="E9811" i="10"/>
  <c r="D9811" i="10"/>
  <c r="E9810" i="10"/>
  <c r="D9810" i="10"/>
  <c r="E9809" i="10"/>
  <c r="D9809" i="10"/>
  <c r="E9808" i="10"/>
  <c r="D9808" i="10"/>
  <c r="E9807" i="10"/>
  <c r="D9807" i="10"/>
  <c r="E9806" i="10"/>
  <c r="D9806" i="10"/>
  <c r="E9805" i="10"/>
  <c r="D9805" i="10"/>
  <c r="E9804" i="10"/>
  <c r="D9804" i="10"/>
  <c r="E9803" i="10"/>
  <c r="D9803" i="10"/>
  <c r="E9802" i="10"/>
  <c r="D9802" i="10"/>
  <c r="E9801" i="10"/>
  <c r="D9801" i="10"/>
  <c r="E9800" i="10"/>
  <c r="D9800" i="10"/>
  <c r="E9799" i="10"/>
  <c r="D9799" i="10"/>
  <c r="E9798" i="10"/>
  <c r="D9798" i="10"/>
  <c r="E9797" i="10"/>
  <c r="D9797" i="10"/>
  <c r="E9796" i="10"/>
  <c r="D9796" i="10"/>
  <c r="E9795" i="10"/>
  <c r="D9795" i="10"/>
  <c r="E9794" i="10"/>
  <c r="D9794" i="10"/>
  <c r="E9793" i="10"/>
  <c r="D9793" i="10"/>
  <c r="E9792" i="10"/>
  <c r="D9792" i="10"/>
  <c r="E9791" i="10"/>
  <c r="D9791" i="10"/>
  <c r="E9790" i="10"/>
  <c r="D9790" i="10"/>
  <c r="E9789" i="10"/>
  <c r="D9789" i="10"/>
  <c r="E9788" i="10"/>
  <c r="D9788" i="10"/>
  <c r="E9787" i="10"/>
  <c r="D9787" i="10"/>
  <c r="E9786" i="10"/>
  <c r="D9786" i="10"/>
  <c r="E9785" i="10"/>
  <c r="D9785" i="10"/>
  <c r="E9784" i="10"/>
  <c r="D9784" i="10"/>
  <c r="E9783" i="10"/>
  <c r="D9783" i="10"/>
  <c r="E9782" i="10"/>
  <c r="D9782" i="10"/>
  <c r="E9781" i="10"/>
  <c r="D9781" i="10"/>
  <c r="E9780" i="10"/>
  <c r="D9780" i="10"/>
  <c r="E9779" i="10"/>
  <c r="D9779" i="10"/>
  <c r="E9778" i="10"/>
  <c r="D9778" i="10"/>
  <c r="E9777" i="10"/>
  <c r="D9777" i="10"/>
  <c r="E9776" i="10"/>
  <c r="D9776" i="10"/>
  <c r="E9775" i="10"/>
  <c r="D9775" i="10"/>
  <c r="E9774" i="10"/>
  <c r="D9774" i="10"/>
  <c r="E9773" i="10"/>
  <c r="D9773" i="10"/>
  <c r="E9772" i="10"/>
  <c r="D9772" i="10"/>
  <c r="E9771" i="10"/>
  <c r="D9771" i="10"/>
  <c r="E9770" i="10"/>
  <c r="D9770" i="10"/>
  <c r="E9769" i="10"/>
  <c r="D9769" i="10"/>
  <c r="E9768" i="10"/>
  <c r="D9768" i="10"/>
  <c r="E9767" i="10"/>
  <c r="D9767" i="10"/>
  <c r="E9766" i="10"/>
  <c r="D9766" i="10"/>
  <c r="E9765" i="10"/>
  <c r="D9765" i="10"/>
  <c r="E9764" i="10"/>
  <c r="D9764" i="10"/>
  <c r="E9763" i="10"/>
  <c r="D9763" i="10"/>
  <c r="E9762" i="10"/>
  <c r="D9762" i="10"/>
  <c r="E9761" i="10"/>
  <c r="D9761" i="10"/>
  <c r="E9760" i="10"/>
  <c r="D9760" i="10"/>
  <c r="E9759" i="10"/>
  <c r="D9759" i="10"/>
  <c r="E9758" i="10"/>
  <c r="D9758" i="10"/>
  <c r="E9757" i="10"/>
  <c r="D9757" i="10"/>
  <c r="E9756" i="10"/>
  <c r="D9756" i="10"/>
  <c r="E9755" i="10"/>
  <c r="D9755" i="10"/>
  <c r="E9754" i="10"/>
  <c r="D9754" i="10"/>
  <c r="E9753" i="10"/>
  <c r="D9753" i="10"/>
  <c r="E9752" i="10"/>
  <c r="D9752" i="10"/>
  <c r="E9751" i="10"/>
  <c r="D9751" i="10"/>
  <c r="E9750" i="10"/>
  <c r="D9750" i="10"/>
  <c r="E9749" i="10"/>
  <c r="D9749" i="10"/>
  <c r="E9748" i="10"/>
  <c r="D9748" i="10"/>
  <c r="E9747" i="10"/>
  <c r="D9747" i="10"/>
  <c r="E9746" i="10"/>
  <c r="D9746" i="10"/>
  <c r="E9745" i="10"/>
  <c r="D9745" i="10"/>
  <c r="E9744" i="10"/>
  <c r="D9744" i="10"/>
  <c r="E9743" i="10"/>
  <c r="D9743" i="10"/>
  <c r="E9742" i="10"/>
  <c r="D9742" i="10"/>
  <c r="E9741" i="10"/>
  <c r="D9741" i="10"/>
  <c r="E9740" i="10"/>
  <c r="D9740" i="10"/>
  <c r="E9739" i="10"/>
  <c r="D9739" i="10"/>
  <c r="E9738" i="10"/>
  <c r="D9738" i="10"/>
  <c r="E9737" i="10"/>
  <c r="D9737" i="10"/>
  <c r="E9736" i="10"/>
  <c r="D9736" i="10"/>
  <c r="E9735" i="10"/>
  <c r="D9735" i="10"/>
  <c r="E9734" i="10"/>
  <c r="D9734" i="10"/>
  <c r="E9733" i="10"/>
  <c r="D9733" i="10"/>
  <c r="E9732" i="10"/>
  <c r="D9732" i="10"/>
  <c r="E9731" i="10"/>
  <c r="D9731" i="10"/>
  <c r="E9730" i="10"/>
  <c r="D9730" i="10"/>
  <c r="E9729" i="10"/>
  <c r="D9729" i="10"/>
  <c r="E9728" i="10"/>
  <c r="D9728" i="10"/>
  <c r="E9727" i="10"/>
  <c r="D9727" i="10"/>
  <c r="E9726" i="10"/>
  <c r="D9726" i="10"/>
  <c r="E9725" i="10"/>
  <c r="D9725" i="10"/>
  <c r="E9724" i="10"/>
  <c r="D9724" i="10"/>
  <c r="E9723" i="10"/>
  <c r="D9723" i="10"/>
  <c r="E9722" i="10"/>
  <c r="D9722" i="10"/>
  <c r="E9721" i="10"/>
  <c r="D9721" i="10"/>
  <c r="E9720" i="10"/>
  <c r="D9720" i="10"/>
  <c r="E9719" i="10"/>
  <c r="D9719" i="10"/>
  <c r="E9718" i="10"/>
  <c r="D9718" i="10"/>
  <c r="E9717" i="10"/>
  <c r="D9717" i="10"/>
  <c r="E9716" i="10"/>
  <c r="D9716" i="10"/>
  <c r="E9715" i="10"/>
  <c r="D9715" i="10"/>
  <c r="E9714" i="10"/>
  <c r="D9714" i="10"/>
  <c r="E9713" i="10"/>
  <c r="D9713" i="10"/>
  <c r="E9712" i="10"/>
  <c r="D9712" i="10"/>
  <c r="E9711" i="10"/>
  <c r="D9711" i="10"/>
  <c r="E9710" i="10"/>
  <c r="D9710" i="10"/>
  <c r="E9709" i="10"/>
  <c r="D9709" i="10"/>
  <c r="E9708" i="10"/>
  <c r="D9708" i="10"/>
  <c r="E9707" i="10"/>
  <c r="D9707" i="10"/>
  <c r="E9706" i="10"/>
  <c r="D9706" i="10"/>
  <c r="E9705" i="10"/>
  <c r="D9705" i="10"/>
  <c r="E9704" i="10"/>
  <c r="D9704" i="10"/>
  <c r="E9703" i="10"/>
  <c r="D9703" i="10"/>
  <c r="E9702" i="10"/>
  <c r="D9702" i="10"/>
  <c r="E9701" i="10"/>
  <c r="D9701" i="10"/>
  <c r="E9700" i="10"/>
  <c r="D9700" i="10"/>
  <c r="E9699" i="10"/>
  <c r="D9699" i="10"/>
  <c r="E9698" i="10"/>
  <c r="D9698" i="10"/>
  <c r="E9697" i="10"/>
  <c r="D9697" i="10"/>
  <c r="E9696" i="10"/>
  <c r="D9696" i="10"/>
  <c r="E9695" i="10"/>
  <c r="D9695" i="10"/>
  <c r="E9694" i="10"/>
  <c r="D9694" i="10"/>
  <c r="E9693" i="10"/>
  <c r="D9693" i="10"/>
  <c r="E9692" i="10"/>
  <c r="D9692" i="10"/>
  <c r="E9691" i="10"/>
  <c r="D9691" i="10"/>
  <c r="E9690" i="10"/>
  <c r="D9690" i="10"/>
  <c r="E9689" i="10"/>
  <c r="D9689" i="10"/>
  <c r="E9688" i="10"/>
  <c r="D9688" i="10"/>
  <c r="E9687" i="10"/>
  <c r="D9687" i="10"/>
  <c r="E9686" i="10"/>
  <c r="D9686" i="10"/>
  <c r="E9685" i="10"/>
  <c r="D9685" i="10"/>
  <c r="E9684" i="10"/>
  <c r="D9684" i="10"/>
  <c r="E9683" i="10"/>
  <c r="D9683" i="10"/>
  <c r="E9682" i="10"/>
  <c r="D9682" i="10"/>
  <c r="E9681" i="10"/>
  <c r="D9681" i="10"/>
  <c r="E9680" i="10"/>
  <c r="D9680" i="10"/>
  <c r="E9679" i="10"/>
  <c r="D9679" i="10"/>
  <c r="E9678" i="10"/>
  <c r="D9678" i="10"/>
  <c r="E9677" i="10"/>
  <c r="D9677" i="10"/>
  <c r="E9676" i="10"/>
  <c r="D9676" i="10"/>
  <c r="E9675" i="10"/>
  <c r="D9675" i="10"/>
  <c r="E9674" i="10"/>
  <c r="D9674" i="10"/>
  <c r="E9673" i="10"/>
  <c r="D9673" i="10"/>
  <c r="E9672" i="10"/>
  <c r="D9672" i="10"/>
  <c r="E9671" i="10"/>
  <c r="D9671" i="10"/>
  <c r="E9670" i="10"/>
  <c r="D9670" i="10"/>
  <c r="E9669" i="10"/>
  <c r="D9669" i="10"/>
  <c r="E9668" i="10"/>
  <c r="D9668" i="10"/>
  <c r="E9667" i="10"/>
  <c r="D9667" i="10"/>
  <c r="E9666" i="10"/>
  <c r="D9666" i="10"/>
  <c r="E9665" i="10"/>
  <c r="D9665" i="10"/>
  <c r="E9664" i="10"/>
  <c r="D9664" i="10"/>
  <c r="E9663" i="10"/>
  <c r="D9663" i="10"/>
  <c r="E9662" i="10"/>
  <c r="D9662" i="10"/>
  <c r="E9661" i="10"/>
  <c r="D9661" i="10"/>
  <c r="E9660" i="10"/>
  <c r="D9660" i="10"/>
  <c r="E9659" i="10"/>
  <c r="D9659" i="10"/>
  <c r="E9658" i="10"/>
  <c r="D9658" i="10"/>
  <c r="E9657" i="10"/>
  <c r="D9657" i="10"/>
  <c r="E9656" i="10"/>
  <c r="D9656" i="10"/>
  <c r="E9655" i="10"/>
  <c r="D9655" i="10"/>
  <c r="E9654" i="10"/>
  <c r="D9654" i="10"/>
  <c r="E9653" i="10"/>
  <c r="D9653" i="10"/>
  <c r="E9652" i="10"/>
  <c r="D9652" i="10"/>
  <c r="E9651" i="10"/>
  <c r="D9651" i="10"/>
  <c r="E9650" i="10"/>
  <c r="D9650" i="10"/>
  <c r="E9649" i="10"/>
  <c r="D9649" i="10"/>
  <c r="E9648" i="10"/>
  <c r="D9648" i="10"/>
  <c r="E9647" i="10"/>
  <c r="D9647" i="10"/>
  <c r="E9646" i="10"/>
  <c r="D9646" i="10"/>
  <c r="E9645" i="10"/>
  <c r="D9645" i="10"/>
  <c r="E9644" i="10"/>
  <c r="D9644" i="10"/>
  <c r="E9643" i="10"/>
  <c r="D9643" i="10"/>
  <c r="E9642" i="10"/>
  <c r="D9642" i="10"/>
  <c r="E9641" i="10"/>
  <c r="D9641" i="10"/>
  <c r="E9640" i="10"/>
  <c r="D9640" i="10"/>
  <c r="E9639" i="10"/>
  <c r="D9639" i="10"/>
  <c r="E9638" i="10"/>
  <c r="D9638" i="10"/>
  <c r="E9637" i="10"/>
  <c r="D9637" i="10"/>
  <c r="E9636" i="10"/>
  <c r="D9636" i="10"/>
  <c r="E9635" i="10"/>
  <c r="D9635" i="10"/>
  <c r="E9634" i="10"/>
  <c r="D9634" i="10"/>
  <c r="E9633" i="10"/>
  <c r="D9633" i="10"/>
  <c r="E9632" i="10"/>
  <c r="D9632" i="10"/>
  <c r="E9631" i="10"/>
  <c r="D9631" i="10"/>
  <c r="E9630" i="10"/>
  <c r="D9630" i="10"/>
  <c r="E9629" i="10"/>
  <c r="D9629" i="10"/>
  <c r="E9628" i="10"/>
  <c r="D9628" i="10"/>
  <c r="E9627" i="10"/>
  <c r="D9627" i="10"/>
  <c r="E9626" i="10"/>
  <c r="D9626" i="10"/>
  <c r="E9625" i="10"/>
  <c r="D9625" i="10"/>
  <c r="E9624" i="10"/>
  <c r="D9624" i="10"/>
  <c r="E9623" i="10"/>
  <c r="D9623" i="10"/>
  <c r="E9622" i="10"/>
  <c r="D9622" i="10"/>
  <c r="E9621" i="10"/>
  <c r="D9621" i="10"/>
  <c r="E9620" i="10"/>
  <c r="D9620" i="10"/>
  <c r="E9619" i="10"/>
  <c r="D9619" i="10"/>
  <c r="E9618" i="10"/>
  <c r="D9618" i="10"/>
  <c r="E9617" i="10"/>
  <c r="D9617" i="10"/>
  <c r="E9616" i="10"/>
  <c r="D9616" i="10"/>
  <c r="E9615" i="10"/>
  <c r="D9615" i="10"/>
  <c r="E9614" i="10"/>
  <c r="D9614" i="10"/>
  <c r="E9613" i="10"/>
  <c r="D9613" i="10"/>
  <c r="E9612" i="10"/>
  <c r="D9612" i="10"/>
  <c r="E9611" i="10"/>
  <c r="D9611" i="10"/>
  <c r="E9610" i="10"/>
  <c r="D9610" i="10"/>
  <c r="E9609" i="10"/>
  <c r="D9609" i="10"/>
  <c r="E9608" i="10"/>
  <c r="D9608" i="10"/>
  <c r="E9607" i="10"/>
  <c r="D9607" i="10"/>
  <c r="E9606" i="10"/>
  <c r="D9606" i="10"/>
  <c r="E9605" i="10"/>
  <c r="D9605" i="10"/>
  <c r="E9604" i="10"/>
  <c r="D9604" i="10"/>
  <c r="E9603" i="10"/>
  <c r="D9603" i="10"/>
  <c r="E9602" i="10"/>
  <c r="D9602" i="10"/>
  <c r="E9601" i="10"/>
  <c r="D9601" i="10"/>
  <c r="E9600" i="10"/>
  <c r="D9600" i="10"/>
  <c r="E9599" i="10"/>
  <c r="D9599" i="10"/>
  <c r="E9598" i="10"/>
  <c r="D9598" i="10"/>
  <c r="E9597" i="10"/>
  <c r="D9597" i="10"/>
  <c r="E9596" i="10"/>
  <c r="D9596" i="10"/>
  <c r="E9595" i="10"/>
  <c r="D9595" i="10"/>
  <c r="E9594" i="10"/>
  <c r="D9594" i="10"/>
  <c r="E9593" i="10"/>
  <c r="D9593" i="10"/>
  <c r="E9592" i="10"/>
  <c r="D9592" i="10"/>
  <c r="E9591" i="10"/>
  <c r="D9591" i="10"/>
  <c r="E9590" i="10"/>
  <c r="D9590" i="10"/>
  <c r="E9589" i="10"/>
  <c r="D9589" i="10"/>
  <c r="E9588" i="10"/>
  <c r="D9588" i="10"/>
  <c r="E9587" i="10"/>
  <c r="D9587" i="10"/>
  <c r="E9586" i="10"/>
  <c r="D9586" i="10"/>
  <c r="E9585" i="10"/>
  <c r="D9585" i="10"/>
  <c r="E9584" i="10"/>
  <c r="D9584" i="10"/>
  <c r="E9583" i="10"/>
  <c r="D9583" i="10"/>
  <c r="E9582" i="10"/>
  <c r="D9582" i="10"/>
  <c r="E9581" i="10"/>
  <c r="D9581" i="10"/>
  <c r="E9580" i="10"/>
  <c r="D9580" i="10"/>
  <c r="E9579" i="10"/>
  <c r="D9579" i="10"/>
  <c r="E9578" i="10"/>
  <c r="D9578" i="10"/>
  <c r="E9577" i="10"/>
  <c r="D9577" i="10"/>
  <c r="E9576" i="10"/>
  <c r="D9576" i="10"/>
  <c r="E9575" i="10"/>
  <c r="D9575" i="10"/>
  <c r="E9574" i="10"/>
  <c r="D9574" i="10"/>
  <c r="E9573" i="10"/>
  <c r="D9573" i="10"/>
  <c r="E9572" i="10"/>
  <c r="D9572" i="10"/>
  <c r="E9571" i="10"/>
  <c r="D9571" i="10"/>
  <c r="E9570" i="10"/>
  <c r="D9570" i="10"/>
  <c r="E9569" i="10"/>
  <c r="D9569" i="10"/>
  <c r="E9568" i="10"/>
  <c r="D9568" i="10"/>
  <c r="E9567" i="10"/>
  <c r="D9567" i="10"/>
  <c r="E9566" i="10"/>
  <c r="D9566" i="10"/>
  <c r="E9565" i="10"/>
  <c r="D9565" i="10"/>
  <c r="E9564" i="10"/>
  <c r="D9564" i="10"/>
  <c r="E9563" i="10"/>
  <c r="D9563" i="10"/>
  <c r="E9562" i="10"/>
  <c r="D9562" i="10"/>
  <c r="E9561" i="10"/>
  <c r="D9561" i="10"/>
  <c r="E9560" i="10"/>
  <c r="D9560" i="10"/>
  <c r="E9559" i="10"/>
  <c r="D9559" i="10"/>
  <c r="E9558" i="10"/>
  <c r="D9558" i="10"/>
  <c r="E9557" i="10"/>
  <c r="D9557" i="10"/>
  <c r="E9556" i="10"/>
  <c r="D9556" i="10"/>
  <c r="E9555" i="10"/>
  <c r="D9555" i="10"/>
  <c r="E9554" i="10"/>
  <c r="D9554" i="10"/>
  <c r="E9553" i="10"/>
  <c r="D9553" i="10"/>
  <c r="E9552" i="10"/>
  <c r="D9552" i="10"/>
  <c r="E9551" i="10"/>
  <c r="D9551" i="10"/>
  <c r="E9550" i="10"/>
  <c r="D9550" i="10"/>
  <c r="E9549" i="10"/>
  <c r="D9549" i="10"/>
  <c r="E9548" i="10"/>
  <c r="D9548" i="10"/>
  <c r="E9547" i="10"/>
  <c r="D9547" i="10"/>
  <c r="E9546" i="10"/>
  <c r="D9546" i="10"/>
  <c r="E9545" i="10"/>
  <c r="D9545" i="10"/>
  <c r="E9544" i="10"/>
  <c r="D9544" i="10"/>
  <c r="E9543" i="10"/>
  <c r="D9543" i="10"/>
  <c r="E9542" i="10"/>
  <c r="D9542" i="10"/>
  <c r="E9541" i="10"/>
  <c r="D9541" i="10"/>
  <c r="E9540" i="10"/>
  <c r="D9540" i="10"/>
  <c r="E9539" i="10"/>
  <c r="D9539" i="10"/>
  <c r="E9538" i="10"/>
  <c r="D9538" i="10"/>
  <c r="E9537" i="10"/>
  <c r="D9537" i="10"/>
  <c r="E9536" i="10"/>
  <c r="D9536" i="10"/>
  <c r="E9535" i="10"/>
  <c r="D9535" i="10"/>
  <c r="E9534" i="10"/>
  <c r="D9534" i="10"/>
  <c r="E9533" i="10"/>
  <c r="D9533" i="10"/>
  <c r="E9532" i="10"/>
  <c r="D9532" i="10"/>
  <c r="E9531" i="10"/>
  <c r="D9531" i="10"/>
  <c r="E9530" i="10"/>
  <c r="D9530" i="10"/>
  <c r="E9529" i="10"/>
  <c r="D9529" i="10"/>
  <c r="E9528" i="10"/>
  <c r="D9528" i="10"/>
  <c r="E9527" i="10"/>
  <c r="D9527" i="10"/>
  <c r="E9526" i="10"/>
  <c r="D9526" i="10"/>
  <c r="E9525" i="10"/>
  <c r="D9525" i="10"/>
  <c r="E9524" i="10"/>
  <c r="D9524" i="10"/>
  <c r="E9523" i="10"/>
  <c r="D9523" i="10"/>
  <c r="E9522" i="10"/>
  <c r="D9522" i="10"/>
  <c r="E9521" i="10"/>
  <c r="D9521" i="10"/>
  <c r="E9520" i="10"/>
  <c r="D9520" i="10"/>
  <c r="E9519" i="10"/>
  <c r="D9519" i="10"/>
  <c r="E9518" i="10"/>
  <c r="D9518" i="10"/>
  <c r="E9517" i="10"/>
  <c r="D9517" i="10"/>
  <c r="E9516" i="10"/>
  <c r="D9516" i="10"/>
  <c r="E9515" i="10"/>
  <c r="D9515" i="10"/>
  <c r="E9514" i="10"/>
  <c r="D9514" i="10"/>
  <c r="E9513" i="10"/>
  <c r="D9513" i="10"/>
  <c r="E9512" i="10"/>
  <c r="D9512" i="10"/>
  <c r="E9511" i="10"/>
  <c r="D9511" i="10"/>
  <c r="E9510" i="10"/>
  <c r="D9510" i="10"/>
  <c r="E9509" i="10"/>
  <c r="D9509" i="10"/>
  <c r="E9508" i="10"/>
  <c r="D9508" i="10"/>
  <c r="E9507" i="10"/>
  <c r="D9507" i="10"/>
  <c r="E9506" i="10"/>
  <c r="D9506" i="10"/>
  <c r="E9505" i="10"/>
  <c r="D9505" i="10"/>
  <c r="E9504" i="10"/>
  <c r="D9504" i="10"/>
  <c r="E9503" i="10"/>
  <c r="D9503" i="10"/>
  <c r="E9502" i="10"/>
  <c r="D9502" i="10"/>
  <c r="E9501" i="10"/>
  <c r="D9501" i="10"/>
  <c r="E9500" i="10"/>
  <c r="D9500" i="10"/>
  <c r="E9499" i="10"/>
  <c r="D9499" i="10"/>
  <c r="E9498" i="10"/>
  <c r="D9498" i="10"/>
  <c r="E9497" i="10"/>
  <c r="D9497" i="10"/>
  <c r="E9496" i="10"/>
  <c r="D9496" i="10"/>
  <c r="E9495" i="10"/>
  <c r="D9495" i="10"/>
  <c r="E9494" i="10"/>
  <c r="D9494" i="10"/>
  <c r="E9493" i="10"/>
  <c r="D9493" i="10"/>
  <c r="E9492" i="10"/>
  <c r="D9492" i="10"/>
  <c r="E9491" i="10"/>
  <c r="D9491" i="10"/>
  <c r="E9490" i="10"/>
  <c r="D9490" i="10"/>
  <c r="E9489" i="10"/>
  <c r="D9489" i="10"/>
  <c r="E9488" i="10"/>
  <c r="D9488" i="10"/>
  <c r="E9487" i="10"/>
  <c r="D9487" i="10"/>
  <c r="E9486" i="10"/>
  <c r="D9486" i="10"/>
  <c r="E9485" i="10"/>
  <c r="D9485" i="10"/>
  <c r="E9484" i="10"/>
  <c r="D9484" i="10"/>
  <c r="E9483" i="10"/>
  <c r="D9483" i="10"/>
  <c r="E9482" i="10"/>
  <c r="D9482" i="10"/>
  <c r="E9481" i="10"/>
  <c r="D9481" i="10"/>
  <c r="E9480" i="10"/>
  <c r="D9480" i="10"/>
  <c r="E9479" i="10"/>
  <c r="D9479" i="10"/>
  <c r="E9478" i="10"/>
  <c r="D9478" i="10"/>
  <c r="E9477" i="10"/>
  <c r="D9477" i="10"/>
  <c r="E9476" i="10"/>
  <c r="D9476" i="10"/>
  <c r="E9475" i="10"/>
  <c r="D9475" i="10"/>
  <c r="E9474" i="10"/>
  <c r="D9474" i="10"/>
  <c r="E9473" i="10"/>
  <c r="D9473" i="10"/>
  <c r="E9472" i="10"/>
  <c r="D9472" i="10"/>
  <c r="E9471" i="10"/>
  <c r="D9471" i="10"/>
  <c r="E9470" i="10"/>
  <c r="D9470" i="10"/>
  <c r="E9469" i="10"/>
  <c r="D9469" i="10"/>
  <c r="E9468" i="10"/>
  <c r="D9468" i="10"/>
  <c r="E9467" i="10"/>
  <c r="D9467" i="10"/>
  <c r="E9466" i="10"/>
  <c r="D9466" i="10"/>
  <c r="E9465" i="10"/>
  <c r="D9465" i="10"/>
  <c r="E9464" i="10"/>
  <c r="D9464" i="10"/>
  <c r="E9463" i="10"/>
  <c r="D9463" i="10"/>
  <c r="E9462" i="10"/>
  <c r="D9462" i="10"/>
  <c r="E9461" i="10"/>
  <c r="D9461" i="10"/>
  <c r="E9460" i="10"/>
  <c r="D9460" i="10"/>
  <c r="E9459" i="10"/>
  <c r="D9459" i="10"/>
  <c r="E9458" i="10"/>
  <c r="D9458" i="10"/>
  <c r="E9457" i="10"/>
  <c r="D9457" i="10"/>
  <c r="E9456" i="10"/>
  <c r="D9456" i="10"/>
  <c r="E9455" i="10"/>
  <c r="D9455" i="10"/>
  <c r="E9454" i="10"/>
  <c r="D9454" i="10"/>
  <c r="E9453" i="10"/>
  <c r="D9453" i="10"/>
  <c r="E9452" i="10"/>
  <c r="D9452" i="10"/>
  <c r="E9451" i="10"/>
  <c r="D9451" i="10"/>
  <c r="E9450" i="10"/>
  <c r="D9450" i="10"/>
  <c r="E9449" i="10"/>
  <c r="D9449" i="10"/>
  <c r="E9448" i="10"/>
  <c r="D9448" i="10"/>
  <c r="E9447" i="10"/>
  <c r="D9447" i="10"/>
  <c r="E9446" i="10"/>
  <c r="D9446" i="10"/>
  <c r="E9445" i="10"/>
  <c r="D9445" i="10"/>
  <c r="E9444" i="10"/>
  <c r="D9444" i="10"/>
  <c r="E9443" i="10"/>
  <c r="D9443" i="10"/>
  <c r="E9442" i="10"/>
  <c r="D9442" i="10"/>
  <c r="E9441" i="10"/>
  <c r="D9441" i="10"/>
  <c r="E9440" i="10"/>
  <c r="D9440" i="10"/>
  <c r="E9439" i="10"/>
  <c r="D9439" i="10"/>
  <c r="E9438" i="10"/>
  <c r="D9438" i="10"/>
  <c r="E9437" i="10"/>
  <c r="D9437" i="10"/>
  <c r="E9436" i="10"/>
  <c r="D9436" i="10"/>
  <c r="E9435" i="10"/>
  <c r="D9435" i="10"/>
  <c r="E9434" i="10"/>
  <c r="D9434" i="10"/>
  <c r="E9433" i="10"/>
  <c r="D9433" i="10"/>
  <c r="E9432" i="10"/>
  <c r="D9432" i="10"/>
  <c r="E9431" i="10"/>
  <c r="D9431" i="10"/>
  <c r="E9430" i="10"/>
  <c r="D9430" i="10"/>
  <c r="E9429" i="10"/>
  <c r="D9429" i="10"/>
  <c r="E9428" i="10"/>
  <c r="D9428" i="10"/>
  <c r="E9427" i="10"/>
  <c r="D9427" i="10"/>
  <c r="E9426" i="10"/>
  <c r="D9426" i="10"/>
  <c r="E9425" i="10"/>
  <c r="D9425" i="10"/>
  <c r="E9424" i="10"/>
  <c r="D9424" i="10"/>
  <c r="E9423" i="10"/>
  <c r="D9423" i="10"/>
  <c r="E9422" i="10"/>
  <c r="D9422" i="10"/>
  <c r="E9421" i="10"/>
  <c r="D9421" i="10"/>
  <c r="E9420" i="10"/>
  <c r="D9420" i="10"/>
  <c r="E9419" i="10"/>
  <c r="D9419" i="10"/>
  <c r="E9418" i="10"/>
  <c r="D9418" i="10"/>
  <c r="E9417" i="10"/>
  <c r="D9417" i="10"/>
  <c r="E9416" i="10"/>
  <c r="D9416" i="10"/>
  <c r="E9415" i="10"/>
  <c r="D9415" i="10"/>
  <c r="E9414" i="10"/>
  <c r="D9414" i="10"/>
  <c r="E9413" i="10"/>
  <c r="D9413" i="10"/>
  <c r="E9412" i="10"/>
  <c r="D9412" i="10"/>
  <c r="E9411" i="10"/>
  <c r="D9411" i="10"/>
  <c r="E9410" i="10"/>
  <c r="D9410" i="10"/>
  <c r="E9409" i="10"/>
  <c r="D9409" i="10"/>
  <c r="E9408" i="10"/>
  <c r="D9408" i="10"/>
  <c r="E9407" i="10"/>
  <c r="D9407" i="10"/>
  <c r="E9406" i="10"/>
  <c r="D9406" i="10"/>
  <c r="E9405" i="10"/>
  <c r="D9405" i="10"/>
  <c r="E9404" i="10"/>
  <c r="D9404" i="10"/>
  <c r="E9403" i="10"/>
  <c r="D9403" i="10"/>
  <c r="E9402" i="10"/>
  <c r="D9402" i="10"/>
  <c r="E9401" i="10"/>
  <c r="D9401" i="10"/>
  <c r="E9400" i="10"/>
  <c r="D9400" i="10"/>
  <c r="E9399" i="10"/>
  <c r="D9399" i="10"/>
  <c r="E9398" i="10"/>
  <c r="D9398" i="10"/>
  <c r="E9397" i="10"/>
  <c r="D9397" i="10"/>
  <c r="E9396" i="10"/>
  <c r="D9396" i="10"/>
  <c r="E9395" i="10"/>
  <c r="D9395" i="10"/>
  <c r="E9394" i="10"/>
  <c r="D9394" i="10"/>
  <c r="E9393" i="10"/>
  <c r="D9393" i="10"/>
  <c r="E9392" i="10"/>
  <c r="D9392" i="10"/>
  <c r="E9391" i="10"/>
  <c r="D9391" i="10"/>
  <c r="E9390" i="10"/>
  <c r="D9390" i="10"/>
  <c r="E9389" i="10"/>
  <c r="D9389" i="10"/>
  <c r="E9388" i="10"/>
  <c r="D9388" i="10"/>
  <c r="E9387" i="10"/>
  <c r="D9387" i="10"/>
  <c r="E9386" i="10"/>
  <c r="D9386" i="10"/>
  <c r="E9385" i="10"/>
  <c r="D9385" i="10"/>
  <c r="E9384" i="10"/>
  <c r="D9384" i="10"/>
  <c r="E9383" i="10"/>
  <c r="D9383" i="10"/>
  <c r="E9382" i="10"/>
  <c r="D9382" i="10"/>
  <c r="E9381" i="10"/>
  <c r="D9381" i="10"/>
  <c r="E9380" i="10"/>
  <c r="D9380" i="10"/>
  <c r="E9379" i="10"/>
  <c r="D9379" i="10"/>
  <c r="E9378" i="10"/>
  <c r="D9378" i="10"/>
  <c r="E9377" i="10"/>
  <c r="D9377" i="10"/>
  <c r="E9376" i="10"/>
  <c r="D9376" i="10"/>
  <c r="E9375" i="10"/>
  <c r="D9375" i="10"/>
  <c r="E9374" i="10"/>
  <c r="D9374" i="10"/>
  <c r="E9373" i="10"/>
  <c r="D9373" i="10"/>
  <c r="E9372" i="10"/>
  <c r="D9372" i="10"/>
  <c r="E9371" i="10"/>
  <c r="D9371" i="10"/>
  <c r="E9370" i="10"/>
  <c r="D9370" i="10"/>
  <c r="E9369" i="10"/>
  <c r="D9369" i="10"/>
  <c r="E9368" i="10"/>
  <c r="D9368" i="10"/>
  <c r="E9367" i="10"/>
  <c r="D9367" i="10"/>
  <c r="E9366" i="10"/>
  <c r="D9366" i="10"/>
  <c r="E9365" i="10"/>
  <c r="D9365" i="10"/>
  <c r="E9364" i="10"/>
  <c r="D9364" i="10"/>
  <c r="E9363" i="10"/>
  <c r="D9363" i="10"/>
  <c r="E9362" i="10"/>
  <c r="D9362" i="10"/>
  <c r="E9361" i="10"/>
  <c r="D9361" i="10"/>
  <c r="E9360" i="10"/>
  <c r="D9360" i="10"/>
  <c r="E9359" i="10"/>
  <c r="D9359" i="10"/>
  <c r="E9358" i="10"/>
  <c r="D9358" i="10"/>
  <c r="E9357" i="10"/>
  <c r="D9357" i="10"/>
  <c r="E9356" i="10"/>
  <c r="D9356" i="10"/>
  <c r="E9355" i="10"/>
  <c r="D9355" i="10"/>
  <c r="E9354" i="10"/>
  <c r="D9354" i="10"/>
  <c r="E9353" i="10"/>
  <c r="D9353" i="10"/>
  <c r="E9352" i="10"/>
  <c r="D9352" i="10"/>
  <c r="E9351" i="10"/>
  <c r="D9351" i="10"/>
  <c r="E9350" i="10"/>
  <c r="D9350" i="10"/>
  <c r="E9349" i="10"/>
  <c r="D9349" i="10"/>
  <c r="E9348" i="10"/>
  <c r="D9348" i="10"/>
  <c r="E9347" i="10"/>
  <c r="D9347" i="10"/>
  <c r="E9346" i="10"/>
  <c r="D9346" i="10"/>
  <c r="E9345" i="10"/>
  <c r="D9345" i="10"/>
  <c r="E9344" i="10"/>
  <c r="D9344" i="10"/>
  <c r="E9343" i="10"/>
  <c r="D9343" i="10"/>
  <c r="E9342" i="10"/>
  <c r="D9342" i="10"/>
  <c r="E9341" i="10"/>
  <c r="D9341" i="10"/>
  <c r="E9340" i="10"/>
  <c r="D9340" i="10"/>
  <c r="E9339" i="10"/>
  <c r="D9339" i="10"/>
  <c r="E9338" i="10"/>
  <c r="D9338" i="10"/>
  <c r="E9337" i="10"/>
  <c r="D9337" i="10"/>
  <c r="E9336" i="10"/>
  <c r="D9336" i="10"/>
  <c r="E9335" i="10"/>
  <c r="D9335" i="10"/>
  <c r="E9334" i="10"/>
  <c r="D9334" i="10"/>
  <c r="E9333" i="10"/>
  <c r="D9333" i="10"/>
  <c r="E9332" i="10"/>
  <c r="D9332" i="10"/>
  <c r="E9331" i="10"/>
  <c r="D9331" i="10"/>
  <c r="E9330" i="10"/>
  <c r="D9330" i="10"/>
  <c r="E9329" i="10"/>
  <c r="D9329" i="10"/>
  <c r="E9328" i="10"/>
  <c r="D9328" i="10"/>
  <c r="E9327" i="10"/>
  <c r="D9327" i="10"/>
  <c r="E9326" i="10"/>
  <c r="D9326" i="10"/>
  <c r="E9325" i="10"/>
  <c r="D9325" i="10"/>
  <c r="E9324" i="10"/>
  <c r="D9324" i="10"/>
  <c r="E9323" i="10"/>
  <c r="D9323" i="10"/>
  <c r="E9322" i="10"/>
  <c r="D9322" i="10"/>
  <c r="E9321" i="10"/>
  <c r="D9321" i="10"/>
  <c r="E9320" i="10"/>
  <c r="D9320" i="10"/>
  <c r="E9319" i="10"/>
  <c r="D9319" i="10"/>
  <c r="E9318" i="10"/>
  <c r="D9318" i="10"/>
  <c r="E9317" i="10"/>
  <c r="D9317" i="10"/>
  <c r="E9316" i="10"/>
  <c r="D9316" i="10"/>
  <c r="E9315" i="10"/>
  <c r="D9315" i="10"/>
  <c r="E9314" i="10"/>
  <c r="D9314" i="10"/>
  <c r="E9313" i="10"/>
  <c r="D9313" i="10"/>
  <c r="E9312" i="10"/>
  <c r="D9312" i="10"/>
  <c r="E9311" i="10"/>
  <c r="D9311" i="10"/>
  <c r="E9310" i="10"/>
  <c r="D9310" i="10"/>
  <c r="E9309" i="10"/>
  <c r="D9309" i="10"/>
  <c r="E9308" i="10"/>
  <c r="D9308" i="10"/>
  <c r="E9307" i="10"/>
  <c r="D9307" i="10"/>
  <c r="E9306" i="10"/>
  <c r="D9306" i="10"/>
  <c r="E9305" i="10"/>
  <c r="D9305" i="10"/>
  <c r="E9304" i="10"/>
  <c r="D9304" i="10"/>
  <c r="E9303" i="10"/>
  <c r="D9303" i="10"/>
  <c r="E9302" i="10"/>
  <c r="D9302" i="10"/>
  <c r="E9301" i="10"/>
  <c r="D9301" i="10"/>
  <c r="E9300" i="10"/>
  <c r="D9300" i="10"/>
  <c r="E9299" i="10"/>
  <c r="D9299" i="10"/>
  <c r="E9298" i="10"/>
  <c r="D9298" i="10"/>
  <c r="E9297" i="10"/>
  <c r="D9297" i="10"/>
  <c r="E9296" i="10"/>
  <c r="D9296" i="10"/>
  <c r="E9295" i="10"/>
  <c r="D9295" i="10"/>
  <c r="E9294" i="10"/>
  <c r="D9294" i="10"/>
  <c r="E9293" i="10"/>
  <c r="D9293" i="10"/>
  <c r="E9292" i="10"/>
  <c r="D9292" i="10"/>
  <c r="E9291" i="10"/>
  <c r="D9291" i="10"/>
  <c r="E9290" i="10"/>
  <c r="D9290" i="10"/>
  <c r="E9289" i="10"/>
  <c r="D9289" i="10"/>
  <c r="E9288" i="10"/>
  <c r="D9288" i="10"/>
  <c r="E9287" i="10"/>
  <c r="D9287" i="10"/>
  <c r="E9286" i="10"/>
  <c r="D9286" i="10"/>
  <c r="E9285" i="10"/>
  <c r="D9285" i="10"/>
  <c r="E9284" i="10"/>
  <c r="D9284" i="10"/>
  <c r="E9283" i="10"/>
  <c r="D9283" i="10"/>
  <c r="E9282" i="10"/>
  <c r="D9282" i="10"/>
  <c r="E9281" i="10"/>
  <c r="D9281" i="10"/>
  <c r="E9280" i="10"/>
  <c r="D9280" i="10"/>
  <c r="E9279" i="10"/>
  <c r="D9279" i="10"/>
  <c r="E9278" i="10"/>
  <c r="D9278" i="10"/>
  <c r="E9277" i="10"/>
  <c r="D9277" i="10"/>
  <c r="E9276" i="10"/>
  <c r="D9276" i="10"/>
  <c r="E9275" i="10"/>
  <c r="D9275" i="10"/>
  <c r="E9274" i="10"/>
  <c r="D9274" i="10"/>
  <c r="E9273" i="10"/>
  <c r="D9273" i="10"/>
  <c r="E9272" i="10"/>
  <c r="D9272" i="10"/>
  <c r="E9271" i="10"/>
  <c r="D9271" i="10"/>
  <c r="E9270" i="10"/>
  <c r="D9270" i="10"/>
  <c r="E9269" i="10"/>
  <c r="D9269" i="10"/>
  <c r="E9268" i="10"/>
  <c r="D9268" i="10"/>
  <c r="E9267" i="10"/>
  <c r="D9267" i="10"/>
  <c r="E9266" i="10"/>
  <c r="D9266" i="10"/>
  <c r="E9265" i="10"/>
  <c r="D9265" i="10"/>
  <c r="E9264" i="10"/>
  <c r="D9264" i="10"/>
  <c r="E9263" i="10"/>
  <c r="D9263" i="10"/>
  <c r="E9262" i="10"/>
  <c r="D9262" i="10"/>
  <c r="E9261" i="10"/>
  <c r="D9261" i="10"/>
  <c r="E9260" i="10"/>
  <c r="D9260" i="10"/>
  <c r="E9259" i="10"/>
  <c r="D9259" i="10"/>
  <c r="E9258" i="10"/>
  <c r="D9258" i="10"/>
  <c r="E9257" i="10"/>
  <c r="D9257" i="10"/>
  <c r="E9256" i="10"/>
  <c r="D9256" i="10"/>
  <c r="E9255" i="10"/>
  <c r="D9255" i="10"/>
  <c r="E9254" i="10"/>
  <c r="D9254" i="10"/>
  <c r="E9253" i="10"/>
  <c r="D9253" i="10"/>
  <c r="E9252" i="10"/>
  <c r="D9252" i="10"/>
  <c r="E9251" i="10"/>
  <c r="D9251" i="10"/>
  <c r="E9250" i="10"/>
  <c r="D9250" i="10"/>
  <c r="E9249" i="10"/>
  <c r="D9249" i="10"/>
  <c r="E9248" i="10"/>
  <c r="D9248" i="10"/>
  <c r="E9247" i="10"/>
  <c r="D9247" i="10"/>
  <c r="E9246" i="10"/>
  <c r="D9246" i="10"/>
  <c r="E9245" i="10"/>
  <c r="D9245" i="10"/>
  <c r="E9244" i="10"/>
  <c r="D9244" i="10"/>
  <c r="E9243" i="10"/>
  <c r="D9243" i="10"/>
  <c r="E9242" i="10"/>
  <c r="D9242" i="10"/>
  <c r="E9241" i="10"/>
  <c r="D9241" i="10"/>
  <c r="E9240" i="10"/>
  <c r="D9240" i="10"/>
  <c r="E9239" i="10"/>
  <c r="D9239" i="10"/>
  <c r="E9238" i="10"/>
  <c r="D9238" i="10"/>
  <c r="E9237" i="10"/>
  <c r="D9237" i="10"/>
  <c r="E9236" i="10"/>
  <c r="D9236" i="10"/>
  <c r="E9235" i="10"/>
  <c r="D9235" i="10"/>
  <c r="E9234" i="10"/>
  <c r="D9234" i="10"/>
  <c r="E9233" i="10"/>
  <c r="D9233" i="10"/>
  <c r="E9232" i="10"/>
  <c r="D9232" i="10"/>
  <c r="E9231" i="10"/>
  <c r="D9231" i="10"/>
  <c r="E9230" i="10"/>
  <c r="D9230" i="10"/>
  <c r="E9229" i="10"/>
  <c r="D9229" i="10"/>
  <c r="E9228" i="10"/>
  <c r="D9228" i="10"/>
  <c r="E9227" i="10"/>
  <c r="D9227" i="10"/>
  <c r="E9226" i="10"/>
  <c r="D9226" i="10"/>
  <c r="E9225" i="10"/>
  <c r="D9225" i="10"/>
  <c r="E9224" i="10"/>
  <c r="D9224" i="10"/>
  <c r="E9223" i="10"/>
  <c r="D9223" i="10"/>
  <c r="E9222" i="10"/>
  <c r="D9222" i="10"/>
  <c r="E9221" i="10"/>
  <c r="D9221" i="10"/>
  <c r="E9220" i="10"/>
  <c r="D9220" i="10"/>
  <c r="E9219" i="10"/>
  <c r="D9219" i="10"/>
  <c r="E9218" i="10"/>
  <c r="D9218" i="10"/>
  <c r="E9217" i="10"/>
  <c r="D9217" i="10"/>
  <c r="E9216" i="10"/>
  <c r="D9216" i="10"/>
  <c r="E9215" i="10"/>
  <c r="D9215" i="10"/>
  <c r="E9214" i="10"/>
  <c r="D9214" i="10"/>
  <c r="E9213" i="10"/>
  <c r="D9213" i="10"/>
  <c r="E9212" i="10"/>
  <c r="D9212" i="10"/>
  <c r="E9211" i="10"/>
  <c r="D9211" i="10"/>
  <c r="E9210" i="10"/>
  <c r="D9210" i="10"/>
  <c r="E9209" i="10"/>
  <c r="D9209" i="10"/>
  <c r="E9208" i="10"/>
  <c r="D9208" i="10"/>
  <c r="E9207" i="10"/>
  <c r="D9207" i="10"/>
  <c r="E9206" i="10"/>
  <c r="D9206" i="10"/>
  <c r="E9205" i="10"/>
  <c r="D9205" i="10"/>
  <c r="E9204" i="10"/>
  <c r="D9204" i="10"/>
  <c r="E9203" i="10"/>
  <c r="D9203" i="10"/>
  <c r="E9202" i="10"/>
  <c r="D9202" i="10"/>
  <c r="E9201" i="10"/>
  <c r="D9201" i="10"/>
  <c r="E9200" i="10"/>
  <c r="D9200" i="10"/>
  <c r="E9199" i="10"/>
  <c r="D9199" i="10"/>
  <c r="E9198" i="10"/>
  <c r="D9198" i="10"/>
  <c r="E9197" i="10"/>
  <c r="D9197" i="10"/>
  <c r="E9196" i="10"/>
  <c r="D9196" i="10"/>
  <c r="E9195" i="10"/>
  <c r="D9195" i="10"/>
  <c r="E9194" i="10"/>
  <c r="D9194" i="10"/>
  <c r="E9193" i="10"/>
  <c r="D9193" i="10"/>
  <c r="E9192" i="10"/>
  <c r="D9192" i="10"/>
  <c r="E9191" i="10"/>
  <c r="D9191" i="10"/>
  <c r="E9190" i="10"/>
  <c r="D9190" i="10"/>
  <c r="E9189" i="10"/>
  <c r="D9189" i="10"/>
  <c r="E9188" i="10"/>
  <c r="D9188" i="10"/>
  <c r="E9187" i="10"/>
  <c r="D9187" i="10"/>
  <c r="E9186" i="10"/>
  <c r="D9186" i="10"/>
  <c r="E9185" i="10"/>
  <c r="D9185" i="10"/>
  <c r="E9184" i="10"/>
  <c r="D9184" i="10"/>
  <c r="E9183" i="10"/>
  <c r="D9183" i="10"/>
  <c r="E9182" i="10"/>
  <c r="D9182" i="10"/>
  <c r="E9181" i="10"/>
  <c r="D9181" i="10"/>
  <c r="E9180" i="10"/>
  <c r="D9180" i="10"/>
  <c r="E9179" i="10"/>
  <c r="D9179" i="10"/>
  <c r="E9178" i="10"/>
  <c r="D9178" i="10"/>
  <c r="E9177" i="10"/>
  <c r="D9177" i="10"/>
  <c r="E9176" i="10"/>
  <c r="D9176" i="10"/>
  <c r="E9175" i="10"/>
  <c r="D9175" i="10"/>
  <c r="E9174" i="10"/>
  <c r="D9174" i="10"/>
  <c r="E9173" i="10"/>
  <c r="D9173" i="10"/>
  <c r="E9172" i="10"/>
  <c r="D9172" i="10"/>
  <c r="E9171" i="10"/>
  <c r="D9171" i="10"/>
  <c r="E9170" i="10"/>
  <c r="D9170" i="10"/>
  <c r="E9169" i="10"/>
  <c r="D9169" i="10"/>
  <c r="E9168" i="10"/>
  <c r="D9168" i="10"/>
  <c r="E9167" i="10"/>
  <c r="D9167" i="10"/>
  <c r="E9166" i="10"/>
  <c r="D9166" i="10"/>
  <c r="E9165" i="10"/>
  <c r="D9165" i="10"/>
  <c r="E9164" i="10"/>
  <c r="D9164" i="10"/>
  <c r="E9163" i="10"/>
  <c r="D9163" i="10"/>
  <c r="E9162" i="10"/>
  <c r="D9162" i="10"/>
  <c r="E9161" i="10"/>
  <c r="D9161" i="10"/>
  <c r="E9160" i="10"/>
  <c r="D9160" i="10"/>
  <c r="E9159" i="10"/>
  <c r="D9159" i="10"/>
  <c r="E9158" i="10"/>
  <c r="D9158" i="10"/>
  <c r="E9157" i="10"/>
  <c r="D9157" i="10"/>
  <c r="E9156" i="10"/>
  <c r="D9156" i="10"/>
  <c r="E9155" i="10"/>
  <c r="D9155" i="10"/>
  <c r="E9154" i="10"/>
  <c r="D9154" i="10"/>
  <c r="E9153" i="10"/>
  <c r="D9153" i="10"/>
  <c r="E9152" i="10"/>
  <c r="D9152" i="10"/>
  <c r="E9151" i="10"/>
  <c r="D9151" i="10"/>
  <c r="E9150" i="10"/>
  <c r="D9150" i="10"/>
  <c r="E9149" i="10"/>
  <c r="D9149" i="10"/>
  <c r="E9148" i="10"/>
  <c r="D9148" i="10"/>
  <c r="E9147" i="10"/>
  <c r="D9147" i="10"/>
  <c r="E9146" i="10"/>
  <c r="D9146" i="10"/>
  <c r="E9145" i="10"/>
  <c r="D9145" i="10"/>
  <c r="E9144" i="10"/>
  <c r="D9144" i="10"/>
  <c r="E9143" i="10"/>
  <c r="D9143" i="10"/>
  <c r="E9142" i="10"/>
  <c r="D9142" i="10"/>
  <c r="E9141" i="10"/>
  <c r="D9141" i="10"/>
  <c r="E9140" i="10"/>
  <c r="D9140" i="10"/>
  <c r="E9139" i="10"/>
  <c r="D9139" i="10"/>
  <c r="E9138" i="10"/>
  <c r="D9138" i="10"/>
  <c r="E9137" i="10"/>
  <c r="D9137" i="10"/>
  <c r="E9136" i="10"/>
  <c r="D9136" i="10"/>
  <c r="E9135" i="10"/>
  <c r="D9135" i="10"/>
  <c r="E9134" i="10"/>
  <c r="D9134" i="10"/>
  <c r="E9133" i="10"/>
  <c r="D9133" i="10"/>
  <c r="E9132" i="10"/>
  <c r="D9132" i="10"/>
  <c r="E9131" i="10"/>
  <c r="D9131" i="10"/>
  <c r="E9130" i="10"/>
  <c r="D9130" i="10"/>
  <c r="E9129" i="10"/>
  <c r="D9129" i="10"/>
  <c r="E9128" i="10"/>
  <c r="D9128" i="10"/>
  <c r="E9127" i="10"/>
  <c r="D9127" i="10"/>
  <c r="E9126" i="10"/>
  <c r="D9126" i="10"/>
  <c r="E9125" i="10"/>
  <c r="D9125" i="10"/>
  <c r="E9124" i="10"/>
  <c r="D9124" i="10"/>
  <c r="E9123" i="10"/>
  <c r="D9123" i="10"/>
  <c r="E9122" i="10"/>
  <c r="D9122" i="10"/>
  <c r="E9121" i="10"/>
  <c r="D9121" i="10"/>
  <c r="E9120" i="10"/>
  <c r="D9120" i="10"/>
  <c r="E9119" i="10"/>
  <c r="D9119" i="10"/>
  <c r="E9118" i="10"/>
  <c r="D9118" i="10"/>
  <c r="E9117" i="10"/>
  <c r="D9117" i="10"/>
  <c r="E9116" i="10"/>
  <c r="D9116" i="10"/>
  <c r="E9115" i="10"/>
  <c r="D9115" i="10"/>
  <c r="E9114" i="10"/>
  <c r="D9114" i="10"/>
  <c r="E9113" i="10"/>
  <c r="D9113" i="10"/>
  <c r="E9112" i="10"/>
  <c r="D9112" i="10"/>
  <c r="E9111" i="10"/>
  <c r="D9111" i="10"/>
  <c r="E9110" i="10"/>
  <c r="D9110" i="10"/>
  <c r="E9109" i="10"/>
  <c r="D9109" i="10"/>
  <c r="E9108" i="10"/>
  <c r="D9108" i="10"/>
  <c r="E9107" i="10"/>
  <c r="D9107" i="10"/>
  <c r="E9106" i="10"/>
  <c r="D9106" i="10"/>
  <c r="E9105" i="10"/>
  <c r="D9105" i="10"/>
  <c r="E9104" i="10"/>
  <c r="D9104" i="10"/>
  <c r="E9103" i="10"/>
  <c r="D9103" i="10"/>
  <c r="E9102" i="10"/>
  <c r="D9102" i="10"/>
  <c r="E9101" i="10"/>
  <c r="D9101" i="10"/>
  <c r="E9100" i="10"/>
  <c r="D9100" i="10"/>
  <c r="E9099" i="10"/>
  <c r="D9099" i="10"/>
  <c r="E9098" i="10"/>
  <c r="D9098" i="10"/>
  <c r="E9097" i="10"/>
  <c r="D9097" i="10"/>
  <c r="E9096" i="10"/>
  <c r="D9096" i="10"/>
  <c r="E9095" i="10"/>
  <c r="D9095" i="10"/>
  <c r="E9094" i="10"/>
  <c r="D9094" i="10"/>
  <c r="E9093" i="10"/>
  <c r="D9093" i="10"/>
  <c r="E9092" i="10"/>
  <c r="D9092" i="10"/>
  <c r="E9091" i="10"/>
  <c r="D9091" i="10"/>
  <c r="E9090" i="10"/>
  <c r="D9090" i="10"/>
  <c r="E9089" i="10"/>
  <c r="D9089" i="10"/>
  <c r="E9088" i="10"/>
  <c r="D9088" i="10"/>
  <c r="E9087" i="10"/>
  <c r="D9087" i="10"/>
  <c r="E9086" i="10"/>
  <c r="D9086" i="10"/>
  <c r="E9085" i="10"/>
  <c r="D9085" i="10"/>
  <c r="E9084" i="10"/>
  <c r="D9084" i="10"/>
  <c r="E9083" i="10"/>
  <c r="D9083" i="10"/>
  <c r="E9082" i="10"/>
  <c r="D9082" i="10"/>
  <c r="E9081" i="10"/>
  <c r="D9081" i="10"/>
  <c r="E9080" i="10"/>
  <c r="D9080" i="10"/>
  <c r="E9079" i="10"/>
  <c r="D9079" i="10"/>
  <c r="E9078" i="10"/>
  <c r="D9078" i="10"/>
  <c r="E9077" i="10"/>
  <c r="D9077" i="10"/>
  <c r="E9076" i="10"/>
  <c r="D9076" i="10"/>
  <c r="E9075" i="10"/>
  <c r="D9075" i="10"/>
  <c r="E9074" i="10"/>
  <c r="D9074" i="10"/>
  <c r="E9073" i="10"/>
  <c r="D9073" i="10"/>
  <c r="E9072" i="10"/>
  <c r="D9072" i="10"/>
  <c r="E9071" i="10"/>
  <c r="D9071" i="10"/>
  <c r="E9070" i="10"/>
  <c r="D9070" i="10"/>
  <c r="E9069" i="10"/>
  <c r="D9069" i="10"/>
  <c r="E9068" i="10"/>
  <c r="D9068" i="10"/>
  <c r="E9067" i="10"/>
  <c r="D9067" i="10"/>
  <c r="E9066" i="10"/>
  <c r="D9066" i="10"/>
  <c r="E9065" i="10"/>
  <c r="D9065" i="10"/>
  <c r="E9064" i="10"/>
  <c r="D9064" i="10"/>
  <c r="E9063" i="10"/>
  <c r="D9063" i="10"/>
  <c r="E9062" i="10"/>
  <c r="D9062" i="10"/>
  <c r="E9061" i="10"/>
  <c r="D9061" i="10"/>
  <c r="E9060" i="10"/>
  <c r="D9060" i="10"/>
  <c r="E9059" i="10"/>
  <c r="D9059" i="10"/>
  <c r="E9058" i="10"/>
  <c r="D9058" i="10"/>
  <c r="E9057" i="10"/>
  <c r="D9057" i="10"/>
  <c r="E9056" i="10"/>
  <c r="D9056" i="10"/>
  <c r="E9055" i="10"/>
  <c r="D9055" i="10"/>
  <c r="E9054" i="10"/>
  <c r="D9054" i="10"/>
  <c r="E9053" i="10"/>
  <c r="D9053" i="10"/>
  <c r="E9052" i="10"/>
  <c r="D9052" i="10"/>
  <c r="E9051" i="10"/>
  <c r="D9051" i="10"/>
  <c r="E9050" i="10"/>
  <c r="D9050" i="10"/>
  <c r="E9049" i="10"/>
  <c r="D9049" i="10"/>
  <c r="E9048" i="10"/>
  <c r="D9048" i="10"/>
  <c r="E9047" i="10"/>
  <c r="D9047" i="10"/>
  <c r="E9046" i="10"/>
  <c r="D9046" i="10"/>
  <c r="E9045" i="10"/>
  <c r="D9045" i="10"/>
  <c r="E9044" i="10"/>
  <c r="D9044" i="10"/>
  <c r="E9043" i="10"/>
  <c r="D9043" i="10"/>
  <c r="E9042" i="10"/>
  <c r="D9042" i="10"/>
  <c r="E9041" i="10"/>
  <c r="D9041" i="10"/>
  <c r="E9040" i="10"/>
  <c r="D9040" i="10"/>
  <c r="E9039" i="10"/>
  <c r="D9039" i="10"/>
  <c r="E9038" i="10"/>
  <c r="D9038" i="10"/>
  <c r="E9037" i="10"/>
  <c r="D9037" i="10"/>
  <c r="E9036" i="10"/>
  <c r="D9036" i="10"/>
  <c r="E9035" i="10"/>
  <c r="D9035" i="10"/>
  <c r="E9034" i="10"/>
  <c r="D9034" i="10"/>
  <c r="E9033" i="10"/>
  <c r="D9033" i="10"/>
  <c r="E9032" i="10"/>
  <c r="D9032" i="10"/>
  <c r="E9031" i="10"/>
  <c r="D9031" i="10"/>
  <c r="E9030" i="10"/>
  <c r="D9030" i="10"/>
  <c r="E9029" i="10"/>
  <c r="D9029" i="10"/>
  <c r="E9028" i="10"/>
  <c r="D9028" i="10"/>
  <c r="E9027" i="10"/>
  <c r="D9027" i="10"/>
  <c r="E9026" i="10"/>
  <c r="D9026" i="10"/>
  <c r="E9025" i="10"/>
  <c r="D9025" i="10"/>
  <c r="E9024" i="10"/>
  <c r="D9024" i="10"/>
  <c r="E9023" i="10"/>
  <c r="D9023" i="10"/>
  <c r="E9022" i="10"/>
  <c r="D9022" i="10"/>
  <c r="E9021" i="10"/>
  <c r="D9021" i="10"/>
  <c r="E9020" i="10"/>
  <c r="D9020" i="10"/>
  <c r="E9019" i="10"/>
  <c r="D9019" i="10"/>
  <c r="E9018" i="10"/>
  <c r="D9018" i="10"/>
  <c r="E9017" i="10"/>
  <c r="D9017" i="10"/>
  <c r="E9016" i="10"/>
  <c r="D9016" i="10"/>
  <c r="E9015" i="10"/>
  <c r="D9015" i="10"/>
  <c r="E9014" i="10"/>
  <c r="D9014" i="10"/>
  <c r="E9013" i="10"/>
  <c r="D9013" i="10"/>
  <c r="E9012" i="10"/>
  <c r="D9012" i="10"/>
  <c r="E9011" i="10"/>
  <c r="D9011" i="10"/>
  <c r="E9010" i="10"/>
  <c r="D9010" i="10"/>
  <c r="E9009" i="10"/>
  <c r="D9009" i="10"/>
  <c r="E9008" i="10"/>
  <c r="D9008" i="10"/>
  <c r="E9007" i="10"/>
  <c r="D9007" i="10"/>
  <c r="E9006" i="10"/>
  <c r="D9006" i="10"/>
  <c r="E9005" i="10"/>
  <c r="D9005" i="10"/>
  <c r="E9004" i="10"/>
  <c r="D9004" i="10"/>
  <c r="E9003" i="10"/>
  <c r="D9003" i="10"/>
  <c r="E9002" i="10"/>
  <c r="D9002" i="10"/>
  <c r="E9001" i="10"/>
  <c r="D9001" i="10"/>
  <c r="E9000" i="10"/>
  <c r="D9000" i="10"/>
  <c r="E8999" i="10"/>
  <c r="D8999" i="10"/>
  <c r="E8998" i="10"/>
  <c r="D8998" i="10"/>
  <c r="E8997" i="10"/>
  <c r="D8997" i="10"/>
  <c r="E8996" i="10"/>
  <c r="D8996" i="10"/>
  <c r="E8995" i="10"/>
  <c r="D8995" i="10"/>
  <c r="E8994" i="10"/>
  <c r="D8994" i="10"/>
  <c r="E8993" i="10"/>
  <c r="D8993" i="10"/>
  <c r="E8992" i="10"/>
  <c r="D8992" i="10"/>
  <c r="E8991" i="10"/>
  <c r="D8991" i="10"/>
  <c r="E8990" i="10"/>
  <c r="D8990" i="10"/>
  <c r="E8989" i="10"/>
  <c r="D8989" i="10"/>
  <c r="E8988" i="10"/>
  <c r="D8988" i="10"/>
  <c r="E8987" i="10"/>
  <c r="D8987" i="10"/>
  <c r="E8986" i="10"/>
  <c r="D8986" i="10"/>
  <c r="E8985" i="10"/>
  <c r="D8985" i="10"/>
  <c r="E8984" i="10"/>
  <c r="D8984" i="10"/>
  <c r="E8983" i="10"/>
  <c r="D8983" i="10"/>
  <c r="E8982" i="10"/>
  <c r="D8982" i="10"/>
  <c r="E8981" i="10"/>
  <c r="D8981" i="10"/>
  <c r="E8980" i="10"/>
  <c r="D8980" i="10"/>
  <c r="E8979" i="10"/>
  <c r="D8979" i="10"/>
  <c r="E8978" i="10"/>
  <c r="D8978" i="10"/>
  <c r="E8977" i="10"/>
  <c r="D8977" i="10"/>
  <c r="E8976" i="10"/>
  <c r="D8976" i="10"/>
  <c r="E8975" i="10"/>
  <c r="D8975" i="10"/>
  <c r="E8974" i="10"/>
  <c r="D8974" i="10"/>
  <c r="E8973" i="10"/>
  <c r="D8973" i="10"/>
  <c r="E8972" i="10"/>
  <c r="D8972" i="10"/>
  <c r="E8971" i="10"/>
  <c r="D8971" i="10"/>
  <c r="E8970" i="10"/>
  <c r="D8970" i="10"/>
  <c r="E8969" i="10"/>
  <c r="D8969" i="10"/>
  <c r="E8968" i="10"/>
  <c r="D8968" i="10"/>
  <c r="E8967" i="10"/>
  <c r="D8967" i="10"/>
  <c r="E8966" i="10"/>
  <c r="D8966" i="10"/>
  <c r="E8965" i="10"/>
  <c r="D8965" i="10"/>
  <c r="E8964" i="10"/>
  <c r="D8964" i="10"/>
  <c r="E8963" i="10"/>
  <c r="D8963" i="10"/>
  <c r="E8962" i="10"/>
  <c r="D8962" i="10"/>
  <c r="E8961" i="10"/>
  <c r="D8961" i="10"/>
  <c r="E8960" i="10"/>
  <c r="D8960" i="10"/>
  <c r="E8959" i="10"/>
  <c r="D8959" i="10"/>
  <c r="E8958" i="10"/>
  <c r="D8958" i="10"/>
  <c r="E8957" i="10"/>
  <c r="D8957" i="10"/>
  <c r="E8956" i="10"/>
  <c r="D8956" i="10"/>
  <c r="E8955" i="10"/>
  <c r="D8955" i="10"/>
  <c r="E8954" i="10"/>
  <c r="D8954" i="10"/>
  <c r="E8953" i="10"/>
  <c r="D8953" i="10"/>
  <c r="E8952" i="10"/>
  <c r="D8952" i="10"/>
  <c r="E8951" i="10"/>
  <c r="D8951" i="10"/>
  <c r="E8950" i="10"/>
  <c r="D8950" i="10"/>
  <c r="E8949" i="10"/>
  <c r="D8949" i="10"/>
  <c r="E8948" i="10"/>
  <c r="D8948" i="10"/>
  <c r="E8947" i="10"/>
  <c r="D8947" i="10"/>
  <c r="E8946" i="10"/>
  <c r="D8946" i="10"/>
  <c r="E8945" i="10"/>
  <c r="D8945" i="10"/>
  <c r="E8944" i="10"/>
  <c r="D8944" i="10"/>
  <c r="E8943" i="10"/>
  <c r="D8943" i="10"/>
  <c r="E8942" i="10"/>
  <c r="D8942" i="10"/>
  <c r="E8941" i="10"/>
  <c r="D8941" i="10"/>
  <c r="E8940" i="10"/>
  <c r="D8940" i="10"/>
  <c r="E8939" i="10"/>
  <c r="D8939" i="10"/>
  <c r="E8938" i="10"/>
  <c r="D8938" i="10"/>
  <c r="E8937" i="10"/>
  <c r="D8937" i="10"/>
  <c r="E8936" i="10"/>
  <c r="D8936" i="10"/>
  <c r="E8935" i="10"/>
  <c r="D8935" i="10"/>
  <c r="E8934" i="10"/>
  <c r="D8934" i="10"/>
  <c r="E8933" i="10"/>
  <c r="D8933" i="10"/>
  <c r="E8932" i="10"/>
  <c r="D8932" i="10"/>
  <c r="E8931" i="10"/>
  <c r="D8931" i="10"/>
  <c r="E8930" i="10"/>
  <c r="D8930" i="10"/>
  <c r="E8929" i="10"/>
  <c r="D8929" i="10"/>
  <c r="E8928" i="10"/>
  <c r="D8928" i="10"/>
  <c r="E8927" i="10"/>
  <c r="D8927" i="10"/>
  <c r="E8926" i="10"/>
  <c r="D8926" i="10"/>
  <c r="E8925" i="10"/>
  <c r="D8925" i="10"/>
  <c r="E8924" i="10"/>
  <c r="D8924" i="10"/>
  <c r="E8923" i="10"/>
  <c r="D8923" i="10"/>
  <c r="E8922" i="10"/>
  <c r="D8922" i="10"/>
  <c r="E8921" i="10"/>
  <c r="D8921" i="10"/>
  <c r="E8920" i="10"/>
  <c r="D8920" i="10"/>
  <c r="E8919" i="10"/>
  <c r="D8919" i="10"/>
  <c r="E8918" i="10"/>
  <c r="D8918" i="10"/>
  <c r="E8917" i="10"/>
  <c r="D8917" i="10"/>
  <c r="E8916" i="10"/>
  <c r="D8916" i="10"/>
  <c r="E8915" i="10"/>
  <c r="D8915" i="10"/>
  <c r="E8914" i="10"/>
  <c r="D8914" i="10"/>
  <c r="E8913" i="10"/>
  <c r="D8913" i="10"/>
  <c r="E8912" i="10"/>
  <c r="D8912" i="10"/>
  <c r="E8911" i="10"/>
  <c r="D8911" i="10"/>
  <c r="E8910" i="10"/>
  <c r="D8910" i="10"/>
  <c r="E8909" i="10"/>
  <c r="D8909" i="10"/>
  <c r="E8908" i="10"/>
  <c r="D8908" i="10"/>
  <c r="E8907" i="10"/>
  <c r="D8907" i="10"/>
  <c r="E8906" i="10"/>
  <c r="D8906" i="10"/>
  <c r="E8905" i="10"/>
  <c r="D8905" i="10"/>
  <c r="E8904" i="10"/>
  <c r="D8904" i="10"/>
  <c r="E8903" i="10"/>
  <c r="D8903" i="10"/>
  <c r="E8902" i="10"/>
  <c r="D8902" i="10"/>
  <c r="E8901" i="10"/>
  <c r="D8901" i="10"/>
  <c r="E8900" i="10"/>
  <c r="D8900" i="10"/>
  <c r="E8899" i="10"/>
  <c r="D8899" i="10"/>
  <c r="E8898" i="10"/>
  <c r="D8898" i="10"/>
  <c r="E8897" i="10"/>
  <c r="D8897" i="10"/>
  <c r="E8896" i="10"/>
  <c r="D8896" i="10"/>
  <c r="E8895" i="10"/>
  <c r="D8895" i="10"/>
  <c r="E8894" i="10"/>
  <c r="D8894" i="10"/>
  <c r="E8893" i="10"/>
  <c r="D8893" i="10"/>
  <c r="E8892" i="10"/>
  <c r="D8892" i="10"/>
  <c r="E8891" i="10"/>
  <c r="D8891" i="10"/>
  <c r="E8890" i="10"/>
  <c r="D8890" i="10"/>
  <c r="E8889" i="10"/>
  <c r="D8889" i="10"/>
  <c r="E8888" i="10"/>
  <c r="D8888" i="10"/>
  <c r="E8887" i="10"/>
  <c r="D8887" i="10"/>
  <c r="E8886" i="10"/>
  <c r="D8886" i="10"/>
  <c r="E8885" i="10"/>
  <c r="D8885" i="10"/>
  <c r="E8884" i="10"/>
  <c r="D8884" i="10"/>
  <c r="E8883" i="10"/>
  <c r="D8883" i="10"/>
  <c r="E8882" i="10"/>
  <c r="D8882" i="10"/>
  <c r="E8881" i="10"/>
  <c r="D8881" i="10"/>
  <c r="E8880" i="10"/>
  <c r="D8880" i="10"/>
  <c r="E8879" i="10"/>
  <c r="D8879" i="10"/>
  <c r="E8878" i="10"/>
  <c r="D8878" i="10"/>
  <c r="E8877" i="10"/>
  <c r="D8877" i="10"/>
  <c r="E8876" i="10"/>
  <c r="D8876" i="10"/>
  <c r="E8875" i="10"/>
  <c r="D8875" i="10"/>
  <c r="E8874" i="10"/>
  <c r="D8874" i="10"/>
  <c r="E8873" i="10"/>
  <c r="D8873" i="10"/>
  <c r="E8872" i="10"/>
  <c r="D8872" i="10"/>
  <c r="E8871" i="10"/>
  <c r="D8871" i="10"/>
  <c r="E8870" i="10"/>
  <c r="D8870" i="10"/>
  <c r="E8869" i="10"/>
  <c r="D8869" i="10"/>
  <c r="E8868" i="10"/>
  <c r="D8868" i="10"/>
  <c r="E8867" i="10"/>
  <c r="D8867" i="10"/>
  <c r="E8866" i="10"/>
  <c r="D8866" i="10"/>
  <c r="E8865" i="10"/>
  <c r="D8865" i="10"/>
  <c r="E8864" i="10"/>
  <c r="D8864" i="10"/>
  <c r="E8863" i="10"/>
  <c r="D8863" i="10"/>
  <c r="E8862" i="10"/>
  <c r="D8862" i="10"/>
  <c r="E8861" i="10"/>
  <c r="D8861" i="10"/>
  <c r="E8860" i="10"/>
  <c r="D8860" i="10"/>
  <c r="E8859" i="10"/>
  <c r="D8859" i="10"/>
  <c r="E8858" i="10"/>
  <c r="D8858" i="10"/>
  <c r="E8857" i="10"/>
  <c r="D8857" i="10"/>
  <c r="E8856" i="10"/>
  <c r="D8856" i="10"/>
  <c r="E8855" i="10"/>
  <c r="D8855" i="10"/>
  <c r="E8854" i="10"/>
  <c r="D8854" i="10"/>
  <c r="E8853" i="10"/>
  <c r="D8853" i="10"/>
  <c r="E8852" i="10"/>
  <c r="D8852" i="10"/>
  <c r="E8851" i="10"/>
  <c r="D8851" i="10"/>
  <c r="E8850" i="10"/>
  <c r="D8850" i="10"/>
  <c r="E8849" i="10"/>
  <c r="D8849" i="10"/>
  <c r="E8848" i="10"/>
  <c r="D8848" i="10"/>
  <c r="E8847" i="10"/>
  <c r="D8847" i="10"/>
  <c r="E8846" i="10"/>
  <c r="D8846" i="10"/>
  <c r="E8845" i="10"/>
  <c r="D8845" i="10"/>
  <c r="E8844" i="10"/>
  <c r="D8844" i="10"/>
  <c r="E8843" i="10"/>
  <c r="D8843" i="10"/>
  <c r="E8842" i="10"/>
  <c r="D8842" i="10"/>
  <c r="E8841" i="10"/>
  <c r="D8841" i="10"/>
  <c r="E8840" i="10"/>
  <c r="D8840" i="10"/>
  <c r="E8839" i="10"/>
  <c r="D8839" i="10"/>
  <c r="E8838" i="10"/>
  <c r="D8838" i="10"/>
  <c r="E8837" i="10"/>
  <c r="D8837" i="10"/>
  <c r="E8836" i="10"/>
  <c r="D8836" i="10"/>
  <c r="E8835" i="10"/>
  <c r="D8835" i="10"/>
  <c r="E8834" i="10"/>
  <c r="D8834" i="10"/>
  <c r="E8833" i="10"/>
  <c r="D8833" i="10"/>
  <c r="E8832" i="10"/>
  <c r="D8832" i="10"/>
  <c r="E8831" i="10"/>
  <c r="D8831" i="10"/>
  <c r="E8830" i="10"/>
  <c r="D8830" i="10"/>
  <c r="E8829" i="10"/>
  <c r="D8829" i="10"/>
  <c r="E8828" i="10"/>
  <c r="D8828" i="10"/>
  <c r="E8827" i="10"/>
  <c r="D8827" i="10"/>
  <c r="E8826" i="10"/>
  <c r="D8826" i="10"/>
  <c r="E8825" i="10"/>
  <c r="D8825" i="10"/>
  <c r="E8824" i="10"/>
  <c r="D8824" i="10"/>
  <c r="E8823" i="10"/>
  <c r="D8823" i="10"/>
  <c r="E8822" i="10"/>
  <c r="D8822" i="10"/>
  <c r="E8821" i="10"/>
  <c r="D8821" i="10"/>
  <c r="E8820" i="10"/>
  <c r="D8820" i="10"/>
  <c r="E8819" i="10"/>
  <c r="D8819" i="10"/>
  <c r="E8818" i="10"/>
  <c r="D8818" i="10"/>
  <c r="E8817" i="10"/>
  <c r="D8817" i="10"/>
  <c r="E8816" i="10"/>
  <c r="D8816" i="10"/>
  <c r="E8815" i="10"/>
  <c r="D8815" i="10"/>
  <c r="E8814" i="10"/>
  <c r="D8814" i="10"/>
  <c r="E8813" i="10"/>
  <c r="D8813" i="10"/>
  <c r="E8812" i="10"/>
  <c r="D8812" i="10"/>
  <c r="E8811" i="10"/>
  <c r="D8811" i="10"/>
  <c r="E8810" i="10"/>
  <c r="D8810" i="10"/>
  <c r="E8809" i="10"/>
  <c r="D8809" i="10"/>
  <c r="E8808" i="10"/>
  <c r="D8808" i="10"/>
  <c r="E8807" i="10"/>
  <c r="D8807" i="10"/>
  <c r="E8806" i="10"/>
  <c r="D8806" i="10"/>
  <c r="E8805" i="10"/>
  <c r="D8805" i="10"/>
  <c r="E8804" i="10"/>
  <c r="D8804" i="10"/>
  <c r="E8803" i="10"/>
  <c r="D8803" i="10"/>
  <c r="E8802" i="10"/>
  <c r="D8802" i="10"/>
  <c r="E8801" i="10"/>
  <c r="D8801" i="10"/>
  <c r="E8800" i="10"/>
  <c r="D8800" i="10"/>
  <c r="E8799" i="10"/>
  <c r="D8799" i="10"/>
  <c r="E8798" i="10"/>
  <c r="D8798" i="10"/>
  <c r="E8797" i="10"/>
  <c r="D8797" i="10"/>
  <c r="E8796" i="10"/>
  <c r="D8796" i="10"/>
  <c r="E8795" i="10"/>
  <c r="D8795" i="10"/>
  <c r="E8794" i="10"/>
  <c r="D8794" i="10"/>
  <c r="E8793" i="10"/>
  <c r="D8793" i="10"/>
  <c r="E8792" i="10"/>
  <c r="D8792" i="10"/>
  <c r="E8791" i="10"/>
  <c r="D8791" i="10"/>
  <c r="E8790" i="10"/>
  <c r="D8790" i="10"/>
  <c r="E8789" i="10"/>
  <c r="D8789" i="10"/>
  <c r="E8788" i="10"/>
  <c r="D8788" i="10"/>
  <c r="E8787" i="10"/>
  <c r="D8787" i="10"/>
  <c r="E8786" i="10"/>
  <c r="D8786" i="10"/>
  <c r="E8785" i="10"/>
  <c r="D8785" i="10"/>
  <c r="E8784" i="10"/>
  <c r="D8784" i="10"/>
  <c r="E8783" i="10"/>
  <c r="D8783" i="10"/>
  <c r="E8782" i="10"/>
  <c r="D8782" i="10"/>
  <c r="E8781" i="10"/>
  <c r="D8781" i="10"/>
  <c r="E8780" i="10"/>
  <c r="D8780" i="10"/>
  <c r="E8779" i="10"/>
  <c r="D8779" i="10"/>
  <c r="E8778" i="10"/>
  <c r="D8778" i="10"/>
  <c r="E8777" i="10"/>
  <c r="D8777" i="10"/>
  <c r="E8776" i="10"/>
  <c r="D8776" i="10"/>
  <c r="E8775" i="10"/>
  <c r="D8775" i="10"/>
  <c r="E8774" i="10"/>
  <c r="D8774" i="10"/>
  <c r="E8773" i="10"/>
  <c r="D8773" i="10"/>
  <c r="E8772" i="10"/>
  <c r="D8772" i="10"/>
  <c r="E8771" i="10"/>
  <c r="D8771" i="10"/>
  <c r="E8770" i="10"/>
  <c r="D8770" i="10"/>
  <c r="E8769" i="10"/>
  <c r="D8769" i="10"/>
  <c r="E8768" i="10"/>
  <c r="D8768" i="10"/>
  <c r="E8767" i="10"/>
  <c r="D8767" i="10"/>
  <c r="E8766" i="10"/>
  <c r="D8766" i="10"/>
  <c r="E8765" i="10"/>
  <c r="D8765" i="10"/>
  <c r="E8764" i="10"/>
  <c r="D8764" i="10"/>
  <c r="E8763" i="10"/>
  <c r="D8763" i="10"/>
  <c r="E8762" i="10"/>
  <c r="D8762" i="10"/>
  <c r="E8761" i="10"/>
  <c r="D8761" i="10"/>
  <c r="E8760" i="10"/>
  <c r="D8760" i="10"/>
  <c r="E8759" i="10"/>
  <c r="D8759" i="10"/>
  <c r="E8758" i="10"/>
  <c r="D8758" i="10"/>
  <c r="E8757" i="10"/>
  <c r="D8757" i="10"/>
  <c r="E8756" i="10"/>
  <c r="D8756" i="10"/>
  <c r="E8755" i="10"/>
  <c r="D8755" i="10"/>
  <c r="E8754" i="10"/>
  <c r="D8754" i="10"/>
  <c r="E8753" i="10"/>
  <c r="D8753" i="10"/>
  <c r="E8752" i="10"/>
  <c r="D8752" i="10"/>
  <c r="E8751" i="10"/>
  <c r="D8751" i="10"/>
  <c r="E8750" i="10"/>
  <c r="D8750" i="10"/>
  <c r="E8749" i="10"/>
  <c r="D8749" i="10"/>
  <c r="E8748" i="10"/>
  <c r="D8748" i="10"/>
  <c r="E8747" i="10"/>
  <c r="D8747" i="10"/>
  <c r="E8746" i="10"/>
  <c r="D8746" i="10"/>
  <c r="E8745" i="10"/>
  <c r="D8745" i="10"/>
  <c r="E8744" i="10"/>
  <c r="D8744" i="10"/>
  <c r="E8743" i="10"/>
  <c r="D8743" i="10"/>
  <c r="E8742" i="10"/>
  <c r="D8742" i="10"/>
  <c r="E8741" i="10"/>
  <c r="D8741" i="10"/>
  <c r="E8740" i="10"/>
  <c r="D8740" i="10"/>
  <c r="E8739" i="10"/>
  <c r="D8739" i="10"/>
  <c r="E8738" i="10"/>
  <c r="D8738" i="10"/>
  <c r="E8737" i="10"/>
  <c r="D8737" i="10"/>
  <c r="E8736" i="10"/>
  <c r="D8736" i="10"/>
  <c r="E8735" i="10"/>
  <c r="D8735" i="10"/>
  <c r="E8734" i="10"/>
  <c r="D8734" i="10"/>
  <c r="E8733" i="10"/>
  <c r="D8733" i="10"/>
  <c r="E8732" i="10"/>
  <c r="D8732" i="10"/>
  <c r="E8731" i="10"/>
  <c r="D8731" i="10"/>
  <c r="E8730" i="10"/>
  <c r="D8730" i="10"/>
  <c r="E8729" i="10"/>
  <c r="D8729" i="10"/>
  <c r="E8728" i="10"/>
  <c r="D8728" i="10"/>
  <c r="E8727" i="10"/>
  <c r="D8727" i="10"/>
  <c r="E8726" i="10"/>
  <c r="D8726" i="10"/>
  <c r="E8725" i="10"/>
  <c r="D8725" i="10"/>
  <c r="E8724" i="10"/>
  <c r="D8724" i="10"/>
  <c r="E8723" i="10"/>
  <c r="D8723" i="10"/>
  <c r="E8722" i="10"/>
  <c r="D8722" i="10"/>
  <c r="E8721" i="10"/>
  <c r="D8721" i="10"/>
  <c r="E8720" i="10"/>
  <c r="D8720" i="10"/>
  <c r="E8719" i="10"/>
  <c r="D8719" i="10"/>
  <c r="E8718" i="10"/>
  <c r="D8718" i="10"/>
  <c r="E8717" i="10"/>
  <c r="D8717" i="10"/>
  <c r="E8716" i="10"/>
  <c r="D8716" i="10"/>
  <c r="E8715" i="10"/>
  <c r="D8715" i="10"/>
  <c r="E8714" i="10"/>
  <c r="D8714" i="10"/>
  <c r="E8713" i="10"/>
  <c r="D8713" i="10"/>
  <c r="E8712" i="10"/>
  <c r="D8712" i="10"/>
  <c r="E8711" i="10"/>
  <c r="D8711" i="10"/>
  <c r="E8710" i="10"/>
  <c r="D8710" i="10"/>
  <c r="E8709" i="10"/>
  <c r="D8709" i="10"/>
  <c r="E8708" i="10"/>
  <c r="D8708" i="10"/>
  <c r="E8707" i="10"/>
  <c r="D8707" i="10"/>
  <c r="E8706" i="10"/>
  <c r="D8706" i="10"/>
  <c r="E8705" i="10"/>
  <c r="D8705" i="10"/>
  <c r="E8704" i="10"/>
  <c r="D8704" i="10"/>
  <c r="E8703" i="10"/>
  <c r="D8703" i="10"/>
  <c r="E8702" i="10"/>
  <c r="D8702" i="10"/>
  <c r="E8701" i="10"/>
  <c r="D8701" i="10"/>
  <c r="E8700" i="10"/>
  <c r="D8700" i="10"/>
  <c r="E8699" i="10"/>
  <c r="D8699" i="10"/>
  <c r="E8698" i="10"/>
  <c r="D8698" i="10"/>
  <c r="E8697" i="10"/>
  <c r="D8697" i="10"/>
  <c r="E8696" i="10"/>
  <c r="D8696" i="10"/>
  <c r="E8695" i="10"/>
  <c r="D8695" i="10"/>
  <c r="E8694" i="10"/>
  <c r="D8694" i="10"/>
  <c r="E8693" i="10"/>
  <c r="D8693" i="10"/>
  <c r="E8692" i="10"/>
  <c r="D8692" i="10"/>
  <c r="E8691" i="10"/>
  <c r="D8691" i="10"/>
  <c r="E8690" i="10"/>
  <c r="D8690" i="10"/>
  <c r="E8689" i="10"/>
  <c r="D8689" i="10"/>
  <c r="E8688" i="10"/>
  <c r="D8688" i="10"/>
  <c r="E8687" i="10"/>
  <c r="D8687" i="10"/>
  <c r="E8686" i="10"/>
  <c r="D8686" i="10"/>
  <c r="E8685" i="10"/>
  <c r="D8685" i="10"/>
  <c r="E8684" i="10"/>
  <c r="D8684" i="10"/>
  <c r="E8683" i="10"/>
  <c r="D8683" i="10"/>
  <c r="E8682" i="10"/>
  <c r="D8682" i="10"/>
  <c r="E8681" i="10"/>
  <c r="D8681" i="10"/>
  <c r="E8680" i="10"/>
  <c r="D8680" i="10"/>
  <c r="E8679" i="10"/>
  <c r="D8679" i="10"/>
  <c r="E8678" i="10"/>
  <c r="D8678" i="10"/>
  <c r="E8677" i="10"/>
  <c r="D8677" i="10"/>
  <c r="E8676" i="10"/>
  <c r="D8676" i="10"/>
  <c r="E8675" i="10"/>
  <c r="D8675" i="10"/>
  <c r="E8674" i="10"/>
  <c r="D8674" i="10"/>
  <c r="E8673" i="10"/>
  <c r="D8673" i="10"/>
  <c r="E8672" i="10"/>
  <c r="D8672" i="10"/>
  <c r="E8671" i="10"/>
  <c r="D8671" i="10"/>
  <c r="E8670" i="10"/>
  <c r="D8670" i="10"/>
  <c r="E8669" i="10"/>
  <c r="D8669" i="10"/>
  <c r="E8668" i="10"/>
  <c r="D8668" i="10"/>
  <c r="E8667" i="10"/>
  <c r="D8667" i="10"/>
  <c r="E8666" i="10"/>
  <c r="D8666" i="10"/>
  <c r="E8665" i="10"/>
  <c r="D8665" i="10"/>
  <c r="E8664" i="10"/>
  <c r="D8664" i="10"/>
  <c r="E8663" i="10"/>
  <c r="D8663" i="10"/>
  <c r="E8662" i="10"/>
  <c r="D8662" i="10"/>
  <c r="E8661" i="10"/>
  <c r="D8661" i="10"/>
  <c r="E8660" i="10"/>
  <c r="D8660" i="10"/>
  <c r="E8659" i="10"/>
  <c r="D8659" i="10"/>
  <c r="E8658" i="10"/>
  <c r="D8658" i="10"/>
  <c r="E8657" i="10"/>
  <c r="D8657" i="10"/>
  <c r="E8656" i="10"/>
  <c r="D8656" i="10"/>
  <c r="E8655" i="10"/>
  <c r="D8655" i="10"/>
  <c r="E8654" i="10"/>
  <c r="D8654" i="10"/>
  <c r="E8653" i="10"/>
  <c r="D8653" i="10"/>
  <c r="E8652" i="10"/>
  <c r="D8652" i="10"/>
  <c r="E8651" i="10"/>
  <c r="D8651" i="10"/>
  <c r="E8650" i="10"/>
  <c r="D8650" i="10"/>
  <c r="E8649" i="10"/>
  <c r="D8649" i="10"/>
  <c r="E8648" i="10"/>
  <c r="D8648" i="10"/>
  <c r="E8647" i="10"/>
  <c r="D8647" i="10"/>
  <c r="E8646" i="10"/>
  <c r="D8646" i="10"/>
  <c r="E8645" i="10"/>
  <c r="D8645" i="10"/>
  <c r="E8644" i="10"/>
  <c r="D8644" i="10"/>
  <c r="E8643" i="10"/>
  <c r="D8643" i="10"/>
  <c r="E8642" i="10"/>
  <c r="D8642" i="10"/>
  <c r="E8641" i="10"/>
  <c r="D8641" i="10"/>
  <c r="E8640" i="10"/>
  <c r="D8640" i="10"/>
  <c r="E8639" i="10"/>
  <c r="D8639" i="10"/>
  <c r="E8638" i="10"/>
  <c r="D8638" i="10"/>
  <c r="E8637" i="10"/>
  <c r="D8637" i="10"/>
  <c r="E8636" i="10"/>
  <c r="D8636" i="10"/>
  <c r="E8635" i="10"/>
  <c r="D8635" i="10"/>
  <c r="E8634" i="10"/>
  <c r="D8634" i="10"/>
  <c r="E8633" i="10"/>
  <c r="D8633" i="10"/>
  <c r="E8632" i="10"/>
  <c r="D8632" i="10"/>
  <c r="E8631" i="10"/>
  <c r="D8631" i="10"/>
  <c r="E8630" i="10"/>
  <c r="D8630" i="10"/>
  <c r="E8629" i="10"/>
  <c r="D8629" i="10"/>
  <c r="E8628" i="10"/>
  <c r="D8628" i="10"/>
  <c r="E8627" i="10"/>
  <c r="D8627" i="10"/>
  <c r="E8626" i="10"/>
  <c r="D8626" i="10"/>
  <c r="E8625" i="10"/>
  <c r="D8625" i="10"/>
  <c r="E8624" i="10"/>
  <c r="D8624" i="10"/>
  <c r="E8623" i="10"/>
  <c r="D8623" i="10"/>
  <c r="E8622" i="10"/>
  <c r="D8622" i="10"/>
  <c r="E8621" i="10"/>
  <c r="D8621" i="10"/>
  <c r="E8620" i="10"/>
  <c r="D8620" i="10"/>
  <c r="E8619" i="10"/>
  <c r="D8619" i="10"/>
  <c r="E8618" i="10"/>
  <c r="D8618" i="10"/>
  <c r="E8617" i="10"/>
  <c r="D8617" i="10"/>
  <c r="E8616" i="10"/>
  <c r="D8616" i="10"/>
  <c r="E8615" i="10"/>
  <c r="D8615" i="10"/>
  <c r="E8614" i="10"/>
  <c r="D8614" i="10"/>
  <c r="E8613" i="10"/>
  <c r="D8613" i="10"/>
  <c r="E8612" i="10"/>
  <c r="D8612" i="10"/>
  <c r="E8611" i="10"/>
  <c r="D8611" i="10"/>
  <c r="E8610" i="10"/>
  <c r="D8610" i="10"/>
  <c r="E8609" i="10"/>
  <c r="D8609" i="10"/>
  <c r="E8608" i="10"/>
  <c r="D8608" i="10"/>
  <c r="E8607" i="10"/>
  <c r="D8607" i="10"/>
  <c r="E8606" i="10"/>
  <c r="D8606" i="10"/>
  <c r="E8605" i="10"/>
  <c r="D8605" i="10"/>
  <c r="E8604" i="10"/>
  <c r="D8604" i="10"/>
  <c r="E8603" i="10"/>
  <c r="D8603" i="10"/>
  <c r="E8602" i="10"/>
  <c r="D8602" i="10"/>
  <c r="E8601" i="10"/>
  <c r="D8601" i="10"/>
  <c r="E8600" i="10"/>
  <c r="D8600" i="10"/>
  <c r="E8599" i="10"/>
  <c r="D8599" i="10"/>
  <c r="E8598" i="10"/>
  <c r="D8598" i="10"/>
  <c r="E8597" i="10"/>
  <c r="D8597" i="10"/>
  <c r="E8596" i="10"/>
  <c r="D8596" i="10"/>
  <c r="E8595" i="10"/>
  <c r="D8595" i="10"/>
  <c r="E8594" i="10"/>
  <c r="D8594" i="10"/>
  <c r="E8593" i="10"/>
  <c r="D8593" i="10"/>
  <c r="E8592" i="10"/>
  <c r="D8592" i="10"/>
  <c r="E8591" i="10"/>
  <c r="D8591" i="10"/>
  <c r="E8590" i="10"/>
  <c r="D8590" i="10"/>
  <c r="E8589" i="10"/>
  <c r="D8589" i="10"/>
  <c r="E8588" i="10"/>
  <c r="D8588" i="10"/>
  <c r="E8587" i="10"/>
  <c r="D8587" i="10"/>
  <c r="E8586" i="10"/>
  <c r="D8586" i="10"/>
  <c r="E8585" i="10"/>
  <c r="D8585" i="10"/>
  <c r="E8584" i="10"/>
  <c r="D8584" i="10"/>
  <c r="E8583" i="10"/>
  <c r="D8583" i="10"/>
  <c r="E8582" i="10"/>
  <c r="D8582" i="10"/>
  <c r="E8581" i="10"/>
  <c r="D8581" i="10"/>
  <c r="E8580" i="10"/>
  <c r="D8580" i="10"/>
  <c r="E8579" i="10"/>
  <c r="D8579" i="10"/>
  <c r="E8578" i="10"/>
  <c r="D8578" i="10"/>
  <c r="E8577" i="10"/>
  <c r="D8577" i="10"/>
  <c r="E8576" i="10"/>
  <c r="D8576" i="10"/>
  <c r="E8575" i="10"/>
  <c r="D8575" i="10"/>
  <c r="E8574" i="10"/>
  <c r="D8574" i="10"/>
  <c r="E8573" i="10"/>
  <c r="D8573" i="10"/>
  <c r="E8572" i="10"/>
  <c r="D8572" i="10"/>
  <c r="E8571" i="10"/>
  <c r="D8571" i="10"/>
  <c r="E8570" i="10"/>
  <c r="D8570" i="10"/>
  <c r="E8569" i="10"/>
  <c r="D8569" i="10"/>
  <c r="E8568" i="10"/>
  <c r="D8568" i="10"/>
  <c r="E8567" i="10"/>
  <c r="D8567" i="10"/>
  <c r="E8566" i="10"/>
  <c r="D8566" i="10"/>
  <c r="E8565" i="10"/>
  <c r="D8565" i="10"/>
  <c r="E8564" i="10"/>
  <c r="D8564" i="10"/>
  <c r="E8563" i="10"/>
  <c r="D8563" i="10"/>
  <c r="E8562" i="10"/>
  <c r="D8562" i="10"/>
  <c r="E8561" i="10"/>
  <c r="D8561" i="10"/>
  <c r="E8560" i="10"/>
  <c r="D8560" i="10"/>
  <c r="E8559" i="10"/>
  <c r="D8559" i="10"/>
  <c r="E8558" i="10"/>
  <c r="D8558" i="10"/>
  <c r="E8557" i="10"/>
  <c r="D8557" i="10"/>
  <c r="E8556" i="10"/>
  <c r="D8556" i="10"/>
  <c r="E8555" i="10"/>
  <c r="D8555" i="10"/>
  <c r="E8554" i="10"/>
  <c r="D8554" i="10"/>
  <c r="E8553" i="10"/>
  <c r="D8553" i="10"/>
  <c r="E8552" i="10"/>
  <c r="D8552" i="10"/>
  <c r="E8551" i="10"/>
  <c r="D8551" i="10"/>
  <c r="E8550" i="10"/>
  <c r="D8550" i="10"/>
  <c r="E8549" i="10"/>
  <c r="D8549" i="10"/>
  <c r="E8548" i="10"/>
  <c r="D8548" i="10"/>
  <c r="E8547" i="10"/>
  <c r="D8547" i="10"/>
  <c r="E8546" i="10"/>
  <c r="D8546" i="10"/>
  <c r="E8545" i="10"/>
  <c r="D8545" i="10"/>
  <c r="E8544" i="10"/>
  <c r="D8544" i="10"/>
  <c r="E8543" i="10"/>
  <c r="D8543" i="10"/>
  <c r="E8542" i="10"/>
  <c r="D8542" i="10"/>
  <c r="E8541" i="10"/>
  <c r="D8541" i="10"/>
  <c r="E8540" i="10"/>
  <c r="D8540" i="10"/>
  <c r="E8539" i="10"/>
  <c r="D8539" i="10"/>
  <c r="E8538" i="10"/>
  <c r="D8538" i="10"/>
  <c r="E8537" i="10"/>
  <c r="D8537" i="10"/>
  <c r="E8536" i="10"/>
  <c r="D8536" i="10"/>
  <c r="E8535" i="10"/>
  <c r="D8535" i="10"/>
  <c r="E8534" i="10"/>
  <c r="D8534" i="10"/>
  <c r="E8533" i="10"/>
  <c r="D8533" i="10"/>
  <c r="E8532" i="10"/>
  <c r="D8532" i="10"/>
  <c r="E8531" i="10"/>
  <c r="D8531" i="10"/>
  <c r="E8530" i="10"/>
  <c r="D8530" i="10"/>
  <c r="E8529" i="10"/>
  <c r="D8529" i="10"/>
  <c r="E8528" i="10"/>
  <c r="D8528" i="10"/>
  <c r="E8527" i="10"/>
  <c r="D8527" i="10"/>
  <c r="E8526" i="10"/>
  <c r="D8526" i="10"/>
  <c r="E8525" i="10"/>
  <c r="D8525" i="10"/>
  <c r="E8524" i="10"/>
  <c r="D8524" i="10"/>
  <c r="E8523" i="10"/>
  <c r="D8523" i="10"/>
  <c r="E8522" i="10"/>
  <c r="D8522" i="10"/>
  <c r="E8521" i="10"/>
  <c r="D8521" i="10"/>
  <c r="E8520" i="10"/>
  <c r="D8520" i="10"/>
  <c r="E8519" i="10"/>
  <c r="D8519" i="10"/>
  <c r="E8518" i="10"/>
  <c r="D8518" i="10"/>
  <c r="E8517" i="10"/>
  <c r="D8517" i="10"/>
  <c r="E8516" i="10"/>
  <c r="D8516" i="10"/>
  <c r="E8515" i="10"/>
  <c r="D8515" i="10"/>
  <c r="E8514" i="10"/>
  <c r="D8514" i="10"/>
  <c r="E8513" i="10"/>
  <c r="D8513" i="10"/>
  <c r="E8512" i="10"/>
  <c r="D8512" i="10"/>
  <c r="E8511" i="10"/>
  <c r="D8511" i="10"/>
  <c r="E8510" i="10"/>
  <c r="D8510" i="10"/>
  <c r="E8509" i="10"/>
  <c r="D8509" i="10"/>
  <c r="E8508" i="10"/>
  <c r="D8508" i="10"/>
  <c r="E8507" i="10"/>
  <c r="D8507" i="10"/>
  <c r="E8506" i="10"/>
  <c r="D8506" i="10"/>
  <c r="E8505" i="10"/>
  <c r="D8505" i="10"/>
  <c r="E8504" i="10"/>
  <c r="D8504" i="10"/>
  <c r="E8503" i="10"/>
  <c r="D8503" i="10"/>
  <c r="E8502" i="10"/>
  <c r="D8502" i="10"/>
  <c r="E8501" i="10"/>
  <c r="D8501" i="10"/>
  <c r="E8500" i="10"/>
  <c r="D8500" i="10"/>
  <c r="E8499" i="10"/>
  <c r="D8499" i="10"/>
  <c r="E8498" i="10"/>
  <c r="D8498" i="10"/>
  <c r="E8497" i="10"/>
  <c r="D8497" i="10"/>
  <c r="E8496" i="10"/>
  <c r="D8496" i="10"/>
  <c r="E8495" i="10"/>
  <c r="D8495" i="10"/>
  <c r="E8494" i="10"/>
  <c r="D8494" i="10"/>
  <c r="E8493" i="10"/>
  <c r="D8493" i="10"/>
  <c r="E8492" i="10"/>
  <c r="D8492" i="10"/>
  <c r="E8491" i="10"/>
  <c r="D8491" i="10"/>
  <c r="E8490" i="10"/>
  <c r="D8490" i="10"/>
  <c r="E8489" i="10"/>
  <c r="D8489" i="10"/>
  <c r="E8488" i="10"/>
  <c r="D8488" i="10"/>
  <c r="E8487" i="10"/>
  <c r="D8487" i="10"/>
  <c r="E8486" i="10"/>
  <c r="D8486" i="10"/>
  <c r="E8485" i="10"/>
  <c r="D8485" i="10"/>
  <c r="E8484" i="10"/>
  <c r="D8484" i="10"/>
  <c r="E8483" i="10"/>
  <c r="D8483" i="10"/>
  <c r="E8482" i="10"/>
  <c r="D8482" i="10"/>
  <c r="E8481" i="10"/>
  <c r="D8481" i="10"/>
  <c r="E8480" i="10"/>
  <c r="D8480" i="10"/>
  <c r="E8479" i="10"/>
  <c r="D8479" i="10"/>
  <c r="E8478" i="10"/>
  <c r="D8478" i="10"/>
  <c r="E8477" i="10"/>
  <c r="D8477" i="10"/>
  <c r="E8476" i="10"/>
  <c r="D8476" i="10"/>
  <c r="E8475" i="10"/>
  <c r="D8475" i="10"/>
  <c r="E8474" i="10"/>
  <c r="D8474" i="10"/>
  <c r="E8473" i="10"/>
  <c r="D8473" i="10"/>
  <c r="E8472" i="10"/>
  <c r="D8472" i="10"/>
  <c r="E8471" i="10"/>
  <c r="D8471" i="10"/>
  <c r="E8470" i="10"/>
  <c r="D8470" i="10"/>
  <c r="E8469" i="10"/>
  <c r="D8469" i="10"/>
  <c r="E8468" i="10"/>
  <c r="D8468" i="10"/>
  <c r="E8467" i="10"/>
  <c r="D8467" i="10"/>
  <c r="E8466" i="10"/>
  <c r="D8466" i="10"/>
  <c r="E8465" i="10"/>
  <c r="D8465" i="10"/>
  <c r="E8464" i="10"/>
  <c r="D8464" i="10"/>
  <c r="E8463" i="10"/>
  <c r="D8463" i="10"/>
  <c r="E8462" i="10"/>
  <c r="D8462" i="10"/>
  <c r="E8461" i="10"/>
  <c r="D8461" i="10"/>
  <c r="E8460" i="10"/>
  <c r="D8460" i="10"/>
  <c r="E8459" i="10"/>
  <c r="D8459" i="10"/>
  <c r="E8458" i="10"/>
  <c r="D8458" i="10"/>
  <c r="E8457" i="10"/>
  <c r="D8457" i="10"/>
  <c r="E8456" i="10"/>
  <c r="D8456" i="10"/>
  <c r="E8455" i="10"/>
  <c r="D8455" i="10"/>
  <c r="E8454" i="10"/>
  <c r="D8454" i="10"/>
  <c r="E8453" i="10"/>
  <c r="D8453" i="10"/>
  <c r="E8452" i="10"/>
  <c r="D8452" i="10"/>
  <c r="E8451" i="10"/>
  <c r="D8451" i="10"/>
  <c r="E8450" i="10"/>
  <c r="D8450" i="10"/>
  <c r="E8449" i="10"/>
  <c r="D8449" i="10"/>
  <c r="E8448" i="10"/>
  <c r="D8448" i="10"/>
  <c r="E8447" i="10"/>
  <c r="D8447" i="10"/>
  <c r="E8446" i="10"/>
  <c r="D8446" i="10"/>
  <c r="E8445" i="10"/>
  <c r="D8445" i="10"/>
  <c r="E8444" i="10"/>
  <c r="D8444" i="10"/>
  <c r="E8443" i="10"/>
  <c r="D8443" i="10"/>
  <c r="E8442" i="10"/>
  <c r="D8442" i="10"/>
  <c r="E8441" i="10"/>
  <c r="D8441" i="10"/>
  <c r="E8440" i="10"/>
  <c r="D8440" i="10"/>
  <c r="E8439" i="10"/>
  <c r="D8439" i="10"/>
  <c r="E8438" i="10"/>
  <c r="D8438" i="10"/>
  <c r="E8437" i="10"/>
  <c r="D8437" i="10"/>
  <c r="E8436" i="10"/>
  <c r="D8436" i="10"/>
  <c r="E8435" i="10"/>
  <c r="D8435" i="10"/>
  <c r="E8434" i="10"/>
  <c r="D8434" i="10"/>
  <c r="E8433" i="10"/>
  <c r="D8433" i="10"/>
  <c r="E8432" i="10"/>
  <c r="D8432" i="10"/>
  <c r="E8431" i="10"/>
  <c r="D8431" i="10"/>
  <c r="E8430" i="10"/>
  <c r="D8430" i="10"/>
  <c r="E8429" i="10"/>
  <c r="D8429" i="10"/>
  <c r="E8428" i="10"/>
  <c r="D8428" i="10"/>
  <c r="E8427" i="10"/>
  <c r="D8427" i="10"/>
  <c r="E8426" i="10"/>
  <c r="D8426" i="10"/>
  <c r="E8425" i="10"/>
  <c r="D8425" i="10"/>
  <c r="E8424" i="10"/>
  <c r="D8424" i="10"/>
  <c r="E8423" i="10"/>
  <c r="D8423" i="10"/>
  <c r="E8422" i="10"/>
  <c r="D8422" i="10"/>
  <c r="E8421" i="10"/>
  <c r="D8421" i="10"/>
  <c r="E8420" i="10"/>
  <c r="D8420" i="10"/>
  <c r="E8419" i="10"/>
  <c r="D8419" i="10"/>
  <c r="E8418" i="10"/>
  <c r="D8418" i="10"/>
  <c r="E8417" i="10"/>
  <c r="D8417" i="10"/>
  <c r="E8416" i="10"/>
  <c r="D8416" i="10"/>
  <c r="E8415" i="10"/>
  <c r="D8415" i="10"/>
  <c r="E8414" i="10"/>
  <c r="D8414" i="10"/>
  <c r="E8413" i="10"/>
  <c r="D8413" i="10"/>
  <c r="E8412" i="10"/>
  <c r="D8412" i="10"/>
  <c r="E8411" i="10"/>
  <c r="D8411" i="10"/>
  <c r="E8410" i="10"/>
  <c r="D8410" i="10"/>
  <c r="E8409" i="10"/>
  <c r="D8409" i="10"/>
  <c r="E8408" i="10"/>
  <c r="D8408" i="10"/>
  <c r="E8407" i="10"/>
  <c r="D8407" i="10"/>
  <c r="E8406" i="10"/>
  <c r="D8406" i="10"/>
  <c r="E8405" i="10"/>
  <c r="D8405" i="10"/>
  <c r="E8404" i="10"/>
  <c r="D8404" i="10"/>
  <c r="E8403" i="10"/>
  <c r="D8403" i="10"/>
  <c r="E8402" i="10"/>
  <c r="D8402" i="10"/>
  <c r="E8401" i="10"/>
  <c r="D8401" i="10"/>
  <c r="E8400" i="10"/>
  <c r="D8400" i="10"/>
  <c r="E8399" i="10"/>
  <c r="D8399" i="10"/>
  <c r="E8398" i="10"/>
  <c r="D8398" i="10"/>
  <c r="E8397" i="10"/>
  <c r="D8397" i="10"/>
  <c r="E8396" i="10"/>
  <c r="D8396" i="10"/>
  <c r="E8395" i="10"/>
  <c r="D8395" i="10"/>
  <c r="E8394" i="10"/>
  <c r="D8394" i="10"/>
  <c r="E8393" i="10"/>
  <c r="D8393" i="10"/>
  <c r="E8392" i="10"/>
  <c r="D8392" i="10"/>
  <c r="E8391" i="10"/>
  <c r="D8391" i="10"/>
  <c r="E8390" i="10"/>
  <c r="D8390" i="10"/>
  <c r="E8389" i="10"/>
  <c r="D8389" i="10"/>
  <c r="E8388" i="10"/>
  <c r="D8388" i="10"/>
  <c r="E8387" i="10"/>
  <c r="D8387" i="10"/>
  <c r="E8386" i="10"/>
  <c r="D8386" i="10"/>
  <c r="E8385" i="10"/>
  <c r="D8385" i="10"/>
  <c r="E8384" i="10"/>
  <c r="D8384" i="10"/>
  <c r="E8383" i="10"/>
  <c r="D8383" i="10"/>
  <c r="E8382" i="10"/>
  <c r="D8382" i="10"/>
  <c r="E8381" i="10"/>
  <c r="D8381" i="10"/>
  <c r="E8380" i="10"/>
  <c r="D8380" i="10"/>
  <c r="E8379" i="10"/>
  <c r="D8379" i="10"/>
  <c r="E8378" i="10"/>
  <c r="D8378" i="10"/>
  <c r="E8377" i="10"/>
  <c r="D8377" i="10"/>
  <c r="E8376" i="10"/>
  <c r="D8376" i="10"/>
  <c r="E8375" i="10"/>
  <c r="D8375" i="10"/>
  <c r="E8374" i="10"/>
  <c r="D8374" i="10"/>
  <c r="E8373" i="10"/>
  <c r="D8373" i="10"/>
  <c r="E8372" i="10"/>
  <c r="D8372" i="10"/>
  <c r="E8371" i="10"/>
  <c r="D8371" i="10"/>
  <c r="E8370" i="10"/>
  <c r="D8370" i="10"/>
  <c r="E8369" i="10"/>
  <c r="D8369" i="10"/>
  <c r="E8368" i="10"/>
  <c r="D8368" i="10"/>
  <c r="E8367" i="10"/>
  <c r="D8367" i="10"/>
  <c r="E8366" i="10"/>
  <c r="D8366" i="10"/>
  <c r="E8365" i="10"/>
  <c r="D8365" i="10"/>
  <c r="E8364" i="10"/>
  <c r="D8364" i="10"/>
  <c r="E8363" i="10"/>
  <c r="D8363" i="10"/>
  <c r="E8362" i="10"/>
  <c r="D8362" i="10"/>
  <c r="E8361" i="10"/>
  <c r="D8361" i="10"/>
  <c r="E8360" i="10"/>
  <c r="D8360" i="10"/>
  <c r="E8359" i="10"/>
  <c r="D8359" i="10"/>
  <c r="E8358" i="10"/>
  <c r="D8358" i="10"/>
  <c r="E8357" i="10"/>
  <c r="D8357" i="10"/>
  <c r="E8356" i="10"/>
  <c r="D8356" i="10"/>
  <c r="E8355" i="10"/>
  <c r="D8355" i="10"/>
  <c r="E8354" i="10"/>
  <c r="D8354" i="10"/>
  <c r="E8353" i="10"/>
  <c r="D8353" i="10"/>
  <c r="E8352" i="10"/>
  <c r="D8352" i="10"/>
  <c r="E8351" i="10"/>
  <c r="D8351" i="10"/>
  <c r="E8350" i="10"/>
  <c r="D8350" i="10"/>
  <c r="E8349" i="10"/>
  <c r="D8349" i="10"/>
  <c r="E8348" i="10"/>
  <c r="D8348" i="10"/>
  <c r="E8347" i="10"/>
  <c r="D8347" i="10"/>
  <c r="E8346" i="10"/>
  <c r="D8346" i="10"/>
  <c r="E8345" i="10"/>
  <c r="D8345" i="10"/>
  <c r="E8344" i="10"/>
  <c r="D8344" i="10"/>
  <c r="E8343" i="10"/>
  <c r="D8343" i="10"/>
  <c r="E8342" i="10"/>
  <c r="D8342" i="10"/>
  <c r="E8341" i="10"/>
  <c r="D8341" i="10"/>
  <c r="E8340" i="10"/>
  <c r="D8340" i="10"/>
  <c r="E8339" i="10"/>
  <c r="D8339" i="10"/>
  <c r="E8338" i="10"/>
  <c r="D8338" i="10"/>
  <c r="E8337" i="10"/>
  <c r="D8337" i="10"/>
  <c r="E8336" i="10"/>
  <c r="D8336" i="10"/>
  <c r="E8335" i="10"/>
  <c r="D8335" i="10"/>
  <c r="E8334" i="10"/>
  <c r="D8334" i="10"/>
  <c r="E8333" i="10"/>
  <c r="D8333" i="10"/>
  <c r="E8332" i="10"/>
  <c r="D8332" i="10"/>
  <c r="E8331" i="10"/>
  <c r="D8331" i="10"/>
  <c r="E8330" i="10"/>
  <c r="D8330" i="10"/>
  <c r="E8329" i="10"/>
  <c r="D8329" i="10"/>
  <c r="E8328" i="10"/>
  <c r="D8328" i="10"/>
  <c r="E8327" i="10"/>
  <c r="D8327" i="10"/>
  <c r="E8326" i="10"/>
  <c r="D8326" i="10"/>
  <c r="E8325" i="10"/>
  <c r="D8325" i="10"/>
  <c r="E8324" i="10"/>
  <c r="D8324" i="10"/>
  <c r="E8323" i="10"/>
  <c r="D8323" i="10"/>
  <c r="E8322" i="10"/>
  <c r="D8322" i="10"/>
  <c r="E8321" i="10"/>
  <c r="D8321" i="10"/>
  <c r="E8320" i="10"/>
  <c r="D8320" i="10"/>
  <c r="E8319" i="10"/>
  <c r="D8319" i="10"/>
  <c r="E8318" i="10"/>
  <c r="D8318" i="10"/>
  <c r="E8317" i="10"/>
  <c r="D8317" i="10"/>
  <c r="E8316" i="10"/>
  <c r="D8316" i="10"/>
  <c r="E8315" i="10"/>
  <c r="D8315" i="10"/>
  <c r="E8314" i="10"/>
  <c r="D8314" i="10"/>
  <c r="E8313" i="10"/>
  <c r="D8313" i="10"/>
  <c r="E8312" i="10"/>
  <c r="D8312" i="10"/>
  <c r="E8311" i="10"/>
  <c r="D8311" i="10"/>
  <c r="E8310" i="10"/>
  <c r="D8310" i="10"/>
  <c r="E8309" i="10"/>
  <c r="D8309" i="10"/>
  <c r="E8308" i="10"/>
  <c r="D8308" i="10"/>
  <c r="E8307" i="10"/>
  <c r="D8307" i="10"/>
  <c r="E8306" i="10"/>
  <c r="D8306" i="10"/>
  <c r="E8305" i="10"/>
  <c r="D8305" i="10"/>
  <c r="E8304" i="10"/>
  <c r="D8304" i="10"/>
  <c r="E8303" i="10"/>
  <c r="D8303" i="10"/>
  <c r="E8302" i="10"/>
  <c r="D8302" i="10"/>
  <c r="E8301" i="10"/>
  <c r="D8301" i="10"/>
  <c r="E8300" i="10"/>
  <c r="D8300" i="10"/>
  <c r="E8299" i="10"/>
  <c r="D8299" i="10"/>
  <c r="E8298" i="10"/>
  <c r="D8298" i="10"/>
  <c r="E8297" i="10"/>
  <c r="D8297" i="10"/>
  <c r="E8296" i="10"/>
  <c r="D8296" i="10"/>
  <c r="E8295" i="10"/>
  <c r="D8295" i="10"/>
  <c r="E8294" i="10"/>
  <c r="D8294" i="10"/>
  <c r="E8293" i="10"/>
  <c r="D8293" i="10"/>
  <c r="E8292" i="10"/>
  <c r="D8292" i="10"/>
  <c r="E8291" i="10"/>
  <c r="D8291" i="10"/>
  <c r="E8290" i="10"/>
  <c r="D8290" i="10"/>
  <c r="E8289" i="10"/>
  <c r="D8289" i="10"/>
  <c r="E8288" i="10"/>
  <c r="D8288" i="10"/>
  <c r="E8287" i="10"/>
  <c r="D8287" i="10"/>
  <c r="E8286" i="10"/>
  <c r="D8286" i="10"/>
  <c r="E8285" i="10"/>
  <c r="D8285" i="10"/>
  <c r="E8284" i="10"/>
  <c r="D8284" i="10"/>
  <c r="E8283" i="10"/>
  <c r="D8283" i="10"/>
  <c r="E8282" i="10"/>
  <c r="D8282" i="10"/>
  <c r="E8281" i="10"/>
  <c r="D8281" i="10"/>
  <c r="E8280" i="10"/>
  <c r="D8280" i="10"/>
  <c r="E8279" i="10"/>
  <c r="D8279" i="10"/>
  <c r="E8278" i="10"/>
  <c r="D8278" i="10"/>
  <c r="E8277" i="10"/>
  <c r="D8277" i="10"/>
  <c r="E8276" i="10"/>
  <c r="D8276" i="10"/>
  <c r="E8275" i="10"/>
  <c r="D8275" i="10"/>
  <c r="E8274" i="10"/>
  <c r="D8274" i="10"/>
  <c r="E8273" i="10"/>
  <c r="D8273" i="10"/>
  <c r="E8272" i="10"/>
  <c r="D8272" i="10"/>
  <c r="E8271" i="10"/>
  <c r="D8271" i="10"/>
  <c r="E8270" i="10"/>
  <c r="D8270" i="10"/>
  <c r="E8269" i="10"/>
  <c r="D8269" i="10"/>
  <c r="E8268" i="10"/>
  <c r="D8268" i="10"/>
  <c r="E8267" i="10"/>
  <c r="D8267" i="10"/>
  <c r="E8266" i="10"/>
  <c r="D8266" i="10"/>
  <c r="E8265" i="10"/>
  <c r="D8265" i="10"/>
  <c r="E8264" i="10"/>
  <c r="D8264" i="10"/>
  <c r="E8263" i="10"/>
  <c r="D8263" i="10"/>
  <c r="E8262" i="10"/>
  <c r="D8262" i="10"/>
  <c r="E8261" i="10"/>
  <c r="D8261" i="10"/>
  <c r="E8260" i="10"/>
  <c r="D8260" i="10"/>
  <c r="E8259" i="10"/>
  <c r="D8259" i="10"/>
  <c r="E8258" i="10"/>
  <c r="D8258" i="10"/>
  <c r="E8257" i="10"/>
  <c r="D8257" i="10"/>
  <c r="E8256" i="10"/>
  <c r="D8256" i="10"/>
  <c r="E8255" i="10"/>
  <c r="D8255" i="10"/>
  <c r="E8254" i="10"/>
  <c r="D8254" i="10"/>
  <c r="E8253" i="10"/>
  <c r="D8253" i="10"/>
  <c r="E8252" i="10"/>
  <c r="D8252" i="10"/>
  <c r="E8251" i="10"/>
  <c r="D8251" i="10"/>
  <c r="E8250" i="10"/>
  <c r="D8250" i="10"/>
  <c r="E8249" i="10"/>
  <c r="D8249" i="10"/>
  <c r="E8248" i="10"/>
  <c r="D8248" i="10"/>
  <c r="E8247" i="10"/>
  <c r="D8247" i="10"/>
  <c r="E8246" i="10"/>
  <c r="D8246" i="10"/>
  <c r="E8245" i="10"/>
  <c r="D8245" i="10"/>
  <c r="E8244" i="10"/>
  <c r="D8244" i="10"/>
  <c r="E8243" i="10"/>
  <c r="D8243" i="10"/>
  <c r="E8242" i="10"/>
  <c r="D8242" i="10"/>
  <c r="E8241" i="10"/>
  <c r="D8241" i="10"/>
  <c r="E8240" i="10"/>
  <c r="D8240" i="10"/>
  <c r="E8239" i="10"/>
  <c r="D8239" i="10"/>
  <c r="E8238" i="10"/>
  <c r="D8238" i="10"/>
  <c r="E8237" i="10"/>
  <c r="D8237" i="10"/>
  <c r="E8236" i="10"/>
  <c r="D8236" i="10"/>
  <c r="E8235" i="10"/>
  <c r="D8235" i="10"/>
  <c r="E8234" i="10"/>
  <c r="D8234" i="10"/>
  <c r="E8233" i="10"/>
  <c r="D8233" i="10"/>
  <c r="E8232" i="10"/>
  <c r="D8232" i="10"/>
  <c r="E8231" i="10"/>
  <c r="D8231" i="10"/>
  <c r="E8230" i="10"/>
  <c r="D8230" i="10"/>
  <c r="E8229" i="10"/>
  <c r="D8229" i="10"/>
  <c r="E8228" i="10"/>
  <c r="D8228" i="10"/>
  <c r="E8227" i="10"/>
  <c r="D8227" i="10"/>
  <c r="E8226" i="10"/>
  <c r="D8226" i="10"/>
  <c r="E8225" i="10"/>
  <c r="D8225" i="10"/>
  <c r="E8224" i="10"/>
  <c r="D8224" i="10"/>
  <c r="E8223" i="10"/>
  <c r="D8223" i="10"/>
  <c r="E8222" i="10"/>
  <c r="D8222" i="10"/>
  <c r="E8221" i="10"/>
  <c r="D8221" i="10"/>
  <c r="E8220" i="10"/>
  <c r="D8220" i="10"/>
  <c r="E8219" i="10"/>
  <c r="D8219" i="10"/>
  <c r="E8218" i="10"/>
  <c r="D8218" i="10"/>
  <c r="E8217" i="10"/>
  <c r="D8217" i="10"/>
  <c r="E8216" i="10"/>
  <c r="D8216" i="10"/>
  <c r="E8215" i="10"/>
  <c r="D8215" i="10"/>
  <c r="E8214" i="10"/>
  <c r="D8214" i="10"/>
  <c r="E8213" i="10"/>
  <c r="D8213" i="10"/>
  <c r="E8212" i="10"/>
  <c r="D8212" i="10"/>
  <c r="E8211" i="10"/>
  <c r="D8211" i="10"/>
  <c r="E8210" i="10"/>
  <c r="D8210" i="10"/>
  <c r="E8209" i="10"/>
  <c r="D8209" i="10"/>
  <c r="E8208" i="10"/>
  <c r="D8208" i="10"/>
  <c r="E8207" i="10"/>
  <c r="D8207" i="10"/>
  <c r="E8206" i="10"/>
  <c r="D8206" i="10"/>
  <c r="E8205" i="10"/>
  <c r="D8205" i="10"/>
  <c r="E8204" i="10"/>
  <c r="D8204" i="10"/>
  <c r="E8203" i="10"/>
  <c r="D8203" i="10"/>
  <c r="E8202" i="10"/>
  <c r="D8202" i="10"/>
  <c r="E8201" i="10"/>
  <c r="D8201" i="10"/>
  <c r="E8200" i="10"/>
  <c r="D8200" i="10"/>
  <c r="E8199" i="10"/>
  <c r="D8199" i="10"/>
  <c r="E8198" i="10"/>
  <c r="D8198" i="10"/>
  <c r="E8197" i="10"/>
  <c r="D8197" i="10"/>
  <c r="E8196" i="10"/>
  <c r="D8196" i="10"/>
  <c r="E8195" i="10"/>
  <c r="D8195" i="10"/>
  <c r="E8194" i="10"/>
  <c r="D8194" i="10"/>
  <c r="E8193" i="10"/>
  <c r="D8193" i="10"/>
  <c r="E8192" i="10"/>
  <c r="D8192" i="10"/>
  <c r="E8191" i="10"/>
  <c r="D8191" i="10"/>
  <c r="E8190" i="10"/>
  <c r="D8190" i="10"/>
  <c r="E8189" i="10"/>
  <c r="D8189" i="10"/>
  <c r="E8188" i="10"/>
  <c r="D8188" i="10"/>
  <c r="E8187" i="10"/>
  <c r="D8187" i="10"/>
  <c r="E8186" i="10"/>
  <c r="D8186" i="10"/>
  <c r="E8185" i="10"/>
  <c r="D8185" i="10"/>
  <c r="E8184" i="10"/>
  <c r="D8184" i="10"/>
  <c r="E8183" i="10"/>
  <c r="D8183" i="10"/>
  <c r="E8182" i="10"/>
  <c r="D8182" i="10"/>
  <c r="E8181" i="10"/>
  <c r="D8181" i="10"/>
  <c r="E8180" i="10"/>
  <c r="D8180" i="10"/>
  <c r="E8179" i="10"/>
  <c r="D8179" i="10"/>
  <c r="E8178" i="10"/>
  <c r="D8178" i="10"/>
  <c r="E8177" i="10"/>
  <c r="D8177" i="10"/>
  <c r="E8176" i="10"/>
  <c r="D8176" i="10"/>
  <c r="E8175" i="10"/>
  <c r="D8175" i="10"/>
  <c r="E8174" i="10"/>
  <c r="D8174" i="10"/>
  <c r="E8173" i="10"/>
  <c r="D8173" i="10"/>
  <c r="E8172" i="10"/>
  <c r="D8172" i="10"/>
  <c r="E8171" i="10"/>
  <c r="D8171" i="10"/>
  <c r="E8170" i="10"/>
  <c r="D8170" i="10"/>
  <c r="E8169" i="10"/>
  <c r="D8169" i="10"/>
  <c r="E8168" i="10"/>
  <c r="D8168" i="10"/>
  <c r="E8167" i="10"/>
  <c r="D8167" i="10"/>
  <c r="E8166" i="10"/>
  <c r="D8166" i="10"/>
  <c r="E8165" i="10"/>
  <c r="D8165" i="10"/>
  <c r="E8164" i="10"/>
  <c r="D8164" i="10"/>
  <c r="E8163" i="10"/>
  <c r="D8163" i="10"/>
  <c r="E8162" i="10"/>
  <c r="D8162" i="10"/>
  <c r="E8161" i="10"/>
  <c r="D8161" i="10"/>
  <c r="E8160" i="10"/>
  <c r="D8160" i="10"/>
  <c r="E8159" i="10"/>
  <c r="D8159" i="10"/>
  <c r="E8158" i="10"/>
  <c r="D8158" i="10"/>
  <c r="E8157" i="10"/>
  <c r="D8157" i="10"/>
  <c r="E8156" i="10"/>
  <c r="D8156" i="10"/>
  <c r="E8155" i="10"/>
  <c r="D8155" i="10"/>
  <c r="E8154" i="10"/>
  <c r="D8154" i="10"/>
  <c r="E8153" i="10"/>
  <c r="D8153" i="10"/>
  <c r="E8152" i="10"/>
  <c r="D8152" i="10"/>
  <c r="E8151" i="10"/>
  <c r="D8151" i="10"/>
  <c r="E8150" i="10"/>
  <c r="D8150" i="10"/>
  <c r="E8149" i="10"/>
  <c r="D8149" i="10"/>
  <c r="E8148" i="10"/>
  <c r="D8148" i="10"/>
  <c r="E8147" i="10"/>
  <c r="D8147" i="10"/>
  <c r="E8146" i="10"/>
  <c r="D8146" i="10"/>
  <c r="E8145" i="10"/>
  <c r="D8145" i="10"/>
  <c r="E8144" i="10"/>
  <c r="D8144" i="10"/>
  <c r="E8143" i="10"/>
  <c r="D8143" i="10"/>
  <c r="E8142" i="10"/>
  <c r="D8142" i="10"/>
  <c r="E8141" i="10"/>
  <c r="D8141" i="10"/>
  <c r="E8140" i="10"/>
  <c r="D8140" i="10"/>
  <c r="E8139" i="10"/>
  <c r="D8139" i="10"/>
  <c r="E8138" i="10"/>
  <c r="D8138" i="10"/>
  <c r="E8137" i="10"/>
  <c r="D8137" i="10"/>
  <c r="E8136" i="10"/>
  <c r="D8136" i="10"/>
  <c r="E8135" i="10"/>
  <c r="D8135" i="10"/>
  <c r="E8134" i="10"/>
  <c r="D8134" i="10"/>
  <c r="E8133" i="10"/>
  <c r="D8133" i="10"/>
  <c r="E8132" i="10"/>
  <c r="D8132" i="10"/>
  <c r="E8131" i="10"/>
  <c r="D8131" i="10"/>
  <c r="E8130" i="10"/>
  <c r="D8130" i="10"/>
  <c r="E8129" i="10"/>
  <c r="D8129" i="10"/>
  <c r="E8128" i="10"/>
  <c r="D8128" i="10"/>
  <c r="E8127" i="10"/>
  <c r="D8127" i="10"/>
  <c r="E8126" i="10"/>
  <c r="D8126" i="10"/>
  <c r="E8125" i="10"/>
  <c r="D8125" i="10"/>
  <c r="E8124" i="10"/>
  <c r="D8124" i="10"/>
  <c r="E8123" i="10"/>
  <c r="D8123" i="10"/>
  <c r="E8122" i="10"/>
  <c r="D8122" i="10"/>
  <c r="E8121" i="10"/>
  <c r="D8121" i="10"/>
  <c r="E8120" i="10"/>
  <c r="D8120" i="10"/>
  <c r="E8119" i="10"/>
  <c r="D8119" i="10"/>
  <c r="E8118" i="10"/>
  <c r="D8118" i="10"/>
  <c r="E8117" i="10"/>
  <c r="D8117" i="10"/>
  <c r="E8116" i="10"/>
  <c r="D8116" i="10"/>
  <c r="E8115" i="10"/>
  <c r="D8115" i="10"/>
  <c r="E8114" i="10"/>
  <c r="D8114" i="10"/>
  <c r="E8113" i="10"/>
  <c r="D8113" i="10"/>
  <c r="E8112" i="10"/>
  <c r="D8112" i="10"/>
  <c r="E8111" i="10"/>
  <c r="D8111" i="10"/>
  <c r="E8110" i="10"/>
  <c r="D8110" i="10"/>
  <c r="E8109" i="10"/>
  <c r="D8109" i="10"/>
  <c r="E8108" i="10"/>
  <c r="D8108" i="10"/>
  <c r="E8107" i="10"/>
  <c r="D8107" i="10"/>
  <c r="E8106" i="10"/>
  <c r="D8106" i="10"/>
  <c r="E8105" i="10"/>
  <c r="D8105" i="10"/>
  <c r="E8104" i="10"/>
  <c r="D8104" i="10"/>
  <c r="E8103" i="10"/>
  <c r="D8103" i="10"/>
  <c r="E8102" i="10"/>
  <c r="D8102" i="10"/>
  <c r="E8101" i="10"/>
  <c r="D8101" i="10"/>
  <c r="E8100" i="10"/>
  <c r="D8100" i="10"/>
  <c r="E8099" i="10"/>
  <c r="D8099" i="10"/>
  <c r="E8098" i="10"/>
  <c r="D8098" i="10"/>
  <c r="E8097" i="10"/>
  <c r="D8097" i="10"/>
  <c r="E8096" i="10"/>
  <c r="D8096" i="10"/>
  <c r="E8095" i="10"/>
  <c r="D8095" i="10"/>
  <c r="E8094" i="10"/>
  <c r="D8094" i="10"/>
  <c r="E8093" i="10"/>
  <c r="D8093" i="10"/>
  <c r="E8092" i="10"/>
  <c r="D8092" i="10"/>
  <c r="E8091" i="10"/>
  <c r="D8091" i="10"/>
  <c r="E8090" i="10"/>
  <c r="D8090" i="10"/>
  <c r="E8089" i="10"/>
  <c r="D8089" i="10"/>
  <c r="E8088" i="10"/>
  <c r="D8088" i="10"/>
  <c r="E8087" i="10"/>
  <c r="D8087" i="10"/>
  <c r="E8086" i="10"/>
  <c r="D8086" i="10"/>
  <c r="E8085" i="10"/>
  <c r="D8085" i="10"/>
  <c r="E8084" i="10"/>
  <c r="D8084" i="10"/>
  <c r="E8083" i="10"/>
  <c r="D8083" i="10"/>
  <c r="E8082" i="10"/>
  <c r="D8082" i="10"/>
  <c r="E8081" i="10"/>
  <c r="D8081" i="10"/>
  <c r="E8080" i="10"/>
  <c r="D8080" i="10"/>
  <c r="E8079" i="10"/>
  <c r="D8079" i="10"/>
  <c r="E8078" i="10"/>
  <c r="D8078" i="10"/>
  <c r="E8077" i="10"/>
  <c r="D8077" i="10"/>
  <c r="E8076" i="10"/>
  <c r="D8076" i="10"/>
  <c r="E8075" i="10"/>
  <c r="D8075" i="10"/>
  <c r="E8074" i="10"/>
  <c r="D8074" i="10"/>
  <c r="E8073" i="10"/>
  <c r="D8073" i="10"/>
  <c r="E8072" i="10"/>
  <c r="D8072" i="10"/>
  <c r="E8071" i="10"/>
  <c r="D8071" i="10"/>
  <c r="E8070" i="10"/>
  <c r="D8070" i="10"/>
  <c r="E8069" i="10"/>
  <c r="D8069" i="10"/>
  <c r="E8068" i="10"/>
  <c r="D8068" i="10"/>
  <c r="E8067" i="10"/>
  <c r="D8067" i="10"/>
  <c r="E8066" i="10"/>
  <c r="D8066" i="10"/>
  <c r="E8065" i="10"/>
  <c r="D8065" i="10"/>
  <c r="E8064" i="10"/>
  <c r="D8064" i="10"/>
  <c r="E8063" i="10"/>
  <c r="D8063" i="10"/>
  <c r="E8062" i="10"/>
  <c r="D8062" i="10"/>
  <c r="E8061" i="10"/>
  <c r="D8061" i="10"/>
  <c r="E8060" i="10"/>
  <c r="D8060" i="10"/>
  <c r="E8059" i="10"/>
  <c r="D8059" i="10"/>
  <c r="E8058" i="10"/>
  <c r="D8058" i="10"/>
  <c r="E8057" i="10"/>
  <c r="D8057" i="10"/>
  <c r="E8056" i="10"/>
  <c r="D8056" i="10"/>
  <c r="E8055" i="10"/>
  <c r="D8055" i="10"/>
  <c r="E8054" i="10"/>
  <c r="D8054" i="10"/>
  <c r="E8053" i="10"/>
  <c r="D8053" i="10"/>
  <c r="E8052" i="10"/>
  <c r="D8052" i="10"/>
  <c r="E8051" i="10"/>
  <c r="D8051" i="10"/>
  <c r="E8050" i="10"/>
  <c r="D8050" i="10"/>
  <c r="E8049" i="10"/>
  <c r="D8049" i="10"/>
  <c r="E8048" i="10"/>
  <c r="D8048" i="10"/>
  <c r="E8047" i="10"/>
  <c r="D8047" i="10"/>
  <c r="E8046" i="10"/>
  <c r="D8046" i="10"/>
  <c r="E8045" i="10"/>
  <c r="D8045" i="10"/>
  <c r="E8044" i="10"/>
  <c r="D8044" i="10"/>
  <c r="E8043" i="10"/>
  <c r="D8043" i="10"/>
  <c r="E8042" i="10"/>
  <c r="D8042" i="10"/>
  <c r="E8041" i="10"/>
  <c r="D8041" i="10"/>
  <c r="E8040" i="10"/>
  <c r="D8040" i="10"/>
  <c r="E8039" i="10"/>
  <c r="D8039" i="10"/>
  <c r="E8038" i="10"/>
  <c r="D8038" i="10"/>
  <c r="E8037" i="10"/>
  <c r="D8037" i="10"/>
  <c r="E8036" i="10"/>
  <c r="D8036" i="10"/>
  <c r="E8035" i="10"/>
  <c r="D8035" i="10"/>
  <c r="E8034" i="10"/>
  <c r="D8034" i="10"/>
  <c r="E8033" i="10"/>
  <c r="D8033" i="10"/>
  <c r="E8032" i="10"/>
  <c r="D8032" i="10"/>
  <c r="E8031" i="10"/>
  <c r="D8031" i="10"/>
  <c r="E8030" i="10"/>
  <c r="D8030" i="10"/>
  <c r="E8029" i="10"/>
  <c r="D8029" i="10"/>
  <c r="E8028" i="10"/>
  <c r="D8028" i="10"/>
  <c r="E8027" i="10"/>
  <c r="D8027" i="10"/>
  <c r="E8026" i="10"/>
  <c r="D8026" i="10"/>
  <c r="E8025" i="10"/>
  <c r="D8025" i="10"/>
  <c r="E8024" i="10"/>
  <c r="D8024" i="10"/>
  <c r="E8023" i="10"/>
  <c r="D8023" i="10"/>
  <c r="E8022" i="10"/>
  <c r="D8022" i="10"/>
  <c r="E8021" i="10"/>
  <c r="D8021" i="10"/>
  <c r="E8020" i="10"/>
  <c r="D8020" i="10"/>
  <c r="E8019" i="10"/>
  <c r="D8019" i="10"/>
  <c r="E8018" i="10"/>
  <c r="D8018" i="10"/>
  <c r="E8017" i="10"/>
  <c r="D8017" i="10"/>
  <c r="E8016" i="10"/>
  <c r="D8016" i="10"/>
  <c r="E8015" i="10"/>
  <c r="D8015" i="10"/>
  <c r="E8014" i="10"/>
  <c r="D8014" i="10"/>
  <c r="E8013" i="10"/>
  <c r="D8013" i="10"/>
  <c r="E8012" i="10"/>
  <c r="D8012" i="10"/>
  <c r="E8011" i="10"/>
  <c r="D8011" i="10"/>
  <c r="E8010" i="10"/>
  <c r="D8010" i="10"/>
  <c r="E8009" i="10"/>
  <c r="D8009" i="10"/>
  <c r="E8008" i="10"/>
  <c r="D8008" i="10"/>
  <c r="E8007" i="10"/>
  <c r="D8007" i="10"/>
  <c r="E8006" i="10"/>
  <c r="D8006" i="10"/>
  <c r="E8005" i="10"/>
  <c r="D8005" i="10"/>
  <c r="E8004" i="10"/>
  <c r="D8004" i="10"/>
  <c r="E8003" i="10"/>
  <c r="D8003" i="10"/>
  <c r="E8002" i="10"/>
  <c r="D8002" i="10"/>
  <c r="E8001" i="10"/>
  <c r="D8001" i="10"/>
  <c r="E8000" i="10"/>
  <c r="D8000" i="10"/>
  <c r="E7999" i="10"/>
  <c r="D7999" i="10"/>
  <c r="E7998" i="10"/>
  <c r="D7998" i="10"/>
  <c r="E7997" i="10"/>
  <c r="D7997" i="10"/>
  <c r="E7996" i="10"/>
  <c r="D7996" i="10"/>
  <c r="E7995" i="10"/>
  <c r="D7995" i="10"/>
  <c r="E7994" i="10"/>
  <c r="D7994" i="10"/>
  <c r="E7993" i="10"/>
  <c r="D7993" i="10"/>
  <c r="E7992" i="10"/>
  <c r="D7992" i="10"/>
  <c r="E7991" i="10"/>
  <c r="D7991" i="10"/>
  <c r="E7990" i="10"/>
  <c r="D7990" i="10"/>
  <c r="E7989" i="10"/>
  <c r="D7989" i="10"/>
  <c r="E7988" i="10"/>
  <c r="D7988" i="10"/>
  <c r="E7987" i="10"/>
  <c r="D7987" i="10"/>
  <c r="E7986" i="10"/>
  <c r="D7986" i="10"/>
  <c r="E7985" i="10"/>
  <c r="D7985" i="10"/>
  <c r="E7984" i="10"/>
  <c r="D7984" i="10"/>
  <c r="E7983" i="10"/>
  <c r="D7983" i="10"/>
  <c r="E7982" i="10"/>
  <c r="D7982" i="10"/>
  <c r="E7981" i="10"/>
  <c r="D7981" i="10"/>
  <c r="E7980" i="10"/>
  <c r="D7980" i="10"/>
  <c r="E7979" i="10"/>
  <c r="D7979" i="10"/>
  <c r="E7978" i="10"/>
  <c r="D7978" i="10"/>
  <c r="E7977" i="10"/>
  <c r="D7977" i="10"/>
  <c r="E7976" i="10"/>
  <c r="D7976" i="10"/>
  <c r="E7975" i="10"/>
  <c r="D7975" i="10"/>
  <c r="E7974" i="10"/>
  <c r="D7974" i="10"/>
  <c r="E7973" i="10"/>
  <c r="D7973" i="10"/>
  <c r="E7972" i="10"/>
  <c r="D7972" i="10"/>
  <c r="E7971" i="10"/>
  <c r="D7971" i="10"/>
  <c r="E7970" i="10"/>
  <c r="D7970" i="10"/>
  <c r="E7969" i="10"/>
  <c r="D7969" i="10"/>
  <c r="E7968" i="10"/>
  <c r="D7968" i="10"/>
  <c r="E7967" i="10"/>
  <c r="D7967" i="10"/>
  <c r="E7966" i="10"/>
  <c r="D7966" i="10"/>
  <c r="E7965" i="10"/>
  <c r="D7965" i="10"/>
  <c r="E7964" i="10"/>
  <c r="D7964" i="10"/>
  <c r="E7963" i="10"/>
  <c r="D7963" i="10"/>
  <c r="E7962" i="10"/>
  <c r="D7962" i="10"/>
  <c r="E7961" i="10"/>
  <c r="D7961" i="10"/>
  <c r="E7960" i="10"/>
  <c r="D7960" i="10"/>
  <c r="E7959" i="10"/>
  <c r="D7959" i="10"/>
  <c r="E7958" i="10"/>
  <c r="D7958" i="10"/>
  <c r="E7957" i="10"/>
  <c r="D7957" i="10"/>
  <c r="E7956" i="10"/>
  <c r="D7956" i="10"/>
  <c r="E7955" i="10"/>
  <c r="D7955" i="10"/>
  <c r="E7954" i="10"/>
  <c r="D7954" i="10"/>
  <c r="E7953" i="10"/>
  <c r="D7953" i="10"/>
  <c r="E7952" i="10"/>
  <c r="D7952" i="10"/>
  <c r="E7951" i="10"/>
  <c r="D7951" i="10"/>
  <c r="E7950" i="10"/>
  <c r="D7950" i="10"/>
  <c r="E7949" i="10"/>
  <c r="D7949" i="10"/>
  <c r="E7948" i="10"/>
  <c r="D7948" i="10"/>
  <c r="E7947" i="10"/>
  <c r="D7947" i="10"/>
  <c r="E7946" i="10"/>
  <c r="D7946" i="10"/>
  <c r="E7945" i="10"/>
  <c r="D7945" i="10"/>
  <c r="E7944" i="10"/>
  <c r="D7944" i="10"/>
  <c r="E7943" i="10"/>
  <c r="D7943" i="10"/>
  <c r="E7942" i="10"/>
  <c r="D7942" i="10"/>
  <c r="E7941" i="10"/>
  <c r="D7941" i="10"/>
  <c r="E7940" i="10"/>
  <c r="D7940" i="10"/>
  <c r="E7939" i="10"/>
  <c r="D7939" i="10"/>
  <c r="E7938" i="10"/>
  <c r="D7938" i="10"/>
  <c r="E7937" i="10"/>
  <c r="D7937" i="10"/>
  <c r="E7936" i="10"/>
  <c r="D7936" i="10"/>
  <c r="E7935" i="10"/>
  <c r="D7935" i="10"/>
  <c r="E7934" i="10"/>
  <c r="D7934" i="10"/>
  <c r="E7933" i="10"/>
  <c r="D7933" i="10"/>
  <c r="E7932" i="10"/>
  <c r="D7932" i="10"/>
  <c r="E7931" i="10"/>
  <c r="D7931" i="10"/>
  <c r="E7930" i="10"/>
  <c r="D7930" i="10"/>
  <c r="E7929" i="10"/>
  <c r="D7929" i="10"/>
  <c r="E7928" i="10"/>
  <c r="D7928" i="10"/>
  <c r="E7927" i="10"/>
  <c r="D7927" i="10"/>
  <c r="E7926" i="10"/>
  <c r="D7926" i="10"/>
  <c r="E7925" i="10"/>
  <c r="D7925" i="10"/>
  <c r="E7924" i="10"/>
  <c r="D7924" i="10"/>
  <c r="E7923" i="10"/>
  <c r="D7923" i="10"/>
  <c r="E7922" i="10"/>
  <c r="D7922" i="10"/>
  <c r="E7921" i="10"/>
  <c r="D7921" i="10"/>
  <c r="E7920" i="10"/>
  <c r="D7920" i="10"/>
  <c r="E7919" i="10"/>
  <c r="D7919" i="10"/>
  <c r="E7918" i="10"/>
  <c r="D7918" i="10"/>
  <c r="E7917" i="10"/>
  <c r="D7917" i="10"/>
  <c r="E7916" i="10"/>
  <c r="D7916" i="10"/>
  <c r="E7915" i="10"/>
  <c r="D7915" i="10"/>
  <c r="E7914" i="10"/>
  <c r="D7914" i="10"/>
  <c r="E7913" i="10"/>
  <c r="D7913" i="10"/>
  <c r="E7912" i="10"/>
  <c r="D7912" i="10"/>
  <c r="E7911" i="10"/>
  <c r="D7911" i="10"/>
  <c r="E7910" i="10"/>
  <c r="D7910" i="10"/>
  <c r="E7909" i="10"/>
  <c r="D7909" i="10"/>
  <c r="E7908" i="10"/>
  <c r="D7908" i="10"/>
  <c r="E7907" i="10"/>
  <c r="D7907" i="10"/>
  <c r="E7906" i="10"/>
  <c r="D7906" i="10"/>
  <c r="E7905" i="10"/>
  <c r="D7905" i="10"/>
  <c r="E7904" i="10"/>
  <c r="D7904" i="10"/>
  <c r="E7903" i="10"/>
  <c r="D7903" i="10"/>
  <c r="E7902" i="10"/>
  <c r="D7902" i="10"/>
  <c r="E7901" i="10"/>
  <c r="D7901" i="10"/>
  <c r="E7900" i="10"/>
  <c r="D7900" i="10"/>
  <c r="E7899" i="10"/>
  <c r="D7899" i="10"/>
  <c r="E7898" i="10"/>
  <c r="D7898" i="10"/>
  <c r="E7897" i="10"/>
  <c r="D7897" i="10"/>
  <c r="E7896" i="10"/>
  <c r="D7896" i="10"/>
  <c r="E7895" i="10"/>
  <c r="D7895" i="10"/>
  <c r="E7894" i="10"/>
  <c r="D7894" i="10"/>
  <c r="E7893" i="10"/>
  <c r="D7893" i="10"/>
  <c r="E7892" i="10"/>
  <c r="D7892" i="10"/>
  <c r="E7891" i="10"/>
  <c r="D7891" i="10"/>
  <c r="E7890" i="10"/>
  <c r="D7890" i="10"/>
  <c r="E7889" i="10"/>
  <c r="D7889" i="10"/>
  <c r="E7888" i="10"/>
  <c r="D7888" i="10"/>
  <c r="E7887" i="10"/>
  <c r="D7887" i="10"/>
  <c r="E7886" i="10"/>
  <c r="D7886" i="10"/>
  <c r="E7885" i="10"/>
  <c r="D7885" i="10"/>
  <c r="E7884" i="10"/>
  <c r="D7884" i="10"/>
  <c r="E7883" i="10"/>
  <c r="D7883" i="10"/>
  <c r="E7882" i="10"/>
  <c r="D7882" i="10"/>
  <c r="E7881" i="10"/>
  <c r="D7881" i="10"/>
  <c r="E7880" i="10"/>
  <c r="D7880" i="10"/>
  <c r="E7879" i="10"/>
  <c r="D7879" i="10"/>
  <c r="E7878" i="10"/>
  <c r="D7878" i="10"/>
  <c r="E7877" i="10"/>
  <c r="D7877" i="10"/>
  <c r="E7876" i="10"/>
  <c r="D7876" i="10"/>
  <c r="E7875" i="10"/>
  <c r="D7875" i="10"/>
  <c r="E7874" i="10"/>
  <c r="D7874" i="10"/>
  <c r="E7873" i="10"/>
  <c r="D7873" i="10"/>
  <c r="E7872" i="10"/>
  <c r="D7872" i="10"/>
  <c r="E7871" i="10"/>
  <c r="D7871" i="10"/>
  <c r="E7870" i="10"/>
  <c r="D7870" i="10"/>
  <c r="E7869" i="10"/>
  <c r="D7869" i="10"/>
  <c r="E7868" i="10"/>
  <c r="D7868" i="10"/>
  <c r="E7867" i="10"/>
  <c r="D7867" i="10"/>
  <c r="E7866" i="10"/>
  <c r="D7866" i="10"/>
  <c r="E7865" i="10"/>
  <c r="D7865" i="10"/>
  <c r="E7864" i="10"/>
  <c r="D7864" i="10"/>
  <c r="E7863" i="10"/>
  <c r="D7863" i="10"/>
  <c r="E7862" i="10"/>
  <c r="D7862" i="10"/>
  <c r="E7861" i="10"/>
  <c r="D7861" i="10"/>
  <c r="E7860" i="10"/>
  <c r="D7860" i="10"/>
  <c r="E7859" i="10"/>
  <c r="D7859" i="10"/>
  <c r="E7858" i="10"/>
  <c r="D7858" i="10"/>
  <c r="E7857" i="10"/>
  <c r="D7857" i="10"/>
  <c r="E7856" i="10"/>
  <c r="D7856" i="10"/>
  <c r="E7855" i="10"/>
  <c r="D7855" i="10"/>
  <c r="E7854" i="10"/>
  <c r="D7854" i="10"/>
  <c r="E7853" i="10"/>
  <c r="D7853" i="10"/>
  <c r="E7852" i="10"/>
  <c r="D7852" i="10"/>
  <c r="E7851" i="10"/>
  <c r="D7851" i="10"/>
  <c r="E7850" i="10"/>
  <c r="D7850" i="10"/>
  <c r="E7849" i="10"/>
  <c r="D7849" i="10"/>
  <c r="E7848" i="10"/>
  <c r="D7848" i="10"/>
  <c r="E7847" i="10"/>
  <c r="D7847" i="10"/>
  <c r="E7846" i="10"/>
  <c r="D7846" i="10"/>
  <c r="E7845" i="10"/>
  <c r="D7845" i="10"/>
  <c r="E7844" i="10"/>
  <c r="D7844" i="10"/>
  <c r="E7843" i="10"/>
  <c r="D7843" i="10"/>
  <c r="E7842" i="10"/>
  <c r="D7842" i="10"/>
  <c r="E7841" i="10"/>
  <c r="D7841" i="10"/>
  <c r="E7840" i="10"/>
  <c r="D7840" i="10"/>
  <c r="E7839" i="10"/>
  <c r="D7839" i="10"/>
  <c r="E7838" i="10"/>
  <c r="D7838" i="10"/>
  <c r="E7837" i="10"/>
  <c r="D7837" i="10"/>
  <c r="E7836" i="10"/>
  <c r="D7836" i="10"/>
  <c r="E7835" i="10"/>
  <c r="D7835" i="10"/>
  <c r="E7834" i="10"/>
  <c r="D7834" i="10"/>
  <c r="E7833" i="10"/>
  <c r="D7833" i="10"/>
  <c r="E7832" i="10"/>
  <c r="D7832" i="10"/>
  <c r="E7831" i="10"/>
  <c r="D7831" i="10"/>
  <c r="E7830" i="10"/>
  <c r="D7830" i="10"/>
  <c r="E7829" i="10"/>
  <c r="D7829" i="10"/>
  <c r="E7828" i="10"/>
  <c r="D7828" i="10"/>
  <c r="E7827" i="10"/>
  <c r="D7827" i="10"/>
  <c r="E7826" i="10"/>
  <c r="D7826" i="10"/>
  <c r="E7825" i="10"/>
  <c r="D7825" i="10"/>
  <c r="E7824" i="10"/>
  <c r="D7824" i="10"/>
  <c r="E7823" i="10"/>
  <c r="D7823" i="10"/>
  <c r="E7822" i="10"/>
  <c r="D7822" i="10"/>
  <c r="E7821" i="10"/>
  <c r="D7821" i="10"/>
  <c r="E7820" i="10"/>
  <c r="D7820" i="10"/>
  <c r="E7819" i="10"/>
  <c r="D7819" i="10"/>
  <c r="E7818" i="10"/>
  <c r="D7818" i="10"/>
  <c r="E7817" i="10"/>
  <c r="D7817" i="10"/>
  <c r="E7816" i="10"/>
  <c r="D7816" i="10"/>
  <c r="E7815" i="10"/>
  <c r="D7815" i="10"/>
  <c r="E7814" i="10"/>
  <c r="D7814" i="10"/>
  <c r="E7813" i="10"/>
  <c r="D7813" i="10"/>
  <c r="E7812" i="10"/>
  <c r="D7812" i="10"/>
  <c r="E7811" i="10"/>
  <c r="D7811" i="10"/>
  <c r="E7810" i="10"/>
  <c r="D7810" i="10"/>
  <c r="E7809" i="10"/>
  <c r="D7809" i="10"/>
  <c r="E7808" i="10"/>
  <c r="D7808" i="10"/>
  <c r="E7807" i="10"/>
  <c r="D7807" i="10"/>
  <c r="E7806" i="10"/>
  <c r="D7806" i="10"/>
  <c r="E7805" i="10"/>
  <c r="D7805" i="10"/>
  <c r="E7804" i="10"/>
  <c r="D7804" i="10"/>
  <c r="E7803" i="10"/>
  <c r="D7803" i="10"/>
  <c r="E7802" i="10"/>
  <c r="D7802" i="10"/>
  <c r="E7801" i="10"/>
  <c r="D7801" i="10"/>
  <c r="E7800" i="10"/>
  <c r="D7800" i="10"/>
  <c r="E7799" i="10"/>
  <c r="D7799" i="10"/>
  <c r="E7798" i="10"/>
  <c r="D7798" i="10"/>
  <c r="E7797" i="10"/>
  <c r="D7797" i="10"/>
  <c r="E7796" i="10"/>
  <c r="D7796" i="10"/>
  <c r="E7795" i="10"/>
  <c r="D7795" i="10"/>
  <c r="E7794" i="10"/>
  <c r="D7794" i="10"/>
  <c r="E7793" i="10"/>
  <c r="D7793" i="10"/>
  <c r="E7792" i="10"/>
  <c r="D7792" i="10"/>
  <c r="E7791" i="10"/>
  <c r="D7791" i="10"/>
  <c r="E7790" i="10"/>
  <c r="D7790" i="10"/>
  <c r="E7789" i="10"/>
  <c r="D7789" i="10"/>
  <c r="E7788" i="10"/>
  <c r="D7788" i="10"/>
  <c r="E7787" i="10"/>
  <c r="D7787" i="10"/>
  <c r="E7786" i="10"/>
  <c r="D7786" i="10"/>
  <c r="E7785" i="10"/>
  <c r="D7785" i="10"/>
  <c r="E7784" i="10"/>
  <c r="D7784" i="10"/>
  <c r="E7783" i="10"/>
  <c r="D7783" i="10"/>
  <c r="E7782" i="10"/>
  <c r="D7782" i="10"/>
  <c r="E7781" i="10"/>
  <c r="D7781" i="10"/>
  <c r="E7780" i="10"/>
  <c r="D7780" i="10"/>
  <c r="E7779" i="10"/>
  <c r="D7779" i="10"/>
  <c r="E7778" i="10"/>
  <c r="D7778" i="10"/>
  <c r="E7777" i="10"/>
  <c r="D7777" i="10"/>
  <c r="E7776" i="10"/>
  <c r="D7776" i="10"/>
  <c r="E7775" i="10"/>
  <c r="D7775" i="10"/>
  <c r="E7774" i="10"/>
  <c r="D7774" i="10"/>
  <c r="E7773" i="10"/>
  <c r="D7773" i="10"/>
  <c r="E7772" i="10"/>
  <c r="D7772" i="10"/>
  <c r="E7771" i="10"/>
  <c r="D7771" i="10"/>
  <c r="E7770" i="10"/>
  <c r="D7770" i="10"/>
  <c r="E7769" i="10"/>
  <c r="D7769" i="10"/>
  <c r="E7768" i="10"/>
  <c r="D7768" i="10"/>
  <c r="E7767" i="10"/>
  <c r="D7767" i="10"/>
  <c r="E7766" i="10"/>
  <c r="D7766" i="10"/>
  <c r="E7765" i="10"/>
  <c r="D7765" i="10"/>
  <c r="E7764" i="10"/>
  <c r="D7764" i="10"/>
  <c r="E7763" i="10"/>
  <c r="D7763" i="10"/>
  <c r="E7762" i="10"/>
  <c r="D7762" i="10"/>
  <c r="E7761" i="10"/>
  <c r="D7761" i="10"/>
  <c r="E7760" i="10"/>
  <c r="D7760" i="10"/>
  <c r="E7759" i="10"/>
  <c r="D7759" i="10"/>
  <c r="E7758" i="10"/>
  <c r="D7758" i="10"/>
  <c r="E7757" i="10"/>
  <c r="D7757" i="10"/>
  <c r="E7756" i="10"/>
  <c r="D7756" i="10"/>
  <c r="E7755" i="10"/>
  <c r="D7755" i="10"/>
  <c r="E7754" i="10"/>
  <c r="D7754" i="10"/>
  <c r="E7753" i="10"/>
  <c r="D7753" i="10"/>
  <c r="E7752" i="10"/>
  <c r="D7752" i="10"/>
  <c r="E7751" i="10"/>
  <c r="D7751" i="10"/>
  <c r="E7750" i="10"/>
  <c r="D7750" i="10"/>
  <c r="E7749" i="10"/>
  <c r="D7749" i="10"/>
  <c r="E7748" i="10"/>
  <c r="D7748" i="10"/>
  <c r="E7747" i="10"/>
  <c r="D7747" i="10"/>
  <c r="E7746" i="10"/>
  <c r="D7746" i="10"/>
  <c r="E7745" i="10"/>
  <c r="D7745" i="10"/>
  <c r="E7744" i="10"/>
  <c r="D7744" i="10"/>
  <c r="E7743" i="10"/>
  <c r="D7743" i="10"/>
  <c r="E7742" i="10"/>
  <c r="D7742" i="10"/>
  <c r="E7741" i="10"/>
  <c r="D7741" i="10"/>
  <c r="E7740" i="10"/>
  <c r="D7740" i="10"/>
  <c r="E7739" i="10"/>
  <c r="D7739" i="10"/>
  <c r="E7738" i="10"/>
  <c r="D7738" i="10"/>
  <c r="E7737" i="10"/>
  <c r="D7737" i="10"/>
  <c r="E7736" i="10"/>
  <c r="D7736" i="10"/>
  <c r="E7735" i="10"/>
  <c r="D7735" i="10"/>
  <c r="E7734" i="10"/>
  <c r="D7734" i="10"/>
  <c r="E7733" i="10"/>
  <c r="D7733" i="10"/>
  <c r="E7732" i="10"/>
  <c r="D7732" i="10"/>
  <c r="E7731" i="10"/>
  <c r="D7731" i="10"/>
  <c r="E7730" i="10"/>
  <c r="D7730" i="10"/>
  <c r="E7729" i="10"/>
  <c r="D7729" i="10"/>
  <c r="E7728" i="10"/>
  <c r="D7728" i="10"/>
  <c r="E7727" i="10"/>
  <c r="D7727" i="10"/>
  <c r="E7726" i="10"/>
  <c r="D7726" i="10"/>
  <c r="E7725" i="10"/>
  <c r="D7725" i="10"/>
  <c r="E7724" i="10"/>
  <c r="D7724" i="10"/>
  <c r="E7723" i="10"/>
  <c r="D7723" i="10"/>
  <c r="E7722" i="10"/>
  <c r="D7722" i="10"/>
  <c r="E7721" i="10"/>
  <c r="D7721" i="10"/>
  <c r="E7720" i="10"/>
  <c r="D7720" i="10"/>
  <c r="E7719" i="10"/>
  <c r="D7719" i="10"/>
  <c r="E7718" i="10"/>
  <c r="D7718" i="10"/>
  <c r="E7717" i="10"/>
  <c r="D7717" i="10"/>
  <c r="E7716" i="10"/>
  <c r="D7716" i="10"/>
  <c r="E7715" i="10"/>
  <c r="D7715" i="10"/>
  <c r="E7714" i="10"/>
  <c r="D7714" i="10"/>
  <c r="E7713" i="10"/>
  <c r="D7713" i="10"/>
  <c r="E7712" i="10"/>
  <c r="D7712" i="10"/>
  <c r="E7711" i="10"/>
  <c r="D7711" i="10"/>
  <c r="E7710" i="10"/>
  <c r="D7710" i="10"/>
  <c r="E7709" i="10"/>
  <c r="D7709" i="10"/>
  <c r="E7708" i="10"/>
  <c r="D7708" i="10"/>
  <c r="E7707" i="10"/>
  <c r="D7707" i="10"/>
  <c r="E7706" i="10"/>
  <c r="D7706" i="10"/>
  <c r="E7705" i="10"/>
  <c r="D7705" i="10"/>
  <c r="E7704" i="10"/>
  <c r="D7704" i="10"/>
  <c r="E7703" i="10"/>
  <c r="D7703" i="10"/>
  <c r="E7702" i="10"/>
  <c r="D7702" i="10"/>
  <c r="E7701" i="10"/>
  <c r="D7701" i="10"/>
  <c r="E7700" i="10"/>
  <c r="D7700" i="10"/>
  <c r="E7699" i="10"/>
  <c r="D7699" i="10"/>
  <c r="E7698" i="10"/>
  <c r="D7698" i="10"/>
  <c r="E7697" i="10"/>
  <c r="D7697" i="10"/>
  <c r="E7696" i="10"/>
  <c r="D7696" i="10"/>
  <c r="E7695" i="10"/>
  <c r="D7695" i="10"/>
  <c r="E7694" i="10"/>
  <c r="D7694" i="10"/>
  <c r="E7693" i="10"/>
  <c r="D7693" i="10"/>
  <c r="E7692" i="10"/>
  <c r="D7692" i="10"/>
  <c r="E7691" i="10"/>
  <c r="D7691" i="10"/>
  <c r="E7690" i="10"/>
  <c r="D7690" i="10"/>
  <c r="E7689" i="10"/>
  <c r="D7689" i="10"/>
  <c r="E7688" i="10"/>
  <c r="D7688" i="10"/>
  <c r="E7687" i="10"/>
  <c r="D7687" i="10"/>
  <c r="E7686" i="10"/>
  <c r="D7686" i="10"/>
  <c r="E7685" i="10"/>
  <c r="D7685" i="10"/>
  <c r="E7684" i="10"/>
  <c r="D7684" i="10"/>
  <c r="E7683" i="10"/>
  <c r="D7683" i="10"/>
  <c r="E7682" i="10"/>
  <c r="D7682" i="10"/>
  <c r="E7681" i="10"/>
  <c r="D7681" i="10"/>
  <c r="E7680" i="10"/>
  <c r="D7680" i="10"/>
  <c r="E7679" i="10"/>
  <c r="D7679" i="10"/>
  <c r="E7678" i="10"/>
  <c r="D7678" i="10"/>
  <c r="E7677" i="10"/>
  <c r="D7677" i="10"/>
  <c r="E7676" i="10"/>
  <c r="D7676" i="10"/>
  <c r="E7675" i="10"/>
  <c r="D7675" i="10"/>
  <c r="E7674" i="10"/>
  <c r="D7674" i="10"/>
  <c r="E7673" i="10"/>
  <c r="D7673" i="10"/>
  <c r="E7672" i="10"/>
  <c r="D7672" i="10"/>
  <c r="E7671" i="10"/>
  <c r="D7671" i="10"/>
  <c r="E7670" i="10"/>
  <c r="D7670" i="10"/>
  <c r="E7669" i="10"/>
  <c r="D7669" i="10"/>
  <c r="E7668" i="10"/>
  <c r="D7668" i="10"/>
  <c r="E7667" i="10"/>
  <c r="D7667" i="10"/>
  <c r="E7666" i="10"/>
  <c r="D7666" i="10"/>
  <c r="E7665" i="10"/>
  <c r="D7665" i="10"/>
  <c r="E7664" i="10"/>
  <c r="D7664" i="10"/>
  <c r="E7663" i="10"/>
  <c r="D7663" i="10"/>
  <c r="E7662" i="10"/>
  <c r="D7662" i="10"/>
  <c r="E7661" i="10"/>
  <c r="D7661" i="10"/>
  <c r="E7660" i="10"/>
  <c r="D7660" i="10"/>
  <c r="E7659" i="10"/>
  <c r="D7659" i="10"/>
  <c r="E7658" i="10"/>
  <c r="D7658" i="10"/>
  <c r="E7657" i="10"/>
  <c r="D7657" i="10"/>
  <c r="E7656" i="10"/>
  <c r="D7656" i="10"/>
  <c r="E7655" i="10"/>
  <c r="D7655" i="10"/>
  <c r="E7654" i="10"/>
  <c r="D7654" i="10"/>
  <c r="E7653" i="10"/>
  <c r="D7653" i="10"/>
  <c r="E7652" i="10"/>
  <c r="D7652" i="10"/>
  <c r="E7651" i="10"/>
  <c r="D7651" i="10"/>
  <c r="E7650" i="10"/>
  <c r="D7650" i="10"/>
  <c r="E7649" i="10"/>
  <c r="D7649" i="10"/>
  <c r="E7648" i="10"/>
  <c r="D7648" i="10"/>
  <c r="E7647" i="10"/>
  <c r="D7647" i="10"/>
  <c r="E7646" i="10"/>
  <c r="D7646" i="10"/>
  <c r="E7645" i="10"/>
  <c r="D7645" i="10"/>
  <c r="E7644" i="10"/>
  <c r="D7644" i="10"/>
  <c r="E7643" i="10"/>
  <c r="D7643" i="10"/>
  <c r="E7642" i="10"/>
  <c r="D7642" i="10"/>
  <c r="E7641" i="10"/>
  <c r="D7641" i="10"/>
  <c r="E7640" i="10"/>
  <c r="D7640" i="10"/>
  <c r="E7639" i="10"/>
  <c r="D7639" i="10"/>
  <c r="E7638" i="10"/>
  <c r="D7638" i="10"/>
  <c r="E7637" i="10"/>
  <c r="D7637" i="10"/>
  <c r="E7636" i="10"/>
  <c r="D7636" i="10"/>
  <c r="E7635" i="10"/>
  <c r="D7635" i="10"/>
  <c r="E7634" i="10"/>
  <c r="D7634" i="10"/>
  <c r="E7633" i="10"/>
  <c r="D7633" i="10"/>
  <c r="E7632" i="10"/>
  <c r="D7632" i="10"/>
  <c r="E7631" i="10"/>
  <c r="D7631" i="10"/>
  <c r="E7630" i="10"/>
  <c r="D7630" i="10"/>
  <c r="E7629" i="10"/>
  <c r="D7629" i="10"/>
  <c r="E7628" i="10"/>
  <c r="D7628" i="10"/>
  <c r="E7627" i="10"/>
  <c r="D7627" i="10"/>
  <c r="E7626" i="10"/>
  <c r="D7626" i="10"/>
  <c r="E7625" i="10"/>
  <c r="D7625" i="10"/>
  <c r="E7624" i="10"/>
  <c r="D7624" i="10"/>
  <c r="E7623" i="10"/>
  <c r="D7623" i="10"/>
  <c r="E7622" i="10"/>
  <c r="D7622" i="10"/>
  <c r="E7621" i="10"/>
  <c r="D7621" i="10"/>
  <c r="E7620" i="10"/>
  <c r="D7620" i="10"/>
  <c r="E7619" i="10"/>
  <c r="D7619" i="10"/>
  <c r="E7618" i="10"/>
  <c r="D7618" i="10"/>
  <c r="E7617" i="10"/>
  <c r="D7617" i="10"/>
  <c r="E7616" i="10"/>
  <c r="D7616" i="10"/>
  <c r="E7615" i="10"/>
  <c r="D7615" i="10"/>
  <c r="E7614" i="10"/>
  <c r="D7614" i="10"/>
  <c r="E7613" i="10"/>
  <c r="D7613" i="10"/>
  <c r="E7612" i="10"/>
  <c r="D7612" i="10"/>
  <c r="E7611" i="10"/>
  <c r="D7611" i="10"/>
  <c r="E7610" i="10"/>
  <c r="D7610" i="10"/>
  <c r="E7609" i="10"/>
  <c r="D7609" i="10"/>
  <c r="E7608" i="10"/>
  <c r="D7608" i="10"/>
  <c r="E7607" i="10"/>
  <c r="D7607" i="10"/>
  <c r="E7606" i="10"/>
  <c r="D7606" i="10"/>
  <c r="E7605" i="10"/>
  <c r="D7605" i="10"/>
  <c r="E7604" i="10"/>
  <c r="D7604" i="10"/>
  <c r="E7603" i="10"/>
  <c r="D7603" i="10"/>
  <c r="E7602" i="10"/>
  <c r="D7602" i="10"/>
  <c r="E7601" i="10"/>
  <c r="D7601" i="10"/>
  <c r="E7600" i="10"/>
  <c r="D7600" i="10"/>
  <c r="E7599" i="10"/>
  <c r="D7599" i="10"/>
  <c r="E7598" i="10"/>
  <c r="D7598" i="10"/>
  <c r="E7597" i="10"/>
  <c r="D7597" i="10"/>
  <c r="E7596" i="10"/>
  <c r="D7596" i="10"/>
  <c r="E7595" i="10"/>
  <c r="D7595" i="10"/>
  <c r="E7594" i="10"/>
  <c r="D7594" i="10"/>
  <c r="E7593" i="10"/>
  <c r="D7593" i="10"/>
  <c r="E7592" i="10"/>
  <c r="D7592" i="10"/>
  <c r="E7591" i="10"/>
  <c r="D7591" i="10"/>
  <c r="E7590" i="10"/>
  <c r="D7590" i="10"/>
  <c r="E7589" i="10"/>
  <c r="D7589" i="10"/>
  <c r="E7588" i="10"/>
  <c r="D7588" i="10"/>
  <c r="E7587" i="10"/>
  <c r="D7587" i="10"/>
  <c r="E7586" i="10"/>
  <c r="D7586" i="10"/>
  <c r="E7585" i="10"/>
  <c r="D7585" i="10"/>
  <c r="E7584" i="10"/>
  <c r="D7584" i="10"/>
  <c r="E7583" i="10"/>
  <c r="D7583" i="10"/>
  <c r="E7582" i="10"/>
  <c r="D7582" i="10"/>
  <c r="E7581" i="10"/>
  <c r="D7581" i="10"/>
  <c r="E7580" i="10"/>
  <c r="D7580" i="10"/>
  <c r="E7579" i="10"/>
  <c r="D7579" i="10"/>
  <c r="E7578" i="10"/>
  <c r="D7578" i="10"/>
  <c r="E7577" i="10"/>
  <c r="D7577" i="10"/>
  <c r="E7576" i="10"/>
  <c r="D7576" i="10"/>
  <c r="E7575" i="10"/>
  <c r="D7575" i="10"/>
  <c r="E7574" i="10"/>
  <c r="D7574" i="10"/>
  <c r="E7573" i="10"/>
  <c r="D7573" i="10"/>
  <c r="E7572" i="10"/>
  <c r="D7572" i="10"/>
  <c r="E7571" i="10"/>
  <c r="D7571" i="10"/>
  <c r="E7570" i="10"/>
  <c r="D7570" i="10"/>
  <c r="E7569" i="10"/>
  <c r="D7569" i="10"/>
  <c r="E7568" i="10"/>
  <c r="D7568" i="10"/>
  <c r="E7567" i="10"/>
  <c r="D7567" i="10"/>
  <c r="E7566" i="10"/>
  <c r="D7566" i="10"/>
  <c r="E7565" i="10"/>
  <c r="D7565" i="10"/>
  <c r="E7564" i="10"/>
  <c r="D7564" i="10"/>
  <c r="E7563" i="10"/>
  <c r="D7563" i="10"/>
  <c r="E7562" i="10"/>
  <c r="D7562" i="10"/>
  <c r="E7561" i="10"/>
  <c r="D7561" i="10"/>
  <c r="E7560" i="10"/>
  <c r="D7560" i="10"/>
  <c r="E7559" i="10"/>
  <c r="D7559" i="10"/>
  <c r="E7558" i="10"/>
  <c r="D7558" i="10"/>
  <c r="E7557" i="10"/>
  <c r="D7557" i="10"/>
  <c r="E7556" i="10"/>
  <c r="D7556" i="10"/>
  <c r="E7555" i="10"/>
  <c r="D7555" i="10"/>
  <c r="E7554" i="10"/>
  <c r="D7554" i="10"/>
  <c r="E7553" i="10"/>
  <c r="D7553" i="10"/>
  <c r="E7552" i="10"/>
  <c r="D7552" i="10"/>
  <c r="E7551" i="10"/>
  <c r="D7551" i="10"/>
  <c r="E7550" i="10"/>
  <c r="D7550" i="10"/>
  <c r="E7549" i="10"/>
  <c r="D7549" i="10"/>
  <c r="E7548" i="10"/>
  <c r="D7548" i="10"/>
  <c r="E7547" i="10"/>
  <c r="D7547" i="10"/>
  <c r="E7546" i="10"/>
  <c r="D7546" i="10"/>
  <c r="E7545" i="10"/>
  <c r="D7545" i="10"/>
  <c r="E7544" i="10"/>
  <c r="D7544" i="10"/>
  <c r="E7543" i="10"/>
  <c r="D7543" i="10"/>
  <c r="E7542" i="10"/>
  <c r="D7542" i="10"/>
  <c r="E7541" i="10"/>
  <c r="D7541" i="10"/>
  <c r="E7540" i="10"/>
  <c r="D7540" i="10"/>
  <c r="E7539" i="10"/>
  <c r="D7539" i="10"/>
  <c r="E7538" i="10"/>
  <c r="D7538" i="10"/>
  <c r="E7537" i="10"/>
  <c r="D7537" i="10"/>
  <c r="E7536" i="10"/>
  <c r="D7536" i="10"/>
  <c r="E7535" i="10"/>
  <c r="D7535" i="10"/>
  <c r="E7534" i="10"/>
  <c r="D7534" i="10"/>
  <c r="E7533" i="10"/>
  <c r="D7533" i="10"/>
  <c r="E7532" i="10"/>
  <c r="D7532" i="10"/>
  <c r="E7531" i="10"/>
  <c r="D7531" i="10"/>
  <c r="E7530" i="10"/>
  <c r="D7530" i="10"/>
  <c r="E7529" i="10"/>
  <c r="D7529" i="10"/>
  <c r="E7528" i="10"/>
  <c r="D7528" i="10"/>
  <c r="E7527" i="10"/>
  <c r="D7527" i="10"/>
  <c r="E7526" i="10"/>
  <c r="D7526" i="10"/>
  <c r="E7525" i="10"/>
  <c r="D7525" i="10"/>
  <c r="E7524" i="10"/>
  <c r="D7524" i="10"/>
  <c r="E7523" i="10"/>
  <c r="D7523" i="10"/>
  <c r="E7522" i="10"/>
  <c r="D7522" i="10"/>
  <c r="E7521" i="10"/>
  <c r="D7521" i="10"/>
  <c r="E7520" i="10"/>
  <c r="D7520" i="10"/>
  <c r="E7519" i="10"/>
  <c r="D7519" i="10"/>
  <c r="E7518" i="10"/>
  <c r="D7518" i="10"/>
  <c r="E7517" i="10"/>
  <c r="D7517" i="10"/>
  <c r="E7516" i="10"/>
  <c r="D7516" i="10"/>
  <c r="E7515" i="10"/>
  <c r="D7515" i="10"/>
  <c r="E7514" i="10"/>
  <c r="D7514" i="10"/>
  <c r="E7513" i="10"/>
  <c r="D7513" i="10"/>
  <c r="E7512" i="10"/>
  <c r="D7512" i="10"/>
  <c r="E7511" i="10"/>
  <c r="D7511" i="10"/>
  <c r="E7510" i="10"/>
  <c r="D7510" i="10"/>
  <c r="E7509" i="10"/>
  <c r="D7509" i="10"/>
  <c r="E7508" i="10"/>
  <c r="D7508" i="10"/>
  <c r="E7507" i="10"/>
  <c r="D7507" i="10"/>
  <c r="E7506" i="10"/>
  <c r="D7506" i="10"/>
  <c r="E7505" i="10"/>
  <c r="D7505" i="10"/>
  <c r="E7504" i="10"/>
  <c r="D7504" i="10"/>
  <c r="E7503" i="10"/>
  <c r="D7503" i="10"/>
  <c r="E7502" i="10"/>
  <c r="D7502" i="10"/>
  <c r="E7501" i="10"/>
  <c r="D7501" i="10"/>
  <c r="E7500" i="10"/>
  <c r="D7500" i="10"/>
  <c r="E7499" i="10"/>
  <c r="D7499" i="10"/>
  <c r="E7498" i="10"/>
  <c r="D7498" i="10"/>
  <c r="E7497" i="10"/>
  <c r="D7497" i="10"/>
  <c r="E7496" i="10"/>
  <c r="D7496" i="10"/>
  <c r="E7495" i="10"/>
  <c r="D7495" i="10"/>
  <c r="E7494" i="10"/>
  <c r="D7494" i="10"/>
  <c r="E7493" i="10"/>
  <c r="D7493" i="10"/>
  <c r="E7492" i="10"/>
  <c r="D7492" i="10"/>
  <c r="E7491" i="10"/>
  <c r="D7491" i="10"/>
  <c r="E7490" i="10"/>
  <c r="D7490" i="10"/>
  <c r="E7489" i="10"/>
  <c r="D7489" i="10"/>
  <c r="E7488" i="10"/>
  <c r="D7488" i="10"/>
  <c r="E7487" i="10"/>
  <c r="D7487" i="10"/>
  <c r="E7486" i="10"/>
  <c r="D7486" i="10"/>
  <c r="E7485" i="10"/>
  <c r="D7485" i="10"/>
  <c r="E7484" i="10"/>
  <c r="D7484" i="10"/>
  <c r="E7483" i="10"/>
  <c r="D7483" i="10"/>
  <c r="E7482" i="10"/>
  <c r="D7482" i="10"/>
  <c r="E7481" i="10"/>
  <c r="D7481" i="10"/>
  <c r="E7480" i="10"/>
  <c r="D7480" i="10"/>
  <c r="E7479" i="10"/>
  <c r="D7479" i="10"/>
  <c r="E7478" i="10"/>
  <c r="D7478" i="10"/>
  <c r="E7477" i="10"/>
  <c r="D7477" i="10"/>
  <c r="E7476" i="10"/>
  <c r="D7476" i="10"/>
  <c r="E7475" i="10"/>
  <c r="D7475" i="10"/>
  <c r="E7474" i="10"/>
  <c r="D7474" i="10"/>
  <c r="E7473" i="10"/>
  <c r="D7473" i="10"/>
  <c r="E7472" i="10"/>
  <c r="D7472" i="10"/>
  <c r="E7471" i="10"/>
  <c r="D7471" i="10"/>
  <c r="E7470" i="10"/>
  <c r="D7470" i="10"/>
  <c r="E7469" i="10"/>
  <c r="D7469" i="10"/>
  <c r="E7468" i="10"/>
  <c r="D7468" i="10"/>
  <c r="E7467" i="10"/>
  <c r="D7467" i="10"/>
  <c r="E7466" i="10"/>
  <c r="D7466" i="10"/>
  <c r="E7465" i="10"/>
  <c r="D7465" i="10"/>
  <c r="E7464" i="10"/>
  <c r="D7464" i="10"/>
  <c r="E7463" i="10"/>
  <c r="D7463" i="10"/>
  <c r="E7462" i="10"/>
  <c r="D7462" i="10"/>
  <c r="E7461" i="10"/>
  <c r="D7461" i="10"/>
  <c r="E7460" i="10"/>
  <c r="D7460" i="10"/>
  <c r="E7459" i="10"/>
  <c r="D7459" i="10"/>
  <c r="E7458" i="10"/>
  <c r="D7458" i="10"/>
  <c r="E7457" i="10"/>
  <c r="D7457" i="10"/>
  <c r="E7456" i="10"/>
  <c r="D7456" i="10"/>
  <c r="E7455" i="10"/>
  <c r="D7455" i="10"/>
  <c r="E7454" i="10"/>
  <c r="D7454" i="10"/>
  <c r="E7453" i="10"/>
  <c r="D7453" i="10"/>
  <c r="E7452" i="10"/>
  <c r="D7452" i="10"/>
  <c r="E7451" i="10"/>
  <c r="D7451" i="10"/>
  <c r="E7450" i="10"/>
  <c r="D7450" i="10"/>
  <c r="E7449" i="10"/>
  <c r="D7449" i="10"/>
  <c r="E7448" i="10"/>
  <c r="D7448" i="10"/>
  <c r="E7447" i="10"/>
  <c r="D7447" i="10"/>
  <c r="E7446" i="10"/>
  <c r="D7446" i="10"/>
  <c r="E7445" i="10"/>
  <c r="D7445" i="10"/>
  <c r="E7444" i="10"/>
  <c r="D7444" i="10"/>
  <c r="E7443" i="10"/>
  <c r="D7443" i="10"/>
  <c r="E7442" i="10"/>
  <c r="D7442" i="10"/>
  <c r="E7441" i="10"/>
  <c r="D7441" i="10"/>
  <c r="E7440" i="10"/>
  <c r="D7440" i="10"/>
  <c r="E7439" i="10"/>
  <c r="D7439" i="10"/>
  <c r="E7438" i="10"/>
  <c r="D7438" i="10"/>
  <c r="E7437" i="10"/>
  <c r="D7437" i="10"/>
  <c r="E7436" i="10"/>
  <c r="D7436" i="10"/>
  <c r="E7435" i="10"/>
  <c r="D7435" i="10"/>
  <c r="E7434" i="10"/>
  <c r="D7434" i="10"/>
  <c r="E7433" i="10"/>
  <c r="D7433" i="10"/>
  <c r="E7432" i="10"/>
  <c r="D7432" i="10"/>
  <c r="E7431" i="10"/>
  <c r="D7431" i="10"/>
  <c r="E7430" i="10"/>
  <c r="D7430" i="10"/>
  <c r="E7429" i="10"/>
  <c r="D7429" i="10"/>
  <c r="E7428" i="10"/>
  <c r="D7428" i="10"/>
  <c r="E7427" i="10"/>
  <c r="D7427" i="10"/>
  <c r="E7426" i="10"/>
  <c r="D7426" i="10"/>
  <c r="E7425" i="10"/>
  <c r="D7425" i="10"/>
  <c r="E7424" i="10"/>
  <c r="D7424" i="10"/>
  <c r="E7423" i="10"/>
  <c r="D7423" i="10"/>
  <c r="E7422" i="10"/>
  <c r="D7422" i="10"/>
  <c r="E7421" i="10"/>
  <c r="D7421" i="10"/>
  <c r="E7420" i="10"/>
  <c r="D7420" i="10"/>
  <c r="E7419" i="10"/>
  <c r="D7419" i="10"/>
  <c r="E7418" i="10"/>
  <c r="D7418" i="10"/>
  <c r="E7417" i="10"/>
  <c r="D7417" i="10"/>
  <c r="E7416" i="10"/>
  <c r="D7416" i="10"/>
  <c r="E7415" i="10"/>
  <c r="D7415" i="10"/>
  <c r="E7414" i="10"/>
  <c r="D7414" i="10"/>
  <c r="E7413" i="10"/>
  <c r="D7413" i="10"/>
  <c r="E7412" i="10"/>
  <c r="D7412" i="10"/>
  <c r="E7411" i="10"/>
  <c r="D7411" i="10"/>
  <c r="E7410" i="10"/>
  <c r="D7410" i="10"/>
  <c r="E7409" i="10"/>
  <c r="D7409" i="10"/>
  <c r="E7408" i="10"/>
  <c r="D7408" i="10"/>
  <c r="E7407" i="10"/>
  <c r="D7407" i="10"/>
  <c r="E7406" i="10"/>
  <c r="D7406" i="10"/>
  <c r="E7405" i="10"/>
  <c r="D7405" i="10"/>
  <c r="E7404" i="10"/>
  <c r="D7404" i="10"/>
  <c r="E7403" i="10"/>
  <c r="D7403" i="10"/>
  <c r="E7402" i="10"/>
  <c r="D7402" i="10"/>
  <c r="E7401" i="10"/>
  <c r="D7401" i="10"/>
  <c r="E7400" i="10"/>
  <c r="D7400" i="10"/>
  <c r="E7399" i="10"/>
  <c r="D7399" i="10"/>
  <c r="E7398" i="10"/>
  <c r="D7398" i="10"/>
  <c r="E7397" i="10"/>
  <c r="D7397" i="10"/>
  <c r="E7396" i="10"/>
  <c r="D7396" i="10"/>
  <c r="E7395" i="10"/>
  <c r="D7395" i="10"/>
  <c r="E7394" i="10"/>
  <c r="D7394" i="10"/>
  <c r="E7393" i="10"/>
  <c r="D7393" i="10"/>
  <c r="E7392" i="10"/>
  <c r="D7392" i="10"/>
  <c r="E7391" i="10"/>
  <c r="D7391" i="10"/>
  <c r="E7390" i="10"/>
  <c r="D7390" i="10"/>
  <c r="E7389" i="10"/>
  <c r="D7389" i="10"/>
  <c r="E7388" i="10"/>
  <c r="D7388" i="10"/>
  <c r="E7387" i="10"/>
  <c r="D7387" i="10"/>
  <c r="E7386" i="10"/>
  <c r="D7386" i="10"/>
  <c r="E7385" i="10"/>
  <c r="D7385" i="10"/>
  <c r="E7384" i="10"/>
  <c r="D7384" i="10"/>
  <c r="E7383" i="10"/>
  <c r="D7383" i="10"/>
  <c r="E7382" i="10"/>
  <c r="D7382" i="10"/>
  <c r="E7381" i="10"/>
  <c r="D7381" i="10"/>
  <c r="E7380" i="10"/>
  <c r="D7380" i="10"/>
  <c r="E7379" i="10"/>
  <c r="D7379" i="10"/>
  <c r="E7378" i="10"/>
  <c r="D7378" i="10"/>
  <c r="E7377" i="10"/>
  <c r="D7377" i="10"/>
  <c r="E7376" i="10"/>
  <c r="D7376" i="10"/>
  <c r="E7375" i="10"/>
  <c r="D7375" i="10"/>
  <c r="E7374" i="10"/>
  <c r="D7374" i="10"/>
  <c r="E7373" i="10"/>
  <c r="D7373" i="10"/>
  <c r="E7372" i="10"/>
  <c r="D7372" i="10"/>
  <c r="E7371" i="10"/>
  <c r="D7371" i="10"/>
  <c r="E7370" i="10"/>
  <c r="D7370" i="10"/>
  <c r="E7369" i="10"/>
  <c r="D7369" i="10"/>
  <c r="E7368" i="10"/>
  <c r="D7368" i="10"/>
  <c r="E7367" i="10"/>
  <c r="D7367" i="10"/>
  <c r="E7366" i="10"/>
  <c r="D7366" i="10"/>
  <c r="E7365" i="10"/>
  <c r="D7365" i="10"/>
  <c r="E7364" i="10"/>
  <c r="D7364" i="10"/>
  <c r="E7363" i="10"/>
  <c r="D7363" i="10"/>
  <c r="E7362" i="10"/>
  <c r="D7362" i="10"/>
  <c r="E7361" i="10"/>
  <c r="D7361" i="10"/>
  <c r="E7360" i="10"/>
  <c r="D7360" i="10"/>
  <c r="E7359" i="10"/>
  <c r="D7359" i="10"/>
  <c r="E7358" i="10"/>
  <c r="D7358" i="10"/>
  <c r="E7357" i="10"/>
  <c r="D7357" i="10"/>
  <c r="E7356" i="10"/>
  <c r="D7356" i="10"/>
  <c r="E7355" i="10"/>
  <c r="D7355" i="10"/>
  <c r="E7354" i="10"/>
  <c r="D7354" i="10"/>
  <c r="E7353" i="10"/>
  <c r="D7353" i="10"/>
  <c r="E7352" i="10"/>
  <c r="D7352" i="10"/>
  <c r="E7351" i="10"/>
  <c r="D7351" i="10"/>
  <c r="E7350" i="10"/>
  <c r="D7350" i="10"/>
  <c r="E7349" i="10"/>
  <c r="D7349" i="10"/>
  <c r="E7348" i="10"/>
  <c r="D7348" i="10"/>
  <c r="E7347" i="10"/>
  <c r="D7347" i="10"/>
  <c r="E7346" i="10"/>
  <c r="D7346" i="10"/>
  <c r="E7345" i="10"/>
  <c r="D7345" i="10"/>
  <c r="E7344" i="10"/>
  <c r="D7344" i="10"/>
  <c r="E7343" i="10"/>
  <c r="D7343" i="10"/>
  <c r="E7342" i="10"/>
  <c r="D7342" i="10"/>
  <c r="E7341" i="10"/>
  <c r="D7341" i="10"/>
  <c r="E7340" i="10"/>
  <c r="D7340" i="10"/>
  <c r="E7339" i="10"/>
  <c r="D7339" i="10"/>
  <c r="E7338" i="10"/>
  <c r="D7338" i="10"/>
  <c r="E7337" i="10"/>
  <c r="D7337" i="10"/>
  <c r="E7336" i="10"/>
  <c r="D7336" i="10"/>
  <c r="E7335" i="10"/>
  <c r="D7335" i="10"/>
  <c r="E7334" i="10"/>
  <c r="D7334" i="10"/>
  <c r="E7333" i="10"/>
  <c r="D7333" i="10"/>
  <c r="E7332" i="10"/>
  <c r="D7332" i="10"/>
  <c r="E7331" i="10"/>
  <c r="D7331" i="10"/>
  <c r="E7330" i="10"/>
  <c r="D7330" i="10"/>
  <c r="E7329" i="10"/>
  <c r="D7329" i="10"/>
  <c r="E7328" i="10"/>
  <c r="D7328" i="10"/>
  <c r="E7327" i="10"/>
  <c r="D7327" i="10"/>
  <c r="E7326" i="10"/>
  <c r="D7326" i="10"/>
  <c r="E7325" i="10"/>
  <c r="D7325" i="10"/>
  <c r="E7324" i="10"/>
  <c r="D7324" i="10"/>
  <c r="E7323" i="10"/>
  <c r="D7323" i="10"/>
  <c r="E7322" i="10"/>
  <c r="D7322" i="10"/>
  <c r="E7321" i="10"/>
  <c r="D7321" i="10"/>
  <c r="E7320" i="10"/>
  <c r="D7320" i="10"/>
  <c r="E7319" i="10"/>
  <c r="D7319" i="10"/>
  <c r="E7318" i="10"/>
  <c r="D7318" i="10"/>
  <c r="E7317" i="10"/>
  <c r="D7317" i="10"/>
  <c r="E7316" i="10"/>
  <c r="D7316" i="10"/>
  <c r="E7315" i="10"/>
  <c r="D7315" i="10"/>
  <c r="E7314" i="10"/>
  <c r="D7314" i="10"/>
  <c r="E7313" i="10"/>
  <c r="D7313" i="10"/>
  <c r="E7312" i="10"/>
  <c r="D7312" i="10"/>
  <c r="E7311" i="10"/>
  <c r="D7311" i="10"/>
  <c r="E7310" i="10"/>
  <c r="D7310" i="10"/>
  <c r="E7309" i="10"/>
  <c r="D7309" i="10"/>
  <c r="E7308" i="10"/>
  <c r="D7308" i="10"/>
  <c r="E7307" i="10"/>
  <c r="D7307" i="10"/>
  <c r="E7306" i="10"/>
  <c r="D7306" i="10"/>
  <c r="E7305" i="10"/>
  <c r="D7305" i="10"/>
  <c r="E7304" i="10"/>
  <c r="D7304" i="10"/>
  <c r="E7303" i="10"/>
  <c r="D7303" i="10"/>
  <c r="E7302" i="10"/>
  <c r="D7302" i="10"/>
  <c r="E7301" i="10"/>
  <c r="D7301" i="10"/>
  <c r="E7300" i="10"/>
  <c r="D7300" i="10"/>
  <c r="E7299" i="10"/>
  <c r="D7299" i="10"/>
  <c r="E7298" i="10"/>
  <c r="D7298" i="10"/>
  <c r="E7297" i="10"/>
  <c r="D7297" i="10"/>
  <c r="E7296" i="10"/>
  <c r="D7296" i="10"/>
  <c r="E7295" i="10"/>
  <c r="D7295" i="10"/>
  <c r="E7294" i="10"/>
  <c r="D7294" i="10"/>
  <c r="E7293" i="10"/>
  <c r="D7293" i="10"/>
  <c r="E7292" i="10"/>
  <c r="D7292" i="10"/>
  <c r="E7291" i="10"/>
  <c r="D7291" i="10"/>
  <c r="E7290" i="10"/>
  <c r="D7290" i="10"/>
  <c r="E7289" i="10"/>
  <c r="D7289" i="10"/>
  <c r="E7288" i="10"/>
  <c r="D7288" i="10"/>
  <c r="E7287" i="10"/>
  <c r="D7287" i="10"/>
  <c r="E7286" i="10"/>
  <c r="D7286" i="10"/>
  <c r="E7285" i="10"/>
  <c r="D7285" i="10"/>
  <c r="E7284" i="10"/>
  <c r="D7284" i="10"/>
  <c r="E7283" i="10"/>
  <c r="D7283" i="10"/>
  <c r="E7282" i="10"/>
  <c r="D7282" i="10"/>
  <c r="E7281" i="10"/>
  <c r="D7281" i="10"/>
  <c r="E7280" i="10"/>
  <c r="D7280" i="10"/>
  <c r="E7279" i="10"/>
  <c r="D7279" i="10"/>
  <c r="E7278" i="10"/>
  <c r="D7278" i="10"/>
  <c r="E7277" i="10"/>
  <c r="D7277" i="10"/>
  <c r="E7276" i="10"/>
  <c r="D7276" i="10"/>
  <c r="E7275" i="10"/>
  <c r="D7275" i="10"/>
  <c r="E7274" i="10"/>
  <c r="D7274" i="10"/>
  <c r="E7273" i="10"/>
  <c r="D7273" i="10"/>
  <c r="E7272" i="10"/>
  <c r="D7272" i="10"/>
  <c r="E7271" i="10"/>
  <c r="D7271" i="10"/>
  <c r="E7270" i="10"/>
  <c r="D7270" i="10"/>
  <c r="E7269" i="10"/>
  <c r="D7269" i="10"/>
  <c r="E7268" i="10"/>
  <c r="D7268" i="10"/>
  <c r="E7267" i="10"/>
  <c r="D7267" i="10"/>
  <c r="E7266" i="10"/>
  <c r="D7266" i="10"/>
  <c r="E7265" i="10"/>
  <c r="D7265" i="10"/>
  <c r="E7264" i="10"/>
  <c r="D7264" i="10"/>
  <c r="E7263" i="10"/>
  <c r="D7263" i="10"/>
  <c r="E7262" i="10"/>
  <c r="D7262" i="10"/>
  <c r="E7261" i="10"/>
  <c r="D7261" i="10"/>
  <c r="E7260" i="10"/>
  <c r="D7260" i="10"/>
  <c r="E7259" i="10"/>
  <c r="D7259" i="10"/>
  <c r="E7258" i="10"/>
  <c r="D7258" i="10"/>
  <c r="E7257" i="10"/>
  <c r="D7257" i="10"/>
  <c r="E7256" i="10"/>
  <c r="D7256" i="10"/>
  <c r="E7255" i="10"/>
  <c r="D7255" i="10"/>
  <c r="E7254" i="10"/>
  <c r="D7254" i="10"/>
  <c r="E7253" i="10"/>
  <c r="D7253" i="10"/>
  <c r="E7252" i="10"/>
  <c r="D7252" i="10"/>
  <c r="E7251" i="10"/>
  <c r="D7251" i="10"/>
  <c r="E7250" i="10"/>
  <c r="D7250" i="10"/>
  <c r="E7249" i="10"/>
  <c r="D7249" i="10"/>
  <c r="E7248" i="10"/>
  <c r="D7248" i="10"/>
  <c r="E7247" i="10"/>
  <c r="D7247" i="10"/>
  <c r="E7246" i="10"/>
  <c r="D7246" i="10"/>
  <c r="E7245" i="10"/>
  <c r="D7245" i="10"/>
  <c r="E7244" i="10"/>
  <c r="D7244" i="10"/>
  <c r="E7243" i="10"/>
  <c r="D7243" i="10"/>
  <c r="E7242" i="10"/>
  <c r="D7242" i="10"/>
  <c r="E7241" i="10"/>
  <c r="D7241" i="10"/>
  <c r="E7240" i="10"/>
  <c r="D7240" i="10"/>
  <c r="E7239" i="10"/>
  <c r="D7239" i="10"/>
  <c r="E7238" i="10"/>
  <c r="D7238" i="10"/>
  <c r="E7237" i="10"/>
  <c r="D7237" i="10"/>
  <c r="E7236" i="10"/>
  <c r="D7236" i="10"/>
  <c r="E7235" i="10"/>
  <c r="D7235" i="10"/>
  <c r="E7234" i="10"/>
  <c r="D7234" i="10"/>
  <c r="E7233" i="10"/>
  <c r="D7233" i="10"/>
  <c r="E7232" i="10"/>
  <c r="D7232" i="10"/>
  <c r="E7231" i="10"/>
  <c r="D7231" i="10"/>
  <c r="E7230" i="10"/>
  <c r="D7230" i="10"/>
  <c r="E7229" i="10"/>
  <c r="D7229" i="10"/>
  <c r="E7228" i="10"/>
  <c r="D7228" i="10"/>
  <c r="E7227" i="10"/>
  <c r="D7227" i="10"/>
  <c r="E7226" i="10"/>
  <c r="D7226" i="10"/>
  <c r="E7225" i="10"/>
  <c r="D7225" i="10"/>
  <c r="E7224" i="10"/>
  <c r="D7224" i="10"/>
  <c r="E7223" i="10"/>
  <c r="D7223" i="10"/>
  <c r="E7222" i="10"/>
  <c r="D7222" i="10"/>
  <c r="E7221" i="10"/>
  <c r="D7221" i="10"/>
  <c r="E7220" i="10"/>
  <c r="D7220" i="10"/>
  <c r="E7219" i="10"/>
  <c r="D7219" i="10"/>
  <c r="E7218" i="10"/>
  <c r="D7218" i="10"/>
  <c r="E7217" i="10"/>
  <c r="D7217" i="10"/>
  <c r="E7216" i="10"/>
  <c r="D7216" i="10"/>
  <c r="E7215" i="10"/>
  <c r="D7215" i="10"/>
  <c r="E7214" i="10"/>
  <c r="D7214" i="10"/>
  <c r="E7213" i="10"/>
  <c r="D7213" i="10"/>
  <c r="E7212" i="10"/>
  <c r="D7212" i="10"/>
  <c r="E7211" i="10"/>
  <c r="D7211" i="10"/>
  <c r="E7210" i="10"/>
  <c r="D7210" i="10"/>
  <c r="E7209" i="10"/>
  <c r="D7209" i="10"/>
  <c r="E7208" i="10"/>
  <c r="D7208" i="10"/>
  <c r="E7207" i="10"/>
  <c r="D7207" i="10"/>
  <c r="E7206" i="10"/>
  <c r="D7206" i="10"/>
  <c r="E7205" i="10"/>
  <c r="D7205" i="10"/>
  <c r="E7204" i="10"/>
  <c r="D7204" i="10"/>
  <c r="E7203" i="10"/>
  <c r="D7203" i="10"/>
  <c r="E7202" i="10"/>
  <c r="D7202" i="10"/>
  <c r="E7201" i="10"/>
  <c r="D7201" i="10"/>
  <c r="E7200" i="10"/>
  <c r="D7200" i="10"/>
  <c r="E7199" i="10"/>
  <c r="D7199" i="10"/>
  <c r="E7198" i="10"/>
  <c r="D7198" i="10"/>
  <c r="E7197" i="10"/>
  <c r="D7197" i="10"/>
  <c r="E7196" i="10"/>
  <c r="D7196" i="10"/>
  <c r="E7195" i="10"/>
  <c r="D7195" i="10"/>
  <c r="E7194" i="10"/>
  <c r="D7194" i="10"/>
  <c r="E7193" i="10"/>
  <c r="D7193" i="10"/>
  <c r="E7192" i="10"/>
  <c r="D7192" i="10"/>
  <c r="E7191" i="10"/>
  <c r="D7191" i="10"/>
  <c r="E7190" i="10"/>
  <c r="D7190" i="10"/>
  <c r="E7189" i="10"/>
  <c r="D7189" i="10"/>
  <c r="E7188" i="10"/>
  <c r="D7188" i="10"/>
  <c r="E7187" i="10"/>
  <c r="D7187" i="10"/>
  <c r="E7186" i="10"/>
  <c r="D7186" i="10"/>
  <c r="E7185" i="10"/>
  <c r="D7185" i="10"/>
  <c r="E7184" i="10"/>
  <c r="D7184" i="10"/>
  <c r="E7183" i="10"/>
  <c r="D7183" i="10"/>
  <c r="E7182" i="10"/>
  <c r="D7182" i="10"/>
  <c r="E7181" i="10"/>
  <c r="D7181" i="10"/>
  <c r="E7180" i="10"/>
  <c r="D7180" i="10"/>
  <c r="E7179" i="10"/>
  <c r="D7179" i="10"/>
  <c r="E7178" i="10"/>
  <c r="D7178" i="10"/>
  <c r="E7177" i="10"/>
  <c r="D7177" i="10"/>
  <c r="E7176" i="10"/>
  <c r="D7176" i="10"/>
  <c r="E7175" i="10"/>
  <c r="D7175" i="10"/>
  <c r="E7174" i="10"/>
  <c r="D7174" i="10"/>
  <c r="E7173" i="10"/>
  <c r="D7173" i="10"/>
  <c r="E7172" i="10"/>
  <c r="D7172" i="10"/>
  <c r="E7171" i="10"/>
  <c r="D7171" i="10"/>
  <c r="E7170" i="10"/>
  <c r="D7170" i="10"/>
  <c r="E7169" i="10"/>
  <c r="D7169" i="10"/>
  <c r="E7168" i="10"/>
  <c r="D7168" i="10"/>
  <c r="E7167" i="10"/>
  <c r="D7167" i="10"/>
  <c r="E7166" i="10"/>
  <c r="D7166" i="10"/>
  <c r="E7165" i="10"/>
  <c r="D7165" i="10"/>
  <c r="E7164" i="10"/>
  <c r="D7164" i="10"/>
  <c r="E7163" i="10"/>
  <c r="D7163" i="10"/>
  <c r="E7162" i="10"/>
  <c r="D7162" i="10"/>
  <c r="E7161" i="10"/>
  <c r="D7161" i="10"/>
  <c r="E7160" i="10"/>
  <c r="D7160" i="10"/>
  <c r="E7159" i="10"/>
  <c r="D7159" i="10"/>
  <c r="E7158" i="10"/>
  <c r="D7158" i="10"/>
  <c r="E7157" i="10"/>
  <c r="D7157" i="10"/>
  <c r="E7156" i="10"/>
  <c r="D7156" i="10"/>
  <c r="E7155" i="10"/>
  <c r="D7155" i="10"/>
  <c r="E7154" i="10"/>
  <c r="D7154" i="10"/>
  <c r="E7153" i="10"/>
  <c r="D7153" i="10"/>
  <c r="E7152" i="10"/>
  <c r="D7152" i="10"/>
  <c r="E7151" i="10"/>
  <c r="D7151" i="10"/>
  <c r="E7150" i="10"/>
  <c r="D7150" i="10"/>
  <c r="E7149" i="10"/>
  <c r="D7149" i="10"/>
  <c r="E7148" i="10"/>
  <c r="D7148" i="10"/>
  <c r="E7147" i="10"/>
  <c r="D7147" i="10"/>
  <c r="E7146" i="10"/>
  <c r="D7146" i="10"/>
  <c r="E7145" i="10"/>
  <c r="D7145" i="10"/>
  <c r="E7144" i="10"/>
  <c r="D7144" i="10"/>
  <c r="E7143" i="10"/>
  <c r="D7143" i="10"/>
  <c r="E7142" i="10"/>
  <c r="D7142" i="10"/>
  <c r="E7141" i="10"/>
  <c r="D7141" i="10"/>
  <c r="E7140" i="10"/>
  <c r="D7140" i="10"/>
  <c r="E7139" i="10"/>
  <c r="D7139" i="10"/>
  <c r="E7138" i="10"/>
  <c r="D7138" i="10"/>
  <c r="E7137" i="10"/>
  <c r="D7137" i="10"/>
  <c r="E7136" i="10"/>
  <c r="D7136" i="10"/>
  <c r="E7135" i="10"/>
  <c r="D7135" i="10"/>
  <c r="E7134" i="10"/>
  <c r="D7134" i="10"/>
  <c r="E7133" i="10"/>
  <c r="D7133" i="10"/>
  <c r="E7132" i="10"/>
  <c r="D7132" i="10"/>
  <c r="E7131" i="10"/>
  <c r="D7131" i="10"/>
  <c r="E7130" i="10"/>
  <c r="D7130" i="10"/>
  <c r="E7129" i="10"/>
  <c r="D7129" i="10"/>
  <c r="E7128" i="10"/>
  <c r="D7128" i="10"/>
  <c r="E7127" i="10"/>
  <c r="D7127" i="10"/>
  <c r="E7126" i="10"/>
  <c r="D7126" i="10"/>
  <c r="E7125" i="10"/>
  <c r="D7125" i="10"/>
  <c r="E7124" i="10"/>
  <c r="D7124" i="10"/>
  <c r="E7123" i="10"/>
  <c r="D7123" i="10"/>
  <c r="E7122" i="10"/>
  <c r="D7122" i="10"/>
  <c r="E7121" i="10"/>
  <c r="D7121" i="10"/>
  <c r="E7120" i="10"/>
  <c r="D7120" i="10"/>
  <c r="E7119" i="10"/>
  <c r="D7119" i="10"/>
  <c r="E7118" i="10"/>
  <c r="D7118" i="10"/>
  <c r="E7117" i="10"/>
  <c r="D7117" i="10"/>
  <c r="E7116" i="10"/>
  <c r="D7116" i="10"/>
  <c r="E7115" i="10"/>
  <c r="D7115" i="10"/>
  <c r="E7114" i="10"/>
  <c r="D7114" i="10"/>
  <c r="E7113" i="10"/>
  <c r="D7113" i="10"/>
  <c r="E7112" i="10"/>
  <c r="D7112" i="10"/>
  <c r="E7111" i="10"/>
  <c r="D7111" i="10"/>
  <c r="E7110" i="10"/>
  <c r="D7110" i="10"/>
  <c r="E7109" i="10"/>
  <c r="D7109" i="10"/>
  <c r="E7108" i="10"/>
  <c r="D7108" i="10"/>
  <c r="E7107" i="10"/>
  <c r="D7107" i="10"/>
  <c r="E7106" i="10"/>
  <c r="D7106" i="10"/>
  <c r="E7105" i="10"/>
  <c r="D7105" i="10"/>
  <c r="E7104" i="10"/>
  <c r="D7104" i="10"/>
  <c r="E7103" i="10"/>
  <c r="D7103" i="10"/>
  <c r="E7102" i="10"/>
  <c r="D7102" i="10"/>
  <c r="E7101" i="10"/>
  <c r="D7101" i="10"/>
  <c r="E7100" i="10"/>
  <c r="D7100" i="10"/>
  <c r="E7099" i="10"/>
  <c r="D7099" i="10"/>
  <c r="E7098" i="10"/>
  <c r="D7098" i="10"/>
  <c r="E7097" i="10"/>
  <c r="D7097" i="10"/>
  <c r="E7096" i="10"/>
  <c r="D7096" i="10"/>
  <c r="E7095" i="10"/>
  <c r="D7095" i="10"/>
  <c r="E7094" i="10"/>
  <c r="D7094" i="10"/>
  <c r="E7093" i="10"/>
  <c r="D7093" i="10"/>
  <c r="E7092" i="10"/>
  <c r="D7092" i="10"/>
  <c r="E7091" i="10"/>
  <c r="D7091" i="10"/>
  <c r="E7090" i="10"/>
  <c r="D7090" i="10"/>
  <c r="E7089" i="10"/>
  <c r="D7089" i="10"/>
  <c r="E7088" i="10"/>
  <c r="D7088" i="10"/>
  <c r="E7087" i="10"/>
  <c r="D7087" i="10"/>
  <c r="E7086" i="10"/>
  <c r="D7086" i="10"/>
  <c r="E7085" i="10"/>
  <c r="D7085" i="10"/>
  <c r="E7084" i="10"/>
  <c r="D7084" i="10"/>
  <c r="E7083" i="10"/>
  <c r="D7083" i="10"/>
  <c r="E7082" i="10"/>
  <c r="D7082" i="10"/>
  <c r="E7081" i="10"/>
  <c r="D7081" i="10"/>
  <c r="E7080" i="10"/>
  <c r="D7080" i="10"/>
  <c r="E7079" i="10"/>
  <c r="D7079" i="10"/>
  <c r="E7078" i="10"/>
  <c r="D7078" i="10"/>
  <c r="E7077" i="10"/>
  <c r="D7077" i="10"/>
  <c r="E7076" i="10"/>
  <c r="D7076" i="10"/>
  <c r="E7075" i="10"/>
  <c r="D7075" i="10"/>
  <c r="E7074" i="10"/>
  <c r="D7074" i="10"/>
  <c r="E7073" i="10"/>
  <c r="D7073" i="10"/>
  <c r="E7072" i="10"/>
  <c r="D7072" i="10"/>
  <c r="E7071" i="10"/>
  <c r="D7071" i="10"/>
  <c r="E7070" i="10"/>
  <c r="D7070" i="10"/>
  <c r="E7069" i="10"/>
  <c r="D7069" i="10"/>
  <c r="E7068" i="10"/>
  <c r="D7068" i="10"/>
  <c r="E7067" i="10"/>
  <c r="D7067" i="10"/>
  <c r="E7066" i="10"/>
  <c r="D7066" i="10"/>
  <c r="E7065" i="10"/>
  <c r="D7065" i="10"/>
  <c r="E7064" i="10"/>
  <c r="D7064" i="10"/>
  <c r="E7063" i="10"/>
  <c r="D7063" i="10"/>
  <c r="E7062" i="10"/>
  <c r="D7062" i="10"/>
  <c r="E7061" i="10"/>
  <c r="D7061" i="10"/>
  <c r="E7060" i="10"/>
  <c r="D7060" i="10"/>
  <c r="E7059" i="10"/>
  <c r="D7059" i="10"/>
  <c r="E7058" i="10"/>
  <c r="D7058" i="10"/>
  <c r="E7057" i="10"/>
  <c r="D7057" i="10"/>
  <c r="E7056" i="10"/>
  <c r="D7056" i="10"/>
  <c r="E7055" i="10"/>
  <c r="D7055" i="10"/>
  <c r="E7054" i="10"/>
  <c r="D7054" i="10"/>
  <c r="E7053" i="10"/>
  <c r="D7053" i="10"/>
  <c r="E7052" i="10"/>
  <c r="D7052" i="10"/>
  <c r="E7051" i="10"/>
  <c r="D7051" i="10"/>
  <c r="E7050" i="10"/>
  <c r="D7050" i="10"/>
  <c r="E7049" i="10"/>
  <c r="D7049" i="10"/>
  <c r="E7048" i="10"/>
  <c r="D7048" i="10"/>
  <c r="E7047" i="10"/>
  <c r="D7047" i="10"/>
  <c r="E7046" i="10"/>
  <c r="D7046" i="10"/>
  <c r="E7045" i="10"/>
  <c r="D7045" i="10"/>
  <c r="E7044" i="10"/>
  <c r="D7044" i="10"/>
  <c r="E7043" i="10"/>
  <c r="D7043" i="10"/>
  <c r="E7042" i="10"/>
  <c r="D7042" i="10"/>
  <c r="E7041" i="10"/>
  <c r="D7041" i="10"/>
  <c r="E7040" i="10"/>
  <c r="D7040" i="10"/>
  <c r="E7039" i="10"/>
  <c r="D7039" i="10"/>
  <c r="E7038" i="10"/>
  <c r="D7038" i="10"/>
  <c r="E7037" i="10"/>
  <c r="D7037" i="10"/>
  <c r="E7036" i="10"/>
  <c r="D7036" i="10"/>
  <c r="E7035" i="10"/>
  <c r="D7035" i="10"/>
  <c r="E7034" i="10"/>
  <c r="D7034" i="10"/>
  <c r="E7033" i="10"/>
  <c r="D7033" i="10"/>
  <c r="E7032" i="10"/>
  <c r="D7032" i="10"/>
  <c r="E7031" i="10"/>
  <c r="D7031" i="10"/>
  <c r="E7030" i="10"/>
  <c r="D7030" i="10"/>
  <c r="E7029" i="10"/>
  <c r="D7029" i="10"/>
  <c r="E7028" i="10"/>
  <c r="D7028" i="10"/>
  <c r="E7027" i="10"/>
  <c r="D7027" i="10"/>
  <c r="E7026" i="10"/>
  <c r="D7026" i="10"/>
  <c r="E7025" i="10"/>
  <c r="D7025" i="10"/>
  <c r="E7024" i="10"/>
  <c r="D7024" i="10"/>
  <c r="E7023" i="10"/>
  <c r="D7023" i="10"/>
  <c r="E7022" i="10"/>
  <c r="D7022" i="10"/>
  <c r="E7021" i="10"/>
  <c r="D7021" i="10"/>
  <c r="E7020" i="10"/>
  <c r="D7020" i="10"/>
  <c r="E7019" i="10"/>
  <c r="D7019" i="10"/>
  <c r="E7018" i="10"/>
  <c r="D7018" i="10"/>
  <c r="E7017" i="10"/>
  <c r="D7017" i="10"/>
  <c r="E7016" i="10"/>
  <c r="D7016" i="10"/>
  <c r="E7015" i="10"/>
  <c r="D7015" i="10"/>
  <c r="E7014" i="10"/>
  <c r="D7014" i="10"/>
  <c r="E7013" i="10"/>
  <c r="D7013" i="10"/>
  <c r="E7012" i="10"/>
  <c r="D7012" i="10"/>
  <c r="E7011" i="10"/>
  <c r="D7011" i="10"/>
  <c r="E7010" i="10"/>
  <c r="D7010" i="10"/>
  <c r="E7009" i="10"/>
  <c r="D7009" i="10"/>
  <c r="E7008" i="10"/>
  <c r="D7008" i="10"/>
  <c r="E7007" i="10"/>
  <c r="D7007" i="10"/>
  <c r="E7006" i="10"/>
  <c r="D7006" i="10"/>
  <c r="E7005" i="10"/>
  <c r="D7005" i="10"/>
  <c r="E7004" i="10"/>
  <c r="D7004" i="10"/>
  <c r="E7003" i="10"/>
  <c r="D7003" i="10"/>
  <c r="E7002" i="10"/>
  <c r="D7002" i="10"/>
  <c r="E7001" i="10"/>
  <c r="D7001" i="10"/>
  <c r="E7000" i="10"/>
  <c r="D7000" i="10"/>
  <c r="E6999" i="10"/>
  <c r="D6999" i="10"/>
  <c r="E6998" i="10"/>
  <c r="D6998" i="10"/>
  <c r="E6997" i="10"/>
  <c r="D6997" i="10"/>
  <c r="E6996" i="10"/>
  <c r="D6996" i="10"/>
  <c r="E6995" i="10"/>
  <c r="D6995" i="10"/>
  <c r="E6994" i="10"/>
  <c r="D6994" i="10"/>
  <c r="E6993" i="10"/>
  <c r="D6993" i="10"/>
  <c r="E6992" i="10"/>
  <c r="D6992" i="10"/>
  <c r="E6991" i="10"/>
  <c r="D6991" i="10"/>
  <c r="E6990" i="10"/>
  <c r="D6990" i="10"/>
  <c r="E6989" i="10"/>
  <c r="D6989" i="10"/>
  <c r="E6988" i="10"/>
  <c r="D6988" i="10"/>
  <c r="E6987" i="10"/>
  <c r="D6987" i="10"/>
  <c r="E6986" i="10"/>
  <c r="D6986" i="10"/>
  <c r="E6985" i="10"/>
  <c r="D6985" i="10"/>
  <c r="E6984" i="10"/>
  <c r="D6984" i="10"/>
  <c r="E6983" i="10"/>
  <c r="D6983" i="10"/>
  <c r="E6982" i="10"/>
  <c r="D6982" i="10"/>
  <c r="E6981" i="10"/>
  <c r="D6981" i="10"/>
  <c r="E6980" i="10"/>
  <c r="D6980" i="10"/>
  <c r="E6979" i="10"/>
  <c r="D6979" i="10"/>
  <c r="E6978" i="10"/>
  <c r="D6978" i="10"/>
  <c r="E6977" i="10"/>
  <c r="D6977" i="10"/>
  <c r="E6976" i="10"/>
  <c r="D6976" i="10"/>
  <c r="E6975" i="10"/>
  <c r="D6975" i="10"/>
  <c r="E6974" i="10"/>
  <c r="D6974" i="10"/>
  <c r="E6973" i="10"/>
  <c r="D6973" i="10"/>
  <c r="E6972" i="10"/>
  <c r="D6972" i="10"/>
  <c r="E6971" i="10"/>
  <c r="D6971" i="10"/>
  <c r="E6970" i="10"/>
  <c r="D6970" i="10"/>
  <c r="E6969" i="10"/>
  <c r="D6969" i="10"/>
  <c r="E6968" i="10"/>
  <c r="D6968" i="10"/>
  <c r="E6967" i="10"/>
  <c r="D6967" i="10"/>
  <c r="E6966" i="10"/>
  <c r="D6966" i="10"/>
  <c r="E6965" i="10"/>
  <c r="D6965" i="10"/>
  <c r="E6964" i="10"/>
  <c r="D6964" i="10"/>
  <c r="E6963" i="10"/>
  <c r="D6963" i="10"/>
  <c r="E6962" i="10"/>
  <c r="D6962" i="10"/>
  <c r="E6961" i="10"/>
  <c r="D6961" i="10"/>
  <c r="E6960" i="10"/>
  <c r="D6960" i="10"/>
  <c r="E6959" i="10"/>
  <c r="D6959" i="10"/>
  <c r="E6958" i="10"/>
  <c r="D6958" i="10"/>
  <c r="E6957" i="10"/>
  <c r="D6957" i="10"/>
  <c r="E6956" i="10"/>
  <c r="D6956" i="10"/>
  <c r="E6955" i="10"/>
  <c r="D6955" i="10"/>
  <c r="E6954" i="10"/>
  <c r="D6954" i="10"/>
  <c r="E6953" i="10"/>
  <c r="D6953" i="10"/>
  <c r="E6952" i="10"/>
  <c r="D6952" i="10"/>
  <c r="E6951" i="10"/>
  <c r="D6951" i="10"/>
  <c r="E6950" i="10"/>
  <c r="D6950" i="10"/>
  <c r="E6949" i="10"/>
  <c r="D6949" i="10"/>
  <c r="E6948" i="10"/>
  <c r="D6948" i="10"/>
  <c r="E6947" i="10"/>
  <c r="D6947" i="10"/>
  <c r="E6946" i="10"/>
  <c r="D6946" i="10"/>
  <c r="E6945" i="10"/>
  <c r="D6945" i="10"/>
  <c r="E6944" i="10"/>
  <c r="D6944" i="10"/>
  <c r="E6943" i="10"/>
  <c r="D6943" i="10"/>
  <c r="E6942" i="10"/>
  <c r="D6942" i="10"/>
  <c r="E6941" i="10"/>
  <c r="D6941" i="10"/>
  <c r="E6940" i="10"/>
  <c r="D6940" i="10"/>
  <c r="E6939" i="10"/>
  <c r="D6939" i="10"/>
  <c r="E6938" i="10"/>
  <c r="D6938" i="10"/>
  <c r="E6937" i="10"/>
  <c r="D6937" i="10"/>
  <c r="E6936" i="10"/>
  <c r="D6936" i="10"/>
  <c r="E6935" i="10"/>
  <c r="D6935" i="10"/>
  <c r="E6934" i="10"/>
  <c r="D6934" i="10"/>
  <c r="E6933" i="10"/>
  <c r="D6933" i="10"/>
  <c r="E6932" i="10"/>
  <c r="D6932" i="10"/>
  <c r="E6931" i="10"/>
  <c r="D6931" i="10"/>
  <c r="E6930" i="10"/>
  <c r="D6930" i="10"/>
  <c r="E6929" i="10"/>
  <c r="D6929" i="10"/>
  <c r="E6928" i="10"/>
  <c r="D6928" i="10"/>
  <c r="E6927" i="10"/>
  <c r="D6927" i="10"/>
  <c r="E6926" i="10"/>
  <c r="D6926" i="10"/>
  <c r="E6925" i="10"/>
  <c r="D6925" i="10"/>
  <c r="E6924" i="10"/>
  <c r="D6924" i="10"/>
  <c r="E6923" i="10"/>
  <c r="D6923" i="10"/>
  <c r="E6922" i="10"/>
  <c r="D6922" i="10"/>
  <c r="E6921" i="10"/>
  <c r="D6921" i="10"/>
  <c r="E6920" i="10"/>
  <c r="D6920" i="10"/>
  <c r="E6919" i="10"/>
  <c r="D6919" i="10"/>
  <c r="E6918" i="10"/>
  <c r="D6918" i="10"/>
  <c r="E6917" i="10"/>
  <c r="D6917" i="10"/>
  <c r="E6916" i="10"/>
  <c r="D6916" i="10"/>
  <c r="E6915" i="10"/>
  <c r="D6915" i="10"/>
  <c r="E6914" i="10"/>
  <c r="D6914" i="10"/>
  <c r="E6913" i="10"/>
  <c r="D6913" i="10"/>
  <c r="E6912" i="10"/>
  <c r="D6912" i="10"/>
  <c r="E6911" i="10"/>
  <c r="D6911" i="10"/>
  <c r="E6910" i="10"/>
  <c r="D6910" i="10"/>
  <c r="E6909" i="10"/>
  <c r="D6909" i="10"/>
  <c r="E6908" i="10"/>
  <c r="D6908" i="10"/>
  <c r="E6907" i="10"/>
  <c r="D6907" i="10"/>
  <c r="E6906" i="10"/>
  <c r="D6906" i="10"/>
  <c r="E6905" i="10"/>
  <c r="D6905" i="10"/>
  <c r="E6904" i="10"/>
  <c r="D6904" i="10"/>
  <c r="E6903" i="10"/>
  <c r="D6903" i="10"/>
  <c r="E6902" i="10"/>
  <c r="D6902" i="10"/>
  <c r="E6901" i="10"/>
  <c r="D6901" i="10"/>
  <c r="E6900" i="10"/>
  <c r="D6900" i="10"/>
  <c r="E6899" i="10"/>
  <c r="D6899" i="10"/>
  <c r="E6898" i="10"/>
  <c r="D6898" i="10"/>
  <c r="E6897" i="10"/>
  <c r="D6897" i="10"/>
  <c r="E6896" i="10"/>
  <c r="D6896" i="10"/>
  <c r="E6895" i="10"/>
  <c r="D6895" i="10"/>
  <c r="E6894" i="10"/>
  <c r="D6894" i="10"/>
  <c r="E6893" i="10"/>
  <c r="D6893" i="10"/>
  <c r="E6892" i="10"/>
  <c r="D6892" i="10"/>
  <c r="E6891" i="10"/>
  <c r="D6891" i="10"/>
  <c r="E6890" i="10"/>
  <c r="D6890" i="10"/>
  <c r="E6889" i="10"/>
  <c r="D6889" i="10"/>
  <c r="E6888" i="10"/>
  <c r="D6888" i="10"/>
  <c r="E6887" i="10"/>
  <c r="D6887" i="10"/>
  <c r="E6886" i="10"/>
  <c r="D6886" i="10"/>
  <c r="E6885" i="10"/>
  <c r="D6885" i="10"/>
  <c r="E6884" i="10"/>
  <c r="D6884" i="10"/>
  <c r="E6883" i="10"/>
  <c r="D6883" i="10"/>
  <c r="E6882" i="10"/>
  <c r="D6882" i="10"/>
  <c r="E6881" i="10"/>
  <c r="D6881" i="10"/>
  <c r="E6880" i="10"/>
  <c r="D6880" i="10"/>
  <c r="E6879" i="10"/>
  <c r="D6879" i="10"/>
  <c r="E6878" i="10"/>
  <c r="D6878" i="10"/>
  <c r="E6877" i="10"/>
  <c r="D6877" i="10"/>
  <c r="E6876" i="10"/>
  <c r="D6876" i="10"/>
  <c r="E6875" i="10"/>
  <c r="D6875" i="10"/>
  <c r="E6874" i="10"/>
  <c r="D6874" i="10"/>
  <c r="E6873" i="10"/>
  <c r="D6873" i="10"/>
  <c r="E6872" i="10"/>
  <c r="D6872" i="10"/>
  <c r="E6871" i="10"/>
  <c r="D6871" i="10"/>
  <c r="E6870" i="10"/>
  <c r="D6870" i="10"/>
  <c r="E6869" i="10"/>
  <c r="D6869" i="10"/>
  <c r="E6868" i="10"/>
  <c r="D6868" i="10"/>
  <c r="E6867" i="10"/>
  <c r="D6867" i="10"/>
  <c r="E6866" i="10"/>
  <c r="D6866" i="10"/>
  <c r="E6865" i="10"/>
  <c r="D6865" i="10"/>
  <c r="E6864" i="10"/>
  <c r="D6864" i="10"/>
  <c r="E6863" i="10"/>
  <c r="D6863" i="10"/>
  <c r="E6862" i="10"/>
  <c r="D6862" i="10"/>
  <c r="E6861" i="10"/>
  <c r="D6861" i="10"/>
  <c r="E6860" i="10"/>
  <c r="D6860" i="10"/>
  <c r="E6859" i="10"/>
  <c r="D6859" i="10"/>
  <c r="E6858" i="10"/>
  <c r="D6858" i="10"/>
  <c r="E6857" i="10"/>
  <c r="D6857" i="10"/>
  <c r="E6856" i="10"/>
  <c r="D6856" i="10"/>
  <c r="E6855" i="10"/>
  <c r="D6855" i="10"/>
  <c r="E6854" i="10"/>
  <c r="D6854" i="10"/>
  <c r="E6853" i="10"/>
  <c r="D6853" i="10"/>
  <c r="E6852" i="10"/>
  <c r="D6852" i="10"/>
  <c r="E6851" i="10"/>
  <c r="D6851" i="10"/>
  <c r="E6850" i="10"/>
  <c r="D6850" i="10"/>
  <c r="E6849" i="10"/>
  <c r="D6849" i="10"/>
  <c r="E6848" i="10"/>
  <c r="D6848" i="10"/>
  <c r="E6847" i="10"/>
  <c r="D6847" i="10"/>
  <c r="E6846" i="10"/>
  <c r="D6846" i="10"/>
  <c r="E6845" i="10"/>
  <c r="D6845" i="10"/>
  <c r="E6844" i="10"/>
  <c r="D6844" i="10"/>
  <c r="E6843" i="10"/>
  <c r="D6843" i="10"/>
  <c r="E6842" i="10"/>
  <c r="D6842" i="10"/>
  <c r="E6841" i="10"/>
  <c r="D6841" i="10"/>
  <c r="E6840" i="10"/>
  <c r="D6840" i="10"/>
  <c r="E6839" i="10"/>
  <c r="D6839" i="10"/>
  <c r="E6838" i="10"/>
  <c r="D6838" i="10"/>
  <c r="E6837" i="10"/>
  <c r="D6837" i="10"/>
  <c r="E6836" i="10"/>
  <c r="D6836" i="10"/>
  <c r="E6835" i="10"/>
  <c r="D6835" i="10"/>
  <c r="E6834" i="10"/>
  <c r="D6834" i="10"/>
  <c r="E6833" i="10"/>
  <c r="D6833" i="10"/>
  <c r="E6832" i="10"/>
  <c r="D6832" i="10"/>
  <c r="E6831" i="10"/>
  <c r="D6831" i="10"/>
  <c r="E6830" i="10"/>
  <c r="D6830" i="10"/>
  <c r="E6829" i="10"/>
  <c r="D6829" i="10"/>
  <c r="E6828" i="10"/>
  <c r="D6828" i="10"/>
  <c r="E6827" i="10"/>
  <c r="D6827" i="10"/>
  <c r="E6826" i="10"/>
  <c r="D6826" i="10"/>
  <c r="E6825" i="10"/>
  <c r="D6825" i="10"/>
  <c r="E6824" i="10"/>
  <c r="D6824" i="10"/>
  <c r="E6823" i="10"/>
  <c r="D6823" i="10"/>
  <c r="E6822" i="10"/>
  <c r="D6822" i="10"/>
  <c r="E6821" i="10"/>
  <c r="D6821" i="10"/>
  <c r="E6820" i="10"/>
  <c r="D6820" i="10"/>
  <c r="E6819" i="10"/>
  <c r="D6819" i="10"/>
  <c r="E6818" i="10"/>
  <c r="D6818" i="10"/>
  <c r="E6817" i="10"/>
  <c r="D6817" i="10"/>
  <c r="E6816" i="10"/>
  <c r="D6816" i="10"/>
  <c r="E6815" i="10"/>
  <c r="D6815" i="10"/>
  <c r="E6814" i="10"/>
  <c r="D6814" i="10"/>
  <c r="E6813" i="10"/>
  <c r="D6813" i="10"/>
  <c r="E6812" i="10"/>
  <c r="D6812" i="10"/>
  <c r="E6811" i="10"/>
  <c r="D6811" i="10"/>
  <c r="E6810" i="10"/>
  <c r="D6810" i="10"/>
  <c r="E6809" i="10"/>
  <c r="D6809" i="10"/>
  <c r="E6808" i="10"/>
  <c r="D6808" i="10"/>
  <c r="E6807" i="10"/>
  <c r="D6807" i="10"/>
  <c r="E6806" i="10"/>
  <c r="D6806" i="10"/>
  <c r="E6805" i="10"/>
  <c r="D6805" i="10"/>
  <c r="E6804" i="10"/>
  <c r="D6804" i="10"/>
  <c r="E6803" i="10"/>
  <c r="D6803" i="10"/>
  <c r="E6802" i="10"/>
  <c r="D6802" i="10"/>
  <c r="E6801" i="10"/>
  <c r="D6801" i="10"/>
  <c r="E6800" i="10"/>
  <c r="D6800" i="10"/>
  <c r="E6799" i="10"/>
  <c r="D6799" i="10"/>
  <c r="E6798" i="10"/>
  <c r="D6798" i="10"/>
  <c r="E6797" i="10"/>
  <c r="D6797" i="10"/>
  <c r="E6796" i="10"/>
  <c r="D6796" i="10"/>
  <c r="E6795" i="10"/>
  <c r="D6795" i="10"/>
  <c r="E6794" i="10"/>
  <c r="D6794" i="10"/>
  <c r="E6793" i="10"/>
  <c r="D6793" i="10"/>
  <c r="E6792" i="10"/>
  <c r="D6792" i="10"/>
  <c r="E6791" i="10"/>
  <c r="D6791" i="10"/>
  <c r="E6790" i="10"/>
  <c r="D6790" i="10"/>
  <c r="E6789" i="10"/>
  <c r="D6789" i="10"/>
  <c r="E6788" i="10"/>
  <c r="D6788" i="10"/>
  <c r="E6787" i="10"/>
  <c r="D6787" i="10"/>
  <c r="E6786" i="10"/>
  <c r="D6786" i="10"/>
  <c r="E6785" i="10"/>
  <c r="D6785" i="10"/>
  <c r="E6784" i="10"/>
  <c r="D6784" i="10"/>
  <c r="E6783" i="10"/>
  <c r="D6783" i="10"/>
  <c r="E6782" i="10"/>
  <c r="D6782" i="10"/>
  <c r="E6781" i="10"/>
  <c r="D6781" i="10"/>
  <c r="E6780" i="10"/>
  <c r="D6780" i="10"/>
  <c r="E6779" i="10"/>
  <c r="D6779" i="10"/>
  <c r="E6778" i="10"/>
  <c r="D6778" i="10"/>
  <c r="E6777" i="10"/>
  <c r="D6777" i="10"/>
  <c r="E6776" i="10"/>
  <c r="D6776" i="10"/>
  <c r="E6775" i="10"/>
  <c r="D6775" i="10"/>
  <c r="E6774" i="10"/>
  <c r="D6774" i="10"/>
  <c r="E6773" i="10"/>
  <c r="D6773" i="10"/>
  <c r="E6772" i="10"/>
  <c r="D6772" i="10"/>
  <c r="E6771" i="10"/>
  <c r="D6771" i="10"/>
  <c r="E6770" i="10"/>
  <c r="D6770" i="10"/>
  <c r="E6769" i="10"/>
  <c r="D6769" i="10"/>
  <c r="E6768" i="10"/>
  <c r="D6768" i="10"/>
  <c r="E6767" i="10"/>
  <c r="D6767" i="10"/>
  <c r="E6766" i="10"/>
  <c r="D6766" i="10"/>
  <c r="E6765" i="10"/>
  <c r="D6765" i="10"/>
  <c r="E6764" i="10"/>
  <c r="D6764" i="10"/>
  <c r="E6763" i="10"/>
  <c r="D6763" i="10"/>
  <c r="E6762" i="10"/>
  <c r="D6762" i="10"/>
  <c r="E6761" i="10"/>
  <c r="D6761" i="10"/>
  <c r="E6760" i="10"/>
  <c r="D6760" i="10"/>
  <c r="E6759" i="10"/>
  <c r="D6759" i="10"/>
  <c r="E6758" i="10"/>
  <c r="D6758" i="10"/>
  <c r="E6757" i="10"/>
  <c r="D6757" i="10"/>
  <c r="E6756" i="10"/>
  <c r="D6756" i="10"/>
  <c r="E6755" i="10"/>
  <c r="D6755" i="10"/>
  <c r="E6754" i="10"/>
  <c r="D6754" i="10"/>
  <c r="E6753" i="10"/>
  <c r="D6753" i="10"/>
  <c r="E6752" i="10"/>
  <c r="D6752" i="10"/>
  <c r="E6751" i="10"/>
  <c r="D6751" i="10"/>
  <c r="E6750" i="10"/>
  <c r="D6750" i="10"/>
  <c r="E6749" i="10"/>
  <c r="D6749" i="10"/>
  <c r="E6748" i="10"/>
  <c r="D6748" i="10"/>
  <c r="E6747" i="10"/>
  <c r="D6747" i="10"/>
  <c r="E6746" i="10"/>
  <c r="D6746" i="10"/>
  <c r="E6745" i="10"/>
  <c r="D6745" i="10"/>
  <c r="E6744" i="10"/>
  <c r="D6744" i="10"/>
  <c r="E6743" i="10"/>
  <c r="D6743" i="10"/>
  <c r="E6742" i="10"/>
  <c r="D6742" i="10"/>
  <c r="E6741" i="10"/>
  <c r="D6741" i="10"/>
  <c r="E6740" i="10"/>
  <c r="D6740" i="10"/>
  <c r="E6739" i="10"/>
  <c r="D6739" i="10"/>
  <c r="E6738" i="10"/>
  <c r="D6738" i="10"/>
  <c r="E6737" i="10"/>
  <c r="D6737" i="10"/>
  <c r="E6736" i="10"/>
  <c r="D6736" i="10"/>
  <c r="E6735" i="10"/>
  <c r="D6735" i="10"/>
  <c r="E6734" i="10"/>
  <c r="D6734" i="10"/>
  <c r="E6733" i="10"/>
  <c r="D6733" i="10"/>
  <c r="E6732" i="10"/>
  <c r="D6732" i="10"/>
  <c r="E6731" i="10"/>
  <c r="D6731" i="10"/>
  <c r="E6730" i="10"/>
  <c r="D6730" i="10"/>
  <c r="E6729" i="10"/>
  <c r="D6729" i="10"/>
  <c r="E6728" i="10"/>
  <c r="D6728" i="10"/>
  <c r="E6727" i="10"/>
  <c r="D6727" i="10"/>
  <c r="E6726" i="10"/>
  <c r="D6726" i="10"/>
  <c r="E6725" i="10"/>
  <c r="D6725" i="10"/>
  <c r="E6724" i="10"/>
  <c r="D6724" i="10"/>
  <c r="E6723" i="10"/>
  <c r="D6723" i="10"/>
  <c r="E6722" i="10"/>
  <c r="D6722" i="10"/>
  <c r="E6721" i="10"/>
  <c r="D6721" i="10"/>
  <c r="E6720" i="10"/>
  <c r="D6720" i="10"/>
  <c r="E6719" i="10"/>
  <c r="D6719" i="10"/>
  <c r="E6718" i="10"/>
  <c r="D6718" i="10"/>
  <c r="E6717" i="10"/>
  <c r="D6717" i="10"/>
  <c r="E6716" i="10"/>
  <c r="D6716" i="10"/>
  <c r="E6715" i="10"/>
  <c r="D6715" i="10"/>
  <c r="E6714" i="10"/>
  <c r="D6714" i="10"/>
  <c r="E6713" i="10"/>
  <c r="D6713" i="10"/>
  <c r="E6712" i="10"/>
  <c r="D6712" i="10"/>
  <c r="E6711" i="10"/>
  <c r="D6711" i="10"/>
  <c r="E6710" i="10"/>
  <c r="D6710" i="10"/>
  <c r="E6709" i="10"/>
  <c r="D6709" i="10"/>
  <c r="E6708" i="10"/>
  <c r="D6708" i="10"/>
  <c r="E6707" i="10"/>
  <c r="D6707" i="10"/>
  <c r="E6706" i="10"/>
  <c r="D6706" i="10"/>
  <c r="E6705" i="10"/>
  <c r="D6705" i="10"/>
  <c r="E6704" i="10"/>
  <c r="D6704" i="10"/>
  <c r="E6703" i="10"/>
  <c r="D6703" i="10"/>
  <c r="E6702" i="10"/>
  <c r="D6702" i="10"/>
  <c r="E6701" i="10"/>
  <c r="D6701" i="10"/>
  <c r="E6700" i="10"/>
  <c r="D6700" i="10"/>
  <c r="E6699" i="10"/>
  <c r="D6699" i="10"/>
  <c r="E6698" i="10"/>
  <c r="D6698" i="10"/>
  <c r="E6697" i="10"/>
  <c r="D6697" i="10"/>
  <c r="E6696" i="10"/>
  <c r="D6696" i="10"/>
  <c r="E6695" i="10"/>
  <c r="D6695" i="10"/>
  <c r="E6694" i="10"/>
  <c r="D6694" i="10"/>
  <c r="E6693" i="10"/>
  <c r="D6693" i="10"/>
  <c r="E6692" i="10"/>
  <c r="D6692" i="10"/>
  <c r="E6691" i="10"/>
  <c r="D6691" i="10"/>
  <c r="E6690" i="10"/>
  <c r="D6690" i="10"/>
  <c r="E6689" i="10"/>
  <c r="D6689" i="10"/>
  <c r="E6688" i="10"/>
  <c r="D6688" i="10"/>
  <c r="E6687" i="10"/>
  <c r="D6687" i="10"/>
  <c r="E6686" i="10"/>
  <c r="D6686" i="10"/>
  <c r="E6685" i="10"/>
  <c r="D6685" i="10"/>
  <c r="E6684" i="10"/>
  <c r="D6684" i="10"/>
  <c r="E6683" i="10"/>
  <c r="D6683" i="10"/>
  <c r="E6682" i="10"/>
  <c r="D6682" i="10"/>
  <c r="E6681" i="10"/>
  <c r="D6681" i="10"/>
  <c r="E6680" i="10"/>
  <c r="D6680" i="10"/>
  <c r="E6679" i="10"/>
  <c r="D6679" i="10"/>
  <c r="E6678" i="10"/>
  <c r="D6678" i="10"/>
  <c r="E6677" i="10"/>
  <c r="D6677" i="10"/>
  <c r="E6676" i="10"/>
  <c r="D6676" i="10"/>
  <c r="E6675" i="10"/>
  <c r="D6675" i="10"/>
  <c r="E6674" i="10"/>
  <c r="D6674" i="10"/>
  <c r="E6673" i="10"/>
  <c r="D6673" i="10"/>
  <c r="E6672" i="10"/>
  <c r="D6672" i="10"/>
  <c r="E6671" i="10"/>
  <c r="D6671" i="10"/>
  <c r="E6670" i="10"/>
  <c r="D6670" i="10"/>
  <c r="E6669" i="10"/>
  <c r="D6669" i="10"/>
  <c r="E6668" i="10"/>
  <c r="D6668" i="10"/>
  <c r="E6667" i="10"/>
  <c r="D6667" i="10"/>
  <c r="E6666" i="10"/>
  <c r="D6666" i="10"/>
  <c r="E6665" i="10"/>
  <c r="D6665" i="10"/>
  <c r="E6664" i="10"/>
  <c r="D6664" i="10"/>
  <c r="E6663" i="10"/>
  <c r="D6663" i="10"/>
  <c r="E6662" i="10"/>
  <c r="D6662" i="10"/>
  <c r="E6661" i="10"/>
  <c r="D6661" i="10"/>
  <c r="E6660" i="10"/>
  <c r="D6660" i="10"/>
  <c r="E6659" i="10"/>
  <c r="D6659" i="10"/>
  <c r="E6658" i="10"/>
  <c r="D6658" i="10"/>
  <c r="E6657" i="10"/>
  <c r="D6657" i="10"/>
  <c r="E6656" i="10"/>
  <c r="D6656" i="10"/>
  <c r="E6655" i="10"/>
  <c r="D6655" i="10"/>
  <c r="E6654" i="10"/>
  <c r="D6654" i="10"/>
  <c r="E6653" i="10"/>
  <c r="D6653" i="10"/>
  <c r="E6652" i="10"/>
  <c r="D6652" i="10"/>
  <c r="E6651" i="10"/>
  <c r="D6651" i="10"/>
  <c r="E6650" i="10"/>
  <c r="D6650" i="10"/>
  <c r="E6649" i="10"/>
  <c r="D6649" i="10"/>
  <c r="E6648" i="10"/>
  <c r="D6648" i="10"/>
  <c r="E6647" i="10"/>
  <c r="D6647" i="10"/>
  <c r="E6646" i="10"/>
  <c r="D6646" i="10"/>
  <c r="E6645" i="10"/>
  <c r="D6645" i="10"/>
  <c r="E6644" i="10"/>
  <c r="D6644" i="10"/>
  <c r="E6643" i="10"/>
  <c r="D6643" i="10"/>
  <c r="E6642" i="10"/>
  <c r="D6642" i="10"/>
  <c r="E6641" i="10"/>
  <c r="D6641" i="10"/>
  <c r="E6640" i="10"/>
  <c r="D6640" i="10"/>
  <c r="E6639" i="10"/>
  <c r="D6639" i="10"/>
  <c r="E6638" i="10"/>
  <c r="D6638" i="10"/>
  <c r="E6637" i="10"/>
  <c r="D6637" i="10"/>
  <c r="E6636" i="10"/>
  <c r="D6636" i="10"/>
  <c r="E6635" i="10"/>
  <c r="D6635" i="10"/>
  <c r="E6634" i="10"/>
  <c r="D6634" i="10"/>
  <c r="E6633" i="10"/>
  <c r="D6633" i="10"/>
  <c r="E6632" i="10"/>
  <c r="D6632" i="10"/>
  <c r="E6631" i="10"/>
  <c r="D6631" i="10"/>
  <c r="E6630" i="10"/>
  <c r="D6630" i="10"/>
  <c r="E6629" i="10"/>
  <c r="D6629" i="10"/>
  <c r="E6628" i="10"/>
  <c r="D6628" i="10"/>
  <c r="E6627" i="10"/>
  <c r="D6627" i="10"/>
  <c r="E6626" i="10"/>
  <c r="D6626" i="10"/>
  <c r="E6625" i="10"/>
  <c r="D6625" i="10"/>
  <c r="E6624" i="10"/>
  <c r="D6624" i="10"/>
  <c r="E6623" i="10"/>
  <c r="D6623" i="10"/>
  <c r="E6622" i="10"/>
  <c r="D6622" i="10"/>
  <c r="E6621" i="10"/>
  <c r="D6621" i="10"/>
  <c r="E6620" i="10"/>
  <c r="D6620" i="10"/>
  <c r="E6619" i="10"/>
  <c r="D6619" i="10"/>
  <c r="E6618" i="10"/>
  <c r="D6618" i="10"/>
  <c r="E6617" i="10"/>
  <c r="D6617" i="10"/>
  <c r="E6616" i="10"/>
  <c r="D6616" i="10"/>
  <c r="E6615" i="10"/>
  <c r="D6615" i="10"/>
  <c r="E6614" i="10"/>
  <c r="D6614" i="10"/>
  <c r="E6613" i="10"/>
  <c r="D6613" i="10"/>
  <c r="E6612" i="10"/>
  <c r="D6612" i="10"/>
  <c r="E6611" i="10"/>
  <c r="D6611" i="10"/>
  <c r="E6610" i="10"/>
  <c r="D6610" i="10"/>
  <c r="E6609" i="10"/>
  <c r="D6609" i="10"/>
  <c r="E6608" i="10"/>
  <c r="D6608" i="10"/>
  <c r="E6607" i="10"/>
  <c r="D6607" i="10"/>
  <c r="E6606" i="10"/>
  <c r="D6606" i="10"/>
  <c r="E6605" i="10"/>
  <c r="D6605" i="10"/>
  <c r="E6604" i="10"/>
  <c r="D6604" i="10"/>
  <c r="E6603" i="10"/>
  <c r="D6603" i="10"/>
  <c r="E6602" i="10"/>
  <c r="D6602" i="10"/>
  <c r="E6601" i="10"/>
  <c r="D6601" i="10"/>
  <c r="E6600" i="10"/>
  <c r="D6600" i="10"/>
  <c r="E6599" i="10"/>
  <c r="D6599" i="10"/>
  <c r="E6598" i="10"/>
  <c r="D6598" i="10"/>
  <c r="E6597" i="10"/>
  <c r="D6597" i="10"/>
  <c r="E6596" i="10"/>
  <c r="D6596" i="10"/>
  <c r="E6595" i="10"/>
  <c r="D6595" i="10"/>
  <c r="E6594" i="10"/>
  <c r="D6594" i="10"/>
  <c r="E6593" i="10"/>
  <c r="D6593" i="10"/>
  <c r="E6592" i="10"/>
  <c r="D6592" i="10"/>
  <c r="E6591" i="10"/>
  <c r="D6591" i="10"/>
  <c r="E6590" i="10"/>
  <c r="D6590" i="10"/>
  <c r="E6589" i="10"/>
  <c r="D6589" i="10"/>
  <c r="E6588" i="10"/>
  <c r="D6588" i="10"/>
  <c r="E6587" i="10"/>
  <c r="D6587" i="10"/>
  <c r="E6586" i="10"/>
  <c r="D6586" i="10"/>
  <c r="E6585" i="10"/>
  <c r="D6585" i="10"/>
  <c r="E6584" i="10"/>
  <c r="D6584" i="10"/>
  <c r="E6583" i="10"/>
  <c r="D6583" i="10"/>
  <c r="E6582" i="10"/>
  <c r="D6582" i="10"/>
  <c r="E6581" i="10"/>
  <c r="D6581" i="10"/>
  <c r="E6580" i="10"/>
  <c r="D6580" i="10"/>
  <c r="E6579" i="10"/>
  <c r="D6579" i="10"/>
  <c r="E6578" i="10"/>
  <c r="D6578" i="10"/>
  <c r="E6577" i="10"/>
  <c r="D6577" i="10"/>
  <c r="E6576" i="10"/>
  <c r="D6576" i="10"/>
  <c r="E6575" i="10"/>
  <c r="D6575" i="10"/>
  <c r="E6574" i="10"/>
  <c r="D6574" i="10"/>
  <c r="E6573" i="10"/>
  <c r="D6573" i="10"/>
  <c r="E6572" i="10"/>
  <c r="D6572" i="10"/>
  <c r="E6571" i="10"/>
  <c r="D6571" i="10"/>
  <c r="E6570" i="10"/>
  <c r="D6570" i="10"/>
  <c r="E6569" i="10"/>
  <c r="D6569" i="10"/>
  <c r="E6568" i="10"/>
  <c r="D6568" i="10"/>
  <c r="E6567" i="10"/>
  <c r="D6567" i="10"/>
  <c r="E6566" i="10"/>
  <c r="D6566" i="10"/>
  <c r="E6565" i="10"/>
  <c r="D6565" i="10"/>
  <c r="E6564" i="10"/>
  <c r="D6564" i="10"/>
  <c r="E6563" i="10"/>
  <c r="D6563" i="10"/>
  <c r="E6562" i="10"/>
  <c r="D6562" i="10"/>
  <c r="E6561" i="10"/>
  <c r="D6561" i="10"/>
  <c r="E6560" i="10"/>
  <c r="D6560" i="10"/>
  <c r="E6559" i="10"/>
  <c r="D6559" i="10"/>
  <c r="E6558" i="10"/>
  <c r="D6558" i="10"/>
  <c r="E6557" i="10"/>
  <c r="D6557" i="10"/>
  <c r="E6556" i="10"/>
  <c r="D6556" i="10"/>
  <c r="E6555" i="10"/>
  <c r="D6555" i="10"/>
  <c r="E6554" i="10"/>
  <c r="D6554" i="10"/>
  <c r="E6553" i="10"/>
  <c r="D6553" i="10"/>
  <c r="E6552" i="10"/>
  <c r="D6552" i="10"/>
  <c r="E6551" i="10"/>
  <c r="D6551" i="10"/>
  <c r="E6550" i="10"/>
  <c r="D6550" i="10"/>
  <c r="E6549" i="10"/>
  <c r="D6549" i="10"/>
  <c r="E6548" i="10"/>
  <c r="D6548" i="10"/>
  <c r="E6547" i="10"/>
  <c r="D6547" i="10"/>
  <c r="E6546" i="10"/>
  <c r="D6546" i="10"/>
  <c r="E6545" i="10"/>
  <c r="D6545" i="10"/>
  <c r="E6544" i="10"/>
  <c r="D6544" i="10"/>
  <c r="E6543" i="10"/>
  <c r="D6543" i="10"/>
  <c r="E6542" i="10"/>
  <c r="D6542" i="10"/>
  <c r="E6541" i="10"/>
  <c r="D6541" i="10"/>
  <c r="E6540" i="10"/>
  <c r="D6540" i="10"/>
  <c r="E6539" i="10"/>
  <c r="D6539" i="10"/>
  <c r="E6538" i="10"/>
  <c r="D6538" i="10"/>
  <c r="E6537" i="10"/>
  <c r="D6537" i="10"/>
  <c r="E6536" i="10"/>
  <c r="D6536" i="10"/>
  <c r="E6535" i="10"/>
  <c r="D6535" i="10"/>
  <c r="E6534" i="10"/>
  <c r="D6534" i="10"/>
  <c r="E6533" i="10"/>
  <c r="D6533" i="10"/>
  <c r="E6532" i="10"/>
  <c r="D6532" i="10"/>
  <c r="E6531" i="10"/>
  <c r="D6531" i="10"/>
  <c r="E6530" i="10"/>
  <c r="D6530" i="10"/>
  <c r="E6529" i="10"/>
  <c r="D6529" i="10"/>
  <c r="E6528" i="10"/>
  <c r="D6528" i="10"/>
  <c r="E6527" i="10"/>
  <c r="D6527" i="10"/>
  <c r="E6526" i="10"/>
  <c r="D6526" i="10"/>
  <c r="E6525" i="10"/>
  <c r="D6525" i="10"/>
  <c r="E6524" i="10"/>
  <c r="D6524" i="10"/>
  <c r="E6523" i="10"/>
  <c r="D6523" i="10"/>
  <c r="E6522" i="10"/>
  <c r="D6522" i="10"/>
  <c r="E6521" i="10"/>
  <c r="D6521" i="10"/>
  <c r="E6520" i="10"/>
  <c r="D6520" i="10"/>
  <c r="E6519" i="10"/>
  <c r="D6519" i="10"/>
  <c r="E6518" i="10"/>
  <c r="D6518" i="10"/>
  <c r="E6517" i="10"/>
  <c r="D6517" i="10"/>
  <c r="E6516" i="10"/>
  <c r="D6516" i="10"/>
  <c r="E6515" i="10"/>
  <c r="D6515" i="10"/>
  <c r="E6514" i="10"/>
  <c r="D6514" i="10"/>
  <c r="E6513" i="10"/>
  <c r="D6513" i="10"/>
  <c r="E6512" i="10"/>
  <c r="D6512" i="10"/>
  <c r="E6511" i="10"/>
  <c r="D6511" i="10"/>
  <c r="E6510" i="10"/>
  <c r="D6510" i="10"/>
  <c r="E6509" i="10"/>
  <c r="D6509" i="10"/>
  <c r="E6508" i="10"/>
  <c r="D6508" i="10"/>
  <c r="E6507" i="10"/>
  <c r="D6507" i="10"/>
  <c r="E6506" i="10"/>
  <c r="D6506" i="10"/>
  <c r="E6505" i="10"/>
  <c r="D6505" i="10"/>
  <c r="E6504" i="10"/>
  <c r="D6504" i="10"/>
  <c r="E6503" i="10"/>
  <c r="D6503" i="10"/>
  <c r="E6502" i="10"/>
  <c r="D6502" i="10"/>
  <c r="E6501" i="10"/>
  <c r="D6501" i="10"/>
  <c r="E6500" i="10"/>
  <c r="D6500" i="10"/>
  <c r="E6499" i="10"/>
  <c r="D6499" i="10"/>
  <c r="E6498" i="10"/>
  <c r="D6498" i="10"/>
  <c r="E6497" i="10"/>
  <c r="D6497" i="10"/>
  <c r="E6496" i="10"/>
  <c r="D6496" i="10"/>
  <c r="E6495" i="10"/>
  <c r="D6495" i="10"/>
  <c r="E6494" i="10"/>
  <c r="D6494" i="10"/>
  <c r="E6493" i="10"/>
  <c r="D6493" i="10"/>
  <c r="E6492" i="10"/>
  <c r="D6492" i="10"/>
  <c r="E6491" i="10"/>
  <c r="D6491" i="10"/>
  <c r="E6490" i="10"/>
  <c r="D6490" i="10"/>
  <c r="E6489" i="10"/>
  <c r="D6489" i="10"/>
  <c r="E6488" i="10"/>
  <c r="D6488" i="10"/>
  <c r="E6487" i="10"/>
  <c r="D6487" i="10"/>
  <c r="E6486" i="10"/>
  <c r="D6486" i="10"/>
  <c r="E6485" i="10"/>
  <c r="D6485" i="10"/>
  <c r="E6484" i="10"/>
  <c r="D6484" i="10"/>
  <c r="E6483" i="10"/>
  <c r="D6483" i="10"/>
  <c r="E6482" i="10"/>
  <c r="D6482" i="10"/>
  <c r="E6481" i="10"/>
  <c r="D6481" i="10"/>
  <c r="E6480" i="10"/>
  <c r="D6480" i="10"/>
  <c r="E6479" i="10"/>
  <c r="D6479" i="10"/>
  <c r="E6478" i="10"/>
  <c r="D6478" i="10"/>
  <c r="E6477" i="10"/>
  <c r="D6477" i="10"/>
  <c r="E6476" i="10"/>
  <c r="D6476" i="10"/>
  <c r="E6475" i="10"/>
  <c r="D6475" i="10"/>
  <c r="E6474" i="10"/>
  <c r="D6474" i="10"/>
  <c r="E6473" i="10"/>
  <c r="D6473" i="10"/>
  <c r="E6472" i="10"/>
  <c r="D6472" i="10"/>
  <c r="E6471" i="10"/>
  <c r="D6471" i="10"/>
  <c r="E6470" i="10"/>
  <c r="D6470" i="10"/>
  <c r="E6469" i="10"/>
  <c r="D6469" i="10"/>
  <c r="E6468" i="10"/>
  <c r="D6468" i="10"/>
  <c r="E6467" i="10"/>
  <c r="D6467" i="10"/>
  <c r="E6466" i="10"/>
  <c r="D6466" i="10"/>
  <c r="E6465" i="10"/>
  <c r="D6465" i="10"/>
  <c r="E6464" i="10"/>
  <c r="D6464" i="10"/>
  <c r="E6463" i="10"/>
  <c r="D6463" i="10"/>
  <c r="E6462" i="10"/>
  <c r="D6462" i="10"/>
  <c r="E6461" i="10"/>
  <c r="D6461" i="10"/>
  <c r="E6460" i="10"/>
  <c r="D6460" i="10"/>
  <c r="E6459" i="10"/>
  <c r="D6459" i="10"/>
  <c r="E6458" i="10"/>
  <c r="D6458" i="10"/>
  <c r="E6457" i="10"/>
  <c r="D6457" i="10"/>
  <c r="E6456" i="10"/>
  <c r="D6456" i="10"/>
  <c r="E6455" i="10"/>
  <c r="D6455" i="10"/>
  <c r="E6454" i="10"/>
  <c r="D6454" i="10"/>
  <c r="E6453" i="10"/>
  <c r="D6453" i="10"/>
  <c r="E6452" i="10"/>
  <c r="D6452" i="10"/>
  <c r="E6451" i="10"/>
  <c r="D6451" i="10"/>
  <c r="E6450" i="10"/>
  <c r="D6450" i="10"/>
  <c r="E6449" i="10"/>
  <c r="D6449" i="10"/>
  <c r="E6448" i="10"/>
  <c r="D6448" i="10"/>
  <c r="E6447" i="10"/>
  <c r="D6447" i="10"/>
  <c r="E6446" i="10"/>
  <c r="D6446" i="10"/>
  <c r="E6445" i="10"/>
  <c r="D6445" i="10"/>
  <c r="E6444" i="10"/>
  <c r="D6444" i="10"/>
  <c r="E6443" i="10"/>
  <c r="D6443" i="10"/>
  <c r="E6442" i="10"/>
  <c r="D6442" i="10"/>
  <c r="E6441" i="10"/>
  <c r="D6441" i="10"/>
  <c r="E6440" i="10"/>
  <c r="D6440" i="10"/>
  <c r="E6439" i="10"/>
  <c r="D6439" i="10"/>
  <c r="E6438" i="10"/>
  <c r="D6438" i="10"/>
  <c r="E6437" i="10"/>
  <c r="D6437" i="10"/>
  <c r="E6436" i="10"/>
  <c r="D6436" i="10"/>
  <c r="E6435" i="10"/>
  <c r="D6435" i="10"/>
  <c r="E6434" i="10"/>
  <c r="D6434" i="10"/>
  <c r="E6433" i="10"/>
  <c r="D6433" i="10"/>
  <c r="E6432" i="10"/>
  <c r="D6432" i="10"/>
  <c r="E6431" i="10"/>
  <c r="D6431" i="10"/>
  <c r="E6430" i="10"/>
  <c r="D6430" i="10"/>
  <c r="E6429" i="10"/>
  <c r="D6429" i="10"/>
  <c r="E6428" i="10"/>
  <c r="D6428" i="10"/>
  <c r="E6427" i="10"/>
  <c r="D6427" i="10"/>
  <c r="E6426" i="10"/>
  <c r="D6426" i="10"/>
  <c r="E6425" i="10"/>
  <c r="D6425" i="10"/>
  <c r="E6424" i="10"/>
  <c r="D6424" i="10"/>
  <c r="E6423" i="10"/>
  <c r="D6423" i="10"/>
  <c r="E6422" i="10"/>
  <c r="D6422" i="10"/>
  <c r="E6421" i="10"/>
  <c r="D6421" i="10"/>
  <c r="E6420" i="10"/>
  <c r="D6420" i="10"/>
  <c r="E6419" i="10"/>
  <c r="D6419" i="10"/>
  <c r="E6418" i="10"/>
  <c r="D6418" i="10"/>
  <c r="E6417" i="10"/>
  <c r="D6417" i="10"/>
  <c r="E6416" i="10"/>
  <c r="D6416" i="10"/>
  <c r="E6415" i="10"/>
  <c r="D6415" i="10"/>
  <c r="E6414" i="10"/>
  <c r="D6414" i="10"/>
  <c r="E6413" i="10"/>
  <c r="D6413" i="10"/>
  <c r="E6412" i="10"/>
  <c r="D6412" i="10"/>
  <c r="E6411" i="10"/>
  <c r="D6411" i="10"/>
  <c r="E6410" i="10"/>
  <c r="D6410" i="10"/>
  <c r="E6409" i="10"/>
  <c r="D6409" i="10"/>
  <c r="E6408" i="10"/>
  <c r="D6408" i="10"/>
  <c r="E6407" i="10"/>
  <c r="D6407" i="10"/>
  <c r="E6406" i="10"/>
  <c r="D6406" i="10"/>
  <c r="E6405" i="10"/>
  <c r="D6405" i="10"/>
  <c r="E6404" i="10"/>
  <c r="D6404" i="10"/>
  <c r="E6403" i="10"/>
  <c r="D6403" i="10"/>
  <c r="E6402" i="10"/>
  <c r="D6402" i="10"/>
  <c r="E6401" i="10"/>
  <c r="D6401" i="10"/>
  <c r="E6400" i="10"/>
  <c r="D6400" i="10"/>
  <c r="E6399" i="10"/>
  <c r="D6399" i="10"/>
  <c r="E6398" i="10"/>
  <c r="D6398" i="10"/>
  <c r="E6397" i="10"/>
  <c r="D6397" i="10"/>
  <c r="E6396" i="10"/>
  <c r="D6396" i="10"/>
  <c r="E6395" i="10"/>
  <c r="D6395" i="10"/>
  <c r="E6394" i="10"/>
  <c r="D6394" i="10"/>
  <c r="E6393" i="10"/>
  <c r="D6393" i="10"/>
  <c r="E6392" i="10"/>
  <c r="D6392" i="10"/>
  <c r="E6391" i="10"/>
  <c r="D6391" i="10"/>
  <c r="E6390" i="10"/>
  <c r="D6390" i="10"/>
  <c r="E6389" i="10"/>
  <c r="D6389" i="10"/>
  <c r="E6388" i="10"/>
  <c r="D6388" i="10"/>
  <c r="E6387" i="10"/>
  <c r="D6387" i="10"/>
  <c r="E6386" i="10"/>
  <c r="D6386" i="10"/>
  <c r="E6385" i="10"/>
  <c r="D6385" i="10"/>
  <c r="E6384" i="10"/>
  <c r="D6384" i="10"/>
  <c r="E6383" i="10"/>
  <c r="D6383" i="10"/>
  <c r="E6382" i="10"/>
  <c r="D6382" i="10"/>
  <c r="E6381" i="10"/>
  <c r="D6381" i="10"/>
  <c r="E6380" i="10"/>
  <c r="D6380" i="10"/>
  <c r="E6379" i="10"/>
  <c r="D6379" i="10"/>
  <c r="E6378" i="10"/>
  <c r="D6378" i="10"/>
  <c r="E6377" i="10"/>
  <c r="D6377" i="10"/>
  <c r="E6376" i="10"/>
  <c r="D6376" i="10"/>
  <c r="E6375" i="10"/>
  <c r="D6375" i="10"/>
  <c r="E6374" i="10"/>
  <c r="D6374" i="10"/>
  <c r="E6373" i="10"/>
  <c r="D6373" i="10"/>
  <c r="E6372" i="10"/>
  <c r="D6372" i="10"/>
  <c r="E6371" i="10"/>
  <c r="D6371" i="10"/>
  <c r="E6370" i="10"/>
  <c r="D6370" i="10"/>
  <c r="E6369" i="10"/>
  <c r="D6369" i="10"/>
  <c r="E6368" i="10"/>
  <c r="D6368" i="10"/>
  <c r="E6367" i="10"/>
  <c r="D6367" i="10"/>
  <c r="E6366" i="10"/>
  <c r="D6366" i="10"/>
  <c r="E6365" i="10"/>
  <c r="D6365" i="10"/>
  <c r="E6364" i="10"/>
  <c r="D6364" i="10"/>
  <c r="E6363" i="10"/>
  <c r="D6363" i="10"/>
  <c r="E6362" i="10"/>
  <c r="D6362" i="10"/>
  <c r="E6361" i="10"/>
  <c r="D6361" i="10"/>
  <c r="E6360" i="10"/>
  <c r="D6360" i="10"/>
  <c r="E6359" i="10"/>
  <c r="D6359" i="10"/>
  <c r="E6358" i="10"/>
  <c r="D6358" i="10"/>
  <c r="E6357" i="10"/>
  <c r="D6357" i="10"/>
  <c r="E6356" i="10"/>
  <c r="D6356" i="10"/>
  <c r="E6355" i="10"/>
  <c r="D6355" i="10"/>
  <c r="E6354" i="10"/>
  <c r="D6354" i="10"/>
  <c r="E6353" i="10"/>
  <c r="D6353" i="10"/>
  <c r="E6352" i="10"/>
  <c r="D6352" i="10"/>
  <c r="E6351" i="10"/>
  <c r="D6351" i="10"/>
  <c r="E6350" i="10"/>
  <c r="D6350" i="10"/>
  <c r="E6349" i="10"/>
  <c r="D6349" i="10"/>
  <c r="E6348" i="10"/>
  <c r="D6348" i="10"/>
  <c r="E6347" i="10"/>
  <c r="D6347" i="10"/>
  <c r="E6346" i="10"/>
  <c r="D6346" i="10"/>
  <c r="E6345" i="10"/>
  <c r="D6345" i="10"/>
  <c r="E6344" i="10"/>
  <c r="D6344" i="10"/>
  <c r="E6343" i="10"/>
  <c r="D6343" i="10"/>
  <c r="E6342" i="10"/>
  <c r="D6342" i="10"/>
  <c r="E6341" i="10"/>
  <c r="D6341" i="10"/>
  <c r="E6340" i="10"/>
  <c r="D6340" i="10"/>
  <c r="E6339" i="10"/>
  <c r="D6339" i="10"/>
  <c r="E6338" i="10"/>
  <c r="D6338" i="10"/>
  <c r="E6337" i="10"/>
  <c r="D6337" i="10"/>
  <c r="E6336" i="10"/>
  <c r="D6336" i="10"/>
  <c r="E6335" i="10"/>
  <c r="D6335" i="10"/>
  <c r="E6334" i="10"/>
  <c r="D6334" i="10"/>
  <c r="E6333" i="10"/>
  <c r="D6333" i="10"/>
  <c r="E6332" i="10"/>
  <c r="D6332" i="10"/>
  <c r="E6331" i="10"/>
  <c r="D6331" i="10"/>
  <c r="E6330" i="10"/>
  <c r="D6330" i="10"/>
  <c r="E6329" i="10"/>
  <c r="D6329" i="10"/>
  <c r="E6328" i="10"/>
  <c r="D6328" i="10"/>
  <c r="E6327" i="10"/>
  <c r="D6327" i="10"/>
  <c r="E6326" i="10"/>
  <c r="D6326" i="10"/>
  <c r="E6325" i="10"/>
  <c r="D6325" i="10"/>
  <c r="E6324" i="10"/>
  <c r="D6324" i="10"/>
  <c r="E6323" i="10"/>
  <c r="D6323" i="10"/>
  <c r="E6322" i="10"/>
  <c r="D6322" i="10"/>
  <c r="E6321" i="10"/>
  <c r="D6321" i="10"/>
  <c r="E6320" i="10"/>
  <c r="D6320" i="10"/>
  <c r="E6319" i="10"/>
  <c r="D6319" i="10"/>
  <c r="E6318" i="10"/>
  <c r="D6318" i="10"/>
  <c r="E6317" i="10"/>
  <c r="D6317" i="10"/>
  <c r="E6316" i="10"/>
  <c r="D6316" i="10"/>
  <c r="E6315" i="10"/>
  <c r="D6315" i="10"/>
  <c r="E6314" i="10"/>
  <c r="D6314" i="10"/>
  <c r="E6313" i="10"/>
  <c r="D6313" i="10"/>
  <c r="E6312" i="10"/>
  <c r="D6312" i="10"/>
  <c r="E6311" i="10"/>
  <c r="D6311" i="10"/>
  <c r="E6310" i="10"/>
  <c r="D6310" i="10"/>
  <c r="E6309" i="10"/>
  <c r="D6309" i="10"/>
  <c r="E6308" i="10"/>
  <c r="D6308" i="10"/>
  <c r="E6307" i="10"/>
  <c r="D6307" i="10"/>
  <c r="E6306" i="10"/>
  <c r="D6306" i="10"/>
  <c r="E6305" i="10"/>
  <c r="D6305" i="10"/>
  <c r="E6304" i="10"/>
  <c r="D6304" i="10"/>
  <c r="E6303" i="10"/>
  <c r="D6303" i="10"/>
  <c r="E6302" i="10"/>
  <c r="D6302" i="10"/>
  <c r="E6301" i="10"/>
  <c r="D6301" i="10"/>
  <c r="E6300" i="10"/>
  <c r="D6300" i="10"/>
  <c r="E6299" i="10"/>
  <c r="D6299" i="10"/>
  <c r="E6298" i="10"/>
  <c r="D6298" i="10"/>
  <c r="E6297" i="10"/>
  <c r="D6297" i="10"/>
  <c r="E6296" i="10"/>
  <c r="D6296" i="10"/>
  <c r="E6295" i="10"/>
  <c r="D6295" i="10"/>
  <c r="E6294" i="10"/>
  <c r="D6294" i="10"/>
  <c r="E6293" i="10"/>
  <c r="D6293" i="10"/>
  <c r="E6292" i="10"/>
  <c r="D6292" i="10"/>
  <c r="E6291" i="10"/>
  <c r="D6291" i="10"/>
  <c r="E6290" i="10"/>
  <c r="D6290" i="10"/>
  <c r="E6289" i="10"/>
  <c r="D6289" i="10"/>
  <c r="E6288" i="10"/>
  <c r="D6288" i="10"/>
  <c r="E6287" i="10"/>
  <c r="D6287" i="10"/>
  <c r="E6286" i="10"/>
  <c r="D6286" i="10"/>
  <c r="E6285" i="10"/>
  <c r="D6285" i="10"/>
  <c r="E6284" i="10"/>
  <c r="D6284" i="10"/>
  <c r="E6283" i="10"/>
  <c r="D6283" i="10"/>
  <c r="E6282" i="10"/>
  <c r="D6282" i="10"/>
  <c r="E6281" i="10"/>
  <c r="D6281" i="10"/>
  <c r="E6280" i="10"/>
  <c r="D6280" i="10"/>
  <c r="E6279" i="10"/>
  <c r="D6279" i="10"/>
  <c r="E6278" i="10"/>
  <c r="D6278" i="10"/>
  <c r="E6277" i="10"/>
  <c r="D6277" i="10"/>
  <c r="E6276" i="10"/>
  <c r="D6276" i="10"/>
  <c r="E6275" i="10"/>
  <c r="D6275" i="10"/>
  <c r="E6274" i="10"/>
  <c r="D6274" i="10"/>
  <c r="E6273" i="10"/>
  <c r="D6273" i="10"/>
  <c r="E6272" i="10"/>
  <c r="D6272" i="10"/>
  <c r="E6271" i="10"/>
  <c r="D6271" i="10"/>
  <c r="E6270" i="10"/>
  <c r="D6270" i="10"/>
  <c r="E6269" i="10"/>
  <c r="D6269" i="10"/>
  <c r="E6268" i="10"/>
  <c r="D6268" i="10"/>
  <c r="E6267" i="10"/>
  <c r="D6267" i="10"/>
  <c r="E6266" i="10"/>
  <c r="D6266" i="10"/>
  <c r="E6265" i="10"/>
  <c r="D6265" i="10"/>
  <c r="E6264" i="10"/>
  <c r="D6264" i="10"/>
  <c r="E6263" i="10"/>
  <c r="D6263" i="10"/>
  <c r="E6262" i="10"/>
  <c r="D6262" i="10"/>
  <c r="E6261" i="10"/>
  <c r="D6261" i="10"/>
  <c r="E6260" i="10"/>
  <c r="D6260" i="10"/>
  <c r="E6259" i="10"/>
  <c r="D6259" i="10"/>
  <c r="E6258" i="10"/>
  <c r="D6258" i="10"/>
  <c r="E6257" i="10"/>
  <c r="D6257" i="10"/>
  <c r="E6256" i="10"/>
  <c r="D6256" i="10"/>
  <c r="E6255" i="10"/>
  <c r="D6255" i="10"/>
  <c r="E6254" i="10"/>
  <c r="D6254" i="10"/>
  <c r="E6253" i="10"/>
  <c r="D6253" i="10"/>
  <c r="E6252" i="10"/>
  <c r="D6252" i="10"/>
  <c r="E6251" i="10"/>
  <c r="D6251" i="10"/>
  <c r="E6250" i="10"/>
  <c r="D6250" i="10"/>
  <c r="E6249" i="10"/>
  <c r="D6249" i="10"/>
  <c r="E6248" i="10"/>
  <c r="D6248" i="10"/>
  <c r="E6247" i="10"/>
  <c r="D6247" i="10"/>
  <c r="E6246" i="10"/>
  <c r="D6246" i="10"/>
  <c r="E6245" i="10"/>
  <c r="D6245" i="10"/>
  <c r="E6244" i="10"/>
  <c r="D6244" i="10"/>
  <c r="E6243" i="10"/>
  <c r="D6243" i="10"/>
  <c r="E6242" i="10"/>
  <c r="D6242" i="10"/>
  <c r="E6241" i="10"/>
  <c r="D6241" i="10"/>
  <c r="E6240" i="10"/>
  <c r="D6240" i="10"/>
  <c r="E6239" i="10"/>
  <c r="D6239" i="10"/>
  <c r="E6238" i="10"/>
  <c r="D6238" i="10"/>
  <c r="E6237" i="10"/>
  <c r="D6237" i="10"/>
  <c r="E6236" i="10"/>
  <c r="D6236" i="10"/>
  <c r="E6235" i="10"/>
  <c r="D6235" i="10"/>
  <c r="E6234" i="10"/>
  <c r="D6234" i="10"/>
  <c r="E6233" i="10"/>
  <c r="D6233" i="10"/>
  <c r="E6232" i="10"/>
  <c r="D6232" i="10"/>
  <c r="E6231" i="10"/>
  <c r="D6231" i="10"/>
  <c r="E6230" i="10"/>
  <c r="D6230" i="10"/>
  <c r="E6229" i="10"/>
  <c r="D6229" i="10"/>
  <c r="E6228" i="10"/>
  <c r="D6228" i="10"/>
  <c r="E6227" i="10"/>
  <c r="D6227" i="10"/>
  <c r="E6226" i="10"/>
  <c r="D6226" i="10"/>
  <c r="E6225" i="10"/>
  <c r="D6225" i="10"/>
  <c r="E6224" i="10"/>
  <c r="D6224" i="10"/>
  <c r="E6223" i="10"/>
  <c r="D6223" i="10"/>
  <c r="E6222" i="10"/>
  <c r="D6222" i="10"/>
  <c r="E6221" i="10"/>
  <c r="D6221" i="10"/>
  <c r="E6220" i="10"/>
  <c r="D6220" i="10"/>
  <c r="E6219" i="10"/>
  <c r="D6219" i="10"/>
  <c r="E6218" i="10"/>
  <c r="D6218" i="10"/>
  <c r="E6217" i="10"/>
  <c r="D6217" i="10"/>
  <c r="E6216" i="10"/>
  <c r="D6216" i="10"/>
  <c r="E6215" i="10"/>
  <c r="D6215" i="10"/>
  <c r="E6214" i="10"/>
  <c r="D6214" i="10"/>
  <c r="E6213" i="10"/>
  <c r="D6213" i="10"/>
  <c r="E6212" i="10"/>
  <c r="D6212" i="10"/>
  <c r="E6211" i="10"/>
  <c r="D6211" i="10"/>
  <c r="E6210" i="10"/>
  <c r="D6210" i="10"/>
  <c r="E6209" i="10"/>
  <c r="D6209" i="10"/>
  <c r="E6208" i="10"/>
  <c r="D6208" i="10"/>
  <c r="E6207" i="10"/>
  <c r="D6207" i="10"/>
  <c r="E6206" i="10"/>
  <c r="D6206" i="10"/>
  <c r="E6205" i="10"/>
  <c r="D6205" i="10"/>
  <c r="E6204" i="10"/>
  <c r="D6204" i="10"/>
  <c r="E6203" i="10"/>
  <c r="D6203" i="10"/>
  <c r="E6202" i="10"/>
  <c r="D6202" i="10"/>
  <c r="E6201" i="10"/>
  <c r="D6201" i="10"/>
  <c r="E6200" i="10"/>
  <c r="D6200" i="10"/>
  <c r="E6199" i="10"/>
  <c r="D6199" i="10"/>
  <c r="E6198" i="10"/>
  <c r="D6198" i="10"/>
  <c r="E6197" i="10"/>
  <c r="D6197" i="10"/>
  <c r="E6196" i="10"/>
  <c r="D6196" i="10"/>
  <c r="E6195" i="10"/>
  <c r="D6195" i="10"/>
  <c r="E6194" i="10"/>
  <c r="D6194" i="10"/>
  <c r="E6193" i="10"/>
  <c r="D6193" i="10"/>
  <c r="E6192" i="10"/>
  <c r="D6192" i="10"/>
  <c r="E6191" i="10"/>
  <c r="D6191" i="10"/>
  <c r="E6190" i="10"/>
  <c r="D6190" i="10"/>
  <c r="E6189" i="10"/>
  <c r="D6189" i="10"/>
  <c r="E6188" i="10"/>
  <c r="D6188" i="10"/>
  <c r="E6187" i="10"/>
  <c r="D6187" i="10"/>
  <c r="E6186" i="10"/>
  <c r="D6186" i="10"/>
  <c r="E6185" i="10"/>
  <c r="D6185" i="10"/>
  <c r="E6184" i="10"/>
  <c r="D6184" i="10"/>
  <c r="E6183" i="10"/>
  <c r="D6183" i="10"/>
  <c r="E6182" i="10"/>
  <c r="D6182" i="10"/>
  <c r="E6181" i="10"/>
  <c r="D6181" i="10"/>
  <c r="E6180" i="10"/>
  <c r="D6180" i="10"/>
  <c r="E6179" i="10"/>
  <c r="D6179" i="10"/>
  <c r="E6178" i="10"/>
  <c r="D6178" i="10"/>
  <c r="E6177" i="10"/>
  <c r="D6177" i="10"/>
  <c r="E6176" i="10"/>
  <c r="D6176" i="10"/>
  <c r="E6175" i="10"/>
  <c r="D6175" i="10"/>
  <c r="E6174" i="10"/>
  <c r="D6174" i="10"/>
  <c r="E6173" i="10"/>
  <c r="D6173" i="10"/>
  <c r="E6172" i="10"/>
  <c r="D6172" i="10"/>
  <c r="E6171" i="10"/>
  <c r="D6171" i="10"/>
  <c r="E6170" i="10"/>
  <c r="D6170" i="10"/>
  <c r="E6169" i="10"/>
  <c r="D6169" i="10"/>
  <c r="E6168" i="10"/>
  <c r="D6168" i="10"/>
  <c r="E6167" i="10"/>
  <c r="D6167" i="10"/>
  <c r="E6166" i="10"/>
  <c r="D6166" i="10"/>
  <c r="E6165" i="10"/>
  <c r="D6165" i="10"/>
  <c r="E6164" i="10"/>
  <c r="D6164" i="10"/>
  <c r="E6163" i="10"/>
  <c r="D6163" i="10"/>
  <c r="E6162" i="10"/>
  <c r="D6162" i="10"/>
  <c r="E6161" i="10"/>
  <c r="D6161" i="10"/>
  <c r="E6160" i="10"/>
  <c r="D6160" i="10"/>
  <c r="E6159" i="10"/>
  <c r="D6159" i="10"/>
  <c r="E6158" i="10"/>
  <c r="D6158" i="10"/>
  <c r="E6157" i="10"/>
  <c r="D6157" i="10"/>
  <c r="E6156" i="10"/>
  <c r="D6156" i="10"/>
  <c r="E6155" i="10"/>
  <c r="D6155" i="10"/>
  <c r="E6154" i="10"/>
  <c r="D6154" i="10"/>
  <c r="E6153" i="10"/>
  <c r="D6153" i="10"/>
  <c r="E6152" i="10"/>
  <c r="D6152" i="10"/>
  <c r="E6151" i="10"/>
  <c r="D6151" i="10"/>
  <c r="E6150" i="10"/>
  <c r="D6150" i="10"/>
  <c r="E6149" i="10"/>
  <c r="D6149" i="10"/>
  <c r="E6148" i="10"/>
  <c r="D6148" i="10"/>
  <c r="E6147" i="10"/>
  <c r="D6147" i="10"/>
  <c r="E6146" i="10"/>
  <c r="D6146" i="10"/>
  <c r="E6145" i="10"/>
  <c r="D6145" i="10"/>
  <c r="E6144" i="10"/>
  <c r="D6144" i="10"/>
  <c r="E6143" i="10"/>
  <c r="D6143" i="10"/>
  <c r="E6142" i="10"/>
  <c r="D6142" i="10"/>
  <c r="E6141" i="10"/>
  <c r="D6141" i="10"/>
  <c r="E6140" i="10"/>
  <c r="D6140" i="10"/>
  <c r="E6139" i="10"/>
  <c r="D6139" i="10"/>
  <c r="E6138" i="10"/>
  <c r="D6138" i="10"/>
  <c r="E6137" i="10"/>
  <c r="D6137" i="10"/>
  <c r="E6136" i="10"/>
  <c r="D6136" i="10"/>
  <c r="E6135" i="10"/>
  <c r="D6135" i="10"/>
  <c r="E6134" i="10"/>
  <c r="D6134" i="10"/>
  <c r="E6133" i="10"/>
  <c r="D6133" i="10"/>
  <c r="E6132" i="10"/>
  <c r="D6132" i="10"/>
  <c r="E6131" i="10"/>
  <c r="D6131" i="10"/>
  <c r="E6130" i="10"/>
  <c r="D6130" i="10"/>
  <c r="E6129" i="10"/>
  <c r="D6129" i="10"/>
  <c r="E6128" i="10"/>
  <c r="D6128" i="10"/>
  <c r="E6127" i="10"/>
  <c r="D6127" i="10"/>
  <c r="E6126" i="10"/>
  <c r="D6126" i="10"/>
  <c r="E6125" i="10"/>
  <c r="D6125" i="10"/>
  <c r="E6124" i="10"/>
  <c r="D6124" i="10"/>
  <c r="E6123" i="10"/>
  <c r="D6123" i="10"/>
  <c r="E6122" i="10"/>
  <c r="D6122" i="10"/>
  <c r="E6121" i="10"/>
  <c r="D6121" i="10"/>
  <c r="E6120" i="10"/>
  <c r="D6120" i="10"/>
  <c r="E6119" i="10"/>
  <c r="D6119" i="10"/>
  <c r="E6118" i="10"/>
  <c r="D6118" i="10"/>
  <c r="E6117" i="10"/>
  <c r="D6117" i="10"/>
  <c r="E6116" i="10"/>
  <c r="D6116" i="10"/>
  <c r="E6115" i="10"/>
  <c r="D6115" i="10"/>
  <c r="E6114" i="10"/>
  <c r="D6114" i="10"/>
  <c r="E6113" i="10"/>
  <c r="D6113" i="10"/>
  <c r="E6112" i="10"/>
  <c r="D6112" i="10"/>
  <c r="E6111" i="10"/>
  <c r="D6111" i="10"/>
  <c r="E6110" i="10"/>
  <c r="D6110" i="10"/>
  <c r="E6109" i="10"/>
  <c r="D6109" i="10"/>
  <c r="E6108" i="10"/>
  <c r="D6108" i="10"/>
  <c r="E6107" i="10"/>
  <c r="D6107" i="10"/>
  <c r="E6106" i="10"/>
  <c r="D6106" i="10"/>
  <c r="E6105" i="10"/>
  <c r="D6105" i="10"/>
  <c r="E6104" i="10"/>
  <c r="D6104" i="10"/>
  <c r="E6103" i="10"/>
  <c r="D6103" i="10"/>
  <c r="E6102" i="10"/>
  <c r="D6102" i="10"/>
  <c r="E6101" i="10"/>
  <c r="D6101" i="10"/>
  <c r="E6100" i="10"/>
  <c r="D6100" i="10"/>
  <c r="E6099" i="10"/>
  <c r="D6099" i="10"/>
  <c r="E6098" i="10"/>
  <c r="D6098" i="10"/>
  <c r="E6097" i="10"/>
  <c r="D6097" i="10"/>
  <c r="E6096" i="10"/>
  <c r="D6096" i="10"/>
  <c r="E6095" i="10"/>
  <c r="D6095" i="10"/>
  <c r="E6094" i="10"/>
  <c r="D6094" i="10"/>
  <c r="E6093" i="10"/>
  <c r="D6093" i="10"/>
  <c r="E6092" i="10"/>
  <c r="D6092" i="10"/>
  <c r="E6091" i="10"/>
  <c r="D6091" i="10"/>
  <c r="E6090" i="10"/>
  <c r="D6090" i="10"/>
  <c r="E6089" i="10"/>
  <c r="D6089" i="10"/>
  <c r="E6088" i="10"/>
  <c r="D6088" i="10"/>
  <c r="E6087" i="10"/>
  <c r="D6087" i="10"/>
  <c r="E6086" i="10"/>
  <c r="D6086" i="10"/>
  <c r="E6085" i="10"/>
  <c r="D6085" i="10"/>
  <c r="E6084" i="10"/>
  <c r="D6084" i="10"/>
  <c r="E6083" i="10"/>
  <c r="D6083" i="10"/>
  <c r="E6082" i="10"/>
  <c r="D6082" i="10"/>
  <c r="E6081" i="10"/>
  <c r="D6081" i="10"/>
  <c r="E6080" i="10"/>
  <c r="D6080" i="10"/>
  <c r="E6079" i="10"/>
  <c r="D6079" i="10"/>
  <c r="E6078" i="10"/>
  <c r="D6078" i="10"/>
  <c r="E6077" i="10"/>
  <c r="D6077" i="10"/>
  <c r="E6076" i="10"/>
  <c r="D6076" i="10"/>
  <c r="E6075" i="10"/>
  <c r="D6075" i="10"/>
  <c r="E6074" i="10"/>
  <c r="D6074" i="10"/>
  <c r="E6073" i="10"/>
  <c r="D6073" i="10"/>
  <c r="E6072" i="10"/>
  <c r="D6072" i="10"/>
  <c r="E6071" i="10"/>
  <c r="D6071" i="10"/>
  <c r="E6070" i="10"/>
  <c r="D6070" i="10"/>
  <c r="E6069" i="10"/>
  <c r="D6069" i="10"/>
  <c r="E6068" i="10"/>
  <c r="D6068" i="10"/>
  <c r="E6067" i="10"/>
  <c r="D6067" i="10"/>
  <c r="E6066" i="10"/>
  <c r="D6066" i="10"/>
  <c r="E6065" i="10"/>
  <c r="D6065" i="10"/>
  <c r="E6064" i="10"/>
  <c r="D6064" i="10"/>
  <c r="E6063" i="10"/>
  <c r="D6063" i="10"/>
  <c r="E6062" i="10"/>
  <c r="D6062" i="10"/>
  <c r="E6061" i="10"/>
  <c r="D6061" i="10"/>
  <c r="E6060" i="10"/>
  <c r="D6060" i="10"/>
  <c r="E6059" i="10"/>
  <c r="D6059" i="10"/>
  <c r="E6058" i="10"/>
  <c r="D6058" i="10"/>
  <c r="E6057" i="10"/>
  <c r="D6057" i="10"/>
  <c r="E6056" i="10"/>
  <c r="D6056" i="10"/>
  <c r="E6055" i="10"/>
  <c r="D6055" i="10"/>
  <c r="E6054" i="10"/>
  <c r="D6054" i="10"/>
  <c r="E6053" i="10"/>
  <c r="D6053" i="10"/>
  <c r="E6052" i="10"/>
  <c r="D6052" i="10"/>
  <c r="E6051" i="10"/>
  <c r="D6051" i="10"/>
  <c r="E6050" i="10"/>
  <c r="D6050" i="10"/>
  <c r="E6049" i="10"/>
  <c r="D6049" i="10"/>
  <c r="E6048" i="10"/>
  <c r="D6048" i="10"/>
  <c r="E6047" i="10"/>
  <c r="D6047" i="10"/>
  <c r="E6046" i="10"/>
  <c r="D6046" i="10"/>
  <c r="E6045" i="10"/>
  <c r="D6045" i="10"/>
  <c r="E6044" i="10"/>
  <c r="D6044" i="10"/>
  <c r="E6043" i="10"/>
  <c r="D6043" i="10"/>
  <c r="E6042" i="10"/>
  <c r="D6042" i="10"/>
  <c r="E6041" i="10"/>
  <c r="D6041" i="10"/>
  <c r="E6040" i="10"/>
  <c r="D6040" i="10"/>
  <c r="E6039" i="10"/>
  <c r="D6039" i="10"/>
  <c r="E6038" i="10"/>
  <c r="D6038" i="10"/>
  <c r="E6037" i="10"/>
  <c r="D6037" i="10"/>
  <c r="E6036" i="10"/>
  <c r="D6036" i="10"/>
  <c r="E6035" i="10"/>
  <c r="D6035" i="10"/>
  <c r="E6034" i="10"/>
  <c r="D6034" i="10"/>
  <c r="E6033" i="10"/>
  <c r="D6033" i="10"/>
  <c r="E6032" i="10"/>
  <c r="D6032" i="10"/>
  <c r="E6031" i="10"/>
  <c r="D6031" i="10"/>
  <c r="E6030" i="10"/>
  <c r="D6030" i="10"/>
  <c r="E6029" i="10"/>
  <c r="D6029" i="10"/>
  <c r="E6028" i="10"/>
  <c r="D6028" i="10"/>
  <c r="E6027" i="10"/>
  <c r="D6027" i="10"/>
  <c r="E6026" i="10"/>
  <c r="D6026" i="10"/>
  <c r="E6025" i="10"/>
  <c r="D6025" i="10"/>
  <c r="E6024" i="10"/>
  <c r="D6024" i="10"/>
  <c r="E6023" i="10"/>
  <c r="D6023" i="10"/>
  <c r="E6022" i="10"/>
  <c r="D6022" i="10"/>
  <c r="E6021" i="10"/>
  <c r="D6021" i="10"/>
  <c r="E6020" i="10"/>
  <c r="D6020" i="10"/>
  <c r="E6019" i="10"/>
  <c r="D6019" i="10"/>
  <c r="E6018" i="10"/>
  <c r="D6018" i="10"/>
  <c r="E6017" i="10"/>
  <c r="D6017" i="10"/>
  <c r="E6016" i="10"/>
  <c r="D6016" i="10"/>
  <c r="E6015" i="10"/>
  <c r="D6015" i="10"/>
  <c r="E6014" i="10"/>
  <c r="D6014" i="10"/>
  <c r="E6013" i="10"/>
  <c r="D6013" i="10"/>
  <c r="E6012" i="10"/>
  <c r="D6012" i="10"/>
  <c r="E6011" i="10"/>
  <c r="D6011" i="10"/>
  <c r="E6010" i="10"/>
  <c r="D6010" i="10"/>
  <c r="E6009" i="10"/>
  <c r="D6009" i="10"/>
  <c r="E6008" i="10"/>
  <c r="D6008" i="10"/>
  <c r="E6007" i="10"/>
  <c r="D6007" i="10"/>
  <c r="E6006" i="10"/>
  <c r="D6006" i="10"/>
  <c r="E6005" i="10"/>
  <c r="D6005" i="10"/>
  <c r="E6004" i="10"/>
  <c r="D6004" i="10"/>
  <c r="E6003" i="10"/>
  <c r="D6003" i="10"/>
  <c r="E6002" i="10"/>
  <c r="D6002" i="10"/>
  <c r="E6001" i="10"/>
  <c r="D6001" i="10"/>
  <c r="E6000" i="10"/>
  <c r="D6000" i="10"/>
  <c r="E5999" i="10"/>
  <c r="D5999" i="10"/>
  <c r="E5998" i="10"/>
  <c r="D5998" i="10"/>
  <c r="E5997" i="10"/>
  <c r="D5997" i="10"/>
  <c r="E5996" i="10"/>
  <c r="D5996" i="10"/>
  <c r="E5995" i="10"/>
  <c r="D5995" i="10"/>
  <c r="E5994" i="10"/>
  <c r="D5994" i="10"/>
  <c r="E5993" i="10"/>
  <c r="D5993" i="10"/>
  <c r="E5992" i="10"/>
  <c r="D5992" i="10"/>
  <c r="E5991" i="10"/>
  <c r="D5991" i="10"/>
  <c r="E5990" i="10"/>
  <c r="D5990" i="10"/>
  <c r="E5989" i="10"/>
  <c r="D5989" i="10"/>
  <c r="E5988" i="10"/>
  <c r="D5988" i="10"/>
  <c r="E5987" i="10"/>
  <c r="D5987" i="10"/>
  <c r="E5986" i="10"/>
  <c r="D5986" i="10"/>
  <c r="E5985" i="10"/>
  <c r="D5985" i="10"/>
  <c r="E5984" i="10"/>
  <c r="D5984" i="10"/>
  <c r="E5983" i="10"/>
  <c r="D5983" i="10"/>
  <c r="E5982" i="10"/>
  <c r="D5982" i="10"/>
  <c r="E5981" i="10"/>
  <c r="D5981" i="10"/>
  <c r="E5980" i="10"/>
  <c r="D5980" i="10"/>
  <c r="E5979" i="10"/>
  <c r="D5979" i="10"/>
  <c r="E5978" i="10"/>
  <c r="D5978" i="10"/>
  <c r="E5977" i="10"/>
  <c r="D5977" i="10"/>
  <c r="E5976" i="10"/>
  <c r="D5976" i="10"/>
  <c r="E5975" i="10"/>
  <c r="D5975" i="10"/>
  <c r="E5974" i="10"/>
  <c r="D5974" i="10"/>
  <c r="E5973" i="10"/>
  <c r="D5973" i="10"/>
  <c r="E5972" i="10"/>
  <c r="D5972" i="10"/>
  <c r="E5971" i="10"/>
  <c r="D5971" i="10"/>
  <c r="E5970" i="10"/>
  <c r="D5970" i="10"/>
  <c r="E5969" i="10"/>
  <c r="D5969" i="10"/>
  <c r="E5968" i="10"/>
  <c r="D5968" i="10"/>
  <c r="E5967" i="10"/>
  <c r="D5967" i="10"/>
  <c r="E5966" i="10"/>
  <c r="D5966" i="10"/>
  <c r="E5965" i="10"/>
  <c r="D5965" i="10"/>
  <c r="E5964" i="10"/>
  <c r="D5964" i="10"/>
  <c r="E5963" i="10"/>
  <c r="D5963" i="10"/>
  <c r="E5962" i="10"/>
  <c r="D5962" i="10"/>
  <c r="E5961" i="10"/>
  <c r="D5961" i="10"/>
  <c r="E5960" i="10"/>
  <c r="D5960" i="10"/>
  <c r="E5959" i="10"/>
  <c r="D5959" i="10"/>
  <c r="E5958" i="10"/>
  <c r="D5958" i="10"/>
  <c r="E5957" i="10"/>
  <c r="D5957" i="10"/>
  <c r="E5956" i="10"/>
  <c r="D5956" i="10"/>
  <c r="E5955" i="10"/>
  <c r="D5955" i="10"/>
  <c r="E5954" i="10"/>
  <c r="D5954" i="10"/>
  <c r="E5953" i="10"/>
  <c r="D5953" i="10"/>
  <c r="E5952" i="10"/>
  <c r="D5952" i="10"/>
  <c r="E5951" i="10"/>
  <c r="D5951" i="10"/>
  <c r="E5950" i="10"/>
  <c r="D5950" i="10"/>
  <c r="E5949" i="10"/>
  <c r="D5949" i="10"/>
  <c r="E5948" i="10"/>
  <c r="D5948" i="10"/>
  <c r="E5947" i="10"/>
  <c r="D5947" i="10"/>
  <c r="E5946" i="10"/>
  <c r="D5946" i="10"/>
  <c r="E5945" i="10"/>
  <c r="D5945" i="10"/>
  <c r="E5944" i="10"/>
  <c r="D5944" i="10"/>
  <c r="E5943" i="10"/>
  <c r="D5943" i="10"/>
  <c r="E5942" i="10"/>
  <c r="D5942" i="10"/>
  <c r="E5941" i="10"/>
  <c r="D5941" i="10"/>
  <c r="E5940" i="10"/>
  <c r="D5940" i="10"/>
  <c r="E5939" i="10"/>
  <c r="D5939" i="10"/>
  <c r="E5938" i="10"/>
  <c r="D5938" i="10"/>
  <c r="E5937" i="10"/>
  <c r="D5937" i="10"/>
  <c r="E5936" i="10"/>
  <c r="D5936" i="10"/>
  <c r="E5935" i="10"/>
  <c r="D5935" i="10"/>
  <c r="E5934" i="10"/>
  <c r="D5934" i="10"/>
  <c r="E5933" i="10"/>
  <c r="D5933" i="10"/>
  <c r="E5932" i="10"/>
  <c r="D5932" i="10"/>
  <c r="E5931" i="10"/>
  <c r="D5931" i="10"/>
  <c r="E5930" i="10"/>
  <c r="D5930" i="10"/>
  <c r="E5929" i="10"/>
  <c r="D5929" i="10"/>
  <c r="E5928" i="10"/>
  <c r="D5928" i="10"/>
  <c r="E5927" i="10"/>
  <c r="D5927" i="10"/>
  <c r="E5926" i="10"/>
  <c r="D5926" i="10"/>
  <c r="E5925" i="10"/>
  <c r="D5925" i="10"/>
  <c r="E5924" i="10"/>
  <c r="D5924" i="10"/>
  <c r="E5923" i="10"/>
  <c r="D5923" i="10"/>
  <c r="E5922" i="10"/>
  <c r="D5922" i="10"/>
  <c r="E5921" i="10"/>
  <c r="D5921" i="10"/>
  <c r="E5920" i="10"/>
  <c r="D5920" i="10"/>
  <c r="E5919" i="10"/>
  <c r="D5919" i="10"/>
  <c r="E5918" i="10"/>
  <c r="D5918" i="10"/>
  <c r="E5917" i="10"/>
  <c r="D5917" i="10"/>
  <c r="E5916" i="10"/>
  <c r="D5916" i="10"/>
  <c r="E5915" i="10"/>
  <c r="D5915" i="10"/>
  <c r="E5914" i="10"/>
  <c r="D5914" i="10"/>
  <c r="E5913" i="10"/>
  <c r="D5913" i="10"/>
  <c r="E5912" i="10"/>
  <c r="D5912" i="10"/>
  <c r="E5911" i="10"/>
  <c r="D5911" i="10"/>
  <c r="E5910" i="10"/>
  <c r="D5910" i="10"/>
  <c r="E5909" i="10"/>
  <c r="D5909" i="10"/>
  <c r="E5908" i="10"/>
  <c r="D5908" i="10"/>
  <c r="E5907" i="10"/>
  <c r="D5907" i="10"/>
  <c r="E5906" i="10"/>
  <c r="D5906" i="10"/>
  <c r="E5905" i="10"/>
  <c r="D5905" i="10"/>
  <c r="E5904" i="10"/>
  <c r="D5904" i="10"/>
  <c r="E5903" i="10"/>
  <c r="D5903" i="10"/>
  <c r="E5902" i="10"/>
  <c r="D5902" i="10"/>
  <c r="E5901" i="10"/>
  <c r="D5901" i="10"/>
  <c r="E5900" i="10"/>
  <c r="D5900" i="10"/>
  <c r="E5899" i="10"/>
  <c r="D5899" i="10"/>
  <c r="E5898" i="10"/>
  <c r="D5898" i="10"/>
  <c r="E5897" i="10"/>
  <c r="D5897" i="10"/>
  <c r="E5896" i="10"/>
  <c r="D5896" i="10"/>
  <c r="E5895" i="10"/>
  <c r="D5895" i="10"/>
  <c r="E5894" i="10"/>
  <c r="D5894" i="10"/>
  <c r="E5893" i="10"/>
  <c r="D5893" i="10"/>
  <c r="E5892" i="10"/>
  <c r="D5892" i="10"/>
  <c r="E5891" i="10"/>
  <c r="D5891" i="10"/>
  <c r="E5890" i="10"/>
  <c r="D5890" i="10"/>
  <c r="E5889" i="10"/>
  <c r="D5889" i="10"/>
  <c r="E5888" i="10"/>
  <c r="D5888" i="10"/>
  <c r="E5887" i="10"/>
  <c r="D5887" i="10"/>
  <c r="E5886" i="10"/>
  <c r="D5886" i="10"/>
  <c r="E5885" i="10"/>
  <c r="D5885" i="10"/>
  <c r="E5884" i="10"/>
  <c r="D5884" i="10"/>
  <c r="E5883" i="10"/>
  <c r="D5883" i="10"/>
  <c r="E5882" i="10"/>
  <c r="D5882" i="10"/>
  <c r="E5881" i="10"/>
  <c r="D5881" i="10"/>
  <c r="E5880" i="10"/>
  <c r="D5880" i="10"/>
  <c r="E5879" i="10"/>
  <c r="D5879" i="10"/>
  <c r="E5878" i="10"/>
  <c r="D5878" i="10"/>
  <c r="E5877" i="10"/>
  <c r="D5877" i="10"/>
  <c r="E5876" i="10"/>
  <c r="D5876" i="10"/>
  <c r="E5875" i="10"/>
  <c r="D5875" i="10"/>
  <c r="E5874" i="10"/>
  <c r="D5874" i="10"/>
  <c r="E5873" i="10"/>
  <c r="D5873" i="10"/>
  <c r="E5872" i="10"/>
  <c r="D5872" i="10"/>
  <c r="E5871" i="10"/>
  <c r="D5871" i="10"/>
  <c r="E5870" i="10"/>
  <c r="D5870" i="10"/>
  <c r="E5869" i="10"/>
  <c r="D5869" i="10"/>
  <c r="E5868" i="10"/>
  <c r="D5868" i="10"/>
  <c r="E5867" i="10"/>
  <c r="D5867" i="10"/>
  <c r="E5866" i="10"/>
  <c r="D5866" i="10"/>
  <c r="E5865" i="10"/>
  <c r="D5865" i="10"/>
  <c r="E5864" i="10"/>
  <c r="D5864" i="10"/>
  <c r="E5863" i="10"/>
  <c r="D5863" i="10"/>
  <c r="E5862" i="10"/>
  <c r="D5862" i="10"/>
  <c r="E5861" i="10"/>
  <c r="D5861" i="10"/>
  <c r="E5860" i="10"/>
  <c r="D5860" i="10"/>
  <c r="E5859" i="10"/>
  <c r="D5859" i="10"/>
  <c r="E5858" i="10"/>
  <c r="D5858" i="10"/>
  <c r="E5857" i="10"/>
  <c r="D5857" i="10"/>
  <c r="E5856" i="10"/>
  <c r="D5856" i="10"/>
  <c r="E5855" i="10"/>
  <c r="D5855" i="10"/>
  <c r="E5854" i="10"/>
  <c r="D5854" i="10"/>
  <c r="E5853" i="10"/>
  <c r="D5853" i="10"/>
  <c r="E5852" i="10"/>
  <c r="D5852" i="10"/>
  <c r="E5851" i="10"/>
  <c r="D5851" i="10"/>
  <c r="E5850" i="10"/>
  <c r="D5850" i="10"/>
  <c r="E5849" i="10"/>
  <c r="D5849" i="10"/>
  <c r="E5848" i="10"/>
  <c r="D5848" i="10"/>
  <c r="E5847" i="10"/>
  <c r="D5847" i="10"/>
  <c r="E5846" i="10"/>
  <c r="D5846" i="10"/>
  <c r="E5845" i="10"/>
  <c r="D5845" i="10"/>
  <c r="E5844" i="10"/>
  <c r="D5844" i="10"/>
  <c r="E5843" i="10"/>
  <c r="D5843" i="10"/>
  <c r="E5842" i="10"/>
  <c r="D5842" i="10"/>
  <c r="E5841" i="10"/>
  <c r="D5841" i="10"/>
  <c r="E5840" i="10"/>
  <c r="D5840" i="10"/>
  <c r="E5839" i="10"/>
  <c r="D5839" i="10"/>
  <c r="E5838" i="10"/>
  <c r="D5838" i="10"/>
  <c r="E5837" i="10"/>
  <c r="D5837" i="10"/>
  <c r="E5836" i="10"/>
  <c r="D5836" i="10"/>
  <c r="E5835" i="10"/>
  <c r="D5835" i="10"/>
  <c r="E5834" i="10"/>
  <c r="D5834" i="10"/>
  <c r="E5833" i="10"/>
  <c r="D5833" i="10"/>
  <c r="E5832" i="10"/>
  <c r="D5832" i="10"/>
  <c r="E5831" i="10"/>
  <c r="D5831" i="10"/>
  <c r="E5830" i="10"/>
  <c r="D5830" i="10"/>
  <c r="E5829" i="10"/>
  <c r="D5829" i="10"/>
  <c r="E5828" i="10"/>
  <c r="D5828" i="10"/>
  <c r="E5827" i="10"/>
  <c r="D5827" i="10"/>
  <c r="E5826" i="10"/>
  <c r="D5826" i="10"/>
  <c r="E5825" i="10"/>
  <c r="D5825" i="10"/>
  <c r="E5824" i="10"/>
  <c r="D5824" i="10"/>
  <c r="E5823" i="10"/>
  <c r="D5823" i="10"/>
  <c r="E5822" i="10"/>
  <c r="D5822" i="10"/>
  <c r="E5821" i="10"/>
  <c r="D5821" i="10"/>
  <c r="E5820" i="10"/>
  <c r="D5820" i="10"/>
  <c r="E5819" i="10"/>
  <c r="D5819" i="10"/>
  <c r="E5818" i="10"/>
  <c r="D5818" i="10"/>
  <c r="E5817" i="10"/>
  <c r="D5817" i="10"/>
  <c r="E5816" i="10"/>
  <c r="D5816" i="10"/>
  <c r="E5815" i="10"/>
  <c r="D5815" i="10"/>
  <c r="E5814" i="10"/>
  <c r="D5814" i="10"/>
  <c r="E5813" i="10"/>
  <c r="D5813" i="10"/>
  <c r="E5812" i="10"/>
  <c r="D5812" i="10"/>
  <c r="E5811" i="10"/>
  <c r="D5811" i="10"/>
  <c r="E5810" i="10"/>
  <c r="D5810" i="10"/>
  <c r="E5809" i="10"/>
  <c r="D5809" i="10"/>
  <c r="E5808" i="10"/>
  <c r="D5808" i="10"/>
  <c r="E5807" i="10"/>
  <c r="D5807" i="10"/>
  <c r="E5806" i="10"/>
  <c r="D5806" i="10"/>
  <c r="E5805" i="10"/>
  <c r="D5805" i="10"/>
  <c r="E5804" i="10"/>
  <c r="D5804" i="10"/>
  <c r="E5803" i="10"/>
  <c r="D5803" i="10"/>
  <c r="E5802" i="10"/>
  <c r="D5802" i="10"/>
  <c r="E5801" i="10"/>
  <c r="D5801" i="10"/>
  <c r="E5800" i="10"/>
  <c r="D5800" i="10"/>
  <c r="E5799" i="10"/>
  <c r="D5799" i="10"/>
  <c r="E5798" i="10"/>
  <c r="D5798" i="10"/>
  <c r="E5797" i="10"/>
  <c r="D5797" i="10"/>
  <c r="E5796" i="10"/>
  <c r="D5796" i="10"/>
  <c r="E5795" i="10"/>
  <c r="D5795" i="10"/>
  <c r="E5794" i="10"/>
  <c r="D5794" i="10"/>
  <c r="E5793" i="10"/>
  <c r="D5793" i="10"/>
  <c r="E5792" i="10"/>
  <c r="D5792" i="10"/>
  <c r="E5791" i="10"/>
  <c r="D5791" i="10"/>
  <c r="E5790" i="10"/>
  <c r="D5790" i="10"/>
  <c r="E5789" i="10"/>
  <c r="D5789" i="10"/>
  <c r="E5788" i="10"/>
  <c r="D5788" i="10"/>
  <c r="E5787" i="10"/>
  <c r="D5787" i="10"/>
  <c r="E5786" i="10"/>
  <c r="D5786" i="10"/>
  <c r="E5785" i="10"/>
  <c r="D5785" i="10"/>
  <c r="E5784" i="10"/>
  <c r="D5784" i="10"/>
  <c r="E5783" i="10"/>
  <c r="D5783" i="10"/>
  <c r="E5782" i="10"/>
  <c r="D5782" i="10"/>
  <c r="E5781" i="10"/>
  <c r="D5781" i="10"/>
  <c r="E5780" i="10"/>
  <c r="D5780" i="10"/>
  <c r="E5779" i="10"/>
  <c r="D5779" i="10"/>
  <c r="E5778" i="10"/>
  <c r="D5778" i="10"/>
  <c r="E5777" i="10"/>
  <c r="D5777" i="10"/>
  <c r="E5776" i="10"/>
  <c r="D5776" i="10"/>
  <c r="E5775" i="10"/>
  <c r="D5775" i="10"/>
  <c r="E5774" i="10"/>
  <c r="D5774" i="10"/>
  <c r="E5773" i="10"/>
  <c r="D5773" i="10"/>
  <c r="E5772" i="10"/>
  <c r="D5772" i="10"/>
  <c r="E5771" i="10"/>
  <c r="D5771" i="10"/>
  <c r="E5770" i="10"/>
  <c r="D5770" i="10"/>
  <c r="E5769" i="10"/>
  <c r="D5769" i="10"/>
  <c r="E5768" i="10"/>
  <c r="D5768" i="10"/>
  <c r="E5767" i="10"/>
  <c r="D5767" i="10"/>
  <c r="E5766" i="10"/>
  <c r="D5766" i="10"/>
  <c r="E5765" i="10"/>
  <c r="D5765" i="10"/>
  <c r="E5764" i="10"/>
  <c r="D5764" i="10"/>
  <c r="E5763" i="10"/>
  <c r="D5763" i="10"/>
  <c r="E5762" i="10"/>
  <c r="D5762" i="10"/>
  <c r="E5761" i="10"/>
  <c r="D5761" i="10"/>
  <c r="E5760" i="10"/>
  <c r="D5760" i="10"/>
  <c r="E5759" i="10"/>
  <c r="D5759" i="10"/>
  <c r="E5758" i="10"/>
  <c r="D5758" i="10"/>
  <c r="E5757" i="10"/>
  <c r="D5757" i="10"/>
  <c r="E5756" i="10"/>
  <c r="D5756" i="10"/>
  <c r="E5755" i="10"/>
  <c r="D5755" i="10"/>
  <c r="E5754" i="10"/>
  <c r="D5754" i="10"/>
  <c r="E5753" i="10"/>
  <c r="D5753" i="10"/>
  <c r="E5752" i="10"/>
  <c r="D5752" i="10"/>
  <c r="E5751" i="10"/>
  <c r="D5751" i="10"/>
  <c r="E5750" i="10"/>
  <c r="D5750" i="10"/>
  <c r="E5749" i="10"/>
  <c r="D5749" i="10"/>
  <c r="E5748" i="10"/>
  <c r="D5748" i="10"/>
  <c r="E5747" i="10"/>
  <c r="D5747" i="10"/>
  <c r="E5746" i="10"/>
  <c r="D5746" i="10"/>
  <c r="E5745" i="10"/>
  <c r="D5745" i="10"/>
  <c r="E5744" i="10"/>
  <c r="D5744" i="10"/>
  <c r="E5743" i="10"/>
  <c r="D5743" i="10"/>
  <c r="E5742" i="10"/>
  <c r="D5742" i="10"/>
  <c r="E5741" i="10"/>
  <c r="D5741" i="10"/>
  <c r="E5740" i="10"/>
  <c r="D5740" i="10"/>
  <c r="E5739" i="10"/>
  <c r="D5739" i="10"/>
  <c r="E5738" i="10"/>
  <c r="D5738" i="10"/>
  <c r="E5737" i="10"/>
  <c r="D5737" i="10"/>
  <c r="E5736" i="10"/>
  <c r="D5736" i="10"/>
  <c r="E5735" i="10"/>
  <c r="D5735" i="10"/>
  <c r="E5734" i="10"/>
  <c r="D5734" i="10"/>
  <c r="E5733" i="10"/>
  <c r="D5733" i="10"/>
  <c r="E5732" i="10"/>
  <c r="D5732" i="10"/>
  <c r="E5731" i="10"/>
  <c r="D5731" i="10"/>
  <c r="E5730" i="10"/>
  <c r="D5730" i="10"/>
  <c r="E5729" i="10"/>
  <c r="D5729" i="10"/>
  <c r="E5728" i="10"/>
  <c r="D5728" i="10"/>
  <c r="E5727" i="10"/>
  <c r="D5727" i="10"/>
  <c r="E5726" i="10"/>
  <c r="D5726" i="10"/>
  <c r="E5725" i="10"/>
  <c r="D5725" i="10"/>
  <c r="E5724" i="10"/>
  <c r="D5724" i="10"/>
  <c r="E5723" i="10"/>
  <c r="D5723" i="10"/>
  <c r="E5722" i="10"/>
  <c r="D5722" i="10"/>
  <c r="E5721" i="10"/>
  <c r="D5721" i="10"/>
  <c r="E5720" i="10"/>
  <c r="D5720" i="10"/>
  <c r="E5719" i="10"/>
  <c r="D5719" i="10"/>
  <c r="E5718" i="10"/>
  <c r="D5718" i="10"/>
  <c r="E5717" i="10"/>
  <c r="D5717" i="10"/>
  <c r="E5716" i="10"/>
  <c r="D5716" i="10"/>
  <c r="E5715" i="10"/>
  <c r="D5715" i="10"/>
  <c r="E5714" i="10"/>
  <c r="D5714" i="10"/>
  <c r="E5713" i="10"/>
  <c r="D5713" i="10"/>
  <c r="E5712" i="10"/>
  <c r="D5712" i="10"/>
  <c r="E5711" i="10"/>
  <c r="D5711" i="10"/>
  <c r="E5710" i="10"/>
  <c r="D5710" i="10"/>
  <c r="E5709" i="10"/>
  <c r="D5709" i="10"/>
  <c r="E5708" i="10"/>
  <c r="D5708" i="10"/>
  <c r="E5707" i="10"/>
  <c r="D5707" i="10"/>
  <c r="E5706" i="10"/>
  <c r="D5706" i="10"/>
  <c r="E5705" i="10"/>
  <c r="D5705" i="10"/>
  <c r="E5704" i="10"/>
  <c r="D5704" i="10"/>
  <c r="E5703" i="10"/>
  <c r="D5703" i="10"/>
  <c r="E5702" i="10"/>
  <c r="D5702" i="10"/>
  <c r="E5701" i="10"/>
  <c r="D5701" i="10"/>
  <c r="E5700" i="10"/>
  <c r="D5700" i="10"/>
  <c r="E5699" i="10"/>
  <c r="D5699" i="10"/>
  <c r="E5698" i="10"/>
  <c r="D5698" i="10"/>
  <c r="E5697" i="10"/>
  <c r="D5697" i="10"/>
  <c r="E5696" i="10"/>
  <c r="D5696" i="10"/>
  <c r="E5695" i="10"/>
  <c r="D5695" i="10"/>
  <c r="E5694" i="10"/>
  <c r="D5694" i="10"/>
  <c r="E5693" i="10"/>
  <c r="D5693" i="10"/>
  <c r="E5692" i="10"/>
  <c r="D5692" i="10"/>
  <c r="E5691" i="10"/>
  <c r="D5691" i="10"/>
  <c r="E5690" i="10"/>
  <c r="D5690" i="10"/>
  <c r="E5689" i="10"/>
  <c r="D5689" i="10"/>
  <c r="E5688" i="10"/>
  <c r="D5688" i="10"/>
  <c r="E5687" i="10"/>
  <c r="D5687" i="10"/>
  <c r="E5686" i="10"/>
  <c r="D5686" i="10"/>
  <c r="E5685" i="10"/>
  <c r="D5685" i="10"/>
  <c r="E5684" i="10"/>
  <c r="D5684" i="10"/>
  <c r="E5683" i="10"/>
  <c r="D5683" i="10"/>
  <c r="E5682" i="10"/>
  <c r="D5682" i="10"/>
  <c r="E5681" i="10"/>
  <c r="D5681" i="10"/>
  <c r="E5680" i="10"/>
  <c r="D5680" i="10"/>
  <c r="E5679" i="10"/>
  <c r="D5679" i="10"/>
  <c r="E5678" i="10"/>
  <c r="D5678" i="10"/>
  <c r="E5677" i="10"/>
  <c r="D5677" i="10"/>
  <c r="E5676" i="10"/>
  <c r="D5676" i="10"/>
  <c r="E5675" i="10"/>
  <c r="D5675" i="10"/>
  <c r="E5674" i="10"/>
  <c r="D5674" i="10"/>
  <c r="E5673" i="10"/>
  <c r="D5673" i="10"/>
  <c r="E5672" i="10"/>
  <c r="D5672" i="10"/>
  <c r="E5671" i="10"/>
  <c r="D5671" i="10"/>
  <c r="E5670" i="10"/>
  <c r="D5670" i="10"/>
  <c r="E5669" i="10"/>
  <c r="D5669" i="10"/>
  <c r="E5668" i="10"/>
  <c r="D5668" i="10"/>
  <c r="E5667" i="10"/>
  <c r="D5667" i="10"/>
  <c r="E5666" i="10"/>
  <c r="D5666" i="10"/>
  <c r="E5665" i="10"/>
  <c r="D5665" i="10"/>
  <c r="E5664" i="10"/>
  <c r="D5664" i="10"/>
  <c r="E5663" i="10"/>
  <c r="D5663" i="10"/>
  <c r="E5662" i="10"/>
  <c r="D5662" i="10"/>
  <c r="E5661" i="10"/>
  <c r="D5661" i="10"/>
  <c r="E5660" i="10"/>
  <c r="D5660" i="10"/>
  <c r="E5659" i="10"/>
  <c r="D5659" i="10"/>
  <c r="E5658" i="10"/>
  <c r="D5658" i="10"/>
  <c r="E5657" i="10"/>
  <c r="D5657" i="10"/>
  <c r="E5656" i="10"/>
  <c r="D5656" i="10"/>
  <c r="E5655" i="10"/>
  <c r="D5655" i="10"/>
  <c r="E5654" i="10"/>
  <c r="D5654" i="10"/>
  <c r="E5653" i="10"/>
  <c r="D5653" i="10"/>
  <c r="E5652" i="10"/>
  <c r="D5652" i="10"/>
  <c r="E5651" i="10"/>
  <c r="D5651" i="10"/>
  <c r="E5650" i="10"/>
  <c r="D5650" i="10"/>
  <c r="E5649" i="10"/>
  <c r="D5649" i="10"/>
  <c r="E5648" i="10"/>
  <c r="D5648" i="10"/>
  <c r="E5647" i="10"/>
  <c r="D5647" i="10"/>
  <c r="E5646" i="10"/>
  <c r="D5646" i="10"/>
  <c r="E5645" i="10"/>
  <c r="D5645" i="10"/>
  <c r="E5644" i="10"/>
  <c r="D5644" i="10"/>
  <c r="E5643" i="10"/>
  <c r="D5643" i="10"/>
  <c r="E5642" i="10"/>
  <c r="D5642" i="10"/>
  <c r="E5641" i="10"/>
  <c r="D5641" i="10"/>
  <c r="E5640" i="10"/>
  <c r="D5640" i="10"/>
  <c r="E5639" i="10"/>
  <c r="D5639" i="10"/>
  <c r="E5638" i="10"/>
  <c r="D5638" i="10"/>
  <c r="E5637" i="10"/>
  <c r="D5637" i="10"/>
  <c r="E5636" i="10"/>
  <c r="D5636" i="10"/>
  <c r="E5635" i="10"/>
  <c r="D5635" i="10"/>
  <c r="E5634" i="10"/>
  <c r="D5634" i="10"/>
  <c r="E5633" i="10"/>
  <c r="D5633" i="10"/>
  <c r="E5632" i="10"/>
  <c r="D5632" i="10"/>
  <c r="E5631" i="10"/>
  <c r="D5631" i="10"/>
  <c r="E5630" i="10"/>
  <c r="D5630" i="10"/>
  <c r="E5629" i="10"/>
  <c r="D5629" i="10"/>
  <c r="E5628" i="10"/>
  <c r="D5628" i="10"/>
  <c r="E5627" i="10"/>
  <c r="D5627" i="10"/>
  <c r="E5626" i="10"/>
  <c r="D5626" i="10"/>
  <c r="E5625" i="10"/>
  <c r="D5625" i="10"/>
  <c r="E5624" i="10"/>
  <c r="D5624" i="10"/>
  <c r="E5623" i="10"/>
  <c r="D5623" i="10"/>
  <c r="E5622" i="10"/>
  <c r="D5622" i="10"/>
  <c r="E5621" i="10"/>
  <c r="D5621" i="10"/>
  <c r="E5620" i="10"/>
  <c r="D5620" i="10"/>
  <c r="E5619" i="10"/>
  <c r="D5619" i="10"/>
  <c r="E5618" i="10"/>
  <c r="D5618" i="10"/>
  <c r="E5617" i="10"/>
  <c r="D5617" i="10"/>
  <c r="E5616" i="10"/>
  <c r="D5616" i="10"/>
  <c r="E5615" i="10"/>
  <c r="D5615" i="10"/>
  <c r="E5614" i="10"/>
  <c r="D5614" i="10"/>
  <c r="E5613" i="10"/>
  <c r="D5613" i="10"/>
  <c r="E5612" i="10"/>
  <c r="D5612" i="10"/>
  <c r="E5611" i="10"/>
  <c r="D5611" i="10"/>
  <c r="E5610" i="10"/>
  <c r="D5610" i="10"/>
  <c r="E5609" i="10"/>
  <c r="D5609" i="10"/>
  <c r="E5608" i="10"/>
  <c r="D5608" i="10"/>
  <c r="E5607" i="10"/>
  <c r="D5607" i="10"/>
  <c r="E5606" i="10"/>
  <c r="D5606" i="10"/>
  <c r="E5605" i="10"/>
  <c r="D5605" i="10"/>
  <c r="E5604" i="10"/>
  <c r="D5604" i="10"/>
  <c r="E5603" i="10"/>
  <c r="D5603" i="10"/>
  <c r="E5602" i="10"/>
  <c r="D5602" i="10"/>
  <c r="E5601" i="10"/>
  <c r="D5601" i="10"/>
  <c r="E5600" i="10"/>
  <c r="D5600" i="10"/>
  <c r="E5599" i="10"/>
  <c r="D5599" i="10"/>
  <c r="E5598" i="10"/>
  <c r="D5598" i="10"/>
  <c r="E5597" i="10"/>
  <c r="D5597" i="10"/>
  <c r="E5596" i="10"/>
  <c r="D5596" i="10"/>
  <c r="E5595" i="10"/>
  <c r="D5595" i="10"/>
  <c r="E5594" i="10"/>
  <c r="D5594" i="10"/>
  <c r="E5593" i="10"/>
  <c r="D5593" i="10"/>
  <c r="E5592" i="10"/>
  <c r="D5592" i="10"/>
  <c r="E5591" i="10"/>
  <c r="D5591" i="10"/>
  <c r="E5590" i="10"/>
  <c r="D5590" i="10"/>
  <c r="E5589" i="10"/>
  <c r="D5589" i="10"/>
  <c r="E5588" i="10"/>
  <c r="D5588" i="10"/>
  <c r="E5587" i="10"/>
  <c r="D5587" i="10"/>
  <c r="E5586" i="10"/>
  <c r="D5586" i="10"/>
  <c r="E5585" i="10"/>
  <c r="D5585" i="10"/>
  <c r="E5584" i="10"/>
  <c r="D5584" i="10"/>
  <c r="E5583" i="10"/>
  <c r="D5583" i="10"/>
  <c r="E5582" i="10"/>
  <c r="D5582" i="10"/>
  <c r="E5581" i="10"/>
  <c r="D5581" i="10"/>
  <c r="E5580" i="10"/>
  <c r="D5580" i="10"/>
  <c r="E5579" i="10"/>
  <c r="D5579" i="10"/>
  <c r="E5578" i="10"/>
  <c r="D5578" i="10"/>
  <c r="E5577" i="10"/>
  <c r="D5577" i="10"/>
  <c r="E5576" i="10"/>
  <c r="D5576" i="10"/>
  <c r="E5575" i="10"/>
  <c r="D5575" i="10"/>
  <c r="E5574" i="10"/>
  <c r="D5574" i="10"/>
  <c r="E5573" i="10"/>
  <c r="D5573" i="10"/>
  <c r="E5572" i="10"/>
  <c r="D5572" i="10"/>
  <c r="E5571" i="10"/>
  <c r="D5571" i="10"/>
  <c r="E5570" i="10"/>
  <c r="D5570" i="10"/>
  <c r="E5569" i="10"/>
  <c r="D5569" i="10"/>
  <c r="E5568" i="10"/>
  <c r="D5568" i="10"/>
  <c r="E5567" i="10"/>
  <c r="D5567" i="10"/>
  <c r="E5566" i="10"/>
  <c r="D5566" i="10"/>
  <c r="E5565" i="10"/>
  <c r="D5565" i="10"/>
  <c r="E5564" i="10"/>
  <c r="D5564" i="10"/>
  <c r="E5563" i="10"/>
  <c r="D5563" i="10"/>
  <c r="E5562" i="10"/>
  <c r="D5562" i="10"/>
  <c r="E5561" i="10"/>
  <c r="D5561" i="10"/>
  <c r="E5560" i="10"/>
  <c r="D5560" i="10"/>
  <c r="E5559" i="10"/>
  <c r="D5559" i="10"/>
  <c r="E5558" i="10"/>
  <c r="D5558" i="10"/>
  <c r="E5557" i="10"/>
  <c r="D5557" i="10"/>
  <c r="E5556" i="10"/>
  <c r="D5556" i="10"/>
  <c r="E5555" i="10"/>
  <c r="D5555" i="10"/>
  <c r="E5554" i="10"/>
  <c r="D5554" i="10"/>
  <c r="E5553" i="10"/>
  <c r="D5553" i="10"/>
  <c r="E5552" i="10"/>
  <c r="D5552" i="10"/>
  <c r="E5551" i="10"/>
  <c r="D5551" i="10"/>
  <c r="E5550" i="10"/>
  <c r="D5550" i="10"/>
  <c r="E5549" i="10"/>
  <c r="D5549" i="10"/>
  <c r="E5548" i="10"/>
  <c r="D5548" i="10"/>
  <c r="E5547" i="10"/>
  <c r="D5547" i="10"/>
  <c r="E5546" i="10"/>
  <c r="D5546" i="10"/>
  <c r="E5545" i="10"/>
  <c r="D5545" i="10"/>
  <c r="E5544" i="10"/>
  <c r="D5544" i="10"/>
  <c r="E5543" i="10"/>
  <c r="D5543" i="10"/>
  <c r="E5542" i="10"/>
  <c r="D5542" i="10"/>
  <c r="E5541" i="10"/>
  <c r="D5541" i="10"/>
  <c r="E5540" i="10"/>
  <c r="D5540" i="10"/>
  <c r="E5539" i="10"/>
  <c r="D5539" i="10"/>
  <c r="E5538" i="10"/>
  <c r="D5538" i="10"/>
  <c r="E5537" i="10"/>
  <c r="D5537" i="10"/>
  <c r="E5536" i="10"/>
  <c r="D5536" i="10"/>
  <c r="E5535" i="10"/>
  <c r="D5535" i="10"/>
  <c r="E5534" i="10"/>
  <c r="D5534" i="10"/>
  <c r="E5533" i="10"/>
  <c r="D5533" i="10"/>
  <c r="E5532" i="10"/>
  <c r="D5532" i="10"/>
  <c r="E5531" i="10"/>
  <c r="D5531" i="10"/>
  <c r="E5530" i="10"/>
  <c r="D5530" i="10"/>
  <c r="E5529" i="10"/>
  <c r="D5529" i="10"/>
  <c r="E5528" i="10"/>
  <c r="D5528" i="10"/>
  <c r="E5527" i="10"/>
  <c r="D5527" i="10"/>
  <c r="E5526" i="10"/>
  <c r="D5526" i="10"/>
  <c r="E5525" i="10"/>
  <c r="D5525" i="10"/>
  <c r="E5524" i="10"/>
  <c r="D5524" i="10"/>
  <c r="E5523" i="10"/>
  <c r="D5523" i="10"/>
  <c r="E5522" i="10"/>
  <c r="D5522" i="10"/>
  <c r="E5521" i="10"/>
  <c r="D5521" i="10"/>
  <c r="E5520" i="10"/>
  <c r="D5520" i="10"/>
  <c r="E5519" i="10"/>
  <c r="D5519" i="10"/>
  <c r="E5518" i="10"/>
  <c r="D5518" i="10"/>
  <c r="E5517" i="10"/>
  <c r="D5517" i="10"/>
  <c r="E5516" i="10"/>
  <c r="D5516" i="10"/>
  <c r="E5515" i="10"/>
  <c r="D5515" i="10"/>
  <c r="E5514" i="10"/>
  <c r="D5514" i="10"/>
  <c r="E5513" i="10"/>
  <c r="D5513" i="10"/>
  <c r="E5512" i="10"/>
  <c r="D5512" i="10"/>
  <c r="E5511" i="10"/>
  <c r="D5511" i="10"/>
  <c r="E5510" i="10"/>
  <c r="D5510" i="10"/>
  <c r="E5509" i="10"/>
  <c r="D5509" i="10"/>
  <c r="E5508" i="10"/>
  <c r="D5508" i="10"/>
  <c r="E5507" i="10"/>
  <c r="D5507" i="10"/>
  <c r="E5506" i="10"/>
  <c r="D5506" i="10"/>
  <c r="E5505" i="10"/>
  <c r="D5505" i="10"/>
  <c r="E5504" i="10"/>
  <c r="D5504" i="10"/>
  <c r="E5503" i="10"/>
  <c r="D5503" i="10"/>
  <c r="E5502" i="10"/>
  <c r="D5502" i="10"/>
  <c r="E5501" i="10"/>
  <c r="D5501" i="10"/>
  <c r="E5500" i="10"/>
  <c r="D5500" i="10"/>
  <c r="E5499" i="10"/>
  <c r="D5499" i="10"/>
  <c r="E5498" i="10"/>
  <c r="D5498" i="10"/>
  <c r="E5497" i="10"/>
  <c r="D5497" i="10"/>
  <c r="E5496" i="10"/>
  <c r="D5496" i="10"/>
  <c r="E5495" i="10"/>
  <c r="D5495" i="10"/>
  <c r="E5494" i="10"/>
  <c r="D5494" i="10"/>
  <c r="E5493" i="10"/>
  <c r="D5493" i="10"/>
  <c r="E5492" i="10"/>
  <c r="D5492" i="10"/>
  <c r="E5491" i="10"/>
  <c r="D5491" i="10"/>
  <c r="E5490" i="10"/>
  <c r="D5490" i="10"/>
  <c r="E5489" i="10"/>
  <c r="D5489" i="10"/>
  <c r="E5488" i="10"/>
  <c r="D5488" i="10"/>
  <c r="E5487" i="10"/>
  <c r="D5487" i="10"/>
  <c r="E5486" i="10"/>
  <c r="D5486" i="10"/>
  <c r="E5485" i="10"/>
  <c r="D5485" i="10"/>
  <c r="E5484" i="10"/>
  <c r="D5484" i="10"/>
  <c r="E5483" i="10"/>
  <c r="D5483" i="10"/>
  <c r="E5482" i="10"/>
  <c r="D5482" i="10"/>
  <c r="E5481" i="10"/>
  <c r="D5481" i="10"/>
  <c r="E5480" i="10"/>
  <c r="D5480" i="10"/>
  <c r="E5479" i="10"/>
  <c r="D5479" i="10"/>
  <c r="E5478" i="10"/>
  <c r="D5478" i="10"/>
  <c r="E5477" i="10"/>
  <c r="D5477" i="10"/>
  <c r="E5476" i="10"/>
  <c r="D5476" i="10"/>
  <c r="E5475" i="10"/>
  <c r="D5475" i="10"/>
  <c r="E5474" i="10"/>
  <c r="D5474" i="10"/>
  <c r="E5473" i="10"/>
  <c r="D5473" i="10"/>
  <c r="E5472" i="10"/>
  <c r="D5472" i="10"/>
  <c r="E5471" i="10"/>
  <c r="D5471" i="10"/>
  <c r="E5470" i="10"/>
  <c r="D5470" i="10"/>
  <c r="E5469" i="10"/>
  <c r="D5469" i="10"/>
  <c r="E5468" i="10"/>
  <c r="D5468" i="10"/>
  <c r="E5467" i="10"/>
  <c r="D5467" i="10"/>
  <c r="E5466" i="10"/>
  <c r="D5466" i="10"/>
  <c r="E5465" i="10"/>
  <c r="D5465" i="10"/>
  <c r="E5464" i="10"/>
  <c r="D5464" i="10"/>
  <c r="E5463" i="10"/>
  <c r="D5463" i="10"/>
  <c r="E5462" i="10"/>
  <c r="D5462" i="10"/>
  <c r="E5461" i="10"/>
  <c r="D5461" i="10"/>
  <c r="E5460" i="10"/>
  <c r="D5460" i="10"/>
  <c r="E5459" i="10"/>
  <c r="D5459" i="10"/>
  <c r="E5458" i="10"/>
  <c r="D5458" i="10"/>
  <c r="E5457" i="10"/>
  <c r="D5457" i="10"/>
  <c r="E5456" i="10"/>
  <c r="D5456" i="10"/>
  <c r="E5455" i="10"/>
  <c r="D5455" i="10"/>
  <c r="E5454" i="10"/>
  <c r="D5454" i="10"/>
  <c r="E5453" i="10"/>
  <c r="D5453" i="10"/>
  <c r="E5452" i="10"/>
  <c r="D5452" i="10"/>
  <c r="E5451" i="10"/>
  <c r="D5451" i="10"/>
  <c r="E5450" i="10"/>
  <c r="D5450" i="10"/>
  <c r="E5449" i="10"/>
  <c r="D5449" i="10"/>
  <c r="E5448" i="10"/>
  <c r="D5448" i="10"/>
  <c r="E5447" i="10"/>
  <c r="D5447" i="10"/>
  <c r="E5446" i="10"/>
  <c r="D5446" i="10"/>
  <c r="E5445" i="10"/>
  <c r="D5445" i="10"/>
  <c r="E5444" i="10"/>
  <c r="D5444" i="10"/>
  <c r="E5443" i="10"/>
  <c r="D5443" i="10"/>
  <c r="E5442" i="10"/>
  <c r="D5442" i="10"/>
  <c r="E5441" i="10"/>
  <c r="D5441" i="10"/>
  <c r="E5440" i="10"/>
  <c r="D5440" i="10"/>
  <c r="E5439" i="10"/>
  <c r="D5439" i="10"/>
  <c r="E5438" i="10"/>
  <c r="D5438" i="10"/>
  <c r="E5437" i="10"/>
  <c r="D5437" i="10"/>
  <c r="E5436" i="10"/>
  <c r="D5436" i="10"/>
  <c r="E5435" i="10"/>
  <c r="D5435" i="10"/>
  <c r="E5434" i="10"/>
  <c r="D5434" i="10"/>
  <c r="E5433" i="10"/>
  <c r="D5433" i="10"/>
  <c r="E5432" i="10"/>
  <c r="D5432" i="10"/>
  <c r="E5431" i="10"/>
  <c r="D5431" i="10"/>
  <c r="E5430" i="10"/>
  <c r="D5430" i="10"/>
  <c r="E5429" i="10"/>
  <c r="D5429" i="10"/>
  <c r="E5428" i="10"/>
  <c r="D5428" i="10"/>
  <c r="E5427" i="10"/>
  <c r="D5427" i="10"/>
  <c r="E5426" i="10"/>
  <c r="D5426" i="10"/>
  <c r="E5425" i="10"/>
  <c r="D5425" i="10"/>
  <c r="E5424" i="10"/>
  <c r="D5424" i="10"/>
  <c r="E5423" i="10"/>
  <c r="D5423" i="10"/>
  <c r="E5422" i="10"/>
  <c r="D5422" i="10"/>
  <c r="E5421" i="10"/>
  <c r="D5421" i="10"/>
  <c r="E5420" i="10"/>
  <c r="D5420" i="10"/>
  <c r="E5419" i="10"/>
  <c r="D5419" i="10"/>
  <c r="E5418" i="10"/>
  <c r="D5418" i="10"/>
  <c r="E5417" i="10"/>
  <c r="D5417" i="10"/>
  <c r="E5416" i="10"/>
  <c r="D5416" i="10"/>
  <c r="E5415" i="10"/>
  <c r="D5415" i="10"/>
  <c r="E5414" i="10"/>
  <c r="D5414" i="10"/>
  <c r="E5413" i="10"/>
  <c r="D5413" i="10"/>
  <c r="E5412" i="10"/>
  <c r="D5412" i="10"/>
  <c r="E5411" i="10"/>
  <c r="D5411" i="10"/>
  <c r="E5410" i="10"/>
  <c r="D5410" i="10"/>
  <c r="E5409" i="10"/>
  <c r="D5409" i="10"/>
  <c r="E5408" i="10"/>
  <c r="D5408" i="10"/>
  <c r="E5407" i="10"/>
  <c r="D5407" i="10"/>
  <c r="E5406" i="10"/>
  <c r="D5406" i="10"/>
  <c r="E5405" i="10"/>
  <c r="D5405" i="10"/>
  <c r="E5404" i="10"/>
  <c r="D5404" i="10"/>
  <c r="E5403" i="10"/>
  <c r="D5403" i="10"/>
  <c r="E5402" i="10"/>
  <c r="D5402" i="10"/>
  <c r="E5401" i="10"/>
  <c r="D5401" i="10"/>
  <c r="E5400" i="10"/>
  <c r="D5400" i="10"/>
  <c r="E5399" i="10"/>
  <c r="D5399" i="10"/>
  <c r="E5398" i="10"/>
  <c r="D5398" i="10"/>
  <c r="E5397" i="10"/>
  <c r="D5397" i="10"/>
  <c r="E5396" i="10"/>
  <c r="D5396" i="10"/>
  <c r="E5395" i="10"/>
  <c r="D5395" i="10"/>
  <c r="E5394" i="10"/>
  <c r="D5394" i="10"/>
  <c r="E5393" i="10"/>
  <c r="D5393" i="10"/>
  <c r="E5392" i="10"/>
  <c r="D5392" i="10"/>
  <c r="E5391" i="10"/>
  <c r="D5391" i="10"/>
  <c r="E5390" i="10"/>
  <c r="D5390" i="10"/>
  <c r="E5389" i="10"/>
  <c r="D5389" i="10"/>
  <c r="E5388" i="10"/>
  <c r="D5388" i="10"/>
  <c r="E5387" i="10"/>
  <c r="D5387" i="10"/>
  <c r="E5386" i="10"/>
  <c r="D5386" i="10"/>
  <c r="E5385" i="10"/>
  <c r="D5385" i="10"/>
  <c r="E5384" i="10"/>
  <c r="D5384" i="10"/>
  <c r="E5383" i="10"/>
  <c r="D5383" i="10"/>
  <c r="E5382" i="10"/>
  <c r="D5382" i="10"/>
  <c r="E5381" i="10"/>
  <c r="D5381" i="10"/>
  <c r="E5380" i="10"/>
  <c r="D5380" i="10"/>
  <c r="E5379" i="10"/>
  <c r="D5379" i="10"/>
  <c r="E5378" i="10"/>
  <c r="D5378" i="10"/>
  <c r="E5377" i="10"/>
  <c r="D5377" i="10"/>
  <c r="E5376" i="10"/>
  <c r="D5376" i="10"/>
  <c r="E5375" i="10"/>
  <c r="D5375" i="10"/>
  <c r="E5374" i="10"/>
  <c r="D5374" i="10"/>
  <c r="E5373" i="10"/>
  <c r="D5373" i="10"/>
  <c r="E5372" i="10"/>
  <c r="D5372" i="10"/>
  <c r="E5371" i="10"/>
  <c r="D5371" i="10"/>
  <c r="E5370" i="10"/>
  <c r="D5370" i="10"/>
  <c r="E5369" i="10"/>
  <c r="D5369" i="10"/>
  <c r="E5368" i="10"/>
  <c r="D5368" i="10"/>
  <c r="E5367" i="10"/>
  <c r="D5367" i="10"/>
  <c r="E5366" i="10"/>
  <c r="D5366" i="10"/>
  <c r="E5365" i="10"/>
  <c r="D5365" i="10"/>
  <c r="E5364" i="10"/>
  <c r="D5364" i="10"/>
  <c r="E5363" i="10"/>
  <c r="D5363" i="10"/>
  <c r="E5362" i="10"/>
  <c r="D5362" i="10"/>
  <c r="E5361" i="10"/>
  <c r="D5361" i="10"/>
  <c r="E5360" i="10"/>
  <c r="D5360" i="10"/>
  <c r="E5359" i="10"/>
  <c r="D5359" i="10"/>
  <c r="E5358" i="10"/>
  <c r="D5358" i="10"/>
  <c r="E5357" i="10"/>
  <c r="D5357" i="10"/>
  <c r="E5356" i="10"/>
  <c r="D5356" i="10"/>
  <c r="E5355" i="10"/>
  <c r="D5355" i="10"/>
  <c r="E5354" i="10"/>
  <c r="D5354" i="10"/>
  <c r="E5353" i="10"/>
  <c r="D5353" i="10"/>
  <c r="E5352" i="10"/>
  <c r="D5352" i="10"/>
  <c r="E5351" i="10"/>
  <c r="D5351" i="10"/>
  <c r="E5350" i="10"/>
  <c r="D5350" i="10"/>
  <c r="E5349" i="10"/>
  <c r="D5349" i="10"/>
  <c r="E5348" i="10"/>
  <c r="D5348" i="10"/>
  <c r="E5347" i="10"/>
  <c r="D5347" i="10"/>
  <c r="E5346" i="10"/>
  <c r="D5346" i="10"/>
  <c r="E5345" i="10"/>
  <c r="D5345" i="10"/>
  <c r="E5344" i="10"/>
  <c r="D5344" i="10"/>
  <c r="E5343" i="10"/>
  <c r="D5343" i="10"/>
  <c r="E5342" i="10"/>
  <c r="D5342" i="10"/>
  <c r="E5341" i="10"/>
  <c r="D5341" i="10"/>
  <c r="E5340" i="10"/>
  <c r="D5340" i="10"/>
  <c r="E5339" i="10"/>
  <c r="D5339" i="10"/>
  <c r="E5338" i="10"/>
  <c r="D5338" i="10"/>
  <c r="E5337" i="10"/>
  <c r="D5337" i="10"/>
  <c r="E5336" i="10"/>
  <c r="D5336" i="10"/>
  <c r="E5335" i="10"/>
  <c r="D5335" i="10"/>
  <c r="E5334" i="10"/>
  <c r="D5334" i="10"/>
  <c r="E5333" i="10"/>
  <c r="D5333" i="10"/>
  <c r="E5332" i="10"/>
  <c r="D5332" i="10"/>
  <c r="E5331" i="10"/>
  <c r="D5331" i="10"/>
  <c r="E5330" i="10"/>
  <c r="D5330" i="10"/>
  <c r="E5329" i="10"/>
  <c r="D5329" i="10"/>
  <c r="E5328" i="10"/>
  <c r="D5328" i="10"/>
  <c r="E5327" i="10"/>
  <c r="D5327" i="10"/>
  <c r="E5326" i="10"/>
  <c r="D5326" i="10"/>
  <c r="E5325" i="10"/>
  <c r="D5325" i="10"/>
  <c r="E5324" i="10"/>
  <c r="D5324" i="10"/>
  <c r="E5323" i="10"/>
  <c r="D5323" i="10"/>
  <c r="E5322" i="10"/>
  <c r="D5322" i="10"/>
  <c r="E5321" i="10"/>
  <c r="D5321" i="10"/>
  <c r="E5320" i="10"/>
  <c r="D5320" i="10"/>
  <c r="E5319" i="10"/>
  <c r="D5319" i="10"/>
  <c r="E5318" i="10"/>
  <c r="D5318" i="10"/>
  <c r="E5317" i="10"/>
  <c r="D5317" i="10"/>
  <c r="E5316" i="10"/>
  <c r="D5316" i="10"/>
  <c r="E5315" i="10"/>
  <c r="D5315" i="10"/>
  <c r="E5314" i="10"/>
  <c r="D5314" i="10"/>
  <c r="E5313" i="10"/>
  <c r="D5313" i="10"/>
  <c r="E5312" i="10"/>
  <c r="D5312" i="10"/>
  <c r="E5311" i="10"/>
  <c r="D5311" i="10"/>
  <c r="E5310" i="10"/>
  <c r="D5310" i="10"/>
  <c r="E5309" i="10"/>
  <c r="D5309" i="10"/>
  <c r="E5308" i="10"/>
  <c r="D5308" i="10"/>
  <c r="E5307" i="10"/>
  <c r="D5307" i="10"/>
  <c r="E5306" i="10"/>
  <c r="D5306" i="10"/>
  <c r="E5305" i="10"/>
  <c r="D5305" i="10"/>
  <c r="E5304" i="10"/>
  <c r="D5304" i="10"/>
  <c r="E5303" i="10"/>
  <c r="D5303" i="10"/>
  <c r="E5302" i="10"/>
  <c r="D5302" i="10"/>
  <c r="E5301" i="10"/>
  <c r="D5301" i="10"/>
  <c r="E5300" i="10"/>
  <c r="D5300" i="10"/>
  <c r="E5299" i="10"/>
  <c r="D5299" i="10"/>
  <c r="E5298" i="10"/>
  <c r="D5298" i="10"/>
  <c r="E5297" i="10"/>
  <c r="D5297" i="10"/>
  <c r="E5296" i="10"/>
  <c r="D5296" i="10"/>
  <c r="E5295" i="10"/>
  <c r="D5295" i="10"/>
  <c r="E5294" i="10"/>
  <c r="D5294" i="10"/>
  <c r="E5293" i="10"/>
  <c r="D5293" i="10"/>
  <c r="E5292" i="10"/>
  <c r="D5292" i="10"/>
  <c r="E5291" i="10"/>
  <c r="D5291" i="10"/>
  <c r="E5290" i="10"/>
  <c r="D5290" i="10"/>
  <c r="E5289" i="10"/>
  <c r="D5289" i="10"/>
  <c r="E5288" i="10"/>
  <c r="D5288" i="10"/>
  <c r="E5287" i="10"/>
  <c r="D5287" i="10"/>
  <c r="E5286" i="10"/>
  <c r="D5286" i="10"/>
  <c r="E5285" i="10"/>
  <c r="D5285" i="10"/>
  <c r="E5284" i="10"/>
  <c r="D5284" i="10"/>
  <c r="E5283" i="10"/>
  <c r="D5283" i="10"/>
  <c r="E5282" i="10"/>
  <c r="D5282" i="10"/>
  <c r="E5281" i="10"/>
  <c r="D5281" i="10"/>
  <c r="E5280" i="10"/>
  <c r="D5280" i="10"/>
  <c r="E5279" i="10"/>
  <c r="D5279" i="10"/>
  <c r="E5278" i="10"/>
  <c r="D5278" i="10"/>
  <c r="E5277" i="10"/>
  <c r="D5277" i="10"/>
  <c r="E5276" i="10"/>
  <c r="D5276" i="10"/>
  <c r="E5275" i="10"/>
  <c r="D5275" i="10"/>
  <c r="E5274" i="10"/>
  <c r="D5274" i="10"/>
  <c r="E5273" i="10"/>
  <c r="D5273" i="10"/>
  <c r="E5272" i="10"/>
  <c r="D5272" i="10"/>
  <c r="E5271" i="10"/>
  <c r="D5271" i="10"/>
  <c r="E5270" i="10"/>
  <c r="D5270" i="10"/>
  <c r="E5269" i="10"/>
  <c r="D5269" i="10"/>
  <c r="E5268" i="10"/>
  <c r="D5268" i="10"/>
  <c r="E5267" i="10"/>
  <c r="D5267" i="10"/>
  <c r="E5266" i="10"/>
  <c r="D5266" i="10"/>
  <c r="E5265" i="10"/>
  <c r="D5265" i="10"/>
  <c r="E5264" i="10"/>
  <c r="D5264" i="10"/>
  <c r="E5263" i="10"/>
  <c r="D5263" i="10"/>
  <c r="E5262" i="10"/>
  <c r="D5262" i="10"/>
  <c r="E5261" i="10"/>
  <c r="D5261" i="10"/>
  <c r="E5260" i="10"/>
  <c r="D5260" i="10"/>
  <c r="E5259" i="10"/>
  <c r="D5259" i="10"/>
  <c r="E5258" i="10"/>
  <c r="D5258" i="10"/>
  <c r="E5257" i="10"/>
  <c r="D5257" i="10"/>
  <c r="E5256" i="10"/>
  <c r="D5256" i="10"/>
  <c r="E5255" i="10"/>
  <c r="D5255" i="10"/>
  <c r="E5254" i="10"/>
  <c r="D5254" i="10"/>
  <c r="E5253" i="10"/>
  <c r="D5253" i="10"/>
  <c r="E5252" i="10"/>
  <c r="D5252" i="10"/>
  <c r="E5251" i="10"/>
  <c r="D5251" i="10"/>
  <c r="E5250" i="10"/>
  <c r="D5250" i="10"/>
  <c r="E5249" i="10"/>
  <c r="D5249" i="10"/>
  <c r="E5248" i="10"/>
  <c r="D5248" i="10"/>
  <c r="E5247" i="10"/>
  <c r="D5247" i="10"/>
  <c r="E5246" i="10"/>
  <c r="D5246" i="10"/>
  <c r="E5245" i="10"/>
  <c r="D5245" i="10"/>
  <c r="E5244" i="10"/>
  <c r="D5244" i="10"/>
  <c r="E5243" i="10"/>
  <c r="D5243" i="10"/>
  <c r="E5242" i="10"/>
  <c r="D5242" i="10"/>
  <c r="E5241" i="10"/>
  <c r="D5241" i="10"/>
  <c r="E5240" i="10"/>
  <c r="D5240" i="10"/>
  <c r="E5239" i="10"/>
  <c r="D5239" i="10"/>
  <c r="E5238" i="10"/>
  <c r="D5238" i="10"/>
  <c r="E5237" i="10"/>
  <c r="D5237" i="10"/>
  <c r="E5236" i="10"/>
  <c r="D5236" i="10"/>
  <c r="E5235" i="10"/>
  <c r="D5235" i="10"/>
  <c r="E5234" i="10"/>
  <c r="D5234" i="10"/>
  <c r="E5233" i="10"/>
  <c r="D5233" i="10"/>
  <c r="E5232" i="10"/>
  <c r="D5232" i="10"/>
  <c r="E5231" i="10"/>
  <c r="D5231" i="10"/>
  <c r="E5230" i="10"/>
  <c r="D5230" i="10"/>
  <c r="E5229" i="10"/>
  <c r="D5229" i="10"/>
  <c r="E5228" i="10"/>
  <c r="D5228" i="10"/>
  <c r="E5227" i="10"/>
  <c r="D5227" i="10"/>
  <c r="E5226" i="10"/>
  <c r="D5226" i="10"/>
  <c r="E5225" i="10"/>
  <c r="D5225" i="10"/>
  <c r="E5224" i="10"/>
  <c r="D5224" i="10"/>
  <c r="E5223" i="10"/>
  <c r="D5223" i="10"/>
  <c r="E5222" i="10"/>
  <c r="D5222" i="10"/>
  <c r="E5221" i="10"/>
  <c r="D5221" i="10"/>
  <c r="E5220" i="10"/>
  <c r="D5220" i="10"/>
  <c r="E5219" i="10"/>
  <c r="D5219" i="10"/>
  <c r="E5218" i="10"/>
  <c r="D5218" i="10"/>
  <c r="E5217" i="10"/>
  <c r="D5217" i="10"/>
  <c r="E5216" i="10"/>
  <c r="D5216" i="10"/>
  <c r="E5215" i="10"/>
  <c r="D5215" i="10"/>
  <c r="E5214" i="10"/>
  <c r="D5214" i="10"/>
  <c r="E5213" i="10"/>
  <c r="D5213" i="10"/>
  <c r="E5212" i="10"/>
  <c r="D5212" i="10"/>
  <c r="E5211" i="10"/>
  <c r="D5211" i="10"/>
  <c r="E5210" i="10"/>
  <c r="D5210" i="10"/>
  <c r="E5209" i="10"/>
  <c r="D5209" i="10"/>
  <c r="E5208" i="10"/>
  <c r="D5208" i="10"/>
  <c r="E5207" i="10"/>
  <c r="D5207" i="10"/>
  <c r="E5206" i="10"/>
  <c r="D5206" i="10"/>
  <c r="E5205" i="10"/>
  <c r="D5205" i="10"/>
  <c r="E5204" i="10"/>
  <c r="D5204" i="10"/>
  <c r="E5203" i="10"/>
  <c r="D5203" i="10"/>
  <c r="E5202" i="10"/>
  <c r="D5202" i="10"/>
  <c r="E5201" i="10"/>
  <c r="D5201" i="10"/>
  <c r="E5200" i="10"/>
  <c r="D5200" i="10"/>
  <c r="E5199" i="10"/>
  <c r="D5199" i="10"/>
  <c r="E5198" i="10"/>
  <c r="D5198" i="10"/>
  <c r="E5197" i="10"/>
  <c r="D5197" i="10"/>
  <c r="E5196" i="10"/>
  <c r="D5196" i="10"/>
  <c r="E5195" i="10"/>
  <c r="D5195" i="10"/>
  <c r="E5194" i="10"/>
  <c r="D5194" i="10"/>
  <c r="E5193" i="10"/>
  <c r="D5193" i="10"/>
  <c r="E5192" i="10"/>
  <c r="D5192" i="10"/>
  <c r="E5191" i="10"/>
  <c r="D5191" i="10"/>
  <c r="E5190" i="10"/>
  <c r="D5190" i="10"/>
  <c r="E5189" i="10"/>
  <c r="D5189" i="10"/>
  <c r="E5188" i="10"/>
  <c r="D5188" i="10"/>
  <c r="E5187" i="10"/>
  <c r="D5187" i="10"/>
  <c r="E5186" i="10"/>
  <c r="D5186" i="10"/>
  <c r="E5185" i="10"/>
  <c r="D5185" i="10"/>
  <c r="E5184" i="10"/>
  <c r="D5184" i="10"/>
  <c r="E5183" i="10"/>
  <c r="D5183" i="10"/>
  <c r="E5182" i="10"/>
  <c r="D5182" i="10"/>
  <c r="E5181" i="10"/>
  <c r="D5181" i="10"/>
  <c r="E5180" i="10"/>
  <c r="D5180" i="10"/>
  <c r="E5179" i="10"/>
  <c r="D5179" i="10"/>
  <c r="E5178" i="10"/>
  <c r="D5178" i="10"/>
  <c r="E5177" i="10"/>
  <c r="D5177" i="10"/>
  <c r="E5176" i="10"/>
  <c r="D5176" i="10"/>
  <c r="E5175" i="10"/>
  <c r="D5175" i="10"/>
  <c r="E5174" i="10"/>
  <c r="D5174" i="10"/>
  <c r="E5173" i="10"/>
  <c r="D5173" i="10"/>
  <c r="E5172" i="10"/>
  <c r="D5172" i="10"/>
  <c r="E5171" i="10"/>
  <c r="D5171" i="10"/>
  <c r="E5170" i="10"/>
  <c r="D5170" i="10"/>
  <c r="E5169" i="10"/>
  <c r="D5169" i="10"/>
  <c r="E5168" i="10"/>
  <c r="D5168" i="10"/>
  <c r="E5167" i="10"/>
  <c r="D5167" i="10"/>
  <c r="E5166" i="10"/>
  <c r="D5166" i="10"/>
  <c r="E5165" i="10"/>
  <c r="D5165" i="10"/>
  <c r="E5164" i="10"/>
  <c r="D5164" i="10"/>
  <c r="E5163" i="10"/>
  <c r="D5163" i="10"/>
  <c r="E5162" i="10"/>
  <c r="D5162" i="10"/>
  <c r="E5161" i="10"/>
  <c r="D5161" i="10"/>
  <c r="E5160" i="10"/>
  <c r="D5160" i="10"/>
  <c r="E5159" i="10"/>
  <c r="D5159" i="10"/>
  <c r="E5158" i="10"/>
  <c r="D5158" i="10"/>
  <c r="E5157" i="10"/>
  <c r="D5157" i="10"/>
  <c r="E5156" i="10"/>
  <c r="D5156" i="10"/>
  <c r="E5155" i="10"/>
  <c r="D5155" i="10"/>
  <c r="E5154" i="10"/>
  <c r="D5154" i="10"/>
  <c r="E5153" i="10"/>
  <c r="D5153" i="10"/>
  <c r="E5152" i="10"/>
  <c r="D5152" i="10"/>
  <c r="E5151" i="10"/>
  <c r="D5151" i="10"/>
  <c r="E5150" i="10"/>
  <c r="D5150" i="10"/>
  <c r="E5149" i="10"/>
  <c r="D5149" i="10"/>
  <c r="E5148" i="10"/>
  <c r="D5148" i="10"/>
  <c r="E5147" i="10"/>
  <c r="D5147" i="10"/>
  <c r="E5146" i="10"/>
  <c r="D5146" i="10"/>
  <c r="E5145" i="10"/>
  <c r="D5145" i="10"/>
  <c r="E5144" i="10"/>
  <c r="D5144" i="10"/>
  <c r="E5143" i="10"/>
  <c r="D5143" i="10"/>
  <c r="E5142" i="10"/>
  <c r="D5142" i="10"/>
  <c r="E5141" i="10"/>
  <c r="D5141" i="10"/>
  <c r="E5140" i="10"/>
  <c r="D5140" i="10"/>
  <c r="E5139" i="10"/>
  <c r="D5139" i="10"/>
  <c r="E5138" i="10"/>
  <c r="D5138" i="10"/>
  <c r="E5137" i="10"/>
  <c r="D5137" i="10"/>
  <c r="E5136" i="10"/>
  <c r="D5136" i="10"/>
  <c r="E5135" i="10"/>
  <c r="D5135" i="10"/>
  <c r="E5134" i="10"/>
  <c r="D5134" i="10"/>
  <c r="E5133" i="10"/>
  <c r="D5133" i="10"/>
  <c r="E5132" i="10"/>
  <c r="D5132" i="10"/>
  <c r="E5131" i="10"/>
  <c r="D5131" i="10"/>
  <c r="E5130" i="10"/>
  <c r="D5130" i="10"/>
  <c r="E5129" i="10"/>
  <c r="D5129" i="10"/>
  <c r="E5128" i="10"/>
  <c r="D5128" i="10"/>
  <c r="E5127" i="10"/>
  <c r="D5127" i="10"/>
  <c r="E5126" i="10"/>
  <c r="D5126" i="10"/>
  <c r="E5125" i="10"/>
  <c r="D5125" i="10"/>
  <c r="E5124" i="10"/>
  <c r="D5124" i="10"/>
  <c r="E5123" i="10"/>
  <c r="D5123" i="10"/>
  <c r="E5122" i="10"/>
  <c r="D5122" i="10"/>
  <c r="E5121" i="10"/>
  <c r="D5121" i="10"/>
  <c r="E5120" i="10"/>
  <c r="D5120" i="10"/>
  <c r="E5119" i="10"/>
  <c r="D5119" i="10"/>
  <c r="E5118" i="10"/>
  <c r="D5118" i="10"/>
  <c r="E5117" i="10"/>
  <c r="D5117" i="10"/>
  <c r="E5116" i="10"/>
  <c r="D5116" i="10"/>
  <c r="E5115" i="10"/>
  <c r="D5115" i="10"/>
  <c r="E5114" i="10"/>
  <c r="D5114" i="10"/>
  <c r="E5113" i="10"/>
  <c r="D5113" i="10"/>
  <c r="E5112" i="10"/>
  <c r="D5112" i="10"/>
  <c r="E5111" i="10"/>
  <c r="D5111" i="10"/>
  <c r="E5110" i="10"/>
  <c r="D5110" i="10"/>
  <c r="E5109" i="10"/>
  <c r="D5109" i="10"/>
  <c r="E5108" i="10"/>
  <c r="D5108" i="10"/>
  <c r="E5107" i="10"/>
  <c r="D5107" i="10"/>
  <c r="E5106" i="10"/>
  <c r="D5106" i="10"/>
  <c r="E5105" i="10"/>
  <c r="D5105" i="10"/>
  <c r="E5104" i="10"/>
  <c r="D5104" i="10"/>
  <c r="E5103" i="10"/>
  <c r="D5103" i="10"/>
  <c r="E5102" i="10"/>
  <c r="D5102" i="10"/>
  <c r="E5101" i="10"/>
  <c r="D5101" i="10"/>
  <c r="E5100" i="10"/>
  <c r="D5100" i="10"/>
  <c r="E5099" i="10"/>
  <c r="D5099" i="10"/>
  <c r="E5098" i="10"/>
  <c r="D5098" i="10"/>
  <c r="E5097" i="10"/>
  <c r="D5097" i="10"/>
  <c r="E5096" i="10"/>
  <c r="D5096" i="10"/>
  <c r="E5095" i="10"/>
  <c r="D5095" i="10"/>
  <c r="E5094" i="10"/>
  <c r="D5094" i="10"/>
  <c r="E5093" i="10"/>
  <c r="D5093" i="10"/>
  <c r="E5092" i="10"/>
  <c r="D5092" i="10"/>
  <c r="E5091" i="10"/>
  <c r="D5091" i="10"/>
  <c r="E5090" i="10"/>
  <c r="D5090" i="10"/>
  <c r="E5089" i="10"/>
  <c r="D5089" i="10"/>
  <c r="E5088" i="10"/>
  <c r="D5088" i="10"/>
  <c r="E5087" i="10"/>
  <c r="D5087" i="10"/>
  <c r="E5086" i="10"/>
  <c r="D5086" i="10"/>
  <c r="E5085" i="10"/>
  <c r="D5085" i="10"/>
  <c r="E5084" i="10"/>
  <c r="D5084" i="10"/>
  <c r="E5083" i="10"/>
  <c r="D5083" i="10"/>
  <c r="E5082" i="10"/>
  <c r="D5082" i="10"/>
  <c r="E5081" i="10"/>
  <c r="D5081" i="10"/>
  <c r="E5080" i="10"/>
  <c r="D5080" i="10"/>
  <c r="E5079" i="10"/>
  <c r="D5079" i="10"/>
  <c r="E5078" i="10"/>
  <c r="D5078" i="10"/>
  <c r="E5077" i="10"/>
  <c r="D5077" i="10"/>
  <c r="E5076" i="10"/>
  <c r="D5076" i="10"/>
  <c r="E5075" i="10"/>
  <c r="D5075" i="10"/>
  <c r="E5074" i="10"/>
  <c r="D5074" i="10"/>
  <c r="E5073" i="10"/>
  <c r="D5073" i="10"/>
  <c r="E5072" i="10"/>
  <c r="D5072" i="10"/>
  <c r="E5071" i="10"/>
  <c r="D5071" i="10"/>
  <c r="E5070" i="10"/>
  <c r="D5070" i="10"/>
  <c r="E5069" i="10"/>
  <c r="D5069" i="10"/>
  <c r="E5068" i="10"/>
  <c r="D5068" i="10"/>
  <c r="E5067" i="10"/>
  <c r="D5067" i="10"/>
  <c r="E5066" i="10"/>
  <c r="D5066" i="10"/>
  <c r="E5065" i="10"/>
  <c r="D5065" i="10"/>
  <c r="E5064" i="10"/>
  <c r="D5064" i="10"/>
  <c r="E5063" i="10"/>
  <c r="D5063" i="10"/>
  <c r="E5062" i="10"/>
  <c r="D5062" i="10"/>
  <c r="E5061" i="10"/>
  <c r="D5061" i="10"/>
  <c r="E5060" i="10"/>
  <c r="D5060" i="10"/>
  <c r="E5059" i="10"/>
  <c r="D5059" i="10"/>
  <c r="E5058" i="10"/>
  <c r="D5058" i="10"/>
  <c r="E5057" i="10"/>
  <c r="D5057" i="10"/>
  <c r="E5056" i="10"/>
  <c r="D5056" i="10"/>
  <c r="E5055" i="10"/>
  <c r="D5055" i="10"/>
  <c r="E5054" i="10"/>
  <c r="D5054" i="10"/>
  <c r="E5053" i="10"/>
  <c r="D5053" i="10"/>
  <c r="E5052" i="10"/>
  <c r="D5052" i="10"/>
  <c r="E5051" i="10"/>
  <c r="D5051" i="10"/>
  <c r="E5050" i="10"/>
  <c r="D5050" i="10"/>
  <c r="E5049" i="10"/>
  <c r="D5049" i="10"/>
  <c r="E5048" i="10"/>
  <c r="D5048" i="10"/>
  <c r="E5047" i="10"/>
  <c r="D5047" i="10"/>
  <c r="E5046" i="10"/>
  <c r="D5046" i="10"/>
  <c r="E5045" i="10"/>
  <c r="D5045" i="10"/>
  <c r="E5044" i="10"/>
  <c r="D5044" i="10"/>
  <c r="E5043" i="10"/>
  <c r="D5043" i="10"/>
  <c r="E5042" i="10"/>
  <c r="D5042" i="10"/>
  <c r="E5041" i="10"/>
  <c r="D5041" i="10"/>
  <c r="E5040" i="10"/>
  <c r="D5040" i="10"/>
  <c r="E5039" i="10"/>
  <c r="D5039" i="10"/>
  <c r="E5038" i="10"/>
  <c r="D5038" i="10"/>
  <c r="E5037" i="10"/>
  <c r="D5037" i="10"/>
  <c r="E5036" i="10"/>
  <c r="D5036" i="10"/>
  <c r="E5035" i="10"/>
  <c r="D5035" i="10"/>
  <c r="E5034" i="10"/>
  <c r="D5034" i="10"/>
  <c r="E5033" i="10"/>
  <c r="D5033" i="10"/>
  <c r="E5032" i="10"/>
  <c r="D5032" i="10"/>
  <c r="E5031" i="10"/>
  <c r="D5031" i="10"/>
  <c r="E5030" i="10"/>
  <c r="D5030" i="10"/>
  <c r="E5029" i="10"/>
  <c r="D5029" i="10"/>
  <c r="E5028" i="10"/>
  <c r="D5028" i="10"/>
  <c r="E5027" i="10"/>
  <c r="D5027" i="10"/>
  <c r="E5026" i="10"/>
  <c r="D5026" i="10"/>
  <c r="E5025" i="10"/>
  <c r="D5025" i="10"/>
  <c r="E5024" i="10"/>
  <c r="D5024" i="10"/>
  <c r="E5023" i="10"/>
  <c r="D5023" i="10"/>
  <c r="E5022" i="10"/>
  <c r="D5022" i="10"/>
  <c r="E5021" i="10"/>
  <c r="D5021" i="10"/>
  <c r="E5020" i="10"/>
  <c r="D5020" i="10"/>
  <c r="E5019" i="10"/>
  <c r="D5019" i="10"/>
  <c r="E5018" i="10"/>
  <c r="D5018" i="10"/>
  <c r="E5017" i="10"/>
  <c r="D5017" i="10"/>
  <c r="E5016" i="10"/>
  <c r="D5016" i="10"/>
  <c r="E5015" i="10"/>
  <c r="D5015" i="10"/>
  <c r="E5014" i="10"/>
  <c r="D5014" i="10"/>
  <c r="E5013" i="10"/>
  <c r="D5013" i="10"/>
  <c r="E5012" i="10"/>
  <c r="D5012" i="10"/>
  <c r="E5011" i="10"/>
  <c r="D5011" i="10"/>
  <c r="E5010" i="10"/>
  <c r="D5010" i="10"/>
  <c r="E5009" i="10"/>
  <c r="D5009" i="10"/>
  <c r="E5008" i="10"/>
  <c r="D5008" i="10"/>
  <c r="E5007" i="10"/>
  <c r="D5007" i="10"/>
  <c r="E5006" i="10"/>
  <c r="D5006" i="10"/>
  <c r="E5005" i="10"/>
  <c r="D5005" i="10"/>
  <c r="E5004" i="10"/>
  <c r="D5004" i="10"/>
  <c r="E5003" i="10"/>
  <c r="D5003" i="10"/>
  <c r="E5002" i="10"/>
  <c r="D5002" i="10"/>
  <c r="E5001" i="10"/>
  <c r="D5001" i="10"/>
  <c r="E5000" i="10"/>
  <c r="D5000" i="10"/>
  <c r="E4999" i="10"/>
  <c r="D4999" i="10"/>
  <c r="E4998" i="10"/>
  <c r="D4998" i="10"/>
  <c r="E4997" i="10"/>
  <c r="D4997" i="10"/>
  <c r="E4996" i="10"/>
  <c r="D4996" i="10"/>
  <c r="E4995" i="10"/>
  <c r="D4995" i="10"/>
  <c r="E4994" i="10"/>
  <c r="D4994" i="10"/>
  <c r="E4993" i="10"/>
  <c r="D4993" i="10"/>
  <c r="E4992" i="10"/>
  <c r="D4992" i="10"/>
  <c r="E4991" i="10"/>
  <c r="D4991" i="10"/>
  <c r="E4990" i="10"/>
  <c r="D4990" i="10"/>
  <c r="E4989" i="10"/>
  <c r="D4989" i="10"/>
  <c r="E4988" i="10"/>
  <c r="D4988" i="10"/>
  <c r="E4987" i="10"/>
  <c r="D4987" i="10"/>
  <c r="E4986" i="10"/>
  <c r="D4986" i="10"/>
  <c r="E4985" i="10"/>
  <c r="D4985" i="10"/>
  <c r="E4984" i="10"/>
  <c r="D4984" i="10"/>
  <c r="E4983" i="10"/>
  <c r="D4983" i="10"/>
  <c r="E4982" i="10"/>
  <c r="D4982" i="10"/>
  <c r="E4981" i="10"/>
  <c r="D4981" i="10"/>
  <c r="E4980" i="10"/>
  <c r="D4980" i="10"/>
  <c r="E4979" i="10"/>
  <c r="D4979" i="10"/>
  <c r="E4978" i="10"/>
  <c r="D4978" i="10"/>
  <c r="E4977" i="10"/>
  <c r="D4977" i="10"/>
  <c r="E4976" i="10"/>
  <c r="D4976" i="10"/>
  <c r="E4975" i="10"/>
  <c r="D4975" i="10"/>
  <c r="E4974" i="10"/>
  <c r="D4974" i="10"/>
  <c r="E4973" i="10"/>
  <c r="D4973" i="10"/>
  <c r="E4972" i="10"/>
  <c r="D4972" i="10"/>
  <c r="E4971" i="10"/>
  <c r="D4971" i="10"/>
  <c r="E4970" i="10"/>
  <c r="D4970" i="10"/>
  <c r="E4969" i="10"/>
  <c r="D4969" i="10"/>
  <c r="E4968" i="10"/>
  <c r="D4968" i="10"/>
  <c r="E4967" i="10"/>
  <c r="D4967" i="10"/>
  <c r="E4966" i="10"/>
  <c r="D4966" i="10"/>
  <c r="E4965" i="10"/>
  <c r="D4965" i="10"/>
  <c r="E4964" i="10"/>
  <c r="D4964" i="10"/>
  <c r="E4963" i="10"/>
  <c r="D4963" i="10"/>
  <c r="E4962" i="10"/>
  <c r="D4962" i="10"/>
  <c r="E4961" i="10"/>
  <c r="D4961" i="10"/>
  <c r="E4960" i="10"/>
  <c r="D4960" i="10"/>
  <c r="E4959" i="10"/>
  <c r="D4959" i="10"/>
  <c r="E4958" i="10"/>
  <c r="D4958" i="10"/>
  <c r="E4957" i="10"/>
  <c r="D4957" i="10"/>
  <c r="E4956" i="10"/>
  <c r="D4956" i="10"/>
  <c r="E4955" i="10"/>
  <c r="D4955" i="10"/>
  <c r="E4954" i="10"/>
  <c r="D4954" i="10"/>
  <c r="E4953" i="10"/>
  <c r="D4953" i="10"/>
  <c r="E4952" i="10"/>
  <c r="D4952" i="10"/>
  <c r="E4951" i="10"/>
  <c r="D4951" i="10"/>
  <c r="E4950" i="10"/>
  <c r="D4950" i="10"/>
  <c r="E4949" i="10"/>
  <c r="D4949" i="10"/>
  <c r="E4948" i="10"/>
  <c r="D4948" i="10"/>
  <c r="E4947" i="10"/>
  <c r="D4947" i="10"/>
  <c r="E4946" i="10"/>
  <c r="D4946" i="10"/>
  <c r="E4945" i="10"/>
  <c r="D4945" i="10"/>
  <c r="E4944" i="10"/>
  <c r="D4944" i="10"/>
  <c r="E4943" i="10"/>
  <c r="D4943" i="10"/>
  <c r="E4942" i="10"/>
  <c r="D4942" i="10"/>
  <c r="E4941" i="10"/>
  <c r="D4941" i="10"/>
  <c r="E4940" i="10"/>
  <c r="D4940" i="10"/>
  <c r="E4939" i="10"/>
  <c r="D4939" i="10"/>
  <c r="E4938" i="10"/>
  <c r="D4938" i="10"/>
  <c r="E4937" i="10"/>
  <c r="D4937" i="10"/>
  <c r="E4936" i="10"/>
  <c r="D4936" i="10"/>
  <c r="E4935" i="10"/>
  <c r="D4935" i="10"/>
  <c r="E4934" i="10"/>
  <c r="D4934" i="10"/>
  <c r="E4933" i="10"/>
  <c r="D4933" i="10"/>
  <c r="E4932" i="10"/>
  <c r="D4932" i="10"/>
  <c r="E4931" i="10"/>
  <c r="D4931" i="10"/>
  <c r="E4930" i="10"/>
  <c r="D4930" i="10"/>
  <c r="E4929" i="10"/>
  <c r="D4929" i="10"/>
  <c r="E4928" i="10"/>
  <c r="D4928" i="10"/>
  <c r="E4927" i="10"/>
  <c r="D4927" i="10"/>
  <c r="E4926" i="10"/>
  <c r="D4926" i="10"/>
  <c r="E4925" i="10"/>
  <c r="D4925" i="10"/>
  <c r="E4924" i="10"/>
  <c r="D4924" i="10"/>
  <c r="E4923" i="10"/>
  <c r="D4923" i="10"/>
  <c r="E4922" i="10"/>
  <c r="D4922" i="10"/>
  <c r="E4921" i="10"/>
  <c r="D4921" i="10"/>
  <c r="E4920" i="10"/>
  <c r="D4920" i="10"/>
  <c r="E4919" i="10"/>
  <c r="D4919" i="10"/>
  <c r="E4918" i="10"/>
  <c r="D4918" i="10"/>
  <c r="E4917" i="10"/>
  <c r="D4917" i="10"/>
  <c r="E4916" i="10"/>
  <c r="D4916" i="10"/>
  <c r="E4915" i="10"/>
  <c r="D4915" i="10"/>
  <c r="E4914" i="10"/>
  <c r="D4914" i="10"/>
  <c r="E4913" i="10"/>
  <c r="D4913" i="10"/>
  <c r="E4912" i="10"/>
  <c r="D4912" i="10"/>
  <c r="E4911" i="10"/>
  <c r="D4911" i="10"/>
  <c r="E4910" i="10"/>
  <c r="D4910" i="10"/>
  <c r="E4909" i="10"/>
  <c r="D4909" i="10"/>
  <c r="E4908" i="10"/>
  <c r="D4908" i="10"/>
  <c r="E4907" i="10"/>
  <c r="D4907" i="10"/>
  <c r="E4906" i="10"/>
  <c r="D4906" i="10"/>
  <c r="E4905" i="10"/>
  <c r="D4905" i="10"/>
  <c r="E4904" i="10"/>
  <c r="D4904" i="10"/>
  <c r="E4903" i="10"/>
  <c r="D4903" i="10"/>
  <c r="E4902" i="10"/>
  <c r="D4902" i="10"/>
  <c r="E4901" i="10"/>
  <c r="D4901" i="10"/>
  <c r="E4900" i="10"/>
  <c r="D4900" i="10"/>
  <c r="E4899" i="10"/>
  <c r="D4899" i="10"/>
  <c r="E4898" i="10"/>
  <c r="D4898" i="10"/>
  <c r="E4897" i="10"/>
  <c r="D4897" i="10"/>
  <c r="E4896" i="10"/>
  <c r="D4896" i="10"/>
  <c r="E4895" i="10"/>
  <c r="D4895" i="10"/>
  <c r="E4894" i="10"/>
  <c r="D4894" i="10"/>
  <c r="E4893" i="10"/>
  <c r="D4893" i="10"/>
  <c r="E4892" i="10"/>
  <c r="D4892" i="10"/>
  <c r="E4891" i="10"/>
  <c r="D4891" i="10"/>
  <c r="E4890" i="10"/>
  <c r="D4890" i="10"/>
  <c r="E4889" i="10"/>
  <c r="D4889" i="10"/>
  <c r="E4888" i="10"/>
  <c r="D4888" i="10"/>
  <c r="E4887" i="10"/>
  <c r="D4887" i="10"/>
  <c r="E4886" i="10"/>
  <c r="D4886" i="10"/>
  <c r="E4885" i="10"/>
  <c r="D4885" i="10"/>
  <c r="E4884" i="10"/>
  <c r="D4884" i="10"/>
  <c r="E4883" i="10"/>
  <c r="D4883" i="10"/>
  <c r="E4882" i="10"/>
  <c r="D4882" i="10"/>
  <c r="E4881" i="10"/>
  <c r="D4881" i="10"/>
  <c r="E4880" i="10"/>
  <c r="D4880" i="10"/>
  <c r="E4879" i="10"/>
  <c r="D4879" i="10"/>
  <c r="E4878" i="10"/>
  <c r="D4878" i="10"/>
  <c r="E4877" i="10"/>
  <c r="D4877" i="10"/>
  <c r="E4876" i="10"/>
  <c r="D4876" i="10"/>
  <c r="E4875" i="10"/>
  <c r="D4875" i="10"/>
  <c r="E4874" i="10"/>
  <c r="D4874" i="10"/>
  <c r="E4873" i="10"/>
  <c r="D4873" i="10"/>
  <c r="E4872" i="10"/>
  <c r="D4872" i="10"/>
  <c r="E4871" i="10"/>
  <c r="D4871" i="10"/>
  <c r="E4870" i="10"/>
  <c r="D4870" i="10"/>
  <c r="E4869" i="10"/>
  <c r="D4869" i="10"/>
  <c r="E4868" i="10"/>
  <c r="D4868" i="10"/>
  <c r="E4867" i="10"/>
  <c r="D4867" i="10"/>
  <c r="E4866" i="10"/>
  <c r="D4866" i="10"/>
  <c r="E4865" i="10"/>
  <c r="D4865" i="10"/>
  <c r="E4864" i="10"/>
  <c r="D4864" i="10"/>
  <c r="E4863" i="10"/>
  <c r="D4863" i="10"/>
  <c r="E4862" i="10"/>
  <c r="D4862" i="10"/>
  <c r="E4861" i="10"/>
  <c r="D4861" i="10"/>
  <c r="E4860" i="10"/>
  <c r="D4860" i="10"/>
  <c r="E4859" i="10"/>
  <c r="D4859" i="10"/>
  <c r="E4858" i="10"/>
  <c r="D4858" i="10"/>
  <c r="E4857" i="10"/>
  <c r="D4857" i="10"/>
  <c r="E4856" i="10"/>
  <c r="D4856" i="10"/>
  <c r="E4855" i="10"/>
  <c r="D4855" i="10"/>
  <c r="E4854" i="10"/>
  <c r="D4854" i="10"/>
  <c r="E4853" i="10"/>
  <c r="D4853" i="10"/>
  <c r="E4852" i="10"/>
  <c r="D4852" i="10"/>
  <c r="E4851" i="10"/>
  <c r="D4851" i="10"/>
  <c r="E4850" i="10"/>
  <c r="D4850" i="10"/>
  <c r="E4849" i="10"/>
  <c r="D4849" i="10"/>
  <c r="E4848" i="10"/>
  <c r="D4848" i="10"/>
  <c r="E4847" i="10"/>
  <c r="D4847" i="10"/>
  <c r="E4846" i="10"/>
  <c r="D4846" i="10"/>
  <c r="E4845" i="10"/>
  <c r="D4845" i="10"/>
  <c r="E4844" i="10"/>
  <c r="D4844" i="10"/>
  <c r="E4843" i="10"/>
  <c r="D4843" i="10"/>
  <c r="E4842" i="10"/>
  <c r="D4842" i="10"/>
  <c r="E4841" i="10"/>
  <c r="D4841" i="10"/>
  <c r="E4840" i="10"/>
  <c r="D4840" i="10"/>
  <c r="E4839" i="10"/>
  <c r="D4839" i="10"/>
  <c r="E4838" i="10"/>
  <c r="D4838" i="10"/>
  <c r="E4837" i="10"/>
  <c r="D4837" i="10"/>
  <c r="E4836" i="10"/>
  <c r="D4836" i="10"/>
  <c r="E4835" i="10"/>
  <c r="D4835" i="10"/>
  <c r="E4834" i="10"/>
  <c r="D4834" i="10"/>
  <c r="E4833" i="10"/>
  <c r="D4833" i="10"/>
  <c r="E4832" i="10"/>
  <c r="D4832" i="10"/>
  <c r="E4831" i="10"/>
  <c r="D4831" i="10"/>
  <c r="E4830" i="10"/>
  <c r="D4830" i="10"/>
  <c r="E4829" i="10"/>
  <c r="D4829" i="10"/>
  <c r="E4828" i="10"/>
  <c r="D4828" i="10"/>
  <c r="E4827" i="10"/>
  <c r="D4827" i="10"/>
  <c r="E4826" i="10"/>
  <c r="D4826" i="10"/>
  <c r="E4825" i="10"/>
  <c r="D4825" i="10"/>
  <c r="E4824" i="10"/>
  <c r="D4824" i="10"/>
  <c r="E4823" i="10"/>
  <c r="D4823" i="10"/>
  <c r="E4822" i="10"/>
  <c r="D4822" i="10"/>
  <c r="E4821" i="10"/>
  <c r="D4821" i="10"/>
  <c r="E4820" i="10"/>
  <c r="D4820" i="10"/>
  <c r="E4819" i="10"/>
  <c r="D4819" i="10"/>
  <c r="E4818" i="10"/>
  <c r="D4818" i="10"/>
  <c r="E4817" i="10"/>
  <c r="D4817" i="10"/>
  <c r="E4816" i="10"/>
  <c r="D4816" i="10"/>
  <c r="E4815" i="10"/>
  <c r="D4815" i="10"/>
  <c r="E4814" i="10"/>
  <c r="D4814" i="10"/>
  <c r="E4813" i="10"/>
  <c r="D4813" i="10"/>
  <c r="E4812" i="10"/>
  <c r="D4812" i="10"/>
  <c r="E4811" i="10"/>
  <c r="D4811" i="10"/>
  <c r="E4810" i="10"/>
  <c r="D4810" i="10"/>
  <c r="E4809" i="10"/>
  <c r="D4809" i="10"/>
  <c r="E4808" i="10"/>
  <c r="D4808" i="10"/>
  <c r="E4807" i="10"/>
  <c r="D4807" i="10"/>
  <c r="E4806" i="10"/>
  <c r="D4806" i="10"/>
  <c r="E4805" i="10"/>
  <c r="D4805" i="10"/>
  <c r="E4804" i="10"/>
  <c r="D4804" i="10"/>
  <c r="E4803" i="10"/>
  <c r="D4803" i="10"/>
  <c r="E4802" i="10"/>
  <c r="D4802" i="10"/>
  <c r="E4801" i="10"/>
  <c r="D4801" i="10"/>
  <c r="E4800" i="10"/>
  <c r="D4800" i="10"/>
  <c r="E4799" i="10"/>
  <c r="D4799" i="10"/>
  <c r="E4798" i="10"/>
  <c r="D4798" i="10"/>
  <c r="E4797" i="10"/>
  <c r="D4797" i="10"/>
  <c r="E4796" i="10"/>
  <c r="D4796" i="10"/>
  <c r="E4795" i="10"/>
  <c r="D4795" i="10"/>
  <c r="E4794" i="10"/>
  <c r="D4794" i="10"/>
  <c r="E4793" i="10"/>
  <c r="D4793" i="10"/>
  <c r="E4792" i="10"/>
  <c r="D4792" i="10"/>
  <c r="E4791" i="10"/>
  <c r="D4791" i="10"/>
  <c r="E4790" i="10"/>
  <c r="D4790" i="10"/>
  <c r="E4789" i="10"/>
  <c r="D4789" i="10"/>
  <c r="E4788" i="10"/>
  <c r="D4788" i="10"/>
  <c r="E4787" i="10"/>
  <c r="D4787" i="10"/>
  <c r="E4786" i="10"/>
  <c r="D4786" i="10"/>
  <c r="E4785" i="10"/>
  <c r="D4785" i="10"/>
  <c r="E4784" i="10"/>
  <c r="D4784" i="10"/>
  <c r="E4783" i="10"/>
  <c r="D4783" i="10"/>
  <c r="E4782" i="10"/>
  <c r="D4782" i="10"/>
  <c r="E4781" i="10"/>
  <c r="D4781" i="10"/>
  <c r="E4780" i="10"/>
  <c r="D4780" i="10"/>
  <c r="E4779" i="10"/>
  <c r="D4779" i="10"/>
  <c r="E4778" i="10"/>
  <c r="D4778" i="10"/>
  <c r="E4777" i="10"/>
  <c r="D4777" i="10"/>
  <c r="E4776" i="10"/>
  <c r="D4776" i="10"/>
  <c r="E4775" i="10"/>
  <c r="D4775" i="10"/>
  <c r="E4774" i="10"/>
  <c r="D4774" i="10"/>
  <c r="E4773" i="10"/>
  <c r="D4773" i="10"/>
  <c r="E4772" i="10"/>
  <c r="D4772" i="10"/>
  <c r="E4771" i="10"/>
  <c r="D4771" i="10"/>
  <c r="E4770" i="10"/>
  <c r="D4770" i="10"/>
  <c r="E4769" i="10"/>
  <c r="D4769" i="10"/>
  <c r="E4768" i="10"/>
  <c r="D4768" i="10"/>
  <c r="E4767" i="10"/>
  <c r="D4767" i="10"/>
  <c r="E4766" i="10"/>
  <c r="D4766" i="10"/>
  <c r="E4765" i="10"/>
  <c r="D4765" i="10"/>
  <c r="E4764" i="10"/>
  <c r="D4764" i="10"/>
  <c r="E4763" i="10"/>
  <c r="D4763" i="10"/>
  <c r="E4762" i="10"/>
  <c r="D4762" i="10"/>
  <c r="E4761" i="10"/>
  <c r="D4761" i="10"/>
  <c r="E4760" i="10"/>
  <c r="D4760" i="10"/>
  <c r="E4759" i="10"/>
  <c r="D4759" i="10"/>
  <c r="E4758" i="10"/>
  <c r="D4758" i="10"/>
  <c r="E4757" i="10"/>
  <c r="D4757" i="10"/>
  <c r="E4756" i="10"/>
  <c r="D4756" i="10"/>
  <c r="E4755" i="10"/>
  <c r="D4755" i="10"/>
  <c r="E4754" i="10"/>
  <c r="D4754" i="10"/>
  <c r="E4753" i="10"/>
  <c r="D4753" i="10"/>
  <c r="E4752" i="10"/>
  <c r="D4752" i="10"/>
  <c r="E4751" i="10"/>
  <c r="D4751" i="10"/>
  <c r="E4750" i="10"/>
  <c r="D4750" i="10"/>
  <c r="E4749" i="10"/>
  <c r="D4749" i="10"/>
  <c r="E4748" i="10"/>
  <c r="D4748" i="10"/>
  <c r="E4747" i="10"/>
  <c r="D4747" i="10"/>
  <c r="E4746" i="10"/>
  <c r="D4746" i="10"/>
  <c r="E4745" i="10"/>
  <c r="D4745" i="10"/>
  <c r="E4744" i="10"/>
  <c r="D4744" i="10"/>
  <c r="E4743" i="10"/>
  <c r="D4743" i="10"/>
  <c r="E4742" i="10"/>
  <c r="D4742" i="10"/>
  <c r="E4741" i="10"/>
  <c r="D4741" i="10"/>
  <c r="E4740" i="10"/>
  <c r="D4740" i="10"/>
  <c r="E4739" i="10"/>
  <c r="D4739" i="10"/>
  <c r="E4738" i="10"/>
  <c r="D4738" i="10"/>
  <c r="E4737" i="10"/>
  <c r="D4737" i="10"/>
  <c r="E4736" i="10"/>
  <c r="D4736" i="10"/>
  <c r="E4735" i="10"/>
  <c r="D4735" i="10"/>
  <c r="E4734" i="10"/>
  <c r="D4734" i="10"/>
  <c r="E4733" i="10"/>
  <c r="D4733" i="10"/>
  <c r="E4732" i="10"/>
  <c r="D4732" i="10"/>
  <c r="E4731" i="10"/>
  <c r="D4731" i="10"/>
  <c r="E4730" i="10"/>
  <c r="D4730" i="10"/>
  <c r="E4729" i="10"/>
  <c r="D4729" i="10"/>
  <c r="E4728" i="10"/>
  <c r="D4728" i="10"/>
  <c r="E4727" i="10"/>
  <c r="D4727" i="10"/>
  <c r="E4726" i="10"/>
  <c r="D4726" i="10"/>
  <c r="E4725" i="10"/>
  <c r="D4725" i="10"/>
  <c r="E4724" i="10"/>
  <c r="D4724" i="10"/>
  <c r="E4723" i="10"/>
  <c r="D4723" i="10"/>
  <c r="E4722" i="10"/>
  <c r="D4722" i="10"/>
  <c r="E4721" i="10"/>
  <c r="D4721" i="10"/>
  <c r="E4720" i="10"/>
  <c r="D4720" i="10"/>
  <c r="E4719" i="10"/>
  <c r="D4719" i="10"/>
  <c r="E4718" i="10"/>
  <c r="D4718" i="10"/>
  <c r="E4717" i="10"/>
  <c r="D4717" i="10"/>
  <c r="E4716" i="10"/>
  <c r="D4716" i="10"/>
  <c r="E4715" i="10"/>
  <c r="D4715" i="10"/>
  <c r="E4714" i="10"/>
  <c r="D4714" i="10"/>
  <c r="E4713" i="10"/>
  <c r="D4713" i="10"/>
  <c r="E4712" i="10"/>
  <c r="D4712" i="10"/>
  <c r="E4711" i="10"/>
  <c r="D4711" i="10"/>
  <c r="E4710" i="10"/>
  <c r="D4710" i="10"/>
  <c r="E4709" i="10"/>
  <c r="D4709" i="10"/>
  <c r="E4708" i="10"/>
  <c r="D4708" i="10"/>
  <c r="E4707" i="10"/>
  <c r="D4707" i="10"/>
  <c r="E4706" i="10"/>
  <c r="D4706" i="10"/>
  <c r="E4705" i="10"/>
  <c r="D4705" i="10"/>
  <c r="E4704" i="10"/>
  <c r="D4704" i="10"/>
  <c r="E4703" i="10"/>
  <c r="D4703" i="10"/>
  <c r="E4702" i="10"/>
  <c r="D4702" i="10"/>
  <c r="E4701" i="10"/>
  <c r="D4701" i="10"/>
  <c r="E4700" i="10"/>
  <c r="D4700" i="10"/>
  <c r="E4699" i="10"/>
  <c r="D4699" i="10"/>
  <c r="E4698" i="10"/>
  <c r="D4698" i="10"/>
  <c r="E4697" i="10"/>
  <c r="D4697" i="10"/>
  <c r="E4696" i="10"/>
  <c r="D4696" i="10"/>
  <c r="E4695" i="10"/>
  <c r="D4695" i="10"/>
  <c r="E4694" i="10"/>
  <c r="D4694" i="10"/>
  <c r="E4693" i="10"/>
  <c r="D4693" i="10"/>
  <c r="E4692" i="10"/>
  <c r="D4692" i="10"/>
  <c r="E4691" i="10"/>
  <c r="D4691" i="10"/>
  <c r="E4690" i="10"/>
  <c r="D4690" i="10"/>
  <c r="E4689" i="10"/>
  <c r="D4689" i="10"/>
  <c r="E4688" i="10"/>
  <c r="D4688" i="10"/>
  <c r="E4687" i="10"/>
  <c r="D4687" i="10"/>
  <c r="E4686" i="10"/>
  <c r="D4686" i="10"/>
  <c r="E4685" i="10"/>
  <c r="D4685" i="10"/>
  <c r="E4684" i="10"/>
  <c r="D4684" i="10"/>
  <c r="E4683" i="10"/>
  <c r="D4683" i="10"/>
  <c r="E4682" i="10"/>
  <c r="D4682" i="10"/>
  <c r="E4681" i="10"/>
  <c r="D4681" i="10"/>
  <c r="E4680" i="10"/>
  <c r="D4680" i="10"/>
  <c r="E4679" i="10"/>
  <c r="D4679" i="10"/>
  <c r="E4678" i="10"/>
  <c r="D4678" i="10"/>
  <c r="E4677" i="10"/>
  <c r="D4677" i="10"/>
  <c r="E4676" i="10"/>
  <c r="D4676" i="10"/>
  <c r="E4675" i="10"/>
  <c r="D4675" i="10"/>
  <c r="E4674" i="10"/>
  <c r="D4674" i="10"/>
  <c r="E4673" i="10"/>
  <c r="D4673" i="10"/>
  <c r="E4672" i="10"/>
  <c r="D4672" i="10"/>
  <c r="E4671" i="10"/>
  <c r="D4671" i="10"/>
  <c r="E4670" i="10"/>
  <c r="D4670" i="10"/>
  <c r="E4669" i="10"/>
  <c r="D4669" i="10"/>
  <c r="E4668" i="10"/>
  <c r="D4668" i="10"/>
  <c r="E4667" i="10"/>
  <c r="D4667" i="10"/>
  <c r="E4666" i="10"/>
  <c r="D4666" i="10"/>
  <c r="E4665" i="10"/>
  <c r="D4665" i="10"/>
  <c r="E4664" i="10"/>
  <c r="D4664" i="10"/>
  <c r="E4663" i="10"/>
  <c r="D4663" i="10"/>
  <c r="E4662" i="10"/>
  <c r="D4662" i="10"/>
  <c r="E4661" i="10"/>
  <c r="D4661" i="10"/>
  <c r="E4660" i="10"/>
  <c r="D4660" i="10"/>
  <c r="E4659" i="10"/>
  <c r="D4659" i="10"/>
  <c r="E4658" i="10"/>
  <c r="D4658" i="10"/>
  <c r="E4657" i="10"/>
  <c r="D4657" i="10"/>
  <c r="E4656" i="10"/>
  <c r="D4656" i="10"/>
  <c r="E4655" i="10"/>
  <c r="D4655" i="10"/>
  <c r="E4654" i="10"/>
  <c r="D4654" i="10"/>
  <c r="E4653" i="10"/>
  <c r="D4653" i="10"/>
  <c r="E4652" i="10"/>
  <c r="D4652" i="10"/>
  <c r="E4651" i="10"/>
  <c r="D4651" i="10"/>
  <c r="E4650" i="10"/>
  <c r="D4650" i="10"/>
  <c r="E4649" i="10"/>
  <c r="D4649" i="10"/>
  <c r="E4648" i="10"/>
  <c r="D4648" i="10"/>
  <c r="E4647" i="10"/>
  <c r="D4647" i="10"/>
  <c r="E4646" i="10"/>
  <c r="D4646" i="10"/>
  <c r="E4645" i="10"/>
  <c r="D4645" i="10"/>
  <c r="E4644" i="10"/>
  <c r="D4644" i="10"/>
  <c r="E4643" i="10"/>
  <c r="D4643" i="10"/>
  <c r="E4642" i="10"/>
  <c r="D4642" i="10"/>
  <c r="E4641" i="10"/>
  <c r="D4641" i="10"/>
  <c r="E4640" i="10"/>
  <c r="D4640" i="10"/>
  <c r="E4639" i="10"/>
  <c r="D4639" i="10"/>
  <c r="E4638" i="10"/>
  <c r="D4638" i="10"/>
  <c r="E4637" i="10"/>
  <c r="D4637" i="10"/>
  <c r="E4636" i="10"/>
  <c r="D4636" i="10"/>
  <c r="E4635" i="10"/>
  <c r="D4635" i="10"/>
  <c r="E4634" i="10"/>
  <c r="D4634" i="10"/>
  <c r="E4633" i="10"/>
  <c r="D4633" i="10"/>
  <c r="E4632" i="10"/>
  <c r="D4632" i="10"/>
  <c r="E4631" i="10"/>
  <c r="D4631" i="10"/>
  <c r="E4630" i="10"/>
  <c r="D4630" i="10"/>
  <c r="E4629" i="10"/>
  <c r="D4629" i="10"/>
  <c r="E4628" i="10"/>
  <c r="D4628" i="10"/>
  <c r="E4627" i="10"/>
  <c r="D4627" i="10"/>
  <c r="E4626" i="10"/>
  <c r="D4626" i="10"/>
  <c r="E4625" i="10"/>
  <c r="D4625" i="10"/>
  <c r="E4624" i="10"/>
  <c r="D4624" i="10"/>
  <c r="E4623" i="10"/>
  <c r="D4623" i="10"/>
  <c r="E4622" i="10"/>
  <c r="D4622" i="10"/>
  <c r="E4621" i="10"/>
  <c r="D4621" i="10"/>
  <c r="E4620" i="10"/>
  <c r="D4620" i="10"/>
  <c r="E4619" i="10"/>
  <c r="D4619" i="10"/>
  <c r="E4618" i="10"/>
  <c r="D4618" i="10"/>
  <c r="E4617" i="10"/>
  <c r="D4617" i="10"/>
  <c r="E4616" i="10"/>
  <c r="D4616" i="10"/>
  <c r="E4615" i="10"/>
  <c r="D4615" i="10"/>
  <c r="E4614" i="10"/>
  <c r="D4614" i="10"/>
  <c r="E4613" i="10"/>
  <c r="D4613" i="10"/>
  <c r="E4612" i="10"/>
  <c r="D4612" i="10"/>
  <c r="E4611" i="10"/>
  <c r="D4611" i="10"/>
  <c r="E4610" i="10"/>
  <c r="D4610" i="10"/>
  <c r="E4609" i="10"/>
  <c r="D4609" i="10"/>
  <c r="E4608" i="10"/>
  <c r="D4608" i="10"/>
  <c r="E4607" i="10"/>
  <c r="D4607" i="10"/>
  <c r="E4606" i="10"/>
  <c r="D4606" i="10"/>
  <c r="E4605" i="10"/>
  <c r="D4605" i="10"/>
  <c r="E4604" i="10"/>
  <c r="D4604" i="10"/>
  <c r="E4603" i="10"/>
  <c r="D4603" i="10"/>
  <c r="E4602" i="10"/>
  <c r="D4602" i="10"/>
  <c r="E4601" i="10"/>
  <c r="D4601" i="10"/>
  <c r="E4600" i="10"/>
  <c r="D4600" i="10"/>
  <c r="E4599" i="10"/>
  <c r="D4599" i="10"/>
  <c r="E4598" i="10"/>
  <c r="D4598" i="10"/>
  <c r="E4597" i="10"/>
  <c r="D4597" i="10"/>
  <c r="E4596" i="10"/>
  <c r="D4596" i="10"/>
  <c r="E4595" i="10"/>
  <c r="D4595" i="10"/>
  <c r="E4594" i="10"/>
  <c r="D4594" i="10"/>
  <c r="E4593" i="10"/>
  <c r="D4593" i="10"/>
  <c r="E4592" i="10"/>
  <c r="D4592" i="10"/>
  <c r="E4591" i="10"/>
  <c r="D4591" i="10"/>
  <c r="E4590" i="10"/>
  <c r="D4590" i="10"/>
  <c r="E4589" i="10"/>
  <c r="D4589" i="10"/>
  <c r="E4588" i="10"/>
  <c r="D4588" i="10"/>
  <c r="E4587" i="10"/>
  <c r="D4587" i="10"/>
  <c r="E4586" i="10"/>
  <c r="D4586" i="10"/>
  <c r="E4585" i="10"/>
  <c r="D4585" i="10"/>
  <c r="E4584" i="10"/>
  <c r="D4584" i="10"/>
  <c r="E4583" i="10"/>
  <c r="D4583" i="10"/>
  <c r="E4582" i="10"/>
  <c r="D4582" i="10"/>
  <c r="E4581" i="10"/>
  <c r="D4581" i="10"/>
  <c r="E4580" i="10"/>
  <c r="D4580" i="10"/>
  <c r="E4579" i="10"/>
  <c r="D4579" i="10"/>
  <c r="E4578" i="10"/>
  <c r="D4578" i="10"/>
  <c r="E4577" i="10"/>
  <c r="D4577" i="10"/>
  <c r="E4576" i="10"/>
  <c r="D4576" i="10"/>
  <c r="E4575" i="10"/>
  <c r="D4575" i="10"/>
  <c r="E4574" i="10"/>
  <c r="D4574" i="10"/>
  <c r="E4573" i="10"/>
  <c r="D4573" i="10"/>
  <c r="E4572" i="10"/>
  <c r="D4572" i="10"/>
  <c r="E4571" i="10"/>
  <c r="D4571" i="10"/>
  <c r="E4570" i="10"/>
  <c r="D4570" i="10"/>
  <c r="E4569" i="10"/>
  <c r="D4569" i="10"/>
  <c r="E4568" i="10"/>
  <c r="D4568" i="10"/>
  <c r="E4567" i="10"/>
  <c r="D4567" i="10"/>
  <c r="E4566" i="10"/>
  <c r="D4566" i="10"/>
  <c r="E4565" i="10"/>
  <c r="D4565" i="10"/>
  <c r="E4564" i="10"/>
  <c r="D4564" i="10"/>
  <c r="E4563" i="10"/>
  <c r="D4563" i="10"/>
  <c r="E4562" i="10"/>
  <c r="D4562" i="10"/>
  <c r="E4561" i="10"/>
  <c r="D4561" i="10"/>
  <c r="E4560" i="10"/>
  <c r="D4560" i="10"/>
  <c r="E4559" i="10"/>
  <c r="D4559" i="10"/>
  <c r="E4558" i="10"/>
  <c r="D4558" i="10"/>
  <c r="E4557" i="10"/>
  <c r="D4557" i="10"/>
  <c r="E4556" i="10"/>
  <c r="D4556" i="10"/>
  <c r="E4555" i="10"/>
  <c r="D4555" i="10"/>
  <c r="E4554" i="10"/>
  <c r="D4554" i="10"/>
  <c r="E4553" i="10"/>
  <c r="D4553" i="10"/>
  <c r="E4552" i="10"/>
  <c r="D4552" i="10"/>
  <c r="E4551" i="10"/>
  <c r="D4551" i="10"/>
  <c r="E4550" i="10"/>
  <c r="D4550" i="10"/>
  <c r="E4549" i="10"/>
  <c r="D4549" i="10"/>
  <c r="E4548" i="10"/>
  <c r="D4548" i="10"/>
  <c r="E4547" i="10"/>
  <c r="D4547" i="10"/>
  <c r="E4546" i="10"/>
  <c r="D4546" i="10"/>
  <c r="E4545" i="10"/>
  <c r="D4545" i="10"/>
  <c r="E4544" i="10"/>
  <c r="D4544" i="10"/>
  <c r="E4543" i="10"/>
  <c r="D4543" i="10"/>
  <c r="E4542" i="10"/>
  <c r="D4542" i="10"/>
  <c r="E4541" i="10"/>
  <c r="D4541" i="10"/>
  <c r="E4540" i="10"/>
  <c r="D4540" i="10"/>
  <c r="E4539" i="10"/>
  <c r="D4539" i="10"/>
  <c r="E4538" i="10"/>
  <c r="D4538" i="10"/>
  <c r="E4537" i="10"/>
  <c r="D4537" i="10"/>
  <c r="E4536" i="10"/>
  <c r="D4536" i="10"/>
  <c r="E4535" i="10"/>
  <c r="D4535" i="10"/>
  <c r="E4534" i="10"/>
  <c r="D4534" i="10"/>
  <c r="E4533" i="10"/>
  <c r="D4533" i="10"/>
  <c r="E4532" i="10"/>
  <c r="D4532" i="10"/>
  <c r="E4531" i="10"/>
  <c r="D4531" i="10"/>
  <c r="E4530" i="10"/>
  <c r="D4530" i="10"/>
  <c r="E4529" i="10"/>
  <c r="D4529" i="10"/>
  <c r="E4528" i="10"/>
  <c r="D4528" i="10"/>
  <c r="E4527" i="10"/>
  <c r="D4527" i="10"/>
  <c r="E4526" i="10"/>
  <c r="D4526" i="10"/>
  <c r="E4525" i="10"/>
  <c r="D4525" i="10"/>
  <c r="E4524" i="10"/>
  <c r="D4524" i="10"/>
  <c r="E4523" i="10"/>
  <c r="D4523" i="10"/>
  <c r="E4522" i="10"/>
  <c r="D4522" i="10"/>
  <c r="E4521" i="10"/>
  <c r="D4521" i="10"/>
  <c r="E4520" i="10"/>
  <c r="D4520" i="10"/>
  <c r="E4519" i="10"/>
  <c r="D4519" i="10"/>
  <c r="E4518" i="10"/>
  <c r="D4518" i="10"/>
  <c r="E4517" i="10"/>
  <c r="D4517" i="10"/>
  <c r="E4516" i="10"/>
  <c r="D4516" i="10"/>
  <c r="E4515" i="10"/>
  <c r="D4515" i="10"/>
  <c r="E4514" i="10"/>
  <c r="D4514" i="10"/>
  <c r="E4513" i="10"/>
  <c r="D4513" i="10"/>
  <c r="E4512" i="10"/>
  <c r="D4512" i="10"/>
  <c r="E4511" i="10"/>
  <c r="D4511" i="10"/>
  <c r="E4510" i="10"/>
  <c r="D4510" i="10"/>
  <c r="E4509" i="10"/>
  <c r="D4509" i="10"/>
  <c r="E4508" i="10"/>
  <c r="D4508" i="10"/>
  <c r="E4507" i="10"/>
  <c r="D4507" i="10"/>
  <c r="E4506" i="10"/>
  <c r="D4506" i="10"/>
  <c r="E4505" i="10"/>
  <c r="D4505" i="10"/>
  <c r="E4504" i="10"/>
  <c r="D4504" i="10"/>
  <c r="E4503" i="10"/>
  <c r="D4503" i="10"/>
  <c r="E4502" i="10"/>
  <c r="D4502" i="10"/>
  <c r="E4501" i="10"/>
  <c r="D4501" i="10"/>
  <c r="E4500" i="10"/>
  <c r="D4500" i="10"/>
  <c r="E4499" i="10"/>
  <c r="D4499" i="10"/>
  <c r="E4498" i="10"/>
  <c r="D4498" i="10"/>
  <c r="E4497" i="10"/>
  <c r="D4497" i="10"/>
  <c r="E4496" i="10"/>
  <c r="D4496" i="10"/>
  <c r="E4495" i="10"/>
  <c r="D4495" i="10"/>
  <c r="E4494" i="10"/>
  <c r="D4494" i="10"/>
  <c r="E4493" i="10"/>
  <c r="D4493" i="10"/>
  <c r="E4492" i="10"/>
  <c r="D4492" i="10"/>
  <c r="E4491" i="10"/>
  <c r="D4491" i="10"/>
  <c r="E4490" i="10"/>
  <c r="D4490" i="10"/>
  <c r="E4489" i="10"/>
  <c r="D4489" i="10"/>
  <c r="E4488" i="10"/>
  <c r="D4488" i="10"/>
  <c r="E4487" i="10"/>
  <c r="D4487" i="10"/>
  <c r="E4486" i="10"/>
  <c r="D4486" i="10"/>
  <c r="E4485" i="10"/>
  <c r="D4485" i="10"/>
  <c r="E4484" i="10"/>
  <c r="D4484" i="10"/>
  <c r="E4483" i="10"/>
  <c r="D4483" i="10"/>
  <c r="E4482" i="10"/>
  <c r="D4482" i="10"/>
  <c r="E4481" i="10"/>
  <c r="D4481" i="10"/>
  <c r="E4480" i="10"/>
  <c r="D4480" i="10"/>
  <c r="E4479" i="10"/>
  <c r="D4479" i="10"/>
  <c r="E4478" i="10"/>
  <c r="D4478" i="10"/>
  <c r="E4477" i="10"/>
  <c r="D4477" i="10"/>
  <c r="E4476" i="10"/>
  <c r="D4476" i="10"/>
  <c r="E4475" i="10"/>
  <c r="D4475" i="10"/>
  <c r="E4474" i="10"/>
  <c r="D4474" i="10"/>
  <c r="E4473" i="10"/>
  <c r="D4473" i="10"/>
  <c r="E4472" i="10"/>
  <c r="D4472" i="10"/>
  <c r="E4471" i="10"/>
  <c r="D4471" i="10"/>
  <c r="E4470" i="10"/>
  <c r="D4470" i="10"/>
  <c r="E4469" i="10"/>
  <c r="D4469" i="10"/>
  <c r="E4468" i="10"/>
  <c r="D4468" i="10"/>
  <c r="E4467" i="10"/>
  <c r="D4467" i="10"/>
  <c r="E4466" i="10"/>
  <c r="D4466" i="10"/>
  <c r="E4465" i="10"/>
  <c r="D4465" i="10"/>
  <c r="E4464" i="10"/>
  <c r="D4464" i="10"/>
  <c r="E4463" i="10"/>
  <c r="D4463" i="10"/>
  <c r="E4462" i="10"/>
  <c r="D4462" i="10"/>
  <c r="E4461" i="10"/>
  <c r="D4461" i="10"/>
  <c r="E4460" i="10"/>
  <c r="D4460" i="10"/>
  <c r="E4459" i="10"/>
  <c r="D4459" i="10"/>
  <c r="E4458" i="10"/>
  <c r="D4458" i="10"/>
  <c r="E4457" i="10"/>
  <c r="D4457" i="10"/>
  <c r="E4456" i="10"/>
  <c r="D4456" i="10"/>
  <c r="E4455" i="10"/>
  <c r="D4455" i="10"/>
  <c r="E4454" i="10"/>
  <c r="D4454" i="10"/>
  <c r="E4453" i="10"/>
  <c r="D4453" i="10"/>
  <c r="E4452" i="10"/>
  <c r="D4452" i="10"/>
  <c r="E4451" i="10"/>
  <c r="D4451" i="10"/>
  <c r="E4450" i="10"/>
  <c r="D4450" i="10"/>
  <c r="E4449" i="10"/>
  <c r="D4449" i="10"/>
  <c r="E4448" i="10"/>
  <c r="D4448" i="10"/>
  <c r="E4447" i="10"/>
  <c r="D4447" i="10"/>
  <c r="E4446" i="10"/>
  <c r="D4446" i="10"/>
  <c r="E4445" i="10"/>
  <c r="D4445" i="10"/>
  <c r="E4444" i="10"/>
  <c r="D4444" i="10"/>
  <c r="E4443" i="10"/>
  <c r="D4443" i="10"/>
  <c r="E4442" i="10"/>
  <c r="D4442" i="10"/>
  <c r="E4441" i="10"/>
  <c r="D4441" i="10"/>
  <c r="E4440" i="10"/>
  <c r="D4440" i="10"/>
  <c r="E4439" i="10"/>
  <c r="D4439" i="10"/>
  <c r="E4438" i="10"/>
  <c r="D4438" i="10"/>
  <c r="E4437" i="10"/>
  <c r="D4437" i="10"/>
  <c r="E4436" i="10"/>
  <c r="D4436" i="10"/>
  <c r="E4435" i="10"/>
  <c r="D4435" i="10"/>
  <c r="E4434" i="10"/>
  <c r="D4434" i="10"/>
  <c r="E4433" i="10"/>
  <c r="D4433" i="10"/>
  <c r="E4432" i="10"/>
  <c r="D4432" i="10"/>
  <c r="E4431" i="10"/>
  <c r="D4431" i="10"/>
  <c r="E4430" i="10"/>
  <c r="D4430" i="10"/>
  <c r="E4429" i="10"/>
  <c r="D4429" i="10"/>
  <c r="E4428" i="10"/>
  <c r="D4428" i="10"/>
  <c r="E4427" i="10"/>
  <c r="D4427" i="10"/>
  <c r="E4426" i="10"/>
  <c r="D4426" i="10"/>
  <c r="E4425" i="10"/>
  <c r="D4425" i="10"/>
  <c r="E4424" i="10"/>
  <c r="D4424" i="10"/>
  <c r="E4423" i="10"/>
  <c r="D4423" i="10"/>
  <c r="E4422" i="10"/>
  <c r="D4422" i="10"/>
  <c r="E4421" i="10"/>
  <c r="D4421" i="10"/>
  <c r="E4420" i="10"/>
  <c r="D4420" i="10"/>
  <c r="E4419" i="10"/>
  <c r="D4419" i="10"/>
  <c r="E4418" i="10"/>
  <c r="D4418" i="10"/>
  <c r="E4417" i="10"/>
  <c r="D4417" i="10"/>
  <c r="E4416" i="10"/>
  <c r="D4416" i="10"/>
  <c r="E4415" i="10"/>
  <c r="D4415" i="10"/>
  <c r="E4414" i="10"/>
  <c r="D4414" i="10"/>
  <c r="E4413" i="10"/>
  <c r="D4413" i="10"/>
  <c r="E4412" i="10"/>
  <c r="D4412" i="10"/>
  <c r="E4411" i="10"/>
  <c r="D4411" i="10"/>
  <c r="E4410" i="10"/>
  <c r="D4410" i="10"/>
  <c r="E4409" i="10"/>
  <c r="D4409" i="10"/>
  <c r="E4408" i="10"/>
  <c r="D4408" i="10"/>
  <c r="E4407" i="10"/>
  <c r="D4407" i="10"/>
  <c r="E4406" i="10"/>
  <c r="D4406" i="10"/>
  <c r="E4405" i="10"/>
  <c r="D4405" i="10"/>
  <c r="E4404" i="10"/>
  <c r="D4404" i="10"/>
  <c r="E4403" i="10"/>
  <c r="D4403" i="10"/>
  <c r="E4402" i="10"/>
  <c r="D4402" i="10"/>
  <c r="E4401" i="10"/>
  <c r="D4401" i="10"/>
  <c r="E4400" i="10"/>
  <c r="D4400" i="10"/>
  <c r="E4399" i="10"/>
  <c r="D4399" i="10"/>
  <c r="E4398" i="10"/>
  <c r="D4398" i="10"/>
  <c r="E4397" i="10"/>
  <c r="D4397" i="10"/>
  <c r="E4396" i="10"/>
  <c r="D4396" i="10"/>
  <c r="E4395" i="10"/>
  <c r="D4395" i="10"/>
  <c r="E4394" i="10"/>
  <c r="D4394" i="10"/>
  <c r="E4393" i="10"/>
  <c r="D4393" i="10"/>
  <c r="E4392" i="10"/>
  <c r="D4392" i="10"/>
  <c r="E4391" i="10"/>
  <c r="D4391" i="10"/>
  <c r="E4390" i="10"/>
  <c r="D4390" i="10"/>
  <c r="E4389" i="10"/>
  <c r="D4389" i="10"/>
  <c r="E4388" i="10"/>
  <c r="D4388" i="10"/>
  <c r="E4387" i="10"/>
  <c r="D4387" i="10"/>
  <c r="E4386" i="10"/>
  <c r="D4386" i="10"/>
  <c r="E4385" i="10"/>
  <c r="D4385" i="10"/>
  <c r="E4384" i="10"/>
  <c r="D4384" i="10"/>
  <c r="E4383" i="10"/>
  <c r="D4383" i="10"/>
  <c r="E4382" i="10"/>
  <c r="D4382" i="10"/>
  <c r="E4381" i="10"/>
  <c r="D4381" i="10"/>
  <c r="E4380" i="10"/>
  <c r="D4380" i="10"/>
  <c r="E4379" i="10"/>
  <c r="D4379" i="10"/>
  <c r="E4378" i="10"/>
  <c r="D4378" i="10"/>
  <c r="E4377" i="10"/>
  <c r="D4377" i="10"/>
  <c r="E4376" i="10"/>
  <c r="D4376" i="10"/>
  <c r="E4375" i="10"/>
  <c r="D4375" i="10"/>
  <c r="E4374" i="10"/>
  <c r="D4374" i="10"/>
  <c r="E4373" i="10"/>
  <c r="D4373" i="10"/>
  <c r="E4372" i="10"/>
  <c r="D4372" i="10"/>
  <c r="E4371" i="10"/>
  <c r="D4371" i="10"/>
  <c r="E4370" i="10"/>
  <c r="D4370" i="10"/>
  <c r="E4369" i="10"/>
  <c r="D4369" i="10"/>
  <c r="E4368" i="10"/>
  <c r="D4368" i="10"/>
  <c r="E4367" i="10"/>
  <c r="D4367" i="10"/>
  <c r="E4366" i="10"/>
  <c r="D4366" i="10"/>
  <c r="E4365" i="10"/>
  <c r="D4365" i="10"/>
  <c r="E4364" i="10"/>
  <c r="D4364" i="10"/>
  <c r="E4363" i="10"/>
  <c r="D4363" i="10"/>
  <c r="E4362" i="10"/>
  <c r="D4362" i="10"/>
  <c r="E4361" i="10"/>
  <c r="D4361" i="10"/>
  <c r="E4360" i="10"/>
  <c r="D4360" i="10"/>
  <c r="E4359" i="10"/>
  <c r="D4359" i="10"/>
  <c r="E4358" i="10"/>
  <c r="D4358" i="10"/>
  <c r="E4357" i="10"/>
  <c r="D4357" i="10"/>
  <c r="E4356" i="10"/>
  <c r="D4356" i="10"/>
  <c r="E4355" i="10"/>
  <c r="D4355" i="10"/>
  <c r="E4354" i="10"/>
  <c r="D4354" i="10"/>
  <c r="E4353" i="10"/>
  <c r="D4353" i="10"/>
  <c r="E4352" i="10"/>
  <c r="D4352" i="10"/>
  <c r="E4351" i="10"/>
  <c r="D4351" i="10"/>
  <c r="E4350" i="10"/>
  <c r="D4350" i="10"/>
  <c r="E4349" i="10"/>
  <c r="D4349" i="10"/>
  <c r="E4348" i="10"/>
  <c r="D4348" i="10"/>
  <c r="E4347" i="10"/>
  <c r="D4347" i="10"/>
  <c r="E4346" i="10"/>
  <c r="D4346" i="10"/>
  <c r="E4345" i="10"/>
  <c r="D4345" i="10"/>
  <c r="E4344" i="10"/>
  <c r="D4344" i="10"/>
  <c r="E4343" i="10"/>
  <c r="D4343" i="10"/>
  <c r="E4342" i="10"/>
  <c r="D4342" i="10"/>
  <c r="E4341" i="10"/>
  <c r="D4341" i="10"/>
  <c r="E4340" i="10"/>
  <c r="D4340" i="10"/>
  <c r="E4339" i="10"/>
  <c r="D4339" i="10"/>
  <c r="E4338" i="10"/>
  <c r="D4338" i="10"/>
  <c r="E4337" i="10"/>
  <c r="D4337" i="10"/>
  <c r="E4336" i="10"/>
  <c r="D4336" i="10"/>
  <c r="E4335" i="10"/>
  <c r="D4335" i="10"/>
  <c r="E4334" i="10"/>
  <c r="D4334" i="10"/>
  <c r="E4333" i="10"/>
  <c r="D4333" i="10"/>
  <c r="E4332" i="10"/>
  <c r="D4332" i="10"/>
  <c r="E4331" i="10"/>
  <c r="D4331" i="10"/>
  <c r="E4330" i="10"/>
  <c r="D4330" i="10"/>
  <c r="E4329" i="10"/>
  <c r="D4329" i="10"/>
  <c r="E4328" i="10"/>
  <c r="D4328" i="10"/>
  <c r="E4327" i="10"/>
  <c r="D4327" i="10"/>
  <c r="E4326" i="10"/>
  <c r="D4326" i="10"/>
  <c r="E4325" i="10"/>
  <c r="D4325" i="10"/>
  <c r="E4324" i="10"/>
  <c r="D4324" i="10"/>
  <c r="E4323" i="10"/>
  <c r="D4323" i="10"/>
  <c r="E4322" i="10"/>
  <c r="D4322" i="10"/>
  <c r="E4321" i="10"/>
  <c r="D4321" i="10"/>
  <c r="E4320" i="10"/>
  <c r="D4320" i="10"/>
  <c r="E4319" i="10"/>
  <c r="D4319" i="10"/>
  <c r="E4318" i="10"/>
  <c r="D4318" i="10"/>
  <c r="E4317" i="10"/>
  <c r="D4317" i="10"/>
  <c r="E4316" i="10"/>
  <c r="D4316" i="10"/>
  <c r="E4315" i="10"/>
  <c r="D4315" i="10"/>
  <c r="E4314" i="10"/>
  <c r="D4314" i="10"/>
  <c r="E4313" i="10"/>
  <c r="D4313" i="10"/>
  <c r="E4312" i="10"/>
  <c r="D4312" i="10"/>
  <c r="E4311" i="10"/>
  <c r="D4311" i="10"/>
  <c r="E4310" i="10"/>
  <c r="D4310" i="10"/>
  <c r="E4309" i="10"/>
  <c r="D4309" i="10"/>
  <c r="E4308" i="10"/>
  <c r="D4308" i="10"/>
  <c r="E4307" i="10"/>
  <c r="D4307" i="10"/>
  <c r="E4306" i="10"/>
  <c r="D4306" i="10"/>
  <c r="E4305" i="10"/>
  <c r="D4305" i="10"/>
  <c r="E4304" i="10"/>
  <c r="D4304" i="10"/>
  <c r="E4303" i="10"/>
  <c r="D4303" i="10"/>
  <c r="E4302" i="10"/>
  <c r="D4302" i="10"/>
  <c r="E4301" i="10"/>
  <c r="D4301" i="10"/>
  <c r="E4300" i="10"/>
  <c r="D4300" i="10"/>
  <c r="E4299" i="10"/>
  <c r="D4299" i="10"/>
  <c r="E4298" i="10"/>
  <c r="D4298" i="10"/>
  <c r="E4297" i="10"/>
  <c r="D4297" i="10"/>
  <c r="E4296" i="10"/>
  <c r="D4296" i="10"/>
  <c r="E4295" i="10"/>
  <c r="D4295" i="10"/>
  <c r="E4294" i="10"/>
  <c r="D4294" i="10"/>
  <c r="E4293" i="10"/>
  <c r="D4293" i="10"/>
  <c r="E4292" i="10"/>
  <c r="D4292" i="10"/>
  <c r="E4291" i="10"/>
  <c r="D4291" i="10"/>
  <c r="E4290" i="10"/>
  <c r="D4290" i="10"/>
  <c r="E4289" i="10"/>
  <c r="D4289" i="10"/>
  <c r="E4288" i="10"/>
  <c r="D4288" i="10"/>
  <c r="E4287" i="10"/>
  <c r="D4287" i="10"/>
  <c r="E4286" i="10"/>
  <c r="D4286" i="10"/>
  <c r="E4285" i="10"/>
  <c r="D4285" i="10"/>
  <c r="E4284" i="10"/>
  <c r="D4284" i="10"/>
  <c r="E4283" i="10"/>
  <c r="D4283" i="10"/>
  <c r="E4282" i="10"/>
  <c r="D4282" i="10"/>
  <c r="E4281" i="10"/>
  <c r="D4281" i="10"/>
  <c r="E4280" i="10"/>
  <c r="D4280" i="10"/>
  <c r="E4279" i="10"/>
  <c r="D4279" i="10"/>
  <c r="E4278" i="10"/>
  <c r="D4278" i="10"/>
  <c r="E4277" i="10"/>
  <c r="D4277" i="10"/>
  <c r="E4276" i="10"/>
  <c r="D4276" i="10"/>
  <c r="E4275" i="10"/>
  <c r="D4275" i="10"/>
  <c r="E4274" i="10"/>
  <c r="D4274" i="10"/>
  <c r="E4273" i="10"/>
  <c r="D4273" i="10"/>
  <c r="E4272" i="10"/>
  <c r="D4272" i="10"/>
  <c r="E4271" i="10"/>
  <c r="D4271" i="10"/>
  <c r="E4270" i="10"/>
  <c r="D4270" i="10"/>
  <c r="E4269" i="10"/>
  <c r="D4269" i="10"/>
  <c r="E4268" i="10"/>
  <c r="D4268" i="10"/>
  <c r="E4267" i="10"/>
  <c r="D4267" i="10"/>
  <c r="E4266" i="10"/>
  <c r="D4266" i="10"/>
  <c r="E4265" i="10"/>
  <c r="D4265" i="10"/>
  <c r="E4264" i="10"/>
  <c r="D4264" i="10"/>
  <c r="E4263" i="10"/>
  <c r="D4263" i="10"/>
  <c r="E4262" i="10"/>
  <c r="D4262" i="10"/>
  <c r="E4261" i="10"/>
  <c r="D4261" i="10"/>
  <c r="E4260" i="10"/>
  <c r="D4260" i="10"/>
  <c r="E4259" i="10"/>
  <c r="D4259" i="10"/>
  <c r="E4258" i="10"/>
  <c r="D4258" i="10"/>
  <c r="E4257" i="10"/>
  <c r="D4257" i="10"/>
  <c r="E4256" i="10"/>
  <c r="D4256" i="10"/>
  <c r="E4255" i="10"/>
  <c r="D4255" i="10"/>
  <c r="E4254" i="10"/>
  <c r="D4254" i="10"/>
  <c r="E4253" i="10"/>
  <c r="D4253" i="10"/>
  <c r="E4252" i="10"/>
  <c r="D4252" i="10"/>
  <c r="E4251" i="10"/>
  <c r="D4251" i="10"/>
  <c r="E4250" i="10"/>
  <c r="D4250" i="10"/>
  <c r="E4249" i="10"/>
  <c r="D4249" i="10"/>
  <c r="E4248" i="10"/>
  <c r="D4248" i="10"/>
  <c r="E4247" i="10"/>
  <c r="D4247" i="10"/>
  <c r="E4246" i="10"/>
  <c r="D4246" i="10"/>
  <c r="E4245" i="10"/>
  <c r="D4245" i="10"/>
  <c r="E4244" i="10"/>
  <c r="D4244" i="10"/>
  <c r="E4243" i="10"/>
  <c r="D4243" i="10"/>
  <c r="E4242" i="10"/>
  <c r="D4242" i="10"/>
  <c r="E4241" i="10"/>
  <c r="D4241" i="10"/>
  <c r="E4240" i="10"/>
  <c r="D4240" i="10"/>
  <c r="E4239" i="10"/>
  <c r="D4239" i="10"/>
  <c r="E4238" i="10"/>
  <c r="D4238" i="10"/>
  <c r="E4237" i="10"/>
  <c r="D4237" i="10"/>
  <c r="E4236" i="10"/>
  <c r="D4236" i="10"/>
  <c r="E4235" i="10"/>
  <c r="D4235" i="10"/>
  <c r="E4234" i="10"/>
  <c r="D4234" i="10"/>
  <c r="E4233" i="10"/>
  <c r="D4233" i="10"/>
  <c r="E4232" i="10"/>
  <c r="D4232" i="10"/>
  <c r="E4231" i="10"/>
  <c r="D4231" i="10"/>
  <c r="E4230" i="10"/>
  <c r="D4230" i="10"/>
  <c r="E4229" i="10"/>
  <c r="D4229" i="10"/>
  <c r="E4228" i="10"/>
  <c r="D4228" i="10"/>
  <c r="E4227" i="10"/>
  <c r="D4227" i="10"/>
  <c r="E4226" i="10"/>
  <c r="D4226" i="10"/>
  <c r="E4225" i="10"/>
  <c r="D4225" i="10"/>
  <c r="E4224" i="10"/>
  <c r="D4224" i="10"/>
  <c r="E4223" i="10"/>
  <c r="D4223" i="10"/>
  <c r="E4222" i="10"/>
  <c r="D4222" i="10"/>
  <c r="E4221" i="10"/>
  <c r="D4221" i="10"/>
  <c r="E4220" i="10"/>
  <c r="D4220" i="10"/>
  <c r="E4219" i="10"/>
  <c r="D4219" i="10"/>
  <c r="E4218" i="10"/>
  <c r="D4218" i="10"/>
  <c r="E4217" i="10"/>
  <c r="D4217" i="10"/>
  <c r="E4216" i="10"/>
  <c r="D4216" i="10"/>
  <c r="E4215" i="10"/>
  <c r="D4215" i="10"/>
  <c r="E4214" i="10"/>
  <c r="D4214" i="10"/>
  <c r="E4213" i="10"/>
  <c r="D4213" i="10"/>
  <c r="E4212" i="10"/>
  <c r="D4212" i="10"/>
  <c r="E4211" i="10"/>
  <c r="D4211" i="10"/>
  <c r="E4210" i="10"/>
  <c r="D4210" i="10"/>
  <c r="E4209" i="10"/>
  <c r="D4209" i="10"/>
  <c r="E4208" i="10"/>
  <c r="D4208" i="10"/>
  <c r="E4207" i="10"/>
  <c r="D4207" i="10"/>
  <c r="E4206" i="10"/>
  <c r="D4206" i="10"/>
  <c r="E4205" i="10"/>
  <c r="D4205" i="10"/>
  <c r="E4204" i="10"/>
  <c r="D4204" i="10"/>
  <c r="E4203" i="10"/>
  <c r="D4203" i="10"/>
  <c r="E4202" i="10"/>
  <c r="D4202" i="10"/>
  <c r="E4201" i="10"/>
  <c r="D4201" i="10"/>
  <c r="E4200" i="10"/>
  <c r="D4200" i="10"/>
  <c r="E4199" i="10"/>
  <c r="D4199" i="10"/>
  <c r="E4198" i="10"/>
  <c r="D4198" i="10"/>
  <c r="E4197" i="10"/>
  <c r="D4197" i="10"/>
  <c r="E4196" i="10"/>
  <c r="D4196" i="10"/>
  <c r="E4195" i="10"/>
  <c r="D4195" i="10"/>
  <c r="E4194" i="10"/>
  <c r="D4194" i="10"/>
  <c r="E4193" i="10"/>
  <c r="D4193" i="10"/>
  <c r="E4192" i="10"/>
  <c r="D4192" i="10"/>
  <c r="E4191" i="10"/>
  <c r="D4191" i="10"/>
  <c r="E4190" i="10"/>
  <c r="D4190" i="10"/>
  <c r="E4189" i="10"/>
  <c r="D4189" i="10"/>
  <c r="E4188" i="10"/>
  <c r="D4188" i="10"/>
  <c r="E4187" i="10"/>
  <c r="D4187" i="10"/>
  <c r="E4186" i="10"/>
  <c r="D4186" i="10"/>
  <c r="E4185" i="10"/>
  <c r="D4185" i="10"/>
  <c r="E4184" i="10"/>
  <c r="D4184" i="10"/>
  <c r="E4183" i="10"/>
  <c r="D4183" i="10"/>
  <c r="E4182" i="10"/>
  <c r="D4182" i="10"/>
  <c r="E4181" i="10"/>
  <c r="D4181" i="10"/>
  <c r="E4180" i="10"/>
  <c r="D4180" i="10"/>
  <c r="E4179" i="10"/>
  <c r="D4179" i="10"/>
  <c r="E4178" i="10"/>
  <c r="D4178" i="10"/>
  <c r="E4177" i="10"/>
  <c r="D4177" i="10"/>
  <c r="E4176" i="10"/>
  <c r="D4176" i="10"/>
  <c r="E4175" i="10"/>
  <c r="D4175" i="10"/>
  <c r="E4174" i="10"/>
  <c r="D4174" i="10"/>
  <c r="E4173" i="10"/>
  <c r="D4173" i="10"/>
  <c r="E4172" i="10"/>
  <c r="D4172" i="10"/>
  <c r="E4171" i="10"/>
  <c r="D4171" i="10"/>
  <c r="E4170" i="10"/>
  <c r="D4170" i="10"/>
  <c r="E4169" i="10"/>
  <c r="D4169" i="10"/>
  <c r="E4168" i="10"/>
  <c r="D4168" i="10"/>
  <c r="E4167" i="10"/>
  <c r="D4167" i="10"/>
  <c r="E4166" i="10"/>
  <c r="D4166" i="10"/>
  <c r="E4165" i="10"/>
  <c r="D4165" i="10"/>
  <c r="E4164" i="10"/>
  <c r="D4164" i="10"/>
  <c r="E4163" i="10"/>
  <c r="D4163" i="10"/>
  <c r="E4162" i="10"/>
  <c r="D4162" i="10"/>
  <c r="E4161" i="10"/>
  <c r="D4161" i="10"/>
  <c r="E4160" i="10"/>
  <c r="D4160" i="10"/>
  <c r="E4159" i="10"/>
  <c r="D4159" i="10"/>
  <c r="E4158" i="10"/>
  <c r="D4158" i="10"/>
  <c r="E4157" i="10"/>
  <c r="D4157" i="10"/>
  <c r="E4156" i="10"/>
  <c r="D4156" i="10"/>
  <c r="E4155" i="10"/>
  <c r="D4155" i="10"/>
  <c r="E4154" i="10"/>
  <c r="D4154" i="10"/>
  <c r="E4153" i="10"/>
  <c r="D4153" i="10"/>
  <c r="E4152" i="10"/>
  <c r="D4152" i="10"/>
  <c r="E4151" i="10"/>
  <c r="D4151" i="10"/>
  <c r="E4150" i="10"/>
  <c r="D4150" i="10"/>
  <c r="E4149" i="10"/>
  <c r="D4149" i="10"/>
  <c r="E4148" i="10"/>
  <c r="D4148" i="10"/>
  <c r="E4147" i="10"/>
  <c r="D4147" i="10"/>
  <c r="E4146" i="10"/>
  <c r="D4146" i="10"/>
  <c r="E4145" i="10"/>
  <c r="D4145" i="10"/>
  <c r="E4144" i="10"/>
  <c r="D4144" i="10"/>
  <c r="E4143" i="10"/>
  <c r="D4143" i="10"/>
  <c r="E4142" i="10"/>
  <c r="D4142" i="10"/>
  <c r="E4141" i="10"/>
  <c r="D4141" i="10"/>
  <c r="E4140" i="10"/>
  <c r="D4140" i="10"/>
  <c r="E4139" i="10"/>
  <c r="D4139" i="10"/>
  <c r="E4138" i="10"/>
  <c r="D4138" i="10"/>
  <c r="E4137" i="10"/>
  <c r="D4137" i="10"/>
  <c r="E4136" i="10"/>
  <c r="D4136" i="10"/>
  <c r="E4135" i="10"/>
  <c r="D4135" i="10"/>
  <c r="E4134" i="10"/>
  <c r="D4134" i="10"/>
  <c r="E4133" i="10"/>
  <c r="D4133" i="10"/>
  <c r="E4132" i="10"/>
  <c r="D4132" i="10"/>
  <c r="E4131" i="10"/>
  <c r="D4131" i="10"/>
  <c r="E4130" i="10"/>
  <c r="D4130" i="10"/>
  <c r="E4129" i="10"/>
  <c r="D4129" i="10"/>
  <c r="E4128" i="10"/>
  <c r="D4128" i="10"/>
  <c r="E4127" i="10"/>
  <c r="D4127" i="10"/>
  <c r="E4126" i="10"/>
  <c r="D4126" i="10"/>
  <c r="E4125" i="10"/>
  <c r="D4125" i="10"/>
  <c r="E4124" i="10"/>
  <c r="D4124" i="10"/>
  <c r="E4123" i="10"/>
  <c r="D4123" i="10"/>
  <c r="E4122" i="10"/>
  <c r="D4122" i="10"/>
  <c r="E4121" i="10"/>
  <c r="D4121" i="10"/>
  <c r="E4120" i="10"/>
  <c r="D4120" i="10"/>
  <c r="E4119" i="10"/>
  <c r="D4119" i="10"/>
  <c r="E4118" i="10"/>
  <c r="D4118" i="10"/>
  <c r="E4117" i="10"/>
  <c r="D4117" i="10"/>
  <c r="E4116" i="10"/>
  <c r="D4116" i="10"/>
  <c r="E4115" i="10"/>
  <c r="D4115" i="10"/>
  <c r="E4114" i="10"/>
  <c r="D4114" i="10"/>
  <c r="E4113" i="10"/>
  <c r="D4113" i="10"/>
  <c r="E4112" i="10"/>
  <c r="D4112" i="10"/>
  <c r="E4111" i="10"/>
  <c r="D4111" i="10"/>
  <c r="E4110" i="10"/>
  <c r="D4110" i="10"/>
  <c r="E4109" i="10"/>
  <c r="D4109" i="10"/>
  <c r="E4108" i="10"/>
  <c r="D4108" i="10"/>
  <c r="E4107" i="10"/>
  <c r="D4107" i="10"/>
  <c r="E4106" i="10"/>
  <c r="D4106" i="10"/>
  <c r="E4105" i="10"/>
  <c r="D4105" i="10"/>
  <c r="E4104" i="10"/>
  <c r="D4104" i="10"/>
  <c r="E4103" i="10"/>
  <c r="D4103" i="10"/>
  <c r="E4102" i="10"/>
  <c r="D4102" i="10"/>
  <c r="E4101" i="10"/>
  <c r="D4101" i="10"/>
  <c r="E4100" i="10"/>
  <c r="D4100" i="10"/>
  <c r="E4099" i="10"/>
  <c r="D4099" i="10"/>
  <c r="E4098" i="10"/>
  <c r="D4098" i="10"/>
  <c r="E4097" i="10"/>
  <c r="D4097" i="10"/>
  <c r="E4096" i="10"/>
  <c r="D4096" i="10"/>
  <c r="E4095" i="10"/>
  <c r="D4095" i="10"/>
  <c r="E4094" i="10"/>
  <c r="D4094" i="10"/>
  <c r="E4093" i="10"/>
  <c r="D4093" i="10"/>
  <c r="E4092" i="10"/>
  <c r="D4092" i="10"/>
  <c r="E4091" i="10"/>
  <c r="D4091" i="10"/>
  <c r="E4090" i="10"/>
  <c r="D4090" i="10"/>
  <c r="E4089" i="10"/>
  <c r="D4089" i="10"/>
  <c r="E4088" i="10"/>
  <c r="D4088" i="10"/>
  <c r="E4087" i="10"/>
  <c r="D4087" i="10"/>
  <c r="E4086" i="10"/>
  <c r="D4086" i="10"/>
  <c r="E4085" i="10"/>
  <c r="D4085" i="10"/>
  <c r="E4084" i="10"/>
  <c r="D4084" i="10"/>
  <c r="E4083" i="10"/>
  <c r="D4083" i="10"/>
  <c r="E4082" i="10"/>
  <c r="D4082" i="10"/>
  <c r="E4081" i="10"/>
  <c r="D4081" i="10"/>
  <c r="E4080" i="10"/>
  <c r="D4080" i="10"/>
  <c r="E4079" i="10"/>
  <c r="D4079" i="10"/>
  <c r="E4078" i="10"/>
  <c r="D4078" i="10"/>
  <c r="E4077" i="10"/>
  <c r="D4077" i="10"/>
  <c r="E4076" i="10"/>
  <c r="D4076" i="10"/>
  <c r="E4075" i="10"/>
  <c r="D4075" i="10"/>
  <c r="E4074" i="10"/>
  <c r="D4074" i="10"/>
  <c r="E4073" i="10"/>
  <c r="D4073" i="10"/>
  <c r="E4072" i="10"/>
  <c r="D4072" i="10"/>
  <c r="E4071" i="10"/>
  <c r="D4071" i="10"/>
  <c r="E4070" i="10"/>
  <c r="D4070" i="10"/>
  <c r="E4069" i="10"/>
  <c r="D4069" i="10"/>
  <c r="E4068" i="10"/>
  <c r="D4068" i="10"/>
  <c r="E4067" i="10"/>
  <c r="D4067" i="10"/>
  <c r="E4066" i="10"/>
  <c r="D4066" i="10"/>
  <c r="E4065" i="10"/>
  <c r="D4065" i="10"/>
  <c r="E4064" i="10"/>
  <c r="D4064" i="10"/>
  <c r="E4063" i="10"/>
  <c r="D4063" i="10"/>
  <c r="E4062" i="10"/>
  <c r="D4062" i="10"/>
  <c r="E4061" i="10"/>
  <c r="D4061" i="10"/>
  <c r="E4060" i="10"/>
  <c r="D4060" i="10"/>
  <c r="E4059" i="10"/>
  <c r="D4059" i="10"/>
  <c r="E4058" i="10"/>
  <c r="D4058" i="10"/>
  <c r="E4057" i="10"/>
  <c r="D4057" i="10"/>
  <c r="E4056" i="10"/>
  <c r="D4056" i="10"/>
  <c r="E4055" i="10"/>
  <c r="D4055" i="10"/>
  <c r="E4054" i="10"/>
  <c r="D4054" i="10"/>
  <c r="E4053" i="10"/>
  <c r="D4053" i="10"/>
  <c r="E4052" i="10"/>
  <c r="D4052" i="10"/>
  <c r="E4051" i="10"/>
  <c r="D4051" i="10"/>
  <c r="E4050" i="10"/>
  <c r="D4050" i="10"/>
  <c r="E4049" i="10"/>
  <c r="D4049" i="10"/>
  <c r="E4048" i="10"/>
  <c r="D4048" i="10"/>
  <c r="E4047" i="10"/>
  <c r="D4047" i="10"/>
  <c r="E4046" i="10"/>
  <c r="D4046" i="10"/>
  <c r="E4045" i="10"/>
  <c r="D4045" i="10"/>
  <c r="E4044" i="10"/>
  <c r="D4044" i="10"/>
  <c r="E4043" i="10"/>
  <c r="D4043" i="10"/>
  <c r="E4042" i="10"/>
  <c r="D4042" i="10"/>
  <c r="E4041" i="10"/>
  <c r="D4041" i="10"/>
  <c r="E4040" i="10"/>
  <c r="D4040" i="10"/>
  <c r="E4039" i="10"/>
  <c r="D4039" i="10"/>
  <c r="E4038" i="10"/>
  <c r="D4038" i="10"/>
  <c r="E4037" i="10"/>
  <c r="D4037" i="10"/>
  <c r="E4036" i="10"/>
  <c r="D4036" i="10"/>
  <c r="E4035" i="10"/>
  <c r="D4035" i="10"/>
  <c r="E4034" i="10"/>
  <c r="D4034" i="10"/>
  <c r="E4033" i="10"/>
  <c r="D4033" i="10"/>
  <c r="E4032" i="10"/>
  <c r="D4032" i="10"/>
  <c r="E4031" i="10"/>
  <c r="D4031" i="10"/>
  <c r="E4030" i="10"/>
  <c r="D4030" i="10"/>
  <c r="E4029" i="10"/>
  <c r="D4029" i="10"/>
  <c r="E4028" i="10"/>
  <c r="D4028" i="10"/>
  <c r="E4027" i="10"/>
  <c r="D4027" i="10"/>
  <c r="E4026" i="10"/>
  <c r="D4026" i="10"/>
  <c r="E4025" i="10"/>
  <c r="D4025" i="10"/>
  <c r="E4024" i="10"/>
  <c r="D4024" i="10"/>
  <c r="E4023" i="10"/>
  <c r="D4023" i="10"/>
  <c r="E4022" i="10"/>
  <c r="D4022" i="10"/>
  <c r="E4021" i="10"/>
  <c r="D4021" i="10"/>
  <c r="E4020" i="10"/>
  <c r="D4020" i="10"/>
  <c r="E4019" i="10"/>
  <c r="D4019" i="10"/>
  <c r="E4018" i="10"/>
  <c r="D4018" i="10"/>
  <c r="E4017" i="10"/>
  <c r="D4017" i="10"/>
  <c r="E4016" i="10"/>
  <c r="D4016" i="10"/>
  <c r="E4015" i="10"/>
  <c r="D4015" i="10"/>
  <c r="E4014" i="10"/>
  <c r="D4014" i="10"/>
  <c r="E4013" i="10"/>
  <c r="D4013" i="10"/>
  <c r="E4012" i="10"/>
  <c r="D4012" i="10"/>
  <c r="E4011" i="10"/>
  <c r="D4011" i="10"/>
  <c r="E4010" i="10"/>
  <c r="D4010" i="10"/>
  <c r="E4009" i="10"/>
  <c r="D4009" i="10"/>
  <c r="E4008" i="10"/>
  <c r="D4008" i="10"/>
  <c r="E4007" i="10"/>
  <c r="D4007" i="10"/>
  <c r="E4006" i="10"/>
  <c r="D4006" i="10"/>
  <c r="E4005" i="10"/>
  <c r="D4005" i="10"/>
  <c r="E4004" i="10"/>
  <c r="D4004" i="10"/>
  <c r="E4003" i="10"/>
  <c r="D4003" i="10"/>
  <c r="E4002" i="10"/>
  <c r="D4002" i="10"/>
  <c r="E4001" i="10"/>
  <c r="D4001" i="10"/>
  <c r="E4000" i="10"/>
  <c r="D4000" i="10"/>
  <c r="E3999" i="10"/>
  <c r="D3999" i="10"/>
  <c r="E3998" i="10"/>
  <c r="D3998" i="10"/>
  <c r="E3997" i="10"/>
  <c r="D3997" i="10"/>
  <c r="E3996" i="10"/>
  <c r="D3996" i="10"/>
  <c r="E3995" i="10"/>
  <c r="D3995" i="10"/>
  <c r="E3994" i="10"/>
  <c r="D3994" i="10"/>
  <c r="E3993" i="10"/>
  <c r="D3993" i="10"/>
  <c r="E3992" i="10"/>
  <c r="D3992" i="10"/>
  <c r="E3991" i="10"/>
  <c r="D3991" i="10"/>
  <c r="E3990" i="10"/>
  <c r="D3990" i="10"/>
  <c r="E3989" i="10"/>
  <c r="D3989" i="10"/>
  <c r="E3988" i="10"/>
  <c r="D3988" i="10"/>
  <c r="E3987" i="10"/>
  <c r="D3987" i="10"/>
  <c r="E3986" i="10"/>
  <c r="D3986" i="10"/>
  <c r="E3985" i="10"/>
  <c r="D3985" i="10"/>
  <c r="E3984" i="10"/>
  <c r="D3984" i="10"/>
  <c r="E3983" i="10"/>
  <c r="D3983" i="10"/>
  <c r="E3982" i="10"/>
  <c r="D3982" i="10"/>
  <c r="E3981" i="10"/>
  <c r="D3981" i="10"/>
  <c r="E3980" i="10"/>
  <c r="D3980" i="10"/>
  <c r="E3979" i="10"/>
  <c r="D3979" i="10"/>
  <c r="E3978" i="10"/>
  <c r="D3978" i="10"/>
  <c r="E3977" i="10"/>
  <c r="D3977" i="10"/>
  <c r="E3976" i="10"/>
  <c r="D3976" i="10"/>
  <c r="E3975" i="10"/>
  <c r="D3975" i="10"/>
  <c r="E3974" i="10"/>
  <c r="D3974" i="10"/>
  <c r="E3973" i="10"/>
  <c r="D3973" i="10"/>
  <c r="E3972" i="10"/>
  <c r="D3972" i="10"/>
  <c r="E3971" i="10"/>
  <c r="D3971" i="10"/>
  <c r="E3970" i="10"/>
  <c r="D3970" i="10"/>
  <c r="E3969" i="10"/>
  <c r="D3969" i="10"/>
  <c r="E3968" i="10"/>
  <c r="D3968" i="10"/>
  <c r="E3967" i="10"/>
  <c r="D3967" i="10"/>
  <c r="E3966" i="10"/>
  <c r="D3966" i="10"/>
  <c r="E3965" i="10"/>
  <c r="D3965" i="10"/>
  <c r="E3964" i="10"/>
  <c r="D3964" i="10"/>
  <c r="E3963" i="10"/>
  <c r="D3963" i="10"/>
  <c r="E3962" i="10"/>
  <c r="D3962" i="10"/>
  <c r="E3961" i="10"/>
  <c r="D3961" i="10"/>
  <c r="E3960" i="10"/>
  <c r="D3960" i="10"/>
  <c r="E3959" i="10"/>
  <c r="D3959" i="10"/>
  <c r="E3958" i="10"/>
  <c r="D3958" i="10"/>
  <c r="E3957" i="10"/>
  <c r="D3957" i="10"/>
  <c r="E3956" i="10"/>
  <c r="D3956" i="10"/>
  <c r="E3955" i="10"/>
  <c r="D3955" i="10"/>
  <c r="E3954" i="10"/>
  <c r="D3954" i="10"/>
  <c r="E3953" i="10"/>
  <c r="D3953" i="10"/>
  <c r="E3952" i="10"/>
  <c r="D3952" i="10"/>
  <c r="E3951" i="10"/>
  <c r="D3951" i="10"/>
  <c r="E3950" i="10"/>
  <c r="D3950" i="10"/>
  <c r="E3949" i="10"/>
  <c r="D3949" i="10"/>
  <c r="E3948" i="10"/>
  <c r="D3948" i="10"/>
  <c r="E3947" i="10"/>
  <c r="D3947" i="10"/>
  <c r="E3946" i="10"/>
  <c r="D3946" i="10"/>
  <c r="E3945" i="10"/>
  <c r="D3945" i="10"/>
  <c r="E3944" i="10"/>
  <c r="D3944" i="10"/>
  <c r="E3943" i="10"/>
  <c r="D3943" i="10"/>
  <c r="E3942" i="10"/>
  <c r="D3942" i="10"/>
  <c r="E3941" i="10"/>
  <c r="D3941" i="10"/>
  <c r="E3940" i="10"/>
  <c r="D3940" i="10"/>
  <c r="E3939" i="10"/>
  <c r="D3939" i="10"/>
  <c r="E3938" i="10"/>
  <c r="D3938" i="10"/>
  <c r="E3937" i="10"/>
  <c r="D3937" i="10"/>
  <c r="E3936" i="10"/>
  <c r="D3936" i="10"/>
  <c r="E3935" i="10"/>
  <c r="D3935" i="10"/>
  <c r="E3934" i="10"/>
  <c r="D3934" i="10"/>
  <c r="E3933" i="10"/>
  <c r="D3933" i="10"/>
  <c r="E3932" i="10"/>
  <c r="D3932" i="10"/>
  <c r="E3931" i="10"/>
  <c r="D3931" i="10"/>
  <c r="E3930" i="10"/>
  <c r="D3930" i="10"/>
  <c r="E3929" i="10"/>
  <c r="D3929" i="10"/>
  <c r="E3928" i="10"/>
  <c r="D3928" i="10"/>
  <c r="E3927" i="10"/>
  <c r="D3927" i="10"/>
  <c r="E3926" i="10"/>
  <c r="D3926" i="10"/>
  <c r="E3925" i="10"/>
  <c r="D3925" i="10"/>
  <c r="E3924" i="10"/>
  <c r="D3924" i="10"/>
  <c r="E3923" i="10"/>
  <c r="D3923" i="10"/>
  <c r="E3922" i="10"/>
  <c r="D3922" i="10"/>
  <c r="E3921" i="10"/>
  <c r="D3921" i="10"/>
  <c r="E3920" i="10"/>
  <c r="D3920" i="10"/>
  <c r="E3919" i="10"/>
  <c r="D3919" i="10"/>
  <c r="E3918" i="10"/>
  <c r="D3918" i="10"/>
  <c r="E3917" i="10"/>
  <c r="D3917" i="10"/>
  <c r="E3916" i="10"/>
  <c r="D3916" i="10"/>
  <c r="E3915" i="10"/>
  <c r="D3915" i="10"/>
  <c r="E3914" i="10"/>
  <c r="D3914" i="10"/>
  <c r="E3913" i="10"/>
  <c r="D3913" i="10"/>
  <c r="E3912" i="10"/>
  <c r="D3912" i="10"/>
  <c r="E3911" i="10"/>
  <c r="D3911" i="10"/>
  <c r="E3910" i="10"/>
  <c r="D3910" i="10"/>
  <c r="E3909" i="10"/>
  <c r="D3909" i="10"/>
  <c r="E3908" i="10"/>
  <c r="D3908" i="10"/>
  <c r="E3907" i="10"/>
  <c r="D3907" i="10"/>
  <c r="E3906" i="10"/>
  <c r="D3906" i="10"/>
  <c r="E3905" i="10"/>
  <c r="D3905" i="10"/>
  <c r="E3904" i="10"/>
  <c r="D3904" i="10"/>
  <c r="E3903" i="10"/>
  <c r="D3903" i="10"/>
  <c r="E3902" i="10"/>
  <c r="D3902" i="10"/>
  <c r="E3901" i="10"/>
  <c r="D3901" i="10"/>
  <c r="E3900" i="10"/>
  <c r="D3900" i="10"/>
  <c r="E3899" i="10"/>
  <c r="D3899" i="10"/>
  <c r="E3898" i="10"/>
  <c r="D3898" i="10"/>
  <c r="E3897" i="10"/>
  <c r="D3897" i="10"/>
  <c r="E3896" i="10"/>
  <c r="D3896" i="10"/>
  <c r="E3895" i="10"/>
  <c r="D3895" i="10"/>
  <c r="E3894" i="10"/>
  <c r="D3894" i="10"/>
  <c r="E3893" i="10"/>
  <c r="D3893" i="10"/>
  <c r="E3892" i="10"/>
  <c r="D3892" i="10"/>
  <c r="E3891" i="10"/>
  <c r="D3891" i="10"/>
  <c r="E3890" i="10"/>
  <c r="D3890" i="10"/>
  <c r="E3889" i="10"/>
  <c r="D3889" i="10"/>
  <c r="E3888" i="10"/>
  <c r="D3888" i="10"/>
  <c r="E3887" i="10"/>
  <c r="D3887" i="10"/>
  <c r="E3886" i="10"/>
  <c r="D3886" i="10"/>
  <c r="E3885" i="10"/>
  <c r="D3885" i="10"/>
  <c r="E3884" i="10"/>
  <c r="D3884" i="10"/>
  <c r="E3883" i="10"/>
  <c r="D3883" i="10"/>
  <c r="E3882" i="10"/>
  <c r="D3882" i="10"/>
  <c r="E3881" i="10"/>
  <c r="D3881" i="10"/>
  <c r="E3880" i="10"/>
  <c r="D3880" i="10"/>
  <c r="E3879" i="10"/>
  <c r="D3879" i="10"/>
  <c r="E3878" i="10"/>
  <c r="D3878" i="10"/>
  <c r="E3877" i="10"/>
  <c r="D3877" i="10"/>
  <c r="E3876" i="10"/>
  <c r="D3876" i="10"/>
  <c r="E3875" i="10"/>
  <c r="D3875" i="10"/>
  <c r="E3874" i="10"/>
  <c r="D3874" i="10"/>
  <c r="E3873" i="10"/>
  <c r="D3873" i="10"/>
  <c r="E3872" i="10"/>
  <c r="D3872" i="10"/>
  <c r="E3871" i="10"/>
  <c r="D3871" i="10"/>
  <c r="E3870" i="10"/>
  <c r="D3870" i="10"/>
  <c r="E3869" i="10"/>
  <c r="D3869" i="10"/>
  <c r="E3868" i="10"/>
  <c r="D3868" i="10"/>
  <c r="E3867" i="10"/>
  <c r="D3867" i="10"/>
  <c r="E3866" i="10"/>
  <c r="D3866" i="10"/>
  <c r="E3865" i="10"/>
  <c r="D3865" i="10"/>
  <c r="E3864" i="10"/>
  <c r="D3864" i="10"/>
  <c r="E3863" i="10"/>
  <c r="D3863" i="10"/>
  <c r="E3862" i="10"/>
  <c r="D3862" i="10"/>
  <c r="E3861" i="10"/>
  <c r="D3861" i="10"/>
  <c r="E3860" i="10"/>
  <c r="D3860" i="10"/>
  <c r="E3859" i="10"/>
  <c r="D3859" i="10"/>
  <c r="E3858" i="10"/>
  <c r="D3858" i="10"/>
  <c r="E3857" i="10"/>
  <c r="D3857" i="10"/>
  <c r="E3856" i="10"/>
  <c r="D3856" i="10"/>
  <c r="E3855" i="10"/>
  <c r="D3855" i="10"/>
  <c r="E3854" i="10"/>
  <c r="D3854" i="10"/>
  <c r="E3853" i="10"/>
  <c r="D3853" i="10"/>
  <c r="E3852" i="10"/>
  <c r="D3852" i="10"/>
  <c r="E3851" i="10"/>
  <c r="D3851" i="10"/>
  <c r="E3850" i="10"/>
  <c r="D3850" i="10"/>
  <c r="E3849" i="10"/>
  <c r="D3849" i="10"/>
  <c r="E3848" i="10"/>
  <c r="D3848" i="10"/>
  <c r="E3847" i="10"/>
  <c r="D3847" i="10"/>
  <c r="E3846" i="10"/>
  <c r="D3846" i="10"/>
  <c r="E3845" i="10"/>
  <c r="D3845" i="10"/>
  <c r="E3844" i="10"/>
  <c r="D3844" i="10"/>
  <c r="E3843" i="10"/>
  <c r="D3843" i="10"/>
  <c r="E3842" i="10"/>
  <c r="D3842" i="10"/>
  <c r="E3841" i="10"/>
  <c r="D3841" i="10"/>
  <c r="E3840" i="10"/>
  <c r="D3840" i="10"/>
  <c r="E3839" i="10"/>
  <c r="D3839" i="10"/>
  <c r="E3838" i="10"/>
  <c r="D3838" i="10"/>
  <c r="E3837" i="10"/>
  <c r="D3837" i="10"/>
  <c r="E3836" i="10"/>
  <c r="D3836" i="10"/>
  <c r="E3835" i="10"/>
  <c r="D3835" i="10"/>
  <c r="E3834" i="10"/>
  <c r="D3834" i="10"/>
  <c r="E3833" i="10"/>
  <c r="D3833" i="10"/>
  <c r="E3832" i="10"/>
  <c r="D3832" i="10"/>
  <c r="E3831" i="10"/>
  <c r="D3831" i="10"/>
  <c r="E3830" i="10"/>
  <c r="D3830" i="10"/>
  <c r="E3829" i="10"/>
  <c r="D3829" i="10"/>
  <c r="E3828" i="10"/>
  <c r="D3828" i="10"/>
  <c r="E3827" i="10"/>
  <c r="D3827" i="10"/>
  <c r="E3826" i="10"/>
  <c r="D3826" i="10"/>
  <c r="E3825" i="10"/>
  <c r="D3825" i="10"/>
  <c r="E3824" i="10"/>
  <c r="D3824" i="10"/>
  <c r="E3823" i="10"/>
  <c r="D3823" i="10"/>
  <c r="E3822" i="10"/>
  <c r="D3822" i="10"/>
  <c r="E3821" i="10"/>
  <c r="D3821" i="10"/>
  <c r="E3820" i="10"/>
  <c r="D3820" i="10"/>
  <c r="E3819" i="10"/>
  <c r="D3819" i="10"/>
  <c r="E3818" i="10"/>
  <c r="D3818" i="10"/>
  <c r="E3817" i="10"/>
  <c r="D3817" i="10"/>
  <c r="E3816" i="10"/>
  <c r="D3816" i="10"/>
  <c r="E3815" i="10"/>
  <c r="D3815" i="10"/>
  <c r="E3814" i="10"/>
  <c r="D3814" i="10"/>
  <c r="E3813" i="10"/>
  <c r="D3813" i="10"/>
  <c r="E3812" i="10"/>
  <c r="D3812" i="10"/>
  <c r="E3811" i="10"/>
  <c r="D3811" i="10"/>
  <c r="E3810" i="10"/>
  <c r="D3810" i="10"/>
  <c r="E3809" i="10"/>
  <c r="D3809" i="10"/>
  <c r="E3808" i="10"/>
  <c r="D3808" i="10"/>
  <c r="E3807" i="10"/>
  <c r="D3807" i="10"/>
  <c r="E3806" i="10"/>
  <c r="D3806" i="10"/>
  <c r="E3805" i="10"/>
  <c r="D3805" i="10"/>
  <c r="E3804" i="10"/>
  <c r="D3804" i="10"/>
  <c r="E3803" i="10"/>
  <c r="D3803" i="10"/>
  <c r="E3802" i="10"/>
  <c r="D3802" i="10"/>
  <c r="E3801" i="10"/>
  <c r="D3801" i="10"/>
  <c r="E3800" i="10"/>
  <c r="D3800" i="10"/>
  <c r="E3799" i="10"/>
  <c r="D3799" i="10"/>
  <c r="E3798" i="10"/>
  <c r="D3798" i="10"/>
  <c r="E3797" i="10"/>
  <c r="D3797" i="10"/>
  <c r="E3796" i="10"/>
  <c r="D3796" i="10"/>
  <c r="E3795" i="10"/>
  <c r="D3795" i="10"/>
  <c r="E3794" i="10"/>
  <c r="D3794" i="10"/>
  <c r="E3793" i="10"/>
  <c r="D3793" i="10"/>
  <c r="E3792" i="10"/>
  <c r="D3792" i="10"/>
  <c r="E3791" i="10"/>
  <c r="D3791" i="10"/>
  <c r="E3790" i="10"/>
  <c r="D3790" i="10"/>
  <c r="E3789" i="10"/>
  <c r="D3789" i="10"/>
  <c r="E3788" i="10"/>
  <c r="D3788" i="10"/>
  <c r="E3787" i="10"/>
  <c r="D3787" i="10"/>
  <c r="E3786" i="10"/>
  <c r="D3786" i="10"/>
  <c r="E3785" i="10"/>
  <c r="D3785" i="10"/>
  <c r="E3784" i="10"/>
  <c r="D3784" i="10"/>
  <c r="E3783" i="10"/>
  <c r="D3783" i="10"/>
  <c r="E3782" i="10"/>
  <c r="D3782" i="10"/>
  <c r="E3781" i="10"/>
  <c r="D3781" i="10"/>
  <c r="E3780" i="10"/>
  <c r="D3780" i="10"/>
  <c r="E3779" i="10"/>
  <c r="D3779" i="10"/>
  <c r="E3778" i="10"/>
  <c r="D3778" i="10"/>
  <c r="E3777" i="10"/>
  <c r="D3777" i="10"/>
  <c r="E3776" i="10"/>
  <c r="D3776" i="10"/>
  <c r="E3775" i="10"/>
  <c r="D3775" i="10"/>
  <c r="E3774" i="10"/>
  <c r="D3774" i="10"/>
  <c r="E3773" i="10"/>
  <c r="D3773" i="10"/>
  <c r="E3772" i="10"/>
  <c r="D3772" i="10"/>
  <c r="E3771" i="10"/>
  <c r="D3771" i="10"/>
  <c r="E3770" i="10"/>
  <c r="D3770" i="10"/>
  <c r="E3769" i="10"/>
  <c r="D3769" i="10"/>
  <c r="E3768" i="10"/>
  <c r="D3768" i="10"/>
  <c r="E3767" i="10"/>
  <c r="D3767" i="10"/>
  <c r="E3766" i="10"/>
  <c r="D3766" i="10"/>
  <c r="E3765" i="10"/>
  <c r="D3765" i="10"/>
  <c r="E3764" i="10"/>
  <c r="D3764" i="10"/>
  <c r="E3763" i="10"/>
  <c r="D3763" i="10"/>
  <c r="E3762" i="10"/>
  <c r="D3762" i="10"/>
  <c r="E3761" i="10"/>
  <c r="D3761" i="10"/>
  <c r="E3760" i="10"/>
  <c r="D3760" i="10"/>
  <c r="E3759" i="10"/>
  <c r="D3759" i="10"/>
  <c r="E3758" i="10"/>
  <c r="D3758" i="10"/>
  <c r="E3757" i="10"/>
  <c r="D3757" i="10"/>
  <c r="E3756" i="10"/>
  <c r="D3756" i="10"/>
  <c r="E3755" i="10"/>
  <c r="D3755" i="10"/>
  <c r="E3754" i="10"/>
  <c r="D3754" i="10"/>
  <c r="E3753" i="10"/>
  <c r="D3753" i="10"/>
  <c r="E3752" i="10"/>
  <c r="D3752" i="10"/>
  <c r="E3751" i="10"/>
  <c r="D3751" i="10"/>
  <c r="E3750" i="10"/>
  <c r="D3750" i="10"/>
  <c r="E3749" i="10"/>
  <c r="D3749" i="10"/>
  <c r="E3748" i="10"/>
  <c r="D3748" i="10"/>
  <c r="E3747" i="10"/>
  <c r="D3747" i="10"/>
  <c r="E3746" i="10"/>
  <c r="D3746" i="10"/>
  <c r="E3745" i="10"/>
  <c r="D3745" i="10"/>
  <c r="E3744" i="10"/>
  <c r="D3744" i="10"/>
  <c r="E3743" i="10"/>
  <c r="D3743" i="10"/>
  <c r="E3742" i="10"/>
  <c r="D3742" i="10"/>
  <c r="E3741" i="10"/>
  <c r="D3741" i="10"/>
  <c r="E3740" i="10"/>
  <c r="D3740" i="10"/>
  <c r="E3739" i="10"/>
  <c r="D3739" i="10"/>
  <c r="E3738" i="10"/>
  <c r="D3738" i="10"/>
  <c r="E3737" i="10"/>
  <c r="D3737" i="10"/>
  <c r="E3736" i="10"/>
  <c r="D3736" i="10"/>
  <c r="E3735" i="10"/>
  <c r="D3735" i="10"/>
  <c r="E3734" i="10"/>
  <c r="D3734" i="10"/>
  <c r="E3733" i="10"/>
  <c r="D3733" i="10"/>
  <c r="E3732" i="10"/>
  <c r="D3732" i="10"/>
  <c r="E3731" i="10"/>
  <c r="D3731" i="10"/>
  <c r="E3730" i="10"/>
  <c r="D3730" i="10"/>
  <c r="E3729" i="10"/>
  <c r="D3729" i="10"/>
  <c r="E3728" i="10"/>
  <c r="D3728" i="10"/>
  <c r="E3727" i="10"/>
  <c r="D3727" i="10"/>
  <c r="E3726" i="10"/>
  <c r="D3726" i="10"/>
  <c r="E3725" i="10"/>
  <c r="D3725" i="10"/>
  <c r="E3724" i="10"/>
  <c r="D3724" i="10"/>
  <c r="E3723" i="10"/>
  <c r="D3723" i="10"/>
  <c r="E3722" i="10"/>
  <c r="D3722" i="10"/>
  <c r="E3721" i="10"/>
  <c r="D3721" i="10"/>
  <c r="E3720" i="10"/>
  <c r="D3720" i="10"/>
  <c r="E3719" i="10"/>
  <c r="D3719" i="10"/>
  <c r="E3718" i="10"/>
  <c r="D3718" i="10"/>
  <c r="E3717" i="10"/>
  <c r="D3717" i="10"/>
  <c r="E3716" i="10"/>
  <c r="D3716" i="10"/>
  <c r="E3715" i="10"/>
  <c r="D3715" i="10"/>
  <c r="E3714" i="10"/>
  <c r="D3714" i="10"/>
  <c r="E3713" i="10"/>
  <c r="D3713" i="10"/>
  <c r="E3712" i="10"/>
  <c r="D3712" i="10"/>
  <c r="E3711" i="10"/>
  <c r="D3711" i="10"/>
  <c r="E3710" i="10"/>
  <c r="D3710" i="10"/>
  <c r="E3709" i="10"/>
  <c r="D3709" i="10"/>
  <c r="E3708" i="10"/>
  <c r="D3708" i="10"/>
  <c r="E3707" i="10"/>
  <c r="D3707" i="10"/>
  <c r="E3706" i="10"/>
  <c r="D3706" i="10"/>
  <c r="E3705" i="10"/>
  <c r="D3705" i="10"/>
  <c r="E3704" i="10"/>
  <c r="D3704" i="10"/>
  <c r="E3703" i="10"/>
  <c r="D3703" i="10"/>
  <c r="E3702" i="10"/>
  <c r="D3702" i="10"/>
  <c r="E3701" i="10"/>
  <c r="D3701" i="10"/>
  <c r="E3700" i="10"/>
  <c r="D3700" i="10"/>
  <c r="E3699" i="10"/>
  <c r="D3699" i="10"/>
  <c r="E3698" i="10"/>
  <c r="D3698" i="10"/>
  <c r="E3697" i="10"/>
  <c r="D3697" i="10"/>
  <c r="E3696" i="10"/>
  <c r="D3696" i="10"/>
  <c r="E3695" i="10"/>
  <c r="D3695" i="10"/>
  <c r="E3694" i="10"/>
  <c r="D3694" i="10"/>
  <c r="E3693" i="10"/>
  <c r="D3693" i="10"/>
  <c r="E3692" i="10"/>
  <c r="D3692" i="10"/>
  <c r="E3691" i="10"/>
  <c r="D3691" i="10"/>
  <c r="E3690" i="10"/>
  <c r="D3690" i="10"/>
  <c r="E3689" i="10"/>
  <c r="D3689" i="10"/>
  <c r="E3688" i="10"/>
  <c r="D3688" i="10"/>
  <c r="E3687" i="10"/>
  <c r="D3687" i="10"/>
  <c r="E3686" i="10"/>
  <c r="D3686" i="10"/>
  <c r="E3685" i="10"/>
  <c r="D3685" i="10"/>
  <c r="E3684" i="10"/>
  <c r="D3684" i="10"/>
  <c r="E3683" i="10"/>
  <c r="D3683" i="10"/>
  <c r="E3682" i="10"/>
  <c r="D3682" i="10"/>
  <c r="E3681" i="10"/>
  <c r="D3681" i="10"/>
  <c r="E3680" i="10"/>
  <c r="D3680" i="10"/>
  <c r="E3679" i="10"/>
  <c r="D3679" i="10"/>
  <c r="E3678" i="10"/>
  <c r="D3678" i="10"/>
  <c r="E3677" i="10"/>
  <c r="D3677" i="10"/>
  <c r="E3676" i="10"/>
  <c r="D3676" i="10"/>
  <c r="E3675" i="10"/>
  <c r="D3675" i="10"/>
  <c r="E3674" i="10"/>
  <c r="D3674" i="10"/>
  <c r="E3673" i="10"/>
  <c r="D3673" i="10"/>
  <c r="E3672" i="10"/>
  <c r="D3672" i="10"/>
  <c r="E3671" i="10"/>
  <c r="D3671" i="10"/>
  <c r="E3670" i="10"/>
  <c r="D3670" i="10"/>
  <c r="E3669" i="10"/>
  <c r="D3669" i="10"/>
  <c r="E3668" i="10"/>
  <c r="D3668" i="10"/>
  <c r="E3667" i="10"/>
  <c r="D3667" i="10"/>
  <c r="E3666" i="10"/>
  <c r="D3666" i="10"/>
  <c r="E3665" i="10"/>
  <c r="D3665" i="10"/>
  <c r="E3664" i="10"/>
  <c r="D3664" i="10"/>
  <c r="E3663" i="10"/>
  <c r="D3663" i="10"/>
  <c r="E3662" i="10"/>
  <c r="D3662" i="10"/>
  <c r="E3661" i="10"/>
  <c r="D3661" i="10"/>
  <c r="E3660" i="10"/>
  <c r="D3660" i="10"/>
  <c r="E3659" i="10"/>
  <c r="D3659" i="10"/>
  <c r="E3658" i="10"/>
  <c r="D3658" i="10"/>
  <c r="E3657" i="10"/>
  <c r="D3657" i="10"/>
  <c r="E3656" i="10"/>
  <c r="D3656" i="10"/>
  <c r="E3655" i="10"/>
  <c r="D3655" i="10"/>
  <c r="E3654" i="10"/>
  <c r="D3654" i="10"/>
  <c r="E3653" i="10"/>
  <c r="D3653" i="10"/>
  <c r="E3652" i="10"/>
  <c r="D3652" i="10"/>
  <c r="E3651" i="10"/>
  <c r="D3651" i="10"/>
  <c r="E3650" i="10"/>
  <c r="D3650" i="10"/>
  <c r="E3649" i="10"/>
  <c r="D3649" i="10"/>
  <c r="E3648" i="10"/>
  <c r="D3648" i="10"/>
  <c r="E3647" i="10"/>
  <c r="D3647" i="10"/>
  <c r="E3646" i="10"/>
  <c r="D3646" i="10"/>
  <c r="E3645" i="10"/>
  <c r="D3645" i="10"/>
  <c r="E3644" i="10"/>
  <c r="D3644" i="10"/>
  <c r="E3643" i="10"/>
  <c r="D3643" i="10"/>
  <c r="E3642" i="10"/>
  <c r="D3642" i="10"/>
  <c r="E3641" i="10"/>
  <c r="D3641" i="10"/>
  <c r="E3640" i="10"/>
  <c r="D3640" i="10"/>
  <c r="E3639" i="10"/>
  <c r="D3639" i="10"/>
  <c r="E3638" i="10"/>
  <c r="D3638" i="10"/>
  <c r="E3637" i="10"/>
  <c r="D3637" i="10"/>
  <c r="E3636" i="10"/>
  <c r="D3636" i="10"/>
  <c r="E3635" i="10"/>
  <c r="D3635" i="10"/>
  <c r="E3634" i="10"/>
  <c r="D3634" i="10"/>
  <c r="E3633" i="10"/>
  <c r="D3633" i="10"/>
  <c r="E3632" i="10"/>
  <c r="D3632" i="10"/>
  <c r="E3631" i="10"/>
  <c r="D3631" i="10"/>
  <c r="E3630" i="10"/>
  <c r="D3630" i="10"/>
  <c r="E3629" i="10"/>
  <c r="D3629" i="10"/>
  <c r="E3628" i="10"/>
  <c r="D3628" i="10"/>
  <c r="E3627" i="10"/>
  <c r="D3627" i="10"/>
  <c r="E3626" i="10"/>
  <c r="D3626" i="10"/>
  <c r="E3625" i="10"/>
  <c r="D3625" i="10"/>
  <c r="E3624" i="10"/>
  <c r="D3624" i="10"/>
  <c r="E3623" i="10"/>
  <c r="D3623" i="10"/>
  <c r="E3622" i="10"/>
  <c r="D3622" i="10"/>
  <c r="E3621" i="10"/>
  <c r="D3621" i="10"/>
  <c r="E3620" i="10"/>
  <c r="D3620" i="10"/>
  <c r="E3619" i="10"/>
  <c r="D3619" i="10"/>
  <c r="E3618" i="10"/>
  <c r="D3618" i="10"/>
  <c r="E3617" i="10"/>
  <c r="D3617" i="10"/>
  <c r="E3616" i="10"/>
  <c r="D3616" i="10"/>
  <c r="E3615" i="10"/>
  <c r="D3615" i="10"/>
  <c r="E3614" i="10"/>
  <c r="D3614" i="10"/>
  <c r="E3613" i="10"/>
  <c r="D3613" i="10"/>
  <c r="E3612" i="10"/>
  <c r="D3612" i="10"/>
  <c r="E3611" i="10"/>
  <c r="D3611" i="10"/>
  <c r="E3610" i="10"/>
  <c r="D3610" i="10"/>
  <c r="E3609" i="10"/>
  <c r="D3609" i="10"/>
  <c r="E3608" i="10"/>
  <c r="D3608" i="10"/>
  <c r="E3607" i="10"/>
  <c r="D3607" i="10"/>
  <c r="E3606" i="10"/>
  <c r="D3606" i="10"/>
  <c r="E3605" i="10"/>
  <c r="D3605" i="10"/>
  <c r="E3604" i="10"/>
  <c r="D3604" i="10"/>
  <c r="E3603" i="10"/>
  <c r="D3603" i="10"/>
  <c r="E3602" i="10"/>
  <c r="D3602" i="10"/>
  <c r="E3601" i="10"/>
  <c r="D3601" i="10"/>
  <c r="E3600" i="10"/>
  <c r="D3600" i="10"/>
  <c r="E3599" i="10"/>
  <c r="D3599" i="10"/>
  <c r="E3598" i="10"/>
  <c r="D3598" i="10"/>
  <c r="E3597" i="10"/>
  <c r="D3597" i="10"/>
  <c r="E3596" i="10"/>
  <c r="D3596" i="10"/>
  <c r="E3595" i="10"/>
  <c r="D3595" i="10"/>
  <c r="E3594" i="10"/>
  <c r="D3594" i="10"/>
  <c r="E3593" i="10"/>
  <c r="D3593" i="10"/>
  <c r="E3592" i="10"/>
  <c r="D3592" i="10"/>
  <c r="E3591" i="10"/>
  <c r="D3591" i="10"/>
  <c r="E3590" i="10"/>
  <c r="D3590" i="10"/>
  <c r="E3589" i="10"/>
  <c r="D3589" i="10"/>
  <c r="E3588" i="10"/>
  <c r="D3588" i="10"/>
  <c r="E3587" i="10"/>
  <c r="D3587" i="10"/>
  <c r="E3586" i="10"/>
  <c r="D3586" i="10"/>
  <c r="E3585" i="10"/>
  <c r="D3585" i="10"/>
  <c r="E3584" i="10"/>
  <c r="D3584" i="10"/>
  <c r="E3583" i="10"/>
  <c r="D3583" i="10"/>
  <c r="E3582" i="10"/>
  <c r="D3582" i="10"/>
  <c r="E3581" i="10"/>
  <c r="D3581" i="10"/>
  <c r="E3580" i="10"/>
  <c r="D3580" i="10"/>
  <c r="E3579" i="10"/>
  <c r="D3579" i="10"/>
  <c r="E3578" i="10"/>
  <c r="D3578" i="10"/>
  <c r="E3577" i="10"/>
  <c r="D3577" i="10"/>
  <c r="E3576" i="10"/>
  <c r="D3576" i="10"/>
  <c r="E3575" i="10"/>
  <c r="D3575" i="10"/>
  <c r="E3574" i="10"/>
  <c r="D3574" i="10"/>
  <c r="E3573" i="10"/>
  <c r="D3573" i="10"/>
  <c r="E3572" i="10"/>
  <c r="D3572" i="10"/>
  <c r="E3571" i="10"/>
  <c r="D3571" i="10"/>
  <c r="E3570" i="10"/>
  <c r="D3570" i="10"/>
  <c r="E3569" i="10"/>
  <c r="D3569" i="10"/>
  <c r="E3568" i="10"/>
  <c r="D3568" i="10"/>
  <c r="E3567" i="10"/>
  <c r="D3567" i="10"/>
  <c r="E3566" i="10"/>
  <c r="D3566" i="10"/>
  <c r="E3565" i="10"/>
  <c r="D3565" i="10"/>
  <c r="E3564" i="10"/>
  <c r="D3564" i="10"/>
  <c r="E3563" i="10"/>
  <c r="D3563" i="10"/>
  <c r="E3562" i="10"/>
  <c r="D3562" i="10"/>
  <c r="E3561" i="10"/>
  <c r="D3561" i="10"/>
  <c r="E3560" i="10"/>
  <c r="D3560" i="10"/>
  <c r="E3559" i="10"/>
  <c r="D3559" i="10"/>
  <c r="E3558" i="10"/>
  <c r="D3558" i="10"/>
  <c r="E3557" i="10"/>
  <c r="D3557" i="10"/>
  <c r="E3556" i="10"/>
  <c r="D3556" i="10"/>
  <c r="E3555" i="10"/>
  <c r="D3555" i="10"/>
  <c r="E3554" i="10"/>
  <c r="D3554" i="10"/>
  <c r="E3553" i="10"/>
  <c r="D3553" i="10"/>
  <c r="E3552" i="10"/>
  <c r="D3552" i="10"/>
  <c r="E3551" i="10"/>
  <c r="D3551" i="10"/>
  <c r="E3550" i="10"/>
  <c r="D3550" i="10"/>
  <c r="E3549" i="10"/>
  <c r="D3549" i="10"/>
  <c r="E3548" i="10"/>
  <c r="D3548" i="10"/>
  <c r="E3547" i="10"/>
  <c r="D3547" i="10"/>
  <c r="E3546" i="10"/>
  <c r="D3546" i="10"/>
  <c r="E3545" i="10"/>
  <c r="D3545" i="10"/>
  <c r="E3544" i="10"/>
  <c r="D3544" i="10"/>
  <c r="E3543" i="10"/>
  <c r="D3543" i="10"/>
  <c r="E3542" i="10"/>
  <c r="D3542" i="10"/>
  <c r="E3541" i="10"/>
  <c r="D3541" i="10"/>
  <c r="E3540" i="10"/>
  <c r="D3540" i="10"/>
  <c r="E3539" i="10"/>
  <c r="D3539" i="10"/>
  <c r="E3538" i="10"/>
  <c r="D3538" i="10"/>
  <c r="E3537" i="10"/>
  <c r="D3537" i="10"/>
  <c r="E3536" i="10"/>
  <c r="D3536" i="10"/>
  <c r="E3535" i="10"/>
  <c r="D3535" i="10"/>
  <c r="E3534" i="10"/>
  <c r="D3534" i="10"/>
  <c r="E3533" i="10"/>
  <c r="D3533" i="10"/>
  <c r="E3532" i="10"/>
  <c r="D3532" i="10"/>
  <c r="E3531" i="10"/>
  <c r="D3531" i="10"/>
  <c r="E3530" i="10"/>
  <c r="D3530" i="10"/>
  <c r="E3529" i="10"/>
  <c r="D3529" i="10"/>
  <c r="E3528" i="10"/>
  <c r="D3528" i="10"/>
  <c r="E3527" i="10"/>
  <c r="D3527" i="10"/>
  <c r="E3526" i="10"/>
  <c r="D3526" i="10"/>
  <c r="E3525" i="10"/>
  <c r="D3525" i="10"/>
  <c r="E3524" i="10"/>
  <c r="D3524" i="10"/>
  <c r="E3523" i="10"/>
  <c r="D3523" i="10"/>
  <c r="E3522" i="10"/>
  <c r="D3522" i="10"/>
  <c r="E3521" i="10"/>
  <c r="D3521" i="10"/>
  <c r="E3520" i="10"/>
  <c r="D3520" i="10"/>
  <c r="E3519" i="10"/>
  <c r="D3519" i="10"/>
  <c r="E3518" i="10"/>
  <c r="D3518" i="10"/>
  <c r="E3517" i="10"/>
  <c r="D3517" i="10"/>
  <c r="E3516" i="10"/>
  <c r="D3516" i="10"/>
  <c r="E3515" i="10"/>
  <c r="D3515" i="10"/>
  <c r="E3514" i="10"/>
  <c r="D3514" i="10"/>
  <c r="E3513" i="10"/>
  <c r="D3513" i="10"/>
  <c r="E3512" i="10"/>
  <c r="D3512" i="10"/>
  <c r="E3511" i="10"/>
  <c r="D3511" i="10"/>
  <c r="E3510" i="10"/>
  <c r="D3510" i="10"/>
  <c r="E3509" i="10"/>
  <c r="D3509" i="10"/>
  <c r="E3508" i="10"/>
  <c r="D3508" i="10"/>
  <c r="E3507" i="10"/>
  <c r="D3507" i="10"/>
  <c r="E3506" i="10"/>
  <c r="D3506" i="10"/>
  <c r="E3505" i="10"/>
  <c r="D3505" i="10"/>
  <c r="E3504" i="10"/>
  <c r="D3504" i="10"/>
  <c r="E3503" i="10"/>
  <c r="D3503" i="10"/>
  <c r="E3502" i="10"/>
  <c r="D3502" i="10"/>
  <c r="E3501" i="10"/>
  <c r="D3501" i="10"/>
  <c r="E3500" i="10"/>
  <c r="D3500" i="10"/>
  <c r="E3499" i="10"/>
  <c r="D3499" i="10"/>
  <c r="E3498" i="10"/>
  <c r="D3498" i="10"/>
  <c r="E3497" i="10"/>
  <c r="D3497" i="10"/>
  <c r="E3496" i="10"/>
  <c r="D3496" i="10"/>
  <c r="E3495" i="10"/>
  <c r="D3495" i="10"/>
  <c r="E3494" i="10"/>
  <c r="D3494" i="10"/>
  <c r="E3493" i="10"/>
  <c r="D3493" i="10"/>
  <c r="E3492" i="10"/>
  <c r="D3492" i="10"/>
  <c r="E3491" i="10"/>
  <c r="D3491" i="10"/>
  <c r="E3490" i="10"/>
  <c r="D3490" i="10"/>
  <c r="E3489" i="10"/>
  <c r="D3489" i="10"/>
  <c r="E3488" i="10"/>
  <c r="D3488" i="10"/>
  <c r="E3487" i="10"/>
  <c r="D3487" i="10"/>
  <c r="E3486" i="10"/>
  <c r="D3486" i="10"/>
  <c r="E3485" i="10"/>
  <c r="D3485" i="10"/>
  <c r="E3484" i="10"/>
  <c r="D3484" i="10"/>
  <c r="E3483" i="10"/>
  <c r="D3483" i="10"/>
  <c r="E3482" i="10"/>
  <c r="D3482" i="10"/>
  <c r="E3481" i="10"/>
  <c r="D3481" i="10"/>
  <c r="E3480" i="10"/>
  <c r="D3480" i="10"/>
  <c r="E3479" i="10"/>
  <c r="D3479" i="10"/>
  <c r="E3478" i="10"/>
  <c r="D3478" i="10"/>
  <c r="E3477" i="10"/>
  <c r="D3477" i="10"/>
  <c r="E3476" i="10"/>
  <c r="D3476" i="10"/>
  <c r="E3475" i="10"/>
  <c r="D3475" i="10"/>
  <c r="E3474" i="10"/>
  <c r="D3474" i="10"/>
  <c r="E3473" i="10"/>
  <c r="D3473" i="10"/>
  <c r="E3472" i="10"/>
  <c r="D3472" i="10"/>
  <c r="E3471" i="10"/>
  <c r="D3471" i="10"/>
  <c r="E3470" i="10"/>
  <c r="D3470" i="10"/>
  <c r="E3469" i="10"/>
  <c r="D3469" i="10"/>
  <c r="E3468" i="10"/>
  <c r="D3468" i="10"/>
  <c r="E3467" i="10"/>
  <c r="D3467" i="10"/>
  <c r="E3466" i="10"/>
  <c r="D3466" i="10"/>
  <c r="E3465" i="10"/>
  <c r="D3465" i="10"/>
  <c r="E3464" i="10"/>
  <c r="D3464" i="10"/>
  <c r="E3463" i="10"/>
  <c r="D3463" i="10"/>
  <c r="E3462" i="10"/>
  <c r="D3462" i="10"/>
  <c r="E3461" i="10"/>
  <c r="D3461" i="10"/>
  <c r="E3460" i="10"/>
  <c r="D3460" i="10"/>
  <c r="E3459" i="10"/>
  <c r="D3459" i="10"/>
  <c r="E3458" i="10"/>
  <c r="D3458" i="10"/>
  <c r="E3457" i="10"/>
  <c r="D3457" i="10"/>
  <c r="E3456" i="10"/>
  <c r="D3456" i="10"/>
  <c r="E3455" i="10"/>
  <c r="D3455" i="10"/>
  <c r="E3454" i="10"/>
  <c r="D3454" i="10"/>
  <c r="E3453" i="10"/>
  <c r="D3453" i="10"/>
  <c r="E3452" i="10"/>
  <c r="D3452" i="10"/>
  <c r="E3451" i="10"/>
  <c r="D3451" i="10"/>
  <c r="E3450" i="10"/>
  <c r="D3450" i="10"/>
  <c r="E3449" i="10"/>
  <c r="D3449" i="10"/>
  <c r="E3448" i="10"/>
  <c r="D3448" i="10"/>
  <c r="E3447" i="10"/>
  <c r="D3447" i="10"/>
  <c r="E3446" i="10"/>
  <c r="D3446" i="10"/>
  <c r="E3445" i="10"/>
  <c r="D3445" i="10"/>
  <c r="E3444" i="10"/>
  <c r="D3444" i="10"/>
  <c r="E3443" i="10"/>
  <c r="D3443" i="10"/>
  <c r="E3442" i="10"/>
  <c r="D3442" i="10"/>
  <c r="E3441" i="10"/>
  <c r="D3441" i="10"/>
  <c r="E3440" i="10"/>
  <c r="D3440" i="10"/>
  <c r="E3439" i="10"/>
  <c r="D3439" i="10"/>
  <c r="E3438" i="10"/>
  <c r="D3438" i="10"/>
  <c r="E3437" i="10"/>
  <c r="D3437" i="10"/>
  <c r="E3436" i="10"/>
  <c r="D3436" i="10"/>
  <c r="E3435" i="10"/>
  <c r="D3435" i="10"/>
  <c r="E3434" i="10"/>
  <c r="D3434" i="10"/>
  <c r="E3433" i="10"/>
  <c r="D3433" i="10"/>
  <c r="E3432" i="10"/>
  <c r="D3432" i="10"/>
  <c r="E3431" i="10"/>
  <c r="D3431" i="10"/>
  <c r="E3430" i="10"/>
  <c r="D3430" i="10"/>
  <c r="E3429" i="10"/>
  <c r="D3429" i="10"/>
  <c r="E3428" i="10"/>
  <c r="D3428" i="10"/>
  <c r="E3427" i="10"/>
  <c r="D3427" i="10"/>
  <c r="E3426" i="10"/>
  <c r="D3426" i="10"/>
  <c r="E3425" i="10"/>
  <c r="D3425" i="10"/>
  <c r="E3424" i="10"/>
  <c r="D3424" i="10"/>
  <c r="E3423" i="10"/>
  <c r="D3423" i="10"/>
  <c r="E3422" i="10"/>
  <c r="D3422" i="10"/>
  <c r="E3421" i="10"/>
  <c r="D3421" i="10"/>
  <c r="E3420" i="10"/>
  <c r="D3420" i="10"/>
  <c r="E3419" i="10"/>
  <c r="D3419" i="10"/>
  <c r="E3418" i="10"/>
  <c r="D3418" i="10"/>
  <c r="E3417" i="10"/>
  <c r="D3417" i="10"/>
  <c r="E3416" i="10"/>
  <c r="D3416" i="10"/>
  <c r="E3415" i="10"/>
  <c r="D3415" i="10"/>
  <c r="E3414" i="10"/>
  <c r="D3414" i="10"/>
  <c r="E3413" i="10"/>
  <c r="D3413" i="10"/>
  <c r="E3412" i="10"/>
  <c r="D3412" i="10"/>
  <c r="E3411" i="10"/>
  <c r="D3411" i="10"/>
  <c r="E3410" i="10"/>
  <c r="D3410" i="10"/>
  <c r="E3409" i="10"/>
  <c r="D3409" i="10"/>
  <c r="E3408" i="10"/>
  <c r="D3408" i="10"/>
  <c r="E3407" i="10"/>
  <c r="D3407" i="10"/>
  <c r="E3406" i="10"/>
  <c r="D3406" i="10"/>
  <c r="E3405" i="10"/>
  <c r="D3405" i="10"/>
  <c r="E3404" i="10"/>
  <c r="D3404" i="10"/>
  <c r="E3403" i="10"/>
  <c r="D3403" i="10"/>
  <c r="E3402" i="10"/>
  <c r="D3402" i="10"/>
  <c r="E3401" i="10"/>
  <c r="D3401" i="10"/>
  <c r="E3400" i="10"/>
  <c r="D3400" i="10"/>
  <c r="E3399" i="10"/>
  <c r="D3399" i="10"/>
  <c r="E3398" i="10"/>
  <c r="D3398" i="10"/>
  <c r="E3397" i="10"/>
  <c r="D3397" i="10"/>
  <c r="E3396" i="10"/>
  <c r="D3396" i="10"/>
  <c r="E3395" i="10"/>
  <c r="D3395" i="10"/>
  <c r="E3394" i="10"/>
  <c r="D3394" i="10"/>
  <c r="E3393" i="10"/>
  <c r="D3393" i="10"/>
  <c r="E3392" i="10"/>
  <c r="D3392" i="10"/>
  <c r="E3391" i="10"/>
  <c r="D3391" i="10"/>
  <c r="E3390" i="10"/>
  <c r="D3390" i="10"/>
  <c r="E3389" i="10"/>
  <c r="D3389" i="10"/>
  <c r="E3388" i="10"/>
  <c r="D3388" i="10"/>
  <c r="E3387" i="10"/>
  <c r="D3387" i="10"/>
  <c r="E3386" i="10"/>
  <c r="D3386" i="10"/>
  <c r="E3385" i="10"/>
  <c r="D3385" i="10"/>
  <c r="E3384" i="10"/>
  <c r="D3384" i="10"/>
  <c r="E3383" i="10"/>
  <c r="D3383" i="10"/>
  <c r="E3382" i="10"/>
  <c r="D3382" i="10"/>
  <c r="E3381" i="10"/>
  <c r="D3381" i="10"/>
  <c r="E3380" i="10"/>
  <c r="D3380" i="10"/>
  <c r="E3379" i="10"/>
  <c r="D3379" i="10"/>
  <c r="E3378" i="10"/>
  <c r="D3378" i="10"/>
  <c r="E3377" i="10"/>
  <c r="D3377" i="10"/>
  <c r="E3376" i="10"/>
  <c r="D3376" i="10"/>
  <c r="E3375" i="10"/>
  <c r="D3375" i="10"/>
  <c r="E3374" i="10"/>
  <c r="D3374" i="10"/>
  <c r="E3373" i="10"/>
  <c r="D3373" i="10"/>
  <c r="E3372" i="10"/>
  <c r="D3372" i="10"/>
  <c r="E3371" i="10"/>
  <c r="D3371" i="10"/>
  <c r="E3370" i="10"/>
  <c r="D3370" i="10"/>
  <c r="E3369" i="10"/>
  <c r="D3369" i="10"/>
  <c r="E3368" i="10"/>
  <c r="D3368" i="10"/>
  <c r="E3367" i="10"/>
  <c r="D3367" i="10"/>
  <c r="E3366" i="10"/>
  <c r="D3366" i="10"/>
  <c r="E3365" i="10"/>
  <c r="D3365" i="10"/>
  <c r="E3364" i="10"/>
  <c r="D3364" i="10"/>
  <c r="E3363" i="10"/>
  <c r="D3363" i="10"/>
  <c r="E3362" i="10"/>
  <c r="D3362" i="10"/>
  <c r="E3361" i="10"/>
  <c r="D3361" i="10"/>
  <c r="E3360" i="10"/>
  <c r="D3360" i="10"/>
  <c r="E3359" i="10"/>
  <c r="D3359" i="10"/>
  <c r="E3358" i="10"/>
  <c r="D3358" i="10"/>
  <c r="E3357" i="10"/>
  <c r="D3357" i="10"/>
  <c r="E3356" i="10"/>
  <c r="D3356" i="10"/>
  <c r="E3355" i="10"/>
  <c r="D3355" i="10"/>
  <c r="E3354" i="10"/>
  <c r="D3354" i="10"/>
  <c r="E3353" i="10"/>
  <c r="D3353" i="10"/>
  <c r="E3352" i="10"/>
  <c r="D3352" i="10"/>
  <c r="E3351" i="10"/>
  <c r="D3351" i="10"/>
  <c r="E3350" i="10"/>
  <c r="D3350" i="10"/>
  <c r="E3349" i="10"/>
  <c r="D3349" i="10"/>
  <c r="E3348" i="10"/>
  <c r="D3348" i="10"/>
  <c r="E3347" i="10"/>
  <c r="D3347" i="10"/>
  <c r="E3346" i="10"/>
  <c r="D3346" i="10"/>
  <c r="E3345" i="10"/>
  <c r="D3345" i="10"/>
  <c r="E3344" i="10"/>
  <c r="D3344" i="10"/>
  <c r="E3343" i="10"/>
  <c r="D3343" i="10"/>
  <c r="E3342" i="10"/>
  <c r="D3342" i="10"/>
  <c r="E3341" i="10"/>
  <c r="D3341" i="10"/>
  <c r="E3340" i="10"/>
  <c r="D3340" i="10"/>
  <c r="E3339" i="10"/>
  <c r="D3339" i="10"/>
  <c r="E3338" i="10"/>
  <c r="D3338" i="10"/>
  <c r="E3337" i="10"/>
  <c r="D3337" i="10"/>
  <c r="E3336" i="10"/>
  <c r="D3336" i="10"/>
  <c r="E3335" i="10"/>
  <c r="D3335" i="10"/>
  <c r="E3334" i="10"/>
  <c r="D3334" i="10"/>
  <c r="E3333" i="10"/>
  <c r="D3333" i="10"/>
  <c r="E3332" i="10"/>
  <c r="D3332" i="10"/>
  <c r="E3331" i="10"/>
  <c r="D3331" i="10"/>
  <c r="E3330" i="10"/>
  <c r="D3330" i="10"/>
  <c r="E3329" i="10"/>
  <c r="D3329" i="10"/>
  <c r="E3328" i="10"/>
  <c r="D3328" i="10"/>
  <c r="E3327" i="10"/>
  <c r="D3327" i="10"/>
  <c r="E3326" i="10"/>
  <c r="D3326" i="10"/>
  <c r="E3325" i="10"/>
  <c r="D3325" i="10"/>
  <c r="E3324" i="10"/>
  <c r="D3324" i="10"/>
  <c r="E3323" i="10"/>
  <c r="D3323" i="10"/>
  <c r="E3322" i="10"/>
  <c r="D3322" i="10"/>
  <c r="E3321" i="10"/>
  <c r="D3321" i="10"/>
  <c r="E3320" i="10"/>
  <c r="D3320" i="10"/>
  <c r="E3319" i="10"/>
  <c r="D3319" i="10"/>
  <c r="E3318" i="10"/>
  <c r="D3318" i="10"/>
  <c r="E3317" i="10"/>
  <c r="D3317" i="10"/>
  <c r="E3316" i="10"/>
  <c r="D3316" i="10"/>
  <c r="E3315" i="10"/>
  <c r="D3315" i="10"/>
  <c r="E3314" i="10"/>
  <c r="D3314" i="10"/>
  <c r="E3313" i="10"/>
  <c r="D3313" i="10"/>
  <c r="E3312" i="10"/>
  <c r="D3312" i="10"/>
  <c r="E3311" i="10"/>
  <c r="D3311" i="10"/>
  <c r="E3310" i="10"/>
  <c r="D3310" i="10"/>
  <c r="E3309" i="10"/>
  <c r="D3309" i="10"/>
  <c r="E3308" i="10"/>
  <c r="D3308" i="10"/>
  <c r="E3307" i="10"/>
  <c r="D3307" i="10"/>
  <c r="E3306" i="10"/>
  <c r="D3306" i="10"/>
  <c r="E3305" i="10"/>
  <c r="D3305" i="10"/>
  <c r="E3304" i="10"/>
  <c r="D3304" i="10"/>
  <c r="E3303" i="10"/>
  <c r="D3303" i="10"/>
  <c r="E3302" i="10"/>
  <c r="D3302" i="10"/>
  <c r="E3301" i="10"/>
  <c r="D3301" i="10"/>
  <c r="E3300" i="10"/>
  <c r="D3300" i="10"/>
  <c r="E3299" i="10"/>
  <c r="D3299" i="10"/>
  <c r="E3298" i="10"/>
  <c r="D3298" i="10"/>
  <c r="E3297" i="10"/>
  <c r="D3297" i="10"/>
  <c r="E3296" i="10"/>
  <c r="D3296" i="10"/>
  <c r="E3295" i="10"/>
  <c r="D3295" i="10"/>
  <c r="E3294" i="10"/>
  <c r="D3294" i="10"/>
  <c r="E3293" i="10"/>
  <c r="D3293" i="10"/>
  <c r="E3292" i="10"/>
  <c r="D3292" i="10"/>
  <c r="E3291" i="10"/>
  <c r="D3291" i="10"/>
  <c r="E3290" i="10"/>
  <c r="D3290" i="10"/>
  <c r="E3289" i="10"/>
  <c r="D3289" i="10"/>
  <c r="E3288" i="10"/>
  <c r="D3288" i="10"/>
  <c r="E3287" i="10"/>
  <c r="D3287" i="10"/>
  <c r="E3286" i="10"/>
  <c r="D3286" i="10"/>
  <c r="E3285" i="10"/>
  <c r="D3285" i="10"/>
  <c r="E3284" i="10"/>
  <c r="D3284" i="10"/>
  <c r="E3283" i="10"/>
  <c r="D3283" i="10"/>
  <c r="E3282" i="10"/>
  <c r="D3282" i="10"/>
  <c r="E3281" i="10"/>
  <c r="D3281" i="10"/>
  <c r="E3280" i="10"/>
  <c r="D3280" i="10"/>
  <c r="E3279" i="10"/>
  <c r="D3279" i="10"/>
  <c r="E3278" i="10"/>
  <c r="D3278" i="10"/>
  <c r="E3277" i="10"/>
  <c r="D3277" i="10"/>
  <c r="E3276" i="10"/>
  <c r="D3276" i="10"/>
  <c r="E3275" i="10"/>
  <c r="D3275" i="10"/>
  <c r="E3274" i="10"/>
  <c r="D3274" i="10"/>
  <c r="E3273" i="10"/>
  <c r="D3273" i="10"/>
  <c r="E3272" i="10"/>
  <c r="D3272" i="10"/>
  <c r="E3271" i="10"/>
  <c r="D3271" i="10"/>
  <c r="E3270" i="10"/>
  <c r="D3270" i="10"/>
  <c r="E3269" i="10"/>
  <c r="D3269" i="10"/>
  <c r="E3268" i="10"/>
  <c r="D3268" i="10"/>
  <c r="E3267" i="10"/>
  <c r="D3267" i="10"/>
  <c r="E3266" i="10"/>
  <c r="D3266" i="10"/>
  <c r="E3265" i="10"/>
  <c r="D3265" i="10"/>
  <c r="E3264" i="10"/>
  <c r="D3264" i="10"/>
  <c r="E3263" i="10"/>
  <c r="D3263" i="10"/>
  <c r="E3262" i="10"/>
  <c r="D3262" i="10"/>
  <c r="E3261" i="10"/>
  <c r="D3261" i="10"/>
  <c r="E3260" i="10"/>
  <c r="D3260" i="10"/>
  <c r="E3259" i="10"/>
  <c r="D3259" i="10"/>
  <c r="E3258" i="10"/>
  <c r="D3258" i="10"/>
  <c r="E3257" i="10"/>
  <c r="D3257" i="10"/>
  <c r="E3256" i="10"/>
  <c r="D3256" i="10"/>
  <c r="E3255" i="10"/>
  <c r="D3255" i="10"/>
  <c r="E3254" i="10"/>
  <c r="D3254" i="10"/>
  <c r="E3253" i="10"/>
  <c r="D3253" i="10"/>
  <c r="E3252" i="10"/>
  <c r="D3252" i="10"/>
  <c r="E3251" i="10"/>
  <c r="D3251" i="10"/>
  <c r="E3250" i="10"/>
  <c r="D3250" i="10"/>
  <c r="E3249" i="10"/>
  <c r="D3249" i="10"/>
  <c r="E3248" i="10"/>
  <c r="D3248" i="10"/>
  <c r="E3247" i="10"/>
  <c r="D3247" i="10"/>
  <c r="E3246" i="10"/>
  <c r="D3246" i="10"/>
  <c r="E3245" i="10"/>
  <c r="D3245" i="10"/>
  <c r="E3244" i="10"/>
  <c r="D3244" i="10"/>
  <c r="E3243" i="10"/>
  <c r="D3243" i="10"/>
  <c r="E3242" i="10"/>
  <c r="D3242" i="10"/>
  <c r="E3241" i="10"/>
  <c r="D3241" i="10"/>
  <c r="E3240" i="10"/>
  <c r="D3240" i="10"/>
  <c r="E3239" i="10"/>
  <c r="D3239" i="10"/>
  <c r="E3238" i="10"/>
  <c r="D3238" i="10"/>
  <c r="E3237" i="10"/>
  <c r="D3237" i="10"/>
  <c r="E3236" i="10"/>
  <c r="D3236" i="10"/>
  <c r="E3235" i="10"/>
  <c r="D3235" i="10"/>
  <c r="E3234" i="10"/>
  <c r="D3234" i="10"/>
  <c r="E3233" i="10"/>
  <c r="D3233" i="10"/>
  <c r="E3232" i="10"/>
  <c r="D3232" i="10"/>
  <c r="E3231" i="10"/>
  <c r="D3231" i="10"/>
  <c r="E3230" i="10"/>
  <c r="D3230" i="10"/>
  <c r="E3229" i="10"/>
  <c r="D3229" i="10"/>
  <c r="E3228" i="10"/>
  <c r="D3228" i="10"/>
  <c r="E3227" i="10"/>
  <c r="D3227" i="10"/>
  <c r="E3226" i="10"/>
  <c r="D3226" i="10"/>
  <c r="E3225" i="10"/>
  <c r="D3225" i="10"/>
  <c r="E3224" i="10"/>
  <c r="D3224" i="10"/>
  <c r="E3223" i="10"/>
  <c r="D3223" i="10"/>
  <c r="E3222" i="10"/>
  <c r="D3222" i="10"/>
  <c r="E3221" i="10"/>
  <c r="D3221" i="10"/>
  <c r="E3220" i="10"/>
  <c r="D3220" i="10"/>
  <c r="E3219" i="10"/>
  <c r="D3219" i="10"/>
  <c r="E3218" i="10"/>
  <c r="D3218" i="10"/>
  <c r="E3217" i="10"/>
  <c r="D3217" i="10"/>
  <c r="E3216" i="10"/>
  <c r="D3216" i="10"/>
  <c r="E3215" i="10"/>
  <c r="D3215" i="10"/>
  <c r="E3214" i="10"/>
  <c r="D3214" i="10"/>
  <c r="E3213" i="10"/>
  <c r="D3213" i="10"/>
  <c r="E3212" i="10"/>
  <c r="D3212" i="10"/>
  <c r="E3211" i="10"/>
  <c r="D3211" i="10"/>
  <c r="E3210" i="10"/>
  <c r="D3210" i="10"/>
  <c r="E3209" i="10"/>
  <c r="D3209" i="10"/>
  <c r="E3208" i="10"/>
  <c r="D3208" i="10"/>
  <c r="E3207" i="10"/>
  <c r="D3207" i="10"/>
  <c r="E3206" i="10"/>
  <c r="D3206" i="10"/>
  <c r="E3205" i="10"/>
  <c r="D3205" i="10"/>
  <c r="E3204" i="10"/>
  <c r="D3204" i="10"/>
  <c r="E3203" i="10"/>
  <c r="D3203" i="10"/>
  <c r="E3202" i="10"/>
  <c r="D3202" i="10"/>
  <c r="E3201" i="10"/>
  <c r="D3201" i="10"/>
  <c r="E3200" i="10"/>
  <c r="D3200" i="10"/>
  <c r="E3199" i="10"/>
  <c r="D3199" i="10"/>
  <c r="E3198" i="10"/>
  <c r="D3198" i="10"/>
  <c r="E3197" i="10"/>
  <c r="D3197" i="10"/>
  <c r="E3196" i="10"/>
  <c r="D3196" i="10"/>
  <c r="E3195" i="10"/>
  <c r="D3195" i="10"/>
  <c r="E3194" i="10"/>
  <c r="D3194" i="10"/>
  <c r="E3193" i="10"/>
  <c r="D3193" i="10"/>
  <c r="E3192" i="10"/>
  <c r="D3192" i="10"/>
  <c r="E3191" i="10"/>
  <c r="D3191" i="10"/>
  <c r="E3190" i="10"/>
  <c r="D3190" i="10"/>
  <c r="E3189" i="10"/>
  <c r="D3189" i="10"/>
  <c r="E3188" i="10"/>
  <c r="D3188" i="10"/>
  <c r="E3187" i="10"/>
  <c r="D3187" i="10"/>
  <c r="E3186" i="10"/>
  <c r="D3186" i="10"/>
  <c r="E3185" i="10"/>
  <c r="D3185" i="10"/>
  <c r="E3184" i="10"/>
  <c r="D3184" i="10"/>
  <c r="E3183" i="10"/>
  <c r="D3183" i="10"/>
  <c r="E3182" i="10"/>
  <c r="D3182" i="10"/>
  <c r="E3181" i="10"/>
  <c r="D3181" i="10"/>
  <c r="E3180" i="10"/>
  <c r="D3180" i="10"/>
  <c r="E3179" i="10"/>
  <c r="D3179" i="10"/>
  <c r="E3178" i="10"/>
  <c r="D3178" i="10"/>
  <c r="E3177" i="10"/>
  <c r="D3177" i="10"/>
  <c r="E3176" i="10"/>
  <c r="D3176" i="10"/>
  <c r="E3175" i="10"/>
  <c r="D3175" i="10"/>
  <c r="E3174" i="10"/>
  <c r="D3174" i="10"/>
  <c r="E3173" i="10"/>
  <c r="D3173" i="10"/>
  <c r="E3172" i="10"/>
  <c r="D3172" i="10"/>
  <c r="E3171" i="10"/>
  <c r="D3171" i="10"/>
  <c r="E3170" i="10"/>
  <c r="D3170" i="10"/>
  <c r="E3169" i="10"/>
  <c r="D3169" i="10"/>
  <c r="E3168" i="10"/>
  <c r="D3168" i="10"/>
  <c r="E3167" i="10"/>
  <c r="D3167" i="10"/>
  <c r="E3166" i="10"/>
  <c r="D3166" i="10"/>
  <c r="E3165" i="10"/>
  <c r="D3165" i="10"/>
  <c r="E3164" i="10"/>
  <c r="D3164" i="10"/>
  <c r="E3163" i="10"/>
  <c r="D3163" i="10"/>
  <c r="E3162" i="10"/>
  <c r="D3162" i="10"/>
  <c r="E3161" i="10"/>
  <c r="D3161" i="10"/>
  <c r="E3160" i="10"/>
  <c r="D3160" i="10"/>
  <c r="E3159" i="10"/>
  <c r="D3159" i="10"/>
  <c r="E3158" i="10"/>
  <c r="D3158" i="10"/>
  <c r="E3157" i="10"/>
  <c r="D3157" i="10"/>
  <c r="E3156" i="10"/>
  <c r="D3156" i="10"/>
  <c r="E3155" i="10"/>
  <c r="D3155" i="10"/>
  <c r="E3154" i="10"/>
  <c r="D3154" i="10"/>
  <c r="E3153" i="10"/>
  <c r="D3153" i="10"/>
  <c r="E3152" i="10"/>
  <c r="D3152" i="10"/>
  <c r="E3151" i="10"/>
  <c r="D3151" i="10"/>
  <c r="E3150" i="10"/>
  <c r="D3150" i="10"/>
  <c r="E3149" i="10"/>
  <c r="D3149" i="10"/>
  <c r="E3148" i="10"/>
  <c r="D3148" i="10"/>
  <c r="E3147" i="10"/>
  <c r="D3147" i="10"/>
  <c r="E3146" i="10"/>
  <c r="D3146" i="10"/>
  <c r="E3145" i="10"/>
  <c r="D3145" i="10"/>
  <c r="E3144" i="10"/>
  <c r="D3144" i="10"/>
  <c r="E3143" i="10"/>
  <c r="D3143" i="10"/>
  <c r="E3142" i="10"/>
  <c r="D3142" i="10"/>
  <c r="E3141" i="10"/>
  <c r="D3141" i="10"/>
  <c r="E3140" i="10"/>
  <c r="D3140" i="10"/>
  <c r="E3139" i="10"/>
  <c r="D3139" i="10"/>
  <c r="E3138" i="10"/>
  <c r="D3138" i="10"/>
  <c r="E3137" i="10"/>
  <c r="D3137" i="10"/>
  <c r="E3136" i="10"/>
  <c r="D3136" i="10"/>
  <c r="E3135" i="10"/>
  <c r="D3135" i="10"/>
  <c r="E3134" i="10"/>
  <c r="D3134" i="10"/>
  <c r="E3133" i="10"/>
  <c r="D3133" i="10"/>
  <c r="E3132" i="10"/>
  <c r="D3132" i="10"/>
  <c r="E3131" i="10"/>
  <c r="D3131" i="10"/>
  <c r="E3130" i="10"/>
  <c r="D3130" i="10"/>
  <c r="E3129" i="10"/>
  <c r="D3129" i="10"/>
  <c r="E3128" i="10"/>
  <c r="D3128" i="10"/>
  <c r="E3127" i="10"/>
  <c r="D3127" i="10"/>
  <c r="E3126" i="10"/>
  <c r="D3126" i="10"/>
  <c r="E3125" i="10"/>
  <c r="D3125" i="10"/>
  <c r="E3124" i="10"/>
  <c r="D3124" i="10"/>
  <c r="E3123" i="10"/>
  <c r="D3123" i="10"/>
  <c r="E3122" i="10"/>
  <c r="D3122" i="10"/>
  <c r="E3121" i="10"/>
  <c r="D3121" i="10"/>
  <c r="E3120" i="10"/>
  <c r="D3120" i="10"/>
  <c r="E3119" i="10"/>
  <c r="D3119" i="10"/>
  <c r="E3118" i="10"/>
  <c r="D3118" i="10"/>
  <c r="E3117" i="10"/>
  <c r="D3117" i="10"/>
  <c r="E3116" i="10"/>
  <c r="D3116" i="10"/>
  <c r="E3115" i="10"/>
  <c r="D3115" i="10"/>
  <c r="E3114" i="10"/>
  <c r="D3114" i="10"/>
  <c r="E3113" i="10"/>
  <c r="D3113" i="10"/>
  <c r="E3112" i="10"/>
  <c r="D3112" i="10"/>
  <c r="E3111" i="10"/>
  <c r="D3111" i="10"/>
  <c r="E3110" i="10"/>
  <c r="D3110" i="10"/>
  <c r="E3109" i="10"/>
  <c r="D3109" i="10"/>
  <c r="E3108" i="10"/>
  <c r="D3108" i="10"/>
  <c r="E3107" i="10"/>
  <c r="D3107" i="10"/>
  <c r="E3106" i="10"/>
  <c r="D3106" i="10"/>
  <c r="E3105" i="10"/>
  <c r="D3105" i="10"/>
  <c r="E3104" i="10"/>
  <c r="D3104" i="10"/>
  <c r="E3103" i="10"/>
  <c r="D3103" i="10"/>
  <c r="E3102" i="10"/>
  <c r="D3102" i="10"/>
  <c r="E3101" i="10"/>
  <c r="D3101" i="10"/>
  <c r="E3100" i="10"/>
  <c r="D3100" i="10"/>
  <c r="E3099" i="10"/>
  <c r="D3099" i="10"/>
  <c r="E3098" i="10"/>
  <c r="D3098" i="10"/>
  <c r="E3097" i="10"/>
  <c r="D3097" i="10"/>
  <c r="E3096" i="10"/>
  <c r="D3096" i="10"/>
  <c r="E3095" i="10"/>
  <c r="D3095" i="10"/>
  <c r="E3094" i="10"/>
  <c r="D3094" i="10"/>
  <c r="E3093" i="10"/>
  <c r="D3093" i="10"/>
  <c r="E3092" i="10"/>
  <c r="D3092" i="10"/>
  <c r="E3091" i="10"/>
  <c r="D3091" i="10"/>
  <c r="E3090" i="10"/>
  <c r="D3090" i="10"/>
  <c r="E3089" i="10"/>
  <c r="D3089" i="10"/>
  <c r="E3088" i="10"/>
  <c r="D3088" i="10"/>
  <c r="E3087" i="10"/>
  <c r="D3087" i="10"/>
  <c r="E3086" i="10"/>
  <c r="D3086" i="10"/>
  <c r="E3085" i="10"/>
  <c r="D3085" i="10"/>
  <c r="E3084" i="10"/>
  <c r="D3084" i="10"/>
  <c r="E3083" i="10"/>
  <c r="D3083" i="10"/>
  <c r="E3082" i="10"/>
  <c r="D3082" i="10"/>
  <c r="E3081" i="10"/>
  <c r="D3081" i="10"/>
  <c r="E3080" i="10"/>
  <c r="D3080" i="10"/>
  <c r="E3079" i="10"/>
  <c r="D3079" i="10"/>
  <c r="E3078" i="10"/>
  <c r="D3078" i="10"/>
  <c r="E3077" i="10"/>
  <c r="D3077" i="10"/>
  <c r="E3076" i="10"/>
  <c r="D3076" i="10"/>
  <c r="E3075" i="10"/>
  <c r="D3075" i="10"/>
  <c r="E3074" i="10"/>
  <c r="D3074" i="10"/>
  <c r="E3073" i="10"/>
  <c r="D3073" i="10"/>
  <c r="E3072" i="10"/>
  <c r="D3072" i="10"/>
  <c r="E3071" i="10"/>
  <c r="D3071" i="10"/>
  <c r="E3070" i="10"/>
  <c r="D3070" i="10"/>
  <c r="E3069" i="10"/>
  <c r="D3069" i="10"/>
  <c r="E3068" i="10"/>
  <c r="D3068" i="10"/>
  <c r="E3067" i="10"/>
  <c r="D3067" i="10"/>
  <c r="E3066" i="10"/>
  <c r="D3066" i="10"/>
  <c r="E3065" i="10"/>
  <c r="D3065" i="10"/>
  <c r="E3064" i="10"/>
  <c r="D3064" i="10"/>
  <c r="E3063" i="10"/>
  <c r="D3063" i="10"/>
  <c r="E3062" i="10"/>
  <c r="D3062" i="10"/>
  <c r="E3061" i="10"/>
  <c r="D3061" i="10"/>
  <c r="E3060" i="10"/>
  <c r="D3060" i="10"/>
  <c r="E3059" i="10"/>
  <c r="D3059" i="10"/>
  <c r="E3058" i="10"/>
  <c r="D3058" i="10"/>
  <c r="E3057" i="10"/>
  <c r="D3057" i="10"/>
  <c r="E3056" i="10"/>
  <c r="D3056" i="10"/>
  <c r="E3055" i="10"/>
  <c r="D3055" i="10"/>
  <c r="E3054" i="10"/>
  <c r="D3054" i="10"/>
  <c r="E3053" i="10"/>
  <c r="D3053" i="10"/>
  <c r="E3052" i="10"/>
  <c r="D3052" i="10"/>
  <c r="E3051" i="10"/>
  <c r="D3051" i="10"/>
  <c r="E3050" i="10"/>
  <c r="D3050" i="10"/>
  <c r="E3049" i="10"/>
  <c r="D3049" i="10"/>
  <c r="E3048" i="10"/>
  <c r="D3048" i="10"/>
  <c r="E3047" i="10"/>
  <c r="D3047" i="10"/>
  <c r="E3046" i="10"/>
  <c r="D3046" i="10"/>
  <c r="E3045" i="10"/>
  <c r="D3045" i="10"/>
  <c r="E3044" i="10"/>
  <c r="D3044" i="10"/>
  <c r="E3043" i="10"/>
  <c r="D3043" i="10"/>
  <c r="E3042" i="10"/>
  <c r="D3042" i="10"/>
  <c r="E3041" i="10"/>
  <c r="D3041" i="10"/>
  <c r="E3040" i="10"/>
  <c r="D3040" i="10"/>
  <c r="E3039" i="10"/>
  <c r="D3039" i="10"/>
  <c r="E3038" i="10"/>
  <c r="D3038" i="10"/>
  <c r="E3037" i="10"/>
  <c r="D3037" i="10"/>
  <c r="E3036" i="10"/>
  <c r="D3036" i="10"/>
  <c r="E3035" i="10"/>
  <c r="D3035" i="10"/>
  <c r="E3034" i="10"/>
  <c r="D3034" i="10"/>
  <c r="E3033" i="10"/>
  <c r="D3033" i="10"/>
  <c r="E3032" i="10"/>
  <c r="D3032" i="10"/>
  <c r="E3031" i="10"/>
  <c r="D3031" i="10"/>
  <c r="E3030" i="10"/>
  <c r="D3030" i="10"/>
  <c r="E3029" i="10"/>
  <c r="D3029" i="10"/>
  <c r="E3028" i="10"/>
  <c r="D3028" i="10"/>
  <c r="E3027" i="10"/>
  <c r="D3027" i="10"/>
  <c r="E3026" i="10"/>
  <c r="D3026" i="10"/>
  <c r="E3025" i="10"/>
  <c r="D3025" i="10"/>
  <c r="E3024" i="10"/>
  <c r="D3024" i="10"/>
  <c r="E3023" i="10"/>
  <c r="D3023" i="10"/>
  <c r="E3022" i="10"/>
  <c r="D3022" i="10"/>
  <c r="E3021" i="10"/>
  <c r="D3021" i="10"/>
  <c r="E3020" i="10"/>
  <c r="D3020" i="10"/>
  <c r="E3019" i="10"/>
  <c r="D3019" i="10"/>
  <c r="E3018" i="10"/>
  <c r="D3018" i="10"/>
  <c r="E3017" i="10"/>
  <c r="D3017" i="10"/>
  <c r="E3016" i="10"/>
  <c r="D3016" i="10"/>
  <c r="E3015" i="10"/>
  <c r="D3015" i="10"/>
  <c r="E3014" i="10"/>
  <c r="D3014" i="10"/>
  <c r="E3013" i="10"/>
  <c r="D3013" i="10"/>
  <c r="E3012" i="10"/>
  <c r="D3012" i="10"/>
  <c r="E3011" i="10"/>
  <c r="D3011" i="10"/>
  <c r="E3010" i="10"/>
  <c r="D3010" i="10"/>
  <c r="E3009" i="10"/>
  <c r="D3009" i="10"/>
  <c r="E3008" i="10"/>
  <c r="D3008" i="10"/>
  <c r="E3007" i="10"/>
  <c r="D3007" i="10"/>
  <c r="E3006" i="10"/>
  <c r="D3006" i="10"/>
  <c r="E3005" i="10"/>
  <c r="D3005" i="10"/>
  <c r="E3004" i="10"/>
  <c r="D3004" i="10"/>
  <c r="E3003" i="10"/>
  <c r="D3003" i="10"/>
  <c r="E3002" i="10"/>
  <c r="D3002" i="10"/>
  <c r="E3001" i="10"/>
  <c r="D3001" i="10"/>
  <c r="E3000" i="10"/>
  <c r="D3000" i="10"/>
  <c r="E2999" i="10"/>
  <c r="D2999" i="10"/>
  <c r="E2998" i="10"/>
  <c r="D2998" i="10"/>
  <c r="E2997" i="10"/>
  <c r="D2997" i="10"/>
  <c r="E2996" i="10"/>
  <c r="D2996" i="10"/>
  <c r="E2995" i="10"/>
  <c r="D2995" i="10"/>
  <c r="E2994" i="10"/>
  <c r="D2994" i="10"/>
  <c r="E2993" i="10"/>
  <c r="D2993" i="10"/>
  <c r="E2992" i="10"/>
  <c r="D2992" i="10"/>
  <c r="E2991" i="10"/>
  <c r="D2991" i="10"/>
  <c r="E2990" i="10"/>
  <c r="D2990" i="10"/>
  <c r="E2989" i="10"/>
  <c r="D2989" i="10"/>
  <c r="E2988" i="10"/>
  <c r="D2988" i="10"/>
  <c r="E2987" i="10"/>
  <c r="D2987" i="10"/>
  <c r="E2986" i="10"/>
  <c r="D2986" i="10"/>
  <c r="E2985" i="10"/>
  <c r="D2985" i="10"/>
  <c r="E2984" i="10"/>
  <c r="D2984" i="10"/>
  <c r="E2983" i="10"/>
  <c r="D2983" i="10"/>
  <c r="E2982" i="10"/>
  <c r="D2982" i="10"/>
  <c r="E2981" i="10"/>
  <c r="D2981" i="10"/>
  <c r="E2980" i="10"/>
  <c r="D2980" i="10"/>
  <c r="E2979" i="10"/>
  <c r="D2979" i="10"/>
  <c r="E2978" i="10"/>
  <c r="D2978" i="10"/>
  <c r="E2977" i="10"/>
  <c r="D2977" i="10"/>
  <c r="E2976" i="10"/>
  <c r="D2976" i="10"/>
  <c r="E2975" i="10"/>
  <c r="D2975" i="10"/>
  <c r="E2974" i="10"/>
  <c r="D2974" i="10"/>
  <c r="E2973" i="10"/>
  <c r="D2973" i="10"/>
  <c r="E2972" i="10"/>
  <c r="D2972" i="10"/>
  <c r="E2971" i="10"/>
  <c r="D2971" i="10"/>
  <c r="E2970" i="10"/>
  <c r="D2970" i="10"/>
  <c r="E2969" i="10"/>
  <c r="D2969" i="10"/>
  <c r="E2968" i="10"/>
  <c r="D2968" i="10"/>
  <c r="E2967" i="10"/>
  <c r="D2967" i="10"/>
  <c r="E2966" i="10"/>
  <c r="D2966" i="10"/>
  <c r="E2965" i="10"/>
  <c r="D2965" i="10"/>
  <c r="E2964" i="10"/>
  <c r="D2964" i="10"/>
  <c r="E2963" i="10"/>
  <c r="D2963" i="10"/>
  <c r="E2962" i="10"/>
  <c r="D2962" i="10"/>
  <c r="E2961" i="10"/>
  <c r="D2961" i="10"/>
  <c r="E2960" i="10"/>
  <c r="D2960" i="10"/>
  <c r="E2959" i="10"/>
  <c r="D2959" i="10"/>
  <c r="E2958" i="10"/>
  <c r="D2958" i="10"/>
  <c r="E2957" i="10"/>
  <c r="D2957" i="10"/>
  <c r="E2956" i="10"/>
  <c r="D2956" i="10"/>
  <c r="E2955" i="10"/>
  <c r="D2955" i="10"/>
  <c r="E2954" i="10"/>
  <c r="D2954" i="10"/>
  <c r="E2953" i="10"/>
  <c r="D2953" i="10"/>
  <c r="E2952" i="10"/>
  <c r="D2952" i="10"/>
  <c r="E2951" i="10"/>
  <c r="D2951" i="10"/>
  <c r="E2950" i="10"/>
  <c r="D2950" i="10"/>
  <c r="E2949" i="10"/>
  <c r="D2949" i="10"/>
  <c r="E2948" i="10"/>
  <c r="D2948" i="10"/>
  <c r="E2947" i="10"/>
  <c r="D2947" i="10"/>
  <c r="E2946" i="10"/>
  <c r="D2946" i="10"/>
  <c r="E2945" i="10"/>
  <c r="D2945" i="10"/>
  <c r="E2944" i="10"/>
  <c r="D2944" i="10"/>
  <c r="E2943" i="10"/>
  <c r="D2943" i="10"/>
  <c r="E2942" i="10"/>
  <c r="D2942" i="10"/>
  <c r="E2941" i="10"/>
  <c r="D2941" i="10"/>
  <c r="E2940" i="10"/>
  <c r="D2940" i="10"/>
  <c r="E2939" i="10"/>
  <c r="D2939" i="10"/>
  <c r="E2938" i="10"/>
  <c r="D2938" i="10"/>
  <c r="E2937" i="10"/>
  <c r="D2937" i="10"/>
  <c r="E2936" i="10"/>
  <c r="D2936" i="10"/>
  <c r="E2935" i="10"/>
  <c r="D2935" i="10"/>
  <c r="E2934" i="10"/>
  <c r="D2934" i="10"/>
  <c r="E2933" i="10"/>
  <c r="D2933" i="10"/>
  <c r="E2932" i="10"/>
  <c r="D2932" i="10"/>
  <c r="E2931" i="10"/>
  <c r="D2931" i="10"/>
  <c r="E2930" i="10"/>
  <c r="D2930" i="10"/>
  <c r="E2929" i="10"/>
  <c r="D2929" i="10"/>
  <c r="E2928" i="10"/>
  <c r="D2928" i="10"/>
  <c r="E2927" i="10"/>
  <c r="D2927" i="10"/>
  <c r="E2926" i="10"/>
  <c r="D2926" i="10"/>
  <c r="E2925" i="10"/>
  <c r="D2925" i="10"/>
  <c r="E2924" i="10"/>
  <c r="D2924" i="10"/>
  <c r="E2923" i="10"/>
  <c r="D2923" i="10"/>
  <c r="E2922" i="10"/>
  <c r="D2922" i="10"/>
  <c r="E2921" i="10"/>
  <c r="D2921" i="10"/>
  <c r="E2920" i="10"/>
  <c r="D2920" i="10"/>
  <c r="E2919" i="10"/>
  <c r="D2919" i="10"/>
  <c r="E2918" i="10"/>
  <c r="D2918" i="10"/>
  <c r="E2917" i="10"/>
  <c r="D2917" i="10"/>
  <c r="E2916" i="10"/>
  <c r="D2916" i="10"/>
  <c r="E2915" i="10"/>
  <c r="D2915" i="10"/>
  <c r="E2914" i="10"/>
  <c r="D2914" i="10"/>
  <c r="E2913" i="10"/>
  <c r="D2913" i="10"/>
  <c r="E2912" i="10"/>
  <c r="D2912" i="10"/>
  <c r="E2911" i="10"/>
  <c r="D2911" i="10"/>
  <c r="E2910" i="10"/>
  <c r="D2910" i="10"/>
  <c r="E2909" i="10"/>
  <c r="D2909" i="10"/>
  <c r="E2908" i="10"/>
  <c r="D2908" i="10"/>
  <c r="E2907" i="10"/>
  <c r="D2907" i="10"/>
  <c r="E2906" i="10"/>
  <c r="D2906" i="10"/>
  <c r="E2905" i="10"/>
  <c r="D2905" i="10"/>
  <c r="E2904" i="10"/>
  <c r="D2904" i="10"/>
  <c r="E2903" i="10"/>
  <c r="D2903" i="10"/>
  <c r="E2902" i="10"/>
  <c r="D2902" i="10"/>
  <c r="E2901" i="10"/>
  <c r="D2901" i="10"/>
  <c r="E2900" i="10"/>
  <c r="D2900" i="10"/>
  <c r="E2899" i="10"/>
  <c r="D2899" i="10"/>
  <c r="E2898" i="10"/>
  <c r="D2898" i="10"/>
  <c r="E2897" i="10"/>
  <c r="D2897" i="10"/>
  <c r="E2896" i="10"/>
  <c r="D2896" i="10"/>
  <c r="E2895" i="10"/>
  <c r="D2895" i="10"/>
  <c r="E2894" i="10"/>
  <c r="D2894" i="10"/>
  <c r="E2893" i="10"/>
  <c r="D2893" i="10"/>
  <c r="E2892" i="10"/>
  <c r="D2892" i="10"/>
  <c r="E2891" i="10"/>
  <c r="D2891" i="10"/>
  <c r="E2890" i="10"/>
  <c r="D2890" i="10"/>
  <c r="E2889" i="10"/>
  <c r="D2889" i="10"/>
  <c r="E2888" i="10"/>
  <c r="D2888" i="10"/>
  <c r="E2887" i="10"/>
  <c r="D2887" i="10"/>
  <c r="E2886" i="10"/>
  <c r="D2886" i="10"/>
  <c r="E2885" i="10"/>
  <c r="D2885" i="10"/>
  <c r="E2884" i="10"/>
  <c r="D2884" i="10"/>
  <c r="E2883" i="10"/>
  <c r="D2883" i="10"/>
  <c r="E2882" i="10"/>
  <c r="D2882" i="10"/>
  <c r="E2881" i="10"/>
  <c r="D2881" i="10"/>
  <c r="E2880" i="10"/>
  <c r="D2880" i="10"/>
  <c r="E2879" i="10"/>
  <c r="D2879" i="10"/>
  <c r="E2878" i="10"/>
  <c r="D2878" i="10"/>
  <c r="E2877" i="10"/>
  <c r="D2877" i="10"/>
  <c r="E2876" i="10"/>
  <c r="D2876" i="10"/>
  <c r="E2875" i="10"/>
  <c r="D2875" i="10"/>
  <c r="E2874" i="10"/>
  <c r="D2874" i="10"/>
  <c r="E2873" i="10"/>
  <c r="D2873" i="10"/>
  <c r="E2872" i="10"/>
  <c r="D2872" i="10"/>
  <c r="E2871" i="10"/>
  <c r="D2871" i="10"/>
  <c r="E2870" i="10"/>
  <c r="D2870" i="10"/>
  <c r="E2869" i="10"/>
  <c r="D2869" i="10"/>
  <c r="E2868" i="10"/>
  <c r="D2868" i="10"/>
  <c r="E2867" i="10"/>
  <c r="D2867" i="10"/>
  <c r="E2866" i="10"/>
  <c r="D2866" i="10"/>
  <c r="E2865" i="10"/>
  <c r="D2865" i="10"/>
  <c r="E2864" i="10"/>
  <c r="D2864" i="10"/>
  <c r="E2863" i="10"/>
  <c r="D2863" i="10"/>
  <c r="E2862" i="10"/>
  <c r="D2862" i="10"/>
  <c r="E2861" i="10"/>
  <c r="D2861" i="10"/>
  <c r="E2860" i="10"/>
  <c r="D2860" i="10"/>
  <c r="E2859" i="10"/>
  <c r="D2859" i="10"/>
  <c r="E2858" i="10"/>
  <c r="D2858" i="10"/>
  <c r="E2857" i="10"/>
  <c r="D2857" i="10"/>
  <c r="E2856" i="10"/>
  <c r="D2856" i="10"/>
  <c r="E2855" i="10"/>
  <c r="D2855" i="10"/>
  <c r="E2854" i="10"/>
  <c r="D2854" i="10"/>
  <c r="E2853" i="10"/>
  <c r="D2853" i="10"/>
  <c r="E2852" i="10"/>
  <c r="D2852" i="10"/>
  <c r="E2851" i="10"/>
  <c r="D2851" i="10"/>
  <c r="E2850" i="10"/>
  <c r="D2850" i="10"/>
  <c r="E2849" i="10"/>
  <c r="D2849" i="10"/>
  <c r="E2848" i="10"/>
  <c r="D2848" i="10"/>
  <c r="E2847" i="10"/>
  <c r="D2847" i="10"/>
  <c r="E2846" i="10"/>
  <c r="D2846" i="10"/>
  <c r="E2845" i="10"/>
  <c r="D2845" i="10"/>
  <c r="E2844" i="10"/>
  <c r="D2844" i="10"/>
  <c r="E2843" i="10"/>
  <c r="D2843" i="10"/>
  <c r="E2842" i="10"/>
  <c r="D2842" i="10"/>
  <c r="E2841" i="10"/>
  <c r="D2841" i="10"/>
  <c r="E2840" i="10"/>
  <c r="D2840" i="10"/>
  <c r="E2839" i="10"/>
  <c r="D2839" i="10"/>
  <c r="E2838" i="10"/>
  <c r="D2838" i="10"/>
  <c r="E2837" i="10"/>
  <c r="D2837" i="10"/>
  <c r="E2836" i="10"/>
  <c r="D2836" i="10"/>
  <c r="E2835" i="10"/>
  <c r="D2835" i="10"/>
  <c r="E2834" i="10"/>
  <c r="D2834" i="10"/>
  <c r="E2833" i="10"/>
  <c r="D2833" i="10"/>
  <c r="E2832" i="10"/>
  <c r="D2832" i="10"/>
  <c r="E2831" i="10"/>
  <c r="D2831" i="10"/>
  <c r="E2830" i="10"/>
  <c r="D2830" i="10"/>
  <c r="E2829" i="10"/>
  <c r="D2829" i="10"/>
  <c r="E2828" i="10"/>
  <c r="D2828" i="10"/>
  <c r="E2827" i="10"/>
  <c r="D2827" i="10"/>
  <c r="E2826" i="10"/>
  <c r="D2826" i="10"/>
  <c r="E2825" i="10"/>
  <c r="D2825" i="10"/>
  <c r="E2824" i="10"/>
  <c r="D2824" i="10"/>
  <c r="E2823" i="10"/>
  <c r="D2823" i="10"/>
  <c r="E2822" i="10"/>
  <c r="D2822" i="10"/>
  <c r="E2821" i="10"/>
  <c r="D2821" i="10"/>
  <c r="E2820" i="10"/>
  <c r="D2820" i="10"/>
  <c r="E2819" i="10"/>
  <c r="D2819" i="10"/>
  <c r="E2818" i="10"/>
  <c r="D2818" i="10"/>
  <c r="E2817" i="10"/>
  <c r="D2817" i="10"/>
  <c r="E2816" i="10"/>
  <c r="D2816" i="10"/>
  <c r="E2815" i="10"/>
  <c r="D2815" i="10"/>
  <c r="E2814" i="10"/>
  <c r="D2814" i="10"/>
  <c r="E2813" i="10"/>
  <c r="D2813" i="10"/>
  <c r="E2812" i="10"/>
  <c r="D2812" i="10"/>
  <c r="E2811" i="10"/>
  <c r="D2811" i="10"/>
  <c r="E2810" i="10"/>
  <c r="D2810" i="10"/>
  <c r="E2809" i="10"/>
  <c r="D2809" i="10"/>
  <c r="E2808" i="10"/>
  <c r="D2808" i="10"/>
  <c r="E2807" i="10"/>
  <c r="D2807" i="10"/>
  <c r="E2806" i="10"/>
  <c r="D2806" i="10"/>
  <c r="E2805" i="10"/>
  <c r="D2805" i="10"/>
  <c r="E2804" i="10"/>
  <c r="D2804" i="10"/>
  <c r="E2803" i="10"/>
  <c r="D2803" i="10"/>
  <c r="E2802" i="10"/>
  <c r="D2802" i="10"/>
  <c r="E2801" i="10"/>
  <c r="D2801" i="10"/>
  <c r="E2800" i="10"/>
  <c r="D2800" i="10"/>
  <c r="E2799" i="10"/>
  <c r="D2799" i="10"/>
  <c r="E2798" i="10"/>
  <c r="D2798" i="10"/>
  <c r="E2797" i="10"/>
  <c r="D2797" i="10"/>
  <c r="E2796" i="10"/>
  <c r="D2796" i="10"/>
  <c r="E2795" i="10"/>
  <c r="D2795" i="10"/>
  <c r="E2794" i="10"/>
  <c r="D2794" i="10"/>
  <c r="E2793" i="10"/>
  <c r="D2793" i="10"/>
  <c r="E2792" i="10"/>
  <c r="D2792" i="10"/>
  <c r="E2791" i="10"/>
  <c r="D2791" i="10"/>
  <c r="E2790" i="10"/>
  <c r="D2790" i="10"/>
  <c r="E2789" i="10"/>
  <c r="D2789" i="10"/>
  <c r="E2788" i="10"/>
  <c r="D2788" i="10"/>
  <c r="E2787" i="10"/>
  <c r="D2787" i="10"/>
  <c r="E2786" i="10"/>
  <c r="D2786" i="10"/>
  <c r="E2785" i="10"/>
  <c r="D2785" i="10"/>
  <c r="E2784" i="10"/>
  <c r="D2784" i="10"/>
  <c r="E2783" i="10"/>
  <c r="D2783" i="10"/>
  <c r="E2782" i="10"/>
  <c r="D2782" i="10"/>
  <c r="E2781" i="10"/>
  <c r="D2781" i="10"/>
  <c r="E2780" i="10"/>
  <c r="D2780" i="10"/>
  <c r="E2779" i="10"/>
  <c r="D2779" i="10"/>
  <c r="E2778" i="10"/>
  <c r="D2778" i="10"/>
  <c r="E2777" i="10"/>
  <c r="D2777" i="10"/>
  <c r="E2776" i="10"/>
  <c r="D2776" i="10"/>
  <c r="E2775" i="10"/>
  <c r="D2775" i="10"/>
  <c r="E2774" i="10"/>
  <c r="D2774" i="10"/>
  <c r="E2773" i="10"/>
  <c r="D2773" i="10"/>
  <c r="E2772" i="10"/>
  <c r="D2772" i="10"/>
  <c r="E2771" i="10"/>
  <c r="D2771" i="10"/>
  <c r="E2770" i="10"/>
  <c r="D2770" i="10"/>
  <c r="E2769" i="10"/>
  <c r="D2769" i="10"/>
  <c r="E2768" i="10"/>
  <c r="D2768" i="10"/>
  <c r="E2767" i="10"/>
  <c r="D2767" i="10"/>
  <c r="E2766" i="10"/>
  <c r="D2766" i="10"/>
  <c r="E2765" i="10"/>
  <c r="D2765" i="10"/>
  <c r="E2764" i="10"/>
  <c r="D2764" i="10"/>
  <c r="E2763" i="10"/>
  <c r="D2763" i="10"/>
  <c r="E2762" i="10"/>
  <c r="D2762" i="10"/>
  <c r="E2761" i="10"/>
  <c r="D2761" i="10"/>
  <c r="E2760" i="10"/>
  <c r="D2760" i="10"/>
  <c r="E2759" i="10"/>
  <c r="D2759" i="10"/>
  <c r="E2758" i="10"/>
  <c r="D2758" i="10"/>
  <c r="E2757" i="10"/>
  <c r="D2757" i="10"/>
  <c r="E2756" i="10"/>
  <c r="D2756" i="10"/>
  <c r="E2755" i="10"/>
  <c r="D2755" i="10"/>
  <c r="E2754" i="10"/>
  <c r="D2754" i="10"/>
  <c r="E2753" i="10"/>
  <c r="D2753" i="10"/>
  <c r="E2752" i="10"/>
  <c r="D2752" i="10"/>
  <c r="E2751" i="10"/>
  <c r="D2751" i="10"/>
  <c r="E2750" i="10"/>
  <c r="D2750" i="10"/>
  <c r="E2749" i="10"/>
  <c r="D2749" i="10"/>
  <c r="E2748" i="10"/>
  <c r="D2748" i="10"/>
  <c r="E2747" i="10"/>
  <c r="D2747" i="10"/>
  <c r="E2746" i="10"/>
  <c r="D2746" i="10"/>
  <c r="E2745" i="10"/>
  <c r="D2745" i="10"/>
  <c r="E2744" i="10"/>
  <c r="D2744" i="10"/>
  <c r="E2743" i="10"/>
  <c r="D2743" i="10"/>
  <c r="E2742" i="10"/>
  <c r="D2742" i="10"/>
  <c r="E2741" i="10"/>
  <c r="D2741" i="10"/>
  <c r="E2740" i="10"/>
  <c r="D2740" i="10"/>
  <c r="E2739" i="10"/>
  <c r="D2739" i="10"/>
  <c r="E2738" i="10"/>
  <c r="D2738" i="10"/>
  <c r="E2737" i="10"/>
  <c r="D2737" i="10"/>
  <c r="E2736" i="10"/>
  <c r="D2736" i="10"/>
  <c r="E2735" i="10"/>
  <c r="D2735" i="10"/>
  <c r="E2734" i="10"/>
  <c r="D2734" i="10"/>
  <c r="E2733" i="10"/>
  <c r="D2733" i="10"/>
  <c r="E2732" i="10"/>
  <c r="D2732" i="10"/>
  <c r="E2731" i="10"/>
  <c r="D2731" i="10"/>
  <c r="E2730" i="10"/>
  <c r="D2730" i="10"/>
  <c r="E2729" i="10"/>
  <c r="D2729" i="10"/>
  <c r="E2728" i="10"/>
  <c r="D2728" i="10"/>
  <c r="E2727" i="10"/>
  <c r="D2727" i="10"/>
  <c r="E2726" i="10"/>
  <c r="D2726" i="10"/>
  <c r="E2725" i="10"/>
  <c r="D2725" i="10"/>
  <c r="E2724" i="10"/>
  <c r="D2724" i="10"/>
  <c r="E2723" i="10"/>
  <c r="D2723" i="10"/>
  <c r="E2722" i="10"/>
  <c r="D2722" i="10"/>
  <c r="E2721" i="10"/>
  <c r="D2721" i="10"/>
  <c r="E2720" i="10"/>
  <c r="D2720" i="10"/>
  <c r="E2719" i="10"/>
  <c r="D2719" i="10"/>
  <c r="E2718" i="10"/>
  <c r="D2718" i="10"/>
  <c r="E2717" i="10"/>
  <c r="D2717" i="10"/>
  <c r="E2716" i="10"/>
  <c r="D2716" i="10"/>
  <c r="E2715" i="10"/>
  <c r="D2715" i="10"/>
  <c r="E2714" i="10"/>
  <c r="D2714" i="10"/>
  <c r="E2713" i="10"/>
  <c r="D2713" i="10"/>
  <c r="E2712" i="10"/>
  <c r="D2712" i="10"/>
  <c r="E2711" i="10"/>
  <c r="D2711" i="10"/>
  <c r="E2710" i="10"/>
  <c r="D2710" i="10"/>
  <c r="E2709" i="10"/>
  <c r="D2709" i="10"/>
  <c r="E2708" i="10"/>
  <c r="D2708" i="10"/>
  <c r="E2707" i="10"/>
  <c r="D2707" i="10"/>
  <c r="E2706" i="10"/>
  <c r="D2706" i="10"/>
  <c r="E2705" i="10"/>
  <c r="D2705" i="10"/>
  <c r="E2704" i="10"/>
  <c r="D2704" i="10"/>
  <c r="E2703" i="10"/>
  <c r="D2703" i="10"/>
  <c r="E2702" i="10"/>
  <c r="D2702" i="10"/>
  <c r="E2701" i="10"/>
  <c r="D2701" i="10"/>
  <c r="E2700" i="10"/>
  <c r="D2700" i="10"/>
  <c r="E2699" i="10"/>
  <c r="D2699" i="10"/>
  <c r="E2698" i="10"/>
  <c r="D2698" i="10"/>
  <c r="E2697" i="10"/>
  <c r="D2697" i="10"/>
  <c r="E2696" i="10"/>
  <c r="D2696" i="10"/>
  <c r="E2695" i="10"/>
  <c r="D2695" i="10"/>
  <c r="E2694" i="10"/>
  <c r="D2694" i="10"/>
  <c r="E2693" i="10"/>
  <c r="D2693" i="10"/>
  <c r="E2692" i="10"/>
  <c r="D2692" i="10"/>
  <c r="E2691" i="10"/>
  <c r="D2691" i="10"/>
  <c r="E2690" i="10"/>
  <c r="D2690" i="10"/>
  <c r="E2689" i="10"/>
  <c r="D2689" i="10"/>
  <c r="E2688" i="10"/>
  <c r="D2688" i="10"/>
  <c r="E2687" i="10"/>
  <c r="D2687" i="10"/>
  <c r="E2686" i="10"/>
  <c r="D2686" i="10"/>
  <c r="E2685" i="10"/>
  <c r="D2685" i="10"/>
  <c r="E2684" i="10"/>
  <c r="D2684" i="10"/>
  <c r="E2683" i="10"/>
  <c r="D2683" i="10"/>
  <c r="E2682" i="10"/>
  <c r="D2682" i="10"/>
  <c r="E2681" i="10"/>
  <c r="D2681" i="10"/>
  <c r="E2680" i="10"/>
  <c r="D2680" i="10"/>
  <c r="E2679" i="10"/>
  <c r="D2679" i="10"/>
  <c r="E2678" i="10"/>
  <c r="D2678" i="10"/>
  <c r="E2677" i="10"/>
  <c r="D2677" i="10"/>
  <c r="E2676" i="10"/>
  <c r="D2676" i="10"/>
  <c r="E2675" i="10"/>
  <c r="D2675" i="10"/>
  <c r="E2674" i="10"/>
  <c r="D2674" i="10"/>
  <c r="E2673" i="10"/>
  <c r="D2673" i="10"/>
  <c r="E2672" i="10"/>
  <c r="D2672" i="10"/>
  <c r="E2671" i="10"/>
  <c r="D2671" i="10"/>
  <c r="E2670" i="10"/>
  <c r="D2670" i="10"/>
  <c r="E2669" i="10"/>
  <c r="D2669" i="10"/>
  <c r="E2668" i="10"/>
  <c r="D2668" i="10"/>
  <c r="E2667" i="10"/>
  <c r="D2667" i="10"/>
  <c r="E2666" i="10"/>
  <c r="D2666" i="10"/>
  <c r="E2665" i="10"/>
  <c r="D2665" i="10"/>
  <c r="E2664" i="10"/>
  <c r="D2664" i="10"/>
  <c r="E2663" i="10"/>
  <c r="D2663" i="10"/>
  <c r="E2662" i="10"/>
  <c r="D2662" i="10"/>
  <c r="E2661" i="10"/>
  <c r="D2661" i="10"/>
  <c r="E2660" i="10"/>
  <c r="D2660" i="10"/>
  <c r="E2659" i="10"/>
  <c r="D2659" i="10"/>
  <c r="E2658" i="10"/>
  <c r="D2658" i="10"/>
  <c r="E2657" i="10"/>
  <c r="D2657" i="10"/>
  <c r="E2656" i="10"/>
  <c r="D2656" i="10"/>
  <c r="E2655" i="10"/>
  <c r="D2655" i="10"/>
  <c r="E2654" i="10"/>
  <c r="D2654" i="10"/>
  <c r="E2653" i="10"/>
  <c r="D2653" i="10"/>
  <c r="E2652" i="10"/>
  <c r="D2652" i="10"/>
  <c r="E2651" i="10"/>
  <c r="D2651" i="10"/>
  <c r="E2650" i="10"/>
  <c r="D2650" i="10"/>
  <c r="E2649" i="10"/>
  <c r="D2649" i="10"/>
  <c r="E2648" i="10"/>
  <c r="D2648" i="10"/>
  <c r="E2647" i="10"/>
  <c r="D2647" i="10"/>
  <c r="E2646" i="10"/>
  <c r="D2646" i="10"/>
  <c r="E2645" i="10"/>
  <c r="D2645" i="10"/>
  <c r="E2644" i="10"/>
  <c r="D2644" i="10"/>
  <c r="E2643" i="10"/>
  <c r="D2643" i="10"/>
  <c r="E2642" i="10"/>
  <c r="D2642" i="10"/>
  <c r="E2641" i="10"/>
  <c r="D2641" i="10"/>
  <c r="E2640" i="10"/>
  <c r="D2640" i="10"/>
  <c r="E2639" i="10"/>
  <c r="D2639" i="10"/>
  <c r="E2638" i="10"/>
  <c r="D2638" i="10"/>
  <c r="E2637" i="10"/>
  <c r="D2637" i="10"/>
  <c r="E2636" i="10"/>
  <c r="D2636" i="10"/>
  <c r="E2635" i="10"/>
  <c r="D2635" i="10"/>
  <c r="E2634" i="10"/>
  <c r="D2634" i="10"/>
  <c r="E2633" i="10"/>
  <c r="D2633" i="10"/>
  <c r="E2632" i="10"/>
  <c r="D2632" i="10"/>
  <c r="E2631" i="10"/>
  <c r="D2631" i="10"/>
  <c r="E2630" i="10"/>
  <c r="D2630" i="10"/>
  <c r="E2629" i="10"/>
  <c r="D2629" i="10"/>
  <c r="E2628" i="10"/>
  <c r="D2628" i="10"/>
  <c r="E2627" i="10"/>
  <c r="D2627" i="10"/>
  <c r="E2626" i="10"/>
  <c r="D2626" i="10"/>
  <c r="E2625" i="10"/>
  <c r="D2625" i="10"/>
  <c r="E2624" i="10"/>
  <c r="D2624" i="10"/>
  <c r="E2623" i="10"/>
  <c r="D2623" i="10"/>
  <c r="E2622" i="10"/>
  <c r="D2622" i="10"/>
  <c r="E2621" i="10"/>
  <c r="D2621" i="10"/>
  <c r="E2620" i="10"/>
  <c r="D2620" i="10"/>
  <c r="E2619" i="10"/>
  <c r="D2619" i="10"/>
  <c r="E2618" i="10"/>
  <c r="D2618" i="10"/>
  <c r="E2617" i="10"/>
  <c r="D2617" i="10"/>
  <c r="E2616" i="10"/>
  <c r="D2616" i="10"/>
  <c r="E2615" i="10"/>
  <c r="D2615" i="10"/>
  <c r="E2614" i="10"/>
  <c r="D2614" i="10"/>
  <c r="E2613" i="10"/>
  <c r="D2613" i="10"/>
  <c r="E2612" i="10"/>
  <c r="D2612" i="10"/>
  <c r="E2611" i="10"/>
  <c r="D2611" i="10"/>
  <c r="E2610" i="10"/>
  <c r="D2610" i="10"/>
  <c r="E2609" i="10"/>
  <c r="D2609" i="10"/>
  <c r="E2608" i="10"/>
  <c r="D2608" i="10"/>
  <c r="E2607" i="10"/>
  <c r="D2607" i="10"/>
  <c r="E2606" i="10"/>
  <c r="D2606" i="10"/>
  <c r="E2605" i="10"/>
  <c r="D2605" i="10"/>
  <c r="E2604" i="10"/>
  <c r="D2604" i="10"/>
  <c r="E2603" i="10"/>
  <c r="D2603" i="10"/>
  <c r="E2602" i="10"/>
  <c r="D2602" i="10"/>
  <c r="E2601" i="10"/>
  <c r="D2601" i="10"/>
  <c r="E2600" i="10"/>
  <c r="D2600" i="10"/>
  <c r="E2599" i="10"/>
  <c r="D2599" i="10"/>
  <c r="E2598" i="10"/>
  <c r="D2598" i="10"/>
  <c r="E2597" i="10"/>
  <c r="D2597" i="10"/>
  <c r="E2596" i="10"/>
  <c r="D2596" i="10"/>
  <c r="E2595" i="10"/>
  <c r="D2595" i="10"/>
  <c r="E2594" i="10"/>
  <c r="D2594" i="10"/>
  <c r="E2593" i="10"/>
  <c r="D2593" i="10"/>
  <c r="E2592" i="10"/>
  <c r="D2592" i="10"/>
  <c r="E2591" i="10"/>
  <c r="D2591" i="10"/>
  <c r="E2590" i="10"/>
  <c r="D2590" i="10"/>
  <c r="E2589" i="10"/>
  <c r="D2589" i="10"/>
  <c r="E2588" i="10"/>
  <c r="D2588" i="10"/>
  <c r="E2587" i="10"/>
  <c r="D2587" i="10"/>
  <c r="E2586" i="10"/>
  <c r="D2586" i="10"/>
  <c r="E2585" i="10"/>
  <c r="D2585" i="10"/>
  <c r="E2584" i="10"/>
  <c r="D2584" i="10"/>
  <c r="E2583" i="10"/>
  <c r="D2583" i="10"/>
  <c r="E2582" i="10"/>
  <c r="D2582" i="10"/>
  <c r="E2581" i="10"/>
  <c r="D2581" i="10"/>
  <c r="E2580" i="10"/>
  <c r="D2580" i="10"/>
  <c r="E2579" i="10"/>
  <c r="D2579" i="10"/>
  <c r="E2578" i="10"/>
  <c r="D2578" i="10"/>
  <c r="E2577" i="10"/>
  <c r="D2577" i="10"/>
  <c r="E2576" i="10"/>
  <c r="D2576" i="10"/>
  <c r="E2575" i="10"/>
  <c r="D2575" i="10"/>
  <c r="E2574" i="10"/>
  <c r="D2574" i="10"/>
  <c r="E2573" i="10"/>
  <c r="D2573" i="10"/>
  <c r="E2572" i="10"/>
  <c r="D2572" i="10"/>
  <c r="E2571" i="10"/>
  <c r="D2571" i="10"/>
  <c r="E2570" i="10"/>
  <c r="D2570" i="10"/>
  <c r="E2569" i="10"/>
  <c r="D2569" i="10"/>
  <c r="E2568" i="10"/>
  <c r="D2568" i="10"/>
  <c r="E2567" i="10"/>
  <c r="D2567" i="10"/>
  <c r="E2566" i="10"/>
  <c r="D2566" i="10"/>
  <c r="E2565" i="10"/>
  <c r="D2565" i="10"/>
  <c r="E2564" i="10"/>
  <c r="D2564" i="10"/>
  <c r="E2563" i="10"/>
  <c r="D2563" i="10"/>
  <c r="E2562" i="10"/>
  <c r="D2562" i="10"/>
  <c r="E2561" i="10"/>
  <c r="D2561" i="10"/>
  <c r="E2560" i="10"/>
  <c r="D2560" i="10"/>
  <c r="E2559" i="10"/>
  <c r="D2559" i="10"/>
  <c r="E2558" i="10"/>
  <c r="D2558" i="10"/>
  <c r="E2557" i="10"/>
  <c r="D2557" i="10"/>
  <c r="E2556" i="10"/>
  <c r="D2556" i="10"/>
  <c r="E2555" i="10"/>
  <c r="D2555" i="10"/>
  <c r="E2554" i="10"/>
  <c r="D2554" i="10"/>
  <c r="E2553" i="10"/>
  <c r="D2553" i="10"/>
  <c r="E2552" i="10"/>
  <c r="D2552" i="10"/>
  <c r="E2551" i="10"/>
  <c r="D2551" i="10"/>
  <c r="E2550" i="10"/>
  <c r="D2550" i="10"/>
  <c r="E2549" i="10"/>
  <c r="D2549" i="10"/>
  <c r="E2548" i="10"/>
  <c r="D2548" i="10"/>
  <c r="E2547" i="10"/>
  <c r="D2547" i="10"/>
  <c r="E2546" i="10"/>
  <c r="D2546" i="10"/>
  <c r="E2545" i="10"/>
  <c r="D2545" i="10"/>
  <c r="E2544" i="10"/>
  <c r="D2544" i="10"/>
  <c r="E2543" i="10"/>
  <c r="D2543" i="10"/>
  <c r="E2542" i="10"/>
  <c r="D2542" i="10"/>
  <c r="E2541" i="10"/>
  <c r="D2541" i="10"/>
  <c r="E2540" i="10"/>
  <c r="D2540" i="10"/>
  <c r="E2539" i="10"/>
  <c r="D2539" i="10"/>
  <c r="E2538" i="10"/>
  <c r="D2538" i="10"/>
  <c r="E2537" i="10"/>
  <c r="D2537" i="10"/>
  <c r="E2536" i="10"/>
  <c r="D2536" i="10"/>
  <c r="E2535" i="10"/>
  <c r="D2535" i="10"/>
  <c r="E2534" i="10"/>
  <c r="D2534" i="10"/>
  <c r="E2533" i="10"/>
  <c r="D2533" i="10"/>
  <c r="E2532" i="10"/>
  <c r="D2532" i="10"/>
  <c r="E2531" i="10"/>
  <c r="D2531" i="10"/>
  <c r="E2530" i="10"/>
  <c r="D2530" i="10"/>
  <c r="E2529" i="10"/>
  <c r="D2529" i="10"/>
  <c r="E2528" i="10"/>
  <c r="D2528" i="10"/>
  <c r="E2527" i="10"/>
  <c r="D2527" i="10"/>
  <c r="E2526" i="10"/>
  <c r="D2526" i="10"/>
  <c r="E2525" i="10"/>
  <c r="D2525" i="10"/>
  <c r="E2524" i="10"/>
  <c r="D2524" i="10"/>
  <c r="E2523" i="10"/>
  <c r="D2523" i="10"/>
  <c r="E2522" i="10"/>
  <c r="D2522" i="10"/>
  <c r="E2521" i="10"/>
  <c r="D2521" i="10"/>
  <c r="E2520" i="10"/>
  <c r="D2520" i="10"/>
  <c r="E2519" i="10"/>
  <c r="D2519" i="10"/>
  <c r="E2518" i="10"/>
  <c r="D2518" i="10"/>
  <c r="E2517" i="10"/>
  <c r="D2517" i="10"/>
  <c r="E2516" i="10"/>
  <c r="D2516" i="10"/>
  <c r="E2515" i="10"/>
  <c r="D2515" i="10"/>
  <c r="E2514" i="10"/>
  <c r="D2514" i="10"/>
  <c r="E2513" i="10"/>
  <c r="D2513" i="10"/>
  <c r="E2512" i="10"/>
  <c r="D2512" i="10"/>
  <c r="E2511" i="10"/>
  <c r="D2511" i="10"/>
  <c r="E2510" i="10"/>
  <c r="D2510" i="10"/>
  <c r="E2509" i="10"/>
  <c r="D2509" i="10"/>
  <c r="E2508" i="10"/>
  <c r="D2508" i="10"/>
  <c r="E2507" i="10"/>
  <c r="D2507" i="10"/>
  <c r="E2506" i="10"/>
  <c r="D2506" i="10"/>
  <c r="E2505" i="10"/>
  <c r="D2505" i="10"/>
  <c r="E2504" i="10"/>
  <c r="D2504" i="10"/>
  <c r="E2503" i="10"/>
  <c r="D2503" i="10"/>
  <c r="E2502" i="10"/>
  <c r="D2502" i="10"/>
  <c r="E2501" i="10"/>
  <c r="D2501" i="10"/>
  <c r="E2500" i="10"/>
  <c r="D2500" i="10"/>
  <c r="E2499" i="10"/>
  <c r="D2499" i="10"/>
  <c r="E2498" i="10"/>
  <c r="D2498" i="10"/>
  <c r="E2497" i="10"/>
  <c r="D2497" i="10"/>
  <c r="E2496" i="10"/>
  <c r="D2496" i="10"/>
  <c r="E2495" i="10"/>
  <c r="D2495" i="10"/>
  <c r="E2494" i="10"/>
  <c r="D2494" i="10"/>
  <c r="E2493" i="10"/>
  <c r="D2493" i="10"/>
  <c r="E2492" i="10"/>
  <c r="D2492" i="10"/>
  <c r="E2491" i="10"/>
  <c r="D2491" i="10"/>
  <c r="E2490" i="10"/>
  <c r="D2490" i="10"/>
  <c r="E2489" i="10"/>
  <c r="D2489" i="10"/>
  <c r="E2488" i="10"/>
  <c r="D2488" i="10"/>
  <c r="E2487" i="10"/>
  <c r="D2487" i="10"/>
  <c r="E2486" i="10"/>
  <c r="D2486" i="10"/>
  <c r="E2485" i="10"/>
  <c r="D2485" i="10"/>
  <c r="E2484" i="10"/>
  <c r="D2484" i="10"/>
  <c r="E2483" i="10"/>
  <c r="D2483" i="10"/>
  <c r="E2482" i="10"/>
  <c r="D2482" i="10"/>
  <c r="E2481" i="10"/>
  <c r="D2481" i="10"/>
  <c r="E2480" i="10"/>
  <c r="D2480" i="10"/>
  <c r="E2479" i="10"/>
  <c r="D2479" i="10"/>
  <c r="E2478" i="10"/>
  <c r="D2478" i="10"/>
  <c r="E2477" i="10"/>
  <c r="D2477" i="10"/>
  <c r="E2476" i="10"/>
  <c r="D2476" i="10"/>
  <c r="E2475" i="10"/>
  <c r="D2475" i="10"/>
  <c r="E2474" i="10"/>
  <c r="D2474" i="10"/>
  <c r="E2473" i="10"/>
  <c r="D2473" i="10"/>
  <c r="E2472" i="10"/>
  <c r="D2472" i="10"/>
  <c r="E2471" i="10"/>
  <c r="D2471" i="10"/>
  <c r="E2470" i="10"/>
  <c r="D2470" i="10"/>
  <c r="E2469" i="10"/>
  <c r="D2469" i="10"/>
  <c r="E2468" i="10"/>
  <c r="D2468" i="10"/>
  <c r="E2467" i="10"/>
  <c r="D2467" i="10"/>
  <c r="E2466" i="10"/>
  <c r="D2466" i="10"/>
  <c r="E2465" i="10"/>
  <c r="D2465" i="10"/>
  <c r="E2464" i="10"/>
  <c r="D2464" i="10"/>
  <c r="E2463" i="10"/>
  <c r="D2463" i="10"/>
  <c r="E2462" i="10"/>
  <c r="D2462" i="10"/>
  <c r="E2461" i="10"/>
  <c r="D2461" i="10"/>
  <c r="E2460" i="10"/>
  <c r="D2460" i="10"/>
  <c r="E2459" i="10"/>
  <c r="D2459" i="10"/>
  <c r="E2458" i="10"/>
  <c r="D2458" i="10"/>
  <c r="E2457" i="10"/>
  <c r="D2457" i="10"/>
  <c r="E2456" i="10"/>
  <c r="D2456" i="10"/>
  <c r="E2455" i="10"/>
  <c r="D2455" i="10"/>
  <c r="E2454" i="10"/>
  <c r="D2454" i="10"/>
  <c r="E2453" i="10"/>
  <c r="D2453" i="10"/>
  <c r="E2452" i="10"/>
  <c r="D2452" i="10"/>
  <c r="E2451" i="10"/>
  <c r="D2451" i="10"/>
  <c r="E2450" i="10"/>
  <c r="D2450" i="10"/>
  <c r="E2449" i="10"/>
  <c r="D2449" i="10"/>
  <c r="E2448" i="10"/>
  <c r="D2448" i="10"/>
  <c r="E2447" i="10"/>
  <c r="D2447" i="10"/>
  <c r="E2446" i="10"/>
  <c r="D2446" i="10"/>
  <c r="E2445" i="10"/>
  <c r="D2445" i="10"/>
  <c r="E2444" i="10"/>
  <c r="D2444" i="10"/>
  <c r="E2443" i="10"/>
  <c r="D2443" i="10"/>
  <c r="E2442" i="10"/>
  <c r="D2442" i="10"/>
  <c r="E2441" i="10"/>
  <c r="D2441" i="10"/>
  <c r="E2440" i="10"/>
  <c r="D2440" i="10"/>
  <c r="E2439" i="10"/>
  <c r="D2439" i="10"/>
  <c r="E2438" i="10"/>
  <c r="D2438" i="10"/>
  <c r="E2437" i="10"/>
  <c r="D2437" i="10"/>
  <c r="E2436" i="10"/>
  <c r="D2436" i="10"/>
  <c r="E2435" i="10"/>
  <c r="D2435" i="10"/>
  <c r="E2434" i="10"/>
  <c r="D2434" i="10"/>
  <c r="E2433" i="10"/>
  <c r="D2433" i="10"/>
  <c r="E2432" i="10"/>
  <c r="D2432" i="10"/>
  <c r="E2431" i="10"/>
  <c r="D2431" i="10"/>
  <c r="E2430" i="10"/>
  <c r="D2430" i="10"/>
  <c r="E2429" i="10"/>
  <c r="D2429" i="10"/>
  <c r="E2428" i="10"/>
  <c r="D2428" i="10"/>
  <c r="E2427" i="10"/>
  <c r="D2427" i="10"/>
  <c r="E2426" i="10"/>
  <c r="D2426" i="10"/>
  <c r="E2425" i="10"/>
  <c r="D2425" i="10"/>
  <c r="E2424" i="10"/>
  <c r="D2424" i="10"/>
  <c r="E2423" i="10"/>
  <c r="D2423" i="10"/>
  <c r="E2422" i="10"/>
  <c r="D2422" i="10"/>
  <c r="E2421" i="10"/>
  <c r="D2421" i="10"/>
  <c r="E2420" i="10"/>
  <c r="D2420" i="10"/>
  <c r="E2419" i="10"/>
  <c r="D2419" i="10"/>
  <c r="E2418" i="10"/>
  <c r="D2418" i="10"/>
  <c r="E2417" i="10"/>
  <c r="D2417" i="10"/>
  <c r="E2416" i="10"/>
  <c r="D2416" i="10"/>
  <c r="E2415" i="10"/>
  <c r="D2415" i="10"/>
  <c r="E2414" i="10"/>
  <c r="D2414" i="10"/>
  <c r="E2413" i="10"/>
  <c r="D2413" i="10"/>
  <c r="E2412" i="10"/>
  <c r="D2412" i="10"/>
  <c r="E2411" i="10"/>
  <c r="D2411" i="10"/>
  <c r="E2410" i="10"/>
  <c r="D2410" i="10"/>
  <c r="E2409" i="10"/>
  <c r="D2409" i="10"/>
  <c r="E2408" i="10"/>
  <c r="D2408" i="10"/>
  <c r="E2407" i="10"/>
  <c r="D2407" i="10"/>
  <c r="E2406" i="10"/>
  <c r="D2406" i="10"/>
  <c r="E2405" i="10"/>
  <c r="D2405" i="10"/>
  <c r="E2404" i="10"/>
  <c r="D2404" i="10"/>
  <c r="E2403" i="10"/>
  <c r="D2403" i="10"/>
  <c r="E2402" i="10"/>
  <c r="D2402" i="10"/>
  <c r="E2401" i="10"/>
  <c r="D2401" i="10"/>
  <c r="E2400" i="10"/>
  <c r="D2400" i="10"/>
  <c r="E2399" i="10"/>
  <c r="D2399" i="10"/>
  <c r="E2398" i="10"/>
  <c r="D2398" i="10"/>
  <c r="E2397" i="10"/>
  <c r="D2397" i="10"/>
  <c r="E2396" i="10"/>
  <c r="D2396" i="10"/>
  <c r="E2395" i="10"/>
  <c r="D2395" i="10"/>
  <c r="E2394" i="10"/>
  <c r="D2394" i="10"/>
  <c r="E2393" i="10"/>
  <c r="D2393" i="10"/>
  <c r="E2392" i="10"/>
  <c r="D2392" i="10"/>
  <c r="E2391" i="10"/>
  <c r="D2391" i="10"/>
  <c r="E2390" i="10"/>
  <c r="D2390" i="10"/>
  <c r="E2389" i="10"/>
  <c r="D2389" i="10"/>
  <c r="E2388" i="10"/>
  <c r="D2388" i="10"/>
  <c r="E2387" i="10"/>
  <c r="D2387" i="10"/>
  <c r="E2386" i="10"/>
  <c r="D2386" i="10"/>
  <c r="E2385" i="10"/>
  <c r="D2385" i="10"/>
  <c r="E2384" i="10"/>
  <c r="D2384" i="10"/>
  <c r="E2383" i="10"/>
  <c r="D2383" i="10"/>
  <c r="E2382" i="10"/>
  <c r="D2382" i="10"/>
  <c r="E2381" i="10"/>
  <c r="D2381" i="10"/>
  <c r="E2380" i="10"/>
  <c r="D2380" i="10"/>
  <c r="E2379" i="10"/>
  <c r="D2379" i="10"/>
  <c r="E2378" i="10"/>
  <c r="D2378" i="10"/>
  <c r="E2377" i="10"/>
  <c r="D2377" i="10"/>
  <c r="E2376" i="10"/>
  <c r="D2376" i="10"/>
  <c r="E2375" i="10"/>
  <c r="D2375" i="10"/>
  <c r="E2374" i="10"/>
  <c r="D2374" i="10"/>
  <c r="E2373" i="10"/>
  <c r="D2373" i="10"/>
  <c r="E2372" i="10"/>
  <c r="D2372" i="10"/>
  <c r="E2371" i="10"/>
  <c r="D2371" i="10"/>
  <c r="E2370" i="10"/>
  <c r="D2370" i="10"/>
  <c r="E2369" i="10"/>
  <c r="D2369" i="10"/>
  <c r="E2368" i="10"/>
  <c r="D2368" i="10"/>
  <c r="E2367" i="10"/>
  <c r="D2367" i="10"/>
  <c r="E2366" i="10"/>
  <c r="D2366" i="10"/>
  <c r="E2365" i="10"/>
  <c r="D2365" i="10"/>
  <c r="E2364" i="10"/>
  <c r="D2364" i="10"/>
  <c r="E2363" i="10"/>
  <c r="D2363" i="10"/>
  <c r="E2362" i="10"/>
  <c r="D2362" i="10"/>
  <c r="E2361" i="10"/>
  <c r="D2361" i="10"/>
  <c r="E2360" i="10"/>
  <c r="D2360" i="10"/>
  <c r="E2359" i="10"/>
  <c r="D2359" i="10"/>
  <c r="E2358" i="10"/>
  <c r="D2358" i="10"/>
  <c r="E2357" i="10"/>
  <c r="D2357" i="10"/>
  <c r="E2356" i="10"/>
  <c r="D2356" i="10"/>
  <c r="E2355" i="10"/>
  <c r="D2355" i="10"/>
  <c r="E2354" i="10"/>
  <c r="D2354" i="10"/>
  <c r="E2353" i="10"/>
  <c r="D2353" i="10"/>
  <c r="E2352" i="10"/>
  <c r="D2352" i="10"/>
  <c r="E2351" i="10"/>
  <c r="D2351" i="10"/>
  <c r="E2350" i="10"/>
  <c r="D2350" i="10"/>
  <c r="E2349" i="10"/>
  <c r="D2349" i="10"/>
  <c r="E2348" i="10"/>
  <c r="D2348" i="10"/>
  <c r="E2347" i="10"/>
  <c r="D2347" i="10"/>
  <c r="E2346" i="10"/>
  <c r="D2346" i="10"/>
  <c r="E2345" i="10"/>
  <c r="D2345" i="10"/>
  <c r="E2344" i="10"/>
  <c r="D2344" i="10"/>
  <c r="E2343" i="10"/>
  <c r="D2343" i="10"/>
  <c r="E2342" i="10"/>
  <c r="D2342" i="10"/>
  <c r="E2341" i="10"/>
  <c r="D2341" i="10"/>
  <c r="E2340" i="10"/>
  <c r="D2340" i="10"/>
  <c r="E2339" i="10"/>
  <c r="D2339" i="10"/>
  <c r="E2338" i="10"/>
  <c r="D2338" i="10"/>
  <c r="E2337" i="10"/>
  <c r="D2337" i="10"/>
  <c r="E2336" i="10"/>
  <c r="D2336" i="10"/>
  <c r="E2335" i="10"/>
  <c r="D2335" i="10"/>
  <c r="E2334" i="10"/>
  <c r="D2334" i="10"/>
  <c r="E2333" i="10"/>
  <c r="D2333" i="10"/>
  <c r="E2332" i="10"/>
  <c r="D2332" i="10"/>
  <c r="E2331" i="10"/>
  <c r="D2331" i="10"/>
  <c r="E2330" i="10"/>
  <c r="D2330" i="10"/>
  <c r="E2329" i="10"/>
  <c r="D2329" i="10"/>
  <c r="E2328" i="10"/>
  <c r="D2328" i="10"/>
  <c r="E2327" i="10"/>
  <c r="D2327" i="10"/>
  <c r="E2326" i="10"/>
  <c r="D2326" i="10"/>
  <c r="E2325" i="10"/>
  <c r="D2325" i="10"/>
  <c r="E2324" i="10"/>
  <c r="D2324" i="10"/>
  <c r="E2323" i="10"/>
  <c r="D2323" i="10"/>
  <c r="E2322" i="10"/>
  <c r="D2322" i="10"/>
  <c r="E2321" i="10"/>
  <c r="D2321" i="10"/>
  <c r="E2320" i="10"/>
  <c r="D2320" i="10"/>
  <c r="E2319" i="10"/>
  <c r="D2319" i="10"/>
  <c r="E2318" i="10"/>
  <c r="D2318" i="10"/>
  <c r="E2317" i="10"/>
  <c r="D2317" i="10"/>
  <c r="E2316" i="10"/>
  <c r="D2316" i="10"/>
  <c r="E2315" i="10"/>
  <c r="D2315" i="10"/>
  <c r="E2314" i="10"/>
  <c r="D2314" i="10"/>
  <c r="E2313" i="10"/>
  <c r="D2313" i="10"/>
  <c r="E2312" i="10"/>
  <c r="D2312" i="10"/>
  <c r="E2311" i="10"/>
  <c r="D2311" i="10"/>
  <c r="E2310" i="10"/>
  <c r="D2310" i="10"/>
  <c r="E2309" i="10"/>
  <c r="D2309" i="10"/>
  <c r="E2308" i="10"/>
  <c r="D2308" i="10"/>
  <c r="E2307" i="10"/>
  <c r="D2307" i="10"/>
  <c r="E2306" i="10"/>
  <c r="D2306" i="10"/>
  <c r="E2305" i="10"/>
  <c r="D2305" i="10"/>
  <c r="E2304" i="10"/>
  <c r="D2304" i="10"/>
  <c r="E2303" i="10"/>
  <c r="D2303" i="10"/>
  <c r="E2302" i="10"/>
  <c r="D2302" i="10"/>
  <c r="E2301" i="10"/>
  <c r="D2301" i="10"/>
  <c r="E2300" i="10"/>
  <c r="D2300" i="10"/>
  <c r="E2299" i="10"/>
  <c r="D2299" i="10"/>
  <c r="E2298" i="10"/>
  <c r="D2298" i="10"/>
  <c r="E2297" i="10"/>
  <c r="D2297" i="10"/>
  <c r="E2296" i="10"/>
  <c r="D2296" i="10"/>
  <c r="E2295" i="10"/>
  <c r="D2295" i="10"/>
  <c r="E2294" i="10"/>
  <c r="D2294" i="10"/>
  <c r="E2293" i="10"/>
  <c r="D2293" i="10"/>
  <c r="E2292" i="10"/>
  <c r="D2292" i="10"/>
  <c r="E2291" i="10"/>
  <c r="D2291" i="10"/>
  <c r="E2290" i="10"/>
  <c r="D2290" i="10"/>
  <c r="E2289" i="10"/>
  <c r="D2289" i="10"/>
  <c r="E2288" i="10"/>
  <c r="D2288" i="10"/>
  <c r="E2287" i="10"/>
  <c r="D2287" i="10"/>
  <c r="E2286" i="10"/>
  <c r="D2286" i="10"/>
  <c r="E2285" i="10"/>
  <c r="D2285" i="10"/>
  <c r="E2284" i="10"/>
  <c r="D2284" i="10"/>
  <c r="E2283" i="10"/>
  <c r="D2283" i="10"/>
  <c r="E2282" i="10"/>
  <c r="D2282" i="10"/>
  <c r="E2281" i="10"/>
  <c r="D2281" i="10"/>
  <c r="E2280" i="10"/>
  <c r="D2280" i="10"/>
  <c r="E2279" i="10"/>
  <c r="D2279" i="10"/>
  <c r="E2278" i="10"/>
  <c r="D2278" i="10"/>
  <c r="E2277" i="10"/>
  <c r="D2277" i="10"/>
  <c r="E2276" i="10"/>
  <c r="D2276" i="10"/>
  <c r="E2275" i="10"/>
  <c r="D2275" i="10"/>
  <c r="E2274" i="10"/>
  <c r="D2274" i="10"/>
  <c r="E2273" i="10"/>
  <c r="D2273" i="10"/>
  <c r="E2272" i="10"/>
  <c r="D2272" i="10"/>
  <c r="E2271" i="10"/>
  <c r="D2271" i="10"/>
  <c r="E2270" i="10"/>
  <c r="D2270" i="10"/>
  <c r="E2269" i="10"/>
  <c r="D2269" i="10"/>
  <c r="E2268" i="10"/>
  <c r="D2268" i="10"/>
  <c r="E2267" i="10"/>
  <c r="D2267" i="10"/>
  <c r="E2266" i="10"/>
  <c r="D2266" i="10"/>
  <c r="E2265" i="10"/>
  <c r="D2265" i="10"/>
  <c r="E2264" i="10"/>
  <c r="D2264" i="10"/>
  <c r="E2263" i="10"/>
  <c r="D2263" i="10"/>
  <c r="E2262" i="10"/>
  <c r="D2262" i="10"/>
  <c r="E2261" i="10"/>
  <c r="D2261" i="10"/>
  <c r="E2260" i="10"/>
  <c r="D2260" i="10"/>
  <c r="E2259" i="10"/>
  <c r="D2259" i="10"/>
  <c r="E2258" i="10"/>
  <c r="D2258" i="10"/>
  <c r="E2257" i="10"/>
  <c r="D2257" i="10"/>
  <c r="E2256" i="10"/>
  <c r="D2256" i="10"/>
  <c r="E2255" i="10"/>
  <c r="D2255" i="10"/>
  <c r="E2254" i="10"/>
  <c r="D2254" i="10"/>
  <c r="E2253" i="10"/>
  <c r="D2253" i="10"/>
  <c r="E2252" i="10"/>
  <c r="D2252" i="10"/>
  <c r="E2251" i="10"/>
  <c r="D2251" i="10"/>
  <c r="E2250" i="10"/>
  <c r="D2250" i="10"/>
  <c r="E2249" i="10"/>
  <c r="D2249" i="10"/>
  <c r="E2248" i="10"/>
  <c r="D2248" i="10"/>
  <c r="E2247" i="10"/>
  <c r="D2247" i="10"/>
  <c r="E2246" i="10"/>
  <c r="D2246" i="10"/>
  <c r="E2245" i="10"/>
  <c r="D2245" i="10"/>
  <c r="E2244" i="10"/>
  <c r="D2244" i="10"/>
  <c r="E2243" i="10"/>
  <c r="D2243" i="10"/>
  <c r="E2242" i="10"/>
  <c r="D2242" i="10"/>
  <c r="E2241" i="10"/>
  <c r="D2241" i="10"/>
  <c r="E2240" i="10"/>
  <c r="D2240" i="10"/>
  <c r="E2239" i="10"/>
  <c r="D2239" i="10"/>
  <c r="E2238" i="10"/>
  <c r="D2238" i="10"/>
  <c r="E2237" i="10"/>
  <c r="D2237" i="10"/>
  <c r="E2236" i="10"/>
  <c r="D2236" i="10"/>
  <c r="E2235" i="10"/>
  <c r="D2235" i="10"/>
  <c r="E2234" i="10"/>
  <c r="D2234" i="10"/>
  <c r="E2233" i="10"/>
  <c r="D2233" i="10"/>
  <c r="E2232" i="10"/>
  <c r="D2232" i="10"/>
  <c r="E2231" i="10"/>
  <c r="D2231" i="10"/>
  <c r="E2230" i="10"/>
  <c r="D2230" i="10"/>
  <c r="E2229" i="10"/>
  <c r="D2229" i="10"/>
  <c r="E2228" i="10"/>
  <c r="D2228" i="10"/>
  <c r="E2227" i="10"/>
  <c r="D2227" i="10"/>
  <c r="E2226" i="10"/>
  <c r="D2226" i="10"/>
  <c r="E2225" i="10"/>
  <c r="D2225" i="10"/>
  <c r="E2224" i="10"/>
  <c r="D2224" i="10"/>
  <c r="E2223" i="10"/>
  <c r="D2223" i="10"/>
  <c r="E2222" i="10"/>
  <c r="D2222" i="10"/>
  <c r="E2221" i="10"/>
  <c r="D2221" i="10"/>
  <c r="E2220" i="10"/>
  <c r="D2220" i="10"/>
  <c r="E2219" i="10"/>
  <c r="D2219" i="10"/>
  <c r="E2218" i="10"/>
  <c r="D2218" i="10"/>
  <c r="E2217" i="10"/>
  <c r="D2217" i="10"/>
  <c r="E2216" i="10"/>
  <c r="D2216" i="10"/>
  <c r="E2215" i="10"/>
  <c r="D2215" i="10"/>
  <c r="E2214" i="10"/>
  <c r="D2214" i="10"/>
  <c r="E2213" i="10"/>
  <c r="D2213" i="10"/>
  <c r="E2212" i="10"/>
  <c r="D2212" i="10"/>
  <c r="E2211" i="10"/>
  <c r="D2211" i="10"/>
  <c r="E2210" i="10"/>
  <c r="D2210" i="10"/>
  <c r="E2209" i="10"/>
  <c r="D2209" i="10"/>
  <c r="E2208" i="10"/>
  <c r="D2208" i="10"/>
  <c r="E2207" i="10"/>
  <c r="D2207" i="10"/>
  <c r="E2206" i="10"/>
  <c r="D2206" i="10"/>
  <c r="E2205" i="10"/>
  <c r="D2205" i="10"/>
  <c r="E2204" i="10"/>
  <c r="D2204" i="10"/>
  <c r="E2203" i="10"/>
  <c r="D2203" i="10"/>
  <c r="E2202" i="10"/>
  <c r="D2202" i="10"/>
  <c r="E2201" i="10"/>
  <c r="D2201" i="10"/>
  <c r="E2200" i="10"/>
  <c r="D2200" i="10"/>
  <c r="E2199" i="10"/>
  <c r="D2199" i="10"/>
  <c r="E2198" i="10"/>
  <c r="D2198" i="10"/>
  <c r="E2197" i="10"/>
  <c r="D2197" i="10"/>
  <c r="E2196" i="10"/>
  <c r="D2196" i="10"/>
  <c r="E2195" i="10"/>
  <c r="D2195" i="10"/>
  <c r="E2194" i="10"/>
  <c r="D2194" i="10"/>
  <c r="E2193" i="10"/>
  <c r="D2193" i="10"/>
  <c r="E2192" i="10"/>
  <c r="D2192" i="10"/>
  <c r="E2191" i="10"/>
  <c r="D2191" i="10"/>
  <c r="E2190" i="10"/>
  <c r="D2190" i="10"/>
  <c r="E2189" i="10"/>
  <c r="D2189" i="10"/>
  <c r="E2188" i="10"/>
  <c r="D2188" i="10"/>
  <c r="E2187" i="10"/>
  <c r="D2187" i="10"/>
  <c r="E2186" i="10"/>
  <c r="D2186" i="10"/>
  <c r="E2185" i="10"/>
  <c r="D2185" i="10"/>
  <c r="E2184" i="10"/>
  <c r="D2184" i="10"/>
  <c r="E2183" i="10"/>
  <c r="D2183" i="10"/>
  <c r="E2182" i="10"/>
  <c r="D2182" i="10"/>
  <c r="E2181" i="10"/>
  <c r="D2181" i="10"/>
  <c r="E2180" i="10"/>
  <c r="D2180" i="10"/>
  <c r="E2179" i="10"/>
  <c r="D2179" i="10"/>
  <c r="E2178" i="10"/>
  <c r="D2178" i="10"/>
  <c r="E2177" i="10"/>
  <c r="D2177" i="10"/>
  <c r="E2176" i="10"/>
  <c r="D2176" i="10"/>
  <c r="E2175" i="10"/>
  <c r="D2175" i="10"/>
  <c r="E2174" i="10"/>
  <c r="D2174" i="10"/>
  <c r="E2173" i="10"/>
  <c r="D2173" i="10"/>
  <c r="E2172" i="10"/>
  <c r="D2172" i="10"/>
  <c r="E2171" i="10"/>
  <c r="D2171" i="10"/>
  <c r="E2170" i="10"/>
  <c r="D2170" i="10"/>
  <c r="E2169" i="10"/>
  <c r="D2169" i="10"/>
  <c r="E2168" i="10"/>
  <c r="D2168" i="10"/>
  <c r="E2167" i="10"/>
  <c r="D2167" i="10"/>
  <c r="E2166" i="10"/>
  <c r="D2166" i="10"/>
  <c r="E2165" i="10"/>
  <c r="D2165" i="10"/>
  <c r="E2164" i="10"/>
  <c r="D2164" i="10"/>
  <c r="E2163" i="10"/>
  <c r="D2163" i="10"/>
  <c r="E2162" i="10"/>
  <c r="D2162" i="10"/>
  <c r="E2161" i="10"/>
  <c r="D2161" i="10"/>
  <c r="E2160" i="10"/>
  <c r="D2160" i="10"/>
  <c r="E2159" i="10"/>
  <c r="D2159" i="10"/>
  <c r="E2158" i="10"/>
  <c r="D2158" i="10"/>
  <c r="E2157" i="10"/>
  <c r="D2157" i="10"/>
  <c r="E2156" i="10"/>
  <c r="D2156" i="10"/>
  <c r="E2155" i="10"/>
  <c r="D2155" i="10"/>
  <c r="E2154" i="10"/>
  <c r="D2154" i="10"/>
  <c r="E2153" i="10"/>
  <c r="D2153" i="10"/>
  <c r="E2152" i="10"/>
  <c r="D2152" i="10"/>
  <c r="E2151" i="10"/>
  <c r="D2151" i="10"/>
  <c r="E2150" i="10"/>
  <c r="D2150" i="10"/>
  <c r="E2149" i="10"/>
  <c r="D2149" i="10"/>
  <c r="E2148" i="10"/>
  <c r="D2148" i="10"/>
  <c r="E2147" i="10"/>
  <c r="D2147" i="10"/>
  <c r="E2146" i="10"/>
  <c r="D2146" i="10"/>
  <c r="E2145" i="10"/>
  <c r="D2145" i="10"/>
  <c r="E2144" i="10"/>
  <c r="D2144" i="10"/>
  <c r="E2143" i="10"/>
  <c r="D2143" i="10"/>
  <c r="E2142" i="10"/>
  <c r="D2142" i="10"/>
  <c r="E2141" i="10"/>
  <c r="D2141" i="10"/>
  <c r="E2140" i="10"/>
  <c r="D2140" i="10"/>
  <c r="E2139" i="10"/>
  <c r="D2139" i="10"/>
  <c r="E2138" i="10"/>
  <c r="D2138" i="10"/>
  <c r="E2137" i="10"/>
  <c r="D2137" i="10"/>
  <c r="E2136" i="10"/>
  <c r="D2136" i="10"/>
  <c r="E2135" i="10"/>
  <c r="D2135" i="10"/>
  <c r="E2134" i="10"/>
  <c r="D2134" i="10"/>
  <c r="E2133" i="10"/>
  <c r="D2133" i="10"/>
  <c r="E2132" i="10"/>
  <c r="D2132" i="10"/>
  <c r="E2131" i="10"/>
  <c r="D2131" i="10"/>
  <c r="E2130" i="10"/>
  <c r="D2130" i="10"/>
  <c r="E2129" i="10"/>
  <c r="D2129" i="10"/>
  <c r="E2128" i="10"/>
  <c r="D2128" i="10"/>
  <c r="E2127" i="10"/>
  <c r="D2127" i="10"/>
  <c r="E2126" i="10"/>
  <c r="D2126" i="10"/>
  <c r="E2125" i="10"/>
  <c r="D2125" i="10"/>
  <c r="E2124" i="10"/>
  <c r="D2124" i="10"/>
  <c r="E2123" i="10"/>
  <c r="D2123" i="10"/>
  <c r="E2122" i="10"/>
  <c r="D2122" i="10"/>
  <c r="E2121" i="10"/>
  <c r="D2121" i="10"/>
  <c r="E2120" i="10"/>
  <c r="D2120" i="10"/>
  <c r="E2119" i="10"/>
  <c r="D2119" i="10"/>
  <c r="E2118" i="10"/>
  <c r="D2118" i="10"/>
  <c r="E2117" i="10"/>
  <c r="D2117" i="10"/>
  <c r="E2116" i="10"/>
  <c r="D2116" i="10"/>
  <c r="E2115" i="10"/>
  <c r="D2115" i="10"/>
  <c r="E2114" i="10"/>
  <c r="D2114" i="10"/>
  <c r="E2113" i="10"/>
  <c r="D2113" i="10"/>
  <c r="E2112" i="10"/>
  <c r="D2112" i="10"/>
  <c r="E2111" i="10"/>
  <c r="D2111" i="10"/>
  <c r="E2110" i="10"/>
  <c r="D2110" i="10"/>
  <c r="E2109" i="10"/>
  <c r="D2109" i="10"/>
  <c r="E2108" i="10"/>
  <c r="D2108" i="10"/>
  <c r="E2107" i="10"/>
  <c r="D2107" i="10"/>
  <c r="E2106" i="10"/>
  <c r="D2106" i="10"/>
  <c r="E2105" i="10"/>
  <c r="D2105" i="10"/>
  <c r="E2104" i="10"/>
  <c r="D2104" i="10"/>
  <c r="E2103" i="10"/>
  <c r="D2103" i="10"/>
  <c r="E2102" i="10"/>
  <c r="D2102" i="10"/>
  <c r="E2101" i="10"/>
  <c r="D2101" i="10"/>
  <c r="E2100" i="10"/>
  <c r="D2100" i="10"/>
  <c r="E2099" i="10"/>
  <c r="D2099" i="10"/>
  <c r="E2098" i="10"/>
  <c r="D2098" i="10"/>
  <c r="E2097" i="10"/>
  <c r="D2097" i="10"/>
  <c r="E2096" i="10"/>
  <c r="D2096" i="10"/>
  <c r="E2095" i="10"/>
  <c r="D2095" i="10"/>
  <c r="E2094" i="10"/>
  <c r="D2094" i="10"/>
  <c r="E2093" i="10"/>
  <c r="D2093" i="10"/>
  <c r="E2092" i="10"/>
  <c r="D2092" i="10"/>
  <c r="E2091" i="10"/>
  <c r="D2091" i="10"/>
  <c r="E2090" i="10"/>
  <c r="D2090" i="10"/>
  <c r="E2089" i="10"/>
  <c r="D2089" i="10"/>
  <c r="E2088" i="10"/>
  <c r="D2088" i="10"/>
  <c r="E2087" i="10"/>
  <c r="D2087" i="10"/>
  <c r="E2086" i="10"/>
  <c r="D2086" i="10"/>
  <c r="E2085" i="10"/>
  <c r="D2085" i="10"/>
  <c r="E2084" i="10"/>
  <c r="D2084" i="10"/>
  <c r="E2083" i="10"/>
  <c r="D2083" i="10"/>
  <c r="E2082" i="10"/>
  <c r="D2082" i="10"/>
  <c r="E2081" i="10"/>
  <c r="D2081" i="10"/>
  <c r="E2080" i="10"/>
  <c r="D2080" i="10"/>
  <c r="E2079" i="10"/>
  <c r="D2079" i="10"/>
  <c r="E2078" i="10"/>
  <c r="D2078" i="10"/>
  <c r="E2077" i="10"/>
  <c r="D2077" i="10"/>
  <c r="E2076" i="10"/>
  <c r="D2076" i="10"/>
  <c r="E2075" i="10"/>
  <c r="D2075" i="10"/>
  <c r="E2074" i="10"/>
  <c r="D2074" i="10"/>
  <c r="E2073" i="10"/>
  <c r="D2073" i="10"/>
  <c r="E2072" i="10"/>
  <c r="D2072" i="10"/>
  <c r="E2071" i="10"/>
  <c r="D2071" i="10"/>
  <c r="E2070" i="10"/>
  <c r="D2070" i="10"/>
  <c r="E2069" i="10"/>
  <c r="D2069" i="10"/>
  <c r="E2068" i="10"/>
  <c r="D2068" i="10"/>
  <c r="E2067" i="10"/>
  <c r="D2067" i="10"/>
  <c r="E2066" i="10"/>
  <c r="D2066" i="10"/>
  <c r="E2065" i="10"/>
  <c r="D2065" i="10"/>
  <c r="E2064" i="10"/>
  <c r="D2064" i="10"/>
  <c r="E2063" i="10"/>
  <c r="D2063" i="10"/>
  <c r="E2062" i="10"/>
  <c r="D2062" i="10"/>
  <c r="E2061" i="10"/>
  <c r="D2061" i="10"/>
  <c r="E2060" i="10"/>
  <c r="D2060" i="10"/>
  <c r="E2059" i="10"/>
  <c r="D2059" i="10"/>
  <c r="E2058" i="10"/>
  <c r="D2058" i="10"/>
  <c r="E2057" i="10"/>
  <c r="D2057" i="10"/>
  <c r="E2056" i="10"/>
  <c r="D2056" i="10"/>
  <c r="E2055" i="10"/>
  <c r="D2055" i="10"/>
  <c r="E2054" i="10"/>
  <c r="D2054" i="10"/>
  <c r="E2053" i="10"/>
  <c r="D2053" i="10"/>
  <c r="E2052" i="10"/>
  <c r="D2052" i="10"/>
  <c r="E2051" i="10"/>
  <c r="D2051" i="10"/>
  <c r="E2050" i="10"/>
  <c r="D2050" i="10"/>
  <c r="E2049" i="10"/>
  <c r="D2049" i="10"/>
  <c r="E2048" i="10"/>
  <c r="D2048" i="10"/>
  <c r="E2047" i="10"/>
  <c r="D2047" i="10"/>
  <c r="E2046" i="10"/>
  <c r="D2046" i="10"/>
  <c r="E2045" i="10"/>
  <c r="D2045" i="10"/>
  <c r="E2044" i="10"/>
  <c r="D2044" i="10"/>
  <c r="E2043" i="10"/>
  <c r="D2043" i="10"/>
  <c r="E2042" i="10"/>
  <c r="D2042" i="10"/>
  <c r="E2041" i="10"/>
  <c r="D2041" i="10"/>
  <c r="E2040" i="10"/>
  <c r="D2040" i="10"/>
  <c r="E2039" i="10"/>
  <c r="D2039" i="10"/>
  <c r="E2038" i="10"/>
  <c r="D2038" i="10"/>
  <c r="E2037" i="10"/>
  <c r="D2037" i="10"/>
  <c r="E2036" i="10"/>
  <c r="D2036" i="10"/>
  <c r="E2035" i="10"/>
  <c r="D2035" i="10"/>
  <c r="E2034" i="10"/>
  <c r="D2034" i="10"/>
  <c r="E2033" i="10"/>
  <c r="D2033" i="10"/>
  <c r="E2032" i="10"/>
  <c r="D2032" i="10"/>
  <c r="E2031" i="10"/>
  <c r="D2031" i="10"/>
  <c r="E2030" i="10"/>
  <c r="D2030" i="10"/>
  <c r="E2029" i="10"/>
  <c r="D2029" i="10"/>
  <c r="E2028" i="10"/>
  <c r="D2028" i="10"/>
  <c r="E2027" i="10"/>
  <c r="D2027" i="10"/>
  <c r="E2026" i="10"/>
  <c r="D2026" i="10"/>
  <c r="E2025" i="10"/>
  <c r="D2025" i="10"/>
  <c r="E2024" i="10"/>
  <c r="D2024" i="10"/>
  <c r="E2023" i="10"/>
  <c r="D2023" i="10"/>
  <c r="E2022" i="10"/>
  <c r="D2022" i="10"/>
  <c r="E2021" i="10"/>
  <c r="D2021" i="10"/>
  <c r="E2020" i="10"/>
  <c r="D2020" i="10"/>
  <c r="E2019" i="10"/>
  <c r="D2019" i="10"/>
  <c r="E2018" i="10"/>
  <c r="D2018" i="10"/>
  <c r="E2017" i="10"/>
  <c r="D2017" i="10"/>
  <c r="E2016" i="10"/>
  <c r="D2016" i="10"/>
  <c r="E2015" i="10"/>
  <c r="D2015" i="10"/>
  <c r="E2014" i="10"/>
  <c r="D2014" i="10"/>
  <c r="E2013" i="10"/>
  <c r="D2013" i="10"/>
  <c r="E2012" i="10"/>
  <c r="D2012" i="10"/>
  <c r="E2011" i="10"/>
  <c r="D2011" i="10"/>
  <c r="E2010" i="10"/>
  <c r="D2010" i="10"/>
  <c r="E2009" i="10"/>
  <c r="D2009" i="10"/>
  <c r="E2008" i="10"/>
  <c r="D2008" i="10"/>
  <c r="E2007" i="10"/>
  <c r="D2007" i="10"/>
  <c r="E2006" i="10"/>
  <c r="D2006" i="10"/>
  <c r="E2005" i="10"/>
  <c r="D2005" i="10"/>
  <c r="E2004" i="10"/>
  <c r="D2004" i="10"/>
  <c r="E2003" i="10"/>
  <c r="D2003" i="10"/>
  <c r="E2002" i="10"/>
  <c r="D2002" i="10"/>
  <c r="E2001" i="10"/>
  <c r="D2001" i="10"/>
  <c r="E2000" i="10"/>
  <c r="D2000" i="10"/>
  <c r="E1999" i="10"/>
  <c r="D1999" i="10"/>
  <c r="E1998" i="10"/>
  <c r="D1998" i="10"/>
  <c r="E1997" i="10"/>
  <c r="D1997" i="10"/>
  <c r="E1996" i="10"/>
  <c r="D1996" i="10"/>
  <c r="E1995" i="10"/>
  <c r="D1995" i="10"/>
  <c r="E1994" i="10"/>
  <c r="D1994" i="10"/>
  <c r="E1993" i="10"/>
  <c r="D1993" i="10"/>
  <c r="E1992" i="10"/>
  <c r="D1992" i="10"/>
  <c r="E1991" i="10"/>
  <c r="D1991" i="10"/>
  <c r="E1990" i="10"/>
  <c r="D1990" i="10"/>
  <c r="E1989" i="10"/>
  <c r="D1989" i="10"/>
  <c r="E1988" i="10"/>
  <c r="D1988" i="10"/>
  <c r="E1987" i="10"/>
  <c r="D1987" i="10"/>
  <c r="E1986" i="10"/>
  <c r="D1986" i="10"/>
  <c r="E1985" i="10"/>
  <c r="D1985" i="10"/>
  <c r="E1984" i="10"/>
  <c r="D1984" i="10"/>
  <c r="E1983" i="10"/>
  <c r="D1983" i="10"/>
  <c r="E1982" i="10"/>
  <c r="D1982" i="10"/>
  <c r="E1981" i="10"/>
  <c r="D1981" i="10"/>
  <c r="E1980" i="10"/>
  <c r="D1980" i="10"/>
  <c r="E1979" i="10"/>
  <c r="D1979" i="10"/>
  <c r="E1978" i="10"/>
  <c r="D1978" i="10"/>
  <c r="E1977" i="10"/>
  <c r="D1977" i="10"/>
  <c r="E1976" i="10"/>
  <c r="D1976" i="10"/>
  <c r="E1975" i="10"/>
  <c r="D1975" i="10"/>
  <c r="E1974" i="10"/>
  <c r="D1974" i="10"/>
  <c r="E1973" i="10"/>
  <c r="D1973" i="10"/>
  <c r="E1972" i="10"/>
  <c r="D1972" i="10"/>
  <c r="E1971" i="10"/>
  <c r="D1971" i="10"/>
  <c r="E1970" i="10"/>
  <c r="D1970" i="10"/>
  <c r="E1969" i="10"/>
  <c r="D1969" i="10"/>
  <c r="E1968" i="10"/>
  <c r="D1968" i="10"/>
  <c r="E1967" i="10"/>
  <c r="D1967" i="10"/>
  <c r="E1966" i="10"/>
  <c r="D1966" i="10"/>
  <c r="E1965" i="10"/>
  <c r="D1965" i="10"/>
  <c r="E1964" i="10"/>
  <c r="D1964" i="10"/>
  <c r="E1963" i="10"/>
  <c r="D1963" i="10"/>
  <c r="E1962" i="10"/>
  <c r="D1962" i="10"/>
  <c r="E1961" i="10"/>
  <c r="D1961" i="10"/>
  <c r="E1960" i="10"/>
  <c r="D1960" i="10"/>
  <c r="E1959" i="10"/>
  <c r="D1959" i="10"/>
  <c r="E1958" i="10"/>
  <c r="D1958" i="10"/>
  <c r="E1957" i="10"/>
  <c r="D1957" i="10"/>
  <c r="E1956" i="10"/>
  <c r="D1956" i="10"/>
  <c r="E1955" i="10"/>
  <c r="D1955" i="10"/>
  <c r="E1954" i="10"/>
  <c r="D1954" i="10"/>
  <c r="E1953" i="10"/>
  <c r="D1953" i="10"/>
  <c r="E1952" i="10"/>
  <c r="D1952" i="10"/>
  <c r="E1951" i="10"/>
  <c r="D1951" i="10"/>
  <c r="E1950" i="10"/>
  <c r="D1950" i="10"/>
  <c r="E1949" i="10"/>
  <c r="D1949" i="10"/>
  <c r="E1948" i="10"/>
  <c r="D1948" i="10"/>
  <c r="E1947" i="10"/>
  <c r="D1947" i="10"/>
  <c r="E1946" i="10"/>
  <c r="D1946" i="10"/>
  <c r="E1945" i="10"/>
  <c r="D1945" i="10"/>
  <c r="E1944" i="10"/>
  <c r="D1944" i="10"/>
  <c r="E1943" i="10"/>
  <c r="D1943" i="10"/>
  <c r="E1942" i="10"/>
  <c r="D1942" i="10"/>
  <c r="E1941" i="10"/>
  <c r="D1941" i="10"/>
  <c r="E1940" i="10"/>
  <c r="D1940" i="10"/>
  <c r="E1939" i="10"/>
  <c r="D1939" i="10"/>
  <c r="E1938" i="10"/>
  <c r="D1938" i="10"/>
  <c r="E1937" i="10"/>
  <c r="D1937" i="10"/>
  <c r="E1936" i="10"/>
  <c r="D1936" i="10"/>
  <c r="E1935" i="10"/>
  <c r="D1935" i="10"/>
  <c r="E1934" i="10"/>
  <c r="D1934" i="10"/>
  <c r="E1933" i="10"/>
  <c r="D1933" i="10"/>
  <c r="E1932" i="10"/>
  <c r="D1932" i="10"/>
  <c r="E1931" i="10"/>
  <c r="D1931" i="10"/>
  <c r="E1930" i="10"/>
  <c r="D1930" i="10"/>
  <c r="E1929" i="10"/>
  <c r="D1929" i="10"/>
  <c r="E1928" i="10"/>
  <c r="D1928" i="10"/>
  <c r="E1927" i="10"/>
  <c r="D1927" i="10"/>
  <c r="E1926" i="10"/>
  <c r="D1926" i="10"/>
  <c r="E1925" i="10"/>
  <c r="D1925" i="10"/>
  <c r="E1924" i="10"/>
  <c r="D1924" i="10"/>
  <c r="E1923" i="10"/>
  <c r="D1923" i="10"/>
  <c r="E1922" i="10"/>
  <c r="D1922" i="10"/>
  <c r="E1921" i="10"/>
  <c r="D1921" i="10"/>
  <c r="E1920" i="10"/>
  <c r="D1920" i="10"/>
  <c r="E1919" i="10"/>
  <c r="D1919" i="10"/>
  <c r="E1918" i="10"/>
  <c r="D1918" i="10"/>
  <c r="E1917" i="10"/>
  <c r="D1917" i="10"/>
  <c r="E1916" i="10"/>
  <c r="D1916" i="10"/>
  <c r="E1915" i="10"/>
  <c r="D1915" i="10"/>
  <c r="E1914" i="10"/>
  <c r="D1914" i="10"/>
  <c r="E1913" i="10"/>
  <c r="D1913" i="10"/>
  <c r="E1912" i="10"/>
  <c r="D1912" i="10"/>
  <c r="E1911" i="10"/>
  <c r="D1911" i="10"/>
  <c r="E1910" i="10"/>
  <c r="D1910" i="10"/>
  <c r="E1909" i="10"/>
  <c r="D1909" i="10"/>
  <c r="E1908" i="10"/>
  <c r="D1908" i="10"/>
  <c r="E1907" i="10"/>
  <c r="D1907" i="10"/>
  <c r="E1906" i="10"/>
  <c r="D1906" i="10"/>
  <c r="E1905" i="10"/>
  <c r="D1905" i="10"/>
  <c r="E1904" i="10"/>
  <c r="D1904" i="10"/>
  <c r="E1903" i="10"/>
  <c r="D1903" i="10"/>
  <c r="E1902" i="10"/>
  <c r="D1902" i="10"/>
  <c r="E1901" i="10"/>
  <c r="D1901" i="10"/>
  <c r="E1900" i="10"/>
  <c r="D1900" i="10"/>
  <c r="E1899" i="10"/>
  <c r="D1899" i="10"/>
  <c r="E1898" i="10"/>
  <c r="D1898" i="10"/>
  <c r="E1897" i="10"/>
  <c r="D1897" i="10"/>
  <c r="E1896" i="10"/>
  <c r="D1896" i="10"/>
  <c r="E1895" i="10"/>
  <c r="D1895" i="10"/>
  <c r="E1894" i="10"/>
  <c r="D1894" i="10"/>
  <c r="E1893" i="10"/>
  <c r="D1893" i="10"/>
  <c r="E1892" i="10"/>
  <c r="D1892" i="10"/>
  <c r="E1891" i="10"/>
  <c r="D1891" i="10"/>
  <c r="E1890" i="10"/>
  <c r="D1890" i="10"/>
  <c r="E1889" i="10"/>
  <c r="D1889" i="10"/>
  <c r="E1888" i="10"/>
  <c r="D1888" i="10"/>
  <c r="E1887" i="10"/>
  <c r="D1887" i="10"/>
  <c r="E1886" i="10"/>
  <c r="D1886" i="10"/>
  <c r="E1885" i="10"/>
  <c r="D1885" i="10"/>
  <c r="E1884" i="10"/>
  <c r="D1884" i="10"/>
  <c r="E1883" i="10"/>
  <c r="D1883" i="10"/>
  <c r="E1882" i="10"/>
  <c r="D1882" i="10"/>
  <c r="E1881" i="10"/>
  <c r="D1881" i="10"/>
  <c r="E1880" i="10"/>
  <c r="D1880" i="10"/>
  <c r="E1879" i="10"/>
  <c r="D1879" i="10"/>
  <c r="E1878" i="10"/>
  <c r="D1878" i="10"/>
  <c r="E1877" i="10"/>
  <c r="D1877" i="10"/>
  <c r="E1876" i="10"/>
  <c r="D1876" i="10"/>
  <c r="E1875" i="10"/>
  <c r="D1875" i="10"/>
  <c r="E1874" i="10"/>
  <c r="D1874" i="10"/>
  <c r="E1873" i="10"/>
  <c r="D1873" i="10"/>
  <c r="E1872" i="10"/>
  <c r="D1872" i="10"/>
  <c r="E1871" i="10"/>
  <c r="D1871" i="10"/>
  <c r="E1870" i="10"/>
  <c r="D1870" i="10"/>
  <c r="E1869" i="10"/>
  <c r="D1869" i="10"/>
  <c r="E1868" i="10"/>
  <c r="D1868" i="10"/>
  <c r="E1867" i="10"/>
  <c r="D1867" i="10"/>
  <c r="E1866" i="10"/>
  <c r="D1866" i="10"/>
  <c r="E1865" i="10"/>
  <c r="D1865" i="10"/>
  <c r="E1864" i="10"/>
  <c r="D1864" i="10"/>
  <c r="E1863" i="10"/>
  <c r="D1863" i="10"/>
  <c r="E1862" i="10"/>
  <c r="D1862" i="10"/>
  <c r="E1861" i="10"/>
  <c r="D1861" i="10"/>
  <c r="E1860" i="10"/>
  <c r="D1860" i="10"/>
  <c r="E1859" i="10"/>
  <c r="D1859" i="10"/>
  <c r="E1858" i="10"/>
  <c r="D1858" i="10"/>
  <c r="E1857" i="10"/>
  <c r="D1857" i="10"/>
  <c r="E1856" i="10"/>
  <c r="D1856" i="10"/>
  <c r="E1855" i="10"/>
  <c r="D1855" i="10"/>
  <c r="E1854" i="10"/>
  <c r="D1854" i="10"/>
  <c r="E1853" i="10"/>
  <c r="D1853" i="10"/>
  <c r="E1852" i="10"/>
  <c r="D1852" i="10"/>
  <c r="E1851" i="10"/>
  <c r="D1851" i="10"/>
  <c r="E1850" i="10"/>
  <c r="D1850" i="10"/>
  <c r="E1849" i="10"/>
  <c r="D1849" i="10"/>
  <c r="E1848" i="10"/>
  <c r="D1848" i="10"/>
  <c r="E1847" i="10"/>
  <c r="D1847" i="10"/>
  <c r="E1846" i="10"/>
  <c r="D1846" i="10"/>
  <c r="E1845" i="10"/>
  <c r="D1845" i="10"/>
  <c r="E1844" i="10"/>
  <c r="D1844" i="10"/>
  <c r="E1843" i="10"/>
  <c r="D1843" i="10"/>
  <c r="E1842" i="10"/>
  <c r="D1842" i="10"/>
  <c r="E1841" i="10"/>
  <c r="D1841" i="10"/>
  <c r="E1840" i="10"/>
  <c r="D1840" i="10"/>
  <c r="E1839" i="10"/>
  <c r="D1839" i="10"/>
  <c r="E1838" i="10"/>
  <c r="D1838" i="10"/>
  <c r="E1837" i="10"/>
  <c r="D1837" i="10"/>
  <c r="E1836" i="10"/>
  <c r="D1836" i="10"/>
  <c r="E1835" i="10"/>
  <c r="D1835" i="10"/>
  <c r="E1834" i="10"/>
  <c r="D1834" i="10"/>
  <c r="E1833" i="10"/>
  <c r="D1833" i="10"/>
  <c r="E1832" i="10"/>
  <c r="D1832" i="10"/>
  <c r="E1831" i="10"/>
  <c r="D1831" i="10"/>
  <c r="E1830" i="10"/>
  <c r="D1830" i="10"/>
  <c r="E1829" i="10"/>
  <c r="D1829" i="10"/>
  <c r="E1828" i="10"/>
  <c r="D1828" i="10"/>
  <c r="E1827" i="10"/>
  <c r="D1827" i="10"/>
  <c r="E1826" i="10"/>
  <c r="D1826" i="10"/>
  <c r="E1825" i="10"/>
  <c r="D1825" i="10"/>
  <c r="E1824" i="10"/>
  <c r="D1824" i="10"/>
  <c r="E1823" i="10"/>
  <c r="D1823" i="10"/>
  <c r="E1822" i="10"/>
  <c r="D1822" i="10"/>
  <c r="E1821" i="10"/>
  <c r="D1821" i="10"/>
  <c r="E1820" i="10"/>
  <c r="D1820" i="10"/>
  <c r="E1819" i="10"/>
  <c r="D1819" i="10"/>
  <c r="E1818" i="10"/>
  <c r="D1818" i="10"/>
  <c r="E1817" i="10"/>
  <c r="D1817" i="10"/>
  <c r="E1816" i="10"/>
  <c r="D1816" i="10"/>
  <c r="E1815" i="10"/>
  <c r="D1815" i="10"/>
  <c r="E1814" i="10"/>
  <c r="D1814" i="10"/>
  <c r="E1813" i="10"/>
  <c r="D1813" i="10"/>
  <c r="E1812" i="10"/>
  <c r="D1812" i="10"/>
  <c r="E1811" i="10"/>
  <c r="D1811" i="10"/>
  <c r="E1810" i="10"/>
  <c r="D1810" i="10"/>
  <c r="E1809" i="10"/>
  <c r="D1809" i="10"/>
  <c r="E1808" i="10"/>
  <c r="D1808" i="10"/>
  <c r="E1807" i="10"/>
  <c r="D1807" i="10"/>
  <c r="E1806" i="10"/>
  <c r="D1806" i="10"/>
  <c r="E1805" i="10"/>
  <c r="D1805" i="10"/>
  <c r="E1804" i="10"/>
  <c r="D1804" i="10"/>
  <c r="E1803" i="10"/>
  <c r="D1803" i="10"/>
  <c r="E1802" i="10"/>
  <c r="D1802" i="10"/>
  <c r="E1801" i="10"/>
  <c r="D1801" i="10"/>
  <c r="E1800" i="10"/>
  <c r="D1800" i="10"/>
  <c r="E1799" i="10"/>
  <c r="D1799" i="10"/>
  <c r="E1798" i="10"/>
  <c r="D1798" i="10"/>
  <c r="E1797" i="10"/>
  <c r="D1797" i="10"/>
  <c r="E1796" i="10"/>
  <c r="D1796" i="10"/>
  <c r="E1795" i="10"/>
  <c r="D1795" i="10"/>
  <c r="E1794" i="10"/>
  <c r="D1794" i="10"/>
  <c r="E1793" i="10"/>
  <c r="D1793" i="10"/>
  <c r="E1792" i="10"/>
  <c r="D1792" i="10"/>
  <c r="E1791" i="10"/>
  <c r="D1791" i="10"/>
  <c r="E1790" i="10"/>
  <c r="D1790" i="10"/>
  <c r="E1789" i="10"/>
  <c r="D1789" i="10"/>
  <c r="E1788" i="10"/>
  <c r="D1788" i="10"/>
  <c r="E1787" i="10"/>
  <c r="D1787" i="10"/>
  <c r="E1786" i="10"/>
  <c r="D1786" i="10"/>
  <c r="E1785" i="10"/>
  <c r="D1785" i="10"/>
  <c r="E1784" i="10"/>
  <c r="D1784" i="10"/>
  <c r="E1783" i="10"/>
  <c r="D1783" i="10"/>
  <c r="E1782" i="10"/>
  <c r="D1782" i="10"/>
  <c r="E1781" i="10"/>
  <c r="D1781" i="10"/>
  <c r="E1780" i="10"/>
  <c r="D1780" i="10"/>
  <c r="E1779" i="10"/>
  <c r="D1779" i="10"/>
  <c r="E1778" i="10"/>
  <c r="D1778" i="10"/>
  <c r="E1777" i="10"/>
  <c r="D1777" i="10"/>
  <c r="E1776" i="10"/>
  <c r="D1776" i="10"/>
  <c r="E1775" i="10"/>
  <c r="D1775" i="10"/>
  <c r="E1774" i="10"/>
  <c r="D1774" i="10"/>
  <c r="E1773" i="10"/>
  <c r="D1773" i="10"/>
  <c r="E1772" i="10"/>
  <c r="D1772" i="10"/>
  <c r="E1771" i="10"/>
  <c r="D1771" i="10"/>
  <c r="E1770" i="10"/>
  <c r="D1770" i="10"/>
  <c r="E1769" i="10"/>
  <c r="D1769" i="10"/>
  <c r="E1768" i="10"/>
  <c r="D1768" i="10"/>
  <c r="E1767" i="10"/>
  <c r="D1767" i="10"/>
  <c r="E1766" i="10"/>
  <c r="D1766" i="10"/>
  <c r="E1765" i="10"/>
  <c r="D1765" i="10"/>
  <c r="E1764" i="10"/>
  <c r="D1764" i="10"/>
  <c r="E1763" i="10"/>
  <c r="D1763" i="10"/>
  <c r="E1762" i="10"/>
  <c r="D1762" i="10"/>
  <c r="E1761" i="10"/>
  <c r="D1761" i="10"/>
  <c r="E1760" i="10"/>
  <c r="D1760" i="10"/>
  <c r="E1759" i="10"/>
  <c r="D1759" i="10"/>
  <c r="E1758" i="10"/>
  <c r="D1758" i="10"/>
  <c r="E1757" i="10"/>
  <c r="D1757" i="10"/>
  <c r="E1756" i="10"/>
  <c r="D1756" i="10"/>
  <c r="E1755" i="10"/>
  <c r="D1755" i="10"/>
  <c r="E1754" i="10"/>
  <c r="D1754" i="10"/>
  <c r="E1753" i="10"/>
  <c r="D1753" i="10"/>
  <c r="E1752" i="10"/>
  <c r="D1752" i="10"/>
  <c r="E1751" i="10"/>
  <c r="D1751" i="10"/>
  <c r="E1750" i="10"/>
  <c r="D1750" i="10"/>
  <c r="E1749" i="10"/>
  <c r="D1749" i="10"/>
  <c r="E1748" i="10"/>
  <c r="D1748" i="10"/>
  <c r="E1747" i="10"/>
  <c r="D1747" i="10"/>
  <c r="E1746" i="10"/>
  <c r="D1746" i="10"/>
  <c r="E1745" i="10"/>
  <c r="D1745" i="10"/>
  <c r="E1744" i="10"/>
  <c r="D1744" i="10"/>
  <c r="E1743" i="10"/>
  <c r="D1743" i="10"/>
  <c r="E1742" i="10"/>
  <c r="D1742" i="10"/>
  <c r="E1741" i="10"/>
  <c r="D1741" i="10"/>
  <c r="E1740" i="10"/>
  <c r="D1740" i="10"/>
  <c r="E1739" i="10"/>
  <c r="D1739" i="10"/>
  <c r="E1738" i="10"/>
  <c r="D1738" i="10"/>
  <c r="E1737" i="10"/>
  <c r="D1737" i="10"/>
  <c r="E1736" i="10"/>
  <c r="D1736" i="10"/>
  <c r="E1735" i="10"/>
  <c r="D1735" i="10"/>
  <c r="E1734" i="10"/>
  <c r="D1734" i="10"/>
  <c r="E1733" i="10"/>
  <c r="D1733" i="10"/>
  <c r="E1732" i="10"/>
  <c r="D1732" i="10"/>
  <c r="E1731" i="10"/>
  <c r="D1731" i="10"/>
  <c r="E1730" i="10"/>
  <c r="D1730" i="10"/>
  <c r="E1729" i="10"/>
  <c r="D1729" i="10"/>
  <c r="E1728" i="10"/>
  <c r="D1728" i="10"/>
  <c r="E1727" i="10"/>
  <c r="D1727" i="10"/>
  <c r="E1726" i="10"/>
  <c r="D1726" i="10"/>
  <c r="E1725" i="10"/>
  <c r="D1725" i="10"/>
  <c r="E1724" i="10"/>
  <c r="D1724" i="10"/>
  <c r="E1723" i="10"/>
  <c r="D1723" i="10"/>
  <c r="E1722" i="10"/>
  <c r="D1722" i="10"/>
  <c r="E1721" i="10"/>
  <c r="D1721" i="10"/>
  <c r="E1720" i="10"/>
  <c r="D1720" i="10"/>
  <c r="E1719" i="10"/>
  <c r="D1719" i="10"/>
  <c r="E1718" i="10"/>
  <c r="D1718" i="10"/>
  <c r="E1717" i="10"/>
  <c r="D1717" i="10"/>
  <c r="E1716" i="10"/>
  <c r="D1716" i="10"/>
  <c r="E1715" i="10"/>
  <c r="D1715" i="10"/>
  <c r="E1714" i="10"/>
  <c r="D1714" i="10"/>
  <c r="E1713" i="10"/>
  <c r="D1713" i="10"/>
  <c r="E1712" i="10"/>
  <c r="D1712" i="10"/>
  <c r="E1711" i="10"/>
  <c r="D1711" i="10"/>
  <c r="E1710" i="10"/>
  <c r="D1710" i="10"/>
  <c r="E1709" i="10"/>
  <c r="D1709" i="10"/>
  <c r="E1708" i="10"/>
  <c r="D1708" i="10"/>
  <c r="E1707" i="10"/>
  <c r="D1707" i="10"/>
  <c r="E1706" i="10"/>
  <c r="D1706" i="10"/>
  <c r="E1705" i="10"/>
  <c r="D1705" i="10"/>
  <c r="E1704" i="10"/>
  <c r="D1704" i="10"/>
  <c r="E1703" i="10"/>
  <c r="D1703" i="10"/>
  <c r="E1702" i="10"/>
  <c r="D1702" i="10"/>
  <c r="E1701" i="10"/>
  <c r="D1701" i="10"/>
  <c r="E1700" i="10"/>
  <c r="D1700" i="10"/>
  <c r="E1699" i="10"/>
  <c r="D1699" i="10"/>
  <c r="E1698" i="10"/>
  <c r="D1698" i="10"/>
  <c r="E1697" i="10"/>
  <c r="D1697" i="10"/>
  <c r="E1696" i="10"/>
  <c r="D1696" i="10"/>
  <c r="E1695" i="10"/>
  <c r="D1695" i="10"/>
  <c r="E1694" i="10"/>
  <c r="D1694" i="10"/>
  <c r="E1693" i="10"/>
  <c r="D1693" i="10"/>
  <c r="E1692" i="10"/>
  <c r="D1692" i="10"/>
  <c r="E1691" i="10"/>
  <c r="D1691" i="10"/>
  <c r="E1690" i="10"/>
  <c r="D1690" i="10"/>
  <c r="E1689" i="10"/>
  <c r="D1689" i="10"/>
  <c r="E1688" i="10"/>
  <c r="D1688" i="10"/>
  <c r="E1687" i="10"/>
  <c r="D1687" i="10"/>
  <c r="E1686" i="10"/>
  <c r="D1686" i="10"/>
  <c r="E1685" i="10"/>
  <c r="D1685" i="10"/>
  <c r="E1684" i="10"/>
  <c r="D1684" i="10"/>
  <c r="E1683" i="10"/>
  <c r="D1683" i="10"/>
  <c r="E1682" i="10"/>
  <c r="D1682" i="10"/>
  <c r="E1681" i="10"/>
  <c r="D1681" i="10"/>
  <c r="E1680" i="10"/>
  <c r="D1680" i="10"/>
  <c r="E1679" i="10"/>
  <c r="D1679" i="10"/>
  <c r="E1678" i="10"/>
  <c r="D1678" i="10"/>
  <c r="E1677" i="10"/>
  <c r="D1677" i="10"/>
  <c r="E1676" i="10"/>
  <c r="D1676" i="10"/>
  <c r="E1675" i="10"/>
  <c r="D1675" i="10"/>
  <c r="E1674" i="10"/>
  <c r="D1674" i="10"/>
  <c r="E1673" i="10"/>
  <c r="D1673" i="10"/>
  <c r="E1672" i="10"/>
  <c r="D1672" i="10"/>
  <c r="E1671" i="10"/>
  <c r="D1671" i="10"/>
  <c r="E1670" i="10"/>
  <c r="D1670" i="10"/>
  <c r="E1669" i="10"/>
  <c r="D1669" i="10"/>
  <c r="E1668" i="10"/>
  <c r="D1668" i="10"/>
  <c r="E1667" i="10"/>
  <c r="D1667" i="10"/>
  <c r="E1666" i="10"/>
  <c r="D1666" i="10"/>
  <c r="E1665" i="10"/>
  <c r="D1665" i="10"/>
  <c r="E1664" i="10"/>
  <c r="D1664" i="10"/>
  <c r="E1663" i="10"/>
  <c r="D1663" i="10"/>
  <c r="E1662" i="10"/>
  <c r="D1662" i="10"/>
  <c r="E1661" i="10"/>
  <c r="D1661" i="10"/>
  <c r="E1660" i="10"/>
  <c r="D1660" i="10"/>
  <c r="E1659" i="10"/>
  <c r="D1659" i="10"/>
  <c r="E1658" i="10"/>
  <c r="D1658" i="10"/>
  <c r="E1657" i="10"/>
  <c r="D1657" i="10"/>
  <c r="E1656" i="10"/>
  <c r="D1656" i="10"/>
  <c r="E1655" i="10"/>
  <c r="D1655" i="10"/>
  <c r="E1654" i="10"/>
  <c r="D1654" i="10"/>
  <c r="E1653" i="10"/>
  <c r="D1653" i="10"/>
  <c r="E1652" i="10"/>
  <c r="D1652" i="10"/>
  <c r="E1651" i="10"/>
  <c r="D1651" i="10"/>
  <c r="E1650" i="10"/>
  <c r="D1650" i="10"/>
  <c r="E1649" i="10"/>
  <c r="D1649" i="10"/>
  <c r="E1648" i="10"/>
  <c r="D1648" i="10"/>
  <c r="E1647" i="10"/>
  <c r="D1647" i="10"/>
  <c r="E1646" i="10"/>
  <c r="D1646" i="10"/>
  <c r="E1645" i="10"/>
  <c r="D1645" i="10"/>
  <c r="E1644" i="10"/>
  <c r="D1644" i="10"/>
  <c r="E1643" i="10"/>
  <c r="D1643" i="10"/>
  <c r="E1642" i="10"/>
  <c r="D1642" i="10"/>
  <c r="E1641" i="10"/>
  <c r="D1641" i="10"/>
  <c r="E1640" i="10"/>
  <c r="D1640" i="10"/>
  <c r="E1639" i="10"/>
  <c r="D1639" i="10"/>
  <c r="E1638" i="10"/>
  <c r="D1638" i="10"/>
  <c r="E1637" i="10"/>
  <c r="D1637" i="10"/>
  <c r="E1636" i="10"/>
  <c r="D1636" i="10"/>
  <c r="E1635" i="10"/>
  <c r="D1635" i="10"/>
  <c r="E1634" i="10"/>
  <c r="D1634" i="10"/>
  <c r="E1633" i="10"/>
  <c r="D1633" i="10"/>
  <c r="E1632" i="10"/>
  <c r="D1632" i="10"/>
  <c r="E1631" i="10"/>
  <c r="D1631" i="10"/>
  <c r="E1630" i="10"/>
  <c r="D1630" i="10"/>
  <c r="E1629" i="10"/>
  <c r="D1629" i="10"/>
  <c r="E1628" i="10"/>
  <c r="D1628" i="10"/>
  <c r="E1627" i="10"/>
  <c r="D1627" i="10"/>
  <c r="E1626" i="10"/>
  <c r="D1626" i="10"/>
  <c r="E1625" i="10"/>
  <c r="D1625" i="10"/>
  <c r="E1624" i="10"/>
  <c r="D1624" i="10"/>
  <c r="E1623" i="10"/>
  <c r="D1623" i="10"/>
  <c r="E1622" i="10"/>
  <c r="D1622" i="10"/>
  <c r="E1621" i="10"/>
  <c r="D1621" i="10"/>
  <c r="E1620" i="10"/>
  <c r="D1620" i="10"/>
  <c r="E1619" i="10"/>
  <c r="D1619" i="10"/>
  <c r="E1618" i="10"/>
  <c r="D1618" i="10"/>
  <c r="E1617" i="10"/>
  <c r="D1617" i="10"/>
  <c r="E1616" i="10"/>
  <c r="D1616" i="10"/>
  <c r="E1615" i="10"/>
  <c r="D1615" i="10"/>
  <c r="E1614" i="10"/>
  <c r="D1614" i="10"/>
  <c r="E1613" i="10"/>
  <c r="D1613" i="10"/>
  <c r="E1612" i="10"/>
  <c r="D1612" i="10"/>
  <c r="E1611" i="10"/>
  <c r="D1611" i="10"/>
  <c r="E1610" i="10"/>
  <c r="D1610" i="10"/>
  <c r="E1609" i="10"/>
  <c r="D1609" i="10"/>
  <c r="E1608" i="10"/>
  <c r="D1608" i="10"/>
  <c r="E1607" i="10"/>
  <c r="D1607" i="10"/>
  <c r="E1606" i="10"/>
  <c r="D1606" i="10"/>
  <c r="E1605" i="10"/>
  <c r="D1605" i="10"/>
  <c r="E1604" i="10"/>
  <c r="D1604" i="10"/>
  <c r="E1603" i="10"/>
  <c r="D1603" i="10"/>
  <c r="E1602" i="10"/>
  <c r="D1602" i="10"/>
  <c r="E1601" i="10"/>
  <c r="D1601" i="10"/>
  <c r="E1600" i="10"/>
  <c r="D1600" i="10"/>
  <c r="E1599" i="10"/>
  <c r="D1599" i="10"/>
  <c r="E1598" i="10"/>
  <c r="D1598" i="10"/>
  <c r="E1597" i="10"/>
  <c r="D1597" i="10"/>
  <c r="E1596" i="10"/>
  <c r="D1596" i="10"/>
  <c r="E1595" i="10"/>
  <c r="D1595" i="10"/>
  <c r="E1594" i="10"/>
  <c r="D1594" i="10"/>
  <c r="E1593" i="10"/>
  <c r="D1593" i="10"/>
  <c r="E1592" i="10"/>
  <c r="D1592" i="10"/>
  <c r="E1591" i="10"/>
  <c r="D1591" i="10"/>
  <c r="E1590" i="10"/>
  <c r="D1590" i="10"/>
  <c r="E1589" i="10"/>
  <c r="D1589" i="10"/>
  <c r="E1588" i="10"/>
  <c r="D1588" i="10"/>
  <c r="E1587" i="10"/>
  <c r="D1587" i="10"/>
  <c r="E1586" i="10"/>
  <c r="D1586" i="10"/>
  <c r="E1585" i="10"/>
  <c r="D1585" i="10"/>
  <c r="E1584" i="10"/>
  <c r="D1584" i="10"/>
  <c r="E1583" i="10"/>
  <c r="D1583" i="10"/>
  <c r="E1582" i="10"/>
  <c r="D1582" i="10"/>
  <c r="E1581" i="10"/>
  <c r="D1581" i="10"/>
  <c r="E1580" i="10"/>
  <c r="D1580" i="10"/>
  <c r="E1579" i="10"/>
  <c r="D1579" i="10"/>
  <c r="E1578" i="10"/>
  <c r="D1578" i="10"/>
  <c r="E1577" i="10"/>
  <c r="D1577" i="10"/>
  <c r="E1576" i="10"/>
  <c r="D1576" i="10"/>
  <c r="E1575" i="10"/>
  <c r="D1575" i="10"/>
  <c r="E1574" i="10"/>
  <c r="D1574" i="10"/>
  <c r="E1573" i="10"/>
  <c r="D1573" i="10"/>
  <c r="E1572" i="10"/>
  <c r="D1572" i="10"/>
  <c r="E1571" i="10"/>
  <c r="D1571" i="10"/>
  <c r="E1570" i="10"/>
  <c r="D1570" i="10"/>
  <c r="E1569" i="10"/>
  <c r="D1569" i="10"/>
  <c r="E1568" i="10"/>
  <c r="D1568" i="10"/>
  <c r="E1567" i="10"/>
  <c r="D1567" i="10"/>
  <c r="E1566" i="10"/>
  <c r="D1566" i="10"/>
  <c r="E1565" i="10"/>
  <c r="D1565" i="10"/>
  <c r="E1564" i="10"/>
  <c r="D1564" i="10"/>
  <c r="E1563" i="10"/>
  <c r="D1563" i="10"/>
  <c r="E1562" i="10"/>
  <c r="D1562" i="10"/>
  <c r="E1561" i="10"/>
  <c r="D1561" i="10"/>
  <c r="E1560" i="10"/>
  <c r="D1560" i="10"/>
  <c r="E1559" i="10"/>
  <c r="D1559" i="10"/>
  <c r="E1558" i="10"/>
  <c r="D1558" i="10"/>
  <c r="E1557" i="10"/>
  <c r="D1557" i="10"/>
  <c r="E1556" i="10"/>
  <c r="D1556" i="10"/>
  <c r="E1555" i="10"/>
  <c r="D1555" i="10"/>
  <c r="E1554" i="10"/>
  <c r="D1554" i="10"/>
  <c r="E1553" i="10"/>
  <c r="D1553" i="10"/>
  <c r="E1552" i="10"/>
  <c r="D1552" i="10"/>
  <c r="E1551" i="10"/>
  <c r="D1551" i="10"/>
  <c r="E1550" i="10"/>
  <c r="D1550" i="10"/>
  <c r="E1549" i="10"/>
  <c r="D1549" i="10"/>
  <c r="E1548" i="10"/>
  <c r="D1548" i="10"/>
  <c r="E1547" i="10"/>
  <c r="D1547" i="10"/>
  <c r="E1546" i="10"/>
  <c r="D1546" i="10"/>
  <c r="E1545" i="10"/>
  <c r="D1545" i="10"/>
  <c r="E1544" i="10"/>
  <c r="D1544" i="10"/>
  <c r="E1543" i="10"/>
  <c r="D1543" i="10"/>
  <c r="E1542" i="10"/>
  <c r="D1542" i="10"/>
  <c r="E1541" i="10"/>
  <c r="D1541" i="10"/>
  <c r="E1540" i="10"/>
  <c r="D1540" i="10"/>
  <c r="E1539" i="10"/>
  <c r="D1539" i="10"/>
  <c r="E1538" i="10"/>
  <c r="D1538" i="10"/>
  <c r="E1537" i="10"/>
  <c r="D1537" i="10"/>
  <c r="E1536" i="10"/>
  <c r="D1536" i="10"/>
  <c r="E1535" i="10"/>
  <c r="D1535" i="10"/>
  <c r="E1534" i="10"/>
  <c r="D1534" i="10"/>
  <c r="E1533" i="10"/>
  <c r="D1533" i="10"/>
  <c r="E1532" i="10"/>
  <c r="D1532" i="10"/>
  <c r="E1531" i="10"/>
  <c r="D1531" i="10"/>
  <c r="E1530" i="10"/>
  <c r="D1530" i="10"/>
  <c r="E1529" i="10"/>
  <c r="D1529" i="10"/>
  <c r="E1528" i="10"/>
  <c r="D1528" i="10"/>
  <c r="E1527" i="10"/>
  <c r="D1527" i="10"/>
  <c r="E1526" i="10"/>
  <c r="D1526" i="10"/>
  <c r="E1525" i="10"/>
  <c r="D1525" i="10"/>
  <c r="E1524" i="10"/>
  <c r="D1524" i="10"/>
  <c r="E1523" i="10"/>
  <c r="D1523" i="10"/>
  <c r="E1522" i="10"/>
  <c r="D1522" i="10"/>
  <c r="E1521" i="10"/>
  <c r="D1521" i="10"/>
  <c r="E1520" i="10"/>
  <c r="D1520" i="10"/>
  <c r="E1519" i="10"/>
  <c r="D1519" i="10"/>
  <c r="E1518" i="10"/>
  <c r="D1518" i="10"/>
  <c r="E1517" i="10"/>
  <c r="D1517" i="10"/>
  <c r="E1516" i="10"/>
  <c r="D1516" i="10"/>
  <c r="E1515" i="10"/>
  <c r="D1515" i="10"/>
  <c r="E1514" i="10"/>
  <c r="D1514" i="10"/>
  <c r="E1513" i="10"/>
  <c r="D1513" i="10"/>
  <c r="E1512" i="10"/>
  <c r="D1512" i="10"/>
  <c r="E1511" i="10"/>
  <c r="D1511" i="10"/>
  <c r="E1510" i="10"/>
  <c r="D1510" i="10"/>
  <c r="E1509" i="10"/>
  <c r="D1509" i="10"/>
  <c r="E1508" i="10"/>
  <c r="D1508" i="10"/>
  <c r="E1507" i="10"/>
  <c r="D1507" i="10"/>
  <c r="E1506" i="10"/>
  <c r="D1506" i="10"/>
  <c r="E1505" i="10"/>
  <c r="D1505" i="10"/>
  <c r="E1504" i="10"/>
  <c r="D1504" i="10"/>
  <c r="E1503" i="10"/>
  <c r="D1503" i="10"/>
  <c r="E1502" i="10"/>
  <c r="D1502" i="10"/>
  <c r="E1501" i="10"/>
  <c r="D1501" i="10"/>
  <c r="E1500" i="10"/>
  <c r="D1500" i="10"/>
  <c r="E1499" i="10"/>
  <c r="D1499" i="10"/>
  <c r="E1498" i="10"/>
  <c r="D1498" i="10"/>
  <c r="E1497" i="10"/>
  <c r="D1497" i="10"/>
  <c r="E1496" i="10"/>
  <c r="D1496" i="10"/>
  <c r="E1495" i="10"/>
  <c r="D1495" i="10"/>
  <c r="E1494" i="10"/>
  <c r="D1494" i="10"/>
  <c r="E1493" i="10"/>
  <c r="D1493" i="10"/>
  <c r="E1492" i="10"/>
  <c r="D1492" i="10"/>
  <c r="E1491" i="10"/>
  <c r="D1491" i="10"/>
  <c r="E1490" i="10"/>
  <c r="D1490" i="10"/>
  <c r="E1489" i="10"/>
  <c r="D1489" i="10"/>
  <c r="E1488" i="10"/>
  <c r="D1488" i="10"/>
  <c r="E1487" i="10"/>
  <c r="D1487" i="10"/>
  <c r="E1486" i="10"/>
  <c r="D1486" i="10"/>
  <c r="E1485" i="10"/>
  <c r="D1485" i="10"/>
  <c r="E1484" i="10"/>
  <c r="D1484" i="10"/>
  <c r="E1483" i="10"/>
  <c r="D1483" i="10"/>
  <c r="E1482" i="10"/>
  <c r="D1482" i="10"/>
  <c r="E1481" i="10"/>
  <c r="D1481" i="10"/>
  <c r="E1480" i="10"/>
  <c r="D1480" i="10"/>
  <c r="E1479" i="10"/>
  <c r="D1479" i="10"/>
  <c r="E1478" i="10"/>
  <c r="D1478" i="10"/>
  <c r="E1477" i="10"/>
  <c r="D1477" i="10"/>
  <c r="E1476" i="10"/>
  <c r="D1476" i="10"/>
  <c r="E1475" i="10"/>
  <c r="D1475" i="10"/>
  <c r="E1474" i="10"/>
  <c r="D1474" i="10"/>
  <c r="E1473" i="10"/>
  <c r="D1473" i="10"/>
  <c r="E1472" i="10"/>
  <c r="D1472" i="10"/>
  <c r="E1471" i="10"/>
  <c r="D1471" i="10"/>
  <c r="E1470" i="10"/>
  <c r="D1470" i="10"/>
  <c r="E1469" i="10"/>
  <c r="D1469" i="10"/>
  <c r="E1468" i="10"/>
  <c r="D1468" i="10"/>
  <c r="E1467" i="10"/>
  <c r="D1467" i="10"/>
  <c r="E1466" i="10"/>
  <c r="D1466" i="10"/>
  <c r="E1465" i="10"/>
  <c r="D1465" i="10"/>
  <c r="E1464" i="10"/>
  <c r="D1464" i="10"/>
  <c r="E1463" i="10"/>
  <c r="D1463" i="10"/>
  <c r="E1462" i="10"/>
  <c r="D1462" i="10"/>
  <c r="E1461" i="10"/>
  <c r="D1461" i="10"/>
  <c r="E1460" i="10"/>
  <c r="D1460" i="10"/>
  <c r="E1459" i="10"/>
  <c r="D1459" i="10"/>
  <c r="E1458" i="10"/>
  <c r="D1458" i="10"/>
  <c r="E1457" i="10"/>
  <c r="D1457" i="10"/>
  <c r="E1456" i="10"/>
  <c r="D1456" i="10"/>
  <c r="E1455" i="10"/>
  <c r="D1455" i="10"/>
  <c r="E1454" i="10"/>
  <c r="D1454" i="10"/>
  <c r="E1453" i="10"/>
  <c r="D1453" i="10"/>
  <c r="E1452" i="10"/>
  <c r="D1452" i="10"/>
  <c r="E1451" i="10"/>
  <c r="D1451" i="10"/>
  <c r="E1450" i="10"/>
  <c r="D1450" i="10"/>
  <c r="E1449" i="10"/>
  <c r="D1449" i="10"/>
  <c r="E1448" i="10"/>
  <c r="D1448" i="10"/>
  <c r="E1447" i="10"/>
  <c r="D1447" i="10"/>
  <c r="E1446" i="10"/>
  <c r="D1446" i="10"/>
  <c r="E1445" i="10"/>
  <c r="D1445" i="10"/>
  <c r="E1444" i="10"/>
  <c r="D1444" i="10"/>
  <c r="E1443" i="10"/>
  <c r="D1443" i="10"/>
  <c r="E1442" i="10"/>
  <c r="D1442" i="10"/>
  <c r="E1441" i="10"/>
  <c r="D1441" i="10"/>
  <c r="E1440" i="10"/>
  <c r="D1440" i="10"/>
  <c r="E1439" i="10"/>
  <c r="D1439" i="10"/>
  <c r="E1438" i="10"/>
  <c r="D1438" i="10"/>
  <c r="E1437" i="10"/>
  <c r="D1437" i="10"/>
  <c r="E1436" i="10"/>
  <c r="D1436" i="10"/>
  <c r="E1435" i="10"/>
  <c r="D1435" i="10"/>
  <c r="E1434" i="10"/>
  <c r="D1434" i="10"/>
  <c r="E1433" i="10"/>
  <c r="D1433" i="10"/>
  <c r="E1432" i="10"/>
  <c r="D1432" i="10"/>
  <c r="E1431" i="10"/>
  <c r="D1431" i="10"/>
  <c r="E1430" i="10"/>
  <c r="D1430" i="10"/>
  <c r="E1429" i="10"/>
  <c r="D1429" i="10"/>
  <c r="E1428" i="10"/>
  <c r="D1428" i="10"/>
  <c r="E1427" i="10"/>
  <c r="D1427" i="10"/>
  <c r="E1426" i="10"/>
  <c r="D1426" i="10"/>
  <c r="E1425" i="10"/>
  <c r="D1425" i="10"/>
  <c r="E1424" i="10"/>
  <c r="D1424" i="10"/>
  <c r="E1423" i="10"/>
  <c r="D1423" i="10"/>
  <c r="E1422" i="10"/>
  <c r="D1422" i="10"/>
  <c r="E1421" i="10"/>
  <c r="D1421" i="10"/>
  <c r="E1420" i="10"/>
  <c r="D1420" i="10"/>
  <c r="E1419" i="10"/>
  <c r="D1419" i="10"/>
  <c r="E1418" i="10"/>
  <c r="D1418" i="10"/>
  <c r="E1417" i="10"/>
  <c r="D1417" i="10"/>
  <c r="E1416" i="10"/>
  <c r="D1416" i="10"/>
  <c r="E1415" i="10"/>
  <c r="D1415" i="10"/>
  <c r="E1414" i="10"/>
  <c r="D1414" i="10"/>
  <c r="E1413" i="10"/>
  <c r="D1413" i="10"/>
  <c r="E1412" i="10"/>
  <c r="D1412" i="10"/>
  <c r="E1411" i="10"/>
  <c r="D1411" i="10"/>
  <c r="E1410" i="10"/>
  <c r="D1410" i="10"/>
  <c r="E1409" i="10"/>
  <c r="D1409" i="10"/>
  <c r="E1408" i="10"/>
  <c r="D1408" i="10"/>
  <c r="E1407" i="10"/>
  <c r="D1407" i="10"/>
  <c r="E1406" i="10"/>
  <c r="D1406" i="10"/>
  <c r="E1405" i="10"/>
  <c r="D1405" i="10"/>
  <c r="E1404" i="10"/>
  <c r="D1404" i="10"/>
  <c r="E1403" i="10"/>
  <c r="D1403" i="10"/>
  <c r="E1402" i="10"/>
  <c r="D1402" i="10"/>
  <c r="E1401" i="10"/>
  <c r="D1401" i="10"/>
  <c r="E1400" i="10"/>
  <c r="D1400" i="10"/>
  <c r="E1399" i="10"/>
  <c r="D1399" i="10"/>
  <c r="E1398" i="10"/>
  <c r="D1398" i="10"/>
  <c r="E1397" i="10"/>
  <c r="D1397" i="10"/>
  <c r="E1396" i="10"/>
  <c r="D1396" i="10"/>
  <c r="E1395" i="10"/>
  <c r="D1395" i="10"/>
  <c r="E1394" i="10"/>
  <c r="D1394" i="10"/>
  <c r="E1393" i="10"/>
  <c r="D1393" i="10"/>
  <c r="E1392" i="10"/>
  <c r="D1392" i="10"/>
  <c r="E1391" i="10"/>
  <c r="D1391" i="10"/>
  <c r="E1390" i="10"/>
  <c r="D1390" i="10"/>
  <c r="E1389" i="10"/>
  <c r="D1389" i="10"/>
  <c r="E1388" i="10"/>
  <c r="D1388" i="10"/>
  <c r="E1387" i="10"/>
  <c r="D1387" i="10"/>
  <c r="E1386" i="10"/>
  <c r="D1386" i="10"/>
  <c r="E1385" i="10"/>
  <c r="D1385" i="10"/>
  <c r="E1384" i="10"/>
  <c r="D1384" i="10"/>
  <c r="E1383" i="10"/>
  <c r="D1383" i="10"/>
  <c r="E1382" i="10"/>
  <c r="D1382" i="10"/>
  <c r="E1381" i="10"/>
  <c r="D1381" i="10"/>
  <c r="E1380" i="10"/>
  <c r="D1380" i="10"/>
  <c r="E1379" i="10"/>
  <c r="D1379" i="10"/>
  <c r="E1378" i="10"/>
  <c r="D1378" i="10"/>
  <c r="E1377" i="10"/>
  <c r="D1377" i="10"/>
  <c r="E1376" i="10"/>
  <c r="D1376" i="10"/>
  <c r="E1375" i="10"/>
  <c r="D1375" i="10"/>
  <c r="E1374" i="10"/>
  <c r="D1374" i="10"/>
  <c r="E1373" i="10"/>
  <c r="D1373" i="10"/>
  <c r="E1372" i="10"/>
  <c r="D1372" i="10"/>
  <c r="E1371" i="10"/>
  <c r="D1371" i="10"/>
  <c r="E1370" i="10"/>
  <c r="D1370" i="10"/>
  <c r="E1369" i="10"/>
  <c r="D1369" i="10"/>
  <c r="E1368" i="10"/>
  <c r="D1368" i="10"/>
  <c r="E1367" i="10"/>
  <c r="D1367" i="10"/>
  <c r="E1366" i="10"/>
  <c r="D1366" i="10"/>
  <c r="E1365" i="10"/>
  <c r="D1365" i="10"/>
  <c r="E1364" i="10"/>
  <c r="D1364" i="10"/>
  <c r="E1363" i="10"/>
  <c r="D1363" i="10"/>
  <c r="E1362" i="10"/>
  <c r="D1362" i="10"/>
  <c r="E1361" i="10"/>
  <c r="D1361" i="10"/>
  <c r="E1360" i="10"/>
  <c r="D1360" i="10"/>
  <c r="E1359" i="10"/>
  <c r="D1359" i="10"/>
  <c r="E1358" i="10"/>
  <c r="D1358" i="10"/>
  <c r="E1357" i="10"/>
  <c r="D1357" i="10"/>
  <c r="E1356" i="10"/>
  <c r="D1356" i="10"/>
  <c r="E1355" i="10"/>
  <c r="D1355" i="10"/>
  <c r="E1354" i="10"/>
  <c r="D1354" i="10"/>
  <c r="E1353" i="10"/>
  <c r="D1353" i="10"/>
  <c r="E1352" i="10"/>
  <c r="D1352" i="10"/>
  <c r="E1351" i="10"/>
  <c r="D1351" i="10"/>
  <c r="E1350" i="10"/>
  <c r="D1350" i="10"/>
  <c r="E1349" i="10"/>
  <c r="D1349" i="10"/>
  <c r="E1348" i="10"/>
  <c r="D1348" i="10"/>
  <c r="E1347" i="10"/>
  <c r="D1347" i="10"/>
  <c r="E1346" i="10"/>
  <c r="D1346" i="10"/>
  <c r="E1345" i="10"/>
  <c r="D1345" i="10"/>
  <c r="E1344" i="10"/>
  <c r="D1344" i="10"/>
  <c r="E1343" i="10"/>
  <c r="D1343" i="10"/>
  <c r="E1342" i="10"/>
  <c r="D1342" i="10"/>
  <c r="E1341" i="10"/>
  <c r="D1341" i="10"/>
  <c r="E1340" i="10"/>
  <c r="D1340" i="10"/>
  <c r="E1339" i="10"/>
  <c r="D1339" i="10"/>
  <c r="E1338" i="10"/>
  <c r="D1338" i="10"/>
  <c r="E1337" i="10"/>
  <c r="D1337" i="10"/>
  <c r="E1336" i="10"/>
  <c r="D1336" i="10"/>
  <c r="E1335" i="10"/>
  <c r="D1335" i="10"/>
  <c r="E1334" i="10"/>
  <c r="D1334" i="10"/>
  <c r="E1333" i="10"/>
  <c r="D1333" i="10"/>
  <c r="E1332" i="10"/>
  <c r="D1332" i="10"/>
  <c r="E1331" i="10"/>
  <c r="D1331" i="10"/>
  <c r="E1330" i="10"/>
  <c r="D1330" i="10"/>
  <c r="E1329" i="10"/>
  <c r="D1329" i="10"/>
  <c r="E1328" i="10"/>
  <c r="D1328" i="10"/>
  <c r="E1327" i="10"/>
  <c r="D1327" i="10"/>
  <c r="E1326" i="10"/>
  <c r="D1326" i="10"/>
  <c r="E1325" i="10"/>
  <c r="D1325" i="10"/>
  <c r="E1324" i="10"/>
  <c r="D1324" i="10"/>
  <c r="E1323" i="10"/>
  <c r="D1323" i="10"/>
  <c r="E1322" i="10"/>
  <c r="D1322" i="10"/>
  <c r="E1321" i="10"/>
  <c r="D1321" i="10"/>
  <c r="E1320" i="10"/>
  <c r="D1320" i="10"/>
  <c r="E1319" i="10"/>
  <c r="D1319" i="10"/>
  <c r="E1318" i="10"/>
  <c r="D1318" i="10"/>
  <c r="E1317" i="10"/>
  <c r="D1317" i="10"/>
  <c r="E1316" i="10"/>
  <c r="D1316" i="10"/>
  <c r="E1315" i="10"/>
  <c r="D1315" i="10"/>
  <c r="E1314" i="10"/>
  <c r="D1314" i="10"/>
  <c r="E1313" i="10"/>
  <c r="D1313" i="10"/>
  <c r="E1312" i="10"/>
  <c r="D1312" i="10"/>
  <c r="E1311" i="10"/>
  <c r="D1311" i="10"/>
  <c r="E1310" i="10"/>
  <c r="D1310" i="10"/>
  <c r="E1309" i="10"/>
  <c r="D1309" i="10"/>
  <c r="E1308" i="10"/>
  <c r="D1308" i="10"/>
  <c r="E1307" i="10"/>
  <c r="D1307" i="10"/>
  <c r="E1306" i="10"/>
  <c r="D1306" i="10"/>
  <c r="E1305" i="10"/>
  <c r="D1305" i="10"/>
  <c r="E1304" i="10"/>
  <c r="D1304" i="10"/>
  <c r="E1303" i="10"/>
  <c r="D1303" i="10"/>
  <c r="E1302" i="10"/>
  <c r="D1302" i="10"/>
  <c r="E1301" i="10"/>
  <c r="D1301" i="10"/>
  <c r="E1300" i="10"/>
  <c r="D1300" i="10"/>
  <c r="E1299" i="10"/>
  <c r="D1299" i="10"/>
  <c r="E1298" i="10"/>
  <c r="D1298" i="10"/>
  <c r="E1297" i="10"/>
  <c r="D1297" i="10"/>
  <c r="E1296" i="10"/>
  <c r="D1296" i="10"/>
  <c r="E1295" i="10"/>
  <c r="D1295" i="10"/>
  <c r="E1294" i="10"/>
  <c r="D1294" i="10"/>
  <c r="E1293" i="10"/>
  <c r="D1293" i="10"/>
  <c r="E1292" i="10"/>
  <c r="D1292" i="10"/>
  <c r="E1291" i="10"/>
  <c r="D1291" i="10"/>
  <c r="E1290" i="10"/>
  <c r="D1290" i="10"/>
  <c r="E1289" i="10"/>
  <c r="D1289" i="10"/>
  <c r="E1288" i="10"/>
  <c r="D1288" i="10"/>
  <c r="E1287" i="10"/>
  <c r="D1287" i="10"/>
  <c r="E1286" i="10"/>
  <c r="D1286" i="10"/>
  <c r="E1285" i="10"/>
  <c r="D1285" i="10"/>
  <c r="E1284" i="10"/>
  <c r="D1284" i="10"/>
  <c r="E1283" i="10"/>
  <c r="D1283" i="10"/>
  <c r="E1282" i="10"/>
  <c r="D1282" i="10"/>
  <c r="E1281" i="10"/>
  <c r="D1281" i="10"/>
  <c r="E1280" i="10"/>
  <c r="D1280" i="10"/>
  <c r="E1279" i="10"/>
  <c r="D1279" i="10"/>
  <c r="E1278" i="10"/>
  <c r="D1278" i="10"/>
  <c r="E1277" i="10"/>
  <c r="D1277" i="10"/>
  <c r="E1276" i="10"/>
  <c r="D1276" i="10"/>
  <c r="E1275" i="10"/>
  <c r="D1275" i="10"/>
  <c r="E1274" i="10"/>
  <c r="D1274" i="10"/>
  <c r="E1273" i="10"/>
  <c r="D1273" i="10"/>
  <c r="E1272" i="10"/>
  <c r="D1272" i="10"/>
  <c r="E1271" i="10"/>
  <c r="D1271" i="10"/>
  <c r="E1270" i="10"/>
  <c r="D1270" i="10"/>
  <c r="E1269" i="10"/>
  <c r="D1269" i="10"/>
  <c r="E1268" i="10"/>
  <c r="D1268" i="10"/>
  <c r="E1267" i="10"/>
  <c r="D1267" i="10"/>
  <c r="E1266" i="10"/>
  <c r="D1266" i="10"/>
  <c r="E1265" i="10"/>
  <c r="D1265" i="10"/>
  <c r="E1264" i="10"/>
  <c r="D1264" i="10"/>
  <c r="E1263" i="10"/>
  <c r="D1263" i="10"/>
  <c r="E1262" i="10"/>
  <c r="D1262" i="10"/>
  <c r="E1261" i="10"/>
  <c r="D1261" i="10"/>
  <c r="E1260" i="10"/>
  <c r="D1260" i="10"/>
  <c r="E1259" i="10"/>
  <c r="D1259" i="10"/>
  <c r="E1258" i="10"/>
  <c r="D1258" i="10"/>
  <c r="E1257" i="10"/>
  <c r="D1257" i="10"/>
  <c r="E1256" i="10"/>
  <c r="D1256" i="10"/>
  <c r="E1255" i="10"/>
  <c r="D1255" i="10"/>
  <c r="E1254" i="10"/>
  <c r="D1254" i="10"/>
  <c r="E1253" i="10"/>
  <c r="D1253" i="10"/>
  <c r="E1252" i="10"/>
  <c r="D1252" i="10"/>
  <c r="E1251" i="10"/>
  <c r="D1251" i="10"/>
  <c r="E1250" i="10"/>
  <c r="D1250" i="10"/>
  <c r="E1249" i="10"/>
  <c r="D1249" i="10"/>
  <c r="E1248" i="10"/>
  <c r="D1248" i="10"/>
  <c r="E1247" i="10"/>
  <c r="D1247" i="10"/>
  <c r="E1246" i="10"/>
  <c r="D1246" i="10"/>
  <c r="E1245" i="10"/>
  <c r="D1245" i="10"/>
  <c r="E1244" i="10"/>
  <c r="D1244" i="10"/>
  <c r="E1243" i="10"/>
  <c r="D1243" i="10"/>
  <c r="E1242" i="10"/>
  <c r="D1242" i="10"/>
  <c r="E1241" i="10"/>
  <c r="D1241" i="10"/>
  <c r="E1240" i="10"/>
  <c r="D1240" i="10"/>
  <c r="E1239" i="10"/>
  <c r="D1239" i="10"/>
  <c r="E1238" i="10"/>
  <c r="D1238" i="10"/>
  <c r="E1237" i="10"/>
  <c r="D1237" i="10"/>
  <c r="E1236" i="10"/>
  <c r="D1236" i="10"/>
  <c r="E1235" i="10"/>
  <c r="D1235" i="10"/>
  <c r="E1234" i="10"/>
  <c r="D1234" i="10"/>
  <c r="E1233" i="10"/>
  <c r="D1233" i="10"/>
  <c r="E1232" i="10"/>
  <c r="D1232" i="10"/>
  <c r="E1231" i="10"/>
  <c r="D1231" i="10"/>
  <c r="E1230" i="10"/>
  <c r="D1230" i="10"/>
  <c r="E1229" i="10"/>
  <c r="D1229" i="10"/>
  <c r="E1228" i="10"/>
  <c r="D1228" i="10"/>
  <c r="E1227" i="10"/>
  <c r="D1227" i="10"/>
  <c r="E1226" i="10"/>
  <c r="D1226" i="10"/>
  <c r="E1225" i="10"/>
  <c r="D1225" i="10"/>
  <c r="E1224" i="10"/>
  <c r="D1224" i="10"/>
  <c r="E1223" i="10"/>
  <c r="D1223" i="10"/>
  <c r="E1222" i="10"/>
  <c r="D1222" i="10"/>
  <c r="E1221" i="10"/>
  <c r="D1221" i="10"/>
  <c r="E1220" i="10"/>
  <c r="D1220" i="10"/>
  <c r="E1219" i="10"/>
  <c r="D1219" i="10"/>
  <c r="E1218" i="10"/>
  <c r="D1218" i="10"/>
  <c r="E1217" i="10"/>
  <c r="D1217" i="10"/>
  <c r="E1216" i="10"/>
  <c r="D1216" i="10"/>
  <c r="E1215" i="10"/>
  <c r="D1215" i="10"/>
  <c r="E1214" i="10"/>
  <c r="D1214" i="10"/>
  <c r="E1213" i="10"/>
  <c r="D1213" i="10"/>
  <c r="E1212" i="10"/>
  <c r="D1212" i="10"/>
  <c r="E1211" i="10"/>
  <c r="D1211" i="10"/>
  <c r="E1210" i="10"/>
  <c r="D1210" i="10"/>
  <c r="E1209" i="10"/>
  <c r="D1209" i="10"/>
  <c r="E1208" i="10"/>
  <c r="D1208" i="10"/>
  <c r="E1207" i="10"/>
  <c r="D1207" i="10"/>
  <c r="E1206" i="10"/>
  <c r="D1206" i="10"/>
  <c r="E1205" i="10"/>
  <c r="D1205" i="10"/>
  <c r="E1204" i="10"/>
  <c r="D1204" i="10"/>
  <c r="E1203" i="10"/>
  <c r="D1203" i="10"/>
  <c r="E1202" i="10"/>
  <c r="D1202" i="10"/>
  <c r="E1201" i="10"/>
  <c r="D1201" i="10"/>
  <c r="E1200" i="10"/>
  <c r="D1200" i="10"/>
  <c r="E1199" i="10"/>
  <c r="D1199" i="10"/>
  <c r="E1198" i="10"/>
  <c r="D1198" i="10"/>
  <c r="E1197" i="10"/>
  <c r="D1197" i="10"/>
  <c r="E1196" i="10"/>
  <c r="D1196" i="10"/>
  <c r="E1195" i="10"/>
  <c r="D1195" i="10"/>
  <c r="E1194" i="10"/>
  <c r="D1194" i="10"/>
  <c r="E1193" i="10"/>
  <c r="D1193" i="10"/>
  <c r="E1192" i="10"/>
  <c r="D1192" i="10"/>
  <c r="E1191" i="10"/>
  <c r="D1191" i="10"/>
  <c r="E1190" i="10"/>
  <c r="D1190" i="10"/>
  <c r="E1189" i="10"/>
  <c r="D1189" i="10"/>
  <c r="E1188" i="10"/>
  <c r="D1188" i="10"/>
  <c r="E1187" i="10"/>
  <c r="D1187" i="10"/>
  <c r="E1186" i="10"/>
  <c r="D1186" i="10"/>
  <c r="E1185" i="10"/>
  <c r="D1185" i="10"/>
  <c r="E1184" i="10"/>
  <c r="D1184" i="10"/>
  <c r="E1183" i="10"/>
  <c r="D1183" i="10"/>
  <c r="E1182" i="10"/>
  <c r="D1182" i="10"/>
  <c r="E1181" i="10"/>
  <c r="D1181" i="10"/>
  <c r="E1180" i="10"/>
  <c r="D1180" i="10"/>
  <c r="E1179" i="10"/>
  <c r="D1179" i="10"/>
  <c r="E1178" i="10"/>
  <c r="D1178" i="10"/>
  <c r="E1177" i="10"/>
  <c r="D1177" i="10"/>
  <c r="E1176" i="10"/>
  <c r="D1176" i="10"/>
  <c r="E1175" i="10"/>
  <c r="D1175" i="10"/>
  <c r="E1174" i="10"/>
  <c r="D1174" i="10"/>
  <c r="E1173" i="10"/>
  <c r="D1173" i="10"/>
  <c r="E1172" i="10"/>
  <c r="D1172" i="10"/>
  <c r="E1171" i="10"/>
  <c r="D1171" i="10"/>
  <c r="E1170" i="10"/>
  <c r="D1170" i="10"/>
  <c r="E1169" i="10"/>
  <c r="D1169" i="10"/>
  <c r="E1168" i="10"/>
  <c r="D1168" i="10"/>
  <c r="E1167" i="10"/>
  <c r="D1167" i="10"/>
  <c r="E1166" i="10"/>
  <c r="D1166" i="10"/>
  <c r="E1165" i="10"/>
  <c r="D1165" i="10"/>
  <c r="E1164" i="10"/>
  <c r="D1164" i="10"/>
  <c r="E1163" i="10"/>
  <c r="D1163" i="10"/>
  <c r="E1162" i="10"/>
  <c r="D1162" i="10"/>
  <c r="E1161" i="10"/>
  <c r="D1161" i="10"/>
  <c r="E1160" i="10"/>
  <c r="D1160" i="10"/>
  <c r="E1159" i="10"/>
  <c r="D1159" i="10"/>
  <c r="E1158" i="10"/>
  <c r="D1158" i="10"/>
  <c r="E1157" i="10"/>
  <c r="D1157" i="10"/>
  <c r="E1156" i="10"/>
  <c r="D1156" i="10"/>
  <c r="E1155" i="10"/>
  <c r="D1155" i="10"/>
  <c r="E1154" i="10"/>
  <c r="D1154" i="10"/>
  <c r="E1153" i="10"/>
  <c r="D1153" i="10"/>
  <c r="E1152" i="10"/>
  <c r="D1152" i="10"/>
  <c r="E1151" i="10"/>
  <c r="D1151" i="10"/>
  <c r="E1150" i="10"/>
  <c r="D1150" i="10"/>
  <c r="E1149" i="10"/>
  <c r="D1149" i="10"/>
  <c r="E1148" i="10"/>
  <c r="D1148" i="10"/>
  <c r="E1147" i="10"/>
  <c r="D1147" i="10"/>
  <c r="E1146" i="10"/>
  <c r="D1146" i="10"/>
  <c r="E1145" i="10"/>
  <c r="D1145" i="10"/>
  <c r="E1144" i="10"/>
  <c r="D1144" i="10"/>
  <c r="E1143" i="10"/>
  <c r="D1143" i="10"/>
  <c r="E1142" i="10"/>
  <c r="D1142" i="10"/>
  <c r="E1141" i="10"/>
  <c r="D1141" i="10"/>
  <c r="E1140" i="10"/>
  <c r="D1140" i="10"/>
  <c r="E1139" i="10"/>
  <c r="D1139" i="10"/>
  <c r="E1138" i="10"/>
  <c r="D1138" i="10"/>
  <c r="E1137" i="10"/>
  <c r="D1137" i="10"/>
  <c r="E1136" i="10"/>
  <c r="D1136" i="10"/>
  <c r="E1135" i="10"/>
  <c r="D1135" i="10"/>
  <c r="E1134" i="10"/>
  <c r="D1134" i="10"/>
  <c r="E1133" i="10"/>
  <c r="D1133" i="10"/>
  <c r="E1132" i="10"/>
  <c r="D1132" i="10"/>
  <c r="E1131" i="10"/>
  <c r="D1131" i="10"/>
  <c r="E1130" i="10"/>
  <c r="D1130" i="10"/>
  <c r="E1129" i="10"/>
  <c r="D1129" i="10"/>
  <c r="E1128" i="10"/>
  <c r="D1128" i="10"/>
  <c r="E1127" i="10"/>
  <c r="D1127" i="10"/>
  <c r="E1126" i="10"/>
  <c r="D1126" i="10"/>
  <c r="E1125" i="10"/>
  <c r="D1125" i="10"/>
  <c r="E1124" i="10"/>
  <c r="D1124" i="10"/>
  <c r="E1123" i="10"/>
  <c r="D1123" i="10"/>
  <c r="E1122" i="10"/>
  <c r="D1122" i="10"/>
  <c r="E1121" i="10"/>
  <c r="D1121" i="10"/>
  <c r="E1120" i="10"/>
  <c r="D1120" i="10"/>
  <c r="E1119" i="10"/>
  <c r="D1119" i="10"/>
  <c r="E1118" i="10"/>
  <c r="D1118" i="10"/>
  <c r="E1117" i="10"/>
  <c r="D1117" i="10"/>
  <c r="E1116" i="10"/>
  <c r="D1116" i="10"/>
  <c r="E1115" i="10"/>
  <c r="D1115" i="10"/>
  <c r="E1114" i="10"/>
  <c r="D1114" i="10"/>
  <c r="E1113" i="10"/>
  <c r="D1113" i="10"/>
  <c r="E1112" i="10"/>
  <c r="D1112" i="10"/>
  <c r="E1111" i="10"/>
  <c r="D1111" i="10"/>
  <c r="E1110" i="10"/>
  <c r="D1110" i="10"/>
  <c r="E1109" i="10"/>
  <c r="D1109" i="10"/>
  <c r="E1108" i="10"/>
  <c r="D1108" i="10"/>
  <c r="E1107" i="10"/>
  <c r="D1107" i="10"/>
  <c r="E1106" i="10"/>
  <c r="D1106" i="10"/>
  <c r="E1105" i="10"/>
  <c r="D1105" i="10"/>
  <c r="E1104" i="10"/>
  <c r="D1104" i="10"/>
  <c r="E1103" i="10"/>
  <c r="D1103" i="10"/>
  <c r="E1102" i="10"/>
  <c r="D1102" i="10"/>
  <c r="E1101" i="10"/>
  <c r="D1101" i="10"/>
  <c r="E1100" i="10"/>
  <c r="D1100" i="10"/>
  <c r="E1099" i="10"/>
  <c r="D1099" i="10"/>
  <c r="E1098" i="10"/>
  <c r="D1098" i="10"/>
  <c r="E1097" i="10"/>
  <c r="D1097" i="10"/>
  <c r="E1096" i="10"/>
  <c r="D1096" i="10"/>
  <c r="E1095" i="10"/>
  <c r="D1095" i="10"/>
  <c r="E1094" i="10"/>
  <c r="D1094" i="10"/>
  <c r="E1093" i="10"/>
  <c r="D1093" i="10"/>
  <c r="E1092" i="10"/>
  <c r="D1092" i="10"/>
  <c r="E1091" i="10"/>
  <c r="D1091" i="10"/>
  <c r="E1090" i="10"/>
  <c r="D1090" i="10"/>
  <c r="E1089" i="10"/>
  <c r="D1089" i="10"/>
  <c r="E1088" i="10"/>
  <c r="D1088" i="10"/>
  <c r="E1087" i="10"/>
  <c r="D1087" i="10"/>
  <c r="E1086" i="10"/>
  <c r="D1086" i="10"/>
  <c r="E1085" i="10"/>
  <c r="D1085" i="10"/>
  <c r="E1084" i="10"/>
  <c r="D1084" i="10"/>
  <c r="E1083" i="10"/>
  <c r="D1083" i="10"/>
  <c r="E1082" i="10"/>
  <c r="D1082" i="10"/>
  <c r="E1081" i="10"/>
  <c r="D1081" i="10"/>
  <c r="E1080" i="10"/>
  <c r="D1080" i="10"/>
  <c r="E1079" i="10"/>
  <c r="D1079" i="10"/>
  <c r="E1078" i="10"/>
  <c r="D1078" i="10"/>
  <c r="E1077" i="10"/>
  <c r="D1077" i="10"/>
  <c r="E1076" i="10"/>
  <c r="D1076" i="10"/>
  <c r="E1075" i="10"/>
  <c r="D1075" i="10"/>
  <c r="E1074" i="10"/>
  <c r="D1074" i="10"/>
  <c r="E1073" i="10"/>
  <c r="D1073" i="10"/>
  <c r="E1072" i="10"/>
  <c r="D1072" i="10"/>
  <c r="E1071" i="10"/>
  <c r="D1071" i="10"/>
  <c r="E1070" i="10"/>
  <c r="D1070" i="10"/>
  <c r="E1069" i="10"/>
  <c r="D1069" i="10"/>
  <c r="E1068" i="10"/>
  <c r="D1068" i="10"/>
  <c r="E1067" i="10"/>
  <c r="D1067" i="10"/>
  <c r="E1066" i="10"/>
  <c r="D1066" i="10"/>
  <c r="E1065" i="10"/>
  <c r="D1065" i="10"/>
  <c r="E1064" i="10"/>
  <c r="D1064" i="10"/>
  <c r="E1063" i="10"/>
  <c r="D1063" i="10"/>
  <c r="E1062" i="10"/>
  <c r="D1062" i="10"/>
  <c r="E1061" i="10"/>
  <c r="D1061" i="10"/>
  <c r="E1060" i="10"/>
  <c r="D1060" i="10"/>
  <c r="E1059" i="10"/>
  <c r="D1059" i="10"/>
  <c r="E1058" i="10"/>
  <c r="D1058" i="10"/>
  <c r="E1057" i="10"/>
  <c r="D1057" i="10"/>
  <c r="E1056" i="10"/>
  <c r="D1056" i="10"/>
  <c r="E1055" i="10"/>
  <c r="D1055" i="10"/>
  <c r="E1054" i="10"/>
  <c r="D1054" i="10"/>
  <c r="E1053" i="10"/>
  <c r="D1053" i="10"/>
  <c r="E1052" i="10"/>
  <c r="D1052" i="10"/>
  <c r="E1051" i="10"/>
  <c r="D1051" i="10"/>
  <c r="E1050" i="10"/>
  <c r="D1050" i="10"/>
  <c r="E1049" i="10"/>
  <c r="D1049" i="10"/>
  <c r="E1048" i="10"/>
  <c r="D1048" i="10"/>
  <c r="E1047" i="10"/>
  <c r="D1047" i="10"/>
  <c r="E1046" i="10"/>
  <c r="D1046" i="10"/>
  <c r="E1045" i="10"/>
  <c r="D1045" i="10"/>
  <c r="E1044" i="10"/>
  <c r="D1044" i="10"/>
  <c r="E1043" i="10"/>
  <c r="D1043" i="10"/>
  <c r="E1042" i="10"/>
  <c r="D1042" i="10"/>
  <c r="E1041" i="10"/>
  <c r="D1041" i="10"/>
  <c r="E1040" i="10"/>
  <c r="D1040" i="10"/>
  <c r="E1039" i="10"/>
  <c r="D1039" i="10"/>
  <c r="E1038" i="10"/>
  <c r="D1038" i="10"/>
  <c r="E1037" i="10"/>
  <c r="D1037" i="10"/>
  <c r="E1036" i="10"/>
  <c r="D1036" i="10"/>
  <c r="E1035" i="10"/>
  <c r="D1035" i="10"/>
  <c r="E1034" i="10"/>
  <c r="D1034" i="10"/>
  <c r="E1033" i="10"/>
  <c r="D1033" i="10"/>
  <c r="E1032" i="10"/>
  <c r="D1032" i="10"/>
  <c r="E1031" i="10"/>
  <c r="D1031" i="10"/>
  <c r="E1030" i="10"/>
  <c r="D1030" i="10"/>
  <c r="E1029" i="10"/>
  <c r="D1029" i="10"/>
  <c r="E1028" i="10"/>
  <c r="D1028" i="10"/>
  <c r="E1027" i="10"/>
  <c r="D1027" i="10"/>
  <c r="E1026" i="10"/>
  <c r="D1026" i="10"/>
  <c r="E1025" i="10"/>
  <c r="D1025" i="10"/>
  <c r="E1024" i="10"/>
  <c r="D1024" i="10"/>
  <c r="E1023" i="10"/>
  <c r="D1023" i="10"/>
  <c r="E1022" i="10"/>
  <c r="D1022" i="10"/>
  <c r="E1021" i="10"/>
  <c r="D1021" i="10"/>
  <c r="E1020" i="10"/>
  <c r="D1020" i="10"/>
  <c r="E1019" i="10"/>
  <c r="D1019" i="10"/>
  <c r="E1018" i="10"/>
  <c r="D1018" i="10"/>
  <c r="E1017" i="10"/>
  <c r="D1017" i="10"/>
  <c r="E1016" i="10"/>
  <c r="D1016" i="10"/>
  <c r="E1015" i="10"/>
  <c r="D1015" i="10"/>
  <c r="E1014" i="10"/>
  <c r="D1014" i="10"/>
  <c r="E1013" i="10"/>
  <c r="D1013" i="10"/>
  <c r="E1012" i="10"/>
  <c r="D1012" i="10"/>
  <c r="E1011" i="10"/>
  <c r="D1011" i="10"/>
  <c r="E1010" i="10"/>
  <c r="D1010" i="10"/>
  <c r="E1009" i="10"/>
  <c r="D1009" i="10"/>
  <c r="E1008" i="10"/>
  <c r="D1008" i="10"/>
  <c r="E1007" i="10"/>
  <c r="D1007" i="10"/>
  <c r="E1006" i="10"/>
  <c r="D1006" i="10"/>
  <c r="E1005" i="10"/>
  <c r="D1005" i="10"/>
  <c r="E1004" i="10"/>
  <c r="D1004" i="10"/>
  <c r="E1003" i="10"/>
  <c r="D1003" i="10"/>
  <c r="E1002" i="10"/>
  <c r="D1002" i="10"/>
  <c r="E1001" i="10"/>
  <c r="D1001" i="10"/>
  <c r="E1000" i="10"/>
  <c r="D1000" i="10"/>
  <c r="E999" i="10"/>
  <c r="D999" i="10"/>
  <c r="E998" i="10"/>
  <c r="D998" i="10"/>
  <c r="E997" i="10"/>
  <c r="D997" i="10"/>
  <c r="E996" i="10"/>
  <c r="D996" i="10"/>
  <c r="E995" i="10"/>
  <c r="D995" i="10"/>
  <c r="E994" i="10"/>
  <c r="D994" i="10"/>
  <c r="E993" i="10"/>
  <c r="D993" i="10"/>
  <c r="E992" i="10"/>
  <c r="D992" i="10"/>
  <c r="E991" i="10"/>
  <c r="D991" i="10"/>
  <c r="E990" i="10"/>
  <c r="D990" i="10"/>
  <c r="E989" i="10"/>
  <c r="D989" i="10"/>
  <c r="E988" i="10"/>
  <c r="D988" i="10"/>
  <c r="E987" i="10"/>
  <c r="D987" i="10"/>
  <c r="E986" i="10"/>
  <c r="D986" i="10"/>
  <c r="E985" i="10"/>
  <c r="D985" i="10"/>
  <c r="E984" i="10"/>
  <c r="D984" i="10"/>
  <c r="E983" i="10"/>
  <c r="D983" i="10"/>
  <c r="E982" i="10"/>
  <c r="D982" i="10"/>
  <c r="E981" i="10"/>
  <c r="D981" i="10"/>
  <c r="E980" i="10"/>
  <c r="D980" i="10"/>
  <c r="E979" i="10"/>
  <c r="D979" i="10"/>
  <c r="E978" i="10"/>
  <c r="D978" i="10"/>
  <c r="E977" i="10"/>
  <c r="D977" i="10"/>
  <c r="E976" i="10"/>
  <c r="D976" i="10"/>
  <c r="E975" i="10"/>
  <c r="D975" i="10"/>
  <c r="E974" i="10"/>
  <c r="D974" i="10"/>
  <c r="E973" i="10"/>
  <c r="D973" i="10"/>
  <c r="E972" i="10"/>
  <c r="D972" i="10"/>
  <c r="E971" i="10"/>
  <c r="D971" i="10"/>
  <c r="E970" i="10"/>
  <c r="D970" i="10"/>
  <c r="E969" i="10"/>
  <c r="D969" i="10"/>
  <c r="E968" i="10"/>
  <c r="D968" i="10"/>
  <c r="E967" i="10"/>
  <c r="D967" i="10"/>
  <c r="E966" i="10"/>
  <c r="D966" i="10"/>
  <c r="E965" i="10"/>
  <c r="D965" i="10"/>
  <c r="E964" i="10"/>
  <c r="D964" i="10"/>
  <c r="E963" i="10"/>
  <c r="D963" i="10"/>
  <c r="E962" i="10"/>
  <c r="D962" i="10"/>
  <c r="E961" i="10"/>
  <c r="D961" i="10"/>
  <c r="E960" i="10"/>
  <c r="D960" i="10"/>
  <c r="E959" i="10"/>
  <c r="D959" i="10"/>
  <c r="E958" i="10"/>
  <c r="D958" i="10"/>
  <c r="E957" i="10"/>
  <c r="D957" i="10"/>
  <c r="E956" i="10"/>
  <c r="D956" i="10"/>
  <c r="E955" i="10"/>
  <c r="D955" i="10"/>
  <c r="E954" i="10"/>
  <c r="D954" i="10"/>
  <c r="E953" i="10"/>
  <c r="D953" i="10"/>
  <c r="E952" i="10"/>
  <c r="D952" i="10"/>
  <c r="E951" i="10"/>
  <c r="D951" i="10"/>
  <c r="E950" i="10"/>
  <c r="D950" i="10"/>
  <c r="E949" i="10"/>
  <c r="D949" i="10"/>
  <c r="E948" i="10"/>
  <c r="D948" i="10"/>
  <c r="E947" i="10"/>
  <c r="D947" i="10"/>
  <c r="E946" i="10"/>
  <c r="D946" i="10"/>
  <c r="E945" i="10"/>
  <c r="D945" i="10"/>
  <c r="E944" i="10"/>
  <c r="D944" i="10"/>
  <c r="E943" i="10"/>
  <c r="D943" i="10"/>
  <c r="E942" i="10"/>
  <c r="D942" i="10"/>
  <c r="E941" i="10"/>
  <c r="D941" i="10"/>
  <c r="E940" i="10"/>
  <c r="D940" i="10"/>
  <c r="E939" i="10"/>
  <c r="D939" i="10"/>
  <c r="E938" i="10"/>
  <c r="D938" i="10"/>
  <c r="E937" i="10"/>
  <c r="D937" i="10"/>
  <c r="E936" i="10"/>
  <c r="D936" i="10"/>
  <c r="E935" i="10"/>
  <c r="D935" i="10"/>
  <c r="E934" i="10"/>
  <c r="D934" i="10"/>
  <c r="E933" i="10"/>
  <c r="D933" i="10"/>
  <c r="E932" i="10"/>
  <c r="D932" i="10"/>
  <c r="E931" i="10"/>
  <c r="D931" i="10"/>
  <c r="E930" i="10"/>
  <c r="D930" i="10"/>
  <c r="E929" i="10"/>
  <c r="D929" i="10"/>
  <c r="E928" i="10"/>
  <c r="D928" i="10"/>
  <c r="E927" i="10"/>
  <c r="D927" i="10"/>
  <c r="E926" i="10"/>
  <c r="D926" i="10"/>
  <c r="E925" i="10"/>
  <c r="D925" i="10"/>
  <c r="E924" i="10"/>
  <c r="D924" i="10"/>
  <c r="E923" i="10"/>
  <c r="D923" i="10"/>
  <c r="E922" i="10"/>
  <c r="D922" i="10"/>
  <c r="E921" i="10"/>
  <c r="D921" i="10"/>
  <c r="E920" i="10"/>
  <c r="D920" i="10"/>
  <c r="E919" i="10"/>
  <c r="D919" i="10"/>
  <c r="E918" i="10"/>
  <c r="D918" i="10"/>
  <c r="E917" i="10"/>
  <c r="D917" i="10"/>
  <c r="E916" i="10"/>
  <c r="D916" i="10"/>
  <c r="E915" i="10"/>
  <c r="D915" i="10"/>
  <c r="E914" i="10"/>
  <c r="D914" i="10"/>
  <c r="E913" i="10"/>
  <c r="D913" i="10"/>
  <c r="E912" i="10"/>
  <c r="D912" i="10"/>
  <c r="E911" i="10"/>
  <c r="D911" i="10"/>
  <c r="E910" i="10"/>
  <c r="D910" i="10"/>
  <c r="E909" i="10"/>
  <c r="D909" i="10"/>
  <c r="E908" i="10"/>
  <c r="D908" i="10"/>
  <c r="E907" i="10"/>
  <c r="D907" i="10"/>
  <c r="E906" i="10"/>
  <c r="D906" i="10"/>
  <c r="E905" i="10"/>
  <c r="D905" i="10"/>
  <c r="E904" i="10"/>
  <c r="D904" i="10"/>
  <c r="E903" i="10"/>
  <c r="D903" i="10"/>
  <c r="E902" i="10"/>
  <c r="D902" i="10"/>
  <c r="E901" i="10"/>
  <c r="D901" i="10"/>
  <c r="E900" i="10"/>
  <c r="D900" i="10"/>
  <c r="E899" i="10"/>
  <c r="D899" i="10"/>
  <c r="E898" i="10"/>
  <c r="D898" i="10"/>
  <c r="E897" i="10"/>
  <c r="D897" i="10"/>
  <c r="E896" i="10"/>
  <c r="D896" i="10"/>
  <c r="E895" i="10"/>
  <c r="D895" i="10"/>
  <c r="E894" i="10"/>
  <c r="D894" i="10"/>
  <c r="E893" i="10"/>
  <c r="D893" i="10"/>
  <c r="E892" i="10"/>
  <c r="D892" i="10"/>
  <c r="E891" i="10"/>
  <c r="D891" i="10"/>
  <c r="E890" i="10"/>
  <c r="D890" i="10"/>
  <c r="E889" i="10"/>
  <c r="D889" i="10"/>
  <c r="E888" i="10"/>
  <c r="D888" i="10"/>
  <c r="E887" i="10"/>
  <c r="D887" i="10"/>
  <c r="E886" i="10"/>
  <c r="D886" i="10"/>
  <c r="E885" i="10"/>
  <c r="D885" i="10"/>
  <c r="E884" i="10"/>
  <c r="D884" i="10"/>
  <c r="E883" i="10"/>
  <c r="D883" i="10"/>
  <c r="E882" i="10"/>
  <c r="D882" i="10"/>
  <c r="E881" i="10"/>
  <c r="D881" i="10"/>
  <c r="E880" i="10"/>
  <c r="D880" i="10"/>
  <c r="E879" i="10"/>
  <c r="D879" i="10"/>
  <c r="E878" i="10"/>
  <c r="D878" i="10"/>
  <c r="E877" i="10"/>
  <c r="D877" i="10"/>
  <c r="E876" i="10"/>
  <c r="D876" i="10"/>
  <c r="E875" i="10"/>
  <c r="D875" i="10"/>
  <c r="E874" i="10"/>
  <c r="D874" i="10"/>
  <c r="E873" i="10"/>
  <c r="D873" i="10"/>
  <c r="E872" i="10"/>
  <c r="D872" i="10"/>
  <c r="E871" i="10"/>
  <c r="D871" i="10"/>
  <c r="E870" i="10"/>
  <c r="D870" i="10"/>
  <c r="E869" i="10"/>
  <c r="D869" i="10"/>
  <c r="E868" i="10"/>
  <c r="D868" i="10"/>
  <c r="E867" i="10"/>
  <c r="D867" i="10"/>
  <c r="E866" i="10"/>
  <c r="D866" i="10"/>
  <c r="E865" i="10"/>
  <c r="D865" i="10"/>
  <c r="E864" i="10"/>
  <c r="D864" i="10"/>
  <c r="E863" i="10"/>
  <c r="D863" i="10"/>
  <c r="E862" i="10"/>
  <c r="D862" i="10"/>
  <c r="E861" i="10"/>
  <c r="D861" i="10"/>
  <c r="E860" i="10"/>
  <c r="D860" i="10"/>
  <c r="E859" i="10"/>
  <c r="D859" i="10"/>
  <c r="E858" i="10"/>
  <c r="D858" i="10"/>
  <c r="E857" i="10"/>
  <c r="D857" i="10"/>
  <c r="E856" i="10"/>
  <c r="D856" i="10"/>
  <c r="E855" i="10"/>
  <c r="D855" i="10"/>
  <c r="E854" i="10"/>
  <c r="D854" i="10"/>
  <c r="E853" i="10"/>
  <c r="D853" i="10"/>
  <c r="E852" i="10"/>
  <c r="D852" i="10"/>
  <c r="E851" i="10"/>
  <c r="D851" i="10"/>
  <c r="E850" i="10"/>
  <c r="D850" i="10"/>
  <c r="E849" i="10"/>
  <c r="D849" i="10"/>
  <c r="E848" i="10"/>
  <c r="D848" i="10"/>
  <c r="E847" i="10"/>
  <c r="D847" i="10"/>
  <c r="E846" i="10"/>
  <c r="D846" i="10"/>
  <c r="E845" i="10"/>
  <c r="D845" i="10"/>
  <c r="E844" i="10"/>
  <c r="D844" i="10"/>
  <c r="E843" i="10"/>
  <c r="D843" i="10"/>
  <c r="E842" i="10"/>
  <c r="D842" i="10"/>
  <c r="E841" i="10"/>
  <c r="D841" i="10"/>
  <c r="E840" i="10"/>
  <c r="D840" i="10"/>
  <c r="E839" i="10"/>
  <c r="D839" i="10"/>
  <c r="E838" i="10"/>
  <c r="D838" i="10"/>
  <c r="E837" i="10"/>
  <c r="D837" i="10"/>
  <c r="E836" i="10"/>
  <c r="D836" i="10"/>
  <c r="E835" i="10"/>
  <c r="D835" i="10"/>
  <c r="E834" i="10"/>
  <c r="D834" i="10"/>
  <c r="E833" i="10"/>
  <c r="D833" i="10"/>
  <c r="E832" i="10"/>
  <c r="D832" i="10"/>
  <c r="E831" i="10"/>
  <c r="D831" i="10"/>
  <c r="E830" i="10"/>
  <c r="D830" i="10"/>
  <c r="E829" i="10"/>
  <c r="D829" i="10"/>
  <c r="E828" i="10"/>
  <c r="D828" i="10"/>
  <c r="E827" i="10"/>
  <c r="D827" i="10"/>
  <c r="E826" i="10"/>
  <c r="D826" i="10"/>
  <c r="E825" i="10"/>
  <c r="D825" i="10"/>
  <c r="E824" i="10"/>
  <c r="D824" i="10"/>
  <c r="E823" i="10"/>
  <c r="D823" i="10"/>
  <c r="E822" i="10"/>
  <c r="D822" i="10"/>
  <c r="E821" i="10"/>
  <c r="D821" i="10"/>
  <c r="E820" i="10"/>
  <c r="D820" i="10"/>
  <c r="E819" i="10"/>
  <c r="D819" i="10"/>
  <c r="E818" i="10"/>
  <c r="D818" i="10"/>
  <c r="E817" i="10"/>
  <c r="D817" i="10"/>
  <c r="E816" i="10"/>
  <c r="D816" i="10"/>
  <c r="E815" i="10"/>
  <c r="D815" i="10"/>
  <c r="E814" i="10"/>
  <c r="D814" i="10"/>
  <c r="E813" i="10"/>
  <c r="D813" i="10"/>
  <c r="E812" i="10"/>
  <c r="D812" i="10"/>
  <c r="E811" i="10"/>
  <c r="D811" i="10"/>
  <c r="E810" i="10"/>
  <c r="D810" i="10"/>
  <c r="E809" i="10"/>
  <c r="D809" i="10"/>
  <c r="E808" i="10"/>
  <c r="D808" i="10"/>
  <c r="E807" i="10"/>
  <c r="D807" i="10"/>
  <c r="E806" i="10"/>
  <c r="D806" i="10"/>
  <c r="E805" i="10"/>
  <c r="D805" i="10"/>
  <c r="E804" i="10"/>
  <c r="D804" i="10"/>
  <c r="E803" i="10"/>
  <c r="D803" i="10"/>
  <c r="E802" i="10"/>
  <c r="D802" i="10"/>
  <c r="E801" i="10"/>
  <c r="D801" i="10"/>
  <c r="E800" i="10"/>
  <c r="D800" i="10"/>
  <c r="E799" i="10"/>
  <c r="D799" i="10"/>
  <c r="E798" i="10"/>
  <c r="D798" i="10"/>
  <c r="E797" i="10"/>
  <c r="D797" i="10"/>
  <c r="E796" i="10"/>
  <c r="D796" i="10"/>
  <c r="E795" i="10"/>
  <c r="D795" i="10"/>
  <c r="E794" i="10"/>
  <c r="D794" i="10"/>
  <c r="E793" i="10"/>
  <c r="D793" i="10"/>
  <c r="E792" i="10"/>
  <c r="D792" i="10"/>
  <c r="E791" i="10"/>
  <c r="D791" i="10"/>
  <c r="E790" i="10"/>
  <c r="D790" i="10"/>
  <c r="E789" i="10"/>
  <c r="D789" i="10"/>
  <c r="E788" i="10"/>
  <c r="D788" i="10"/>
  <c r="E787" i="10"/>
  <c r="D787" i="10"/>
  <c r="E786" i="10"/>
  <c r="D786" i="10"/>
  <c r="E785" i="10"/>
  <c r="D785" i="10"/>
  <c r="E784" i="10"/>
  <c r="D784" i="10"/>
  <c r="E783" i="10"/>
  <c r="D783" i="10"/>
  <c r="E782" i="10"/>
  <c r="D782" i="10"/>
  <c r="E781" i="10"/>
  <c r="D781" i="10"/>
  <c r="E780" i="10"/>
  <c r="D780" i="10"/>
  <c r="E779" i="10"/>
  <c r="D779" i="10"/>
  <c r="E778" i="10"/>
  <c r="D778" i="10"/>
  <c r="E777" i="10"/>
  <c r="D777" i="10"/>
  <c r="E776" i="10"/>
  <c r="D776" i="10"/>
  <c r="E775" i="10"/>
  <c r="D775" i="10"/>
  <c r="E774" i="10"/>
  <c r="D774" i="10"/>
  <c r="E773" i="10"/>
  <c r="D773" i="10"/>
  <c r="E772" i="10"/>
  <c r="D772" i="10"/>
  <c r="E771" i="10"/>
  <c r="D771" i="10"/>
  <c r="E770" i="10"/>
  <c r="D770" i="10"/>
  <c r="E769" i="10"/>
  <c r="D769" i="10"/>
  <c r="E768" i="10"/>
  <c r="D768" i="10"/>
  <c r="E767" i="10"/>
  <c r="D767" i="10"/>
  <c r="E766" i="10"/>
  <c r="D766" i="10"/>
  <c r="E765" i="10"/>
  <c r="D765" i="10"/>
  <c r="E764" i="10"/>
  <c r="D764" i="10"/>
  <c r="E763" i="10"/>
  <c r="D763" i="10"/>
  <c r="E762" i="10"/>
  <c r="D762" i="10"/>
  <c r="E761" i="10"/>
  <c r="D761" i="10"/>
  <c r="E760" i="10"/>
  <c r="D760" i="10"/>
  <c r="E759" i="10"/>
  <c r="D759" i="10"/>
  <c r="E758" i="10"/>
  <c r="D758" i="10"/>
  <c r="E757" i="10"/>
  <c r="D757" i="10"/>
  <c r="E756" i="10"/>
  <c r="D756" i="10"/>
  <c r="E755" i="10"/>
  <c r="D755" i="10"/>
  <c r="E754" i="10"/>
  <c r="D754" i="10"/>
  <c r="E753" i="10"/>
  <c r="D753" i="10"/>
  <c r="E752" i="10"/>
  <c r="D752" i="10"/>
  <c r="E751" i="10"/>
  <c r="D751" i="10"/>
  <c r="E750" i="10"/>
  <c r="D750" i="10"/>
  <c r="E749" i="10"/>
  <c r="D749" i="10"/>
  <c r="E748" i="10"/>
  <c r="D748" i="10"/>
  <c r="E747" i="10"/>
  <c r="D747" i="10"/>
  <c r="E746" i="10"/>
  <c r="D746" i="10"/>
  <c r="E745" i="10"/>
  <c r="D745" i="10"/>
  <c r="E744" i="10"/>
  <c r="D744" i="10"/>
  <c r="E743" i="10"/>
  <c r="D743" i="10"/>
  <c r="E742" i="10"/>
  <c r="D742" i="10"/>
  <c r="E741" i="10"/>
  <c r="D741" i="10"/>
  <c r="E740" i="10"/>
  <c r="D740" i="10"/>
  <c r="E739" i="10"/>
  <c r="D739" i="10"/>
  <c r="E738" i="10"/>
  <c r="D738" i="10"/>
  <c r="E737" i="10"/>
  <c r="D737" i="10"/>
  <c r="E736" i="10"/>
  <c r="D736" i="10"/>
  <c r="E735" i="10"/>
  <c r="D735" i="10"/>
  <c r="E734" i="10"/>
  <c r="D734" i="10"/>
  <c r="E733" i="10"/>
  <c r="D733" i="10"/>
  <c r="E732" i="10"/>
  <c r="D732" i="10"/>
  <c r="E731" i="10"/>
  <c r="D731" i="10"/>
  <c r="E730" i="10"/>
  <c r="D730" i="10"/>
  <c r="E729" i="10"/>
  <c r="D729" i="10"/>
  <c r="E728" i="10"/>
  <c r="D728" i="10"/>
  <c r="E727" i="10"/>
  <c r="D727" i="10"/>
  <c r="E726" i="10"/>
  <c r="D726" i="10"/>
  <c r="E725" i="10"/>
  <c r="D725" i="10"/>
  <c r="E724" i="10"/>
  <c r="D724" i="10"/>
  <c r="E723" i="10"/>
  <c r="D723" i="10"/>
  <c r="E722" i="10"/>
  <c r="D722" i="10"/>
  <c r="E721" i="10"/>
  <c r="D721" i="10"/>
  <c r="E720" i="10"/>
  <c r="D720" i="10"/>
  <c r="E719" i="10"/>
  <c r="D719" i="10"/>
  <c r="E718" i="10"/>
  <c r="D718" i="10"/>
  <c r="E717" i="10"/>
  <c r="D717" i="10"/>
  <c r="E716" i="10"/>
  <c r="D716" i="10"/>
  <c r="E715" i="10"/>
  <c r="D715" i="10"/>
  <c r="E714" i="10"/>
  <c r="D714" i="10"/>
  <c r="E713" i="10"/>
  <c r="D713" i="10"/>
  <c r="E712" i="10"/>
  <c r="D712" i="10"/>
  <c r="E711" i="10"/>
  <c r="D711" i="10"/>
  <c r="E710" i="10"/>
  <c r="D710" i="10"/>
  <c r="E709" i="10"/>
  <c r="D709" i="10"/>
  <c r="E708" i="10"/>
  <c r="D708" i="10"/>
  <c r="E707" i="10"/>
  <c r="D707" i="10"/>
  <c r="E706" i="10"/>
  <c r="D706" i="10"/>
  <c r="E705" i="10"/>
  <c r="D705" i="10"/>
  <c r="E704" i="10"/>
  <c r="D704" i="10"/>
  <c r="E703" i="10"/>
  <c r="D703" i="10"/>
  <c r="E702" i="10"/>
  <c r="D702" i="10"/>
  <c r="E701" i="10"/>
  <c r="D701" i="10"/>
  <c r="E700" i="10"/>
  <c r="D700" i="10"/>
  <c r="E699" i="10"/>
  <c r="D699" i="10"/>
  <c r="E698" i="10"/>
  <c r="D698" i="10"/>
  <c r="E697" i="10"/>
  <c r="D697" i="10"/>
  <c r="E696" i="10"/>
  <c r="D696" i="10"/>
  <c r="E695" i="10"/>
  <c r="D695" i="10"/>
  <c r="E694" i="10"/>
  <c r="D694" i="10"/>
  <c r="E693" i="10"/>
  <c r="D693" i="10"/>
  <c r="E692" i="10"/>
  <c r="D692" i="10"/>
  <c r="E691" i="10"/>
  <c r="D691" i="10"/>
  <c r="E690" i="10"/>
  <c r="D690" i="10"/>
  <c r="E689" i="10"/>
  <c r="D689" i="10"/>
  <c r="E688" i="10"/>
  <c r="D688" i="10"/>
  <c r="E687" i="10"/>
  <c r="D687" i="10"/>
  <c r="E686" i="10"/>
  <c r="D686" i="10"/>
  <c r="E685" i="10"/>
  <c r="D685" i="10"/>
  <c r="E684" i="10"/>
  <c r="D684" i="10"/>
  <c r="E683" i="10"/>
  <c r="D683" i="10"/>
  <c r="E682" i="10"/>
  <c r="D682" i="10"/>
  <c r="E681" i="10"/>
  <c r="D681" i="10"/>
  <c r="E680" i="10"/>
  <c r="D680" i="10"/>
  <c r="E679" i="10"/>
  <c r="D679" i="10"/>
  <c r="E678" i="10"/>
  <c r="D678" i="10"/>
  <c r="E677" i="10"/>
  <c r="D677" i="10"/>
  <c r="E676" i="10"/>
  <c r="D676" i="10"/>
  <c r="E675" i="10"/>
  <c r="D675" i="10"/>
  <c r="E674" i="10"/>
  <c r="D674" i="10"/>
  <c r="E673" i="10"/>
  <c r="D673" i="10"/>
  <c r="E672" i="10"/>
  <c r="D672" i="10"/>
  <c r="E671" i="10"/>
  <c r="D671" i="10"/>
  <c r="E670" i="10"/>
  <c r="D670" i="10"/>
  <c r="E669" i="10"/>
  <c r="D669" i="10"/>
  <c r="E668" i="10"/>
  <c r="D668" i="10"/>
  <c r="E667" i="10"/>
  <c r="D667" i="10"/>
  <c r="E666" i="10"/>
  <c r="D666" i="10"/>
  <c r="E665" i="10"/>
  <c r="D665" i="10"/>
  <c r="E664" i="10"/>
  <c r="D664" i="10"/>
  <c r="E663" i="10"/>
  <c r="D663" i="10"/>
  <c r="E662" i="10"/>
  <c r="D662" i="10"/>
  <c r="E661" i="10"/>
  <c r="D661" i="10"/>
  <c r="E660" i="10"/>
  <c r="D660" i="10"/>
  <c r="E659" i="10"/>
  <c r="D659" i="10"/>
  <c r="E658" i="10"/>
  <c r="D658" i="10"/>
  <c r="E657" i="10"/>
  <c r="D657" i="10"/>
  <c r="E656" i="10"/>
  <c r="D656" i="10"/>
  <c r="E655" i="10"/>
  <c r="D655" i="10"/>
  <c r="E654" i="10"/>
  <c r="D654" i="10"/>
  <c r="E653" i="10"/>
  <c r="D653" i="10"/>
  <c r="E652" i="10"/>
  <c r="D652" i="10"/>
  <c r="E651" i="10"/>
  <c r="D651" i="10"/>
  <c r="E650" i="10"/>
  <c r="D650" i="10"/>
  <c r="E649" i="10"/>
  <c r="D649" i="10"/>
  <c r="E648" i="10"/>
  <c r="D648" i="10"/>
  <c r="E647" i="10"/>
  <c r="D647" i="10"/>
  <c r="E646" i="10"/>
  <c r="D646" i="10"/>
  <c r="E645" i="10"/>
  <c r="D645" i="10"/>
  <c r="E644" i="10"/>
  <c r="D644" i="10"/>
  <c r="E643" i="10"/>
  <c r="D643" i="10"/>
  <c r="E642" i="10"/>
  <c r="D642" i="10"/>
  <c r="E641" i="10"/>
  <c r="D641" i="10"/>
  <c r="E640" i="10"/>
  <c r="D640" i="10"/>
  <c r="E639" i="10"/>
  <c r="D639" i="10"/>
  <c r="E638" i="10"/>
  <c r="D638" i="10"/>
  <c r="E637" i="10"/>
  <c r="D637" i="10"/>
  <c r="E636" i="10"/>
  <c r="D636" i="10"/>
  <c r="E635" i="10"/>
  <c r="D635" i="10"/>
  <c r="E634" i="10"/>
  <c r="D634" i="10"/>
  <c r="E633" i="10"/>
  <c r="D633" i="10"/>
  <c r="E632" i="10"/>
  <c r="D632" i="10"/>
  <c r="E631" i="10"/>
  <c r="D631" i="10"/>
  <c r="E630" i="10"/>
  <c r="D630" i="10"/>
  <c r="E629" i="10"/>
  <c r="D629" i="10"/>
  <c r="E628" i="10"/>
  <c r="D628" i="10"/>
  <c r="E627" i="10"/>
  <c r="D627" i="10"/>
  <c r="E626" i="10"/>
  <c r="D626" i="10"/>
  <c r="E625" i="10"/>
  <c r="D625" i="10"/>
  <c r="E624" i="10"/>
  <c r="D624" i="10"/>
  <c r="E623" i="10"/>
  <c r="D623" i="10"/>
  <c r="E622" i="10"/>
  <c r="D622" i="10"/>
  <c r="E621" i="10"/>
  <c r="D621" i="10"/>
  <c r="E620" i="10"/>
  <c r="D620" i="10"/>
  <c r="E619" i="10"/>
  <c r="D619" i="10"/>
  <c r="E618" i="10"/>
  <c r="D618" i="10"/>
  <c r="E617" i="10"/>
  <c r="D617" i="10"/>
  <c r="E616" i="10"/>
  <c r="D616" i="10"/>
  <c r="E615" i="10"/>
  <c r="D615" i="10"/>
  <c r="E614" i="10"/>
  <c r="D614" i="10"/>
  <c r="E613" i="10"/>
  <c r="D613" i="10"/>
  <c r="E612" i="10"/>
  <c r="D612" i="10"/>
  <c r="E611" i="10"/>
  <c r="D611" i="10"/>
  <c r="E610" i="10"/>
  <c r="D610" i="10"/>
  <c r="E609" i="10"/>
  <c r="D609" i="10"/>
  <c r="E608" i="10"/>
  <c r="D608" i="10"/>
  <c r="E607" i="10"/>
  <c r="D607" i="10"/>
  <c r="E606" i="10"/>
  <c r="D606" i="10"/>
  <c r="E605" i="10"/>
  <c r="D605" i="10"/>
  <c r="E604" i="10"/>
  <c r="D604" i="10"/>
  <c r="E603" i="10"/>
  <c r="D603" i="10"/>
  <c r="E602" i="10"/>
  <c r="D602" i="10"/>
  <c r="E601" i="10"/>
  <c r="D601" i="10"/>
  <c r="E600" i="10"/>
  <c r="D600" i="10"/>
  <c r="E599" i="10"/>
  <c r="D599" i="10"/>
  <c r="E598" i="10"/>
  <c r="D598" i="10"/>
  <c r="E597" i="10"/>
  <c r="D597" i="10"/>
  <c r="E596" i="10"/>
  <c r="D596" i="10"/>
  <c r="E595" i="10"/>
  <c r="D595" i="10"/>
  <c r="E594" i="10"/>
  <c r="D594" i="10"/>
  <c r="E593" i="10"/>
  <c r="D593" i="10"/>
  <c r="E592" i="10"/>
  <c r="D592" i="10"/>
  <c r="E591" i="10"/>
  <c r="D591" i="10"/>
  <c r="E590" i="10"/>
  <c r="D590" i="10"/>
  <c r="E589" i="10"/>
  <c r="D589" i="10"/>
  <c r="E588" i="10"/>
  <c r="D588" i="10"/>
  <c r="E587" i="10"/>
  <c r="D587" i="10"/>
  <c r="E586" i="10"/>
  <c r="D586" i="10"/>
  <c r="E585" i="10"/>
  <c r="D585" i="10"/>
  <c r="E584" i="10"/>
  <c r="D584" i="10"/>
  <c r="E583" i="10"/>
  <c r="D583" i="10"/>
  <c r="E582" i="10"/>
  <c r="D582" i="10"/>
  <c r="E581" i="10"/>
  <c r="D581" i="10"/>
  <c r="E580" i="10"/>
  <c r="D580" i="10"/>
  <c r="E579" i="10"/>
  <c r="D579" i="10"/>
  <c r="E578" i="10"/>
  <c r="D578" i="10"/>
  <c r="E577" i="10"/>
  <c r="D577" i="10"/>
  <c r="E576" i="10"/>
  <c r="D576" i="10"/>
  <c r="E575" i="10"/>
  <c r="D575" i="10"/>
  <c r="E574" i="10"/>
  <c r="D574" i="10"/>
  <c r="E573" i="10"/>
  <c r="D573" i="10"/>
  <c r="E572" i="10"/>
  <c r="D572" i="10"/>
  <c r="E571" i="10"/>
  <c r="D571" i="10"/>
  <c r="E570" i="10"/>
  <c r="D570" i="10"/>
  <c r="E569" i="10"/>
  <c r="D569" i="10"/>
  <c r="E568" i="10"/>
  <c r="D568" i="10"/>
  <c r="E567" i="10"/>
  <c r="D567" i="10"/>
  <c r="E566" i="10"/>
  <c r="D566" i="10"/>
  <c r="E565" i="10"/>
  <c r="D565" i="10"/>
  <c r="E564" i="10"/>
  <c r="D564" i="10"/>
  <c r="E563" i="10"/>
  <c r="D563" i="10"/>
  <c r="E562" i="10"/>
  <c r="D562" i="10"/>
  <c r="E561" i="10"/>
  <c r="D561" i="10"/>
  <c r="E560" i="10"/>
  <c r="D560" i="10"/>
  <c r="E559" i="10"/>
  <c r="D559" i="10"/>
  <c r="E558" i="10"/>
  <c r="D558" i="10"/>
  <c r="E557" i="10"/>
  <c r="D557" i="10"/>
  <c r="E556" i="10"/>
  <c r="D556" i="10"/>
  <c r="E555" i="10"/>
  <c r="D555" i="10"/>
  <c r="E554" i="10"/>
  <c r="D554" i="10"/>
  <c r="E553" i="10"/>
  <c r="D553" i="10"/>
  <c r="E552" i="10"/>
  <c r="D552" i="10"/>
  <c r="E551" i="10"/>
  <c r="D551" i="10"/>
  <c r="E550" i="10"/>
  <c r="D550" i="10"/>
  <c r="E549" i="10"/>
  <c r="D549" i="10"/>
  <c r="E548" i="10"/>
  <c r="D548" i="10"/>
  <c r="E547" i="10"/>
  <c r="D547" i="10"/>
  <c r="E546" i="10"/>
  <c r="D546" i="10"/>
  <c r="E545" i="10"/>
  <c r="D545" i="10"/>
  <c r="E544" i="10"/>
  <c r="D544" i="10"/>
  <c r="E543" i="10"/>
  <c r="D543" i="10"/>
  <c r="E542" i="10"/>
  <c r="D542" i="10"/>
  <c r="E541" i="10"/>
  <c r="D541" i="10"/>
  <c r="E540" i="10"/>
  <c r="D540" i="10"/>
  <c r="E539" i="10"/>
  <c r="D539" i="10"/>
  <c r="E538" i="10"/>
  <c r="D538" i="10"/>
  <c r="E537" i="10"/>
  <c r="D537" i="10"/>
  <c r="E536" i="10"/>
  <c r="D536" i="10"/>
  <c r="E535" i="10"/>
  <c r="D535" i="10"/>
  <c r="E534" i="10"/>
  <c r="D534" i="10"/>
  <c r="E533" i="10"/>
  <c r="D533" i="10"/>
  <c r="E532" i="10"/>
  <c r="D532" i="10"/>
  <c r="E531" i="10"/>
  <c r="D531" i="10"/>
  <c r="E530" i="10"/>
  <c r="D530" i="10"/>
  <c r="E529" i="10"/>
  <c r="D529" i="10"/>
  <c r="E528" i="10"/>
  <c r="D528" i="10"/>
  <c r="E527" i="10"/>
  <c r="D527" i="10"/>
  <c r="E526" i="10"/>
  <c r="D526" i="10"/>
  <c r="E525" i="10"/>
  <c r="D525" i="10"/>
  <c r="E524" i="10"/>
  <c r="D524" i="10"/>
  <c r="E523" i="10"/>
  <c r="D523" i="10"/>
  <c r="E522" i="10"/>
  <c r="D522" i="10"/>
  <c r="E521" i="10"/>
  <c r="D521" i="10"/>
  <c r="E520" i="10"/>
  <c r="D520" i="10"/>
  <c r="E519" i="10"/>
  <c r="D519" i="10"/>
  <c r="E518" i="10"/>
  <c r="D518" i="10"/>
  <c r="E517" i="10"/>
  <c r="D517" i="10"/>
  <c r="E516" i="10"/>
  <c r="D516" i="10"/>
  <c r="E515" i="10"/>
  <c r="D515" i="10"/>
  <c r="E514" i="10"/>
  <c r="D514" i="10"/>
  <c r="E513" i="10"/>
  <c r="D513" i="10"/>
  <c r="E512" i="10"/>
  <c r="D512" i="10"/>
  <c r="E511" i="10"/>
  <c r="D511" i="10"/>
  <c r="E510" i="10"/>
  <c r="D510" i="10"/>
  <c r="E509" i="10"/>
  <c r="D509" i="10"/>
  <c r="E508" i="10"/>
  <c r="D508" i="10"/>
  <c r="E507" i="10"/>
  <c r="D507" i="10"/>
  <c r="E506" i="10"/>
  <c r="D506" i="10"/>
  <c r="E505" i="10"/>
  <c r="D505" i="10"/>
  <c r="E504" i="10"/>
  <c r="D504" i="10"/>
  <c r="E503" i="10"/>
  <c r="D503" i="10"/>
  <c r="E502" i="10"/>
  <c r="D502" i="10"/>
  <c r="E501" i="10"/>
  <c r="D501" i="10"/>
  <c r="E500" i="10"/>
  <c r="D500" i="10"/>
  <c r="E499" i="10"/>
  <c r="D499" i="10"/>
  <c r="E498" i="10"/>
  <c r="D498" i="10"/>
  <c r="E497" i="10"/>
  <c r="D497" i="10"/>
  <c r="E496" i="10"/>
  <c r="D496" i="10"/>
  <c r="E495" i="10"/>
  <c r="D495" i="10"/>
  <c r="E494" i="10"/>
  <c r="D494" i="10"/>
  <c r="E493" i="10"/>
  <c r="D493" i="10"/>
  <c r="E492" i="10"/>
  <c r="D492" i="10"/>
  <c r="E491" i="10"/>
  <c r="D491" i="10"/>
  <c r="E490" i="10"/>
  <c r="D490" i="10"/>
  <c r="E489" i="10"/>
  <c r="D489" i="10"/>
  <c r="E488" i="10"/>
  <c r="D488" i="10"/>
  <c r="E487" i="10"/>
  <c r="D487" i="10"/>
  <c r="E486" i="10"/>
  <c r="D486" i="10"/>
  <c r="E485" i="10"/>
  <c r="D485" i="10"/>
  <c r="E484" i="10"/>
  <c r="D484" i="10"/>
  <c r="E483" i="10"/>
  <c r="D483" i="10"/>
  <c r="E482" i="10"/>
  <c r="D482" i="10"/>
  <c r="E481" i="10"/>
  <c r="D481" i="10"/>
  <c r="E480" i="10"/>
  <c r="D480" i="10"/>
  <c r="E479" i="10"/>
  <c r="D479" i="10"/>
  <c r="E478" i="10"/>
  <c r="D478" i="10"/>
  <c r="E477" i="10"/>
  <c r="D477" i="10"/>
  <c r="E476" i="10"/>
  <c r="D476" i="10"/>
  <c r="E475" i="10"/>
  <c r="D475" i="10"/>
  <c r="E474" i="10"/>
  <c r="D474" i="10"/>
  <c r="E473" i="10"/>
  <c r="D473" i="10"/>
  <c r="E472" i="10"/>
  <c r="D472" i="10"/>
  <c r="E471" i="10"/>
  <c r="D471" i="10"/>
  <c r="E470" i="10"/>
  <c r="D470" i="10"/>
  <c r="E469" i="10"/>
  <c r="D469" i="10"/>
  <c r="E468" i="10"/>
  <c r="D468" i="10"/>
  <c r="E467" i="10"/>
  <c r="D467" i="10"/>
  <c r="E466" i="10"/>
  <c r="D466" i="10"/>
  <c r="E465" i="10"/>
  <c r="D465" i="10"/>
  <c r="E464" i="10"/>
  <c r="D464" i="10"/>
  <c r="E463" i="10"/>
  <c r="D463" i="10"/>
  <c r="E462" i="10"/>
  <c r="D462" i="10"/>
  <c r="E461" i="10"/>
  <c r="D461" i="10"/>
  <c r="E460" i="10"/>
  <c r="D460" i="10"/>
  <c r="E459" i="10"/>
  <c r="D459" i="10"/>
  <c r="E458" i="10"/>
  <c r="D458" i="10"/>
  <c r="E457" i="10"/>
  <c r="D457" i="10"/>
  <c r="E456" i="10"/>
  <c r="D456" i="10"/>
  <c r="E455" i="10"/>
  <c r="D455" i="10"/>
  <c r="E454" i="10"/>
  <c r="D454" i="10"/>
  <c r="E453" i="10"/>
  <c r="D453" i="10"/>
  <c r="E452" i="10"/>
  <c r="D452" i="10"/>
  <c r="E451" i="10"/>
  <c r="D451" i="10"/>
  <c r="E450" i="10"/>
  <c r="D450" i="10"/>
  <c r="E449" i="10"/>
  <c r="D449" i="10"/>
  <c r="E448" i="10"/>
  <c r="D448" i="10"/>
  <c r="E447" i="10"/>
  <c r="D447" i="10"/>
  <c r="E446" i="10"/>
  <c r="D446" i="10"/>
  <c r="E445" i="10"/>
  <c r="D445" i="10"/>
  <c r="E444" i="10"/>
  <c r="D444" i="10"/>
  <c r="E443" i="10"/>
  <c r="D443" i="10"/>
  <c r="E442" i="10"/>
  <c r="D442" i="10"/>
  <c r="E441" i="10"/>
  <c r="D441" i="10"/>
  <c r="E440" i="10"/>
  <c r="D440" i="10"/>
  <c r="E439" i="10"/>
  <c r="D439" i="10"/>
  <c r="E438" i="10"/>
  <c r="D438" i="10"/>
  <c r="E437" i="10"/>
  <c r="D437" i="10"/>
  <c r="E436" i="10"/>
  <c r="D436" i="10"/>
  <c r="E435" i="10"/>
  <c r="D435" i="10"/>
  <c r="E434" i="10"/>
  <c r="D434" i="10"/>
  <c r="E433" i="10"/>
  <c r="D433" i="10"/>
  <c r="E432" i="10"/>
  <c r="D432" i="10"/>
  <c r="E431" i="10"/>
  <c r="D431" i="10"/>
  <c r="E430" i="10"/>
  <c r="D430" i="10"/>
  <c r="E429" i="10"/>
  <c r="D429" i="10"/>
  <c r="E428" i="10"/>
  <c r="D428" i="10"/>
  <c r="E427" i="10"/>
  <c r="D427" i="10"/>
  <c r="E426" i="10"/>
  <c r="D426" i="10"/>
  <c r="E425" i="10"/>
  <c r="D425" i="10"/>
  <c r="E424" i="10"/>
  <c r="D424" i="10"/>
  <c r="E423" i="10"/>
  <c r="D423" i="10"/>
  <c r="E422" i="10"/>
  <c r="D422" i="10"/>
  <c r="E421" i="10"/>
  <c r="D421" i="10"/>
  <c r="E420" i="10"/>
  <c r="D420" i="10"/>
  <c r="E419" i="10"/>
  <c r="D419" i="10"/>
  <c r="E418" i="10"/>
  <c r="D418" i="10"/>
  <c r="E417" i="10"/>
  <c r="D417" i="10"/>
  <c r="E416" i="10"/>
  <c r="D416" i="10"/>
  <c r="E415" i="10"/>
  <c r="D415" i="10"/>
  <c r="E414" i="10"/>
  <c r="D414" i="10"/>
  <c r="E413" i="10"/>
  <c r="D413" i="10"/>
  <c r="E412" i="10"/>
  <c r="D412" i="10"/>
  <c r="E411" i="10"/>
  <c r="D411" i="10"/>
  <c r="E410" i="10"/>
  <c r="D410" i="10"/>
  <c r="E409" i="10"/>
  <c r="D409" i="10"/>
  <c r="E408" i="10"/>
  <c r="D408" i="10"/>
  <c r="E407" i="10"/>
  <c r="D407" i="10"/>
  <c r="E406" i="10"/>
  <c r="D406" i="10"/>
  <c r="E405" i="10"/>
  <c r="D405" i="10"/>
  <c r="E404" i="10"/>
  <c r="D404" i="10"/>
  <c r="E403" i="10"/>
  <c r="D403" i="10"/>
  <c r="E402" i="10"/>
  <c r="D402" i="10"/>
  <c r="E401" i="10"/>
  <c r="D401" i="10"/>
  <c r="E400" i="10"/>
  <c r="D400" i="10"/>
  <c r="E399" i="10"/>
  <c r="D399" i="10"/>
  <c r="E398" i="10"/>
  <c r="D398" i="10"/>
  <c r="E397" i="10"/>
  <c r="D397" i="10"/>
  <c r="E396" i="10"/>
  <c r="D396" i="10"/>
  <c r="E395" i="10"/>
  <c r="D395" i="10"/>
  <c r="E394" i="10"/>
  <c r="D394" i="10"/>
  <c r="E393" i="10"/>
  <c r="D393" i="10"/>
  <c r="E392" i="10"/>
  <c r="D392" i="10"/>
  <c r="E391" i="10"/>
  <c r="D391" i="10"/>
  <c r="E390" i="10"/>
  <c r="D390" i="10"/>
  <c r="E389" i="10"/>
  <c r="D389" i="10"/>
  <c r="E388" i="10"/>
  <c r="D388" i="10"/>
  <c r="E387" i="10"/>
  <c r="D387" i="10"/>
  <c r="E386" i="10"/>
  <c r="D386" i="10"/>
  <c r="E385" i="10"/>
  <c r="D385" i="10"/>
  <c r="E384" i="10"/>
  <c r="D384" i="10"/>
  <c r="E383" i="10"/>
  <c r="D383" i="10"/>
  <c r="E382" i="10"/>
  <c r="D382" i="10"/>
  <c r="E381" i="10"/>
  <c r="D381" i="10"/>
  <c r="E380" i="10"/>
  <c r="D380" i="10"/>
  <c r="E379" i="10"/>
  <c r="D379" i="10"/>
  <c r="E378" i="10"/>
  <c r="D378" i="10"/>
  <c r="E377" i="10"/>
  <c r="D377" i="10"/>
  <c r="E376" i="10"/>
  <c r="D376" i="10"/>
  <c r="E375" i="10"/>
  <c r="D375" i="10"/>
  <c r="E374" i="10"/>
  <c r="D374" i="10"/>
  <c r="E373" i="10"/>
  <c r="D373" i="10"/>
  <c r="E372" i="10"/>
  <c r="D372" i="10"/>
  <c r="E371" i="10"/>
  <c r="D371" i="10"/>
  <c r="E370" i="10"/>
  <c r="D370" i="10"/>
  <c r="E369" i="10"/>
  <c r="D369" i="10"/>
  <c r="E368" i="10"/>
  <c r="D368" i="10"/>
  <c r="E367" i="10"/>
  <c r="D367" i="10"/>
  <c r="E366" i="10"/>
  <c r="D366" i="10"/>
  <c r="E365" i="10"/>
  <c r="D365" i="10"/>
  <c r="E364" i="10"/>
  <c r="D364" i="10"/>
  <c r="E363" i="10"/>
  <c r="D363" i="10"/>
  <c r="E362" i="10"/>
  <c r="D362" i="10"/>
  <c r="E361" i="10"/>
  <c r="D361" i="10"/>
  <c r="E360" i="10"/>
  <c r="D360" i="10"/>
  <c r="E359" i="10"/>
  <c r="D359" i="10"/>
  <c r="E358" i="10"/>
  <c r="D358" i="10"/>
  <c r="E357" i="10"/>
  <c r="D357" i="10"/>
  <c r="E356" i="10"/>
  <c r="D356" i="10"/>
  <c r="E355" i="10"/>
  <c r="D355" i="10"/>
  <c r="E354" i="10"/>
  <c r="D354" i="10"/>
  <c r="E353" i="10"/>
  <c r="D353" i="10"/>
  <c r="E352" i="10"/>
  <c r="D352" i="10"/>
  <c r="E351" i="10"/>
  <c r="D351" i="10"/>
  <c r="E350" i="10"/>
  <c r="D350" i="10"/>
  <c r="E349" i="10"/>
  <c r="D349" i="10"/>
  <c r="E348" i="10"/>
  <c r="D348" i="10"/>
  <c r="E347" i="10"/>
  <c r="D347" i="10"/>
  <c r="E346" i="10"/>
  <c r="D346" i="10"/>
  <c r="E345" i="10"/>
  <c r="D345" i="10"/>
  <c r="E344" i="10"/>
  <c r="D344" i="10"/>
  <c r="E343" i="10"/>
  <c r="D343" i="10"/>
  <c r="E342" i="10"/>
  <c r="D342" i="10"/>
  <c r="E341" i="10"/>
  <c r="D341" i="10"/>
  <c r="E340" i="10"/>
  <c r="D340" i="10"/>
  <c r="E339" i="10"/>
  <c r="D339" i="10"/>
  <c r="E338" i="10"/>
  <c r="D338" i="10"/>
  <c r="E337" i="10"/>
  <c r="D337" i="10"/>
  <c r="E336" i="10"/>
  <c r="D336" i="10"/>
  <c r="E335" i="10"/>
  <c r="D335" i="10"/>
  <c r="E334" i="10"/>
  <c r="D334" i="10"/>
  <c r="E333" i="10"/>
  <c r="D333" i="10"/>
  <c r="E332" i="10"/>
  <c r="D332" i="10"/>
  <c r="E331" i="10"/>
  <c r="D331" i="10"/>
  <c r="E330" i="10"/>
  <c r="D330" i="10"/>
  <c r="E329" i="10"/>
  <c r="D329" i="10"/>
  <c r="E328" i="10"/>
  <c r="D328" i="10"/>
  <c r="E327" i="10"/>
  <c r="D327" i="10"/>
  <c r="E326" i="10"/>
  <c r="D326" i="10"/>
  <c r="E325" i="10"/>
  <c r="D325" i="10"/>
  <c r="E324" i="10"/>
  <c r="D324" i="10"/>
  <c r="E323" i="10"/>
  <c r="D323" i="10"/>
  <c r="E322" i="10"/>
  <c r="D322" i="10"/>
  <c r="E321" i="10"/>
  <c r="D321" i="10"/>
  <c r="E320" i="10"/>
  <c r="D320" i="10"/>
  <c r="E319" i="10"/>
  <c r="D319" i="10"/>
  <c r="E318" i="10"/>
  <c r="D318" i="10"/>
  <c r="E317" i="10"/>
  <c r="D317" i="10"/>
  <c r="E316" i="10"/>
  <c r="D316" i="10"/>
  <c r="E315" i="10"/>
  <c r="D315" i="10"/>
  <c r="E314" i="10"/>
  <c r="D314" i="10"/>
  <c r="E313" i="10"/>
  <c r="D313" i="10"/>
  <c r="E312" i="10"/>
  <c r="D312" i="10"/>
  <c r="E311" i="10"/>
  <c r="D311" i="10"/>
  <c r="E310" i="10"/>
  <c r="D310" i="10"/>
  <c r="E309" i="10"/>
  <c r="D309" i="10"/>
  <c r="E308" i="10"/>
  <c r="D308" i="10"/>
  <c r="E307" i="10"/>
  <c r="D307" i="10"/>
  <c r="E306" i="10"/>
  <c r="D306" i="10"/>
  <c r="E305" i="10"/>
  <c r="D305" i="10"/>
  <c r="E304" i="10"/>
  <c r="D304" i="10"/>
  <c r="E303" i="10"/>
  <c r="D303" i="10"/>
  <c r="E302" i="10"/>
  <c r="D302" i="10"/>
  <c r="E301" i="10"/>
  <c r="D301" i="10"/>
  <c r="E300" i="10"/>
  <c r="D300" i="10"/>
  <c r="E299" i="10"/>
  <c r="D299" i="10"/>
  <c r="E298" i="10"/>
  <c r="D298" i="10"/>
  <c r="E297" i="10"/>
  <c r="D297" i="10"/>
  <c r="E296" i="10"/>
  <c r="D296" i="10"/>
  <c r="E295" i="10"/>
  <c r="D295" i="10"/>
  <c r="E294" i="10"/>
  <c r="D294" i="10"/>
  <c r="E293" i="10"/>
  <c r="D293" i="10"/>
  <c r="E292" i="10"/>
  <c r="D292" i="10"/>
  <c r="E291" i="10"/>
  <c r="D291" i="10"/>
  <c r="E290" i="10"/>
  <c r="D290" i="10"/>
  <c r="E289" i="10"/>
  <c r="D289" i="10"/>
  <c r="E288" i="10"/>
  <c r="D288" i="10"/>
  <c r="E287" i="10"/>
  <c r="D287" i="10"/>
  <c r="E286" i="10"/>
  <c r="D286" i="10"/>
  <c r="E285" i="10"/>
  <c r="D285" i="10"/>
  <c r="E284" i="10"/>
  <c r="D284" i="10"/>
  <c r="E283" i="10"/>
  <c r="D283" i="10"/>
  <c r="E282" i="10"/>
  <c r="D282" i="10"/>
  <c r="E281" i="10"/>
  <c r="D281" i="10"/>
  <c r="E280" i="10"/>
  <c r="D280" i="10"/>
  <c r="E279" i="10"/>
  <c r="D279" i="10"/>
  <c r="E278" i="10"/>
  <c r="D278" i="10"/>
  <c r="E277" i="10"/>
  <c r="D277" i="10"/>
  <c r="E276" i="10"/>
  <c r="D276" i="10"/>
  <c r="E275" i="10"/>
  <c r="D275" i="10"/>
  <c r="E274" i="10"/>
  <c r="D274" i="10"/>
  <c r="E273" i="10"/>
  <c r="D273" i="10"/>
  <c r="E272" i="10"/>
  <c r="D272" i="10"/>
  <c r="E271" i="10"/>
  <c r="D271" i="10"/>
  <c r="E270" i="10"/>
  <c r="D270" i="10"/>
  <c r="E269" i="10"/>
  <c r="D269" i="10"/>
  <c r="E268" i="10"/>
  <c r="D268" i="10"/>
  <c r="E267" i="10"/>
  <c r="D267" i="10"/>
  <c r="E266" i="10"/>
  <c r="D266" i="10"/>
  <c r="E265" i="10"/>
  <c r="D265" i="10"/>
  <c r="E264" i="10"/>
  <c r="D264" i="10"/>
  <c r="E263" i="10"/>
  <c r="D263" i="10"/>
  <c r="E262" i="10"/>
  <c r="D262" i="10"/>
  <c r="E261" i="10"/>
  <c r="D261" i="10"/>
  <c r="E260" i="10"/>
  <c r="D260" i="10"/>
  <c r="E259" i="10"/>
  <c r="D259" i="10"/>
  <c r="E258" i="10"/>
  <c r="D258" i="10"/>
  <c r="E257" i="10"/>
  <c r="D257" i="10"/>
  <c r="E256" i="10"/>
  <c r="D256" i="10"/>
  <c r="E255" i="10"/>
  <c r="D255" i="10"/>
  <c r="E254" i="10"/>
  <c r="D254" i="10"/>
  <c r="E253" i="10"/>
  <c r="D253" i="10"/>
  <c r="E252" i="10"/>
  <c r="D252" i="10"/>
  <c r="E251" i="10"/>
  <c r="D251" i="10"/>
  <c r="E250" i="10"/>
  <c r="D250" i="10"/>
  <c r="E249" i="10"/>
  <c r="D249" i="10"/>
  <c r="E248" i="10"/>
  <c r="D248" i="10"/>
  <c r="E247" i="10"/>
  <c r="D247" i="10"/>
  <c r="E246" i="10"/>
  <c r="D246" i="10"/>
  <c r="E245" i="10"/>
  <c r="D245" i="10"/>
  <c r="E244" i="10"/>
  <c r="D244" i="10"/>
  <c r="E243" i="10"/>
  <c r="D243" i="10"/>
  <c r="E242" i="10"/>
  <c r="D242" i="10"/>
  <c r="E241" i="10"/>
  <c r="D241" i="10"/>
  <c r="E240" i="10"/>
  <c r="D240" i="10"/>
  <c r="E239" i="10"/>
  <c r="D239" i="10"/>
  <c r="E238" i="10"/>
  <c r="D238" i="10"/>
  <c r="E237" i="10"/>
  <c r="D237" i="10"/>
  <c r="E236" i="10"/>
  <c r="D236" i="10"/>
  <c r="E235" i="10"/>
  <c r="D235" i="10"/>
  <c r="E234" i="10"/>
  <c r="D234" i="10"/>
  <c r="E233" i="10"/>
  <c r="D233" i="10"/>
  <c r="E232" i="10"/>
  <c r="D232" i="10"/>
  <c r="E231" i="10"/>
  <c r="D231" i="10"/>
  <c r="E230" i="10"/>
  <c r="D230" i="10"/>
  <c r="E229" i="10"/>
  <c r="D229" i="10"/>
  <c r="E228" i="10"/>
  <c r="D228" i="10"/>
  <c r="E227" i="10"/>
  <c r="D227" i="10"/>
  <c r="E226" i="10"/>
  <c r="D226" i="10"/>
  <c r="E225" i="10"/>
  <c r="D225" i="10"/>
  <c r="E224" i="10"/>
  <c r="D224" i="10"/>
  <c r="E223" i="10"/>
  <c r="D223" i="10"/>
  <c r="E222" i="10"/>
  <c r="D222" i="10"/>
  <c r="E221" i="10"/>
  <c r="D221" i="10"/>
  <c r="E220" i="10"/>
  <c r="D220" i="10"/>
  <c r="E219" i="10"/>
  <c r="D219" i="10"/>
  <c r="E218" i="10"/>
  <c r="D218" i="10"/>
  <c r="E217" i="10"/>
  <c r="D217" i="10"/>
  <c r="E216" i="10"/>
  <c r="D216" i="10"/>
  <c r="E215" i="10"/>
  <c r="D215" i="10"/>
  <c r="E214" i="10"/>
  <c r="D214" i="10"/>
  <c r="E213" i="10"/>
  <c r="D213" i="10"/>
  <c r="E212" i="10"/>
  <c r="D212" i="10"/>
  <c r="E211" i="10"/>
  <c r="D211" i="10"/>
  <c r="E210" i="10"/>
  <c r="D210" i="10"/>
  <c r="E209" i="10"/>
  <c r="D209" i="10"/>
  <c r="E208" i="10"/>
  <c r="D208" i="10"/>
  <c r="E207" i="10"/>
  <c r="D207" i="10"/>
  <c r="E206" i="10"/>
  <c r="D206" i="10"/>
  <c r="E205" i="10"/>
  <c r="D205" i="10"/>
  <c r="E204" i="10"/>
  <c r="D204" i="10"/>
  <c r="E203" i="10"/>
  <c r="D203" i="10"/>
  <c r="E202" i="10"/>
  <c r="D202" i="10"/>
  <c r="E201" i="10"/>
  <c r="D201" i="10"/>
  <c r="E200" i="10"/>
  <c r="D200" i="10"/>
  <c r="E199" i="10"/>
  <c r="D199" i="10"/>
  <c r="E198" i="10"/>
  <c r="D198" i="10"/>
  <c r="E197" i="10"/>
  <c r="D197" i="10"/>
  <c r="E196" i="10"/>
  <c r="D196" i="10"/>
  <c r="E195" i="10"/>
  <c r="D195" i="10"/>
  <c r="E194" i="10"/>
  <c r="D194" i="10"/>
  <c r="E193" i="10"/>
  <c r="D193" i="10"/>
  <c r="E192" i="10"/>
  <c r="D192" i="10"/>
  <c r="E191" i="10"/>
  <c r="D191" i="10"/>
  <c r="E190" i="10"/>
  <c r="D190" i="10"/>
  <c r="E189" i="10"/>
  <c r="D189" i="10"/>
  <c r="E188" i="10"/>
  <c r="D188" i="10"/>
  <c r="E187" i="10"/>
  <c r="D187" i="10"/>
  <c r="E186" i="10"/>
  <c r="D186" i="10"/>
  <c r="E185" i="10"/>
  <c r="D185" i="10"/>
  <c r="E184" i="10"/>
  <c r="D184" i="10"/>
  <c r="E183" i="10"/>
  <c r="D183" i="10"/>
  <c r="E182" i="10"/>
  <c r="D182" i="10"/>
  <c r="E181" i="10"/>
  <c r="D181" i="10"/>
  <c r="E180" i="10"/>
  <c r="D180" i="10"/>
  <c r="E179" i="10"/>
  <c r="D179" i="10"/>
  <c r="E178" i="10"/>
  <c r="D178" i="10"/>
  <c r="E177" i="10"/>
  <c r="D177" i="10"/>
  <c r="E176" i="10"/>
  <c r="D176" i="10"/>
  <c r="E175" i="10"/>
  <c r="D175" i="10"/>
  <c r="E174" i="10"/>
  <c r="D174" i="10"/>
  <c r="E173" i="10"/>
  <c r="D173" i="10"/>
  <c r="E172" i="10"/>
  <c r="D172" i="10"/>
  <c r="E171" i="10"/>
  <c r="D171" i="10"/>
  <c r="E170" i="10"/>
  <c r="D170" i="10"/>
  <c r="E169" i="10"/>
  <c r="D169" i="10"/>
  <c r="E168" i="10"/>
  <c r="D168" i="10"/>
  <c r="E167" i="10"/>
  <c r="D167" i="10"/>
  <c r="E166" i="10"/>
  <c r="D166" i="10"/>
  <c r="E165" i="10"/>
  <c r="D165" i="10"/>
  <c r="E164" i="10"/>
  <c r="D164" i="10"/>
  <c r="E163" i="10"/>
  <c r="D163" i="10"/>
  <c r="E162" i="10"/>
  <c r="D162" i="10"/>
  <c r="E161" i="10"/>
  <c r="D161" i="10"/>
  <c r="E160" i="10"/>
  <c r="D160" i="10"/>
  <c r="E159" i="10"/>
  <c r="D159" i="10"/>
  <c r="E158" i="10"/>
  <c r="D158" i="10"/>
  <c r="E157" i="10"/>
  <c r="D157" i="10"/>
  <c r="E156" i="10"/>
  <c r="D156" i="10"/>
  <c r="E155" i="10"/>
  <c r="D155" i="10"/>
  <c r="E154" i="10"/>
  <c r="D154" i="10"/>
  <c r="E153" i="10"/>
  <c r="D153" i="10"/>
  <c r="E152" i="10"/>
  <c r="D152" i="10"/>
  <c r="E151" i="10"/>
  <c r="D151" i="10"/>
  <c r="E150" i="10"/>
  <c r="D150" i="10"/>
  <c r="E149" i="10"/>
  <c r="D149" i="10"/>
  <c r="E148" i="10"/>
  <c r="D148" i="10"/>
  <c r="E147" i="10"/>
  <c r="D147" i="10"/>
  <c r="E146" i="10"/>
  <c r="D146" i="10"/>
  <c r="E145" i="10"/>
  <c r="D145" i="10"/>
  <c r="E144" i="10"/>
  <c r="D144" i="10"/>
  <c r="E143" i="10"/>
  <c r="D143" i="10"/>
  <c r="E142" i="10"/>
  <c r="D142" i="10"/>
  <c r="E141" i="10"/>
  <c r="D141" i="10"/>
  <c r="E140" i="10"/>
  <c r="D140" i="10"/>
  <c r="E139" i="10"/>
  <c r="D139" i="10"/>
  <c r="E138" i="10"/>
  <c r="D138" i="10"/>
  <c r="E137" i="10"/>
  <c r="D137" i="10"/>
  <c r="E136" i="10"/>
  <c r="D136" i="10"/>
  <c r="E135" i="10"/>
  <c r="D135" i="10"/>
  <c r="E134" i="10"/>
  <c r="D134" i="10"/>
  <c r="E133" i="10"/>
  <c r="D133" i="10"/>
  <c r="E132" i="10"/>
  <c r="D132" i="10"/>
  <c r="E131" i="10"/>
  <c r="D131" i="10"/>
  <c r="E130" i="10"/>
  <c r="D130" i="10"/>
  <c r="E129" i="10"/>
  <c r="D129" i="10"/>
  <c r="E128" i="10"/>
  <c r="D128" i="10"/>
  <c r="E127" i="10"/>
  <c r="D127" i="10"/>
  <c r="E126" i="10"/>
  <c r="D126" i="10"/>
  <c r="E125" i="10"/>
  <c r="D125" i="10"/>
  <c r="E124" i="10"/>
  <c r="D124" i="10"/>
  <c r="E123" i="10"/>
  <c r="D123" i="10"/>
  <c r="E122" i="10"/>
  <c r="D122" i="10"/>
  <c r="E121" i="10"/>
  <c r="D121" i="10"/>
  <c r="E120" i="10"/>
  <c r="D120" i="10"/>
  <c r="E119" i="10"/>
  <c r="D119" i="10"/>
  <c r="E118" i="10"/>
  <c r="D118" i="10"/>
  <c r="E117" i="10"/>
  <c r="D117" i="10"/>
  <c r="E116" i="10"/>
  <c r="D116" i="10"/>
  <c r="E115" i="10"/>
  <c r="D115" i="10"/>
  <c r="E114" i="10"/>
  <c r="D114" i="10"/>
  <c r="E113" i="10"/>
  <c r="D113" i="10"/>
  <c r="E112" i="10"/>
  <c r="D112" i="10"/>
  <c r="E111" i="10"/>
  <c r="D111" i="10"/>
  <c r="E110" i="10"/>
  <c r="D110" i="10"/>
  <c r="E109" i="10"/>
  <c r="D109" i="10"/>
  <c r="E108" i="10"/>
  <c r="D108" i="10"/>
  <c r="E107" i="10"/>
  <c r="D107" i="10"/>
  <c r="E106" i="10"/>
  <c r="D106" i="10"/>
  <c r="E105" i="10"/>
  <c r="D105" i="10"/>
  <c r="E104" i="10"/>
  <c r="D104" i="10"/>
  <c r="E103" i="10"/>
  <c r="D103" i="10"/>
  <c r="E102" i="10"/>
  <c r="D102" i="10"/>
  <c r="E101" i="10"/>
  <c r="D101" i="10"/>
  <c r="E100" i="10"/>
  <c r="D100" i="10"/>
  <c r="E99" i="10"/>
  <c r="D99" i="10"/>
  <c r="E98" i="10"/>
  <c r="D98" i="10"/>
  <c r="E97" i="10"/>
  <c r="D97" i="10"/>
  <c r="E96" i="10"/>
  <c r="D96" i="10"/>
  <c r="E95" i="10"/>
  <c r="D95" i="10"/>
  <c r="E94" i="10"/>
  <c r="D94" i="10"/>
  <c r="E93" i="10"/>
  <c r="D93" i="10"/>
  <c r="E92" i="10"/>
  <c r="D92" i="10"/>
  <c r="E91" i="10"/>
  <c r="D91" i="10"/>
  <c r="E90" i="10"/>
  <c r="D90" i="10"/>
  <c r="E89" i="10"/>
  <c r="D89" i="10"/>
  <c r="E88" i="10"/>
  <c r="D88" i="10"/>
  <c r="E87" i="10"/>
  <c r="D87" i="10"/>
  <c r="E86" i="10"/>
  <c r="D86" i="10"/>
  <c r="E85" i="10"/>
  <c r="D85" i="10"/>
  <c r="E84" i="10"/>
  <c r="D84" i="10"/>
  <c r="E83" i="10"/>
  <c r="D83" i="10"/>
  <c r="E82" i="10"/>
  <c r="D82" i="10"/>
  <c r="E81" i="10"/>
  <c r="D81" i="10"/>
  <c r="E80" i="10"/>
  <c r="D80" i="10"/>
  <c r="E79" i="10"/>
  <c r="D79" i="10"/>
  <c r="E78" i="10"/>
  <c r="D78" i="10"/>
  <c r="E77" i="10"/>
  <c r="D77" i="10"/>
  <c r="E76" i="10"/>
  <c r="D76" i="10"/>
  <c r="E75" i="10"/>
  <c r="D75" i="10"/>
  <c r="E74" i="10"/>
  <c r="D74" i="10"/>
  <c r="E73" i="10"/>
  <c r="D73" i="10"/>
  <c r="E72" i="10"/>
  <c r="D72" i="10"/>
  <c r="E71" i="10"/>
  <c r="D71" i="10"/>
  <c r="E70" i="10"/>
  <c r="D70" i="10"/>
  <c r="E69" i="10"/>
  <c r="D69" i="10"/>
  <c r="E68" i="10"/>
  <c r="D68" i="10"/>
  <c r="E67" i="10"/>
  <c r="D67" i="10"/>
  <c r="E66" i="10"/>
  <c r="D66" i="10"/>
  <c r="E65" i="10"/>
  <c r="D65" i="10"/>
  <c r="E64" i="10"/>
  <c r="D64" i="10"/>
  <c r="E63" i="10"/>
  <c r="D63" i="10"/>
  <c r="E62" i="10"/>
  <c r="D62" i="10"/>
  <c r="E61" i="10"/>
  <c r="D61" i="10"/>
  <c r="E60" i="10"/>
  <c r="D60" i="10"/>
  <c r="E59" i="10"/>
  <c r="D59" i="10"/>
  <c r="E58" i="10"/>
  <c r="D58" i="10"/>
  <c r="E57" i="10"/>
  <c r="D57" i="10"/>
  <c r="E56" i="10"/>
  <c r="D56" i="10"/>
  <c r="E55" i="10"/>
  <c r="D55" i="10"/>
  <c r="E54" i="10"/>
  <c r="D54" i="10"/>
  <c r="E53" i="10"/>
  <c r="D53" i="10"/>
  <c r="E52" i="10"/>
  <c r="D52" i="10"/>
  <c r="E51" i="10"/>
  <c r="D51" i="10"/>
  <c r="E50" i="10"/>
  <c r="D50" i="10"/>
  <c r="E49" i="10"/>
  <c r="D49" i="10"/>
  <c r="E48" i="10"/>
  <c r="D48" i="10"/>
  <c r="E47" i="10"/>
  <c r="D47" i="10"/>
  <c r="E46" i="10"/>
  <c r="D46" i="10"/>
  <c r="E45" i="10"/>
  <c r="D45" i="10"/>
  <c r="E44" i="10"/>
  <c r="D44" i="10"/>
  <c r="E43" i="10"/>
  <c r="D43" i="10"/>
  <c r="E42" i="10"/>
  <c r="D42" i="10"/>
  <c r="E41" i="10"/>
  <c r="D41" i="10"/>
  <c r="E40" i="10"/>
  <c r="D40" i="10"/>
  <c r="E39" i="10"/>
  <c r="D39" i="10"/>
  <c r="E38" i="10"/>
  <c r="D38" i="10"/>
  <c r="E37" i="10"/>
  <c r="D37" i="10"/>
  <c r="E36" i="10"/>
  <c r="D36" i="10"/>
  <c r="E35" i="10"/>
  <c r="D35" i="10"/>
  <c r="E34" i="10"/>
  <c r="D34" i="10"/>
  <c r="E33" i="10"/>
  <c r="D33" i="10"/>
  <c r="E32" i="10"/>
  <c r="D32" i="10"/>
  <c r="E31" i="10"/>
  <c r="D31" i="10"/>
  <c r="E30" i="10"/>
  <c r="D30" i="10"/>
  <c r="E29" i="10"/>
  <c r="D29" i="10"/>
  <c r="E28" i="10"/>
  <c r="D28" i="10"/>
  <c r="E27" i="10"/>
  <c r="D27" i="10"/>
  <c r="E26" i="10"/>
  <c r="D26" i="10"/>
  <c r="E25" i="10"/>
  <c r="D25" i="10"/>
  <c r="E24" i="10"/>
  <c r="D24" i="10"/>
  <c r="E23" i="10"/>
  <c r="D23" i="10"/>
  <c r="E22" i="10"/>
  <c r="D22" i="10"/>
  <c r="E21" i="10"/>
  <c r="D21" i="10"/>
  <c r="E20" i="10"/>
  <c r="D20" i="10"/>
  <c r="E19" i="10"/>
  <c r="D19" i="10"/>
  <c r="E18" i="10"/>
  <c r="D18" i="10"/>
  <c r="E17" i="10"/>
  <c r="D17" i="10"/>
  <c r="E16" i="10"/>
  <c r="D16" i="10"/>
  <c r="E15" i="10"/>
  <c r="D15" i="10"/>
  <c r="E14" i="10"/>
  <c r="D14" i="10"/>
  <c r="E13" i="10"/>
  <c r="D13" i="10"/>
  <c r="E12" i="10"/>
  <c r="D12" i="10"/>
  <c r="E11" i="10"/>
  <c r="D11" i="10"/>
  <c r="E10" i="10"/>
  <c r="D10" i="10"/>
  <c r="E9" i="10"/>
  <c r="D9" i="10"/>
  <c r="E8" i="10"/>
  <c r="D8" i="10"/>
  <c r="E7" i="10"/>
  <c r="D7" i="10"/>
  <c r="E6" i="10"/>
  <c r="D6" i="10"/>
  <c r="E5" i="10"/>
  <c r="D5" i="10"/>
  <c r="E4" i="10"/>
  <c r="D4" i="10"/>
  <c r="E3" i="10"/>
  <c r="D3" i="10"/>
  <c r="E2" i="10"/>
  <c r="D2" i="10"/>
  <c r="F1501" i="8"/>
  <c r="E1501" i="8"/>
  <c r="F1500" i="8"/>
  <c r="E1500" i="8"/>
  <c r="F1499" i="8"/>
  <c r="E1499" i="8"/>
  <c r="F1498" i="8"/>
  <c r="E1498" i="8"/>
  <c r="F1497" i="8"/>
  <c r="E1497" i="8"/>
  <c r="F1496" i="8"/>
  <c r="E1496" i="8"/>
  <c r="F1495" i="8"/>
  <c r="E1495" i="8"/>
  <c r="F1494" i="8"/>
  <c r="E1494" i="8"/>
  <c r="F1493" i="8"/>
  <c r="E1493" i="8"/>
  <c r="F1492" i="8"/>
  <c r="E1492" i="8"/>
  <c r="F1491" i="8"/>
  <c r="E1491" i="8"/>
  <c r="F1490" i="8"/>
  <c r="E1490" i="8"/>
  <c r="F1489" i="8"/>
  <c r="E1489" i="8"/>
  <c r="F1488" i="8"/>
  <c r="E1488" i="8"/>
  <c r="F1487" i="8"/>
  <c r="E1487" i="8"/>
  <c r="F1486" i="8"/>
  <c r="E1486" i="8"/>
  <c r="F1485" i="8"/>
  <c r="E1485" i="8"/>
  <c r="F1484" i="8"/>
  <c r="E1484" i="8"/>
  <c r="F1483" i="8"/>
  <c r="E1483" i="8"/>
  <c r="F1482" i="8"/>
  <c r="E1482" i="8"/>
  <c r="F1481" i="8"/>
  <c r="E1481" i="8"/>
  <c r="F1480" i="8"/>
  <c r="E1480" i="8"/>
  <c r="F1479" i="8"/>
  <c r="E1479" i="8"/>
  <c r="F1478" i="8"/>
  <c r="E1478" i="8"/>
  <c r="F1477" i="8"/>
  <c r="E1477" i="8"/>
  <c r="F1476" i="8"/>
  <c r="E1476" i="8"/>
  <c r="F1475" i="8"/>
  <c r="E1475" i="8"/>
  <c r="F1474" i="8"/>
  <c r="E1474" i="8"/>
  <c r="F1473" i="8"/>
  <c r="E1473" i="8"/>
  <c r="F1472" i="8"/>
  <c r="E1472" i="8"/>
  <c r="F1471" i="8"/>
  <c r="E1471" i="8"/>
  <c r="F1470" i="8"/>
  <c r="E1470" i="8"/>
  <c r="F1469" i="8"/>
  <c r="E1469" i="8"/>
  <c r="F1468" i="8"/>
  <c r="E1468" i="8"/>
  <c r="F1467" i="8"/>
  <c r="E1467" i="8"/>
  <c r="F1466" i="8"/>
  <c r="E1466" i="8"/>
  <c r="F1465" i="8"/>
  <c r="E1465" i="8"/>
  <c r="F1464" i="8"/>
  <c r="E1464" i="8"/>
  <c r="F1463" i="8"/>
  <c r="E1463" i="8"/>
  <c r="F1462" i="8"/>
  <c r="E1462" i="8"/>
  <c r="F1461" i="8"/>
  <c r="E1461" i="8"/>
  <c r="F1460" i="8"/>
  <c r="E1460" i="8"/>
  <c r="F1459" i="8"/>
  <c r="E1459" i="8"/>
  <c r="F1458" i="8"/>
  <c r="E1458" i="8"/>
  <c r="F1457" i="8"/>
  <c r="E1457" i="8"/>
  <c r="F1456" i="8"/>
  <c r="E1456" i="8"/>
  <c r="F1455" i="8"/>
  <c r="E1455" i="8"/>
  <c r="F1454" i="8"/>
  <c r="E1454" i="8"/>
  <c r="F1453" i="8"/>
  <c r="E1453" i="8"/>
  <c r="F1452" i="8"/>
  <c r="E1452" i="8"/>
  <c r="F1451" i="8"/>
  <c r="E1451" i="8"/>
  <c r="F1450" i="8"/>
  <c r="E1450" i="8"/>
  <c r="F1449" i="8"/>
  <c r="E1449" i="8"/>
  <c r="F1448" i="8"/>
  <c r="E1448" i="8"/>
  <c r="F1447" i="8"/>
  <c r="E1447" i="8"/>
  <c r="F1446" i="8"/>
  <c r="E1446" i="8"/>
  <c r="F1445" i="8"/>
  <c r="E1445" i="8"/>
  <c r="F1444" i="8"/>
  <c r="E1444" i="8"/>
  <c r="F1443" i="8"/>
  <c r="E1443" i="8"/>
  <c r="F1442" i="8"/>
  <c r="E1442" i="8"/>
  <c r="F1441" i="8"/>
  <c r="E1441" i="8"/>
  <c r="F1440" i="8"/>
  <c r="E1440" i="8"/>
  <c r="F1439" i="8"/>
  <c r="E1439" i="8"/>
  <c r="F1438" i="8"/>
  <c r="E1438" i="8"/>
  <c r="F1437" i="8"/>
  <c r="E1437" i="8"/>
  <c r="F1436" i="8"/>
  <c r="E1436" i="8"/>
  <c r="F1435" i="8"/>
  <c r="E1435" i="8"/>
  <c r="F1434" i="8"/>
  <c r="E1434" i="8"/>
  <c r="F1433" i="8"/>
  <c r="E1433" i="8"/>
  <c r="F1432" i="8"/>
  <c r="E1432" i="8"/>
  <c r="F1431" i="8"/>
  <c r="E1431" i="8"/>
  <c r="F1430" i="8"/>
  <c r="E1430" i="8"/>
  <c r="F1429" i="8"/>
  <c r="E1429" i="8"/>
  <c r="F1428" i="8"/>
  <c r="E1428" i="8"/>
  <c r="F1427" i="8"/>
  <c r="E1427" i="8"/>
  <c r="F1426" i="8"/>
  <c r="E1426" i="8"/>
  <c r="F1425" i="8"/>
  <c r="E1425" i="8"/>
  <c r="F1424" i="8"/>
  <c r="E1424" i="8"/>
  <c r="F1423" i="8"/>
  <c r="E1423" i="8"/>
  <c r="F1422" i="8"/>
  <c r="E1422" i="8"/>
  <c r="F1421" i="8"/>
  <c r="E1421" i="8"/>
  <c r="F1420" i="8"/>
  <c r="E1420" i="8"/>
  <c r="F1419" i="8"/>
  <c r="E1419" i="8"/>
  <c r="F1418" i="8"/>
  <c r="E1418" i="8"/>
  <c r="F1417" i="8"/>
  <c r="E1417" i="8"/>
  <c r="F1416" i="8"/>
  <c r="E1416" i="8"/>
  <c r="F1415" i="8"/>
  <c r="E1415" i="8"/>
  <c r="F1414" i="8"/>
  <c r="E1414" i="8"/>
  <c r="F1413" i="8"/>
  <c r="E1413" i="8"/>
  <c r="F1412" i="8"/>
  <c r="E1412" i="8"/>
  <c r="F1411" i="8"/>
  <c r="E1411" i="8"/>
  <c r="F1410" i="8"/>
  <c r="E1410" i="8"/>
  <c r="F1409" i="8"/>
  <c r="E1409" i="8"/>
  <c r="F1408" i="8"/>
  <c r="E1408" i="8"/>
  <c r="F1407" i="8"/>
  <c r="E1407" i="8"/>
  <c r="F1406" i="8"/>
  <c r="E1406" i="8"/>
  <c r="F1405" i="8"/>
  <c r="E1405" i="8"/>
  <c r="F1404" i="8"/>
  <c r="E1404" i="8"/>
  <c r="F1403" i="8"/>
  <c r="E1403" i="8"/>
  <c r="F1402" i="8"/>
  <c r="E1402" i="8"/>
  <c r="F1401" i="8"/>
  <c r="E1401" i="8"/>
  <c r="F1400" i="8"/>
  <c r="E1400" i="8"/>
  <c r="F1399" i="8"/>
  <c r="E1399" i="8"/>
  <c r="F1398" i="8"/>
  <c r="E1398" i="8"/>
  <c r="F1397" i="8"/>
  <c r="E1397" i="8"/>
  <c r="F1396" i="8"/>
  <c r="E1396" i="8"/>
  <c r="F1395" i="8"/>
  <c r="E1395" i="8"/>
  <c r="F1394" i="8"/>
  <c r="E1394" i="8"/>
  <c r="F1393" i="8"/>
  <c r="E1393" i="8"/>
  <c r="F1392" i="8"/>
  <c r="E1392" i="8"/>
  <c r="F1391" i="8"/>
  <c r="E1391" i="8"/>
  <c r="F1390" i="8"/>
  <c r="E1390" i="8"/>
  <c r="F1389" i="8"/>
  <c r="E1389" i="8"/>
  <c r="F1388" i="8"/>
  <c r="E1388" i="8"/>
  <c r="F1387" i="8"/>
  <c r="E1387" i="8"/>
  <c r="F1386" i="8"/>
  <c r="E1386" i="8"/>
  <c r="F1385" i="8"/>
  <c r="E1385" i="8"/>
  <c r="F1384" i="8"/>
  <c r="E1384" i="8"/>
  <c r="F1383" i="8"/>
  <c r="E1383" i="8"/>
  <c r="F1382" i="8"/>
  <c r="E1382" i="8"/>
  <c r="F1381" i="8"/>
  <c r="E1381" i="8"/>
  <c r="F1380" i="8"/>
  <c r="E1380" i="8"/>
  <c r="F1379" i="8"/>
  <c r="E1379" i="8"/>
  <c r="F1378" i="8"/>
  <c r="E1378" i="8"/>
  <c r="F1377" i="8"/>
  <c r="E1377" i="8"/>
  <c r="F1376" i="8"/>
  <c r="E1376" i="8"/>
  <c r="F1375" i="8"/>
  <c r="E1375" i="8"/>
  <c r="F1374" i="8"/>
  <c r="E1374" i="8"/>
  <c r="F1373" i="8"/>
  <c r="E1373" i="8"/>
  <c r="F1372" i="8"/>
  <c r="E1372" i="8"/>
  <c r="F1371" i="8"/>
  <c r="E1371" i="8"/>
  <c r="F1370" i="8"/>
  <c r="E1370" i="8"/>
  <c r="F1369" i="8"/>
  <c r="E1369" i="8"/>
  <c r="F1368" i="8"/>
  <c r="E1368" i="8"/>
  <c r="F1367" i="8"/>
  <c r="E1367" i="8"/>
  <c r="F1366" i="8"/>
  <c r="E1366" i="8"/>
  <c r="F1365" i="8"/>
  <c r="E1365" i="8"/>
  <c r="F1364" i="8"/>
  <c r="E1364" i="8"/>
  <c r="F1363" i="8"/>
  <c r="E1363" i="8"/>
  <c r="F1362" i="8"/>
  <c r="E1362" i="8"/>
  <c r="F1361" i="8"/>
  <c r="E1361" i="8"/>
  <c r="F1360" i="8"/>
  <c r="E1360" i="8"/>
  <c r="F1359" i="8"/>
  <c r="E1359" i="8"/>
  <c r="F1358" i="8"/>
  <c r="E1358" i="8"/>
  <c r="F1357" i="8"/>
  <c r="E1357" i="8"/>
  <c r="F1356" i="8"/>
  <c r="E1356" i="8"/>
  <c r="F1355" i="8"/>
  <c r="E1355" i="8"/>
  <c r="F1354" i="8"/>
  <c r="E1354" i="8"/>
  <c r="F1353" i="8"/>
  <c r="E1353" i="8"/>
  <c r="F1352" i="8"/>
  <c r="E1352" i="8"/>
  <c r="F1351" i="8"/>
  <c r="E1351" i="8"/>
  <c r="F1350" i="8"/>
  <c r="E1350" i="8"/>
  <c r="F1349" i="8"/>
  <c r="E1349" i="8"/>
  <c r="F1348" i="8"/>
  <c r="E1348" i="8"/>
  <c r="F1347" i="8"/>
  <c r="E1347" i="8"/>
  <c r="F1346" i="8"/>
  <c r="E1346" i="8"/>
  <c r="F1345" i="8"/>
  <c r="E1345" i="8"/>
  <c r="F1344" i="8"/>
  <c r="E1344" i="8"/>
  <c r="F1343" i="8"/>
  <c r="E1343" i="8"/>
  <c r="F1342" i="8"/>
  <c r="E1342" i="8"/>
  <c r="F1341" i="8"/>
  <c r="E1341" i="8"/>
  <c r="F1340" i="8"/>
  <c r="E1340" i="8"/>
  <c r="F1339" i="8"/>
  <c r="E1339" i="8"/>
  <c r="F1338" i="8"/>
  <c r="E1338" i="8"/>
  <c r="F1337" i="8"/>
  <c r="E1337" i="8"/>
  <c r="F1336" i="8"/>
  <c r="E1336" i="8"/>
  <c r="F1335" i="8"/>
  <c r="E1335" i="8"/>
  <c r="F1334" i="8"/>
  <c r="E1334" i="8"/>
  <c r="F1333" i="8"/>
  <c r="E1333" i="8"/>
  <c r="F1332" i="8"/>
  <c r="E1332" i="8"/>
  <c r="F1331" i="8"/>
  <c r="E1331" i="8"/>
  <c r="F1330" i="8"/>
  <c r="E1330" i="8"/>
  <c r="F1329" i="8"/>
  <c r="E1329" i="8"/>
  <c r="F1328" i="8"/>
  <c r="E1328" i="8"/>
  <c r="F1327" i="8"/>
  <c r="E1327" i="8"/>
  <c r="F1326" i="8"/>
  <c r="E1326" i="8"/>
  <c r="F1325" i="8"/>
  <c r="E1325" i="8"/>
  <c r="F1324" i="8"/>
  <c r="E1324" i="8"/>
  <c r="F1323" i="8"/>
  <c r="E1323" i="8"/>
  <c r="F1322" i="8"/>
  <c r="E1322" i="8"/>
  <c r="F1321" i="8"/>
  <c r="E1321" i="8"/>
  <c r="F1320" i="8"/>
  <c r="E1320" i="8"/>
  <c r="F1319" i="8"/>
  <c r="E1319" i="8"/>
  <c r="F1318" i="8"/>
  <c r="E1318" i="8"/>
  <c r="F1317" i="8"/>
  <c r="E1317" i="8"/>
  <c r="F1316" i="8"/>
  <c r="E1316" i="8"/>
  <c r="F1315" i="8"/>
  <c r="E1315" i="8"/>
  <c r="F1314" i="8"/>
  <c r="E1314" i="8"/>
  <c r="F1313" i="8"/>
  <c r="E1313" i="8"/>
  <c r="F1312" i="8"/>
  <c r="E1312" i="8"/>
  <c r="F1311" i="8"/>
  <c r="E1311" i="8"/>
  <c r="F1310" i="8"/>
  <c r="E1310" i="8"/>
  <c r="F1309" i="8"/>
  <c r="E1309" i="8"/>
  <c r="F1308" i="8"/>
  <c r="E1308" i="8"/>
  <c r="F1307" i="8"/>
  <c r="E1307" i="8"/>
  <c r="F1306" i="8"/>
  <c r="E1306" i="8"/>
  <c r="F1305" i="8"/>
  <c r="E1305" i="8"/>
  <c r="F1304" i="8"/>
  <c r="E1304" i="8"/>
  <c r="F1303" i="8"/>
  <c r="E1303" i="8"/>
  <c r="F1302" i="8"/>
  <c r="E1302" i="8"/>
  <c r="F1301" i="8"/>
  <c r="E1301" i="8"/>
  <c r="F1300" i="8"/>
  <c r="E1300" i="8"/>
  <c r="F1299" i="8"/>
  <c r="E1299" i="8"/>
  <c r="F1298" i="8"/>
  <c r="E1298" i="8"/>
  <c r="F1297" i="8"/>
  <c r="E1297" i="8"/>
  <c r="F1296" i="8"/>
  <c r="E1296" i="8"/>
  <c r="F1295" i="8"/>
  <c r="E1295" i="8"/>
  <c r="F1294" i="8"/>
  <c r="E1294" i="8"/>
  <c r="F1293" i="8"/>
  <c r="E1293" i="8"/>
  <c r="F1292" i="8"/>
  <c r="E1292" i="8"/>
  <c r="F1291" i="8"/>
  <c r="E1291" i="8"/>
  <c r="F1290" i="8"/>
  <c r="E1290" i="8"/>
  <c r="F1289" i="8"/>
  <c r="E1289" i="8"/>
  <c r="F1288" i="8"/>
  <c r="E1288" i="8"/>
  <c r="F1287" i="8"/>
  <c r="E1287" i="8"/>
  <c r="F1286" i="8"/>
  <c r="E1286" i="8"/>
  <c r="F1285" i="8"/>
  <c r="E1285" i="8"/>
  <c r="F1284" i="8"/>
  <c r="E1284" i="8"/>
  <c r="F1283" i="8"/>
  <c r="E1283" i="8"/>
  <c r="F1282" i="8"/>
  <c r="E1282" i="8"/>
  <c r="F1281" i="8"/>
  <c r="E1281" i="8"/>
  <c r="F1280" i="8"/>
  <c r="E1280" i="8"/>
  <c r="F1279" i="8"/>
  <c r="E1279" i="8"/>
  <c r="F1278" i="8"/>
  <c r="E1278" i="8"/>
  <c r="F1277" i="8"/>
  <c r="E1277" i="8"/>
  <c r="F1276" i="8"/>
  <c r="E1276" i="8"/>
  <c r="F1275" i="8"/>
  <c r="E1275" i="8"/>
  <c r="F1274" i="8"/>
  <c r="E1274" i="8"/>
  <c r="F1273" i="8"/>
  <c r="E1273" i="8"/>
  <c r="F1272" i="8"/>
  <c r="E1272" i="8"/>
  <c r="F1271" i="8"/>
  <c r="E1271" i="8"/>
  <c r="F1270" i="8"/>
  <c r="E1270" i="8"/>
  <c r="F1269" i="8"/>
  <c r="E1269" i="8"/>
  <c r="F1268" i="8"/>
  <c r="E1268" i="8"/>
  <c r="F1267" i="8"/>
  <c r="E1267" i="8"/>
  <c r="F1266" i="8"/>
  <c r="E1266" i="8"/>
  <c r="F1265" i="8"/>
  <c r="E1265" i="8"/>
  <c r="F1264" i="8"/>
  <c r="E1264" i="8"/>
  <c r="F1263" i="8"/>
  <c r="E1263" i="8"/>
  <c r="F1262" i="8"/>
  <c r="E1262" i="8"/>
  <c r="F1261" i="8"/>
  <c r="E1261" i="8"/>
  <c r="F1260" i="8"/>
  <c r="E1260" i="8"/>
  <c r="F1259" i="8"/>
  <c r="E1259" i="8"/>
  <c r="F1258" i="8"/>
  <c r="E1258" i="8"/>
  <c r="F1257" i="8"/>
  <c r="E1257" i="8"/>
  <c r="F1256" i="8"/>
  <c r="E1256" i="8"/>
  <c r="F1255" i="8"/>
  <c r="E1255" i="8"/>
  <c r="F1254" i="8"/>
  <c r="E1254" i="8"/>
  <c r="F1253" i="8"/>
  <c r="E1253" i="8"/>
  <c r="F1252" i="8"/>
  <c r="E1252" i="8"/>
  <c r="F1251" i="8"/>
  <c r="E1251" i="8"/>
  <c r="F1250" i="8"/>
  <c r="E1250" i="8"/>
  <c r="F1249" i="8"/>
  <c r="E1249" i="8"/>
  <c r="F1248" i="8"/>
  <c r="E1248" i="8"/>
  <c r="F1247" i="8"/>
  <c r="E1247" i="8"/>
  <c r="F1246" i="8"/>
  <c r="E1246" i="8"/>
  <c r="F1245" i="8"/>
  <c r="E1245" i="8"/>
  <c r="F1244" i="8"/>
  <c r="E1244" i="8"/>
  <c r="F1243" i="8"/>
  <c r="E1243" i="8"/>
  <c r="F1242" i="8"/>
  <c r="E1242" i="8"/>
  <c r="F1241" i="8"/>
  <c r="E1241" i="8"/>
  <c r="F1240" i="8"/>
  <c r="E1240" i="8"/>
  <c r="F1239" i="8"/>
  <c r="E1239" i="8"/>
  <c r="F1238" i="8"/>
  <c r="E1238" i="8"/>
  <c r="F1237" i="8"/>
  <c r="E1237" i="8"/>
  <c r="F1236" i="8"/>
  <c r="E1236" i="8"/>
  <c r="F1235" i="8"/>
  <c r="E1235" i="8"/>
  <c r="F1234" i="8"/>
  <c r="E1234" i="8"/>
  <c r="F1233" i="8"/>
  <c r="E1233" i="8"/>
  <c r="F1232" i="8"/>
  <c r="E1232" i="8"/>
  <c r="F1231" i="8"/>
  <c r="E1231" i="8"/>
  <c r="F1230" i="8"/>
  <c r="E1230" i="8"/>
  <c r="F1229" i="8"/>
  <c r="E1229" i="8"/>
  <c r="F1228" i="8"/>
  <c r="E1228" i="8"/>
  <c r="F1227" i="8"/>
  <c r="E1227" i="8"/>
  <c r="F1226" i="8"/>
  <c r="E1226" i="8"/>
  <c r="F1225" i="8"/>
  <c r="E1225" i="8"/>
  <c r="F1224" i="8"/>
  <c r="E1224" i="8"/>
  <c r="F1223" i="8"/>
  <c r="E1223" i="8"/>
  <c r="F1222" i="8"/>
  <c r="E1222" i="8"/>
  <c r="F1221" i="8"/>
  <c r="E1221" i="8"/>
  <c r="F1220" i="8"/>
  <c r="E1220" i="8"/>
  <c r="F1219" i="8"/>
  <c r="E1219" i="8"/>
  <c r="F1218" i="8"/>
  <c r="E1218" i="8"/>
  <c r="F1217" i="8"/>
  <c r="E1217" i="8"/>
  <c r="F1216" i="8"/>
  <c r="E1216" i="8"/>
  <c r="F1215" i="8"/>
  <c r="E1215" i="8"/>
  <c r="F1214" i="8"/>
  <c r="E1214" i="8"/>
  <c r="F1213" i="8"/>
  <c r="E1213" i="8"/>
  <c r="F1212" i="8"/>
  <c r="E1212" i="8"/>
  <c r="F1211" i="8"/>
  <c r="E1211" i="8"/>
  <c r="F1210" i="8"/>
  <c r="E1210" i="8"/>
  <c r="F1209" i="8"/>
  <c r="E1209" i="8"/>
  <c r="F1208" i="8"/>
  <c r="E1208" i="8"/>
  <c r="F1207" i="8"/>
  <c r="E1207" i="8"/>
  <c r="F1206" i="8"/>
  <c r="E1206" i="8"/>
  <c r="F1205" i="8"/>
  <c r="E1205" i="8"/>
  <c r="F1204" i="8"/>
  <c r="E1204" i="8"/>
  <c r="F1203" i="8"/>
  <c r="E1203" i="8"/>
  <c r="F1202" i="8"/>
  <c r="E1202" i="8"/>
  <c r="F1201" i="8"/>
  <c r="E1201" i="8"/>
  <c r="F1200" i="8"/>
  <c r="E1200" i="8"/>
  <c r="F1199" i="8"/>
  <c r="E1199" i="8"/>
  <c r="F1198" i="8"/>
  <c r="E1198" i="8"/>
  <c r="F1197" i="8"/>
  <c r="E1197" i="8"/>
  <c r="F1196" i="8"/>
  <c r="E1196" i="8"/>
  <c r="F1195" i="8"/>
  <c r="E1195" i="8"/>
  <c r="F1194" i="8"/>
  <c r="E1194" i="8"/>
  <c r="F1193" i="8"/>
  <c r="E1193" i="8"/>
  <c r="F1192" i="8"/>
  <c r="E1192" i="8"/>
  <c r="F1191" i="8"/>
  <c r="E1191" i="8"/>
  <c r="F1190" i="8"/>
  <c r="E1190" i="8"/>
  <c r="F1189" i="8"/>
  <c r="E1189" i="8"/>
  <c r="F1188" i="8"/>
  <c r="E1188" i="8"/>
  <c r="F1187" i="8"/>
  <c r="E1187" i="8"/>
  <c r="F1186" i="8"/>
  <c r="E1186" i="8"/>
  <c r="F1185" i="8"/>
  <c r="E1185" i="8"/>
  <c r="F1184" i="8"/>
  <c r="E1184" i="8"/>
  <c r="F1183" i="8"/>
  <c r="E1183" i="8"/>
  <c r="F1182" i="8"/>
  <c r="E1182" i="8"/>
  <c r="F1181" i="8"/>
  <c r="E1181" i="8"/>
  <c r="F1180" i="8"/>
  <c r="E1180" i="8"/>
  <c r="F1179" i="8"/>
  <c r="E1179" i="8"/>
  <c r="F1178" i="8"/>
  <c r="E1178" i="8"/>
  <c r="F1177" i="8"/>
  <c r="E1177" i="8"/>
  <c r="F1176" i="8"/>
  <c r="E1176" i="8"/>
  <c r="F1175" i="8"/>
  <c r="E1175" i="8"/>
  <c r="F1174" i="8"/>
  <c r="E1174" i="8"/>
  <c r="F1173" i="8"/>
  <c r="E1173" i="8"/>
  <c r="F1172" i="8"/>
  <c r="E1172" i="8"/>
  <c r="F1171" i="8"/>
  <c r="E1171" i="8"/>
  <c r="F1170" i="8"/>
  <c r="E1170" i="8"/>
  <c r="F1169" i="8"/>
  <c r="E1169" i="8"/>
  <c r="F1168" i="8"/>
  <c r="E1168" i="8"/>
  <c r="F1167" i="8"/>
  <c r="E1167" i="8"/>
  <c r="F1166" i="8"/>
  <c r="E1166" i="8"/>
  <c r="F1165" i="8"/>
  <c r="E1165" i="8"/>
  <c r="F1164" i="8"/>
  <c r="E1164" i="8"/>
  <c r="F1163" i="8"/>
  <c r="E1163" i="8"/>
  <c r="F1162" i="8"/>
  <c r="E1162" i="8"/>
  <c r="F1161" i="8"/>
  <c r="E1161" i="8"/>
  <c r="F1160" i="8"/>
  <c r="E1160" i="8"/>
  <c r="F1159" i="8"/>
  <c r="E1159" i="8"/>
  <c r="F1158" i="8"/>
  <c r="E1158" i="8"/>
  <c r="F1157" i="8"/>
  <c r="E1157" i="8"/>
  <c r="F1156" i="8"/>
  <c r="E1156" i="8"/>
  <c r="F1155" i="8"/>
  <c r="E1155" i="8"/>
  <c r="F1154" i="8"/>
  <c r="E1154" i="8"/>
  <c r="F1153" i="8"/>
  <c r="E1153" i="8"/>
  <c r="F1152" i="8"/>
  <c r="E1152" i="8"/>
  <c r="F1151" i="8"/>
  <c r="E1151" i="8"/>
  <c r="F1150" i="8"/>
  <c r="E1150" i="8"/>
  <c r="F1149" i="8"/>
  <c r="E1149" i="8"/>
  <c r="F1148" i="8"/>
  <c r="E1148" i="8"/>
  <c r="F1147" i="8"/>
  <c r="E1147" i="8"/>
  <c r="F1146" i="8"/>
  <c r="E1146" i="8"/>
  <c r="F1145" i="8"/>
  <c r="E1145" i="8"/>
  <c r="F1144" i="8"/>
  <c r="E1144" i="8"/>
  <c r="F1143" i="8"/>
  <c r="E1143" i="8"/>
  <c r="F1142" i="8"/>
  <c r="E1142" i="8"/>
  <c r="F1141" i="8"/>
  <c r="E1141" i="8"/>
  <c r="F1140" i="8"/>
  <c r="E1140" i="8"/>
  <c r="F1139" i="8"/>
  <c r="E1139" i="8"/>
  <c r="F1138" i="8"/>
  <c r="E1138" i="8"/>
  <c r="F1137" i="8"/>
  <c r="E1137" i="8"/>
  <c r="F1136" i="8"/>
  <c r="E1136" i="8"/>
  <c r="F1135" i="8"/>
  <c r="E1135" i="8"/>
  <c r="F1134" i="8"/>
  <c r="E1134" i="8"/>
  <c r="F1133" i="8"/>
  <c r="E1133" i="8"/>
  <c r="F1132" i="8"/>
  <c r="E1132" i="8"/>
  <c r="F1131" i="8"/>
  <c r="E1131" i="8"/>
  <c r="F1130" i="8"/>
  <c r="E1130" i="8"/>
  <c r="F1129" i="8"/>
  <c r="E1129" i="8"/>
  <c r="F1128" i="8"/>
  <c r="E1128" i="8"/>
  <c r="F1127" i="8"/>
  <c r="E1127" i="8"/>
  <c r="F1126" i="8"/>
  <c r="E1126" i="8"/>
  <c r="F1125" i="8"/>
  <c r="E1125" i="8"/>
  <c r="F1124" i="8"/>
  <c r="E1124" i="8"/>
  <c r="F1123" i="8"/>
  <c r="E1123" i="8"/>
  <c r="F1122" i="8"/>
  <c r="E1122" i="8"/>
  <c r="F1121" i="8"/>
  <c r="E1121" i="8"/>
  <c r="F1120" i="8"/>
  <c r="E1120" i="8"/>
  <c r="F1119" i="8"/>
  <c r="E1119" i="8"/>
  <c r="F1118" i="8"/>
  <c r="E1118" i="8"/>
  <c r="F1117" i="8"/>
  <c r="E1117" i="8"/>
  <c r="F1116" i="8"/>
  <c r="E1116" i="8"/>
  <c r="F1115" i="8"/>
  <c r="E1115" i="8"/>
  <c r="F1114" i="8"/>
  <c r="E1114" i="8"/>
  <c r="F1113" i="8"/>
  <c r="E1113" i="8"/>
  <c r="F1112" i="8"/>
  <c r="E1112" i="8"/>
  <c r="F1111" i="8"/>
  <c r="E1111" i="8"/>
  <c r="F1110" i="8"/>
  <c r="E1110" i="8"/>
  <c r="F1109" i="8"/>
  <c r="E1109" i="8"/>
  <c r="F1108" i="8"/>
  <c r="E1108" i="8"/>
  <c r="F1107" i="8"/>
  <c r="E1107" i="8"/>
  <c r="F1106" i="8"/>
  <c r="E1106" i="8"/>
  <c r="F1105" i="8"/>
  <c r="E1105" i="8"/>
  <c r="F1104" i="8"/>
  <c r="E1104" i="8"/>
  <c r="F1103" i="8"/>
  <c r="E1103" i="8"/>
  <c r="F1102" i="8"/>
  <c r="E1102" i="8"/>
  <c r="F1101" i="8"/>
  <c r="E1101" i="8"/>
  <c r="F1100" i="8"/>
  <c r="E1100" i="8"/>
  <c r="F1099" i="8"/>
  <c r="E1099" i="8"/>
  <c r="F1098" i="8"/>
  <c r="E1098" i="8"/>
  <c r="F1097" i="8"/>
  <c r="E1097" i="8"/>
  <c r="F1096" i="8"/>
  <c r="E1096" i="8"/>
  <c r="F1095" i="8"/>
  <c r="E1095" i="8"/>
  <c r="F1094" i="8"/>
  <c r="E1094" i="8"/>
  <c r="F1093" i="8"/>
  <c r="E1093" i="8"/>
  <c r="F1092" i="8"/>
  <c r="E1092" i="8"/>
  <c r="F1091" i="8"/>
  <c r="E1091" i="8"/>
  <c r="F1090" i="8"/>
  <c r="E1090" i="8"/>
  <c r="F1089" i="8"/>
  <c r="E1089" i="8"/>
  <c r="F1088" i="8"/>
  <c r="E1088" i="8"/>
  <c r="F1087" i="8"/>
  <c r="E1087" i="8"/>
  <c r="F1086" i="8"/>
  <c r="E1086" i="8"/>
  <c r="F1085" i="8"/>
  <c r="E1085" i="8"/>
  <c r="F1084" i="8"/>
  <c r="E1084" i="8"/>
  <c r="F1083" i="8"/>
  <c r="E1083" i="8"/>
  <c r="F1082" i="8"/>
  <c r="E1082" i="8"/>
  <c r="F1081" i="8"/>
  <c r="E1081" i="8"/>
  <c r="F1080" i="8"/>
  <c r="E1080" i="8"/>
  <c r="F1079" i="8"/>
  <c r="E1079" i="8"/>
  <c r="F1078" i="8"/>
  <c r="E1078" i="8"/>
  <c r="F1077" i="8"/>
  <c r="E1077" i="8"/>
  <c r="F1076" i="8"/>
  <c r="E1076" i="8"/>
  <c r="F1075" i="8"/>
  <c r="E1075" i="8"/>
  <c r="F1074" i="8"/>
  <c r="E1074" i="8"/>
  <c r="F1073" i="8"/>
  <c r="E1073" i="8"/>
  <c r="F1072" i="8"/>
  <c r="E1072" i="8"/>
  <c r="F1071" i="8"/>
  <c r="E1071" i="8"/>
  <c r="F1070" i="8"/>
  <c r="E1070" i="8"/>
  <c r="F1069" i="8"/>
  <c r="E1069" i="8"/>
  <c r="F1068" i="8"/>
  <c r="E1068" i="8"/>
  <c r="F1067" i="8"/>
  <c r="E1067" i="8"/>
  <c r="F1066" i="8"/>
  <c r="E1066" i="8"/>
  <c r="F1065" i="8"/>
  <c r="E1065" i="8"/>
  <c r="F1064" i="8"/>
  <c r="E1064" i="8"/>
  <c r="F1063" i="8"/>
  <c r="E1063" i="8"/>
  <c r="F1062" i="8"/>
  <c r="E1062" i="8"/>
  <c r="F1061" i="8"/>
  <c r="E1061" i="8"/>
  <c r="F1060" i="8"/>
  <c r="E1060" i="8"/>
  <c r="F1059" i="8"/>
  <c r="E1059" i="8"/>
  <c r="F1058" i="8"/>
  <c r="E1058" i="8"/>
  <c r="F1057" i="8"/>
  <c r="E1057" i="8"/>
  <c r="F1056" i="8"/>
  <c r="E1056" i="8"/>
  <c r="F1055" i="8"/>
  <c r="E1055" i="8"/>
  <c r="F1054" i="8"/>
  <c r="E1054" i="8"/>
  <c r="F1053" i="8"/>
  <c r="E1053" i="8"/>
  <c r="F1052" i="8"/>
  <c r="E1052" i="8"/>
  <c r="F1051" i="8"/>
  <c r="E1051" i="8"/>
  <c r="F1050" i="8"/>
  <c r="E1050" i="8"/>
  <c r="F1049" i="8"/>
  <c r="E1049" i="8"/>
  <c r="F1048" i="8"/>
  <c r="E1048" i="8"/>
  <c r="F1047" i="8"/>
  <c r="E1047" i="8"/>
  <c r="F1046" i="8"/>
  <c r="E1046" i="8"/>
  <c r="F1045" i="8"/>
  <c r="E1045" i="8"/>
  <c r="F1044" i="8"/>
  <c r="E1044" i="8"/>
  <c r="F1043" i="8"/>
  <c r="E1043" i="8"/>
  <c r="F1042" i="8"/>
  <c r="E1042" i="8"/>
  <c r="F1041" i="8"/>
  <c r="E1041" i="8"/>
  <c r="F1040" i="8"/>
  <c r="E1040" i="8"/>
  <c r="F1039" i="8"/>
  <c r="E1039" i="8"/>
  <c r="F1038" i="8"/>
  <c r="E1038" i="8"/>
  <c r="F1037" i="8"/>
  <c r="E1037" i="8"/>
  <c r="F1036" i="8"/>
  <c r="E1036" i="8"/>
  <c r="F1035" i="8"/>
  <c r="E1035" i="8"/>
  <c r="F1034" i="8"/>
  <c r="E1034" i="8"/>
  <c r="F1033" i="8"/>
  <c r="E1033" i="8"/>
  <c r="F1032" i="8"/>
  <c r="E1032" i="8"/>
  <c r="F1031" i="8"/>
  <c r="E1031" i="8"/>
  <c r="F1030" i="8"/>
  <c r="E1030" i="8"/>
  <c r="F1029" i="8"/>
  <c r="E1029" i="8"/>
  <c r="F1028" i="8"/>
  <c r="E1028" i="8"/>
  <c r="F1027" i="8"/>
  <c r="E1027" i="8"/>
  <c r="F1026" i="8"/>
  <c r="E1026" i="8"/>
  <c r="F1025" i="8"/>
  <c r="E1025" i="8"/>
  <c r="F1024" i="8"/>
  <c r="E1024" i="8"/>
  <c r="F1023" i="8"/>
  <c r="E1023" i="8"/>
  <c r="F1022" i="8"/>
  <c r="E1022" i="8"/>
  <c r="F1021" i="8"/>
  <c r="E1021" i="8"/>
  <c r="F1020" i="8"/>
  <c r="E1020" i="8"/>
  <c r="F1019" i="8"/>
  <c r="E1019" i="8"/>
  <c r="F1018" i="8"/>
  <c r="E1018" i="8"/>
  <c r="F1017" i="8"/>
  <c r="E1017" i="8"/>
  <c r="F1016" i="8"/>
  <c r="E1016" i="8"/>
  <c r="F1015" i="8"/>
  <c r="E1015" i="8"/>
  <c r="F1014" i="8"/>
  <c r="E1014" i="8"/>
  <c r="F1013" i="8"/>
  <c r="E1013" i="8"/>
  <c r="F1012" i="8"/>
  <c r="E1012" i="8"/>
  <c r="F1011" i="8"/>
  <c r="E1011" i="8"/>
  <c r="F1010" i="8"/>
  <c r="E1010" i="8"/>
  <c r="F1009" i="8"/>
  <c r="E1009" i="8"/>
  <c r="F1008" i="8"/>
  <c r="E1008" i="8"/>
  <c r="F1007" i="8"/>
  <c r="E1007" i="8"/>
  <c r="F1006" i="8"/>
  <c r="E1006" i="8"/>
  <c r="F1005" i="8"/>
  <c r="E1005" i="8"/>
  <c r="F1004" i="8"/>
  <c r="E1004" i="8"/>
  <c r="F1003" i="8"/>
  <c r="E1003" i="8"/>
  <c r="F1002" i="8"/>
  <c r="E1002" i="8"/>
  <c r="F1001" i="8"/>
  <c r="E1001" i="8"/>
  <c r="F1000" i="8"/>
  <c r="E1000" i="8"/>
  <c r="F999" i="8"/>
  <c r="E999" i="8"/>
  <c r="F998" i="8"/>
  <c r="E998" i="8"/>
  <c r="F997" i="8"/>
  <c r="E997" i="8"/>
  <c r="F996" i="8"/>
  <c r="E996" i="8"/>
  <c r="F995" i="8"/>
  <c r="E995" i="8"/>
  <c r="F994" i="8"/>
  <c r="E994" i="8"/>
  <c r="F993" i="8"/>
  <c r="E993" i="8"/>
  <c r="F992" i="8"/>
  <c r="E992" i="8"/>
  <c r="F991" i="8"/>
  <c r="E991" i="8"/>
  <c r="F990" i="8"/>
  <c r="E990" i="8"/>
  <c r="F989" i="8"/>
  <c r="E989" i="8"/>
  <c r="F988" i="8"/>
  <c r="E988" i="8"/>
  <c r="F987" i="8"/>
  <c r="E987" i="8"/>
  <c r="F986" i="8"/>
  <c r="E986" i="8"/>
  <c r="F985" i="8"/>
  <c r="E985" i="8"/>
  <c r="F984" i="8"/>
  <c r="E984" i="8"/>
  <c r="F983" i="8"/>
  <c r="E983" i="8"/>
  <c r="F982" i="8"/>
  <c r="E982" i="8"/>
  <c r="F981" i="8"/>
  <c r="E981" i="8"/>
  <c r="F980" i="8"/>
  <c r="E980" i="8"/>
  <c r="F979" i="8"/>
  <c r="E979" i="8"/>
  <c r="F978" i="8"/>
  <c r="E978" i="8"/>
  <c r="F977" i="8"/>
  <c r="E977" i="8"/>
  <c r="F976" i="8"/>
  <c r="E976" i="8"/>
  <c r="F975" i="8"/>
  <c r="E975" i="8"/>
  <c r="F974" i="8"/>
  <c r="E974" i="8"/>
  <c r="F973" i="8"/>
  <c r="E973" i="8"/>
  <c r="F972" i="8"/>
  <c r="E972" i="8"/>
  <c r="F971" i="8"/>
  <c r="E971" i="8"/>
  <c r="F970" i="8"/>
  <c r="E970" i="8"/>
  <c r="F969" i="8"/>
  <c r="E969" i="8"/>
  <c r="F968" i="8"/>
  <c r="E968" i="8"/>
  <c r="F967" i="8"/>
  <c r="E967" i="8"/>
  <c r="F966" i="8"/>
  <c r="E966" i="8"/>
  <c r="F965" i="8"/>
  <c r="E965" i="8"/>
  <c r="F964" i="8"/>
  <c r="E964" i="8"/>
  <c r="F963" i="8"/>
  <c r="E963" i="8"/>
  <c r="F962" i="8"/>
  <c r="E962" i="8"/>
  <c r="F961" i="8"/>
  <c r="E961" i="8"/>
  <c r="F960" i="8"/>
  <c r="E960" i="8"/>
  <c r="F959" i="8"/>
  <c r="E959" i="8"/>
  <c r="F958" i="8"/>
  <c r="E958" i="8"/>
  <c r="F957" i="8"/>
  <c r="E957" i="8"/>
  <c r="F956" i="8"/>
  <c r="E956" i="8"/>
  <c r="F955" i="8"/>
  <c r="E955" i="8"/>
  <c r="F954" i="8"/>
  <c r="E954" i="8"/>
  <c r="F953" i="8"/>
  <c r="E953" i="8"/>
  <c r="F952" i="8"/>
  <c r="E952" i="8"/>
  <c r="F951" i="8"/>
  <c r="E951" i="8"/>
  <c r="F950" i="8"/>
  <c r="E950" i="8"/>
  <c r="F949" i="8"/>
  <c r="E949" i="8"/>
  <c r="F948" i="8"/>
  <c r="E948" i="8"/>
  <c r="F947" i="8"/>
  <c r="E947" i="8"/>
  <c r="F946" i="8"/>
  <c r="E946" i="8"/>
  <c r="F945" i="8"/>
  <c r="E945" i="8"/>
  <c r="F944" i="8"/>
  <c r="E944" i="8"/>
  <c r="F943" i="8"/>
  <c r="E943" i="8"/>
  <c r="F942" i="8"/>
  <c r="E942" i="8"/>
  <c r="F941" i="8"/>
  <c r="E941" i="8"/>
  <c r="F940" i="8"/>
  <c r="E940" i="8"/>
  <c r="F939" i="8"/>
  <c r="E939" i="8"/>
  <c r="F938" i="8"/>
  <c r="E938" i="8"/>
  <c r="F937" i="8"/>
  <c r="E937" i="8"/>
  <c r="F936" i="8"/>
  <c r="E936" i="8"/>
  <c r="F935" i="8"/>
  <c r="E935" i="8"/>
  <c r="F934" i="8"/>
  <c r="E934" i="8"/>
  <c r="F933" i="8"/>
  <c r="E933" i="8"/>
  <c r="F932" i="8"/>
  <c r="E932" i="8"/>
  <c r="F931" i="8"/>
  <c r="E931" i="8"/>
  <c r="F930" i="8"/>
  <c r="E930" i="8"/>
  <c r="F929" i="8"/>
  <c r="E929" i="8"/>
  <c r="F928" i="8"/>
  <c r="E928" i="8"/>
  <c r="F927" i="8"/>
  <c r="E927" i="8"/>
  <c r="F926" i="8"/>
  <c r="E926" i="8"/>
  <c r="F925" i="8"/>
  <c r="E925" i="8"/>
  <c r="F924" i="8"/>
  <c r="E924" i="8"/>
  <c r="F923" i="8"/>
  <c r="E923" i="8"/>
  <c r="F922" i="8"/>
  <c r="E922" i="8"/>
  <c r="F921" i="8"/>
  <c r="E921" i="8"/>
  <c r="F920" i="8"/>
  <c r="E920" i="8"/>
  <c r="F919" i="8"/>
  <c r="E919" i="8"/>
  <c r="F918" i="8"/>
  <c r="E918" i="8"/>
  <c r="F917" i="8"/>
  <c r="E917" i="8"/>
  <c r="F916" i="8"/>
  <c r="E916" i="8"/>
  <c r="F915" i="8"/>
  <c r="E915" i="8"/>
  <c r="F914" i="8"/>
  <c r="E914" i="8"/>
  <c r="F913" i="8"/>
  <c r="E913" i="8"/>
  <c r="F912" i="8"/>
  <c r="E912" i="8"/>
  <c r="F911" i="8"/>
  <c r="E911" i="8"/>
  <c r="F910" i="8"/>
  <c r="E910" i="8"/>
  <c r="F909" i="8"/>
  <c r="E909" i="8"/>
  <c r="F908" i="8"/>
  <c r="E908" i="8"/>
  <c r="F907" i="8"/>
  <c r="E907" i="8"/>
  <c r="F906" i="8"/>
  <c r="E906" i="8"/>
  <c r="F905" i="8"/>
  <c r="E905" i="8"/>
  <c r="F904" i="8"/>
  <c r="E904" i="8"/>
  <c r="F903" i="8"/>
  <c r="E903" i="8"/>
  <c r="F902" i="8"/>
  <c r="E902" i="8"/>
  <c r="F901" i="8"/>
  <c r="E901" i="8"/>
  <c r="F900" i="8"/>
  <c r="E900" i="8"/>
  <c r="F899" i="8"/>
  <c r="E899" i="8"/>
  <c r="F898" i="8"/>
  <c r="E898" i="8"/>
  <c r="F897" i="8"/>
  <c r="E897" i="8"/>
  <c r="F896" i="8"/>
  <c r="E896" i="8"/>
  <c r="F895" i="8"/>
  <c r="E895" i="8"/>
  <c r="F894" i="8"/>
  <c r="E894" i="8"/>
  <c r="F893" i="8"/>
  <c r="E893" i="8"/>
  <c r="F892" i="8"/>
  <c r="E892" i="8"/>
  <c r="F891" i="8"/>
  <c r="E891" i="8"/>
  <c r="F890" i="8"/>
  <c r="E890" i="8"/>
  <c r="F889" i="8"/>
  <c r="E889" i="8"/>
  <c r="F888" i="8"/>
  <c r="E888" i="8"/>
  <c r="F887" i="8"/>
  <c r="E887" i="8"/>
  <c r="F886" i="8"/>
  <c r="E886" i="8"/>
  <c r="F885" i="8"/>
  <c r="E885" i="8"/>
  <c r="F884" i="8"/>
  <c r="E884" i="8"/>
  <c r="F883" i="8"/>
  <c r="E883" i="8"/>
  <c r="F882" i="8"/>
  <c r="E882" i="8"/>
  <c r="F881" i="8"/>
  <c r="E881" i="8"/>
  <c r="F880" i="8"/>
  <c r="E880" i="8"/>
  <c r="F879" i="8"/>
  <c r="E879" i="8"/>
  <c r="F878" i="8"/>
  <c r="E878" i="8"/>
  <c r="F877" i="8"/>
  <c r="E877" i="8"/>
  <c r="F876" i="8"/>
  <c r="E876" i="8"/>
  <c r="F875" i="8"/>
  <c r="E875" i="8"/>
  <c r="F874" i="8"/>
  <c r="E874" i="8"/>
  <c r="F873" i="8"/>
  <c r="E873" i="8"/>
  <c r="F872" i="8"/>
  <c r="E872" i="8"/>
  <c r="F871" i="8"/>
  <c r="E871" i="8"/>
  <c r="F870" i="8"/>
  <c r="E870" i="8"/>
  <c r="F869" i="8"/>
  <c r="E869" i="8"/>
  <c r="F868" i="8"/>
  <c r="E868" i="8"/>
  <c r="F867" i="8"/>
  <c r="E867" i="8"/>
  <c r="F866" i="8"/>
  <c r="E866" i="8"/>
  <c r="F865" i="8"/>
  <c r="E865" i="8"/>
  <c r="F864" i="8"/>
  <c r="E864" i="8"/>
  <c r="F863" i="8"/>
  <c r="E863" i="8"/>
  <c r="F862" i="8"/>
  <c r="E862" i="8"/>
  <c r="F861" i="8"/>
  <c r="E861" i="8"/>
  <c r="F860" i="8"/>
  <c r="E860" i="8"/>
  <c r="F859" i="8"/>
  <c r="E859" i="8"/>
  <c r="F858" i="8"/>
  <c r="E858" i="8"/>
  <c r="F857" i="8"/>
  <c r="E857" i="8"/>
  <c r="F856" i="8"/>
  <c r="E856" i="8"/>
  <c r="F855" i="8"/>
  <c r="E855" i="8"/>
  <c r="F854" i="8"/>
  <c r="E854" i="8"/>
  <c r="F853" i="8"/>
  <c r="E853" i="8"/>
  <c r="F852" i="8"/>
  <c r="E852" i="8"/>
  <c r="F851" i="8"/>
  <c r="E851" i="8"/>
  <c r="F850" i="8"/>
  <c r="E850" i="8"/>
  <c r="F849" i="8"/>
  <c r="E849" i="8"/>
  <c r="F848" i="8"/>
  <c r="E848" i="8"/>
  <c r="F847" i="8"/>
  <c r="E847" i="8"/>
  <c r="F846" i="8"/>
  <c r="E846" i="8"/>
  <c r="F845" i="8"/>
  <c r="E845" i="8"/>
  <c r="F844" i="8"/>
  <c r="E844" i="8"/>
  <c r="F843" i="8"/>
  <c r="E843" i="8"/>
  <c r="F842" i="8"/>
  <c r="E842" i="8"/>
  <c r="F841" i="8"/>
  <c r="E841" i="8"/>
  <c r="F840" i="8"/>
  <c r="E840" i="8"/>
  <c r="F839" i="8"/>
  <c r="E839" i="8"/>
  <c r="F838" i="8"/>
  <c r="E838" i="8"/>
  <c r="F837" i="8"/>
  <c r="E837" i="8"/>
  <c r="F836" i="8"/>
  <c r="E836" i="8"/>
  <c r="F835" i="8"/>
  <c r="E835" i="8"/>
  <c r="F834" i="8"/>
  <c r="E834" i="8"/>
  <c r="F833" i="8"/>
  <c r="E833" i="8"/>
  <c r="F832" i="8"/>
  <c r="E832" i="8"/>
  <c r="F831" i="8"/>
  <c r="E831" i="8"/>
  <c r="F830" i="8"/>
  <c r="E830" i="8"/>
  <c r="F829" i="8"/>
  <c r="E829" i="8"/>
  <c r="F828" i="8"/>
  <c r="E828" i="8"/>
  <c r="F827" i="8"/>
  <c r="E827" i="8"/>
  <c r="F826" i="8"/>
  <c r="E826" i="8"/>
  <c r="F825" i="8"/>
  <c r="E825" i="8"/>
  <c r="F824" i="8"/>
  <c r="E824" i="8"/>
  <c r="F823" i="8"/>
  <c r="E823" i="8"/>
  <c r="F822" i="8"/>
  <c r="E822" i="8"/>
  <c r="F821" i="8"/>
  <c r="E821" i="8"/>
  <c r="F820" i="8"/>
  <c r="E820" i="8"/>
  <c r="F819" i="8"/>
  <c r="E819" i="8"/>
  <c r="F818" i="8"/>
  <c r="E818" i="8"/>
  <c r="F817" i="8"/>
  <c r="E817" i="8"/>
  <c r="F816" i="8"/>
  <c r="E816" i="8"/>
  <c r="F815" i="8"/>
  <c r="E815" i="8"/>
  <c r="F814" i="8"/>
  <c r="E814" i="8"/>
  <c r="F813" i="8"/>
  <c r="E813" i="8"/>
  <c r="F812" i="8"/>
  <c r="E812" i="8"/>
  <c r="F811" i="8"/>
  <c r="E811" i="8"/>
  <c r="F810" i="8"/>
  <c r="E810" i="8"/>
  <c r="F809" i="8"/>
  <c r="E809" i="8"/>
  <c r="F808" i="8"/>
  <c r="E808" i="8"/>
  <c r="F807" i="8"/>
  <c r="E807" i="8"/>
  <c r="F806" i="8"/>
  <c r="E806" i="8"/>
  <c r="F805" i="8"/>
  <c r="E805" i="8"/>
  <c r="F804" i="8"/>
  <c r="E804" i="8"/>
  <c r="F803" i="8"/>
  <c r="E803" i="8"/>
  <c r="F802" i="8"/>
  <c r="E802" i="8"/>
  <c r="F801" i="8"/>
  <c r="E801" i="8"/>
  <c r="F800" i="8"/>
  <c r="E800" i="8"/>
  <c r="F799" i="8"/>
  <c r="E799" i="8"/>
  <c r="F798" i="8"/>
  <c r="E798" i="8"/>
  <c r="F797" i="8"/>
  <c r="E797" i="8"/>
  <c r="F796" i="8"/>
  <c r="E796" i="8"/>
  <c r="F795" i="8"/>
  <c r="E795" i="8"/>
  <c r="F794" i="8"/>
  <c r="E794" i="8"/>
  <c r="F793" i="8"/>
  <c r="E793" i="8"/>
  <c r="F792" i="8"/>
  <c r="E792" i="8"/>
  <c r="F791" i="8"/>
  <c r="E791" i="8"/>
  <c r="F790" i="8"/>
  <c r="E790" i="8"/>
  <c r="F789" i="8"/>
  <c r="E789" i="8"/>
  <c r="F788" i="8"/>
  <c r="E788" i="8"/>
  <c r="F787" i="8"/>
  <c r="E787" i="8"/>
  <c r="F786" i="8"/>
  <c r="E786" i="8"/>
  <c r="F785" i="8"/>
  <c r="E785" i="8"/>
  <c r="F784" i="8"/>
  <c r="E784" i="8"/>
  <c r="F783" i="8"/>
  <c r="E783" i="8"/>
  <c r="F782" i="8"/>
  <c r="E782" i="8"/>
  <c r="F781" i="8"/>
  <c r="E781" i="8"/>
  <c r="F780" i="8"/>
  <c r="E780" i="8"/>
  <c r="F779" i="8"/>
  <c r="E779" i="8"/>
  <c r="F778" i="8"/>
  <c r="E778" i="8"/>
  <c r="F777" i="8"/>
  <c r="E777" i="8"/>
  <c r="F776" i="8"/>
  <c r="E776" i="8"/>
  <c r="F775" i="8"/>
  <c r="E775" i="8"/>
  <c r="F774" i="8"/>
  <c r="E774" i="8"/>
  <c r="F773" i="8"/>
  <c r="E773" i="8"/>
  <c r="F772" i="8"/>
  <c r="E772" i="8"/>
  <c r="F771" i="8"/>
  <c r="E771" i="8"/>
  <c r="F770" i="8"/>
  <c r="E770" i="8"/>
  <c r="F769" i="8"/>
  <c r="E769" i="8"/>
  <c r="F768" i="8"/>
  <c r="E768" i="8"/>
  <c r="F767" i="8"/>
  <c r="E767" i="8"/>
  <c r="F766" i="8"/>
  <c r="E766" i="8"/>
  <c r="F765" i="8"/>
  <c r="E765" i="8"/>
  <c r="F764" i="8"/>
  <c r="E764" i="8"/>
  <c r="F763" i="8"/>
  <c r="E763" i="8"/>
  <c r="F762" i="8"/>
  <c r="E762" i="8"/>
  <c r="F761" i="8"/>
  <c r="E761" i="8"/>
  <c r="F760" i="8"/>
  <c r="E760" i="8"/>
  <c r="F759" i="8"/>
  <c r="E759" i="8"/>
  <c r="F758" i="8"/>
  <c r="E758" i="8"/>
  <c r="F757" i="8"/>
  <c r="E757" i="8"/>
  <c r="F756" i="8"/>
  <c r="E756" i="8"/>
  <c r="F755" i="8"/>
  <c r="E755" i="8"/>
  <c r="F754" i="8"/>
  <c r="E754" i="8"/>
  <c r="F753" i="8"/>
  <c r="E753" i="8"/>
  <c r="F752" i="8"/>
  <c r="E752" i="8"/>
  <c r="F751" i="8"/>
  <c r="E751" i="8"/>
  <c r="F750" i="8"/>
  <c r="E750" i="8"/>
  <c r="F749" i="8"/>
  <c r="E749" i="8"/>
  <c r="F748" i="8"/>
  <c r="E748" i="8"/>
  <c r="F747" i="8"/>
  <c r="E747" i="8"/>
  <c r="F746" i="8"/>
  <c r="E746" i="8"/>
  <c r="F745" i="8"/>
  <c r="E745" i="8"/>
  <c r="F744" i="8"/>
  <c r="E744" i="8"/>
  <c r="F743" i="8"/>
  <c r="E743" i="8"/>
  <c r="F742" i="8"/>
  <c r="E742" i="8"/>
  <c r="F741" i="8"/>
  <c r="E741" i="8"/>
  <c r="F740" i="8"/>
  <c r="E740" i="8"/>
  <c r="F739" i="8"/>
  <c r="E739" i="8"/>
  <c r="F738" i="8"/>
  <c r="E738" i="8"/>
  <c r="F737" i="8"/>
  <c r="E737" i="8"/>
  <c r="F736" i="8"/>
  <c r="E736" i="8"/>
  <c r="F735" i="8"/>
  <c r="E735" i="8"/>
  <c r="F734" i="8"/>
  <c r="E734" i="8"/>
  <c r="F733" i="8"/>
  <c r="E733" i="8"/>
  <c r="F732" i="8"/>
  <c r="E732" i="8"/>
  <c r="F731" i="8"/>
  <c r="E731" i="8"/>
  <c r="F730" i="8"/>
  <c r="E730" i="8"/>
  <c r="F729" i="8"/>
  <c r="E729" i="8"/>
  <c r="F728" i="8"/>
  <c r="E728" i="8"/>
  <c r="F727" i="8"/>
  <c r="E727" i="8"/>
  <c r="F726" i="8"/>
  <c r="E726" i="8"/>
  <c r="F725" i="8"/>
  <c r="E725" i="8"/>
  <c r="F724" i="8"/>
  <c r="E724" i="8"/>
  <c r="F723" i="8"/>
  <c r="E723" i="8"/>
  <c r="F722" i="8"/>
  <c r="E722" i="8"/>
  <c r="F721" i="8"/>
  <c r="E721" i="8"/>
  <c r="F720" i="8"/>
  <c r="E720" i="8"/>
  <c r="F719" i="8"/>
  <c r="E719" i="8"/>
  <c r="F718" i="8"/>
  <c r="E718" i="8"/>
  <c r="F717" i="8"/>
  <c r="E717" i="8"/>
  <c r="F716" i="8"/>
  <c r="E716" i="8"/>
  <c r="F715" i="8"/>
  <c r="E715" i="8"/>
  <c r="F714" i="8"/>
  <c r="E714" i="8"/>
  <c r="F713" i="8"/>
  <c r="E713" i="8"/>
  <c r="F712" i="8"/>
  <c r="E712" i="8"/>
  <c r="F711" i="8"/>
  <c r="E711" i="8"/>
  <c r="F710" i="8"/>
  <c r="E710" i="8"/>
  <c r="F709" i="8"/>
  <c r="E709" i="8"/>
  <c r="F708" i="8"/>
  <c r="E708" i="8"/>
  <c r="F707" i="8"/>
  <c r="E707" i="8"/>
  <c r="F706" i="8"/>
  <c r="E706" i="8"/>
  <c r="F705" i="8"/>
  <c r="E705" i="8"/>
  <c r="F704" i="8"/>
  <c r="E704" i="8"/>
  <c r="F703" i="8"/>
  <c r="E703" i="8"/>
  <c r="F702" i="8"/>
  <c r="E702" i="8"/>
  <c r="F701" i="8"/>
  <c r="E701" i="8"/>
  <c r="F700" i="8"/>
  <c r="E700" i="8"/>
  <c r="F699" i="8"/>
  <c r="E699" i="8"/>
  <c r="F698" i="8"/>
  <c r="E698" i="8"/>
  <c r="F697" i="8"/>
  <c r="E697" i="8"/>
  <c r="F696" i="8"/>
  <c r="E696" i="8"/>
  <c r="F695" i="8"/>
  <c r="E695" i="8"/>
  <c r="F694" i="8"/>
  <c r="E694" i="8"/>
  <c r="F693" i="8"/>
  <c r="E693" i="8"/>
  <c r="F692" i="8"/>
  <c r="E692" i="8"/>
  <c r="F691" i="8"/>
  <c r="E691" i="8"/>
  <c r="F690" i="8"/>
  <c r="E690" i="8"/>
  <c r="F689" i="8"/>
  <c r="E689" i="8"/>
  <c r="F688" i="8"/>
  <c r="E688" i="8"/>
  <c r="F687" i="8"/>
  <c r="E687" i="8"/>
  <c r="F686" i="8"/>
  <c r="E686" i="8"/>
  <c r="F685" i="8"/>
  <c r="E685" i="8"/>
  <c r="F684" i="8"/>
  <c r="E684" i="8"/>
  <c r="F683" i="8"/>
  <c r="E683" i="8"/>
  <c r="F682" i="8"/>
  <c r="E682" i="8"/>
  <c r="F681" i="8"/>
  <c r="E681" i="8"/>
  <c r="F680" i="8"/>
  <c r="E680" i="8"/>
  <c r="F679" i="8"/>
  <c r="E679" i="8"/>
  <c r="F678" i="8"/>
  <c r="E678" i="8"/>
  <c r="F677" i="8"/>
  <c r="E677" i="8"/>
  <c r="F676" i="8"/>
  <c r="E676" i="8"/>
  <c r="F675" i="8"/>
  <c r="E675" i="8"/>
  <c r="F674" i="8"/>
  <c r="E674" i="8"/>
  <c r="F673" i="8"/>
  <c r="E673" i="8"/>
  <c r="F672" i="8"/>
  <c r="E672" i="8"/>
  <c r="F671" i="8"/>
  <c r="E671" i="8"/>
  <c r="F670" i="8"/>
  <c r="E670" i="8"/>
  <c r="F669" i="8"/>
  <c r="E669" i="8"/>
  <c r="F668" i="8"/>
  <c r="E668" i="8"/>
  <c r="F667" i="8"/>
  <c r="E667" i="8"/>
  <c r="F666" i="8"/>
  <c r="E666" i="8"/>
  <c r="F665" i="8"/>
  <c r="E665" i="8"/>
  <c r="F664" i="8"/>
  <c r="E664" i="8"/>
  <c r="F663" i="8"/>
  <c r="E663" i="8"/>
  <c r="F662" i="8"/>
  <c r="E662" i="8"/>
  <c r="F661" i="8"/>
  <c r="E661" i="8"/>
  <c r="F660" i="8"/>
  <c r="E660" i="8"/>
  <c r="F659" i="8"/>
  <c r="E659" i="8"/>
  <c r="F658" i="8"/>
  <c r="E658" i="8"/>
  <c r="F657" i="8"/>
  <c r="E657" i="8"/>
  <c r="F656" i="8"/>
  <c r="E656" i="8"/>
  <c r="F655" i="8"/>
  <c r="E655" i="8"/>
  <c r="F654" i="8"/>
  <c r="E654" i="8"/>
  <c r="F653" i="8"/>
  <c r="E653" i="8"/>
  <c r="F652" i="8"/>
  <c r="E652" i="8"/>
  <c r="F651" i="8"/>
  <c r="E651" i="8"/>
  <c r="F650" i="8"/>
  <c r="E650" i="8"/>
  <c r="F649" i="8"/>
  <c r="E649" i="8"/>
  <c r="F648" i="8"/>
  <c r="E648" i="8"/>
  <c r="F647" i="8"/>
  <c r="E647" i="8"/>
  <c r="F646" i="8"/>
  <c r="E646" i="8"/>
  <c r="F645" i="8"/>
  <c r="E645" i="8"/>
  <c r="F644" i="8"/>
  <c r="E644" i="8"/>
  <c r="F643" i="8"/>
  <c r="E643" i="8"/>
  <c r="F642" i="8"/>
  <c r="E642" i="8"/>
  <c r="F641" i="8"/>
  <c r="E641" i="8"/>
  <c r="F640" i="8"/>
  <c r="E640" i="8"/>
  <c r="F639" i="8"/>
  <c r="E639" i="8"/>
  <c r="F638" i="8"/>
  <c r="E638" i="8"/>
  <c r="F637" i="8"/>
  <c r="E637" i="8"/>
  <c r="F636" i="8"/>
  <c r="E636" i="8"/>
  <c r="F635" i="8"/>
  <c r="E635" i="8"/>
  <c r="F634" i="8"/>
  <c r="E634" i="8"/>
  <c r="F633" i="8"/>
  <c r="E633" i="8"/>
  <c r="F632" i="8"/>
  <c r="E632" i="8"/>
  <c r="F631" i="8"/>
  <c r="E631" i="8"/>
  <c r="F630" i="8"/>
  <c r="E630" i="8"/>
  <c r="F629" i="8"/>
  <c r="E629" i="8"/>
  <c r="F628" i="8"/>
  <c r="E628" i="8"/>
  <c r="F627" i="8"/>
  <c r="E627" i="8"/>
  <c r="F626" i="8"/>
  <c r="E626" i="8"/>
  <c r="F625" i="8"/>
  <c r="E625" i="8"/>
  <c r="F624" i="8"/>
  <c r="E624" i="8"/>
  <c r="F623" i="8"/>
  <c r="E623" i="8"/>
  <c r="F622" i="8"/>
  <c r="E622" i="8"/>
  <c r="F621" i="8"/>
  <c r="E621" i="8"/>
  <c r="F620" i="8"/>
  <c r="E620" i="8"/>
  <c r="F619" i="8"/>
  <c r="E619" i="8"/>
  <c r="F618" i="8"/>
  <c r="E618" i="8"/>
  <c r="F617" i="8"/>
  <c r="E617" i="8"/>
  <c r="F616" i="8"/>
  <c r="E616" i="8"/>
  <c r="F615" i="8"/>
  <c r="E615" i="8"/>
  <c r="F614" i="8"/>
  <c r="E614" i="8"/>
  <c r="F613" i="8"/>
  <c r="E613" i="8"/>
  <c r="F612" i="8"/>
  <c r="E612" i="8"/>
  <c r="F611" i="8"/>
  <c r="E611" i="8"/>
  <c r="F610" i="8"/>
  <c r="E610" i="8"/>
  <c r="F609" i="8"/>
  <c r="E609" i="8"/>
  <c r="F608" i="8"/>
  <c r="E608" i="8"/>
  <c r="F607" i="8"/>
  <c r="E607" i="8"/>
  <c r="F606" i="8"/>
  <c r="E606" i="8"/>
  <c r="F605" i="8"/>
  <c r="E605" i="8"/>
  <c r="F604" i="8"/>
  <c r="E604" i="8"/>
  <c r="F603" i="8"/>
  <c r="E603" i="8"/>
  <c r="F602" i="8"/>
  <c r="E602" i="8"/>
  <c r="F601" i="8"/>
  <c r="E601" i="8"/>
  <c r="F600" i="8"/>
  <c r="E600" i="8"/>
  <c r="F599" i="8"/>
  <c r="E599" i="8"/>
  <c r="F598" i="8"/>
  <c r="E598" i="8"/>
  <c r="F597" i="8"/>
  <c r="E597" i="8"/>
  <c r="F596" i="8"/>
  <c r="E596" i="8"/>
  <c r="F595" i="8"/>
  <c r="E595" i="8"/>
  <c r="F594" i="8"/>
  <c r="E594" i="8"/>
  <c r="F593" i="8"/>
  <c r="E593" i="8"/>
  <c r="F592" i="8"/>
  <c r="E592" i="8"/>
  <c r="F591" i="8"/>
  <c r="E591" i="8"/>
  <c r="F590" i="8"/>
  <c r="E590" i="8"/>
  <c r="F589" i="8"/>
  <c r="E589" i="8"/>
  <c r="F588" i="8"/>
  <c r="E588" i="8"/>
  <c r="F587" i="8"/>
  <c r="E587" i="8"/>
  <c r="F586" i="8"/>
  <c r="E586" i="8"/>
  <c r="F585" i="8"/>
  <c r="E585" i="8"/>
  <c r="F584" i="8"/>
  <c r="E584" i="8"/>
  <c r="F583" i="8"/>
  <c r="E583" i="8"/>
  <c r="F582" i="8"/>
  <c r="E582" i="8"/>
  <c r="F581" i="8"/>
  <c r="E581" i="8"/>
  <c r="F580" i="8"/>
  <c r="E580" i="8"/>
  <c r="F579" i="8"/>
  <c r="E579" i="8"/>
  <c r="F578" i="8"/>
  <c r="E578" i="8"/>
  <c r="F577" i="8"/>
  <c r="E577" i="8"/>
  <c r="F576" i="8"/>
  <c r="E576" i="8"/>
  <c r="F575" i="8"/>
  <c r="E575" i="8"/>
  <c r="F574" i="8"/>
  <c r="E574" i="8"/>
  <c r="F573" i="8"/>
  <c r="E573" i="8"/>
  <c r="F572" i="8"/>
  <c r="E572" i="8"/>
  <c r="F571" i="8"/>
  <c r="E571" i="8"/>
  <c r="F570" i="8"/>
  <c r="E570" i="8"/>
  <c r="F569" i="8"/>
  <c r="E569" i="8"/>
  <c r="F568" i="8"/>
  <c r="E568" i="8"/>
  <c r="F567" i="8"/>
  <c r="E567" i="8"/>
  <c r="F566" i="8"/>
  <c r="E566" i="8"/>
  <c r="F565" i="8"/>
  <c r="E565" i="8"/>
  <c r="F564" i="8"/>
  <c r="E564" i="8"/>
  <c r="F563" i="8"/>
  <c r="E563" i="8"/>
  <c r="F562" i="8"/>
  <c r="E562" i="8"/>
  <c r="F561" i="8"/>
  <c r="E561" i="8"/>
  <c r="F560" i="8"/>
  <c r="E560" i="8"/>
  <c r="F559" i="8"/>
  <c r="E559" i="8"/>
  <c r="F558" i="8"/>
  <c r="E558" i="8"/>
  <c r="F557" i="8"/>
  <c r="E557" i="8"/>
  <c r="F556" i="8"/>
  <c r="E556" i="8"/>
  <c r="F555" i="8"/>
  <c r="E555" i="8"/>
  <c r="F554" i="8"/>
  <c r="E554" i="8"/>
  <c r="F553" i="8"/>
  <c r="E553" i="8"/>
  <c r="F552" i="8"/>
  <c r="E552" i="8"/>
  <c r="F551" i="8"/>
  <c r="E551" i="8"/>
  <c r="F550" i="8"/>
  <c r="E550" i="8"/>
  <c r="F549" i="8"/>
  <c r="E549" i="8"/>
  <c r="F548" i="8"/>
  <c r="E548" i="8"/>
  <c r="F547" i="8"/>
  <c r="E547" i="8"/>
  <c r="F546" i="8"/>
  <c r="E546" i="8"/>
  <c r="F545" i="8"/>
  <c r="E545" i="8"/>
  <c r="F544" i="8"/>
  <c r="E544" i="8"/>
  <c r="F543" i="8"/>
  <c r="E543" i="8"/>
  <c r="F542" i="8"/>
  <c r="E542" i="8"/>
  <c r="F541" i="8"/>
  <c r="E541" i="8"/>
  <c r="F540" i="8"/>
  <c r="E540" i="8"/>
  <c r="F539" i="8"/>
  <c r="E539" i="8"/>
  <c r="F538" i="8"/>
  <c r="E538" i="8"/>
  <c r="F537" i="8"/>
  <c r="E537" i="8"/>
  <c r="F536" i="8"/>
  <c r="E536" i="8"/>
  <c r="F535" i="8"/>
  <c r="E535" i="8"/>
  <c r="F534" i="8"/>
  <c r="E534" i="8"/>
  <c r="F533" i="8"/>
  <c r="E533" i="8"/>
  <c r="F532" i="8"/>
  <c r="E532" i="8"/>
  <c r="F531" i="8"/>
  <c r="E531" i="8"/>
  <c r="F530" i="8"/>
  <c r="E530" i="8"/>
  <c r="F529" i="8"/>
  <c r="E529" i="8"/>
  <c r="F528" i="8"/>
  <c r="E528" i="8"/>
  <c r="F527" i="8"/>
  <c r="E527" i="8"/>
  <c r="F526" i="8"/>
  <c r="E526" i="8"/>
  <c r="F525" i="8"/>
  <c r="E525" i="8"/>
  <c r="F524" i="8"/>
  <c r="E524" i="8"/>
  <c r="F523" i="8"/>
  <c r="E523" i="8"/>
  <c r="F522" i="8"/>
  <c r="E522" i="8"/>
  <c r="F521" i="8"/>
  <c r="E521" i="8"/>
  <c r="F520" i="8"/>
  <c r="E520" i="8"/>
  <c r="F519" i="8"/>
  <c r="E519" i="8"/>
  <c r="F518" i="8"/>
  <c r="E518" i="8"/>
  <c r="F517" i="8"/>
  <c r="E517" i="8"/>
  <c r="F516" i="8"/>
  <c r="E516" i="8"/>
  <c r="F515" i="8"/>
  <c r="E515" i="8"/>
  <c r="F514" i="8"/>
  <c r="E514" i="8"/>
  <c r="F513" i="8"/>
  <c r="E513" i="8"/>
  <c r="F512" i="8"/>
  <c r="E512" i="8"/>
  <c r="F511" i="8"/>
  <c r="E511" i="8"/>
  <c r="F510" i="8"/>
  <c r="E510" i="8"/>
  <c r="F509" i="8"/>
  <c r="E509" i="8"/>
  <c r="F508" i="8"/>
  <c r="E508" i="8"/>
  <c r="F507" i="8"/>
  <c r="E507" i="8"/>
  <c r="F506" i="8"/>
  <c r="E506" i="8"/>
  <c r="F505" i="8"/>
  <c r="E505" i="8"/>
  <c r="F504" i="8"/>
  <c r="E504" i="8"/>
  <c r="F503" i="8"/>
  <c r="E503" i="8"/>
  <c r="F502" i="8"/>
  <c r="E502" i="8"/>
  <c r="F501" i="8"/>
  <c r="E501" i="8"/>
  <c r="F500" i="8"/>
  <c r="E500" i="8"/>
  <c r="F499" i="8"/>
  <c r="E499" i="8"/>
  <c r="F498" i="8"/>
  <c r="E498" i="8"/>
  <c r="F497" i="8"/>
  <c r="E497" i="8"/>
  <c r="F496" i="8"/>
  <c r="E496" i="8"/>
  <c r="F495" i="8"/>
  <c r="E495" i="8"/>
  <c r="F494" i="8"/>
  <c r="E494" i="8"/>
  <c r="F493" i="8"/>
  <c r="E493" i="8"/>
  <c r="F492" i="8"/>
  <c r="E492" i="8"/>
  <c r="F491" i="8"/>
  <c r="E491" i="8"/>
  <c r="F490" i="8"/>
  <c r="E490" i="8"/>
  <c r="F489" i="8"/>
  <c r="E489" i="8"/>
  <c r="F488" i="8"/>
  <c r="E488" i="8"/>
  <c r="F487" i="8"/>
  <c r="E487" i="8"/>
  <c r="F486" i="8"/>
  <c r="E486" i="8"/>
  <c r="F485" i="8"/>
  <c r="E485" i="8"/>
  <c r="F484" i="8"/>
  <c r="E484" i="8"/>
  <c r="F483" i="8"/>
  <c r="E483" i="8"/>
  <c r="F482" i="8"/>
  <c r="E482" i="8"/>
  <c r="F481" i="8"/>
  <c r="E481" i="8"/>
  <c r="F480" i="8"/>
  <c r="E480" i="8"/>
  <c r="F479" i="8"/>
  <c r="E479" i="8"/>
  <c r="F478" i="8"/>
  <c r="E478" i="8"/>
  <c r="F477" i="8"/>
  <c r="E477" i="8"/>
  <c r="F476" i="8"/>
  <c r="E476" i="8"/>
  <c r="F475" i="8"/>
  <c r="E475" i="8"/>
  <c r="F474" i="8"/>
  <c r="E474" i="8"/>
  <c r="F473" i="8"/>
  <c r="E473" i="8"/>
  <c r="F472" i="8"/>
  <c r="E472" i="8"/>
  <c r="F471" i="8"/>
  <c r="E471" i="8"/>
  <c r="F470" i="8"/>
  <c r="E470" i="8"/>
  <c r="F469" i="8"/>
  <c r="E469" i="8"/>
  <c r="F468" i="8"/>
  <c r="E468" i="8"/>
  <c r="F467" i="8"/>
  <c r="E467" i="8"/>
  <c r="F466" i="8"/>
  <c r="E466" i="8"/>
  <c r="F465" i="8"/>
  <c r="E465" i="8"/>
  <c r="F464" i="8"/>
  <c r="E464" i="8"/>
  <c r="F463" i="8"/>
  <c r="E463" i="8"/>
  <c r="F462" i="8"/>
  <c r="E462" i="8"/>
  <c r="F461" i="8"/>
  <c r="E461" i="8"/>
  <c r="F460" i="8"/>
  <c r="E460" i="8"/>
  <c r="F459" i="8"/>
  <c r="E459" i="8"/>
  <c r="F458" i="8"/>
  <c r="E458" i="8"/>
  <c r="F457" i="8"/>
  <c r="E457" i="8"/>
  <c r="F456" i="8"/>
  <c r="E456" i="8"/>
  <c r="F455" i="8"/>
  <c r="E455" i="8"/>
  <c r="F454" i="8"/>
  <c r="E454" i="8"/>
  <c r="F453" i="8"/>
  <c r="E453" i="8"/>
  <c r="F452" i="8"/>
  <c r="E452" i="8"/>
  <c r="F451" i="8"/>
  <c r="E451" i="8"/>
  <c r="F450" i="8"/>
  <c r="E450" i="8"/>
  <c r="F449" i="8"/>
  <c r="E449" i="8"/>
  <c r="F448" i="8"/>
  <c r="E448" i="8"/>
  <c r="F447" i="8"/>
  <c r="E447" i="8"/>
  <c r="F446" i="8"/>
  <c r="E446" i="8"/>
  <c r="F445" i="8"/>
  <c r="E445" i="8"/>
  <c r="F444" i="8"/>
  <c r="E444" i="8"/>
  <c r="F443" i="8"/>
  <c r="E443" i="8"/>
  <c r="F442" i="8"/>
  <c r="E442" i="8"/>
  <c r="F441" i="8"/>
  <c r="E441" i="8"/>
  <c r="F440" i="8"/>
  <c r="E440" i="8"/>
  <c r="F439" i="8"/>
  <c r="E439" i="8"/>
  <c r="F438" i="8"/>
  <c r="E438" i="8"/>
  <c r="F437" i="8"/>
  <c r="E437" i="8"/>
  <c r="F436" i="8"/>
  <c r="E436" i="8"/>
  <c r="F435" i="8"/>
  <c r="E435" i="8"/>
  <c r="F434" i="8"/>
  <c r="E434" i="8"/>
  <c r="F433" i="8"/>
  <c r="E433" i="8"/>
  <c r="F432" i="8"/>
  <c r="E432" i="8"/>
  <c r="F431" i="8"/>
  <c r="E431" i="8"/>
  <c r="F430" i="8"/>
  <c r="E430" i="8"/>
  <c r="F429" i="8"/>
  <c r="E429" i="8"/>
  <c r="F428" i="8"/>
  <c r="E428" i="8"/>
  <c r="F427" i="8"/>
  <c r="E427" i="8"/>
  <c r="F426" i="8"/>
  <c r="E426" i="8"/>
  <c r="F425" i="8"/>
  <c r="E425" i="8"/>
  <c r="F424" i="8"/>
  <c r="E424" i="8"/>
  <c r="F423" i="8"/>
  <c r="E423" i="8"/>
  <c r="F422" i="8"/>
  <c r="E422" i="8"/>
  <c r="F421" i="8"/>
  <c r="E421" i="8"/>
  <c r="F420" i="8"/>
  <c r="E420" i="8"/>
  <c r="F419" i="8"/>
  <c r="E419" i="8"/>
  <c r="F418" i="8"/>
  <c r="E418" i="8"/>
  <c r="F417" i="8"/>
  <c r="E417" i="8"/>
  <c r="F416" i="8"/>
  <c r="E416" i="8"/>
  <c r="F415" i="8"/>
  <c r="E415" i="8"/>
  <c r="F414" i="8"/>
  <c r="E414" i="8"/>
  <c r="F413" i="8"/>
  <c r="E413" i="8"/>
  <c r="F412" i="8"/>
  <c r="E412" i="8"/>
  <c r="F411" i="8"/>
  <c r="E411" i="8"/>
  <c r="F410" i="8"/>
  <c r="E410" i="8"/>
  <c r="F409" i="8"/>
  <c r="E409" i="8"/>
  <c r="F408" i="8"/>
  <c r="E408" i="8"/>
  <c r="F407" i="8"/>
  <c r="E407" i="8"/>
  <c r="F406" i="8"/>
  <c r="E406" i="8"/>
  <c r="F405" i="8"/>
  <c r="E405" i="8"/>
  <c r="F404" i="8"/>
  <c r="E404" i="8"/>
  <c r="F403" i="8"/>
  <c r="E403" i="8"/>
  <c r="F402" i="8"/>
  <c r="E402" i="8"/>
  <c r="F401" i="8"/>
  <c r="E401" i="8"/>
  <c r="F400" i="8"/>
  <c r="E400" i="8"/>
  <c r="F399" i="8"/>
  <c r="E399" i="8"/>
  <c r="F398" i="8"/>
  <c r="E398" i="8"/>
  <c r="F397" i="8"/>
  <c r="E397" i="8"/>
  <c r="F396" i="8"/>
  <c r="E396" i="8"/>
  <c r="F395" i="8"/>
  <c r="E395" i="8"/>
  <c r="F394" i="8"/>
  <c r="E394" i="8"/>
  <c r="F393" i="8"/>
  <c r="E393" i="8"/>
  <c r="F392" i="8"/>
  <c r="E392" i="8"/>
  <c r="F391" i="8"/>
  <c r="E391" i="8"/>
  <c r="F390" i="8"/>
  <c r="E390" i="8"/>
  <c r="F389" i="8"/>
  <c r="E389" i="8"/>
  <c r="F388" i="8"/>
  <c r="E388" i="8"/>
  <c r="F387" i="8"/>
  <c r="E387" i="8"/>
  <c r="F386" i="8"/>
  <c r="E386" i="8"/>
  <c r="F385" i="8"/>
  <c r="E385" i="8"/>
  <c r="F384" i="8"/>
  <c r="E384" i="8"/>
  <c r="F383" i="8"/>
  <c r="E383" i="8"/>
  <c r="F382" i="8"/>
  <c r="E382" i="8"/>
  <c r="F381" i="8"/>
  <c r="E381" i="8"/>
  <c r="F380" i="8"/>
  <c r="E380" i="8"/>
  <c r="F379" i="8"/>
  <c r="E379" i="8"/>
  <c r="F378" i="8"/>
  <c r="E378" i="8"/>
  <c r="F377" i="8"/>
  <c r="E377" i="8"/>
  <c r="F376" i="8"/>
  <c r="E376" i="8"/>
  <c r="F375" i="8"/>
  <c r="E375" i="8"/>
  <c r="F374" i="8"/>
  <c r="E374" i="8"/>
  <c r="F373" i="8"/>
  <c r="E373" i="8"/>
  <c r="F372" i="8"/>
  <c r="E372" i="8"/>
  <c r="F371" i="8"/>
  <c r="E371" i="8"/>
  <c r="F370" i="8"/>
  <c r="E370" i="8"/>
  <c r="F369" i="8"/>
  <c r="E369" i="8"/>
  <c r="F368" i="8"/>
  <c r="E368" i="8"/>
  <c r="F367" i="8"/>
  <c r="E367" i="8"/>
  <c r="F366" i="8"/>
  <c r="E366" i="8"/>
  <c r="F365" i="8"/>
  <c r="E365" i="8"/>
  <c r="F364" i="8"/>
  <c r="E364" i="8"/>
  <c r="F363" i="8"/>
  <c r="E363" i="8"/>
  <c r="F362" i="8"/>
  <c r="E362" i="8"/>
  <c r="F361" i="8"/>
  <c r="E361" i="8"/>
  <c r="F360" i="8"/>
  <c r="E360" i="8"/>
  <c r="F359" i="8"/>
  <c r="E359" i="8"/>
  <c r="F358" i="8"/>
  <c r="E358" i="8"/>
  <c r="F357" i="8"/>
  <c r="E357" i="8"/>
  <c r="F356" i="8"/>
  <c r="E356" i="8"/>
  <c r="F355" i="8"/>
  <c r="E355" i="8"/>
  <c r="F354" i="8"/>
  <c r="E354" i="8"/>
  <c r="F353" i="8"/>
  <c r="E353" i="8"/>
  <c r="F352" i="8"/>
  <c r="E352" i="8"/>
  <c r="F351" i="8"/>
  <c r="E351" i="8"/>
  <c r="F350" i="8"/>
  <c r="E350" i="8"/>
  <c r="F349" i="8"/>
  <c r="E349" i="8"/>
  <c r="F348" i="8"/>
  <c r="E348" i="8"/>
  <c r="F347" i="8"/>
  <c r="E347" i="8"/>
  <c r="F346" i="8"/>
  <c r="E346" i="8"/>
  <c r="F345" i="8"/>
  <c r="E345" i="8"/>
  <c r="F344" i="8"/>
  <c r="E344" i="8"/>
  <c r="F343" i="8"/>
  <c r="E343" i="8"/>
  <c r="F342" i="8"/>
  <c r="E342" i="8"/>
  <c r="F341" i="8"/>
  <c r="E341" i="8"/>
  <c r="F340" i="8"/>
  <c r="E340" i="8"/>
  <c r="F339" i="8"/>
  <c r="E339" i="8"/>
  <c r="F338" i="8"/>
  <c r="E338" i="8"/>
  <c r="F337" i="8"/>
  <c r="E337" i="8"/>
  <c r="F336" i="8"/>
  <c r="E336" i="8"/>
  <c r="F335" i="8"/>
  <c r="E335" i="8"/>
  <c r="F334" i="8"/>
  <c r="E334" i="8"/>
  <c r="F333" i="8"/>
  <c r="E333" i="8"/>
  <c r="F332" i="8"/>
  <c r="E332" i="8"/>
  <c r="F331" i="8"/>
  <c r="E331" i="8"/>
  <c r="F330" i="8"/>
  <c r="E330" i="8"/>
  <c r="F329" i="8"/>
  <c r="E329" i="8"/>
  <c r="F328" i="8"/>
  <c r="E328" i="8"/>
  <c r="F327" i="8"/>
  <c r="E327" i="8"/>
  <c r="F326" i="8"/>
  <c r="E326" i="8"/>
  <c r="F325" i="8"/>
  <c r="E325" i="8"/>
  <c r="F324" i="8"/>
  <c r="E324" i="8"/>
  <c r="F323" i="8"/>
  <c r="E323" i="8"/>
  <c r="F322" i="8"/>
  <c r="E322" i="8"/>
  <c r="F321" i="8"/>
  <c r="E321" i="8"/>
  <c r="F320" i="8"/>
  <c r="E320" i="8"/>
  <c r="F319" i="8"/>
  <c r="E319" i="8"/>
  <c r="F318" i="8"/>
  <c r="E318" i="8"/>
  <c r="F317" i="8"/>
  <c r="E317" i="8"/>
  <c r="F316" i="8"/>
  <c r="E316" i="8"/>
  <c r="F315" i="8"/>
  <c r="E315" i="8"/>
  <c r="F314" i="8"/>
  <c r="E314" i="8"/>
  <c r="F313" i="8"/>
  <c r="E313" i="8"/>
  <c r="F312" i="8"/>
  <c r="E312" i="8"/>
  <c r="F311" i="8"/>
  <c r="E311" i="8"/>
  <c r="F310" i="8"/>
  <c r="E310" i="8"/>
  <c r="F309" i="8"/>
  <c r="E309" i="8"/>
  <c r="F308" i="8"/>
  <c r="E308" i="8"/>
  <c r="F307" i="8"/>
  <c r="E307" i="8"/>
  <c r="F306" i="8"/>
  <c r="E306" i="8"/>
  <c r="F305" i="8"/>
  <c r="E305" i="8"/>
  <c r="F304" i="8"/>
  <c r="E304" i="8"/>
  <c r="F303" i="8"/>
  <c r="E303" i="8"/>
  <c r="F302" i="8"/>
  <c r="E302" i="8"/>
  <c r="F301" i="8"/>
  <c r="E301" i="8"/>
  <c r="F300" i="8"/>
  <c r="E300" i="8"/>
  <c r="F299" i="8"/>
  <c r="E299" i="8"/>
  <c r="F298" i="8"/>
  <c r="E298" i="8"/>
  <c r="F297" i="8"/>
  <c r="E297" i="8"/>
  <c r="F296" i="8"/>
  <c r="E296" i="8"/>
  <c r="F295" i="8"/>
  <c r="E295" i="8"/>
  <c r="F294" i="8"/>
  <c r="E294" i="8"/>
  <c r="F293" i="8"/>
  <c r="E293" i="8"/>
  <c r="F292" i="8"/>
  <c r="E292" i="8"/>
  <c r="F291" i="8"/>
  <c r="E291" i="8"/>
  <c r="F290" i="8"/>
  <c r="E290" i="8"/>
  <c r="F289" i="8"/>
  <c r="E289" i="8"/>
  <c r="F288" i="8"/>
  <c r="E288" i="8"/>
  <c r="F287" i="8"/>
  <c r="E287" i="8"/>
  <c r="F286" i="8"/>
  <c r="E286" i="8"/>
  <c r="F285" i="8"/>
  <c r="E285" i="8"/>
  <c r="F284" i="8"/>
  <c r="E284" i="8"/>
  <c r="F283" i="8"/>
  <c r="E283" i="8"/>
  <c r="F282" i="8"/>
  <c r="E282" i="8"/>
  <c r="F281" i="8"/>
  <c r="E281" i="8"/>
  <c r="F280" i="8"/>
  <c r="E280" i="8"/>
  <c r="F279" i="8"/>
  <c r="E279" i="8"/>
  <c r="F278" i="8"/>
  <c r="E278" i="8"/>
  <c r="F277" i="8"/>
  <c r="E277" i="8"/>
  <c r="F276" i="8"/>
  <c r="E276" i="8"/>
  <c r="F275" i="8"/>
  <c r="E275" i="8"/>
  <c r="F274" i="8"/>
  <c r="E274" i="8"/>
  <c r="F273" i="8"/>
  <c r="E273" i="8"/>
  <c r="F272" i="8"/>
  <c r="E272" i="8"/>
  <c r="F271" i="8"/>
  <c r="E271" i="8"/>
  <c r="F270" i="8"/>
  <c r="E270" i="8"/>
  <c r="F269" i="8"/>
  <c r="E269" i="8"/>
  <c r="F268" i="8"/>
  <c r="E268" i="8"/>
  <c r="F267" i="8"/>
  <c r="E267" i="8"/>
  <c r="F266" i="8"/>
  <c r="E266" i="8"/>
  <c r="F265" i="8"/>
  <c r="E265" i="8"/>
  <c r="F264" i="8"/>
  <c r="E264" i="8"/>
  <c r="F263" i="8"/>
  <c r="E263" i="8"/>
  <c r="F262" i="8"/>
  <c r="E262" i="8"/>
  <c r="F261" i="8"/>
  <c r="E261" i="8"/>
  <c r="F260" i="8"/>
  <c r="E260" i="8"/>
  <c r="F259" i="8"/>
  <c r="E259" i="8"/>
  <c r="F258" i="8"/>
  <c r="E258" i="8"/>
  <c r="F257" i="8"/>
  <c r="E257" i="8"/>
  <c r="F256" i="8"/>
  <c r="E256" i="8"/>
  <c r="F255" i="8"/>
  <c r="E255" i="8"/>
  <c r="F254" i="8"/>
  <c r="E254" i="8"/>
  <c r="F253" i="8"/>
  <c r="E253" i="8"/>
  <c r="F252" i="8"/>
  <c r="E252" i="8"/>
  <c r="F251" i="8"/>
  <c r="E251" i="8"/>
  <c r="F250" i="8"/>
  <c r="E250" i="8"/>
  <c r="F249" i="8"/>
  <c r="E249" i="8"/>
  <c r="F248" i="8"/>
  <c r="E248" i="8"/>
  <c r="F247" i="8"/>
  <c r="E247" i="8"/>
  <c r="F246" i="8"/>
  <c r="E246" i="8"/>
  <c r="F245" i="8"/>
  <c r="E245" i="8"/>
  <c r="F244" i="8"/>
  <c r="E244" i="8"/>
  <c r="F243" i="8"/>
  <c r="E243" i="8"/>
  <c r="F242" i="8"/>
  <c r="E242" i="8"/>
  <c r="F241" i="8"/>
  <c r="E241" i="8"/>
  <c r="F240" i="8"/>
  <c r="E240" i="8"/>
  <c r="F239" i="8"/>
  <c r="E239" i="8"/>
  <c r="F238" i="8"/>
  <c r="E238" i="8"/>
  <c r="F237" i="8"/>
  <c r="E237" i="8"/>
  <c r="F236" i="8"/>
  <c r="E236" i="8"/>
  <c r="F235" i="8"/>
  <c r="E235" i="8"/>
  <c r="F234" i="8"/>
  <c r="E234" i="8"/>
  <c r="F233" i="8"/>
  <c r="E233" i="8"/>
  <c r="F232" i="8"/>
  <c r="E232" i="8"/>
  <c r="F231" i="8"/>
  <c r="E231" i="8"/>
  <c r="F230" i="8"/>
  <c r="E230" i="8"/>
  <c r="F229" i="8"/>
  <c r="E229" i="8"/>
  <c r="F228" i="8"/>
  <c r="E228" i="8"/>
  <c r="F227" i="8"/>
  <c r="E227" i="8"/>
  <c r="F226" i="8"/>
  <c r="E226" i="8"/>
  <c r="F225" i="8"/>
  <c r="E225" i="8"/>
  <c r="F224" i="8"/>
  <c r="E224" i="8"/>
  <c r="F223" i="8"/>
  <c r="E223" i="8"/>
  <c r="F222" i="8"/>
  <c r="E222" i="8"/>
  <c r="F221" i="8"/>
  <c r="E221" i="8"/>
  <c r="F220" i="8"/>
  <c r="E220" i="8"/>
  <c r="F219" i="8"/>
  <c r="E219" i="8"/>
  <c r="F218" i="8"/>
  <c r="E218" i="8"/>
  <c r="F217" i="8"/>
  <c r="E217" i="8"/>
  <c r="F216" i="8"/>
  <c r="E216" i="8"/>
  <c r="F215" i="8"/>
  <c r="E215" i="8"/>
  <c r="F214" i="8"/>
  <c r="E214" i="8"/>
  <c r="F213" i="8"/>
  <c r="E213" i="8"/>
  <c r="F212" i="8"/>
  <c r="E212" i="8"/>
  <c r="F211" i="8"/>
  <c r="E211" i="8"/>
  <c r="F210" i="8"/>
  <c r="E210" i="8"/>
  <c r="F209" i="8"/>
  <c r="E209" i="8"/>
  <c r="F208" i="8"/>
  <c r="E208" i="8"/>
  <c r="F207" i="8"/>
  <c r="E207" i="8"/>
  <c r="F206" i="8"/>
  <c r="E206" i="8"/>
  <c r="F205" i="8"/>
  <c r="E205" i="8"/>
  <c r="F204" i="8"/>
  <c r="E204" i="8"/>
  <c r="F203" i="8"/>
  <c r="E203" i="8"/>
  <c r="F202" i="8"/>
  <c r="E202" i="8"/>
  <c r="F201" i="8"/>
  <c r="E201" i="8"/>
  <c r="F200" i="8"/>
  <c r="E200" i="8"/>
  <c r="F199" i="8"/>
  <c r="E199" i="8"/>
  <c r="F198" i="8"/>
  <c r="E198" i="8"/>
  <c r="F197" i="8"/>
  <c r="E197" i="8"/>
  <c r="F196" i="8"/>
  <c r="E196" i="8"/>
  <c r="F195" i="8"/>
  <c r="E195" i="8"/>
  <c r="F194" i="8"/>
  <c r="E194" i="8"/>
  <c r="F193" i="8"/>
  <c r="E193" i="8"/>
  <c r="F192" i="8"/>
  <c r="E192" i="8"/>
  <c r="F191" i="8"/>
  <c r="E191" i="8"/>
  <c r="F190" i="8"/>
  <c r="E190" i="8"/>
  <c r="F189" i="8"/>
  <c r="E189" i="8"/>
  <c r="F188" i="8"/>
  <c r="E188" i="8"/>
  <c r="F187" i="8"/>
  <c r="E187" i="8"/>
  <c r="F186" i="8"/>
  <c r="E186" i="8"/>
  <c r="F185" i="8"/>
  <c r="E185" i="8"/>
  <c r="F184" i="8"/>
  <c r="E184" i="8"/>
  <c r="F183" i="8"/>
  <c r="E183" i="8"/>
  <c r="F182" i="8"/>
  <c r="E182" i="8"/>
  <c r="F181" i="8"/>
  <c r="E181" i="8"/>
  <c r="F180" i="8"/>
  <c r="E180" i="8"/>
  <c r="F179" i="8"/>
  <c r="E179" i="8"/>
  <c r="F178" i="8"/>
  <c r="E178" i="8"/>
  <c r="F177" i="8"/>
  <c r="E177" i="8"/>
  <c r="F176" i="8"/>
  <c r="E176" i="8"/>
  <c r="F175" i="8"/>
  <c r="E175" i="8"/>
  <c r="F174" i="8"/>
  <c r="E174" i="8"/>
  <c r="F173" i="8"/>
  <c r="E173" i="8"/>
  <c r="F172" i="8"/>
  <c r="E172" i="8"/>
  <c r="F171" i="8"/>
  <c r="E171" i="8"/>
  <c r="F170" i="8"/>
  <c r="E170" i="8"/>
  <c r="F169" i="8"/>
  <c r="E169" i="8"/>
  <c r="F168" i="8"/>
  <c r="E168" i="8"/>
  <c r="F167" i="8"/>
  <c r="E167" i="8"/>
  <c r="F166" i="8"/>
  <c r="E166" i="8"/>
  <c r="F165" i="8"/>
  <c r="E165" i="8"/>
  <c r="F164" i="8"/>
  <c r="E164" i="8"/>
  <c r="F163" i="8"/>
  <c r="E163" i="8"/>
  <c r="F162" i="8"/>
  <c r="E162" i="8"/>
  <c r="F161" i="8"/>
  <c r="E161" i="8"/>
  <c r="F160" i="8"/>
  <c r="E160" i="8"/>
  <c r="F159" i="8"/>
  <c r="E159" i="8"/>
  <c r="F158" i="8"/>
  <c r="E158" i="8"/>
  <c r="F157" i="8"/>
  <c r="E157" i="8"/>
  <c r="F156" i="8"/>
  <c r="E156" i="8"/>
  <c r="F155" i="8"/>
  <c r="E155" i="8"/>
  <c r="F154" i="8"/>
  <c r="E154" i="8"/>
  <c r="F153" i="8"/>
  <c r="E153" i="8"/>
  <c r="F152" i="8"/>
  <c r="E152" i="8"/>
  <c r="F151" i="8"/>
  <c r="E151" i="8"/>
  <c r="F150" i="8"/>
  <c r="E150" i="8"/>
  <c r="F149" i="8"/>
  <c r="E149" i="8"/>
  <c r="F148" i="8"/>
  <c r="E148" i="8"/>
  <c r="F147" i="8"/>
  <c r="E147" i="8"/>
  <c r="F146" i="8"/>
  <c r="E146" i="8"/>
  <c r="F145" i="8"/>
  <c r="E145" i="8"/>
  <c r="F144" i="8"/>
  <c r="E144" i="8"/>
  <c r="F143" i="8"/>
  <c r="E143" i="8"/>
  <c r="F142" i="8"/>
  <c r="E142" i="8"/>
  <c r="F141" i="8"/>
  <c r="E141" i="8"/>
  <c r="F140" i="8"/>
  <c r="E140" i="8"/>
  <c r="F139" i="8"/>
  <c r="E139" i="8"/>
  <c r="F138" i="8"/>
  <c r="E138" i="8"/>
  <c r="F137" i="8"/>
  <c r="E137" i="8"/>
  <c r="F136" i="8"/>
  <c r="E136" i="8"/>
  <c r="F135" i="8"/>
  <c r="E135" i="8"/>
  <c r="F134" i="8"/>
  <c r="E134" i="8"/>
  <c r="F133" i="8"/>
  <c r="E133" i="8"/>
  <c r="F132" i="8"/>
  <c r="E132" i="8"/>
  <c r="F131" i="8"/>
  <c r="E131" i="8"/>
  <c r="F130" i="8"/>
  <c r="E130" i="8"/>
  <c r="F129" i="8"/>
  <c r="E129" i="8"/>
  <c r="F128" i="8"/>
  <c r="E128" i="8"/>
  <c r="F127" i="8"/>
  <c r="E127" i="8"/>
  <c r="F126" i="8"/>
  <c r="E126" i="8"/>
  <c r="F125" i="8"/>
  <c r="E125" i="8"/>
  <c r="F124" i="8"/>
  <c r="E124" i="8"/>
  <c r="F123" i="8"/>
  <c r="E123" i="8"/>
  <c r="F122" i="8"/>
  <c r="E122" i="8"/>
  <c r="F121" i="8"/>
  <c r="E121" i="8"/>
  <c r="F120" i="8"/>
  <c r="E120" i="8"/>
  <c r="F119" i="8"/>
  <c r="E119" i="8"/>
  <c r="F118" i="8"/>
  <c r="E118" i="8"/>
  <c r="F117" i="8"/>
  <c r="E117" i="8"/>
  <c r="F116" i="8"/>
  <c r="E116" i="8"/>
  <c r="F115" i="8"/>
  <c r="E115" i="8"/>
  <c r="F114" i="8"/>
  <c r="E114" i="8"/>
  <c r="F113" i="8"/>
  <c r="E113" i="8"/>
  <c r="F112" i="8"/>
  <c r="E112" i="8"/>
  <c r="F111" i="8"/>
  <c r="E111" i="8"/>
  <c r="F110" i="8"/>
  <c r="E110" i="8"/>
  <c r="F109" i="8"/>
  <c r="E109" i="8"/>
  <c r="F108" i="8"/>
  <c r="E108" i="8"/>
  <c r="F107" i="8"/>
  <c r="E107" i="8"/>
  <c r="F106" i="8"/>
  <c r="E106" i="8"/>
  <c r="F105" i="8"/>
  <c r="E105" i="8"/>
  <c r="F104" i="8"/>
  <c r="E104" i="8"/>
  <c r="F103" i="8"/>
  <c r="E103" i="8"/>
  <c r="F102" i="8"/>
  <c r="E102" i="8"/>
  <c r="F101" i="8"/>
  <c r="E101" i="8"/>
  <c r="F100" i="8"/>
  <c r="E100" i="8"/>
  <c r="F99" i="8"/>
  <c r="E99" i="8"/>
  <c r="F98" i="8"/>
  <c r="E98" i="8"/>
  <c r="F97" i="8"/>
  <c r="E97" i="8"/>
  <c r="F96" i="8"/>
  <c r="E96" i="8"/>
  <c r="F95" i="8"/>
  <c r="E95" i="8"/>
  <c r="F94" i="8"/>
  <c r="E94" i="8"/>
  <c r="F93" i="8"/>
  <c r="E93" i="8"/>
  <c r="F92" i="8"/>
  <c r="E92" i="8"/>
  <c r="F91" i="8"/>
  <c r="E91" i="8"/>
  <c r="F90" i="8"/>
  <c r="E90" i="8"/>
  <c r="F89" i="8"/>
  <c r="E89" i="8"/>
  <c r="F88" i="8"/>
  <c r="E88" i="8"/>
  <c r="F87" i="8"/>
  <c r="E87" i="8"/>
  <c r="F86" i="8"/>
  <c r="E86" i="8"/>
  <c r="F85" i="8"/>
  <c r="E85" i="8"/>
  <c r="F84" i="8"/>
  <c r="E84" i="8"/>
  <c r="F83" i="8"/>
  <c r="E83" i="8"/>
  <c r="F82" i="8"/>
  <c r="E82" i="8"/>
  <c r="F81" i="8"/>
  <c r="E81" i="8"/>
  <c r="F80" i="8"/>
  <c r="E80" i="8"/>
  <c r="F79" i="8"/>
  <c r="E79" i="8"/>
  <c r="F78" i="8"/>
  <c r="E78" i="8"/>
  <c r="F77" i="8"/>
  <c r="E77" i="8"/>
  <c r="F76" i="8"/>
  <c r="E76" i="8"/>
  <c r="F75" i="8"/>
  <c r="E75" i="8"/>
  <c r="F74" i="8"/>
  <c r="E74" i="8"/>
  <c r="F73" i="8"/>
  <c r="E73" i="8"/>
  <c r="F72" i="8"/>
  <c r="E72" i="8"/>
  <c r="F71" i="8"/>
  <c r="E71" i="8"/>
  <c r="F70" i="8"/>
  <c r="E70" i="8"/>
  <c r="F69" i="8"/>
  <c r="E69" i="8"/>
  <c r="F68" i="8"/>
  <c r="E68" i="8"/>
  <c r="F67" i="8"/>
  <c r="E67" i="8"/>
  <c r="F66" i="8"/>
  <c r="E66" i="8"/>
  <c r="F65" i="8"/>
  <c r="E65" i="8"/>
  <c r="F64" i="8"/>
  <c r="E64" i="8"/>
  <c r="F63" i="8"/>
  <c r="E63" i="8"/>
  <c r="F62" i="8"/>
  <c r="E62" i="8"/>
  <c r="F61" i="8"/>
  <c r="E61" i="8"/>
  <c r="F60" i="8"/>
  <c r="E60" i="8"/>
  <c r="F59" i="8"/>
  <c r="E59" i="8"/>
  <c r="F58" i="8"/>
  <c r="E58" i="8"/>
  <c r="F57" i="8"/>
  <c r="E57" i="8"/>
  <c r="F56" i="8"/>
  <c r="E56" i="8"/>
  <c r="F55" i="8"/>
  <c r="E55" i="8"/>
  <c r="F54" i="8"/>
  <c r="E54" i="8"/>
  <c r="F53" i="8"/>
  <c r="E53" i="8"/>
  <c r="F52" i="8"/>
  <c r="E52" i="8"/>
  <c r="F51" i="8"/>
  <c r="E51" i="8"/>
  <c r="F50" i="8"/>
  <c r="E50" i="8"/>
  <c r="F49" i="8"/>
  <c r="E49" i="8"/>
  <c r="F48" i="8"/>
  <c r="E48" i="8"/>
  <c r="F47" i="8"/>
  <c r="E47" i="8"/>
  <c r="F46" i="8"/>
  <c r="E46" i="8"/>
  <c r="F45" i="8"/>
  <c r="E45" i="8"/>
  <c r="F44" i="8"/>
  <c r="E44" i="8"/>
  <c r="F43" i="8"/>
  <c r="E43" i="8"/>
  <c r="F42" i="8"/>
  <c r="E42" i="8"/>
  <c r="F41" i="8"/>
  <c r="E41" i="8"/>
  <c r="F40" i="8"/>
  <c r="E40" i="8"/>
  <c r="F39" i="8"/>
  <c r="E39" i="8"/>
  <c r="F38" i="8"/>
  <c r="E38" i="8"/>
  <c r="F37" i="8"/>
  <c r="E37" i="8"/>
  <c r="F36" i="8"/>
  <c r="E36" i="8"/>
  <c r="F35" i="8"/>
  <c r="E35" i="8"/>
  <c r="F34" i="8"/>
  <c r="E34" i="8"/>
  <c r="F33" i="8"/>
  <c r="E33" i="8"/>
  <c r="F32" i="8"/>
  <c r="E32" i="8"/>
  <c r="F31" i="8"/>
  <c r="E31" i="8"/>
  <c r="F30" i="8"/>
  <c r="E30" i="8"/>
  <c r="F29" i="8"/>
  <c r="E29" i="8"/>
  <c r="F28" i="8"/>
  <c r="E28" i="8"/>
  <c r="F27" i="8"/>
  <c r="E27" i="8"/>
  <c r="F26" i="8"/>
  <c r="E26" i="8"/>
  <c r="F25" i="8"/>
  <c r="E25" i="8"/>
  <c r="F24" i="8"/>
  <c r="E24" i="8"/>
  <c r="F23" i="8"/>
  <c r="E23" i="8"/>
  <c r="F22" i="8"/>
  <c r="E22" i="8"/>
  <c r="F21" i="8"/>
  <c r="E21" i="8"/>
  <c r="F20" i="8"/>
  <c r="E20" i="8"/>
  <c r="F19" i="8"/>
  <c r="E19" i="8"/>
  <c r="F18" i="8"/>
  <c r="E18" i="8"/>
  <c r="F17" i="8"/>
  <c r="E17" i="8"/>
  <c r="F16" i="8"/>
  <c r="E16" i="8"/>
  <c r="F15" i="8"/>
  <c r="E15" i="8"/>
  <c r="F14" i="8"/>
  <c r="E14" i="8"/>
  <c r="F13" i="8"/>
  <c r="E13" i="8"/>
  <c r="F12" i="8"/>
  <c r="E12" i="8"/>
  <c r="F11" i="8"/>
  <c r="E11" i="8"/>
  <c r="F10" i="8"/>
  <c r="E10" i="8"/>
  <c r="F9" i="8"/>
  <c r="E9" i="8"/>
  <c r="F8" i="8"/>
  <c r="E8" i="8"/>
  <c r="F7" i="8"/>
  <c r="E7" i="8"/>
  <c r="F6" i="8"/>
  <c r="E6" i="8"/>
  <c r="F5" i="8"/>
  <c r="E5" i="8"/>
  <c r="F4" i="8"/>
  <c r="E4" i="8"/>
  <c r="F3" i="8"/>
  <c r="E3" i="8"/>
  <c r="F2" i="8"/>
  <c r="E2" i="8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1" i="7"/>
  <c r="I4" i="6"/>
  <c r="I3" i="6"/>
  <c r="F50" i="4"/>
  <c r="J50" i="4" s="1"/>
  <c r="J49" i="4"/>
  <c r="F49" i="4"/>
  <c r="F48" i="4"/>
  <c r="J48" i="4" s="1"/>
  <c r="F47" i="4"/>
  <c r="J47" i="4" s="1"/>
  <c r="F46" i="4"/>
  <c r="J46" i="4" s="1"/>
  <c r="J45" i="4"/>
  <c r="F45" i="4"/>
  <c r="F44" i="4"/>
  <c r="J44" i="4" s="1"/>
  <c r="J43" i="4"/>
  <c r="F43" i="4"/>
  <c r="F42" i="4"/>
  <c r="J42" i="4" s="1"/>
  <c r="K3" i="4"/>
  <c r="Q401" i="3"/>
  <c r="N401" i="3"/>
  <c r="L401" i="3"/>
  <c r="I401" i="3"/>
  <c r="J401" i="3" s="1" a="1"/>
  <c r="J401" i="3" s="1"/>
  <c r="H401" i="3"/>
  <c r="S401" i="3" s="1"/>
  <c r="Q400" i="3"/>
  <c r="N400" i="3"/>
  <c r="L400" i="3"/>
  <c r="J400" i="3" a="1"/>
  <c r="J400" i="3"/>
  <c r="I400" i="3"/>
  <c r="H400" i="3"/>
  <c r="S400" i="3" s="1"/>
  <c r="Q399" i="3"/>
  <c r="N399" i="3"/>
  <c r="L399" i="3"/>
  <c r="J399" i="3"/>
  <c r="I399" i="3"/>
  <c r="J399" i="3" s="1" a="1"/>
  <c r="H399" i="3"/>
  <c r="S399" i="3" s="1"/>
  <c r="Q398" i="3"/>
  <c r="N398" i="3"/>
  <c r="L398" i="3"/>
  <c r="J398" i="3" a="1"/>
  <c r="J398" i="3"/>
  <c r="I398" i="3"/>
  <c r="H398" i="3"/>
  <c r="S398" i="3" s="1"/>
  <c r="Q397" i="3"/>
  <c r="N397" i="3"/>
  <c r="L397" i="3"/>
  <c r="J397" i="3"/>
  <c r="I397" i="3"/>
  <c r="J397" i="3" s="1" a="1"/>
  <c r="H397" i="3"/>
  <c r="S397" i="3" s="1"/>
  <c r="S396" i="3"/>
  <c r="Q396" i="3"/>
  <c r="N396" i="3"/>
  <c r="L396" i="3"/>
  <c r="J396" i="3" a="1"/>
  <c r="J396" i="3"/>
  <c r="I396" i="3"/>
  <c r="H396" i="3"/>
  <c r="Q395" i="3"/>
  <c r="N395" i="3"/>
  <c r="L395" i="3"/>
  <c r="I395" i="3"/>
  <c r="J395" i="3" s="1" a="1"/>
  <c r="J395" i="3" s="1"/>
  <c r="H395" i="3"/>
  <c r="S395" i="3" s="1"/>
  <c r="S394" i="3"/>
  <c r="Q394" i="3"/>
  <c r="N394" i="3"/>
  <c r="L394" i="3"/>
  <c r="J394" i="3" a="1"/>
  <c r="J394" i="3" s="1"/>
  <c r="I394" i="3"/>
  <c r="H394" i="3"/>
  <c r="Q393" i="3"/>
  <c r="N393" i="3"/>
  <c r="L393" i="3"/>
  <c r="I393" i="3"/>
  <c r="J393" i="3" s="1" a="1"/>
  <c r="J393" i="3" s="1"/>
  <c r="H393" i="3"/>
  <c r="S393" i="3" s="1"/>
  <c r="S392" i="3"/>
  <c r="Q392" i="3"/>
  <c r="N392" i="3"/>
  <c r="L392" i="3"/>
  <c r="J392" i="3" a="1"/>
  <c r="J392" i="3" s="1"/>
  <c r="I392" i="3"/>
  <c r="H392" i="3"/>
  <c r="Q391" i="3"/>
  <c r="N391" i="3"/>
  <c r="L391" i="3"/>
  <c r="I391" i="3"/>
  <c r="J391" i="3" s="1" a="1"/>
  <c r="J391" i="3" s="1"/>
  <c r="H391" i="3"/>
  <c r="S391" i="3" s="1"/>
  <c r="S390" i="3"/>
  <c r="Q390" i="3"/>
  <c r="N390" i="3"/>
  <c r="L390" i="3"/>
  <c r="J390" i="3" a="1"/>
  <c r="J390" i="3" s="1"/>
  <c r="I390" i="3"/>
  <c r="H390" i="3"/>
  <c r="Q389" i="3"/>
  <c r="N389" i="3"/>
  <c r="L389" i="3"/>
  <c r="I389" i="3"/>
  <c r="J389" i="3" s="1" a="1"/>
  <c r="J389" i="3" s="1"/>
  <c r="H389" i="3"/>
  <c r="S389" i="3" s="1"/>
  <c r="Q388" i="3"/>
  <c r="N388" i="3"/>
  <c r="L388" i="3"/>
  <c r="J388" i="3" a="1"/>
  <c r="J388" i="3" s="1"/>
  <c r="I388" i="3"/>
  <c r="H388" i="3"/>
  <c r="S388" i="3" s="1"/>
  <c r="Q387" i="3"/>
  <c r="N387" i="3"/>
  <c r="L387" i="3"/>
  <c r="I387" i="3"/>
  <c r="J387" i="3" s="1" a="1"/>
  <c r="J387" i="3" s="1"/>
  <c r="H387" i="3"/>
  <c r="S387" i="3" s="1"/>
  <c r="S386" i="3"/>
  <c r="Q386" i="3"/>
  <c r="N386" i="3"/>
  <c r="L386" i="3"/>
  <c r="J386" i="3" a="1"/>
  <c r="J386" i="3" s="1"/>
  <c r="I386" i="3"/>
  <c r="H386" i="3"/>
  <c r="Q385" i="3"/>
  <c r="N385" i="3"/>
  <c r="L385" i="3"/>
  <c r="I385" i="3"/>
  <c r="J385" i="3" s="1" a="1"/>
  <c r="J385" i="3" s="1"/>
  <c r="H385" i="3"/>
  <c r="S385" i="3" s="1"/>
  <c r="S384" i="3"/>
  <c r="Q384" i="3"/>
  <c r="N384" i="3"/>
  <c r="L384" i="3"/>
  <c r="J384" i="3" a="1"/>
  <c r="J384" i="3" s="1"/>
  <c r="I384" i="3"/>
  <c r="H384" i="3"/>
  <c r="Q383" i="3"/>
  <c r="N383" i="3"/>
  <c r="L383" i="3"/>
  <c r="I383" i="3"/>
  <c r="J383" i="3" s="1" a="1"/>
  <c r="J383" i="3" s="1"/>
  <c r="H383" i="3"/>
  <c r="S383" i="3" s="1"/>
  <c r="S382" i="3"/>
  <c r="Q382" i="3"/>
  <c r="N382" i="3"/>
  <c r="L382" i="3"/>
  <c r="J382" i="3" a="1"/>
  <c r="J382" i="3" s="1"/>
  <c r="I382" i="3"/>
  <c r="H382" i="3"/>
  <c r="Q381" i="3"/>
  <c r="N381" i="3"/>
  <c r="L381" i="3"/>
  <c r="I381" i="3"/>
  <c r="J381" i="3" s="1" a="1"/>
  <c r="J381" i="3" s="1"/>
  <c r="H381" i="3"/>
  <c r="S381" i="3" s="1"/>
  <c r="Q380" i="3"/>
  <c r="N380" i="3"/>
  <c r="L380" i="3"/>
  <c r="J380" i="3" a="1"/>
  <c r="J380" i="3" s="1"/>
  <c r="I380" i="3"/>
  <c r="H380" i="3"/>
  <c r="S380" i="3" s="1"/>
  <c r="Q379" i="3"/>
  <c r="N379" i="3"/>
  <c r="L379" i="3"/>
  <c r="I379" i="3"/>
  <c r="J379" i="3" s="1" a="1"/>
  <c r="J379" i="3" s="1"/>
  <c r="H379" i="3"/>
  <c r="S379" i="3" s="1"/>
  <c r="S378" i="3"/>
  <c r="Q378" i="3"/>
  <c r="N378" i="3"/>
  <c r="L378" i="3"/>
  <c r="J378" i="3" a="1"/>
  <c r="J378" i="3" s="1"/>
  <c r="I378" i="3"/>
  <c r="H378" i="3"/>
  <c r="Q377" i="3"/>
  <c r="N377" i="3"/>
  <c r="L377" i="3"/>
  <c r="I377" i="3"/>
  <c r="J377" i="3" s="1" a="1"/>
  <c r="J377" i="3" s="1"/>
  <c r="H377" i="3"/>
  <c r="S377" i="3" s="1"/>
  <c r="S376" i="3"/>
  <c r="Q376" i="3"/>
  <c r="N376" i="3"/>
  <c r="L376" i="3"/>
  <c r="J376" i="3" a="1"/>
  <c r="J376" i="3" s="1"/>
  <c r="I376" i="3"/>
  <c r="H376" i="3"/>
  <c r="Q375" i="3"/>
  <c r="N375" i="3"/>
  <c r="L375" i="3"/>
  <c r="I375" i="3"/>
  <c r="J375" i="3" s="1" a="1"/>
  <c r="J375" i="3" s="1"/>
  <c r="H375" i="3"/>
  <c r="S375" i="3" s="1"/>
  <c r="S374" i="3"/>
  <c r="Q374" i="3"/>
  <c r="N374" i="3"/>
  <c r="L374" i="3"/>
  <c r="J374" i="3" a="1"/>
  <c r="J374" i="3" s="1"/>
  <c r="I374" i="3"/>
  <c r="H374" i="3"/>
  <c r="Q373" i="3"/>
  <c r="N373" i="3"/>
  <c r="L373" i="3"/>
  <c r="I373" i="3"/>
  <c r="J373" i="3" s="1" a="1"/>
  <c r="J373" i="3" s="1"/>
  <c r="H373" i="3"/>
  <c r="S373" i="3" s="1"/>
  <c r="Q372" i="3"/>
  <c r="N372" i="3"/>
  <c r="L372" i="3"/>
  <c r="J372" i="3" a="1"/>
  <c r="J372" i="3" s="1"/>
  <c r="I372" i="3"/>
  <c r="H372" i="3"/>
  <c r="S372" i="3" s="1"/>
  <c r="Q371" i="3"/>
  <c r="N371" i="3"/>
  <c r="L371" i="3"/>
  <c r="I371" i="3"/>
  <c r="J371" i="3" s="1" a="1"/>
  <c r="J371" i="3" s="1"/>
  <c r="H371" i="3"/>
  <c r="S371" i="3" s="1"/>
  <c r="S370" i="3"/>
  <c r="Q370" i="3"/>
  <c r="N370" i="3"/>
  <c r="L370" i="3"/>
  <c r="J370" i="3" a="1"/>
  <c r="J370" i="3" s="1"/>
  <c r="I370" i="3"/>
  <c r="H370" i="3"/>
  <c r="Q369" i="3"/>
  <c r="N369" i="3"/>
  <c r="L369" i="3"/>
  <c r="I369" i="3"/>
  <c r="J369" i="3" s="1" a="1"/>
  <c r="J369" i="3" s="1"/>
  <c r="H369" i="3"/>
  <c r="S369" i="3" s="1"/>
  <c r="S368" i="3"/>
  <c r="Q368" i="3"/>
  <c r="N368" i="3"/>
  <c r="L368" i="3"/>
  <c r="J368" i="3" a="1"/>
  <c r="J368" i="3" s="1"/>
  <c r="I368" i="3"/>
  <c r="H368" i="3"/>
  <c r="Q367" i="3"/>
  <c r="N367" i="3"/>
  <c r="L367" i="3"/>
  <c r="I367" i="3"/>
  <c r="J367" i="3" s="1" a="1"/>
  <c r="J367" i="3" s="1"/>
  <c r="H367" i="3"/>
  <c r="S367" i="3" s="1"/>
  <c r="S366" i="3"/>
  <c r="Q366" i="3"/>
  <c r="N366" i="3"/>
  <c r="L366" i="3"/>
  <c r="J366" i="3" a="1"/>
  <c r="J366" i="3" s="1"/>
  <c r="I366" i="3"/>
  <c r="H366" i="3"/>
  <c r="Q365" i="3"/>
  <c r="N365" i="3"/>
  <c r="L365" i="3"/>
  <c r="I365" i="3"/>
  <c r="J365" i="3" s="1" a="1"/>
  <c r="J365" i="3" s="1"/>
  <c r="H365" i="3"/>
  <c r="S365" i="3" s="1"/>
  <c r="Q364" i="3"/>
  <c r="N364" i="3"/>
  <c r="L364" i="3"/>
  <c r="J364" i="3" a="1"/>
  <c r="J364" i="3" s="1"/>
  <c r="I364" i="3"/>
  <c r="H364" i="3"/>
  <c r="S364" i="3" s="1"/>
  <c r="Q363" i="3"/>
  <c r="N363" i="3"/>
  <c r="L363" i="3"/>
  <c r="I363" i="3"/>
  <c r="J363" i="3" s="1" a="1"/>
  <c r="J363" i="3" s="1"/>
  <c r="H363" i="3"/>
  <c r="S363" i="3" s="1"/>
  <c r="S362" i="3"/>
  <c r="Q362" i="3"/>
  <c r="N362" i="3"/>
  <c r="L362" i="3"/>
  <c r="J362" i="3" a="1"/>
  <c r="J362" i="3" s="1"/>
  <c r="I362" i="3"/>
  <c r="H362" i="3"/>
  <c r="Q361" i="3"/>
  <c r="N361" i="3"/>
  <c r="L361" i="3"/>
  <c r="I361" i="3"/>
  <c r="J361" i="3" s="1" a="1"/>
  <c r="J361" i="3" s="1"/>
  <c r="H361" i="3"/>
  <c r="S361" i="3" s="1"/>
  <c r="Q360" i="3"/>
  <c r="N360" i="3"/>
  <c r="L360" i="3"/>
  <c r="J360" i="3" a="1"/>
  <c r="J360" i="3" s="1"/>
  <c r="I360" i="3"/>
  <c r="H360" i="3"/>
  <c r="S360" i="3" s="1"/>
  <c r="Q359" i="3"/>
  <c r="N359" i="3"/>
  <c r="L359" i="3"/>
  <c r="I359" i="3"/>
  <c r="J359" i="3" s="1" a="1"/>
  <c r="J359" i="3" s="1"/>
  <c r="H359" i="3"/>
  <c r="S359" i="3" s="1"/>
  <c r="S358" i="3"/>
  <c r="Q358" i="3"/>
  <c r="N358" i="3"/>
  <c r="L358" i="3"/>
  <c r="J358" i="3" a="1"/>
  <c r="J358" i="3" s="1"/>
  <c r="I358" i="3"/>
  <c r="H358" i="3"/>
  <c r="Q357" i="3"/>
  <c r="N357" i="3"/>
  <c r="L357" i="3"/>
  <c r="I357" i="3"/>
  <c r="J357" i="3" s="1" a="1"/>
  <c r="J357" i="3" s="1"/>
  <c r="H357" i="3"/>
  <c r="S357" i="3" s="1"/>
  <c r="Q356" i="3"/>
  <c r="N356" i="3"/>
  <c r="L356" i="3"/>
  <c r="J356" i="3" a="1"/>
  <c r="J356" i="3" s="1"/>
  <c r="I356" i="3"/>
  <c r="H356" i="3"/>
  <c r="S356" i="3" s="1"/>
  <c r="S355" i="3"/>
  <c r="Q355" i="3"/>
  <c r="N355" i="3"/>
  <c r="L355" i="3"/>
  <c r="I355" i="3"/>
  <c r="J355" i="3" s="1" a="1"/>
  <c r="J355" i="3" s="1"/>
  <c r="H355" i="3"/>
  <c r="S354" i="3"/>
  <c r="Q354" i="3"/>
  <c r="N354" i="3"/>
  <c r="L354" i="3"/>
  <c r="J354" i="3" a="1"/>
  <c r="J354" i="3" s="1"/>
  <c r="I354" i="3"/>
  <c r="H354" i="3"/>
  <c r="S353" i="3"/>
  <c r="Q353" i="3"/>
  <c r="N353" i="3"/>
  <c r="L353" i="3"/>
  <c r="I353" i="3"/>
  <c r="J353" i="3" s="1" a="1"/>
  <c r="J353" i="3" s="1"/>
  <c r="H353" i="3"/>
  <c r="S352" i="3"/>
  <c r="Q352" i="3"/>
  <c r="N352" i="3"/>
  <c r="L352" i="3"/>
  <c r="J352" i="3" a="1"/>
  <c r="J352" i="3" s="1"/>
  <c r="I352" i="3"/>
  <c r="H352" i="3"/>
  <c r="S351" i="3"/>
  <c r="Q351" i="3"/>
  <c r="N351" i="3"/>
  <c r="L351" i="3"/>
  <c r="I351" i="3"/>
  <c r="J351" i="3" s="1" a="1"/>
  <c r="J351" i="3" s="1"/>
  <c r="H351" i="3"/>
  <c r="S350" i="3"/>
  <c r="Q350" i="3"/>
  <c r="N350" i="3"/>
  <c r="L350" i="3"/>
  <c r="J350" i="3" a="1"/>
  <c r="J350" i="3" s="1"/>
  <c r="I350" i="3"/>
  <c r="H350" i="3"/>
  <c r="S349" i="3"/>
  <c r="Q349" i="3"/>
  <c r="N349" i="3"/>
  <c r="L349" i="3"/>
  <c r="I349" i="3"/>
  <c r="J349" i="3" s="1" a="1"/>
  <c r="J349" i="3" s="1"/>
  <c r="H349" i="3"/>
  <c r="S348" i="3"/>
  <c r="Q348" i="3"/>
  <c r="N348" i="3"/>
  <c r="L348" i="3"/>
  <c r="J348" i="3" a="1"/>
  <c r="J348" i="3" s="1"/>
  <c r="I348" i="3"/>
  <c r="H348" i="3"/>
  <c r="S347" i="3"/>
  <c r="Q347" i="3"/>
  <c r="N347" i="3"/>
  <c r="L347" i="3"/>
  <c r="I347" i="3"/>
  <c r="J347" i="3" s="1" a="1"/>
  <c r="J347" i="3" s="1"/>
  <c r="H347" i="3"/>
  <c r="S346" i="3"/>
  <c r="Q346" i="3"/>
  <c r="N346" i="3"/>
  <c r="L346" i="3"/>
  <c r="J346" i="3" a="1"/>
  <c r="J346" i="3" s="1"/>
  <c r="I346" i="3"/>
  <c r="H346" i="3"/>
  <c r="S345" i="3"/>
  <c r="Q345" i="3"/>
  <c r="N345" i="3"/>
  <c r="L345" i="3"/>
  <c r="I345" i="3"/>
  <c r="J345" i="3" s="1" a="1"/>
  <c r="J345" i="3" s="1"/>
  <c r="H345" i="3"/>
  <c r="S344" i="3"/>
  <c r="Q344" i="3"/>
  <c r="N344" i="3"/>
  <c r="L344" i="3"/>
  <c r="J344" i="3" a="1"/>
  <c r="J344" i="3" s="1"/>
  <c r="I344" i="3"/>
  <c r="H344" i="3"/>
  <c r="S343" i="3"/>
  <c r="Q343" i="3"/>
  <c r="N343" i="3"/>
  <c r="L343" i="3"/>
  <c r="I343" i="3"/>
  <c r="J343" i="3" s="1" a="1"/>
  <c r="J343" i="3" s="1"/>
  <c r="H343" i="3"/>
  <c r="S342" i="3"/>
  <c r="Q342" i="3"/>
  <c r="N342" i="3"/>
  <c r="L342" i="3"/>
  <c r="J342" i="3" a="1"/>
  <c r="J342" i="3" s="1"/>
  <c r="I342" i="3"/>
  <c r="H342" i="3"/>
  <c r="S341" i="3"/>
  <c r="Q341" i="3"/>
  <c r="N341" i="3"/>
  <c r="L341" i="3"/>
  <c r="I341" i="3"/>
  <c r="J341" i="3" s="1" a="1"/>
  <c r="J341" i="3" s="1"/>
  <c r="H341" i="3"/>
  <c r="Q340" i="3"/>
  <c r="N340" i="3"/>
  <c r="L340" i="3"/>
  <c r="J340" i="3" a="1"/>
  <c r="J340" i="3" s="1"/>
  <c r="I340" i="3"/>
  <c r="H340" i="3"/>
  <c r="S340" i="3" s="1"/>
  <c r="Q339" i="3"/>
  <c r="N339" i="3"/>
  <c r="L339" i="3"/>
  <c r="I339" i="3"/>
  <c r="J339" i="3" s="1" a="1"/>
  <c r="J339" i="3" s="1"/>
  <c r="H339" i="3"/>
  <c r="S339" i="3" s="1"/>
  <c r="Q338" i="3"/>
  <c r="N338" i="3"/>
  <c r="L338" i="3"/>
  <c r="J338" i="3" a="1"/>
  <c r="J338" i="3" s="1"/>
  <c r="I338" i="3"/>
  <c r="H338" i="3"/>
  <c r="S338" i="3" s="1"/>
  <c r="Q337" i="3"/>
  <c r="N337" i="3"/>
  <c r="L337" i="3"/>
  <c r="I337" i="3"/>
  <c r="J337" i="3" s="1" a="1"/>
  <c r="J337" i="3" s="1"/>
  <c r="H337" i="3"/>
  <c r="S337" i="3" s="1"/>
  <c r="S336" i="3"/>
  <c r="Q336" i="3"/>
  <c r="N336" i="3"/>
  <c r="L336" i="3"/>
  <c r="J336" i="3" a="1"/>
  <c r="J336" i="3" s="1"/>
  <c r="I336" i="3"/>
  <c r="H336" i="3"/>
  <c r="Q335" i="3"/>
  <c r="N335" i="3"/>
  <c r="L335" i="3"/>
  <c r="I335" i="3"/>
  <c r="J335" i="3" s="1" a="1"/>
  <c r="J335" i="3" s="1"/>
  <c r="H335" i="3"/>
  <c r="S335" i="3" s="1"/>
  <c r="S334" i="3"/>
  <c r="Q334" i="3"/>
  <c r="N334" i="3"/>
  <c r="L334" i="3"/>
  <c r="J334" i="3" a="1"/>
  <c r="J334" i="3" s="1"/>
  <c r="I334" i="3"/>
  <c r="H334" i="3"/>
  <c r="Q333" i="3"/>
  <c r="N333" i="3"/>
  <c r="L333" i="3"/>
  <c r="I333" i="3"/>
  <c r="J333" i="3" s="1" a="1"/>
  <c r="J333" i="3" s="1"/>
  <c r="H333" i="3"/>
  <c r="S333" i="3" s="1"/>
  <c r="Q332" i="3"/>
  <c r="N332" i="3"/>
  <c r="L332" i="3"/>
  <c r="J332" i="3" a="1"/>
  <c r="J332" i="3" s="1"/>
  <c r="I332" i="3"/>
  <c r="H332" i="3"/>
  <c r="S332" i="3" s="1"/>
  <c r="Q331" i="3"/>
  <c r="N331" i="3"/>
  <c r="L331" i="3"/>
  <c r="I331" i="3"/>
  <c r="J331" i="3" s="1" a="1"/>
  <c r="J331" i="3" s="1"/>
  <c r="H331" i="3"/>
  <c r="S331" i="3" s="1"/>
  <c r="Q330" i="3"/>
  <c r="N330" i="3"/>
  <c r="L330" i="3"/>
  <c r="J330" i="3" a="1"/>
  <c r="J330" i="3" s="1"/>
  <c r="I330" i="3"/>
  <c r="H330" i="3"/>
  <c r="S330" i="3" s="1"/>
  <c r="Q329" i="3"/>
  <c r="N329" i="3"/>
  <c r="L329" i="3"/>
  <c r="I329" i="3"/>
  <c r="J329" i="3" s="1" a="1"/>
  <c r="J329" i="3" s="1"/>
  <c r="H329" i="3"/>
  <c r="S329" i="3" s="1"/>
  <c r="S328" i="3"/>
  <c r="Q328" i="3"/>
  <c r="N328" i="3"/>
  <c r="L328" i="3"/>
  <c r="J328" i="3" a="1"/>
  <c r="J328" i="3" s="1"/>
  <c r="I328" i="3"/>
  <c r="H328" i="3"/>
  <c r="Q327" i="3"/>
  <c r="N327" i="3"/>
  <c r="L327" i="3"/>
  <c r="I327" i="3"/>
  <c r="J327" i="3" s="1" a="1"/>
  <c r="J327" i="3" s="1"/>
  <c r="H327" i="3"/>
  <c r="S327" i="3" s="1"/>
  <c r="S326" i="3"/>
  <c r="Q326" i="3"/>
  <c r="N326" i="3"/>
  <c r="L326" i="3"/>
  <c r="J326" i="3" a="1"/>
  <c r="J326" i="3" s="1"/>
  <c r="I326" i="3"/>
  <c r="H326" i="3"/>
  <c r="Q325" i="3"/>
  <c r="N325" i="3"/>
  <c r="L325" i="3"/>
  <c r="I325" i="3"/>
  <c r="J325" i="3" s="1" a="1"/>
  <c r="J325" i="3" s="1"/>
  <c r="H325" i="3"/>
  <c r="S325" i="3" s="1"/>
  <c r="Q324" i="3"/>
  <c r="N324" i="3"/>
  <c r="L324" i="3"/>
  <c r="J324" i="3" a="1"/>
  <c r="J324" i="3" s="1"/>
  <c r="I324" i="3"/>
  <c r="H324" i="3"/>
  <c r="S324" i="3" s="1"/>
  <c r="Q323" i="3"/>
  <c r="N323" i="3"/>
  <c r="L323" i="3"/>
  <c r="I323" i="3"/>
  <c r="J323" i="3" s="1" a="1"/>
  <c r="J323" i="3" s="1"/>
  <c r="H323" i="3"/>
  <c r="S323" i="3" s="1"/>
  <c r="Q322" i="3"/>
  <c r="N322" i="3"/>
  <c r="L322" i="3"/>
  <c r="J322" i="3" a="1"/>
  <c r="J322" i="3" s="1"/>
  <c r="I322" i="3"/>
  <c r="H322" i="3"/>
  <c r="S322" i="3" s="1"/>
  <c r="Q321" i="3"/>
  <c r="N321" i="3"/>
  <c r="L321" i="3"/>
  <c r="I321" i="3"/>
  <c r="J321" i="3" s="1" a="1"/>
  <c r="J321" i="3" s="1"/>
  <c r="H321" i="3"/>
  <c r="S321" i="3" s="1"/>
  <c r="S320" i="3"/>
  <c r="Q320" i="3"/>
  <c r="N320" i="3"/>
  <c r="L320" i="3"/>
  <c r="J320" i="3" a="1"/>
  <c r="J320" i="3" s="1"/>
  <c r="I320" i="3"/>
  <c r="H320" i="3"/>
  <c r="Q319" i="3"/>
  <c r="N319" i="3"/>
  <c r="L319" i="3"/>
  <c r="I319" i="3"/>
  <c r="J319" i="3" s="1" a="1"/>
  <c r="J319" i="3" s="1"/>
  <c r="H319" i="3"/>
  <c r="S319" i="3" s="1"/>
  <c r="S318" i="3"/>
  <c r="Q318" i="3"/>
  <c r="N318" i="3"/>
  <c r="L318" i="3"/>
  <c r="J318" i="3" a="1"/>
  <c r="J318" i="3" s="1"/>
  <c r="I318" i="3"/>
  <c r="H318" i="3"/>
  <c r="Q317" i="3"/>
  <c r="N317" i="3"/>
  <c r="L317" i="3"/>
  <c r="I317" i="3"/>
  <c r="J317" i="3" s="1" a="1"/>
  <c r="J317" i="3" s="1"/>
  <c r="H317" i="3"/>
  <c r="S317" i="3" s="1"/>
  <c r="S316" i="3"/>
  <c r="Q316" i="3"/>
  <c r="N316" i="3"/>
  <c r="L316" i="3"/>
  <c r="J316" i="3" a="1"/>
  <c r="J316" i="3" s="1"/>
  <c r="I316" i="3"/>
  <c r="H316" i="3"/>
  <c r="Q315" i="3"/>
  <c r="N315" i="3"/>
  <c r="L315" i="3"/>
  <c r="I315" i="3"/>
  <c r="J315" i="3" s="1" a="1"/>
  <c r="J315" i="3" s="1"/>
  <c r="H315" i="3"/>
  <c r="S315" i="3" s="1"/>
  <c r="Q314" i="3"/>
  <c r="N314" i="3"/>
  <c r="L314" i="3"/>
  <c r="J314" i="3" a="1"/>
  <c r="J314" i="3" s="1"/>
  <c r="I314" i="3"/>
  <c r="H314" i="3"/>
  <c r="S314" i="3" s="1"/>
  <c r="Q313" i="3"/>
  <c r="N313" i="3"/>
  <c r="L313" i="3"/>
  <c r="I313" i="3"/>
  <c r="J313" i="3" s="1" a="1"/>
  <c r="J313" i="3" s="1"/>
  <c r="H313" i="3"/>
  <c r="S313" i="3" s="1"/>
  <c r="S312" i="3"/>
  <c r="Q312" i="3"/>
  <c r="N312" i="3"/>
  <c r="L312" i="3"/>
  <c r="J312" i="3" a="1"/>
  <c r="J312" i="3" s="1"/>
  <c r="I312" i="3"/>
  <c r="H312" i="3"/>
  <c r="Q311" i="3"/>
  <c r="N311" i="3"/>
  <c r="L311" i="3"/>
  <c r="I311" i="3"/>
  <c r="J311" i="3" s="1" a="1"/>
  <c r="J311" i="3" s="1"/>
  <c r="H311" i="3"/>
  <c r="S311" i="3" s="1"/>
  <c r="S310" i="3"/>
  <c r="Q310" i="3"/>
  <c r="N310" i="3"/>
  <c r="L310" i="3"/>
  <c r="J310" i="3" a="1"/>
  <c r="J310" i="3" s="1"/>
  <c r="I310" i="3"/>
  <c r="H310" i="3"/>
  <c r="Q309" i="3"/>
  <c r="N309" i="3"/>
  <c r="L309" i="3"/>
  <c r="I309" i="3"/>
  <c r="J309" i="3" s="1" a="1"/>
  <c r="J309" i="3" s="1"/>
  <c r="H309" i="3"/>
  <c r="S309" i="3" s="1"/>
  <c r="S308" i="3"/>
  <c r="Q308" i="3"/>
  <c r="N308" i="3"/>
  <c r="L308" i="3"/>
  <c r="J308" i="3" a="1"/>
  <c r="J308" i="3" s="1"/>
  <c r="I308" i="3"/>
  <c r="H308" i="3"/>
  <c r="Q307" i="3"/>
  <c r="N307" i="3"/>
  <c r="L307" i="3"/>
  <c r="I307" i="3"/>
  <c r="J307" i="3" s="1" a="1"/>
  <c r="J307" i="3" s="1"/>
  <c r="H307" i="3"/>
  <c r="S307" i="3" s="1"/>
  <c r="Q306" i="3"/>
  <c r="N306" i="3"/>
  <c r="L306" i="3"/>
  <c r="J306" i="3" a="1"/>
  <c r="J306" i="3" s="1"/>
  <c r="I306" i="3"/>
  <c r="H306" i="3"/>
  <c r="S306" i="3" s="1"/>
  <c r="Q305" i="3"/>
  <c r="N305" i="3"/>
  <c r="L305" i="3"/>
  <c r="I305" i="3"/>
  <c r="J305" i="3" s="1" a="1"/>
  <c r="J305" i="3" s="1"/>
  <c r="H305" i="3"/>
  <c r="S305" i="3" s="1"/>
  <c r="S304" i="3"/>
  <c r="Q304" i="3"/>
  <c r="N304" i="3"/>
  <c r="L304" i="3"/>
  <c r="J304" i="3" a="1"/>
  <c r="J304" i="3" s="1"/>
  <c r="I304" i="3"/>
  <c r="H304" i="3"/>
  <c r="Q303" i="3"/>
  <c r="N303" i="3"/>
  <c r="L303" i="3"/>
  <c r="I303" i="3"/>
  <c r="J303" i="3" s="1" a="1"/>
  <c r="J303" i="3" s="1"/>
  <c r="H303" i="3"/>
  <c r="S303" i="3" s="1"/>
  <c r="S302" i="3"/>
  <c r="Q302" i="3"/>
  <c r="N302" i="3"/>
  <c r="L302" i="3"/>
  <c r="J302" i="3" a="1"/>
  <c r="J302" i="3" s="1"/>
  <c r="I302" i="3"/>
  <c r="H302" i="3"/>
  <c r="Q301" i="3"/>
  <c r="N301" i="3"/>
  <c r="L301" i="3"/>
  <c r="I301" i="3"/>
  <c r="J301" i="3" s="1" a="1"/>
  <c r="J301" i="3" s="1"/>
  <c r="H301" i="3"/>
  <c r="S301" i="3" s="1"/>
  <c r="S300" i="3"/>
  <c r="Q300" i="3"/>
  <c r="N300" i="3"/>
  <c r="L300" i="3"/>
  <c r="J300" i="3" a="1"/>
  <c r="J300" i="3" s="1"/>
  <c r="I300" i="3"/>
  <c r="H300" i="3"/>
  <c r="Q299" i="3"/>
  <c r="N299" i="3"/>
  <c r="L299" i="3"/>
  <c r="I299" i="3"/>
  <c r="J299" i="3" s="1" a="1"/>
  <c r="J299" i="3" s="1"/>
  <c r="H299" i="3"/>
  <c r="S299" i="3" s="1"/>
  <c r="Q298" i="3"/>
  <c r="N298" i="3"/>
  <c r="L298" i="3"/>
  <c r="J298" i="3" a="1"/>
  <c r="J298" i="3" s="1"/>
  <c r="I298" i="3"/>
  <c r="H298" i="3"/>
  <c r="S298" i="3" s="1"/>
  <c r="Q297" i="3"/>
  <c r="N297" i="3"/>
  <c r="L297" i="3"/>
  <c r="I297" i="3"/>
  <c r="J297" i="3" s="1" a="1"/>
  <c r="J297" i="3" s="1"/>
  <c r="H297" i="3"/>
  <c r="S297" i="3" s="1"/>
  <c r="S296" i="3"/>
  <c r="Q296" i="3"/>
  <c r="N296" i="3"/>
  <c r="L296" i="3"/>
  <c r="J296" i="3" a="1"/>
  <c r="J296" i="3" s="1"/>
  <c r="I296" i="3"/>
  <c r="H296" i="3"/>
  <c r="Q295" i="3"/>
  <c r="N295" i="3"/>
  <c r="L295" i="3"/>
  <c r="I295" i="3"/>
  <c r="J295" i="3" s="1" a="1"/>
  <c r="J295" i="3" s="1"/>
  <c r="H295" i="3"/>
  <c r="S295" i="3" s="1"/>
  <c r="S294" i="3"/>
  <c r="Q294" i="3"/>
  <c r="N294" i="3"/>
  <c r="L294" i="3"/>
  <c r="J294" i="3" a="1"/>
  <c r="J294" i="3" s="1"/>
  <c r="I294" i="3"/>
  <c r="H294" i="3"/>
  <c r="Q293" i="3"/>
  <c r="N293" i="3"/>
  <c r="L293" i="3"/>
  <c r="I293" i="3"/>
  <c r="J293" i="3" s="1" a="1"/>
  <c r="J293" i="3" s="1"/>
  <c r="H293" i="3"/>
  <c r="S293" i="3" s="1"/>
  <c r="S292" i="3"/>
  <c r="Q292" i="3"/>
  <c r="N292" i="3"/>
  <c r="L292" i="3"/>
  <c r="J292" i="3" a="1"/>
  <c r="J292" i="3" s="1"/>
  <c r="I292" i="3"/>
  <c r="H292" i="3"/>
  <c r="Q291" i="3"/>
  <c r="N291" i="3"/>
  <c r="L291" i="3"/>
  <c r="I291" i="3"/>
  <c r="J291" i="3" s="1" a="1"/>
  <c r="J291" i="3" s="1"/>
  <c r="H291" i="3"/>
  <c r="S291" i="3" s="1"/>
  <c r="Q290" i="3"/>
  <c r="N290" i="3"/>
  <c r="L290" i="3"/>
  <c r="J290" i="3" a="1"/>
  <c r="J290" i="3" s="1"/>
  <c r="I290" i="3"/>
  <c r="H290" i="3"/>
  <c r="S290" i="3" s="1"/>
  <c r="Q289" i="3"/>
  <c r="N289" i="3"/>
  <c r="L289" i="3"/>
  <c r="I289" i="3"/>
  <c r="J289" i="3" s="1" a="1"/>
  <c r="J289" i="3" s="1"/>
  <c r="H289" i="3"/>
  <c r="S289" i="3" s="1"/>
  <c r="S288" i="3"/>
  <c r="Q288" i="3"/>
  <c r="N288" i="3"/>
  <c r="L288" i="3"/>
  <c r="J288" i="3" a="1"/>
  <c r="J288" i="3" s="1"/>
  <c r="I288" i="3"/>
  <c r="H288" i="3"/>
  <c r="Q287" i="3"/>
  <c r="N287" i="3"/>
  <c r="L287" i="3"/>
  <c r="I287" i="3"/>
  <c r="J287" i="3" s="1" a="1"/>
  <c r="J287" i="3" s="1"/>
  <c r="H287" i="3"/>
  <c r="S287" i="3" s="1"/>
  <c r="S286" i="3"/>
  <c r="Q286" i="3"/>
  <c r="N286" i="3"/>
  <c r="L286" i="3"/>
  <c r="J286" i="3" a="1"/>
  <c r="J286" i="3" s="1"/>
  <c r="I286" i="3"/>
  <c r="H286" i="3"/>
  <c r="Q285" i="3"/>
  <c r="N285" i="3"/>
  <c r="L285" i="3"/>
  <c r="I285" i="3"/>
  <c r="J285" i="3" s="1" a="1"/>
  <c r="J285" i="3" s="1"/>
  <c r="H285" i="3"/>
  <c r="S285" i="3" s="1"/>
  <c r="S284" i="3"/>
  <c r="Q284" i="3"/>
  <c r="N284" i="3"/>
  <c r="L284" i="3"/>
  <c r="J284" i="3" a="1"/>
  <c r="J284" i="3" s="1"/>
  <c r="I284" i="3"/>
  <c r="H284" i="3"/>
  <c r="Q283" i="3"/>
  <c r="N283" i="3"/>
  <c r="L283" i="3"/>
  <c r="I283" i="3"/>
  <c r="J283" i="3" s="1" a="1"/>
  <c r="J283" i="3" s="1"/>
  <c r="H283" i="3"/>
  <c r="S283" i="3" s="1"/>
  <c r="Q282" i="3"/>
  <c r="N282" i="3"/>
  <c r="L282" i="3"/>
  <c r="J282" i="3" a="1"/>
  <c r="J282" i="3" s="1"/>
  <c r="I282" i="3"/>
  <c r="H282" i="3"/>
  <c r="S282" i="3" s="1"/>
  <c r="Q281" i="3"/>
  <c r="N281" i="3"/>
  <c r="L281" i="3"/>
  <c r="I281" i="3"/>
  <c r="J281" i="3" s="1" a="1"/>
  <c r="J281" i="3" s="1"/>
  <c r="H281" i="3"/>
  <c r="S281" i="3" s="1"/>
  <c r="S280" i="3"/>
  <c r="Q280" i="3"/>
  <c r="N280" i="3"/>
  <c r="L280" i="3"/>
  <c r="J280" i="3" a="1"/>
  <c r="J280" i="3" s="1"/>
  <c r="I280" i="3"/>
  <c r="H280" i="3"/>
  <c r="Q279" i="3"/>
  <c r="N279" i="3"/>
  <c r="L279" i="3"/>
  <c r="I279" i="3"/>
  <c r="J279" i="3" s="1" a="1"/>
  <c r="J279" i="3" s="1"/>
  <c r="H279" i="3"/>
  <c r="S279" i="3" s="1"/>
  <c r="S278" i="3"/>
  <c r="Q278" i="3"/>
  <c r="N278" i="3"/>
  <c r="L278" i="3"/>
  <c r="J278" i="3" a="1"/>
  <c r="J278" i="3" s="1"/>
  <c r="I278" i="3"/>
  <c r="H278" i="3"/>
  <c r="Q277" i="3"/>
  <c r="N277" i="3"/>
  <c r="L277" i="3"/>
  <c r="I277" i="3"/>
  <c r="J277" i="3" s="1" a="1"/>
  <c r="J277" i="3" s="1"/>
  <c r="H277" i="3"/>
  <c r="S277" i="3" s="1"/>
  <c r="S276" i="3"/>
  <c r="Q276" i="3"/>
  <c r="N276" i="3"/>
  <c r="L276" i="3"/>
  <c r="J276" i="3" a="1"/>
  <c r="J276" i="3" s="1"/>
  <c r="I276" i="3"/>
  <c r="H276" i="3"/>
  <c r="Q275" i="3"/>
  <c r="N275" i="3"/>
  <c r="L275" i="3"/>
  <c r="I275" i="3"/>
  <c r="J275" i="3" s="1" a="1"/>
  <c r="J275" i="3" s="1"/>
  <c r="H275" i="3"/>
  <c r="S275" i="3" s="1"/>
  <c r="Q274" i="3"/>
  <c r="N274" i="3"/>
  <c r="L274" i="3"/>
  <c r="J274" i="3" a="1"/>
  <c r="J274" i="3" s="1"/>
  <c r="I274" i="3"/>
  <c r="H274" i="3"/>
  <c r="S274" i="3" s="1"/>
  <c r="Q273" i="3"/>
  <c r="N273" i="3"/>
  <c r="L273" i="3"/>
  <c r="I273" i="3"/>
  <c r="J273" i="3" s="1" a="1"/>
  <c r="J273" i="3" s="1"/>
  <c r="H273" i="3"/>
  <c r="S273" i="3" s="1"/>
  <c r="S272" i="3"/>
  <c r="Q272" i="3"/>
  <c r="N272" i="3"/>
  <c r="L272" i="3"/>
  <c r="J272" i="3" a="1"/>
  <c r="J272" i="3" s="1"/>
  <c r="I272" i="3"/>
  <c r="H272" i="3"/>
  <c r="Q271" i="3"/>
  <c r="N271" i="3"/>
  <c r="L271" i="3"/>
  <c r="I271" i="3"/>
  <c r="J271" i="3" s="1" a="1"/>
  <c r="J271" i="3" s="1"/>
  <c r="H271" i="3"/>
  <c r="S271" i="3" s="1"/>
  <c r="Q270" i="3"/>
  <c r="N270" i="3"/>
  <c r="L270" i="3"/>
  <c r="J270" i="3" a="1"/>
  <c r="J270" i="3" s="1"/>
  <c r="I270" i="3"/>
  <c r="H270" i="3"/>
  <c r="S270" i="3" s="1"/>
  <c r="Q269" i="3"/>
  <c r="N269" i="3"/>
  <c r="L269" i="3"/>
  <c r="I269" i="3"/>
  <c r="J269" i="3" s="1" a="1"/>
  <c r="J269" i="3" s="1"/>
  <c r="H269" i="3"/>
  <c r="S269" i="3" s="1"/>
  <c r="S268" i="3"/>
  <c r="Q268" i="3"/>
  <c r="N268" i="3"/>
  <c r="L268" i="3"/>
  <c r="J268" i="3" a="1"/>
  <c r="J268" i="3" s="1"/>
  <c r="I268" i="3"/>
  <c r="H268" i="3"/>
  <c r="Q267" i="3"/>
  <c r="N267" i="3"/>
  <c r="L267" i="3"/>
  <c r="I267" i="3"/>
  <c r="J267" i="3" s="1" a="1"/>
  <c r="J267" i="3" s="1"/>
  <c r="H267" i="3"/>
  <c r="S267" i="3" s="1"/>
  <c r="Q266" i="3"/>
  <c r="N266" i="3"/>
  <c r="L266" i="3"/>
  <c r="J266" i="3" a="1"/>
  <c r="J266" i="3" s="1"/>
  <c r="I266" i="3"/>
  <c r="H266" i="3"/>
  <c r="S266" i="3" s="1"/>
  <c r="Q265" i="3"/>
  <c r="N265" i="3"/>
  <c r="L265" i="3"/>
  <c r="I265" i="3"/>
  <c r="J265" i="3" s="1" a="1"/>
  <c r="J265" i="3" s="1"/>
  <c r="H265" i="3"/>
  <c r="S265" i="3" s="1"/>
  <c r="S264" i="3"/>
  <c r="Q264" i="3"/>
  <c r="N264" i="3"/>
  <c r="L264" i="3"/>
  <c r="J264" i="3" a="1"/>
  <c r="J264" i="3" s="1"/>
  <c r="I264" i="3"/>
  <c r="H264" i="3"/>
  <c r="Q263" i="3"/>
  <c r="N263" i="3"/>
  <c r="L263" i="3"/>
  <c r="I263" i="3"/>
  <c r="J263" i="3" s="1" a="1"/>
  <c r="J263" i="3" s="1"/>
  <c r="H263" i="3"/>
  <c r="S263" i="3" s="1"/>
  <c r="S262" i="3"/>
  <c r="Q262" i="3"/>
  <c r="N262" i="3"/>
  <c r="L262" i="3"/>
  <c r="J262" i="3" a="1"/>
  <c r="J262" i="3" s="1"/>
  <c r="I262" i="3"/>
  <c r="H262" i="3"/>
  <c r="Q261" i="3"/>
  <c r="N261" i="3"/>
  <c r="L261" i="3"/>
  <c r="I261" i="3"/>
  <c r="J261" i="3" s="1" a="1"/>
  <c r="J261" i="3" s="1"/>
  <c r="H261" i="3"/>
  <c r="S261" i="3" s="1"/>
  <c r="S260" i="3"/>
  <c r="Q260" i="3"/>
  <c r="N260" i="3"/>
  <c r="L260" i="3"/>
  <c r="J260" i="3" a="1"/>
  <c r="J260" i="3" s="1"/>
  <c r="I260" i="3"/>
  <c r="H260" i="3"/>
  <c r="Q259" i="3"/>
  <c r="N259" i="3"/>
  <c r="L259" i="3"/>
  <c r="I259" i="3"/>
  <c r="J259" i="3" s="1" a="1"/>
  <c r="J259" i="3" s="1"/>
  <c r="H259" i="3"/>
  <c r="S259" i="3" s="1"/>
  <c r="Q258" i="3"/>
  <c r="N258" i="3"/>
  <c r="L258" i="3"/>
  <c r="J258" i="3" a="1"/>
  <c r="J258" i="3" s="1"/>
  <c r="I258" i="3"/>
  <c r="H258" i="3"/>
  <c r="S258" i="3" s="1"/>
  <c r="Q257" i="3"/>
  <c r="N257" i="3"/>
  <c r="L257" i="3"/>
  <c r="I257" i="3"/>
  <c r="J257" i="3" s="1" a="1"/>
  <c r="J257" i="3" s="1"/>
  <c r="H257" i="3"/>
  <c r="S257" i="3" s="1"/>
  <c r="S256" i="3"/>
  <c r="Q256" i="3"/>
  <c r="N256" i="3"/>
  <c r="L256" i="3"/>
  <c r="J256" i="3" a="1"/>
  <c r="J256" i="3" s="1"/>
  <c r="I256" i="3"/>
  <c r="H256" i="3"/>
  <c r="Q255" i="3"/>
  <c r="N255" i="3"/>
  <c r="L255" i="3"/>
  <c r="I255" i="3"/>
  <c r="J255" i="3" s="1" a="1"/>
  <c r="J255" i="3" s="1"/>
  <c r="H255" i="3"/>
  <c r="S255" i="3" s="1"/>
  <c r="S254" i="3"/>
  <c r="Q254" i="3"/>
  <c r="N254" i="3"/>
  <c r="L254" i="3"/>
  <c r="J254" i="3" a="1"/>
  <c r="J254" i="3" s="1"/>
  <c r="I254" i="3"/>
  <c r="H254" i="3"/>
  <c r="Q253" i="3"/>
  <c r="N253" i="3"/>
  <c r="L253" i="3"/>
  <c r="I253" i="3"/>
  <c r="J253" i="3" s="1" a="1"/>
  <c r="J253" i="3" s="1"/>
  <c r="H253" i="3"/>
  <c r="S253" i="3" s="1"/>
  <c r="S252" i="3"/>
  <c r="Q252" i="3"/>
  <c r="N252" i="3"/>
  <c r="L252" i="3"/>
  <c r="J252" i="3" a="1"/>
  <c r="J252" i="3" s="1"/>
  <c r="I252" i="3"/>
  <c r="H252" i="3"/>
  <c r="Q251" i="3"/>
  <c r="N251" i="3"/>
  <c r="L251" i="3"/>
  <c r="I251" i="3"/>
  <c r="J251" i="3" s="1" a="1"/>
  <c r="J251" i="3" s="1"/>
  <c r="H251" i="3"/>
  <c r="S251" i="3" s="1"/>
  <c r="Q250" i="3"/>
  <c r="O250" i="3"/>
  <c r="N250" i="3"/>
  <c r="L250" i="3"/>
  <c r="J250" i="3"/>
  <c r="I250" i="3"/>
  <c r="J250" i="3" s="1" a="1"/>
  <c r="H250" i="3"/>
  <c r="S250" i="3" s="1"/>
  <c r="S249" i="3"/>
  <c r="Q249" i="3"/>
  <c r="O249" i="3"/>
  <c r="N249" i="3"/>
  <c r="L249" i="3"/>
  <c r="I249" i="3"/>
  <c r="J249" i="3" s="1" a="1"/>
  <c r="J249" i="3" s="1"/>
  <c r="H249" i="3"/>
  <c r="S248" i="3"/>
  <c r="Q248" i="3"/>
  <c r="O248" i="3"/>
  <c r="N248" i="3"/>
  <c r="L248" i="3"/>
  <c r="J248" i="3"/>
  <c r="I248" i="3"/>
  <c r="J248" i="3" s="1" a="1"/>
  <c r="H248" i="3"/>
  <c r="Q247" i="3"/>
  <c r="O247" i="3"/>
  <c r="N247" i="3"/>
  <c r="L247" i="3"/>
  <c r="I247" i="3"/>
  <c r="J247" i="3" s="1" a="1"/>
  <c r="J247" i="3" s="1"/>
  <c r="H247" i="3"/>
  <c r="S247" i="3" s="1"/>
  <c r="Q246" i="3"/>
  <c r="O246" i="3"/>
  <c r="N246" i="3"/>
  <c r="L246" i="3"/>
  <c r="I246" i="3"/>
  <c r="J246" i="3" s="1" a="1"/>
  <c r="J246" i="3" s="1"/>
  <c r="H246" i="3"/>
  <c r="S246" i="3" s="1"/>
  <c r="S245" i="3"/>
  <c r="Q245" i="3"/>
  <c r="O245" i="3"/>
  <c r="N245" i="3"/>
  <c r="L245" i="3"/>
  <c r="J245" i="3"/>
  <c r="I245" i="3"/>
  <c r="J245" i="3" s="1" a="1"/>
  <c r="H245" i="3"/>
  <c r="Q244" i="3"/>
  <c r="O244" i="3"/>
  <c r="N244" i="3"/>
  <c r="L244" i="3"/>
  <c r="J244" i="3"/>
  <c r="I244" i="3"/>
  <c r="J244" i="3" s="1" a="1"/>
  <c r="H244" i="3"/>
  <c r="S244" i="3" s="1"/>
  <c r="Q243" i="3"/>
  <c r="O243" i="3"/>
  <c r="N243" i="3"/>
  <c r="L243" i="3"/>
  <c r="I243" i="3"/>
  <c r="J243" i="3" s="1" a="1"/>
  <c r="J243" i="3" s="1"/>
  <c r="H243" i="3"/>
  <c r="S243" i="3" s="1"/>
  <c r="Q242" i="3"/>
  <c r="O242" i="3"/>
  <c r="N242" i="3"/>
  <c r="L242" i="3"/>
  <c r="J242" i="3"/>
  <c r="I242" i="3"/>
  <c r="J242" i="3" s="1" a="1"/>
  <c r="H242" i="3"/>
  <c r="S242" i="3" s="1"/>
  <c r="S241" i="3"/>
  <c r="Q241" i="3"/>
  <c r="O241" i="3"/>
  <c r="N241" i="3"/>
  <c r="L241" i="3"/>
  <c r="I241" i="3"/>
  <c r="J241" i="3" s="1" a="1"/>
  <c r="J241" i="3" s="1"/>
  <c r="H241" i="3"/>
  <c r="S240" i="3"/>
  <c r="Q240" i="3"/>
  <c r="O240" i="3"/>
  <c r="N240" i="3"/>
  <c r="L240" i="3"/>
  <c r="J240" i="3"/>
  <c r="I240" i="3"/>
  <c r="J240" i="3" s="1" a="1"/>
  <c r="H240" i="3"/>
  <c r="Q239" i="3"/>
  <c r="O239" i="3"/>
  <c r="N239" i="3"/>
  <c r="L239" i="3"/>
  <c r="I239" i="3"/>
  <c r="J239" i="3" s="1" a="1"/>
  <c r="J239" i="3" s="1"/>
  <c r="H239" i="3"/>
  <c r="S239" i="3" s="1"/>
  <c r="S238" i="3"/>
  <c r="Q238" i="3"/>
  <c r="O238" i="3"/>
  <c r="N238" i="3"/>
  <c r="L238" i="3"/>
  <c r="I238" i="3"/>
  <c r="J238" i="3" s="1" a="1"/>
  <c r="J238" i="3" s="1"/>
  <c r="H238" i="3"/>
  <c r="S237" i="3"/>
  <c r="Q237" i="3"/>
  <c r="O237" i="3"/>
  <c r="N237" i="3"/>
  <c r="L237" i="3"/>
  <c r="J237" i="3"/>
  <c r="I237" i="3"/>
  <c r="J237" i="3" s="1" a="1"/>
  <c r="H237" i="3"/>
  <c r="Q236" i="3"/>
  <c r="O236" i="3"/>
  <c r="N236" i="3"/>
  <c r="L236" i="3"/>
  <c r="J236" i="3"/>
  <c r="I236" i="3"/>
  <c r="J236" i="3" s="1" a="1"/>
  <c r="H236" i="3"/>
  <c r="S236" i="3" s="1"/>
  <c r="Q235" i="3"/>
  <c r="O235" i="3"/>
  <c r="N235" i="3"/>
  <c r="L235" i="3"/>
  <c r="I235" i="3"/>
  <c r="J235" i="3" s="1" a="1"/>
  <c r="J235" i="3" s="1"/>
  <c r="H235" i="3"/>
  <c r="S235" i="3" s="1"/>
  <c r="Q234" i="3"/>
  <c r="O234" i="3"/>
  <c r="N234" i="3"/>
  <c r="L234" i="3"/>
  <c r="J234" i="3"/>
  <c r="I234" i="3"/>
  <c r="J234" i="3" s="1" a="1"/>
  <c r="H234" i="3"/>
  <c r="S234" i="3" s="1"/>
  <c r="S233" i="3"/>
  <c r="Q233" i="3"/>
  <c r="O233" i="3"/>
  <c r="N233" i="3"/>
  <c r="L233" i="3"/>
  <c r="I233" i="3"/>
  <c r="J233" i="3" s="1" a="1"/>
  <c r="J233" i="3" s="1"/>
  <c r="H233" i="3"/>
  <c r="S232" i="3"/>
  <c r="Q232" i="3"/>
  <c r="O232" i="3"/>
  <c r="N232" i="3"/>
  <c r="L232" i="3"/>
  <c r="J232" i="3"/>
  <c r="I232" i="3"/>
  <c r="J232" i="3" s="1" a="1"/>
  <c r="H232" i="3"/>
  <c r="Q231" i="3"/>
  <c r="O231" i="3"/>
  <c r="N231" i="3"/>
  <c r="L231" i="3"/>
  <c r="I231" i="3"/>
  <c r="J231" i="3" s="1" a="1"/>
  <c r="J231" i="3" s="1"/>
  <c r="H231" i="3"/>
  <c r="S231" i="3" s="1"/>
  <c r="Q230" i="3"/>
  <c r="O230" i="3"/>
  <c r="N230" i="3"/>
  <c r="L230" i="3"/>
  <c r="I230" i="3"/>
  <c r="J230" i="3" s="1" a="1"/>
  <c r="J230" i="3" s="1"/>
  <c r="H230" i="3"/>
  <c r="S230" i="3" s="1"/>
  <c r="S229" i="3"/>
  <c r="Q229" i="3"/>
  <c r="O229" i="3"/>
  <c r="N229" i="3"/>
  <c r="L229" i="3"/>
  <c r="J229" i="3"/>
  <c r="I229" i="3"/>
  <c r="J229" i="3" s="1" a="1"/>
  <c r="H229" i="3"/>
  <c r="Q228" i="3"/>
  <c r="O228" i="3"/>
  <c r="N228" i="3"/>
  <c r="L228" i="3"/>
  <c r="J228" i="3"/>
  <c r="I228" i="3"/>
  <c r="J228" i="3" s="1" a="1"/>
  <c r="H228" i="3"/>
  <c r="S228" i="3" s="1"/>
  <c r="Q227" i="3"/>
  <c r="O227" i="3"/>
  <c r="N227" i="3"/>
  <c r="L227" i="3"/>
  <c r="I227" i="3"/>
  <c r="J227" i="3" s="1" a="1"/>
  <c r="J227" i="3" s="1"/>
  <c r="H227" i="3"/>
  <c r="S227" i="3" s="1"/>
  <c r="Q226" i="3"/>
  <c r="O226" i="3"/>
  <c r="N226" i="3"/>
  <c r="L226" i="3"/>
  <c r="I226" i="3"/>
  <c r="J226" i="3" s="1" a="1"/>
  <c r="J226" i="3" s="1"/>
  <c r="H226" i="3"/>
  <c r="S226" i="3" s="1"/>
  <c r="S225" i="3"/>
  <c r="Q225" i="3"/>
  <c r="O225" i="3"/>
  <c r="N225" i="3"/>
  <c r="L225" i="3"/>
  <c r="J225" i="3"/>
  <c r="I225" i="3"/>
  <c r="J225" i="3" s="1" a="1"/>
  <c r="H225" i="3"/>
  <c r="Q224" i="3"/>
  <c r="O224" i="3"/>
  <c r="N224" i="3"/>
  <c r="L224" i="3"/>
  <c r="J224" i="3"/>
  <c r="I224" i="3"/>
  <c r="J224" i="3" s="1" a="1"/>
  <c r="H224" i="3"/>
  <c r="S224" i="3" s="1"/>
  <c r="Q223" i="3"/>
  <c r="O223" i="3"/>
  <c r="N223" i="3"/>
  <c r="L223" i="3"/>
  <c r="I223" i="3"/>
  <c r="J223" i="3" s="1" a="1"/>
  <c r="J223" i="3" s="1"/>
  <c r="H223" i="3"/>
  <c r="S223" i="3" s="1"/>
  <c r="Q222" i="3"/>
  <c r="O222" i="3"/>
  <c r="N222" i="3"/>
  <c r="L222" i="3"/>
  <c r="J222" i="3" a="1"/>
  <c r="J222" i="3"/>
  <c r="I222" i="3"/>
  <c r="H222" i="3"/>
  <c r="S222" i="3" s="1"/>
  <c r="Q221" i="3"/>
  <c r="O221" i="3"/>
  <c r="N221" i="3"/>
  <c r="L221" i="3"/>
  <c r="I221" i="3"/>
  <c r="J221" i="3" s="1" a="1"/>
  <c r="J221" i="3" s="1"/>
  <c r="H221" i="3"/>
  <c r="S221" i="3" s="1"/>
  <c r="Q220" i="3"/>
  <c r="O220" i="3"/>
  <c r="N220" i="3"/>
  <c r="L220" i="3"/>
  <c r="J220" i="3" a="1"/>
  <c r="J220" i="3"/>
  <c r="I220" i="3"/>
  <c r="H220" i="3"/>
  <c r="S220" i="3" s="1"/>
  <c r="Q219" i="3"/>
  <c r="O219" i="3"/>
  <c r="N219" i="3"/>
  <c r="L219" i="3"/>
  <c r="I219" i="3"/>
  <c r="J219" i="3" s="1" a="1"/>
  <c r="J219" i="3" s="1"/>
  <c r="H219" i="3"/>
  <c r="S219" i="3" s="1"/>
  <c r="Q218" i="3"/>
  <c r="O218" i="3"/>
  <c r="N218" i="3"/>
  <c r="L218" i="3"/>
  <c r="J218" i="3" a="1"/>
  <c r="J218" i="3"/>
  <c r="I218" i="3"/>
  <c r="H218" i="3"/>
  <c r="S218" i="3" s="1"/>
  <c r="Q217" i="3"/>
  <c r="O217" i="3"/>
  <c r="N217" i="3"/>
  <c r="L217" i="3"/>
  <c r="I217" i="3"/>
  <c r="J217" i="3" s="1" a="1"/>
  <c r="J217" i="3" s="1"/>
  <c r="H217" i="3"/>
  <c r="S217" i="3" s="1"/>
  <c r="Q216" i="3"/>
  <c r="O216" i="3"/>
  <c r="N216" i="3"/>
  <c r="L216" i="3"/>
  <c r="J216" i="3" a="1"/>
  <c r="J216" i="3"/>
  <c r="I216" i="3"/>
  <c r="H216" i="3"/>
  <c r="S216" i="3" s="1"/>
  <c r="Q215" i="3"/>
  <c r="O215" i="3"/>
  <c r="N215" i="3"/>
  <c r="L215" i="3"/>
  <c r="I215" i="3"/>
  <c r="J215" i="3" s="1" a="1"/>
  <c r="J215" i="3" s="1"/>
  <c r="H215" i="3"/>
  <c r="S215" i="3" s="1"/>
  <c r="Q214" i="3"/>
  <c r="O214" i="3"/>
  <c r="N214" i="3"/>
  <c r="L214" i="3"/>
  <c r="J214" i="3" a="1"/>
  <c r="J214" i="3"/>
  <c r="I214" i="3"/>
  <c r="H214" i="3"/>
  <c r="S214" i="3" s="1"/>
  <c r="Q213" i="3"/>
  <c r="O213" i="3"/>
  <c r="N213" i="3"/>
  <c r="L213" i="3"/>
  <c r="I213" i="3"/>
  <c r="J213" i="3" s="1" a="1"/>
  <c r="J213" i="3" s="1"/>
  <c r="H213" i="3"/>
  <c r="S213" i="3" s="1"/>
  <c r="Q212" i="3"/>
  <c r="O212" i="3"/>
  <c r="N212" i="3"/>
  <c r="L212" i="3"/>
  <c r="J212" i="3" a="1"/>
  <c r="J212" i="3"/>
  <c r="I212" i="3"/>
  <c r="H212" i="3"/>
  <c r="S212" i="3" s="1"/>
  <c r="Q211" i="3"/>
  <c r="O211" i="3"/>
  <c r="N211" i="3"/>
  <c r="L211" i="3"/>
  <c r="I211" i="3"/>
  <c r="J211" i="3" s="1" a="1"/>
  <c r="J211" i="3" s="1"/>
  <c r="H211" i="3"/>
  <c r="S211" i="3" s="1"/>
  <c r="Q210" i="3"/>
  <c r="O210" i="3"/>
  <c r="N210" i="3"/>
  <c r="L210" i="3"/>
  <c r="J210" i="3" a="1"/>
  <c r="J210" i="3"/>
  <c r="I210" i="3"/>
  <c r="H210" i="3"/>
  <c r="S210" i="3" s="1"/>
  <c r="Q209" i="3"/>
  <c r="O209" i="3"/>
  <c r="N209" i="3"/>
  <c r="L209" i="3"/>
  <c r="I209" i="3"/>
  <c r="J209" i="3" s="1" a="1"/>
  <c r="J209" i="3" s="1"/>
  <c r="H209" i="3"/>
  <c r="S209" i="3" s="1"/>
  <c r="Q208" i="3"/>
  <c r="O208" i="3"/>
  <c r="N208" i="3"/>
  <c r="L208" i="3"/>
  <c r="J208" i="3" a="1"/>
  <c r="J208" i="3"/>
  <c r="I208" i="3"/>
  <c r="H208" i="3"/>
  <c r="S208" i="3" s="1"/>
  <c r="Q207" i="3"/>
  <c r="O207" i="3"/>
  <c r="N207" i="3"/>
  <c r="L207" i="3"/>
  <c r="I207" i="3"/>
  <c r="J207" i="3" s="1" a="1"/>
  <c r="J207" i="3" s="1"/>
  <c r="H207" i="3"/>
  <c r="S207" i="3" s="1"/>
  <c r="Q206" i="3"/>
  <c r="O206" i="3"/>
  <c r="N206" i="3"/>
  <c r="L206" i="3"/>
  <c r="I206" i="3"/>
  <c r="J206" i="3" s="1" a="1"/>
  <c r="J206" i="3" s="1"/>
  <c r="H206" i="3"/>
  <c r="S206" i="3" s="1"/>
  <c r="Q205" i="3"/>
  <c r="O205" i="3"/>
  <c r="N205" i="3"/>
  <c r="L205" i="3"/>
  <c r="I205" i="3"/>
  <c r="J205" i="3" s="1" a="1"/>
  <c r="J205" i="3" s="1"/>
  <c r="H205" i="3"/>
  <c r="S205" i="3" s="1"/>
  <c r="Q204" i="3"/>
  <c r="O204" i="3"/>
  <c r="N204" i="3"/>
  <c r="L204" i="3"/>
  <c r="I204" i="3"/>
  <c r="J204" i="3" s="1" a="1"/>
  <c r="J204" i="3" s="1"/>
  <c r="H204" i="3"/>
  <c r="S204" i="3" s="1"/>
  <c r="Q203" i="3"/>
  <c r="O203" i="3"/>
  <c r="N203" i="3"/>
  <c r="L203" i="3"/>
  <c r="I203" i="3"/>
  <c r="J203" i="3" s="1" a="1"/>
  <c r="J203" i="3" s="1"/>
  <c r="H203" i="3"/>
  <c r="S203" i="3" s="1"/>
  <c r="Q202" i="3"/>
  <c r="O202" i="3"/>
  <c r="N202" i="3"/>
  <c r="L202" i="3"/>
  <c r="I202" i="3"/>
  <c r="J202" i="3" s="1" a="1"/>
  <c r="J202" i="3" s="1"/>
  <c r="H202" i="3"/>
  <c r="S202" i="3" s="1"/>
  <c r="Q201" i="3"/>
  <c r="O201" i="3"/>
  <c r="N201" i="3"/>
  <c r="L201" i="3"/>
  <c r="I201" i="3"/>
  <c r="J201" i="3" s="1" a="1"/>
  <c r="J201" i="3" s="1"/>
  <c r="H201" i="3"/>
  <c r="S201" i="3" s="1"/>
  <c r="Q200" i="3"/>
  <c r="O200" i="3"/>
  <c r="N200" i="3"/>
  <c r="L200" i="3"/>
  <c r="J200" i="3" a="1"/>
  <c r="J200" i="3"/>
  <c r="I200" i="3"/>
  <c r="H200" i="3"/>
  <c r="S200" i="3" s="1"/>
  <c r="Q199" i="3"/>
  <c r="O199" i="3"/>
  <c r="N199" i="3"/>
  <c r="L199" i="3"/>
  <c r="I199" i="3"/>
  <c r="J199" i="3" s="1" a="1"/>
  <c r="J199" i="3" s="1"/>
  <c r="H199" i="3"/>
  <c r="S199" i="3" s="1"/>
  <c r="Q198" i="3"/>
  <c r="O198" i="3"/>
  <c r="N198" i="3"/>
  <c r="L198" i="3"/>
  <c r="J198" i="3" a="1"/>
  <c r="J198" i="3"/>
  <c r="I198" i="3"/>
  <c r="H198" i="3"/>
  <c r="S198" i="3" s="1"/>
  <c r="Q197" i="3"/>
  <c r="O197" i="3"/>
  <c r="N197" i="3"/>
  <c r="L197" i="3"/>
  <c r="I197" i="3"/>
  <c r="J197" i="3" s="1" a="1"/>
  <c r="J197" i="3" s="1"/>
  <c r="H197" i="3"/>
  <c r="S197" i="3" s="1"/>
  <c r="Q196" i="3"/>
  <c r="O196" i="3"/>
  <c r="N196" i="3"/>
  <c r="L196" i="3"/>
  <c r="I196" i="3"/>
  <c r="J196" i="3" s="1" a="1"/>
  <c r="J196" i="3" s="1"/>
  <c r="H196" i="3"/>
  <c r="S196" i="3" s="1"/>
  <c r="Q195" i="3"/>
  <c r="O195" i="3"/>
  <c r="N195" i="3"/>
  <c r="L195" i="3"/>
  <c r="I195" i="3"/>
  <c r="J195" i="3" s="1" a="1"/>
  <c r="J195" i="3" s="1"/>
  <c r="H195" i="3"/>
  <c r="S195" i="3" s="1"/>
  <c r="Q194" i="3"/>
  <c r="O194" i="3"/>
  <c r="N194" i="3"/>
  <c r="L194" i="3"/>
  <c r="I194" i="3"/>
  <c r="J194" i="3" s="1" a="1"/>
  <c r="J194" i="3" s="1"/>
  <c r="H194" i="3"/>
  <c r="S194" i="3" s="1"/>
  <c r="Q193" i="3"/>
  <c r="O193" i="3"/>
  <c r="N193" i="3"/>
  <c r="L193" i="3"/>
  <c r="I193" i="3"/>
  <c r="J193" i="3" s="1" a="1"/>
  <c r="J193" i="3" s="1"/>
  <c r="H193" i="3"/>
  <c r="S193" i="3" s="1"/>
  <c r="Q192" i="3"/>
  <c r="O192" i="3"/>
  <c r="N192" i="3"/>
  <c r="L192" i="3"/>
  <c r="I192" i="3"/>
  <c r="J192" i="3" s="1" a="1"/>
  <c r="J192" i="3" s="1"/>
  <c r="H192" i="3"/>
  <c r="S192" i="3" s="1"/>
  <c r="Q191" i="3"/>
  <c r="O191" i="3"/>
  <c r="N191" i="3"/>
  <c r="L191" i="3"/>
  <c r="I191" i="3"/>
  <c r="J191" i="3" s="1" a="1"/>
  <c r="J191" i="3" s="1"/>
  <c r="H191" i="3"/>
  <c r="S191" i="3" s="1"/>
  <c r="Q190" i="3"/>
  <c r="O190" i="3"/>
  <c r="N190" i="3"/>
  <c r="L190" i="3"/>
  <c r="J190" i="3" a="1"/>
  <c r="J190" i="3"/>
  <c r="I190" i="3"/>
  <c r="H190" i="3"/>
  <c r="S190" i="3" s="1"/>
  <c r="Q189" i="3"/>
  <c r="O189" i="3"/>
  <c r="N189" i="3"/>
  <c r="L189" i="3"/>
  <c r="I189" i="3"/>
  <c r="J189" i="3" s="1" a="1"/>
  <c r="J189" i="3" s="1"/>
  <c r="H189" i="3"/>
  <c r="S189" i="3" s="1"/>
  <c r="Q188" i="3"/>
  <c r="O188" i="3"/>
  <c r="N188" i="3"/>
  <c r="L188" i="3"/>
  <c r="I188" i="3"/>
  <c r="J188" i="3" s="1" a="1"/>
  <c r="J188" i="3" s="1"/>
  <c r="H188" i="3"/>
  <c r="S188" i="3" s="1"/>
  <c r="Q187" i="3"/>
  <c r="O187" i="3"/>
  <c r="N187" i="3"/>
  <c r="L187" i="3"/>
  <c r="J187" i="3" a="1"/>
  <c r="J187" i="3" s="1"/>
  <c r="I187" i="3"/>
  <c r="H187" i="3"/>
  <c r="S187" i="3" s="1"/>
  <c r="Q186" i="3"/>
  <c r="O186" i="3"/>
  <c r="N186" i="3"/>
  <c r="L186" i="3"/>
  <c r="I186" i="3"/>
  <c r="J186" i="3" s="1" a="1"/>
  <c r="J186" i="3" s="1"/>
  <c r="H186" i="3"/>
  <c r="S186" i="3" s="1"/>
  <c r="Q185" i="3"/>
  <c r="O185" i="3"/>
  <c r="N185" i="3"/>
  <c r="L185" i="3"/>
  <c r="I185" i="3"/>
  <c r="J185" i="3" s="1" a="1"/>
  <c r="J185" i="3" s="1"/>
  <c r="H185" i="3"/>
  <c r="S185" i="3" s="1"/>
  <c r="Q184" i="3"/>
  <c r="O184" i="3"/>
  <c r="N184" i="3"/>
  <c r="L184" i="3"/>
  <c r="J184" i="3" a="1"/>
  <c r="J184" i="3"/>
  <c r="I184" i="3"/>
  <c r="H184" i="3"/>
  <c r="S184" i="3" s="1"/>
  <c r="Q183" i="3"/>
  <c r="O183" i="3"/>
  <c r="N183" i="3"/>
  <c r="L183" i="3"/>
  <c r="I183" i="3"/>
  <c r="J183" i="3" s="1" a="1"/>
  <c r="J183" i="3" s="1"/>
  <c r="H183" i="3"/>
  <c r="S183" i="3" s="1"/>
  <c r="Q182" i="3"/>
  <c r="O182" i="3"/>
  <c r="N182" i="3"/>
  <c r="L182" i="3"/>
  <c r="I182" i="3"/>
  <c r="J182" i="3" s="1" a="1"/>
  <c r="J182" i="3" s="1"/>
  <c r="H182" i="3"/>
  <c r="S182" i="3" s="1"/>
  <c r="Q181" i="3"/>
  <c r="O181" i="3"/>
  <c r="N181" i="3"/>
  <c r="L181" i="3"/>
  <c r="J181" i="3" a="1"/>
  <c r="J181" i="3" s="1"/>
  <c r="I181" i="3"/>
  <c r="H181" i="3"/>
  <c r="S181" i="3" s="1"/>
  <c r="Q180" i="3"/>
  <c r="O180" i="3"/>
  <c r="N180" i="3"/>
  <c r="L180" i="3"/>
  <c r="I180" i="3"/>
  <c r="J180" i="3" s="1" a="1"/>
  <c r="J180" i="3" s="1"/>
  <c r="H180" i="3"/>
  <c r="S180" i="3" s="1"/>
  <c r="Q179" i="3"/>
  <c r="O179" i="3"/>
  <c r="N179" i="3"/>
  <c r="L179" i="3"/>
  <c r="J179" i="3" a="1"/>
  <c r="J179" i="3" s="1"/>
  <c r="I179" i="3"/>
  <c r="H179" i="3"/>
  <c r="S179" i="3" s="1"/>
  <c r="Q178" i="3"/>
  <c r="O178" i="3"/>
  <c r="N178" i="3"/>
  <c r="L178" i="3"/>
  <c r="I178" i="3"/>
  <c r="J178" i="3" s="1" a="1"/>
  <c r="J178" i="3" s="1"/>
  <c r="H178" i="3"/>
  <c r="S178" i="3" s="1"/>
  <c r="Q177" i="3"/>
  <c r="O177" i="3"/>
  <c r="N177" i="3"/>
  <c r="L177" i="3"/>
  <c r="J177" i="3" a="1"/>
  <c r="J177" i="3" s="1"/>
  <c r="I177" i="3"/>
  <c r="H177" i="3"/>
  <c r="S177" i="3" s="1"/>
  <c r="Q176" i="3"/>
  <c r="O176" i="3"/>
  <c r="N176" i="3"/>
  <c r="L176" i="3"/>
  <c r="I176" i="3"/>
  <c r="J176" i="3" s="1" a="1"/>
  <c r="J176" i="3" s="1"/>
  <c r="H176" i="3"/>
  <c r="S176" i="3" s="1"/>
  <c r="Q175" i="3"/>
  <c r="O175" i="3"/>
  <c r="N175" i="3"/>
  <c r="L175" i="3"/>
  <c r="J175" i="3" a="1"/>
  <c r="J175" i="3" s="1"/>
  <c r="I175" i="3"/>
  <c r="H175" i="3"/>
  <c r="S175" i="3" s="1"/>
  <c r="Q174" i="3"/>
  <c r="O174" i="3"/>
  <c r="N174" i="3"/>
  <c r="L174" i="3"/>
  <c r="I174" i="3"/>
  <c r="J174" i="3" s="1" a="1"/>
  <c r="J174" i="3" s="1"/>
  <c r="H174" i="3"/>
  <c r="S174" i="3" s="1"/>
  <c r="Q173" i="3"/>
  <c r="O173" i="3"/>
  <c r="N173" i="3"/>
  <c r="L173" i="3"/>
  <c r="J173" i="3" a="1"/>
  <c r="J173" i="3" s="1"/>
  <c r="I173" i="3"/>
  <c r="H173" i="3"/>
  <c r="S173" i="3" s="1"/>
  <c r="Q172" i="3"/>
  <c r="O172" i="3"/>
  <c r="N172" i="3"/>
  <c r="L172" i="3"/>
  <c r="I172" i="3"/>
  <c r="J172" i="3" s="1" a="1"/>
  <c r="J172" i="3" s="1"/>
  <c r="H172" i="3"/>
  <c r="S172" i="3" s="1"/>
  <c r="Q171" i="3"/>
  <c r="O171" i="3"/>
  <c r="N171" i="3"/>
  <c r="L171" i="3"/>
  <c r="J171" i="3" a="1"/>
  <c r="J171" i="3" s="1"/>
  <c r="I171" i="3"/>
  <c r="H171" i="3"/>
  <c r="S171" i="3" s="1"/>
  <c r="Q170" i="3"/>
  <c r="O170" i="3"/>
  <c r="N170" i="3"/>
  <c r="L170" i="3"/>
  <c r="I170" i="3"/>
  <c r="J170" i="3" s="1" a="1"/>
  <c r="J170" i="3" s="1"/>
  <c r="H170" i="3"/>
  <c r="S170" i="3" s="1"/>
  <c r="Q169" i="3"/>
  <c r="O169" i="3"/>
  <c r="N169" i="3"/>
  <c r="L169" i="3"/>
  <c r="J169" i="3" a="1"/>
  <c r="J169" i="3" s="1"/>
  <c r="I169" i="3"/>
  <c r="H169" i="3"/>
  <c r="S169" i="3" s="1"/>
  <c r="Q168" i="3"/>
  <c r="O168" i="3"/>
  <c r="N168" i="3"/>
  <c r="L168" i="3"/>
  <c r="I168" i="3"/>
  <c r="J168" i="3" s="1" a="1"/>
  <c r="J168" i="3" s="1"/>
  <c r="H168" i="3"/>
  <c r="S168" i="3" s="1"/>
  <c r="Q167" i="3"/>
  <c r="O167" i="3"/>
  <c r="N167" i="3"/>
  <c r="L167" i="3"/>
  <c r="J167" i="3" a="1"/>
  <c r="J167" i="3" s="1"/>
  <c r="I167" i="3"/>
  <c r="H167" i="3"/>
  <c r="S167" i="3" s="1"/>
  <c r="Q166" i="3"/>
  <c r="O166" i="3"/>
  <c r="N166" i="3"/>
  <c r="L166" i="3"/>
  <c r="I166" i="3"/>
  <c r="J166" i="3" s="1" a="1"/>
  <c r="J166" i="3" s="1"/>
  <c r="H166" i="3"/>
  <c r="S166" i="3" s="1"/>
  <c r="Q165" i="3"/>
  <c r="O165" i="3"/>
  <c r="N165" i="3"/>
  <c r="L165" i="3"/>
  <c r="I165" i="3"/>
  <c r="J165" i="3" s="1" a="1"/>
  <c r="J165" i="3" s="1"/>
  <c r="H165" i="3"/>
  <c r="S165" i="3" s="1"/>
  <c r="Q164" i="3"/>
  <c r="O164" i="3"/>
  <c r="N164" i="3"/>
  <c r="L164" i="3"/>
  <c r="I164" i="3"/>
  <c r="J164" i="3" s="1" a="1"/>
  <c r="J164" i="3" s="1"/>
  <c r="H164" i="3"/>
  <c r="S164" i="3" s="1"/>
  <c r="Q163" i="3"/>
  <c r="O163" i="3"/>
  <c r="N163" i="3"/>
  <c r="L163" i="3"/>
  <c r="I163" i="3"/>
  <c r="J163" i="3" s="1" a="1"/>
  <c r="J163" i="3" s="1"/>
  <c r="H163" i="3"/>
  <c r="S163" i="3" s="1"/>
  <c r="Q162" i="3"/>
  <c r="O162" i="3"/>
  <c r="N162" i="3"/>
  <c r="L162" i="3"/>
  <c r="I162" i="3"/>
  <c r="J162" i="3" s="1" a="1"/>
  <c r="J162" i="3" s="1"/>
  <c r="H162" i="3"/>
  <c r="S162" i="3" s="1"/>
  <c r="Q161" i="3"/>
  <c r="O161" i="3"/>
  <c r="N161" i="3"/>
  <c r="L161" i="3"/>
  <c r="I161" i="3"/>
  <c r="J161" i="3" s="1" a="1"/>
  <c r="J161" i="3" s="1"/>
  <c r="H161" i="3"/>
  <c r="S161" i="3" s="1"/>
  <c r="Q160" i="3"/>
  <c r="O160" i="3"/>
  <c r="N160" i="3"/>
  <c r="L160" i="3"/>
  <c r="I160" i="3"/>
  <c r="J160" i="3" s="1" a="1"/>
  <c r="J160" i="3" s="1"/>
  <c r="H160" i="3"/>
  <c r="S160" i="3" s="1"/>
  <c r="Q159" i="3"/>
  <c r="O159" i="3"/>
  <c r="N159" i="3"/>
  <c r="L159" i="3"/>
  <c r="I159" i="3"/>
  <c r="J159" i="3" s="1" a="1"/>
  <c r="J159" i="3" s="1"/>
  <c r="H159" i="3"/>
  <c r="S159" i="3" s="1"/>
  <c r="Q158" i="3"/>
  <c r="O158" i="3"/>
  <c r="N158" i="3"/>
  <c r="L158" i="3"/>
  <c r="I158" i="3"/>
  <c r="J158" i="3" s="1" a="1"/>
  <c r="J158" i="3" s="1"/>
  <c r="H158" i="3"/>
  <c r="S158" i="3" s="1"/>
  <c r="Q157" i="3"/>
  <c r="O157" i="3"/>
  <c r="N157" i="3"/>
  <c r="L157" i="3"/>
  <c r="I157" i="3"/>
  <c r="J157" i="3" s="1" a="1"/>
  <c r="J157" i="3" s="1"/>
  <c r="H157" i="3"/>
  <c r="S157" i="3" s="1"/>
  <c r="Q156" i="3"/>
  <c r="O156" i="3"/>
  <c r="N156" i="3"/>
  <c r="L156" i="3"/>
  <c r="I156" i="3"/>
  <c r="J156" i="3" s="1" a="1"/>
  <c r="J156" i="3" s="1"/>
  <c r="H156" i="3"/>
  <c r="S156" i="3" s="1"/>
  <c r="Q155" i="3"/>
  <c r="O155" i="3"/>
  <c r="N155" i="3"/>
  <c r="L155" i="3"/>
  <c r="J155" i="3" a="1"/>
  <c r="J155" i="3" s="1"/>
  <c r="I155" i="3"/>
  <c r="H155" i="3"/>
  <c r="S155" i="3" s="1"/>
  <c r="Q154" i="3"/>
  <c r="O154" i="3"/>
  <c r="N154" i="3"/>
  <c r="L154" i="3"/>
  <c r="I154" i="3"/>
  <c r="J154" i="3" s="1" a="1"/>
  <c r="J154" i="3" s="1"/>
  <c r="H154" i="3"/>
  <c r="S154" i="3" s="1"/>
  <c r="Q153" i="3"/>
  <c r="O153" i="3"/>
  <c r="N153" i="3"/>
  <c r="L153" i="3"/>
  <c r="I153" i="3"/>
  <c r="J153" i="3" s="1" a="1"/>
  <c r="J153" i="3" s="1"/>
  <c r="H153" i="3"/>
  <c r="S153" i="3" s="1"/>
  <c r="Q152" i="3"/>
  <c r="O152" i="3"/>
  <c r="N152" i="3"/>
  <c r="L152" i="3"/>
  <c r="J152" i="3" a="1"/>
  <c r="J152" i="3"/>
  <c r="I152" i="3"/>
  <c r="H152" i="3"/>
  <c r="S152" i="3" s="1"/>
  <c r="Q151" i="3"/>
  <c r="O151" i="3"/>
  <c r="N151" i="3"/>
  <c r="L151" i="3"/>
  <c r="I151" i="3"/>
  <c r="J151" i="3" s="1" a="1"/>
  <c r="J151" i="3" s="1"/>
  <c r="H151" i="3"/>
  <c r="S151" i="3" s="1"/>
  <c r="Q150" i="3"/>
  <c r="O150" i="3"/>
  <c r="N150" i="3"/>
  <c r="L150" i="3"/>
  <c r="J150" i="3" a="1"/>
  <c r="J150" i="3"/>
  <c r="I150" i="3"/>
  <c r="H150" i="3"/>
  <c r="S150" i="3" s="1"/>
  <c r="Q149" i="3"/>
  <c r="O149" i="3"/>
  <c r="N149" i="3"/>
  <c r="L149" i="3"/>
  <c r="I149" i="3"/>
  <c r="J149" i="3" s="1" a="1"/>
  <c r="J149" i="3" s="1"/>
  <c r="H149" i="3"/>
  <c r="S149" i="3" s="1"/>
  <c r="Q148" i="3"/>
  <c r="O148" i="3"/>
  <c r="N148" i="3"/>
  <c r="L148" i="3"/>
  <c r="J148" i="3" a="1"/>
  <c r="J148" i="3"/>
  <c r="I148" i="3"/>
  <c r="H148" i="3"/>
  <c r="S148" i="3" s="1"/>
  <c r="Q147" i="3"/>
  <c r="O147" i="3"/>
  <c r="N147" i="3"/>
  <c r="L147" i="3"/>
  <c r="I147" i="3"/>
  <c r="J147" i="3" s="1" a="1"/>
  <c r="J147" i="3" s="1"/>
  <c r="H147" i="3"/>
  <c r="S147" i="3" s="1"/>
  <c r="Q146" i="3"/>
  <c r="O146" i="3"/>
  <c r="N146" i="3"/>
  <c r="L146" i="3"/>
  <c r="J146" i="3" a="1"/>
  <c r="J146" i="3"/>
  <c r="I146" i="3"/>
  <c r="H146" i="3"/>
  <c r="S146" i="3" s="1"/>
  <c r="Q145" i="3"/>
  <c r="O145" i="3"/>
  <c r="N145" i="3"/>
  <c r="L145" i="3"/>
  <c r="I145" i="3"/>
  <c r="J145" i="3" s="1" a="1"/>
  <c r="J145" i="3" s="1"/>
  <c r="H145" i="3"/>
  <c r="S145" i="3" s="1"/>
  <c r="Q144" i="3"/>
  <c r="O144" i="3"/>
  <c r="N144" i="3"/>
  <c r="L144" i="3"/>
  <c r="J144" i="3" a="1"/>
  <c r="J144" i="3"/>
  <c r="I144" i="3"/>
  <c r="H144" i="3"/>
  <c r="S144" i="3" s="1"/>
  <c r="Q143" i="3"/>
  <c r="O143" i="3"/>
  <c r="N143" i="3"/>
  <c r="L143" i="3"/>
  <c r="I143" i="3"/>
  <c r="J143" i="3" s="1" a="1"/>
  <c r="J143" i="3" s="1"/>
  <c r="H143" i="3"/>
  <c r="S143" i="3" s="1"/>
  <c r="Q142" i="3"/>
  <c r="O142" i="3"/>
  <c r="N142" i="3"/>
  <c r="L142" i="3"/>
  <c r="J142" i="3" a="1"/>
  <c r="J142" i="3"/>
  <c r="I142" i="3"/>
  <c r="H142" i="3"/>
  <c r="S142" i="3" s="1"/>
  <c r="Q141" i="3"/>
  <c r="O141" i="3"/>
  <c r="N141" i="3"/>
  <c r="L141" i="3"/>
  <c r="I141" i="3"/>
  <c r="J141" i="3" s="1" a="1"/>
  <c r="J141" i="3" s="1"/>
  <c r="H141" i="3"/>
  <c r="S141" i="3" s="1"/>
  <c r="Q140" i="3"/>
  <c r="O140" i="3"/>
  <c r="N140" i="3"/>
  <c r="L140" i="3"/>
  <c r="J140" i="3" a="1"/>
  <c r="J140" i="3"/>
  <c r="I140" i="3"/>
  <c r="H140" i="3"/>
  <c r="S140" i="3" s="1"/>
  <c r="Q139" i="3"/>
  <c r="O139" i="3"/>
  <c r="N139" i="3"/>
  <c r="L139" i="3"/>
  <c r="I139" i="3"/>
  <c r="J139" i="3" s="1" a="1"/>
  <c r="J139" i="3" s="1"/>
  <c r="H139" i="3"/>
  <c r="S139" i="3" s="1"/>
  <c r="Q138" i="3"/>
  <c r="O138" i="3"/>
  <c r="N138" i="3"/>
  <c r="L138" i="3"/>
  <c r="J138" i="3" a="1"/>
  <c r="J138" i="3"/>
  <c r="I138" i="3"/>
  <c r="H138" i="3"/>
  <c r="S138" i="3" s="1"/>
  <c r="Q137" i="3"/>
  <c r="O137" i="3"/>
  <c r="N137" i="3"/>
  <c r="L137" i="3"/>
  <c r="I137" i="3"/>
  <c r="J137" i="3" s="1" a="1"/>
  <c r="J137" i="3" s="1"/>
  <c r="H137" i="3"/>
  <c r="S137" i="3" s="1"/>
  <c r="Q136" i="3"/>
  <c r="O136" i="3"/>
  <c r="N136" i="3"/>
  <c r="L136" i="3"/>
  <c r="J136" i="3" a="1"/>
  <c r="J136" i="3"/>
  <c r="I136" i="3"/>
  <c r="H136" i="3"/>
  <c r="S136" i="3" s="1"/>
  <c r="Q135" i="3"/>
  <c r="O135" i="3"/>
  <c r="N135" i="3"/>
  <c r="L135" i="3"/>
  <c r="I135" i="3"/>
  <c r="J135" i="3" s="1" a="1"/>
  <c r="J135" i="3" s="1"/>
  <c r="H135" i="3"/>
  <c r="S135" i="3" s="1"/>
  <c r="Q134" i="3"/>
  <c r="O134" i="3"/>
  <c r="N134" i="3"/>
  <c r="L134" i="3"/>
  <c r="J134" i="3" a="1"/>
  <c r="J134" i="3"/>
  <c r="I134" i="3"/>
  <c r="H134" i="3"/>
  <c r="S134" i="3" s="1"/>
  <c r="Q133" i="3"/>
  <c r="O133" i="3"/>
  <c r="N133" i="3"/>
  <c r="L133" i="3"/>
  <c r="I133" i="3"/>
  <c r="J133" i="3" s="1" a="1"/>
  <c r="J133" i="3" s="1"/>
  <c r="H133" i="3"/>
  <c r="S133" i="3" s="1"/>
  <c r="Q132" i="3"/>
  <c r="O132" i="3"/>
  <c r="N132" i="3"/>
  <c r="L132" i="3"/>
  <c r="J132" i="3" a="1"/>
  <c r="J132" i="3"/>
  <c r="I132" i="3"/>
  <c r="H132" i="3"/>
  <c r="S132" i="3" s="1"/>
  <c r="Q131" i="3"/>
  <c r="O131" i="3"/>
  <c r="N131" i="3"/>
  <c r="L131" i="3"/>
  <c r="I131" i="3"/>
  <c r="J131" i="3" s="1" a="1"/>
  <c r="J131" i="3" s="1"/>
  <c r="H131" i="3"/>
  <c r="S131" i="3" s="1"/>
  <c r="Q130" i="3"/>
  <c r="O130" i="3"/>
  <c r="N130" i="3"/>
  <c r="L130" i="3"/>
  <c r="J130" i="3" a="1"/>
  <c r="J130" i="3" s="1"/>
  <c r="I130" i="3"/>
  <c r="H130" i="3"/>
  <c r="S130" i="3" s="1"/>
  <c r="Q129" i="3"/>
  <c r="O129" i="3"/>
  <c r="N129" i="3"/>
  <c r="L129" i="3"/>
  <c r="I129" i="3"/>
  <c r="J129" i="3" s="1" a="1"/>
  <c r="J129" i="3" s="1"/>
  <c r="H129" i="3"/>
  <c r="S129" i="3" s="1"/>
  <c r="Q128" i="3"/>
  <c r="O128" i="3"/>
  <c r="N128" i="3"/>
  <c r="L128" i="3"/>
  <c r="J128" i="3" a="1"/>
  <c r="J128" i="3" s="1"/>
  <c r="I128" i="3"/>
  <c r="H128" i="3"/>
  <c r="S128" i="3" s="1"/>
  <c r="Q127" i="3"/>
  <c r="O127" i="3"/>
  <c r="N127" i="3"/>
  <c r="L127" i="3"/>
  <c r="I127" i="3"/>
  <c r="J127" i="3" s="1" a="1"/>
  <c r="J127" i="3" s="1"/>
  <c r="H127" i="3"/>
  <c r="S127" i="3" s="1"/>
  <c r="Q126" i="3"/>
  <c r="O126" i="3"/>
  <c r="N126" i="3"/>
  <c r="L126" i="3"/>
  <c r="J126" i="3" a="1"/>
  <c r="J126" i="3" s="1"/>
  <c r="I126" i="3"/>
  <c r="H126" i="3"/>
  <c r="S126" i="3" s="1"/>
  <c r="Q125" i="3"/>
  <c r="O125" i="3"/>
  <c r="N125" i="3"/>
  <c r="L125" i="3"/>
  <c r="I125" i="3"/>
  <c r="J125" i="3" s="1" a="1"/>
  <c r="J125" i="3" s="1"/>
  <c r="H125" i="3"/>
  <c r="S125" i="3" s="1"/>
  <c r="Q124" i="3"/>
  <c r="O124" i="3"/>
  <c r="N124" i="3"/>
  <c r="L124" i="3"/>
  <c r="J124" i="3" a="1"/>
  <c r="J124" i="3" s="1"/>
  <c r="I124" i="3"/>
  <c r="H124" i="3"/>
  <c r="S124" i="3" s="1"/>
  <c r="Q123" i="3"/>
  <c r="O123" i="3"/>
  <c r="N123" i="3"/>
  <c r="L123" i="3"/>
  <c r="I123" i="3"/>
  <c r="J123" i="3" s="1" a="1"/>
  <c r="J123" i="3" s="1"/>
  <c r="H123" i="3"/>
  <c r="S123" i="3" s="1"/>
  <c r="Q122" i="3"/>
  <c r="O122" i="3"/>
  <c r="N122" i="3"/>
  <c r="L122" i="3"/>
  <c r="J122" i="3" a="1"/>
  <c r="J122" i="3" s="1"/>
  <c r="I122" i="3"/>
  <c r="H122" i="3"/>
  <c r="S122" i="3" s="1"/>
  <c r="Q121" i="3"/>
  <c r="O121" i="3"/>
  <c r="N121" i="3"/>
  <c r="L121" i="3"/>
  <c r="I121" i="3"/>
  <c r="J121" i="3" s="1" a="1"/>
  <c r="J121" i="3" s="1"/>
  <c r="H121" i="3"/>
  <c r="S121" i="3" s="1"/>
  <c r="Q120" i="3"/>
  <c r="O120" i="3"/>
  <c r="N120" i="3"/>
  <c r="L120" i="3"/>
  <c r="J120" i="3" a="1"/>
  <c r="J120" i="3" s="1"/>
  <c r="I120" i="3"/>
  <c r="H120" i="3"/>
  <c r="S120" i="3" s="1"/>
  <c r="Q119" i="3"/>
  <c r="O119" i="3"/>
  <c r="N119" i="3"/>
  <c r="L119" i="3"/>
  <c r="I119" i="3"/>
  <c r="J119" i="3" s="1" a="1"/>
  <c r="J119" i="3" s="1"/>
  <c r="H119" i="3"/>
  <c r="S119" i="3" s="1"/>
  <c r="Q118" i="3"/>
  <c r="O118" i="3"/>
  <c r="N118" i="3"/>
  <c r="L118" i="3"/>
  <c r="J118" i="3" a="1"/>
  <c r="J118" i="3" s="1"/>
  <c r="I118" i="3"/>
  <c r="H118" i="3"/>
  <c r="S118" i="3" s="1"/>
  <c r="Q117" i="3"/>
  <c r="O117" i="3"/>
  <c r="N117" i="3"/>
  <c r="L117" i="3"/>
  <c r="I117" i="3"/>
  <c r="J117" i="3" s="1" a="1"/>
  <c r="J117" i="3" s="1"/>
  <c r="H117" i="3"/>
  <c r="S117" i="3" s="1"/>
  <c r="Q116" i="3"/>
  <c r="O116" i="3"/>
  <c r="N116" i="3"/>
  <c r="L116" i="3"/>
  <c r="J116" i="3" a="1"/>
  <c r="J116" i="3" s="1"/>
  <c r="I116" i="3"/>
  <c r="H116" i="3"/>
  <c r="S116" i="3" s="1"/>
  <c r="Q115" i="3"/>
  <c r="O115" i="3"/>
  <c r="N115" i="3"/>
  <c r="L115" i="3"/>
  <c r="I115" i="3"/>
  <c r="J115" i="3" s="1" a="1"/>
  <c r="J115" i="3" s="1"/>
  <c r="H115" i="3"/>
  <c r="S115" i="3" s="1"/>
  <c r="Q114" i="3"/>
  <c r="O114" i="3"/>
  <c r="N114" i="3"/>
  <c r="L114" i="3"/>
  <c r="J114" i="3" a="1"/>
  <c r="J114" i="3" s="1"/>
  <c r="I114" i="3"/>
  <c r="H114" i="3"/>
  <c r="S114" i="3" s="1"/>
  <c r="Q113" i="3"/>
  <c r="O113" i="3"/>
  <c r="N113" i="3"/>
  <c r="L113" i="3"/>
  <c r="I113" i="3"/>
  <c r="J113" i="3" s="1" a="1"/>
  <c r="J113" i="3" s="1"/>
  <c r="H113" i="3"/>
  <c r="S113" i="3" s="1"/>
  <c r="Q112" i="3"/>
  <c r="O112" i="3"/>
  <c r="N112" i="3"/>
  <c r="L112" i="3"/>
  <c r="J112" i="3" a="1"/>
  <c r="J112" i="3" s="1"/>
  <c r="I112" i="3"/>
  <c r="H112" i="3"/>
  <c r="S112" i="3" s="1"/>
  <c r="Q111" i="3"/>
  <c r="O111" i="3"/>
  <c r="N111" i="3"/>
  <c r="L111" i="3"/>
  <c r="I111" i="3"/>
  <c r="J111" i="3" s="1" a="1"/>
  <c r="J111" i="3" s="1"/>
  <c r="H111" i="3"/>
  <c r="S111" i="3" s="1"/>
  <c r="Q110" i="3"/>
  <c r="O110" i="3"/>
  <c r="N110" i="3"/>
  <c r="L110" i="3"/>
  <c r="J110" i="3" a="1"/>
  <c r="J110" i="3" s="1"/>
  <c r="I110" i="3"/>
  <c r="H110" i="3"/>
  <c r="S110" i="3" s="1"/>
  <c r="Q109" i="3"/>
  <c r="O109" i="3"/>
  <c r="N109" i="3"/>
  <c r="L109" i="3"/>
  <c r="I109" i="3"/>
  <c r="J109" i="3" s="1" a="1"/>
  <c r="J109" i="3" s="1"/>
  <c r="H109" i="3"/>
  <c r="S109" i="3" s="1"/>
  <c r="Q108" i="3"/>
  <c r="O108" i="3"/>
  <c r="N108" i="3"/>
  <c r="L108" i="3"/>
  <c r="J108" i="3" a="1"/>
  <c r="J108" i="3" s="1"/>
  <c r="I108" i="3"/>
  <c r="H108" i="3"/>
  <c r="S108" i="3" s="1"/>
  <c r="Q107" i="3"/>
  <c r="O107" i="3"/>
  <c r="N107" i="3"/>
  <c r="L107" i="3"/>
  <c r="I107" i="3"/>
  <c r="J107" i="3" s="1" a="1"/>
  <c r="J107" i="3" s="1"/>
  <c r="H107" i="3"/>
  <c r="S107" i="3" s="1"/>
  <c r="Q106" i="3"/>
  <c r="O106" i="3"/>
  <c r="N106" i="3"/>
  <c r="L106" i="3"/>
  <c r="J106" i="3" a="1"/>
  <c r="J106" i="3" s="1"/>
  <c r="I106" i="3"/>
  <c r="H106" i="3"/>
  <c r="S106" i="3" s="1"/>
  <c r="Q105" i="3"/>
  <c r="O105" i="3"/>
  <c r="N105" i="3"/>
  <c r="L105" i="3"/>
  <c r="I105" i="3"/>
  <c r="J105" i="3" s="1" a="1"/>
  <c r="J105" i="3" s="1"/>
  <c r="H105" i="3"/>
  <c r="S105" i="3" s="1"/>
  <c r="Q104" i="3"/>
  <c r="O104" i="3"/>
  <c r="N104" i="3"/>
  <c r="L104" i="3"/>
  <c r="J104" i="3" a="1"/>
  <c r="J104" i="3" s="1"/>
  <c r="I104" i="3"/>
  <c r="H104" i="3"/>
  <c r="S104" i="3" s="1"/>
  <c r="Q103" i="3"/>
  <c r="O103" i="3"/>
  <c r="N103" i="3"/>
  <c r="L103" i="3"/>
  <c r="I103" i="3"/>
  <c r="J103" i="3" s="1" a="1"/>
  <c r="J103" i="3" s="1"/>
  <c r="H103" i="3"/>
  <c r="S103" i="3" s="1"/>
  <c r="Q102" i="3"/>
  <c r="O102" i="3"/>
  <c r="N102" i="3"/>
  <c r="L102" i="3"/>
  <c r="J102" i="3" a="1"/>
  <c r="J102" i="3" s="1"/>
  <c r="I102" i="3"/>
  <c r="H102" i="3"/>
  <c r="S102" i="3" s="1"/>
  <c r="Q101" i="3"/>
  <c r="O101" i="3"/>
  <c r="N101" i="3"/>
  <c r="L101" i="3"/>
  <c r="I101" i="3"/>
  <c r="J101" i="3" s="1" a="1"/>
  <c r="J101" i="3" s="1"/>
  <c r="H101" i="3"/>
  <c r="S101" i="3" s="1"/>
  <c r="Q100" i="3"/>
  <c r="O100" i="3"/>
  <c r="N100" i="3"/>
  <c r="L100" i="3"/>
  <c r="J100" i="3" a="1"/>
  <c r="J100" i="3" s="1"/>
  <c r="I100" i="3"/>
  <c r="H100" i="3"/>
  <c r="S100" i="3" s="1"/>
  <c r="Q99" i="3"/>
  <c r="O99" i="3"/>
  <c r="N99" i="3"/>
  <c r="L99" i="3"/>
  <c r="I99" i="3"/>
  <c r="J99" i="3" s="1" a="1"/>
  <c r="J99" i="3" s="1"/>
  <c r="H99" i="3"/>
  <c r="S99" i="3" s="1"/>
  <c r="Q98" i="3"/>
  <c r="O98" i="3"/>
  <c r="N98" i="3"/>
  <c r="L98" i="3"/>
  <c r="J98" i="3" a="1"/>
  <c r="J98" i="3" s="1"/>
  <c r="I98" i="3"/>
  <c r="H98" i="3"/>
  <c r="S98" i="3" s="1"/>
  <c r="Q97" i="3"/>
  <c r="O97" i="3"/>
  <c r="N97" i="3"/>
  <c r="L97" i="3"/>
  <c r="I97" i="3"/>
  <c r="J97" i="3" s="1" a="1"/>
  <c r="J97" i="3" s="1"/>
  <c r="H97" i="3"/>
  <c r="S97" i="3" s="1"/>
  <c r="Q96" i="3"/>
  <c r="O96" i="3"/>
  <c r="N96" i="3"/>
  <c r="L96" i="3"/>
  <c r="J96" i="3" a="1"/>
  <c r="J96" i="3" s="1"/>
  <c r="I96" i="3"/>
  <c r="H96" i="3"/>
  <c r="S96" i="3" s="1"/>
  <c r="Q95" i="3"/>
  <c r="O95" i="3"/>
  <c r="N95" i="3"/>
  <c r="L95" i="3"/>
  <c r="I95" i="3"/>
  <c r="J95" i="3" s="1" a="1"/>
  <c r="J95" i="3" s="1"/>
  <c r="H95" i="3"/>
  <c r="S95" i="3" s="1"/>
  <c r="Q94" i="3"/>
  <c r="O94" i="3"/>
  <c r="N94" i="3"/>
  <c r="L94" i="3"/>
  <c r="I94" i="3"/>
  <c r="J94" i="3" s="1" a="1"/>
  <c r="J94" i="3" s="1"/>
  <c r="H94" i="3"/>
  <c r="S94" i="3" s="1"/>
  <c r="Q93" i="3"/>
  <c r="O93" i="3"/>
  <c r="N93" i="3"/>
  <c r="L93" i="3"/>
  <c r="J93" i="3" a="1"/>
  <c r="J93" i="3" s="1"/>
  <c r="I93" i="3"/>
  <c r="H93" i="3"/>
  <c r="S93" i="3" s="1"/>
  <c r="Q92" i="3"/>
  <c r="O92" i="3"/>
  <c r="N92" i="3"/>
  <c r="L92" i="3"/>
  <c r="I92" i="3"/>
  <c r="J92" i="3" s="1" a="1"/>
  <c r="J92" i="3" s="1"/>
  <c r="H92" i="3"/>
  <c r="S92" i="3" s="1"/>
  <c r="Q91" i="3"/>
  <c r="O91" i="3"/>
  <c r="N91" i="3"/>
  <c r="L91" i="3"/>
  <c r="J91" i="3" a="1"/>
  <c r="J91" i="3" s="1"/>
  <c r="I91" i="3"/>
  <c r="H91" i="3"/>
  <c r="S91" i="3" s="1"/>
  <c r="Q90" i="3"/>
  <c r="O90" i="3"/>
  <c r="N90" i="3"/>
  <c r="L90" i="3"/>
  <c r="I90" i="3"/>
  <c r="J90" i="3" s="1" a="1"/>
  <c r="J90" i="3" s="1"/>
  <c r="H90" i="3"/>
  <c r="S90" i="3" s="1"/>
  <c r="Q89" i="3"/>
  <c r="O89" i="3"/>
  <c r="N89" i="3"/>
  <c r="L89" i="3"/>
  <c r="J89" i="3" a="1"/>
  <c r="J89" i="3" s="1"/>
  <c r="I89" i="3"/>
  <c r="H89" i="3"/>
  <c r="S89" i="3" s="1"/>
  <c r="Q88" i="3"/>
  <c r="O88" i="3"/>
  <c r="N88" i="3"/>
  <c r="L88" i="3"/>
  <c r="I88" i="3"/>
  <c r="J88" i="3" s="1" a="1"/>
  <c r="J88" i="3" s="1"/>
  <c r="H88" i="3"/>
  <c r="S88" i="3" s="1"/>
  <c r="Q87" i="3"/>
  <c r="O87" i="3"/>
  <c r="N87" i="3"/>
  <c r="L87" i="3"/>
  <c r="J87" i="3" a="1"/>
  <c r="J87" i="3" s="1"/>
  <c r="I87" i="3"/>
  <c r="H87" i="3"/>
  <c r="S87" i="3" s="1"/>
  <c r="Q86" i="3"/>
  <c r="O86" i="3"/>
  <c r="N86" i="3"/>
  <c r="L86" i="3"/>
  <c r="I86" i="3"/>
  <c r="J86" i="3" s="1" a="1"/>
  <c r="J86" i="3" s="1"/>
  <c r="H86" i="3"/>
  <c r="S86" i="3" s="1"/>
  <c r="Q85" i="3"/>
  <c r="O85" i="3"/>
  <c r="N85" i="3"/>
  <c r="L85" i="3"/>
  <c r="J85" i="3" a="1"/>
  <c r="J85" i="3" s="1"/>
  <c r="I85" i="3"/>
  <c r="H85" i="3"/>
  <c r="S85" i="3" s="1"/>
  <c r="Q84" i="3"/>
  <c r="O84" i="3"/>
  <c r="N84" i="3"/>
  <c r="L84" i="3"/>
  <c r="I84" i="3"/>
  <c r="J84" i="3" s="1" a="1"/>
  <c r="J84" i="3" s="1"/>
  <c r="H84" i="3"/>
  <c r="S84" i="3" s="1"/>
  <c r="Q83" i="3"/>
  <c r="O83" i="3"/>
  <c r="N83" i="3"/>
  <c r="L83" i="3"/>
  <c r="J83" i="3" a="1"/>
  <c r="J83" i="3" s="1"/>
  <c r="I83" i="3"/>
  <c r="H83" i="3"/>
  <c r="S83" i="3" s="1"/>
  <c r="Q82" i="3"/>
  <c r="O82" i="3"/>
  <c r="N82" i="3"/>
  <c r="L82" i="3"/>
  <c r="I82" i="3"/>
  <c r="J82" i="3" s="1" a="1"/>
  <c r="J82" i="3" s="1"/>
  <c r="H82" i="3"/>
  <c r="S82" i="3" s="1"/>
  <c r="Q81" i="3"/>
  <c r="O81" i="3"/>
  <c r="N81" i="3"/>
  <c r="L81" i="3"/>
  <c r="J81" i="3" a="1"/>
  <c r="J81" i="3" s="1"/>
  <c r="I81" i="3"/>
  <c r="H81" i="3"/>
  <c r="S81" i="3" s="1"/>
  <c r="Q80" i="3"/>
  <c r="O80" i="3"/>
  <c r="N80" i="3"/>
  <c r="L80" i="3"/>
  <c r="I80" i="3"/>
  <c r="J80" i="3" s="1" a="1"/>
  <c r="J80" i="3" s="1"/>
  <c r="H80" i="3"/>
  <c r="S80" i="3" s="1"/>
  <c r="Q79" i="3"/>
  <c r="O79" i="3"/>
  <c r="N79" i="3"/>
  <c r="L79" i="3"/>
  <c r="J79" i="3" a="1"/>
  <c r="J79" i="3" s="1"/>
  <c r="I79" i="3"/>
  <c r="H79" i="3"/>
  <c r="S79" i="3" s="1"/>
  <c r="Q78" i="3"/>
  <c r="O78" i="3"/>
  <c r="N78" i="3"/>
  <c r="L78" i="3"/>
  <c r="I78" i="3"/>
  <c r="J78" i="3" s="1" a="1"/>
  <c r="J78" i="3" s="1"/>
  <c r="H78" i="3"/>
  <c r="S78" i="3" s="1"/>
  <c r="Q77" i="3"/>
  <c r="O77" i="3"/>
  <c r="N77" i="3"/>
  <c r="L77" i="3"/>
  <c r="J77" i="3" a="1"/>
  <c r="J77" i="3" s="1"/>
  <c r="I77" i="3"/>
  <c r="H77" i="3"/>
  <c r="S77" i="3" s="1"/>
  <c r="Q76" i="3"/>
  <c r="O76" i="3"/>
  <c r="N76" i="3"/>
  <c r="L76" i="3"/>
  <c r="I76" i="3"/>
  <c r="J76" i="3" s="1" a="1"/>
  <c r="J76" i="3" s="1"/>
  <c r="H76" i="3"/>
  <c r="S76" i="3" s="1"/>
  <c r="Q75" i="3"/>
  <c r="O75" i="3"/>
  <c r="N75" i="3"/>
  <c r="L75" i="3"/>
  <c r="J75" i="3" a="1"/>
  <c r="J75" i="3" s="1"/>
  <c r="I75" i="3"/>
  <c r="H75" i="3"/>
  <c r="S75" i="3" s="1"/>
  <c r="Q74" i="3"/>
  <c r="O74" i="3"/>
  <c r="N74" i="3"/>
  <c r="L74" i="3"/>
  <c r="I74" i="3"/>
  <c r="J74" i="3" s="1" a="1"/>
  <c r="J74" i="3" s="1"/>
  <c r="H74" i="3"/>
  <c r="S74" i="3" s="1"/>
  <c r="Q73" i="3"/>
  <c r="O73" i="3"/>
  <c r="N73" i="3"/>
  <c r="L73" i="3"/>
  <c r="J73" i="3" a="1"/>
  <c r="J73" i="3" s="1"/>
  <c r="I73" i="3"/>
  <c r="H73" i="3"/>
  <c r="S73" i="3" s="1"/>
  <c r="Q72" i="3"/>
  <c r="O72" i="3"/>
  <c r="N72" i="3"/>
  <c r="L72" i="3"/>
  <c r="I72" i="3"/>
  <c r="J72" i="3" s="1" a="1"/>
  <c r="J72" i="3" s="1"/>
  <c r="H72" i="3"/>
  <c r="S72" i="3" s="1"/>
  <c r="Q71" i="3"/>
  <c r="O71" i="3"/>
  <c r="N71" i="3"/>
  <c r="L71" i="3"/>
  <c r="J71" i="3" a="1"/>
  <c r="J71" i="3" s="1"/>
  <c r="I71" i="3"/>
  <c r="H71" i="3"/>
  <c r="S71" i="3" s="1"/>
  <c r="Q70" i="3"/>
  <c r="O70" i="3"/>
  <c r="N70" i="3"/>
  <c r="L70" i="3"/>
  <c r="I70" i="3"/>
  <c r="J70" i="3" s="1" a="1"/>
  <c r="J70" i="3" s="1"/>
  <c r="H70" i="3"/>
  <c r="S70" i="3" s="1"/>
  <c r="Q69" i="3"/>
  <c r="O69" i="3"/>
  <c r="N69" i="3"/>
  <c r="L69" i="3"/>
  <c r="J69" i="3" a="1"/>
  <c r="J69" i="3" s="1"/>
  <c r="I69" i="3"/>
  <c r="H69" i="3"/>
  <c r="S69" i="3" s="1"/>
  <c r="Q68" i="3"/>
  <c r="O68" i="3"/>
  <c r="N68" i="3"/>
  <c r="L68" i="3"/>
  <c r="I68" i="3"/>
  <c r="J68" i="3" s="1" a="1"/>
  <c r="J68" i="3" s="1"/>
  <c r="H68" i="3"/>
  <c r="S68" i="3" s="1"/>
  <c r="Q67" i="3"/>
  <c r="O67" i="3"/>
  <c r="N67" i="3"/>
  <c r="L67" i="3"/>
  <c r="J67" i="3" a="1"/>
  <c r="J67" i="3" s="1"/>
  <c r="I67" i="3"/>
  <c r="H67" i="3"/>
  <c r="S67" i="3" s="1"/>
  <c r="Q66" i="3"/>
  <c r="O66" i="3"/>
  <c r="N66" i="3"/>
  <c r="L66" i="3"/>
  <c r="I66" i="3"/>
  <c r="J66" i="3" s="1" a="1"/>
  <c r="J66" i="3" s="1"/>
  <c r="H66" i="3"/>
  <c r="S66" i="3" s="1"/>
  <c r="Q65" i="3"/>
  <c r="O65" i="3"/>
  <c r="N65" i="3"/>
  <c r="L65" i="3"/>
  <c r="I65" i="3"/>
  <c r="J65" i="3" s="1" a="1"/>
  <c r="J65" i="3" s="1"/>
  <c r="H65" i="3"/>
  <c r="S65" i="3" s="1"/>
  <c r="Q64" i="3"/>
  <c r="O64" i="3"/>
  <c r="N64" i="3"/>
  <c r="L64" i="3"/>
  <c r="I64" i="3"/>
  <c r="J64" i="3" s="1" a="1"/>
  <c r="J64" i="3" s="1"/>
  <c r="H64" i="3"/>
  <c r="S64" i="3" s="1"/>
  <c r="Q63" i="3"/>
  <c r="O63" i="3"/>
  <c r="N63" i="3"/>
  <c r="L63" i="3"/>
  <c r="I63" i="3"/>
  <c r="J63" i="3" s="1" a="1"/>
  <c r="J63" i="3" s="1"/>
  <c r="H63" i="3"/>
  <c r="S63" i="3" s="1"/>
  <c r="Q62" i="3"/>
  <c r="O62" i="3"/>
  <c r="N62" i="3"/>
  <c r="L62" i="3"/>
  <c r="I62" i="3"/>
  <c r="J62" i="3" s="1" a="1"/>
  <c r="J62" i="3" s="1"/>
  <c r="H62" i="3"/>
  <c r="S62" i="3" s="1"/>
  <c r="Q61" i="3"/>
  <c r="O61" i="3"/>
  <c r="N61" i="3"/>
  <c r="L61" i="3"/>
  <c r="I61" i="3"/>
  <c r="J61" i="3" s="1" a="1"/>
  <c r="J61" i="3" s="1"/>
  <c r="H61" i="3"/>
  <c r="S61" i="3" s="1"/>
  <c r="Q60" i="3"/>
  <c r="O60" i="3"/>
  <c r="N60" i="3"/>
  <c r="L60" i="3"/>
  <c r="I60" i="3"/>
  <c r="J60" i="3" s="1" a="1"/>
  <c r="J60" i="3" s="1"/>
  <c r="H60" i="3"/>
  <c r="S60" i="3" s="1"/>
  <c r="Q59" i="3"/>
  <c r="O59" i="3"/>
  <c r="N59" i="3"/>
  <c r="L59" i="3"/>
  <c r="I59" i="3"/>
  <c r="J59" i="3" s="1" a="1"/>
  <c r="J59" i="3" s="1"/>
  <c r="H59" i="3"/>
  <c r="S59" i="3" s="1"/>
  <c r="Q58" i="3"/>
  <c r="O58" i="3"/>
  <c r="N58" i="3"/>
  <c r="L58" i="3"/>
  <c r="I58" i="3"/>
  <c r="J58" i="3" s="1" a="1"/>
  <c r="J58" i="3" s="1"/>
  <c r="H58" i="3"/>
  <c r="S58" i="3" s="1"/>
  <c r="Q57" i="3"/>
  <c r="O57" i="3"/>
  <c r="N57" i="3"/>
  <c r="L57" i="3"/>
  <c r="I57" i="3"/>
  <c r="J57" i="3" s="1" a="1"/>
  <c r="J57" i="3" s="1"/>
  <c r="H57" i="3"/>
  <c r="S57" i="3" s="1"/>
  <c r="Q56" i="3"/>
  <c r="O56" i="3"/>
  <c r="N56" i="3"/>
  <c r="L56" i="3"/>
  <c r="I56" i="3"/>
  <c r="J56" i="3" s="1" a="1"/>
  <c r="J56" i="3" s="1"/>
  <c r="H56" i="3"/>
  <c r="S56" i="3" s="1"/>
  <c r="Q55" i="3"/>
  <c r="O55" i="3"/>
  <c r="N55" i="3"/>
  <c r="L55" i="3"/>
  <c r="I55" i="3"/>
  <c r="J55" i="3" s="1" a="1"/>
  <c r="J55" i="3" s="1"/>
  <c r="H55" i="3"/>
  <c r="S55" i="3" s="1"/>
  <c r="Q54" i="3"/>
  <c r="O54" i="3"/>
  <c r="N54" i="3"/>
  <c r="L54" i="3"/>
  <c r="I54" i="3"/>
  <c r="J54" i="3" s="1" a="1"/>
  <c r="J54" i="3" s="1"/>
  <c r="H54" i="3"/>
  <c r="S54" i="3" s="1"/>
  <c r="Q53" i="3"/>
  <c r="O53" i="3"/>
  <c r="N53" i="3"/>
  <c r="L53" i="3"/>
  <c r="I53" i="3"/>
  <c r="J53" i="3" s="1" a="1"/>
  <c r="J53" i="3" s="1"/>
  <c r="H53" i="3"/>
  <c r="S53" i="3" s="1"/>
  <c r="Q52" i="3"/>
  <c r="O52" i="3"/>
  <c r="N52" i="3"/>
  <c r="L52" i="3"/>
  <c r="I52" i="3"/>
  <c r="J52" i="3" s="1" a="1"/>
  <c r="J52" i="3" s="1"/>
  <c r="H52" i="3"/>
  <c r="S52" i="3" s="1"/>
  <c r="Q51" i="3"/>
  <c r="O51" i="3"/>
  <c r="N51" i="3"/>
  <c r="L51" i="3"/>
  <c r="I51" i="3"/>
  <c r="J51" i="3" s="1" a="1"/>
  <c r="J51" i="3" s="1"/>
  <c r="H51" i="3"/>
  <c r="S51" i="3" s="1"/>
  <c r="Q50" i="3"/>
  <c r="O50" i="3"/>
  <c r="N50" i="3"/>
  <c r="L50" i="3"/>
  <c r="I50" i="3"/>
  <c r="J50" i="3" s="1" a="1"/>
  <c r="J50" i="3" s="1"/>
  <c r="H50" i="3"/>
  <c r="S50" i="3" s="1"/>
  <c r="Q49" i="3"/>
  <c r="O49" i="3"/>
  <c r="N49" i="3"/>
  <c r="L49" i="3"/>
  <c r="I49" i="3"/>
  <c r="J49" i="3" s="1" a="1"/>
  <c r="J49" i="3" s="1"/>
  <c r="H49" i="3"/>
  <c r="S49" i="3" s="1"/>
  <c r="Q48" i="3"/>
  <c r="O48" i="3"/>
  <c r="N48" i="3"/>
  <c r="L48" i="3"/>
  <c r="I48" i="3"/>
  <c r="J48" i="3" s="1" a="1"/>
  <c r="J48" i="3" s="1"/>
  <c r="H48" i="3"/>
  <c r="S48" i="3" s="1"/>
  <c r="Q47" i="3"/>
  <c r="O47" i="3"/>
  <c r="N47" i="3"/>
  <c r="L47" i="3"/>
  <c r="I47" i="3"/>
  <c r="J47" i="3" s="1" a="1"/>
  <c r="J47" i="3" s="1"/>
  <c r="H47" i="3"/>
  <c r="S47" i="3" s="1"/>
  <c r="Q46" i="3"/>
  <c r="O46" i="3"/>
  <c r="N46" i="3"/>
  <c r="L46" i="3"/>
  <c r="I46" i="3"/>
  <c r="J46" i="3" s="1" a="1"/>
  <c r="J46" i="3" s="1"/>
  <c r="H46" i="3"/>
  <c r="S46" i="3" s="1"/>
  <c r="Q45" i="3"/>
  <c r="O45" i="3"/>
  <c r="N45" i="3"/>
  <c r="L45" i="3"/>
  <c r="I45" i="3"/>
  <c r="J45" i="3" s="1" a="1"/>
  <c r="J45" i="3" s="1"/>
  <c r="H45" i="3"/>
  <c r="S45" i="3" s="1"/>
  <c r="Q44" i="3"/>
  <c r="O44" i="3"/>
  <c r="N44" i="3"/>
  <c r="L44" i="3"/>
  <c r="I44" i="3"/>
  <c r="J44" i="3" s="1" a="1"/>
  <c r="J44" i="3" s="1"/>
  <c r="H44" i="3"/>
  <c r="S44" i="3" s="1"/>
  <c r="Q43" i="3"/>
  <c r="O43" i="3"/>
  <c r="N43" i="3"/>
  <c r="L43" i="3"/>
  <c r="I43" i="3"/>
  <c r="J43" i="3" s="1" a="1"/>
  <c r="J43" i="3" s="1"/>
  <c r="H43" i="3"/>
  <c r="S43" i="3" s="1"/>
  <c r="Q42" i="3"/>
  <c r="O42" i="3"/>
  <c r="N42" i="3"/>
  <c r="L42" i="3"/>
  <c r="I42" i="3"/>
  <c r="J42" i="3" s="1" a="1"/>
  <c r="J42" i="3" s="1"/>
  <c r="H42" i="3"/>
  <c r="S42" i="3" s="1"/>
  <c r="Q41" i="3"/>
  <c r="O41" i="3"/>
  <c r="N41" i="3"/>
  <c r="L41" i="3"/>
  <c r="I41" i="3"/>
  <c r="J41" i="3" s="1" a="1"/>
  <c r="J41" i="3" s="1"/>
  <c r="H41" i="3"/>
  <c r="S41" i="3" s="1"/>
  <c r="Q40" i="3"/>
  <c r="O40" i="3"/>
  <c r="N40" i="3"/>
  <c r="L40" i="3"/>
  <c r="I40" i="3"/>
  <c r="J40" i="3" s="1" a="1"/>
  <c r="J40" i="3" s="1"/>
  <c r="H40" i="3"/>
  <c r="S40" i="3" s="1"/>
  <c r="Q39" i="3"/>
  <c r="O39" i="3"/>
  <c r="N39" i="3"/>
  <c r="L39" i="3"/>
  <c r="I39" i="3"/>
  <c r="J39" i="3" s="1" a="1"/>
  <c r="J39" i="3" s="1"/>
  <c r="H39" i="3"/>
  <c r="S39" i="3" s="1"/>
  <c r="Q38" i="3"/>
  <c r="O38" i="3"/>
  <c r="N38" i="3"/>
  <c r="L38" i="3"/>
  <c r="I38" i="3"/>
  <c r="J38" i="3" s="1" a="1"/>
  <c r="J38" i="3" s="1"/>
  <c r="H38" i="3"/>
  <c r="S38" i="3" s="1"/>
  <c r="Q37" i="3"/>
  <c r="O37" i="3"/>
  <c r="N37" i="3"/>
  <c r="L37" i="3"/>
  <c r="I37" i="3"/>
  <c r="J37" i="3" s="1" a="1"/>
  <c r="J37" i="3" s="1"/>
  <c r="H37" i="3"/>
  <c r="S37" i="3" s="1"/>
  <c r="Q36" i="3"/>
  <c r="O36" i="3"/>
  <c r="N36" i="3"/>
  <c r="L36" i="3"/>
  <c r="I36" i="3"/>
  <c r="J36" i="3" s="1" a="1"/>
  <c r="J36" i="3" s="1"/>
  <c r="H36" i="3"/>
  <c r="S36" i="3" s="1"/>
  <c r="Q35" i="3"/>
  <c r="O35" i="3"/>
  <c r="N35" i="3"/>
  <c r="L35" i="3"/>
  <c r="I35" i="3"/>
  <c r="J35" i="3" s="1" a="1"/>
  <c r="J35" i="3" s="1"/>
  <c r="H35" i="3"/>
  <c r="S35" i="3" s="1"/>
  <c r="S34" i="3"/>
  <c r="Q34" i="3"/>
  <c r="O34" i="3"/>
  <c r="N34" i="3"/>
  <c r="L34" i="3"/>
  <c r="I34" i="3"/>
  <c r="J34" i="3" s="1" a="1"/>
  <c r="J34" i="3" s="1"/>
  <c r="H34" i="3"/>
  <c r="S33" i="3"/>
  <c r="Q33" i="3"/>
  <c r="O33" i="3"/>
  <c r="N33" i="3"/>
  <c r="L33" i="3"/>
  <c r="J33" i="3" a="1"/>
  <c r="J33" i="3" s="1"/>
  <c r="I33" i="3"/>
  <c r="H33" i="3"/>
  <c r="Q32" i="3"/>
  <c r="O32" i="3"/>
  <c r="N32" i="3"/>
  <c r="L32" i="3"/>
  <c r="J32" i="3" a="1"/>
  <c r="J32" i="3" s="1"/>
  <c r="I32" i="3"/>
  <c r="H32" i="3"/>
  <c r="S32" i="3" s="1"/>
  <c r="Q31" i="3"/>
  <c r="O31" i="3"/>
  <c r="N31" i="3"/>
  <c r="L31" i="3"/>
  <c r="I31" i="3"/>
  <c r="J31" i="3" s="1" a="1"/>
  <c r="J31" i="3" s="1"/>
  <c r="H31" i="3"/>
  <c r="S31" i="3" s="1"/>
  <c r="S30" i="3"/>
  <c r="Q30" i="3"/>
  <c r="O30" i="3"/>
  <c r="N30" i="3"/>
  <c r="L30" i="3"/>
  <c r="I30" i="3"/>
  <c r="J30" i="3" s="1" a="1"/>
  <c r="J30" i="3" s="1"/>
  <c r="H30" i="3"/>
  <c r="S29" i="3"/>
  <c r="Q29" i="3"/>
  <c r="O29" i="3"/>
  <c r="N29" i="3"/>
  <c r="L29" i="3"/>
  <c r="J29" i="3" a="1"/>
  <c r="J29" i="3" s="1"/>
  <c r="I29" i="3"/>
  <c r="H29" i="3"/>
  <c r="Q28" i="3"/>
  <c r="O28" i="3"/>
  <c r="N28" i="3"/>
  <c r="L28" i="3"/>
  <c r="J28" i="3" a="1"/>
  <c r="J28" i="3" s="1"/>
  <c r="I28" i="3"/>
  <c r="H28" i="3"/>
  <c r="S28" i="3" s="1"/>
  <c r="Q27" i="3"/>
  <c r="O27" i="3"/>
  <c r="N27" i="3"/>
  <c r="L27" i="3"/>
  <c r="I27" i="3"/>
  <c r="J27" i="3" s="1" a="1"/>
  <c r="J27" i="3" s="1"/>
  <c r="H27" i="3"/>
  <c r="S27" i="3" s="1"/>
  <c r="Q26" i="3"/>
  <c r="O26" i="3"/>
  <c r="N26" i="3"/>
  <c r="L26" i="3"/>
  <c r="J26" i="3" a="1"/>
  <c r="J26" i="3" s="1"/>
  <c r="I26" i="3"/>
  <c r="H26" i="3"/>
  <c r="S26" i="3" s="1"/>
  <c r="Q25" i="3"/>
  <c r="O25" i="3"/>
  <c r="N25" i="3"/>
  <c r="L25" i="3"/>
  <c r="J25" i="3" a="1"/>
  <c r="J25" i="3" s="1"/>
  <c r="I25" i="3"/>
  <c r="H25" i="3"/>
  <c r="S25" i="3" s="1"/>
  <c r="Q24" i="3"/>
  <c r="O24" i="3"/>
  <c r="N24" i="3"/>
  <c r="L24" i="3"/>
  <c r="J24" i="3" a="1"/>
  <c r="J24" i="3" s="1"/>
  <c r="I24" i="3"/>
  <c r="H24" i="3"/>
  <c r="S24" i="3" s="1"/>
  <c r="Q23" i="3"/>
  <c r="O23" i="3"/>
  <c r="N23" i="3"/>
  <c r="L23" i="3"/>
  <c r="J23" i="3" a="1"/>
  <c r="J23" i="3" s="1"/>
  <c r="I23" i="3"/>
  <c r="H23" i="3"/>
  <c r="S23" i="3" s="1"/>
  <c r="Q22" i="3"/>
  <c r="O22" i="3"/>
  <c r="N22" i="3"/>
  <c r="L22" i="3"/>
  <c r="J22" i="3" a="1"/>
  <c r="J22" i="3" s="1"/>
  <c r="I22" i="3"/>
  <c r="H22" i="3"/>
  <c r="S22" i="3" s="1"/>
  <c r="Q21" i="3"/>
  <c r="O21" i="3"/>
  <c r="N21" i="3"/>
  <c r="L21" i="3"/>
  <c r="J21" i="3" a="1"/>
  <c r="J21" i="3" s="1"/>
  <c r="I21" i="3"/>
  <c r="H21" i="3"/>
  <c r="S21" i="3" s="1"/>
  <c r="Q20" i="3"/>
  <c r="O20" i="3"/>
  <c r="N20" i="3"/>
  <c r="L20" i="3"/>
  <c r="J20" i="3" a="1"/>
  <c r="J20" i="3" s="1"/>
  <c r="I20" i="3"/>
  <c r="H20" i="3"/>
  <c r="S20" i="3" s="1"/>
  <c r="Q19" i="3"/>
  <c r="O19" i="3"/>
  <c r="N19" i="3"/>
  <c r="L19" i="3"/>
  <c r="J19" i="3" a="1"/>
  <c r="J19" i="3" s="1"/>
  <c r="I19" i="3"/>
  <c r="H19" i="3"/>
  <c r="S19" i="3" s="1"/>
  <c r="Q18" i="3"/>
  <c r="O18" i="3"/>
  <c r="N18" i="3"/>
  <c r="L18" i="3"/>
  <c r="J18" i="3" a="1"/>
  <c r="J18" i="3" s="1"/>
  <c r="I18" i="3"/>
  <c r="H18" i="3"/>
  <c r="S18" i="3" s="1"/>
  <c r="Q17" i="3"/>
  <c r="O17" i="3"/>
  <c r="N17" i="3"/>
  <c r="L17" i="3"/>
  <c r="J17" i="3" a="1"/>
  <c r="J17" i="3" s="1"/>
  <c r="I17" i="3"/>
  <c r="H17" i="3"/>
  <c r="S17" i="3" s="1"/>
  <c r="Q16" i="3"/>
  <c r="O16" i="3"/>
  <c r="N16" i="3"/>
  <c r="L16" i="3"/>
  <c r="J16" i="3" a="1"/>
  <c r="J16" i="3" s="1"/>
  <c r="I16" i="3"/>
  <c r="H16" i="3"/>
  <c r="S16" i="3" s="1"/>
  <c r="Q15" i="3"/>
  <c r="O15" i="3"/>
  <c r="N15" i="3"/>
  <c r="L15" i="3"/>
  <c r="J15" i="3" a="1"/>
  <c r="J15" i="3" s="1"/>
  <c r="I15" i="3"/>
  <c r="H15" i="3"/>
  <c r="S15" i="3" s="1"/>
  <c r="Q14" i="3"/>
  <c r="O14" i="3"/>
  <c r="N14" i="3"/>
  <c r="L14" i="3"/>
  <c r="J14" i="3" a="1"/>
  <c r="J14" i="3" s="1"/>
  <c r="I14" i="3"/>
  <c r="H14" i="3"/>
  <c r="S14" i="3" s="1"/>
  <c r="Q13" i="3"/>
  <c r="O13" i="3"/>
  <c r="N13" i="3"/>
  <c r="L13" i="3"/>
  <c r="J13" i="3" a="1"/>
  <c r="J13" i="3" s="1"/>
  <c r="I13" i="3"/>
  <c r="H13" i="3"/>
  <c r="S13" i="3" s="1"/>
  <c r="Q12" i="3"/>
  <c r="O12" i="3"/>
  <c r="N12" i="3"/>
  <c r="L12" i="3"/>
  <c r="J12" i="3" a="1"/>
  <c r="J12" i="3" s="1"/>
  <c r="I12" i="3"/>
  <c r="H12" i="3"/>
  <c r="S12" i="3" s="1"/>
  <c r="Q11" i="3"/>
  <c r="O11" i="3"/>
  <c r="N11" i="3"/>
  <c r="L11" i="3"/>
  <c r="J11" i="3" a="1"/>
  <c r="J11" i="3"/>
  <c r="I11" i="3"/>
  <c r="H11" i="3"/>
  <c r="S11" i="3" s="1"/>
  <c r="Q10" i="3"/>
  <c r="O10" i="3"/>
  <c r="N10" i="3"/>
  <c r="L10" i="3"/>
  <c r="J10" i="3" a="1"/>
  <c r="J10" i="3"/>
  <c r="I10" i="3"/>
  <c r="H10" i="3"/>
  <c r="S10" i="3" s="1"/>
  <c r="Q9" i="3"/>
  <c r="O9" i="3"/>
  <c r="N9" i="3"/>
  <c r="L9" i="3"/>
  <c r="J9" i="3" a="1"/>
  <c r="J9" i="3"/>
  <c r="I9" i="3"/>
  <c r="H9" i="3"/>
  <c r="S9" i="3" s="1"/>
  <c r="Q8" i="3"/>
  <c r="O8" i="3"/>
  <c r="N8" i="3"/>
  <c r="L8" i="3"/>
  <c r="J8" i="3" a="1"/>
  <c r="J8" i="3"/>
  <c r="I8" i="3"/>
  <c r="H8" i="3"/>
  <c r="S8" i="3" s="1"/>
  <c r="Q7" i="3"/>
  <c r="O7" i="3"/>
  <c r="N7" i="3"/>
  <c r="L7" i="3"/>
  <c r="J7" i="3" a="1"/>
  <c r="J7" i="3"/>
  <c r="I7" i="3"/>
  <c r="H7" i="3"/>
  <c r="S7" i="3" s="1"/>
  <c r="Q6" i="3"/>
  <c r="O6" i="3"/>
  <c r="N6" i="3"/>
  <c r="L6" i="3"/>
  <c r="J6" i="3" a="1"/>
  <c r="J6" i="3"/>
  <c r="I6" i="3"/>
  <c r="H6" i="3"/>
  <c r="S6" i="3" s="1"/>
  <c r="Q5" i="3"/>
  <c r="O5" i="3"/>
  <c r="N5" i="3"/>
  <c r="L5" i="3"/>
  <c r="J5" i="3" a="1"/>
  <c r="J5" i="3"/>
  <c r="I5" i="3"/>
  <c r="H5" i="3"/>
  <c r="S5" i="3" s="1"/>
  <c r="Q4" i="3"/>
  <c r="O4" i="3"/>
  <c r="N4" i="3"/>
  <c r="L4" i="3"/>
  <c r="J4" i="3" a="1"/>
  <c r="J4" i="3"/>
  <c r="I4" i="3"/>
  <c r="H4" i="3"/>
  <c r="S4" i="3" s="1"/>
  <c r="Q3" i="3"/>
  <c r="O3" i="3"/>
  <c r="N3" i="3"/>
  <c r="L3" i="3"/>
  <c r="J3" i="3" a="1"/>
  <c r="J3" i="3"/>
  <c r="I3" i="3"/>
  <c r="H3" i="3"/>
  <c r="S3" i="3" s="1"/>
  <c r="Q2" i="3"/>
  <c r="O2" i="3"/>
  <c r="N2" i="3"/>
  <c r="L2" i="3"/>
  <c r="J2" i="3" a="1"/>
  <c r="J2" i="3"/>
  <c r="I2" i="3"/>
  <c r="H2" i="3"/>
  <c r="S2" i="3" s="1"/>
  <c r="K408" i="3" l="1"/>
  <c r="K409" i="3" s="1"/>
  <c r="K411" i="3"/>
  <c r="K412" i="3" s="1"/>
  <c r="L1498" i="8"/>
  <c r="K1493" i="8"/>
  <c r="K1489" i="8"/>
  <c r="K1485" i="8"/>
  <c r="K1481" i="8"/>
  <c r="K1477" i="8"/>
  <c r="K1473" i="8"/>
  <c r="K1469" i="8"/>
  <c r="L1465" i="8"/>
  <c r="K1460" i="8"/>
  <c r="K1456" i="8"/>
  <c r="K1452" i="8"/>
  <c r="K1448" i="8"/>
  <c r="K1444" i="8"/>
  <c r="K1440" i="8"/>
  <c r="K1436" i="8"/>
  <c r="J1433" i="8"/>
  <c r="J1429" i="8"/>
  <c r="J1425" i="8"/>
  <c r="J1421" i="8"/>
  <c r="J1417" i="8"/>
  <c r="J1413" i="8"/>
  <c r="J1409" i="8"/>
  <c r="J1405" i="8"/>
  <c r="K1401" i="8"/>
  <c r="K1397" i="8"/>
  <c r="K1393" i="8"/>
  <c r="K1389" i="8"/>
  <c r="K1385" i="8"/>
  <c r="K1381" i="8"/>
  <c r="K1377" i="8"/>
  <c r="L1501" i="8"/>
  <c r="L1497" i="8"/>
  <c r="K1492" i="8"/>
  <c r="K1488" i="8"/>
  <c r="K1484" i="8"/>
  <c r="K1480" i="8"/>
  <c r="K1476" i="8"/>
  <c r="K1472" i="8"/>
  <c r="J1467" i="8"/>
  <c r="M1462" i="8"/>
  <c r="M1458" i="8"/>
  <c r="M1454" i="8"/>
  <c r="M1450" i="8"/>
  <c r="M1446" i="8"/>
  <c r="M1442" i="8"/>
  <c r="M1438" i="8"/>
  <c r="J1434" i="8"/>
  <c r="J1430" i="8"/>
  <c r="J1426" i="8"/>
  <c r="J1422" i="8"/>
  <c r="J1418" i="8"/>
  <c r="J1414" i="8"/>
  <c r="J1410" i="8"/>
  <c r="J1406" i="8"/>
  <c r="K1402" i="8"/>
  <c r="K1398" i="8"/>
  <c r="K1394" i="8"/>
  <c r="K1390" i="8"/>
  <c r="K1386" i="8"/>
  <c r="K1382" i="8"/>
  <c r="K1378" i="8"/>
  <c r="K1374" i="8"/>
  <c r="L1492" i="8"/>
  <c r="L1488" i="8"/>
  <c r="L1484" i="8"/>
  <c r="L1480" i="8"/>
  <c r="L1476" i="8"/>
  <c r="L1472" i="8"/>
  <c r="J1373" i="8"/>
  <c r="J1369" i="8"/>
  <c r="J1365" i="8"/>
  <c r="J1361" i="8"/>
  <c r="J1357" i="8"/>
  <c r="J1353" i="8"/>
  <c r="J1349" i="8"/>
  <c r="J1345" i="8"/>
  <c r="J1341" i="8"/>
  <c r="J1337" i="8"/>
  <c r="J1333" i="8"/>
  <c r="J1329" i="8"/>
  <c r="J1325" i="8"/>
  <c r="J1321" i="8"/>
  <c r="L1317" i="8"/>
  <c r="L1313" i="8"/>
  <c r="L1309" i="8"/>
  <c r="L1305" i="8"/>
  <c r="L1301" i="8"/>
  <c r="L1297" i="8"/>
  <c r="L1293" i="8"/>
  <c r="L1289" i="8"/>
  <c r="L1285" i="8"/>
  <c r="L1281" i="8"/>
  <c r="K1277" i="8"/>
  <c r="K1273" i="8"/>
  <c r="K1269" i="8"/>
  <c r="K1265" i="8"/>
  <c r="K1261" i="8"/>
  <c r="K1257" i="8"/>
  <c r="K1253" i="8"/>
  <c r="K1249" i="8"/>
  <c r="K1245" i="8"/>
  <c r="K1241" i="8"/>
  <c r="K1237" i="8"/>
  <c r="K1233" i="8"/>
  <c r="K1229" i="8"/>
  <c r="K1225" i="8"/>
  <c r="K1221" i="8"/>
  <c r="J1218" i="8"/>
  <c r="J1214" i="8"/>
  <c r="J1210" i="8"/>
  <c r="J1206" i="8"/>
  <c r="J1202" i="8"/>
  <c r="J1198" i="8"/>
  <c r="J1194" i="8"/>
  <c r="J1190" i="8"/>
  <c r="J1186" i="8"/>
  <c r="J1182" i="8"/>
  <c r="J1178" i="8"/>
  <c r="J1174" i="8"/>
  <c r="J1170" i="8"/>
  <c r="J1166" i="8"/>
  <c r="J1162" i="8"/>
  <c r="J1158" i="8"/>
  <c r="J1154" i="8"/>
  <c r="J1150" i="8"/>
  <c r="J1146" i="8"/>
  <c r="J1501" i="8"/>
  <c r="J1497" i="8"/>
  <c r="M1492" i="8"/>
  <c r="M1488" i="8"/>
  <c r="M1484" i="8"/>
  <c r="M1480" i="8"/>
  <c r="M1476" i="8"/>
  <c r="M1472" i="8"/>
  <c r="J1468" i="8"/>
  <c r="J1464" i="8"/>
  <c r="M1459" i="8"/>
  <c r="M1455" i="8"/>
  <c r="M1451" i="8"/>
  <c r="M1447" i="8"/>
  <c r="M1443" i="8"/>
  <c r="M1439" i="8"/>
  <c r="N1435" i="8"/>
  <c r="L1432" i="8"/>
  <c r="L1428" i="8"/>
  <c r="L1424" i="8"/>
  <c r="L1420" i="8"/>
  <c r="L1416" i="8"/>
  <c r="L1412" i="8"/>
  <c r="L1408" i="8"/>
  <c r="L1404" i="8"/>
  <c r="M1400" i="8"/>
  <c r="M1396" i="8"/>
  <c r="M1392" i="8"/>
  <c r="M1388" i="8"/>
  <c r="M1384" i="8"/>
  <c r="M1380" i="8"/>
  <c r="M1376" i="8"/>
  <c r="J1500" i="8"/>
  <c r="J1496" i="8"/>
  <c r="M1491" i="8"/>
  <c r="M1487" i="8"/>
  <c r="M1483" i="8"/>
  <c r="M1479" i="8"/>
  <c r="M1475" i="8"/>
  <c r="M1471" i="8"/>
  <c r="L1466" i="8"/>
  <c r="K1461" i="8"/>
  <c r="K1457" i="8"/>
  <c r="K1453" i="8"/>
  <c r="K1449" i="8"/>
  <c r="K1445" i="8"/>
  <c r="K1441" i="8"/>
  <c r="K1437" i="8"/>
  <c r="L1433" i="8"/>
  <c r="L1429" i="8"/>
  <c r="L1425" i="8"/>
  <c r="L1421" i="8"/>
  <c r="L1417" i="8"/>
  <c r="L1413" i="8"/>
  <c r="L1409" i="8"/>
  <c r="L1405" i="8"/>
  <c r="M1401" i="8"/>
  <c r="M1397" i="8"/>
  <c r="M1393" i="8"/>
  <c r="M1389" i="8"/>
  <c r="M1385" i="8"/>
  <c r="M1381" i="8"/>
  <c r="M1377" i="8"/>
  <c r="M1373" i="8"/>
  <c r="L1491" i="8"/>
  <c r="L1487" i="8"/>
  <c r="L1483" i="8"/>
  <c r="L1479" i="8"/>
  <c r="L1475" i="8"/>
  <c r="L1471" i="8"/>
  <c r="L1372" i="8"/>
  <c r="L1368" i="8"/>
  <c r="L1364" i="8"/>
  <c r="L1360" i="8"/>
  <c r="L1356" i="8"/>
  <c r="L1352" i="8"/>
  <c r="L1348" i="8"/>
  <c r="L1344" i="8"/>
  <c r="L1340" i="8"/>
  <c r="L1336" i="8"/>
  <c r="L1332" i="8"/>
  <c r="L1328" i="8"/>
  <c r="L1324" i="8"/>
  <c r="L1320" i="8"/>
  <c r="J1316" i="8"/>
  <c r="J1312" i="8"/>
  <c r="J1308" i="8"/>
  <c r="J1304" i="8"/>
  <c r="J1300" i="8"/>
  <c r="J1296" i="8"/>
  <c r="J1292" i="8"/>
  <c r="J1288" i="8"/>
  <c r="J1284" i="8"/>
  <c r="J1280" i="8"/>
  <c r="M1276" i="8"/>
  <c r="M1272" i="8"/>
  <c r="M1268" i="8"/>
  <c r="M1264" i="8"/>
  <c r="M1260" i="8"/>
  <c r="M1256" i="8"/>
  <c r="M1252" i="8"/>
  <c r="M1248" i="8"/>
  <c r="M1244" i="8"/>
  <c r="M1240" i="8"/>
  <c r="M1236" i="8"/>
  <c r="M1232" i="8"/>
  <c r="M1228" i="8"/>
  <c r="M1224" i="8"/>
  <c r="M1220" i="8"/>
  <c r="L1217" i="8"/>
  <c r="L1213" i="8"/>
  <c r="L1209" i="8"/>
  <c r="L1205" i="8"/>
  <c r="L1201" i="8"/>
  <c r="L1197" i="8"/>
  <c r="L1193" i="8"/>
  <c r="L1189" i="8"/>
  <c r="L1185" i="8"/>
  <c r="L1181" i="8"/>
  <c r="L1177" i="8"/>
  <c r="L1173" i="8"/>
  <c r="L1169" i="8"/>
  <c r="L1165" i="8"/>
  <c r="L1161" i="8"/>
  <c r="L1157" i="8"/>
  <c r="L1153" i="8"/>
  <c r="L1149" i="8"/>
  <c r="L1500" i="8"/>
  <c r="J1499" i="8"/>
  <c r="L1496" i="8"/>
  <c r="K1487" i="8"/>
  <c r="K1479" i="8"/>
  <c r="K1471" i="8"/>
  <c r="K1462" i="8"/>
  <c r="K1454" i="8"/>
  <c r="K1446" i="8"/>
  <c r="K1438" i="8"/>
  <c r="J1431" i="8"/>
  <c r="J1423" i="8"/>
  <c r="J1415" i="8"/>
  <c r="J1407" i="8"/>
  <c r="K1399" i="8"/>
  <c r="K1391" i="8"/>
  <c r="K1383" i="8"/>
  <c r="K1375" i="8"/>
  <c r="K1494" i="8"/>
  <c r="K1486" i="8"/>
  <c r="K1478" i="8"/>
  <c r="K1470" i="8"/>
  <c r="M1460" i="8"/>
  <c r="M1452" i="8"/>
  <c r="M1444" i="8"/>
  <c r="M1436" i="8"/>
  <c r="J1428" i="8"/>
  <c r="J1420" i="8"/>
  <c r="J1412" i="8"/>
  <c r="J1404" i="8"/>
  <c r="K1396" i="8"/>
  <c r="K1388" i="8"/>
  <c r="K1380" i="8"/>
  <c r="L1494" i="8"/>
  <c r="L1486" i="8"/>
  <c r="L1478" i="8"/>
  <c r="L1470" i="8"/>
  <c r="J1367" i="8"/>
  <c r="J1359" i="8"/>
  <c r="J1351" i="8"/>
  <c r="J1343" i="8"/>
  <c r="J1335" i="8"/>
  <c r="J1327" i="8"/>
  <c r="L1319" i="8"/>
  <c r="L1311" i="8"/>
  <c r="L1303" i="8"/>
  <c r="L1295" i="8"/>
  <c r="L1287" i="8"/>
  <c r="L1279" i="8"/>
  <c r="K1271" i="8"/>
  <c r="K1263" i="8"/>
  <c r="K1255" i="8"/>
  <c r="K1247" i="8"/>
  <c r="K1239" i="8"/>
  <c r="K1231" i="8"/>
  <c r="K1223" i="8"/>
  <c r="J1216" i="8"/>
  <c r="J1208" i="8"/>
  <c r="J1200" i="8"/>
  <c r="J1192" i="8"/>
  <c r="J1184" i="8"/>
  <c r="J1176" i="8"/>
  <c r="J1168" i="8"/>
  <c r="J1160" i="8"/>
  <c r="J1152" i="8"/>
  <c r="K1501" i="8"/>
  <c r="K1497" i="8"/>
  <c r="J1484" i="8"/>
  <c r="J1372" i="8"/>
  <c r="L1367" i="8"/>
  <c r="M1362" i="8"/>
  <c r="J1356" i="8"/>
  <c r="L1351" i="8"/>
  <c r="M1346" i="8"/>
  <c r="J1340" i="8"/>
  <c r="L1335" i="8"/>
  <c r="M1330" i="8"/>
  <c r="J1324" i="8"/>
  <c r="N1319" i="8"/>
  <c r="K1314" i="8"/>
  <c r="K1309" i="8"/>
  <c r="J1486" i="8"/>
  <c r="J1470" i="8"/>
  <c r="M1464" i="8"/>
  <c r="J1460" i="8"/>
  <c r="J1456" i="8"/>
  <c r="J1452" i="8"/>
  <c r="J1448" i="8"/>
  <c r="J1444" i="8"/>
  <c r="J1440" i="8"/>
  <c r="J1436" i="8"/>
  <c r="K1432" i="8"/>
  <c r="K1428" i="8"/>
  <c r="M1494" i="8"/>
  <c r="M1486" i="8"/>
  <c r="M1478" i="8"/>
  <c r="M1470" i="8"/>
  <c r="M1461" i="8"/>
  <c r="M1453" i="8"/>
  <c r="M1445" i="8"/>
  <c r="M1437" i="8"/>
  <c r="L1430" i="8"/>
  <c r="L1422" i="8"/>
  <c r="L1414" i="8"/>
  <c r="L1406" i="8"/>
  <c r="M1398" i="8"/>
  <c r="M1390" i="8"/>
  <c r="M1382" i="8"/>
  <c r="M1374" i="8"/>
  <c r="M1493" i="8"/>
  <c r="M1485" i="8"/>
  <c r="M1477" i="8"/>
  <c r="M1469" i="8"/>
  <c r="K1459" i="8"/>
  <c r="K1451" i="8"/>
  <c r="K1443" i="8"/>
  <c r="L1435" i="8"/>
  <c r="L1427" i="8"/>
  <c r="L1419" i="8"/>
  <c r="L1411" i="8"/>
  <c r="M1403" i="8"/>
  <c r="M1395" i="8"/>
  <c r="M1387" i="8"/>
  <c r="M1379" i="8"/>
  <c r="L1493" i="8"/>
  <c r="L1485" i="8"/>
  <c r="L1477" i="8"/>
  <c r="L1469" i="8"/>
  <c r="L1366" i="8"/>
  <c r="L1358" i="8"/>
  <c r="L1350" i="8"/>
  <c r="L1342" i="8"/>
  <c r="L1334" i="8"/>
  <c r="L1326" i="8"/>
  <c r="J1318" i="8"/>
  <c r="J1310" i="8"/>
  <c r="J1302" i="8"/>
  <c r="J1294" i="8"/>
  <c r="J1286" i="8"/>
  <c r="J1278" i="8"/>
  <c r="M1270" i="8"/>
  <c r="M1262" i="8"/>
  <c r="M1254" i="8"/>
  <c r="M1246" i="8"/>
  <c r="M1238" i="8"/>
  <c r="M1230" i="8"/>
  <c r="M1222" i="8"/>
  <c r="L1215" i="8"/>
  <c r="L1207" i="8"/>
  <c r="L1199" i="8"/>
  <c r="L1191" i="8"/>
  <c r="L1183" i="8"/>
  <c r="L1175" i="8"/>
  <c r="L1167" i="8"/>
  <c r="L1159" i="8"/>
  <c r="L1151" i="8"/>
  <c r="K1500" i="8"/>
  <c r="K1496" i="8"/>
  <c r="J1480" i="8"/>
  <c r="L1371" i="8"/>
  <c r="M1366" i="8"/>
  <c r="J1360" i="8"/>
  <c r="L1355" i="8"/>
  <c r="M1350" i="8"/>
  <c r="J1344" i="8"/>
  <c r="L1339" i="8"/>
  <c r="M1334" i="8"/>
  <c r="J1328" i="8"/>
  <c r="L1323" i="8"/>
  <c r="K1318" i="8"/>
  <c r="K1313" i="8"/>
  <c r="M1308" i="8"/>
  <c r="J1482" i="8"/>
  <c r="M1467" i="8"/>
  <c r="J1463" i="8"/>
  <c r="J1459" i="8"/>
  <c r="J1455" i="8"/>
  <c r="J1451" i="8"/>
  <c r="J1447" i="8"/>
  <c r="J1443" i="8"/>
  <c r="J1439" i="8"/>
  <c r="K1435" i="8"/>
  <c r="K1431" i="8"/>
  <c r="K1427" i="8"/>
  <c r="K1423" i="8"/>
  <c r="K1419" i="8"/>
  <c r="K1415" i="8"/>
  <c r="K1411" i="8"/>
  <c r="K1407" i="8"/>
  <c r="L1403" i="8"/>
  <c r="L1399" i="8"/>
  <c r="L1395" i="8"/>
  <c r="L1391" i="8"/>
  <c r="L1387" i="8"/>
  <c r="L1383" i="8"/>
  <c r="L1379" i="8"/>
  <c r="L1375" i="8"/>
  <c r="J1370" i="8"/>
  <c r="L1365" i="8"/>
  <c r="M1360" i="8"/>
  <c r="J1354" i="8"/>
  <c r="L1349" i="8"/>
  <c r="M1344" i="8"/>
  <c r="M1500" i="8"/>
  <c r="J1477" i="8"/>
  <c r="L1455" i="8"/>
  <c r="L1439" i="8"/>
  <c r="M1423" i="8"/>
  <c r="M1407" i="8"/>
  <c r="J1394" i="8"/>
  <c r="J1378" i="8"/>
  <c r="K1367" i="8"/>
  <c r="M1353" i="8"/>
  <c r="K1344" i="8"/>
  <c r="K1331" i="8"/>
  <c r="M1327" i="8"/>
  <c r="M1318" i="8"/>
  <c r="J1307" i="8"/>
  <c r="L1302" i="8"/>
  <c r="M1297" i="8"/>
  <c r="J1291" i="8"/>
  <c r="K1491" i="8"/>
  <c r="K1483" i="8"/>
  <c r="K1475" i="8"/>
  <c r="L1467" i="8"/>
  <c r="K1458" i="8"/>
  <c r="K1450" i="8"/>
  <c r="K1442" i="8"/>
  <c r="J1435" i="8"/>
  <c r="J1427" i="8"/>
  <c r="J1419" i="8"/>
  <c r="J1411" i="8"/>
  <c r="K1403" i="8"/>
  <c r="K1395" i="8"/>
  <c r="K1387" i="8"/>
  <c r="K1379" i="8"/>
  <c r="L1499" i="8"/>
  <c r="K1490" i="8"/>
  <c r="K1482" i="8"/>
  <c r="K1474" i="8"/>
  <c r="J1465" i="8"/>
  <c r="M1456" i="8"/>
  <c r="M1448" i="8"/>
  <c r="M1440" i="8"/>
  <c r="J1432" i="8"/>
  <c r="J1424" i="8"/>
  <c r="J1416" i="8"/>
  <c r="J1408" i="8"/>
  <c r="K1400" i="8"/>
  <c r="K1392" i="8"/>
  <c r="K1384" i="8"/>
  <c r="K1376" i="8"/>
  <c r="L1490" i="8"/>
  <c r="L1482" i="8"/>
  <c r="L1474" i="8"/>
  <c r="J1371" i="8"/>
  <c r="J1363" i="8"/>
  <c r="J1355" i="8"/>
  <c r="J1347" i="8"/>
  <c r="J1339" i="8"/>
  <c r="J1331" i="8"/>
  <c r="J1323" i="8"/>
  <c r="L1315" i="8"/>
  <c r="L1307" i="8"/>
  <c r="L1299" i="8"/>
  <c r="L1291" i="8"/>
  <c r="L1283" i="8"/>
  <c r="K1275" i="8"/>
  <c r="K1267" i="8"/>
  <c r="K1259" i="8"/>
  <c r="K1251" i="8"/>
  <c r="K1243" i="8"/>
  <c r="K1235" i="8"/>
  <c r="K1227" i="8"/>
  <c r="K1219" i="8"/>
  <c r="J1212" i="8"/>
  <c r="J1204" i="8"/>
  <c r="J1196" i="8"/>
  <c r="J1188" i="8"/>
  <c r="J1180" i="8"/>
  <c r="J1172" i="8"/>
  <c r="J1164" i="8"/>
  <c r="J1156" i="8"/>
  <c r="J1148" i="8"/>
  <c r="K1499" i="8"/>
  <c r="J1492" i="8"/>
  <c r="J1476" i="8"/>
  <c r="M1370" i="8"/>
  <c r="J1364" i="8"/>
  <c r="L1359" i="8"/>
  <c r="M1354" i="8"/>
  <c r="J1348" i="8"/>
  <c r="L1343" i="8"/>
  <c r="M1338" i="8"/>
  <c r="J1332" i="8"/>
  <c r="L1327" i="8"/>
  <c r="M1322" i="8"/>
  <c r="K1317" i="8"/>
  <c r="M1312" i="8"/>
  <c r="J1494" i="8"/>
  <c r="J1478" i="8"/>
  <c r="M1466" i="8"/>
  <c r="J1462" i="8"/>
  <c r="J1458" i="8"/>
  <c r="J1454" i="8"/>
  <c r="J1450" i="8"/>
  <c r="J1446" i="8"/>
  <c r="J1442" i="8"/>
  <c r="J1438" i="8"/>
  <c r="K1434" i="8"/>
  <c r="K1430" i="8"/>
  <c r="K1426" i="8"/>
  <c r="K1422" i="8"/>
  <c r="K1418" i="8"/>
  <c r="K1414" i="8"/>
  <c r="K1410" i="8"/>
  <c r="K1406" i="8"/>
  <c r="L1402" i="8"/>
  <c r="L1398" i="8"/>
  <c r="L1394" i="8"/>
  <c r="L1390" i="8"/>
  <c r="L1386" i="8"/>
  <c r="L1382" i="8"/>
  <c r="L1378" i="8"/>
  <c r="L1374" i="8"/>
  <c r="L1369" i="8"/>
  <c r="M1364" i="8"/>
  <c r="J1358" i="8"/>
  <c r="L1353" i="8"/>
  <c r="M1348" i="8"/>
  <c r="J1342" i="8"/>
  <c r="M1496" i="8"/>
  <c r="J1469" i="8"/>
  <c r="L1451" i="8"/>
  <c r="M1435" i="8"/>
  <c r="M1419" i="8"/>
  <c r="N1403" i="8"/>
  <c r="J1390" i="8"/>
  <c r="J1374" i="8"/>
  <c r="M1361" i="8"/>
  <c r="K1352" i="8"/>
  <c r="K1343" i="8"/>
  <c r="J1330" i="8"/>
  <c r="K1326" i="8"/>
  <c r="M1317" i="8"/>
  <c r="L1306" i="8"/>
  <c r="M1301" i="8"/>
  <c r="J1295" i="8"/>
  <c r="M1490" i="8"/>
  <c r="M1457" i="8"/>
  <c r="L1426" i="8"/>
  <c r="M1394" i="8"/>
  <c r="M1489" i="8"/>
  <c r="K1455" i="8"/>
  <c r="L1423" i="8"/>
  <c r="M1391" i="8"/>
  <c r="L1481" i="8"/>
  <c r="L1354" i="8"/>
  <c r="L1322" i="8"/>
  <c r="J1290" i="8"/>
  <c r="M1258" i="8"/>
  <c r="M1226" i="8"/>
  <c r="L1195" i="8"/>
  <c r="L1163" i="8"/>
  <c r="J1488" i="8"/>
  <c r="M1358" i="8"/>
  <c r="J1336" i="8"/>
  <c r="M1316" i="8"/>
  <c r="M1465" i="8"/>
  <c r="J1449" i="8"/>
  <c r="K1433" i="8"/>
  <c r="K1421" i="8"/>
  <c r="K1413" i="8"/>
  <c r="K1405" i="8"/>
  <c r="L1397" i="8"/>
  <c r="L1389" i="8"/>
  <c r="L1381" i="8"/>
  <c r="L1373" i="8"/>
  <c r="J1362" i="8"/>
  <c r="M1352" i="8"/>
  <c r="L1341" i="8"/>
  <c r="K1466" i="8"/>
  <c r="M1431" i="8"/>
  <c r="J1402" i="8"/>
  <c r="M1369" i="8"/>
  <c r="K1351" i="8"/>
  <c r="L1329" i="8"/>
  <c r="L1316" i="8"/>
  <c r="J1299" i="8"/>
  <c r="L1290" i="8"/>
  <c r="M1285" i="8"/>
  <c r="J1279" i="8"/>
  <c r="J1274" i="8"/>
  <c r="L1269" i="8"/>
  <c r="L1264" i="8"/>
  <c r="J1258" i="8"/>
  <c r="L1253" i="8"/>
  <c r="L1248" i="8"/>
  <c r="J1242" i="8"/>
  <c r="L1237" i="8"/>
  <c r="L1232" i="8"/>
  <c r="J1226" i="8"/>
  <c r="L1221" i="8"/>
  <c r="M1216" i="8"/>
  <c r="K1210" i="8"/>
  <c r="K1205" i="8"/>
  <c r="M1200" i="8"/>
  <c r="K1194" i="8"/>
  <c r="K1189" i="8"/>
  <c r="J1481" i="8"/>
  <c r="L1457" i="8"/>
  <c r="L1441" i="8"/>
  <c r="M1425" i="8"/>
  <c r="M1409" i="8"/>
  <c r="J1392" i="8"/>
  <c r="J1376" i="8"/>
  <c r="K1364" i="8"/>
  <c r="K1355" i="8"/>
  <c r="M1341" i="8"/>
  <c r="L1337" i="8"/>
  <c r="M1333" i="8"/>
  <c r="J1322" i="8"/>
  <c r="J1315" i="8"/>
  <c r="K1311" i="8"/>
  <c r="M1307" i="8"/>
  <c r="J1301" i="8"/>
  <c r="L1296" i="8"/>
  <c r="M1291" i="8"/>
  <c r="J1285" i="8"/>
  <c r="L1280" i="8"/>
  <c r="L1274" i="8"/>
  <c r="J1268" i="8"/>
  <c r="L1263" i="8"/>
  <c r="L1258" i="8"/>
  <c r="J1252" i="8"/>
  <c r="L1247" i="8"/>
  <c r="L1242" i="8"/>
  <c r="J1236" i="8"/>
  <c r="L1231" i="8"/>
  <c r="L1226" i="8"/>
  <c r="J1220" i="8"/>
  <c r="L1460" i="8"/>
  <c r="M1428" i="8"/>
  <c r="J1401" i="8"/>
  <c r="K1365" i="8"/>
  <c r="K1346" i="8"/>
  <c r="J1326" i="8"/>
  <c r="L1312" i="8"/>
  <c r="M1300" i="8"/>
  <c r="K1291" i="8"/>
  <c r="K1282" i="8"/>
  <c r="K1268" i="8"/>
  <c r="J1259" i="8"/>
  <c r="M1245" i="8"/>
  <c r="K1236" i="8"/>
  <c r="J1227" i="8"/>
  <c r="M1218" i="8"/>
  <c r="J1207" i="8"/>
  <c r="K1203" i="8"/>
  <c r="M1199" i="8"/>
  <c r="K1188" i="8"/>
  <c r="K1183" i="8"/>
  <c r="M1178" i="8"/>
  <c r="K1172" i="8"/>
  <c r="K1167" i="8"/>
  <c r="M1162" i="8"/>
  <c r="K1156" i="8"/>
  <c r="K1151" i="8"/>
  <c r="M1146" i="8"/>
  <c r="L1142" i="8"/>
  <c r="L1138" i="8"/>
  <c r="L1134" i="8"/>
  <c r="L1130" i="8"/>
  <c r="L1126" i="8"/>
  <c r="L1122" i="8"/>
  <c r="M1482" i="8"/>
  <c r="M1449" i="8"/>
  <c r="L1418" i="8"/>
  <c r="M1386" i="8"/>
  <c r="M1481" i="8"/>
  <c r="K1447" i="8"/>
  <c r="L1415" i="8"/>
  <c r="M1383" i="8"/>
  <c r="L1473" i="8"/>
  <c r="L1346" i="8"/>
  <c r="J1314" i="8"/>
  <c r="J1282" i="8"/>
  <c r="M1250" i="8"/>
  <c r="N1218" i="8"/>
  <c r="L1187" i="8"/>
  <c r="L1155" i="8"/>
  <c r="J1472" i="8"/>
  <c r="J1352" i="8"/>
  <c r="L1331" i="8"/>
  <c r="K1310" i="8"/>
  <c r="J1461" i="8"/>
  <c r="J1445" i="8"/>
  <c r="K1429" i="8"/>
  <c r="K1420" i="8"/>
  <c r="K1412" i="8"/>
  <c r="K1404" i="8"/>
  <c r="L1396" i="8"/>
  <c r="L1388" i="8"/>
  <c r="L1380" i="8"/>
  <c r="M1372" i="8"/>
  <c r="L1361" i="8"/>
  <c r="J1350" i="8"/>
  <c r="M1340" i="8"/>
  <c r="L1459" i="8"/>
  <c r="M1427" i="8"/>
  <c r="J1398" i="8"/>
  <c r="K1368" i="8"/>
  <c r="M1345" i="8"/>
  <c r="M1328" i="8"/>
  <c r="M1315" i="8"/>
  <c r="L1298" i="8"/>
  <c r="M1289" i="8"/>
  <c r="J1283" i="8"/>
  <c r="L1278" i="8"/>
  <c r="L1273" i="8"/>
  <c r="L1268" i="8"/>
  <c r="J1262" i="8"/>
  <c r="L1257" i="8"/>
  <c r="L1252" i="8"/>
  <c r="J1246" i="8"/>
  <c r="L1241" i="8"/>
  <c r="L1236" i="8"/>
  <c r="J1230" i="8"/>
  <c r="L1225" i="8"/>
  <c r="L1220" i="8"/>
  <c r="K1214" i="8"/>
  <c r="K1209" i="8"/>
  <c r="M1204" i="8"/>
  <c r="K1198" i="8"/>
  <c r="K1193" i="8"/>
  <c r="M1188" i="8"/>
  <c r="J1473" i="8"/>
  <c r="L1453" i="8"/>
  <c r="L1437" i="8"/>
  <c r="M1421" i="8"/>
  <c r="M1405" i="8"/>
  <c r="J1388" i="8"/>
  <c r="K1372" i="8"/>
  <c r="K1363" i="8"/>
  <c r="M1349" i="8"/>
  <c r="K1340" i="8"/>
  <c r="M1336" i="8"/>
  <c r="K1325" i="8"/>
  <c r="L1321" i="8"/>
  <c r="L1314" i="8"/>
  <c r="M1310" i="8"/>
  <c r="J1305" i="8"/>
  <c r="L1300" i="8"/>
  <c r="M1295" i="8"/>
  <c r="J1289" i="8"/>
  <c r="L1284" i="8"/>
  <c r="M1279" i="8"/>
  <c r="J1272" i="8"/>
  <c r="L1267" i="8"/>
  <c r="L1262" i="8"/>
  <c r="J1256" i="8"/>
  <c r="L1251" i="8"/>
  <c r="L1246" i="8"/>
  <c r="J1240" i="8"/>
  <c r="L1235" i="8"/>
  <c r="L1230" i="8"/>
  <c r="J1224" i="8"/>
  <c r="J1495" i="8"/>
  <c r="L1452" i="8"/>
  <c r="M1420" i="8"/>
  <c r="J1393" i="8"/>
  <c r="K1362" i="8"/>
  <c r="M1343" i="8"/>
  <c r="K1322" i="8"/>
  <c r="J1311" i="8"/>
  <c r="K1299" i="8"/>
  <c r="K1290" i="8"/>
  <c r="K1276" i="8"/>
  <c r="J1267" i="8"/>
  <c r="M1253" i="8"/>
  <c r="K1244" i="8"/>
  <c r="J1235" i="8"/>
  <c r="M1221" i="8"/>
  <c r="M1217" i="8"/>
  <c r="L1206" i="8"/>
  <c r="M1202" i="8"/>
  <c r="J1191" i="8"/>
  <c r="K1187" i="8"/>
  <c r="M1182" i="8"/>
  <c r="K1176" i="8"/>
  <c r="K1171" i="8"/>
  <c r="M1166" i="8"/>
  <c r="K1160" i="8"/>
  <c r="K1155" i="8"/>
  <c r="M1150" i="8"/>
  <c r="J1145" i="8"/>
  <c r="J1141" i="8"/>
  <c r="J1137" i="8"/>
  <c r="J1133" i="8"/>
  <c r="J1129" i="8"/>
  <c r="J1125" i="8"/>
  <c r="J1121" i="8"/>
  <c r="M1474" i="8"/>
  <c r="M1441" i="8"/>
  <c r="L1410" i="8"/>
  <c r="M1378" i="8"/>
  <c r="M1473" i="8"/>
  <c r="K1439" i="8"/>
  <c r="L1407" i="8"/>
  <c r="M1375" i="8"/>
  <c r="L1370" i="8"/>
  <c r="L1338" i="8"/>
  <c r="J1306" i="8"/>
  <c r="M1274" i="8"/>
  <c r="M1242" i="8"/>
  <c r="L1211" i="8"/>
  <c r="L1179" i="8"/>
  <c r="L1147" i="8"/>
  <c r="J1368" i="8"/>
  <c r="L1347" i="8"/>
  <c r="M1326" i="8"/>
  <c r="J1490" i="8"/>
  <c r="J1457" i="8"/>
  <c r="J1441" i="8"/>
  <c r="K1425" i="8"/>
  <c r="K1417" i="8"/>
  <c r="K1409" i="8"/>
  <c r="L1401" i="8"/>
  <c r="L1393" i="8"/>
  <c r="L1385" i="8"/>
  <c r="L1377" i="8"/>
  <c r="M1368" i="8"/>
  <c r="L1357" i="8"/>
  <c r="J1346" i="8"/>
  <c r="J1493" i="8"/>
  <c r="L1447" i="8"/>
  <c r="M1415" i="8"/>
  <c r="J1386" i="8"/>
  <c r="K1360" i="8"/>
  <c r="K1333" i="8"/>
  <c r="M1325" i="8"/>
  <c r="M1305" i="8"/>
  <c r="L1294" i="8"/>
  <c r="J1287" i="8"/>
  <c r="L1282" i="8"/>
  <c r="L1277" i="8"/>
  <c r="L1272" i="8"/>
  <c r="J1266" i="8"/>
  <c r="L1261" i="8"/>
  <c r="L1256" i="8"/>
  <c r="J1250" i="8"/>
  <c r="L1245" i="8"/>
  <c r="L1240" i="8"/>
  <c r="J1234" i="8"/>
  <c r="L1229" i="8"/>
  <c r="L1224" i="8"/>
  <c r="K1218" i="8"/>
  <c r="K1213" i="8"/>
  <c r="M1208" i="8"/>
  <c r="K1202" i="8"/>
  <c r="K1197" i="8"/>
  <c r="M1192" i="8"/>
  <c r="M1498" i="8"/>
  <c r="K1464" i="8"/>
  <c r="L1449" i="8"/>
  <c r="M1433" i="8"/>
  <c r="M1417" i="8"/>
  <c r="J1400" i="8"/>
  <c r="J1384" i="8"/>
  <c r="K1371" i="8"/>
  <c r="M1357" i="8"/>
  <c r="K1348" i="8"/>
  <c r="K1339" i="8"/>
  <c r="M1335" i="8"/>
  <c r="K1324" i="8"/>
  <c r="M1320" i="8"/>
  <c r="J1313" i="8"/>
  <c r="M1309" i="8"/>
  <c r="L1304" i="8"/>
  <c r="M1299" i="8"/>
  <c r="J1293" i="8"/>
  <c r="L1288" i="8"/>
  <c r="M1283" i="8"/>
  <c r="J1276" i="8"/>
  <c r="L1271" i="8"/>
  <c r="L1266" i="8"/>
  <c r="J1260" i="8"/>
  <c r="L1255" i="8"/>
  <c r="L1250" i="8"/>
  <c r="J1244" i="8"/>
  <c r="L1239" i="8"/>
  <c r="J1466" i="8"/>
  <c r="L1464" i="8"/>
  <c r="L1362" i="8"/>
  <c r="M1234" i="8"/>
  <c r="L1363" i="8"/>
  <c r="J1453" i="8"/>
  <c r="K1408" i="8"/>
  <c r="L1376" i="8"/>
  <c r="J1485" i="8"/>
  <c r="K1359" i="8"/>
  <c r="M1293" i="8"/>
  <c r="J1270" i="8"/>
  <c r="L1249" i="8"/>
  <c r="L1228" i="8"/>
  <c r="K1206" i="8"/>
  <c r="J1489" i="8"/>
  <c r="M1413" i="8"/>
  <c r="K1356" i="8"/>
  <c r="K1323" i="8"/>
  <c r="M1303" i="8"/>
  <c r="J1281" i="8"/>
  <c r="L1259" i="8"/>
  <c r="L1238" i="8"/>
  <c r="L1227" i="8"/>
  <c r="K1465" i="8"/>
  <c r="M1404" i="8"/>
  <c r="K1349" i="8"/>
  <c r="K1316" i="8"/>
  <c r="M1292" i="8"/>
  <c r="M1269" i="8"/>
  <c r="J1251" i="8"/>
  <c r="K1228" i="8"/>
  <c r="M1215" i="8"/>
  <c r="L1200" i="8"/>
  <c r="K1184" i="8"/>
  <c r="M1174" i="8"/>
  <c r="K1163" i="8"/>
  <c r="K1152" i="8"/>
  <c r="J1143" i="8"/>
  <c r="J1135" i="8"/>
  <c r="J1127" i="8"/>
  <c r="J1119" i="8"/>
  <c r="J1115" i="8"/>
  <c r="J1111" i="8"/>
  <c r="J1107" i="8"/>
  <c r="J1103" i="8"/>
  <c r="J1099" i="8"/>
  <c r="J1095" i="8"/>
  <c r="J1091" i="8"/>
  <c r="J1087" i="8"/>
  <c r="J1083" i="8"/>
  <c r="J1079" i="8"/>
  <c r="J1075" i="8"/>
  <c r="J1071" i="8"/>
  <c r="J1067" i="8"/>
  <c r="J1063" i="8"/>
  <c r="J1059" i="8"/>
  <c r="J1055" i="8"/>
  <c r="J1051" i="8"/>
  <c r="J1047" i="8"/>
  <c r="J1043" i="8"/>
  <c r="J1039" i="8"/>
  <c r="J1035" i="8"/>
  <c r="J1031" i="8"/>
  <c r="J1027" i="8"/>
  <c r="J1023" i="8"/>
  <c r="J1019" i="8"/>
  <c r="J1015" i="8"/>
  <c r="J1011" i="8"/>
  <c r="J1007" i="8"/>
  <c r="J1003" i="8"/>
  <c r="J999" i="8"/>
  <c r="M995" i="8"/>
  <c r="M991" i="8"/>
  <c r="M987" i="8"/>
  <c r="M983" i="8"/>
  <c r="M979" i="8"/>
  <c r="M975" i="8"/>
  <c r="M971" i="8"/>
  <c r="M967" i="8"/>
  <c r="M963" i="8"/>
  <c r="M959" i="8"/>
  <c r="M955" i="8"/>
  <c r="M951" i="8"/>
  <c r="M947" i="8"/>
  <c r="M943" i="8"/>
  <c r="M939" i="8"/>
  <c r="M1499" i="8"/>
  <c r="L1448" i="8"/>
  <c r="M1416" i="8"/>
  <c r="J1381" i="8"/>
  <c r="K1357" i="8"/>
  <c r="K1338" i="8"/>
  <c r="K1328" i="8"/>
  <c r="M1314" i="8"/>
  <c r="K1302" i="8"/>
  <c r="M1288" i="8"/>
  <c r="K1279" i="8"/>
  <c r="J1271" i="8"/>
  <c r="M1257" i="8"/>
  <c r="K1248" i="8"/>
  <c r="J1239" i="8"/>
  <c r="M1225" i="8"/>
  <c r="L1214" i="8"/>
  <c r="M1210" i="8"/>
  <c r="J1199" i="8"/>
  <c r="K1195" i="8"/>
  <c r="M1191" i="8"/>
  <c r="K1182" i="8"/>
  <c r="K1177" i="8"/>
  <c r="M1172" i="8"/>
  <c r="K1166" i="8"/>
  <c r="K1161" i="8"/>
  <c r="M1156" i="8"/>
  <c r="K1150" i="8"/>
  <c r="L1145" i="8"/>
  <c r="L1141" i="8"/>
  <c r="L1137" i="8"/>
  <c r="L1133" i="8"/>
  <c r="L1129" i="8"/>
  <c r="L1125" i="8"/>
  <c r="L1121" i="8"/>
  <c r="L1117" i="8"/>
  <c r="L1113" i="8"/>
  <c r="L1109" i="8"/>
  <c r="L1105" i="8"/>
  <c r="L1101" i="8"/>
  <c r="L1097" i="8"/>
  <c r="L1093" i="8"/>
  <c r="L1089" i="8"/>
  <c r="L1085" i="8"/>
  <c r="L1081" i="8"/>
  <c r="L1077" i="8"/>
  <c r="L1073" i="8"/>
  <c r="L1069" i="8"/>
  <c r="L1065" i="8"/>
  <c r="L1061" i="8"/>
  <c r="L1057" i="8"/>
  <c r="L1053" i="8"/>
  <c r="L1049" i="8"/>
  <c r="L1045" i="8"/>
  <c r="L1041" i="8"/>
  <c r="L1037" i="8"/>
  <c r="L1033" i="8"/>
  <c r="L1029" i="8"/>
  <c r="L1025" i="8"/>
  <c r="L1021" i="8"/>
  <c r="L1017" i="8"/>
  <c r="L1013" i="8"/>
  <c r="L1009" i="8"/>
  <c r="L1005" i="8"/>
  <c r="L1450" i="8"/>
  <c r="J1379" i="8"/>
  <c r="M1332" i="8"/>
  <c r="K1300" i="8"/>
  <c r="K1281" i="8"/>
  <c r="K1262" i="8"/>
  <c r="M1243" i="8"/>
  <c r="K1216" i="8"/>
  <c r="M1203" i="8"/>
  <c r="M1189" i="8"/>
  <c r="M1175" i="8"/>
  <c r="L1166" i="8"/>
  <c r="J1157" i="8"/>
  <c r="K1001" i="8"/>
  <c r="K995" i="8"/>
  <c r="M990" i="8"/>
  <c r="J984" i="8"/>
  <c r="K979" i="8"/>
  <c r="M974" i="8"/>
  <c r="J968" i="8"/>
  <c r="K963" i="8"/>
  <c r="M958" i="8"/>
  <c r="J952" i="8"/>
  <c r="K947" i="8"/>
  <c r="M942" i="8"/>
  <c r="K937" i="8"/>
  <c r="M933" i="8"/>
  <c r="M929" i="8"/>
  <c r="M925" i="8"/>
  <c r="M921" i="8"/>
  <c r="M917" i="8"/>
  <c r="M913" i="8"/>
  <c r="M909" i="8"/>
  <c r="M905" i="8"/>
  <c r="L902" i="8"/>
  <c r="L898" i="8"/>
  <c r="L894" i="8"/>
  <c r="L890" i="8"/>
  <c r="L886" i="8"/>
  <c r="L882" i="8"/>
  <c r="L878" i="8"/>
  <c r="L874" i="8"/>
  <c r="L870" i="8"/>
  <c r="L866" i="8"/>
  <c r="L862" i="8"/>
  <c r="L858" i="8"/>
  <c r="L854" i="8"/>
  <c r="L850" i="8"/>
  <c r="L846" i="8"/>
  <c r="L842" i="8"/>
  <c r="L838" i="8"/>
  <c r="L1434" i="8"/>
  <c r="L1431" i="8"/>
  <c r="L1330" i="8"/>
  <c r="L1203" i="8"/>
  <c r="M1342" i="8"/>
  <c r="J1437" i="8"/>
  <c r="L1400" i="8"/>
  <c r="J1366" i="8"/>
  <c r="L1443" i="8"/>
  <c r="K1332" i="8"/>
  <c r="L1286" i="8"/>
  <c r="L1265" i="8"/>
  <c r="L1244" i="8"/>
  <c r="J1222" i="8"/>
  <c r="K1201" i="8"/>
  <c r="L1461" i="8"/>
  <c r="J1396" i="8"/>
  <c r="K1347" i="8"/>
  <c r="O1319" i="8"/>
  <c r="J1297" i="8"/>
  <c r="L1275" i="8"/>
  <c r="L1254" i="8"/>
  <c r="L1234" i="8"/>
  <c r="L1223" i="8"/>
  <c r="L1444" i="8"/>
  <c r="J1385" i="8"/>
  <c r="K1335" i="8"/>
  <c r="K1307" i="8"/>
  <c r="M1284" i="8"/>
  <c r="M1261" i="8"/>
  <c r="J1243" i="8"/>
  <c r="K1220" i="8"/>
  <c r="J1205" i="8"/>
  <c r="L1190" i="8"/>
  <c r="K1180" i="8"/>
  <c r="M1170" i="8"/>
  <c r="K1159" i="8"/>
  <c r="K1148" i="8"/>
  <c r="L1140" i="8"/>
  <c r="L1132" i="8"/>
  <c r="L1124" i="8"/>
  <c r="L1118" i="8"/>
  <c r="L1114" i="8"/>
  <c r="L1110" i="8"/>
  <c r="L1106" i="8"/>
  <c r="L1102" i="8"/>
  <c r="L1098" i="8"/>
  <c r="L1094" i="8"/>
  <c r="L1090" i="8"/>
  <c r="L1086" i="8"/>
  <c r="L1082" i="8"/>
  <c r="L1078" i="8"/>
  <c r="L1074" i="8"/>
  <c r="L1070" i="8"/>
  <c r="L1066" i="8"/>
  <c r="L1062" i="8"/>
  <c r="L1058" i="8"/>
  <c r="L1054" i="8"/>
  <c r="L1050" i="8"/>
  <c r="L1046" i="8"/>
  <c r="L1042" i="8"/>
  <c r="L1038" i="8"/>
  <c r="L1034" i="8"/>
  <c r="L1030" i="8"/>
  <c r="L1026" i="8"/>
  <c r="L1022" i="8"/>
  <c r="L1018" i="8"/>
  <c r="L1014" i="8"/>
  <c r="L1010" i="8"/>
  <c r="L1006" i="8"/>
  <c r="L1002" i="8"/>
  <c r="K998" i="8"/>
  <c r="K994" i="8"/>
  <c r="K990" i="8"/>
  <c r="K986" i="8"/>
  <c r="K982" i="8"/>
  <c r="K978" i="8"/>
  <c r="K974" i="8"/>
  <c r="K970" i="8"/>
  <c r="K966" i="8"/>
  <c r="K962" i="8"/>
  <c r="K958" i="8"/>
  <c r="K954" i="8"/>
  <c r="K950" i="8"/>
  <c r="K946" i="8"/>
  <c r="K942" i="8"/>
  <c r="L938" i="8"/>
  <c r="J1487" i="8"/>
  <c r="L1440" i="8"/>
  <c r="M1408" i="8"/>
  <c r="K1373" i="8"/>
  <c r="K1354" i="8"/>
  <c r="K1337" i="8"/>
  <c r="M1324" i="8"/>
  <c r="J1309" i="8"/>
  <c r="M1296" i="8"/>
  <c r="K1287" i="8"/>
  <c r="K1278" i="8"/>
  <c r="M1265" i="8"/>
  <c r="K1256" i="8"/>
  <c r="J1247" i="8"/>
  <c r="M1233" i="8"/>
  <c r="K1224" i="8"/>
  <c r="J1213" i="8"/>
  <c r="M1209" i="8"/>
  <c r="L1198" i="8"/>
  <c r="M1194" i="8"/>
  <c r="K1186" i="8"/>
  <c r="K1181" i="8"/>
  <c r="M1176" i="8"/>
  <c r="K1170" i="8"/>
  <c r="K1165" i="8"/>
  <c r="M1160" i="8"/>
  <c r="K1154" i="8"/>
  <c r="K1149" i="8"/>
  <c r="J1144" i="8"/>
  <c r="J1140" i="8"/>
  <c r="J1136" i="8"/>
  <c r="J1132" i="8"/>
  <c r="J1128" i="8"/>
  <c r="J1124" i="8"/>
  <c r="J1120" i="8"/>
  <c r="J1116" i="8"/>
  <c r="J1112" i="8"/>
  <c r="J1108" i="8"/>
  <c r="J1104" i="8"/>
  <c r="J1100" i="8"/>
  <c r="J1096" i="8"/>
  <c r="J1092" i="8"/>
  <c r="J1088" i="8"/>
  <c r="J1084" i="8"/>
  <c r="J1080" i="8"/>
  <c r="J1076" i="8"/>
  <c r="J1072" i="8"/>
  <c r="J1068" i="8"/>
  <c r="J1064" i="8"/>
  <c r="J1060" i="8"/>
  <c r="J1056" i="8"/>
  <c r="J1052" i="8"/>
  <c r="J1048" i="8"/>
  <c r="J1044" i="8"/>
  <c r="J1040" i="8"/>
  <c r="J1036" i="8"/>
  <c r="J1032" i="8"/>
  <c r="J1028" i="8"/>
  <c r="J1024" i="8"/>
  <c r="J1020" i="8"/>
  <c r="J1016" i="8"/>
  <c r="J1012" i="8"/>
  <c r="J1008" i="8"/>
  <c r="J1004" i="8"/>
  <c r="M1434" i="8"/>
  <c r="M1355" i="8"/>
  <c r="K1329" i="8"/>
  <c r="K1297" i="8"/>
  <c r="M1278" i="8"/>
  <c r="M1259" i="8"/>
  <c r="J1233" i="8"/>
  <c r="L1212" i="8"/>
  <c r="L1202" i="8"/>
  <c r="M1183" i="8"/>
  <c r="L1174" i="8"/>
  <c r="J1165" i="8"/>
  <c r="M1151" i="8"/>
  <c r="K1000" i="8"/>
  <c r="M994" i="8"/>
  <c r="J988" i="8"/>
  <c r="K983" i="8"/>
  <c r="M978" i="8"/>
  <c r="J972" i="8"/>
  <c r="K967" i="8"/>
  <c r="M962" i="8"/>
  <c r="J956" i="8"/>
  <c r="K951" i="8"/>
  <c r="M946" i="8"/>
  <c r="J940" i="8"/>
  <c r="K936" i="8"/>
  <c r="K932" i="8"/>
  <c r="K928" i="8"/>
  <c r="K924" i="8"/>
  <c r="K920" i="8"/>
  <c r="K916" i="8"/>
  <c r="K912" i="8"/>
  <c r="K908" i="8"/>
  <c r="K904" i="8"/>
  <c r="J901" i="8"/>
  <c r="J897" i="8"/>
  <c r="J893" i="8"/>
  <c r="J889" i="8"/>
  <c r="J885" i="8"/>
  <c r="J881" i="8"/>
  <c r="J877" i="8"/>
  <c r="J873" i="8"/>
  <c r="J869" i="8"/>
  <c r="J865" i="8"/>
  <c r="J861" i="8"/>
  <c r="J857" i="8"/>
  <c r="J853" i="8"/>
  <c r="J849" i="8"/>
  <c r="J845" i="8"/>
  <c r="J841" i="8"/>
  <c r="J837" i="8"/>
  <c r="J833" i="8"/>
  <c r="J829" i="8"/>
  <c r="K825" i="8"/>
  <c r="K821" i="8"/>
  <c r="K817" i="8"/>
  <c r="K813" i="8"/>
  <c r="K809" i="8"/>
  <c r="K805" i="8"/>
  <c r="K801" i="8"/>
  <c r="K797" i="8"/>
  <c r="J793" i="8"/>
  <c r="J789" i="8"/>
  <c r="J785" i="8"/>
  <c r="J781" i="8"/>
  <c r="J777" i="8"/>
  <c r="J773" i="8"/>
  <c r="J769" i="8"/>
  <c r="K765" i="8"/>
  <c r="K761" i="8"/>
  <c r="K757" i="8"/>
  <c r="K753" i="8"/>
  <c r="K749" i="8"/>
  <c r="K745" i="8"/>
  <c r="K741" i="8"/>
  <c r="K737" i="8"/>
  <c r="K733" i="8"/>
  <c r="K729" i="8"/>
  <c r="K725" i="8"/>
  <c r="K721" i="8"/>
  <c r="K717" i="8"/>
  <c r="K713" i="8"/>
  <c r="K709" i="8"/>
  <c r="K705" i="8"/>
  <c r="L701" i="8"/>
  <c r="L697" i="8"/>
  <c r="L693" i="8"/>
  <c r="M689" i="8"/>
  <c r="M685" i="8"/>
  <c r="M681" i="8"/>
  <c r="M677" i="8"/>
  <c r="M673" i="8"/>
  <c r="N669" i="8"/>
  <c r="L666" i="8"/>
  <c r="M662" i="8"/>
  <c r="M658" i="8"/>
  <c r="M654" i="8"/>
  <c r="M650" i="8"/>
  <c r="M646" i="8"/>
  <c r="M642" i="8"/>
  <c r="M638" i="8"/>
  <c r="M634" i="8"/>
  <c r="M630" i="8"/>
  <c r="M626" i="8"/>
  <c r="M1402" i="8"/>
  <c r="M1399" i="8"/>
  <c r="J1298" i="8"/>
  <c r="L1171" i="8"/>
  <c r="J1320" i="8"/>
  <c r="K1424" i="8"/>
  <c r="L1392" i="8"/>
  <c r="M1356" i="8"/>
  <c r="M1411" i="8"/>
  <c r="K1319" i="8"/>
  <c r="M1281" i="8"/>
  <c r="L1260" i="8"/>
  <c r="J1238" i="8"/>
  <c r="K1217" i="8"/>
  <c r="M1196" i="8"/>
  <c r="L1445" i="8"/>
  <c r="J1380" i="8"/>
  <c r="J1338" i="8"/>
  <c r="K1312" i="8"/>
  <c r="L1292" i="8"/>
  <c r="L1270" i="8"/>
  <c r="J1248" i="8"/>
  <c r="J1232" i="8"/>
  <c r="L1222" i="8"/>
  <c r="L1436" i="8"/>
  <c r="J1377" i="8"/>
  <c r="M1331" i="8"/>
  <c r="K1306" i="8"/>
  <c r="K1283" i="8"/>
  <c r="K1260" i="8"/>
  <c r="M1237" i="8"/>
  <c r="L1219" i="8"/>
  <c r="K1204" i="8"/>
  <c r="J1189" i="8"/>
  <c r="K1179" i="8"/>
  <c r="K1168" i="8"/>
  <c r="M1158" i="8"/>
  <c r="K1147" i="8"/>
  <c r="J1139" i="8"/>
  <c r="J1131" i="8"/>
  <c r="J1123" i="8"/>
  <c r="J1117" i="8"/>
  <c r="J1113" i="8"/>
  <c r="J1109" i="8"/>
  <c r="J1105" i="8"/>
  <c r="J1101" i="8"/>
  <c r="J1097" i="8"/>
  <c r="J1093" i="8"/>
  <c r="J1089" i="8"/>
  <c r="J1085" i="8"/>
  <c r="J1081" i="8"/>
  <c r="J1077" i="8"/>
  <c r="J1073" i="8"/>
  <c r="J1069" i="8"/>
  <c r="J1065" i="8"/>
  <c r="J1061" i="8"/>
  <c r="J1057" i="8"/>
  <c r="J1053" i="8"/>
  <c r="J1049" i="8"/>
  <c r="J1045" i="8"/>
  <c r="J1041" i="8"/>
  <c r="J1037" i="8"/>
  <c r="J1033" i="8"/>
  <c r="J1029" i="8"/>
  <c r="J1025" i="8"/>
  <c r="J1021" i="8"/>
  <c r="J1017" i="8"/>
  <c r="J1013" i="8"/>
  <c r="J1009" i="8"/>
  <c r="J1005" i="8"/>
  <c r="J1001" i="8"/>
  <c r="M997" i="8"/>
  <c r="M993" i="8"/>
  <c r="M989" i="8"/>
  <c r="M985" i="8"/>
  <c r="M981" i="8"/>
  <c r="M977" i="8"/>
  <c r="M973" i="8"/>
  <c r="M969" i="8"/>
  <c r="M965" i="8"/>
  <c r="M961" i="8"/>
  <c r="M957" i="8"/>
  <c r="M953" i="8"/>
  <c r="M949" i="8"/>
  <c r="M945" i="8"/>
  <c r="M941" i="8"/>
  <c r="J937" i="8"/>
  <c r="J1471" i="8"/>
  <c r="M1432" i="8"/>
  <c r="J1397" i="8"/>
  <c r="K1370" i="8"/>
  <c r="M1351" i="8"/>
  <c r="L1333" i="8"/>
  <c r="M1319" i="8"/>
  <c r="M1304" i="8"/>
  <c r="K1295" i="8"/>
  <c r="K1286" i="8"/>
  <c r="M1273" i="8"/>
  <c r="K1264" i="8"/>
  <c r="J1255" i="8"/>
  <c r="M1241" i="8"/>
  <c r="K1232" i="8"/>
  <c r="J1223" i="8"/>
  <c r="K1212" i="8"/>
  <c r="L1208" i="8"/>
  <c r="J1197" i="8"/>
  <c r="M1193" i="8"/>
  <c r="K1185" i="8"/>
  <c r="M1180" i="8"/>
  <c r="K1174" i="8"/>
  <c r="K1169" i="8"/>
  <c r="M1164" i="8"/>
  <c r="K1158" i="8"/>
  <c r="K1153" i="8"/>
  <c r="M1148" i="8"/>
  <c r="L1143" i="8"/>
  <c r="L1139" i="8"/>
  <c r="L1135" i="8"/>
  <c r="L1131" i="8"/>
  <c r="L1127" i="8"/>
  <c r="L1123" i="8"/>
  <c r="L1119" i="8"/>
  <c r="L1115" i="8"/>
  <c r="L1111" i="8"/>
  <c r="L1107" i="8"/>
  <c r="L1103" i="8"/>
  <c r="L1099" i="8"/>
  <c r="L1095" i="8"/>
  <c r="L1091" i="8"/>
  <c r="L1087" i="8"/>
  <c r="L1083" i="8"/>
  <c r="L1079" i="8"/>
  <c r="L1075" i="8"/>
  <c r="L1071" i="8"/>
  <c r="L1067" i="8"/>
  <c r="L1063" i="8"/>
  <c r="L1059" i="8"/>
  <c r="L1055" i="8"/>
  <c r="L1051" i="8"/>
  <c r="L1047" i="8"/>
  <c r="L1043" i="8"/>
  <c r="L1039" i="8"/>
  <c r="L1035" i="8"/>
  <c r="L1031" i="8"/>
  <c r="L1027" i="8"/>
  <c r="L1023" i="8"/>
  <c r="L1019" i="8"/>
  <c r="L1015" i="8"/>
  <c r="L1011" i="8"/>
  <c r="L1007" i="8"/>
  <c r="L1003" i="8"/>
  <c r="M1418" i="8"/>
  <c r="K1350" i="8"/>
  <c r="M1321" i="8"/>
  <c r="M1294" i="8"/>
  <c r="M1275" i="8"/>
  <c r="J1249" i="8"/>
  <c r="K1230" i="8"/>
  <c r="J1211" i="8"/>
  <c r="M1198" i="8"/>
  <c r="L1182" i="8"/>
  <c r="J1173" i="8"/>
  <c r="M1159" i="8"/>
  <c r="L1150" i="8"/>
  <c r="M999" i="8"/>
  <c r="J992" i="8"/>
  <c r="K987" i="8"/>
  <c r="M982" i="8"/>
  <c r="J976" i="8"/>
  <c r="K971" i="8"/>
  <c r="M966" i="8"/>
  <c r="J960" i="8"/>
  <c r="K955" i="8"/>
  <c r="M950" i="8"/>
  <c r="J944" i="8"/>
  <c r="K939" i="8"/>
  <c r="M935" i="8"/>
  <c r="M931" i="8"/>
  <c r="M927" i="8"/>
  <c r="M923" i="8"/>
  <c r="M919" i="8"/>
  <c r="M915" i="8"/>
  <c r="M911" i="8"/>
  <c r="M907" i="8"/>
  <c r="N903" i="8"/>
  <c r="L900" i="8"/>
  <c r="L896" i="8"/>
  <c r="L892" i="8"/>
  <c r="L888" i="8"/>
  <c r="L884" i="8"/>
  <c r="L880" i="8"/>
  <c r="L876" i="8"/>
  <c r="L872" i="8"/>
  <c r="L868" i="8"/>
  <c r="L864" i="8"/>
  <c r="L860" i="8"/>
  <c r="L856" i="8"/>
  <c r="L852" i="8"/>
  <c r="L848" i="8"/>
  <c r="L844" i="8"/>
  <c r="L840" i="8"/>
  <c r="L836" i="8"/>
  <c r="L832" i="8"/>
  <c r="L828" i="8"/>
  <c r="M824" i="8"/>
  <c r="M820" i="8"/>
  <c r="M816" i="8"/>
  <c r="M812" i="8"/>
  <c r="M808" i="8"/>
  <c r="M804" i="8"/>
  <c r="M800" i="8"/>
  <c r="M796" i="8"/>
  <c r="L792" i="8"/>
  <c r="L788" i="8"/>
  <c r="L784" i="8"/>
  <c r="L780" i="8"/>
  <c r="L776" i="8"/>
  <c r="L772" i="8"/>
  <c r="L768" i="8"/>
  <c r="M764" i="8"/>
  <c r="M760" i="8"/>
  <c r="M756" i="8"/>
  <c r="M752" i="8"/>
  <c r="M748" i="8"/>
  <c r="M744" i="8"/>
  <c r="M740" i="8"/>
  <c r="M736" i="8"/>
  <c r="M732" i="8"/>
  <c r="M728" i="8"/>
  <c r="M724" i="8"/>
  <c r="M720" i="8"/>
  <c r="M716" i="8"/>
  <c r="M712" i="8"/>
  <c r="M708" i="8"/>
  <c r="M704" i="8"/>
  <c r="J700" i="8"/>
  <c r="J696" i="8"/>
  <c r="K692" i="8"/>
  <c r="K688" i="8"/>
  <c r="K684" i="8"/>
  <c r="K680" i="8"/>
  <c r="K676" i="8"/>
  <c r="K672" i="8"/>
  <c r="J669" i="8"/>
  <c r="J665" i="8"/>
  <c r="K661" i="8"/>
  <c r="K657" i="8"/>
  <c r="K653" i="8"/>
  <c r="K649" i="8"/>
  <c r="K645" i="8"/>
  <c r="K641" i="8"/>
  <c r="K637" i="8"/>
  <c r="K633" i="8"/>
  <c r="K629" i="8"/>
  <c r="K625" i="8"/>
  <c r="J1498" i="8"/>
  <c r="J1474" i="8"/>
  <c r="J1382" i="8"/>
  <c r="L1233" i="8"/>
  <c r="M1365" i="8"/>
  <c r="J1264" i="8"/>
  <c r="M1412" i="8"/>
  <c r="J1275" i="8"/>
  <c r="M1201" i="8"/>
  <c r="M1154" i="8"/>
  <c r="L1120" i="8"/>
  <c r="L1104" i="8"/>
  <c r="L1088" i="8"/>
  <c r="L1072" i="8"/>
  <c r="L1056" i="8"/>
  <c r="L1040" i="8"/>
  <c r="L1024" i="8"/>
  <c r="L1008" i="8"/>
  <c r="K992" i="8"/>
  <c r="K976" i="8"/>
  <c r="K960" i="8"/>
  <c r="K944" i="8"/>
  <c r="M1424" i="8"/>
  <c r="M1329" i="8"/>
  <c r="M1280" i="8"/>
  <c r="K1240" i="8"/>
  <c r="M1207" i="8"/>
  <c r="K1178" i="8"/>
  <c r="K1157" i="8"/>
  <c r="J1138" i="8"/>
  <c r="J1122" i="8"/>
  <c r="J1106" i="8"/>
  <c r="J1090" i="8"/>
  <c r="J1074" i="8"/>
  <c r="J1058" i="8"/>
  <c r="J1042" i="8"/>
  <c r="J1026" i="8"/>
  <c r="J1010" i="8"/>
  <c r="K1345" i="8"/>
  <c r="K1246" i="8"/>
  <c r="J1181" i="8"/>
  <c r="J996" i="8"/>
  <c r="K975" i="8"/>
  <c r="M954" i="8"/>
  <c r="K934" i="8"/>
  <c r="K918" i="8"/>
  <c r="J903" i="8"/>
  <c r="J887" i="8"/>
  <c r="J871" i="8"/>
  <c r="J855" i="8"/>
  <c r="J839" i="8"/>
  <c r="L830" i="8"/>
  <c r="M822" i="8"/>
  <c r="M814" i="8"/>
  <c r="M806" i="8"/>
  <c r="M798" i="8"/>
  <c r="L790" i="8"/>
  <c r="L782" i="8"/>
  <c r="L774" i="8"/>
  <c r="L766" i="8"/>
  <c r="M758" i="8"/>
  <c r="M750" i="8"/>
  <c r="M742" i="8"/>
  <c r="M734" i="8"/>
  <c r="M726" i="8"/>
  <c r="M718" i="8"/>
  <c r="M710" i="8"/>
  <c r="J702" i="8"/>
  <c r="J694" i="8"/>
  <c r="K686" i="8"/>
  <c r="K678" i="8"/>
  <c r="K670" i="8"/>
  <c r="J663" i="8"/>
  <c r="K655" i="8"/>
  <c r="K647" i="8"/>
  <c r="K639" i="8"/>
  <c r="K631" i="8"/>
  <c r="K623" i="8"/>
  <c r="K619" i="8"/>
  <c r="K615" i="8"/>
  <c r="K611" i="8"/>
  <c r="K607" i="8"/>
  <c r="K603" i="8"/>
  <c r="K599" i="8"/>
  <c r="K595" i="8"/>
  <c r="K591" i="8"/>
  <c r="K587" i="8"/>
  <c r="K583" i="8"/>
  <c r="K579" i="8"/>
  <c r="K575" i="8"/>
  <c r="K571" i="8"/>
  <c r="K567" i="8"/>
  <c r="K563" i="8"/>
  <c r="K559" i="8"/>
  <c r="K555" i="8"/>
  <c r="K551" i="8"/>
  <c r="K547" i="8"/>
  <c r="K543" i="8"/>
  <c r="K539" i="8"/>
  <c r="K535" i="8"/>
  <c r="K531" i="8"/>
  <c r="M1430" i="8"/>
  <c r="K1353" i="8"/>
  <c r="K1327" i="8"/>
  <c r="K1289" i="8"/>
  <c r="M1267" i="8"/>
  <c r="M1231" i="8"/>
  <c r="J1209" i="8"/>
  <c r="J1195" i="8"/>
  <c r="J1179" i="8"/>
  <c r="M1161" i="8"/>
  <c r="L1148" i="8"/>
  <c r="J1000" i="8"/>
  <c r="M996" i="8"/>
  <c r="J985" i="8"/>
  <c r="K981" i="8"/>
  <c r="L977" i="8"/>
  <c r="J966" i="8"/>
  <c r="L962" i="8"/>
  <c r="J951" i="8"/>
  <c r="L947" i="8"/>
  <c r="L937" i="8"/>
  <c r="J932" i="8"/>
  <c r="K927" i="8"/>
  <c r="M922" i="8"/>
  <c r="J916" i="8"/>
  <c r="K911" i="8"/>
  <c r="M906" i="8"/>
  <c r="M1422" i="8"/>
  <c r="K1361" i="8"/>
  <c r="K1304" i="8"/>
  <c r="J1277" i="8"/>
  <c r="J1241" i="8"/>
  <c r="J1217" i="8"/>
  <c r="J1201" i="8"/>
  <c r="J1185" i="8"/>
  <c r="J1167" i="8"/>
  <c r="L1154" i="8"/>
  <c r="M1143" i="8"/>
  <c r="M1139" i="8"/>
  <c r="M1135" i="8"/>
  <c r="M1131" i="8"/>
  <c r="M1127" i="8"/>
  <c r="M1123" i="8"/>
  <c r="M1119" i="8"/>
  <c r="M1115" i="8"/>
  <c r="M1111" i="8"/>
  <c r="M1107" i="8"/>
  <c r="M1103" i="8"/>
  <c r="M1099" i="8"/>
  <c r="M1095" i="8"/>
  <c r="M1091" i="8"/>
  <c r="M1087" i="8"/>
  <c r="M1083" i="8"/>
  <c r="M1079" i="8"/>
  <c r="M1075" i="8"/>
  <c r="M1071" i="8"/>
  <c r="M1067" i="8"/>
  <c r="M1063" i="8"/>
  <c r="M1059" i="8"/>
  <c r="M1055" i="8"/>
  <c r="M1051" i="8"/>
  <c r="M1047" i="8"/>
  <c r="M1043" i="8"/>
  <c r="M1039" i="8"/>
  <c r="M1035" i="8"/>
  <c r="M1031" i="8"/>
  <c r="M1027" i="8"/>
  <c r="M1023" i="8"/>
  <c r="M1019" i="8"/>
  <c r="M1015" i="8"/>
  <c r="M1011" i="8"/>
  <c r="M1007" i="8"/>
  <c r="M1003" i="8"/>
  <c r="J991" i="8"/>
  <c r="L987" i="8"/>
  <c r="L976" i="8"/>
  <c r="M972" i="8"/>
  <c r="J961" i="8"/>
  <c r="K957" i="8"/>
  <c r="L953" i="8"/>
  <c r="J942" i="8"/>
  <c r="M938" i="8"/>
  <c r="J930" i="8"/>
  <c r="K925" i="8"/>
  <c r="M920" i="8"/>
  <c r="J914" i="8"/>
  <c r="K909" i="8"/>
  <c r="M904" i="8"/>
  <c r="J898" i="8"/>
  <c r="L893" i="8"/>
  <c r="J1491" i="8"/>
  <c r="M1363" i="8"/>
  <c r="M1271" i="8"/>
  <c r="K1222" i="8"/>
  <c r="L1178" i="8"/>
  <c r="M1153" i="8"/>
  <c r="K1132" i="8"/>
  <c r="K1116" i="8"/>
  <c r="K1100" i="8"/>
  <c r="K1084" i="8"/>
  <c r="K1068" i="8"/>
  <c r="K1052" i="8"/>
  <c r="K1036" i="8"/>
  <c r="K1020" i="8"/>
  <c r="K1004" i="8"/>
  <c r="J986" i="8"/>
  <c r="L973" i="8"/>
  <c r="L959" i="8"/>
  <c r="K945" i="8"/>
  <c r="J935" i="8"/>
  <c r="L921" i="8"/>
  <c r="L912" i="8"/>
  <c r="M903" i="8"/>
  <c r="J892" i="8"/>
  <c r="M888" i="8"/>
  <c r="J882" i="8"/>
  <c r="L877" i="8"/>
  <c r="M872" i="8"/>
  <c r="J866" i="8"/>
  <c r="L861" i="8"/>
  <c r="M856" i="8"/>
  <c r="J850" i="8"/>
  <c r="L845" i="8"/>
  <c r="M840" i="8"/>
  <c r="J834" i="8"/>
  <c r="L829" i="8"/>
  <c r="J823" i="8"/>
  <c r="K818" i="8"/>
  <c r="M813" i="8"/>
  <c r="J807" i="8"/>
  <c r="K802" i="8"/>
  <c r="M797" i="8"/>
  <c r="M792" i="8"/>
  <c r="J786" i="8"/>
  <c r="L781" i="8"/>
  <c r="M776" i="8"/>
  <c r="J770" i="8"/>
  <c r="M765" i="8"/>
  <c r="J759" i="8"/>
  <c r="K754" i="8"/>
  <c r="M749" i="8"/>
  <c r="J743" i="8"/>
  <c r="K738" i="8"/>
  <c r="M733" i="8"/>
  <c r="J727" i="8"/>
  <c r="K722" i="8"/>
  <c r="M717" i="8"/>
  <c r="J711" i="8"/>
  <c r="K706" i="8"/>
  <c r="K700" i="8"/>
  <c r="K695" i="8"/>
  <c r="J689" i="8"/>
  <c r="L684" i="8"/>
  <c r="L679" i="8"/>
  <c r="L1489" i="8"/>
  <c r="K1416" i="8"/>
  <c r="J1303" i="8"/>
  <c r="M1212" i="8"/>
  <c r="K1334" i="8"/>
  <c r="L1243" i="8"/>
  <c r="M1359" i="8"/>
  <c r="K1252" i="8"/>
  <c r="M1186" i="8"/>
  <c r="L1144" i="8"/>
  <c r="L1116" i="8"/>
  <c r="L1100" i="8"/>
  <c r="L1084" i="8"/>
  <c r="L1068" i="8"/>
  <c r="L1052" i="8"/>
  <c r="L1036" i="8"/>
  <c r="L1020" i="8"/>
  <c r="L1004" i="8"/>
  <c r="K988" i="8"/>
  <c r="K972" i="8"/>
  <c r="K956" i="8"/>
  <c r="K940" i="8"/>
  <c r="J1389" i="8"/>
  <c r="L1318" i="8"/>
  <c r="K1272" i="8"/>
  <c r="J1231" i="8"/>
  <c r="K1196" i="8"/>
  <c r="K1173" i="8"/>
  <c r="M1152" i="8"/>
  <c r="J1134" i="8"/>
  <c r="J1118" i="8"/>
  <c r="J1102" i="8"/>
  <c r="J1086" i="8"/>
  <c r="J1070" i="8"/>
  <c r="J1054" i="8"/>
  <c r="J1038" i="8"/>
  <c r="J1022" i="8"/>
  <c r="J1006" i="8"/>
  <c r="K1315" i="8"/>
  <c r="M1227" i="8"/>
  <c r="M1167" i="8"/>
  <c r="K991" i="8"/>
  <c r="M970" i="8"/>
  <c r="J948" i="8"/>
  <c r="K930" i="8"/>
  <c r="K914" i="8"/>
  <c r="J899" i="8"/>
  <c r="J883" i="8"/>
  <c r="J867" i="8"/>
  <c r="J851" i="8"/>
  <c r="J835" i="8"/>
  <c r="J827" i="8"/>
  <c r="K819" i="8"/>
  <c r="K811" i="8"/>
  <c r="K803" i="8"/>
  <c r="K795" i="8"/>
  <c r="J787" i="8"/>
  <c r="J779" i="8"/>
  <c r="J771" i="8"/>
  <c r="K763" i="8"/>
  <c r="K755" i="8"/>
  <c r="K747" i="8"/>
  <c r="K739" i="8"/>
  <c r="K731" i="8"/>
  <c r="K723" i="8"/>
  <c r="K715" i="8"/>
  <c r="K707" i="8"/>
  <c r="L699" i="8"/>
  <c r="M691" i="8"/>
  <c r="M683" i="8"/>
  <c r="M675" i="8"/>
  <c r="L668" i="8"/>
  <c r="M660" i="8"/>
  <c r="M652" i="8"/>
  <c r="M644" i="8"/>
  <c r="M636" i="8"/>
  <c r="M628" i="8"/>
  <c r="M622" i="8"/>
  <c r="M618" i="8"/>
  <c r="M614" i="8"/>
  <c r="M610" i="8"/>
  <c r="M606" i="8"/>
  <c r="M602" i="8"/>
  <c r="M598" i="8"/>
  <c r="M594" i="8"/>
  <c r="M590" i="8"/>
  <c r="M586" i="8"/>
  <c r="M582" i="8"/>
  <c r="M578" i="8"/>
  <c r="M574" i="8"/>
  <c r="M570" i="8"/>
  <c r="M566" i="8"/>
  <c r="M562" i="8"/>
  <c r="M558" i="8"/>
  <c r="M554" i="8"/>
  <c r="M550" i="8"/>
  <c r="M546" i="8"/>
  <c r="M542" i="8"/>
  <c r="M538" i="8"/>
  <c r="M534" i="8"/>
  <c r="M530" i="8"/>
  <c r="M1410" i="8"/>
  <c r="K1342" i="8"/>
  <c r="J1319" i="8"/>
  <c r="M1286" i="8"/>
  <c r="J1253" i="8"/>
  <c r="K1226" i="8"/>
  <c r="M1206" i="8"/>
  <c r="K1192" i="8"/>
  <c r="M1171" i="8"/>
  <c r="L1160" i="8"/>
  <c r="J1147" i="8"/>
  <c r="K999" i="8"/>
  <c r="L995" i="8"/>
  <c r="L984" i="8"/>
  <c r="M980" i="8"/>
  <c r="J969" i="8"/>
  <c r="K965" i="8"/>
  <c r="L961" i="8"/>
  <c r="J950" i="8"/>
  <c r="L946" i="8"/>
  <c r="J936" i="8"/>
  <c r="K931" i="8"/>
  <c r="M926" i="8"/>
  <c r="J920" i="8"/>
  <c r="K915" i="8"/>
  <c r="M910" i="8"/>
  <c r="J1475" i="8"/>
  <c r="J1391" i="8"/>
  <c r="M1323" i="8"/>
  <c r="K1301" i="8"/>
  <c r="M1263" i="8"/>
  <c r="K1238" i="8"/>
  <c r="M1214" i="8"/>
  <c r="M1190" i="8"/>
  <c r="M1177" i="8"/>
  <c r="L1164" i="8"/>
  <c r="J1153" i="8"/>
  <c r="M1142" i="8"/>
  <c r="M1138" i="8"/>
  <c r="M1134" i="8"/>
  <c r="M1130" i="8"/>
  <c r="M1126" i="8"/>
  <c r="M1122" i="8"/>
  <c r="M1118" i="8"/>
  <c r="M1114" i="8"/>
  <c r="M1110" i="8"/>
  <c r="M1106" i="8"/>
  <c r="M1102" i="8"/>
  <c r="M1098" i="8"/>
  <c r="M1094" i="8"/>
  <c r="M1090" i="8"/>
  <c r="M1086" i="8"/>
  <c r="M1082" i="8"/>
  <c r="M1078" i="8"/>
  <c r="M1074" i="8"/>
  <c r="M1070" i="8"/>
  <c r="M1066" i="8"/>
  <c r="M1062" i="8"/>
  <c r="M1058" i="8"/>
  <c r="M1054" i="8"/>
  <c r="M1050" i="8"/>
  <c r="M1046" i="8"/>
  <c r="M1042" i="8"/>
  <c r="M1038" i="8"/>
  <c r="M1034" i="8"/>
  <c r="M1030" i="8"/>
  <c r="M1026" i="8"/>
  <c r="M1022" i="8"/>
  <c r="M1018" i="8"/>
  <c r="M1014" i="8"/>
  <c r="M1010" i="8"/>
  <c r="M1006" i="8"/>
  <c r="M1002" i="8"/>
  <c r="J990" i="8"/>
  <c r="L986" i="8"/>
  <c r="J975" i="8"/>
  <c r="L971" i="8"/>
  <c r="L960" i="8"/>
  <c r="M956" i="8"/>
  <c r="J945" i="8"/>
  <c r="K941" i="8"/>
  <c r="J934" i="8"/>
  <c r="K929" i="8"/>
  <c r="M924" i="8"/>
  <c r="J918" i="8"/>
  <c r="K913" i="8"/>
  <c r="M908" i="8"/>
  <c r="J902" i="8"/>
  <c r="L897" i="8"/>
  <c r="M892" i="8"/>
  <c r="L1458" i="8"/>
  <c r="J1317" i="8"/>
  <c r="K1266" i="8"/>
  <c r="M1197" i="8"/>
  <c r="J1175" i="8"/>
  <c r="K1144" i="8"/>
  <c r="K1128" i="8"/>
  <c r="K1112" i="8"/>
  <c r="K1096" i="8"/>
  <c r="K1080" i="8"/>
  <c r="K1064" i="8"/>
  <c r="K1048" i="8"/>
  <c r="K1032" i="8"/>
  <c r="K1016" i="8"/>
  <c r="M1000" i="8"/>
  <c r="L982" i="8"/>
  <c r="L972" i="8"/>
  <c r="J954" i="8"/>
  <c r="L941" i="8"/>
  <c r="L929" i="8"/>
  <c r="L920" i="8"/>
  <c r="J911" i="8"/>
  <c r="K895" i="8"/>
  <c r="L891" i="8"/>
  <c r="J886" i="8"/>
  <c r="L881" i="8"/>
  <c r="M876" i="8"/>
  <c r="J870" i="8"/>
  <c r="L865" i="8"/>
  <c r="M860" i="8"/>
  <c r="J854" i="8"/>
  <c r="L849" i="8"/>
  <c r="M844" i="8"/>
  <c r="J838" i="8"/>
  <c r="L833" i="8"/>
  <c r="M828" i="8"/>
  <c r="K822" i="8"/>
  <c r="M817" i="8"/>
  <c r="J811" i="8"/>
  <c r="K806" i="8"/>
  <c r="M801" i="8"/>
  <c r="J795" i="8"/>
  <c r="J790" i="8"/>
  <c r="L785" i="8"/>
  <c r="M780" i="8"/>
  <c r="J774" i="8"/>
  <c r="L769" i="8"/>
  <c r="J763" i="8"/>
  <c r="K758" i="8"/>
  <c r="M753" i="8"/>
  <c r="J747" i="8"/>
  <c r="K742" i="8"/>
  <c r="M737" i="8"/>
  <c r="J731" i="8"/>
  <c r="K726" i="8"/>
  <c r="M721" i="8"/>
  <c r="J715" i="8"/>
  <c r="K710" i="8"/>
  <c r="M705" i="8"/>
  <c r="K699" i="8"/>
  <c r="M694" i="8"/>
  <c r="L688" i="8"/>
  <c r="L683" i="8"/>
  <c r="J677" i="8"/>
  <c r="M1266" i="8"/>
  <c r="L1384" i="8"/>
  <c r="L1276" i="8"/>
  <c r="K1190" i="8"/>
  <c r="L1308" i="8"/>
  <c r="J1228" i="8"/>
  <c r="K1321" i="8"/>
  <c r="M1229" i="8"/>
  <c r="K1175" i="8"/>
  <c r="L1136" i="8"/>
  <c r="L1112" i="8"/>
  <c r="L1096" i="8"/>
  <c r="L1080" i="8"/>
  <c r="L1064" i="8"/>
  <c r="L1048" i="8"/>
  <c r="L1032" i="8"/>
  <c r="L1016" i="8"/>
  <c r="L1000" i="8"/>
  <c r="K984" i="8"/>
  <c r="K968" i="8"/>
  <c r="K952" i="8"/>
  <c r="L936" i="8"/>
  <c r="M1367" i="8"/>
  <c r="K1303" i="8"/>
  <c r="J1263" i="8"/>
  <c r="J1215" i="8"/>
  <c r="L1192" i="8"/>
  <c r="M1168" i="8"/>
  <c r="K1146" i="8"/>
  <c r="J1130" i="8"/>
  <c r="J1114" i="8"/>
  <c r="J1098" i="8"/>
  <c r="J1082" i="8"/>
  <c r="J1066" i="8"/>
  <c r="J1050" i="8"/>
  <c r="J1034" i="8"/>
  <c r="J1018" i="8"/>
  <c r="J1483" i="8"/>
  <c r="K1284" i="8"/>
  <c r="K1207" i="8"/>
  <c r="L1158" i="8"/>
  <c r="M986" i="8"/>
  <c r="J964" i="8"/>
  <c r="K943" i="8"/>
  <c r="K926" i="8"/>
  <c r="K910" i="8"/>
  <c r="J895" i="8"/>
  <c r="J879" i="8"/>
  <c r="J863" i="8"/>
  <c r="J847" i="8"/>
  <c r="L834" i="8"/>
  <c r="M826" i="8"/>
  <c r="M818" i="8"/>
  <c r="M810" i="8"/>
  <c r="M802" i="8"/>
  <c r="M794" i="8"/>
  <c r="L786" i="8"/>
  <c r="L778" i="8"/>
  <c r="L770" i="8"/>
  <c r="M762" i="8"/>
  <c r="M754" i="8"/>
  <c r="M746" i="8"/>
  <c r="M738" i="8"/>
  <c r="M730" i="8"/>
  <c r="M722" i="8"/>
  <c r="M714" i="8"/>
  <c r="M706" i="8"/>
  <c r="J698" i="8"/>
  <c r="K690" i="8"/>
  <c r="K682" i="8"/>
  <c r="K674" i="8"/>
  <c r="J667" i="8"/>
  <c r="K659" i="8"/>
  <c r="K651" i="8"/>
  <c r="K643" i="8"/>
  <c r="K635" i="8"/>
  <c r="K627" i="8"/>
  <c r="K621" i="8"/>
  <c r="K617" i="8"/>
  <c r="K613" i="8"/>
  <c r="K609" i="8"/>
  <c r="K605" i="8"/>
  <c r="K601" i="8"/>
  <c r="K597" i="8"/>
  <c r="K593" i="8"/>
  <c r="K589" i="8"/>
  <c r="K585" i="8"/>
  <c r="K581" i="8"/>
  <c r="K577" i="8"/>
  <c r="K573" i="8"/>
  <c r="K569" i="8"/>
  <c r="K565" i="8"/>
  <c r="K561" i="8"/>
  <c r="K557" i="8"/>
  <c r="K553" i="8"/>
  <c r="K549" i="8"/>
  <c r="K545" i="8"/>
  <c r="K541" i="8"/>
  <c r="K537" i="8"/>
  <c r="K533" i="8"/>
  <c r="M1497" i="8"/>
  <c r="J1403" i="8"/>
  <c r="M1337" i="8"/>
  <c r="M1306" i="8"/>
  <c r="J1273" i="8"/>
  <c r="K1250" i="8"/>
  <c r="M1223" i="8"/>
  <c r="K1199" i="8"/>
  <c r="J1183" i="8"/>
  <c r="L1170" i="8"/>
  <c r="M1157" i="8"/>
  <c r="J1002" i="8"/>
  <c r="J998" i="8"/>
  <c r="L994" i="8"/>
  <c r="J983" i="8"/>
  <c r="L979" i="8"/>
  <c r="L968" i="8"/>
  <c r="M964" i="8"/>
  <c r="J953" i="8"/>
  <c r="K949" i="8"/>
  <c r="L945" i="8"/>
  <c r="K935" i="8"/>
  <c r="M930" i="8"/>
  <c r="J924" i="8"/>
  <c r="K919" i="8"/>
  <c r="M914" i="8"/>
  <c r="J908" i="8"/>
  <c r="L1462" i="8"/>
  <c r="M1371" i="8"/>
  <c r="M1313" i="8"/>
  <c r="K1296" i="8"/>
  <c r="K1258" i="8"/>
  <c r="M1235" i="8"/>
  <c r="M1211" i="8"/>
  <c r="M1187" i="8"/>
  <c r="L1176" i="8"/>
  <c r="J1163" i="8"/>
  <c r="M1145" i="8"/>
  <c r="M1141" i="8"/>
  <c r="M1137" i="8"/>
  <c r="M1133" i="8"/>
  <c r="M1129" i="8"/>
  <c r="M1125" i="8"/>
  <c r="M1121" i="8"/>
  <c r="M1117" i="8"/>
  <c r="M1113" i="8"/>
  <c r="M1109" i="8"/>
  <c r="M1105" i="8"/>
  <c r="M1101" i="8"/>
  <c r="M1097" i="8"/>
  <c r="M1093" i="8"/>
  <c r="M1089" i="8"/>
  <c r="M1085" i="8"/>
  <c r="M1081" i="8"/>
  <c r="M1077" i="8"/>
  <c r="M1073" i="8"/>
  <c r="M1069" i="8"/>
  <c r="M1065" i="8"/>
  <c r="M1061" i="8"/>
  <c r="M1057" i="8"/>
  <c r="M1053" i="8"/>
  <c r="M1049" i="8"/>
  <c r="M1045" i="8"/>
  <c r="M1041" i="8"/>
  <c r="M1037" i="8"/>
  <c r="M1033" i="8"/>
  <c r="M1029" i="8"/>
  <c r="M1025" i="8"/>
  <c r="M1021" i="8"/>
  <c r="K1498" i="8"/>
  <c r="M1287" i="8"/>
  <c r="K1164" i="8"/>
  <c r="L1076" i="8"/>
  <c r="L1012" i="8"/>
  <c r="K948" i="8"/>
  <c r="M1249" i="8"/>
  <c r="J1142" i="8"/>
  <c r="J1078" i="8"/>
  <c r="J1014" i="8"/>
  <c r="J1149" i="8"/>
  <c r="K922" i="8"/>
  <c r="J859" i="8"/>
  <c r="K815" i="8"/>
  <c r="J783" i="8"/>
  <c r="K751" i="8"/>
  <c r="K719" i="8"/>
  <c r="M687" i="8"/>
  <c r="M656" i="8"/>
  <c r="M624" i="8"/>
  <c r="M608" i="8"/>
  <c r="M592" i="8"/>
  <c r="M576" i="8"/>
  <c r="M560" i="8"/>
  <c r="M544" i="8"/>
  <c r="L1454" i="8"/>
  <c r="K1270" i="8"/>
  <c r="L1180" i="8"/>
  <c r="K997" i="8"/>
  <c r="J967" i="8"/>
  <c r="J938" i="8"/>
  <c r="M918" i="8"/>
  <c r="K1366" i="8"/>
  <c r="J1221" i="8"/>
  <c r="M1155" i="8"/>
  <c r="M1132" i="8"/>
  <c r="M1116" i="8"/>
  <c r="M1100" i="8"/>
  <c r="M1084" i="8"/>
  <c r="M1068" i="8"/>
  <c r="M1052" i="8"/>
  <c r="M1036" i="8"/>
  <c r="M1020" i="8"/>
  <c r="M1012" i="8"/>
  <c r="M1004" i="8"/>
  <c r="M988" i="8"/>
  <c r="K973" i="8"/>
  <c r="J958" i="8"/>
  <c r="J943" i="8"/>
  <c r="M932" i="8"/>
  <c r="K921" i="8"/>
  <c r="J910" i="8"/>
  <c r="M900" i="8"/>
  <c r="L889" i="8"/>
  <c r="K1280" i="8"/>
  <c r="M1181" i="8"/>
  <c r="K1136" i="8"/>
  <c r="K1104" i="8"/>
  <c r="K1072" i="8"/>
  <c r="K1040" i="8"/>
  <c r="K1008" i="8"/>
  <c r="K977" i="8"/>
  <c r="J949" i="8"/>
  <c r="J927" i="8"/>
  <c r="L904" i="8"/>
  <c r="M889" i="8"/>
  <c r="J878" i="8"/>
  <c r="M868" i="8"/>
  <c r="L857" i="8"/>
  <c r="J846" i="8"/>
  <c r="M836" i="8"/>
  <c r="M825" i="8"/>
  <c r="K814" i="8"/>
  <c r="J803" i="8"/>
  <c r="L793" i="8"/>
  <c r="J782" i="8"/>
  <c r="M772" i="8"/>
  <c r="M761" i="8"/>
  <c r="K750" i="8"/>
  <c r="J739" i="8"/>
  <c r="M729" i="8"/>
  <c r="K718" i="8"/>
  <c r="J707" i="8"/>
  <c r="K696" i="8"/>
  <c r="J685" i="8"/>
  <c r="L675" i="8"/>
  <c r="K669" i="8"/>
  <c r="K664" i="8"/>
  <c r="L660" i="8"/>
  <c r="J654" i="8"/>
  <c r="L649" i="8"/>
  <c r="L644" i="8"/>
  <c r="J638" i="8"/>
  <c r="L633" i="8"/>
  <c r="L628" i="8"/>
  <c r="J622" i="8"/>
  <c r="L617" i="8"/>
  <c r="L612" i="8"/>
  <c r="J606" i="8"/>
  <c r="L601" i="8"/>
  <c r="L596" i="8"/>
  <c r="J590" i="8"/>
  <c r="L585" i="8"/>
  <c r="L580" i="8"/>
  <c r="J574" i="8"/>
  <c r="L569" i="8"/>
  <c r="L564" i="8"/>
  <c r="J558" i="8"/>
  <c r="L553" i="8"/>
  <c r="L548" i="8"/>
  <c r="J542" i="8"/>
  <c r="L537" i="8"/>
  <c r="L532" i="8"/>
  <c r="L527" i="8"/>
  <c r="L523" i="8"/>
  <c r="L519" i="8"/>
  <c r="L515" i="8"/>
  <c r="M511" i="8"/>
  <c r="J507" i="8"/>
  <c r="J503" i="8"/>
  <c r="J499" i="8"/>
  <c r="J495" i="8"/>
  <c r="J491" i="8"/>
  <c r="J487" i="8"/>
  <c r="J483" i="8"/>
  <c r="J479" i="8"/>
  <c r="J475" i="8"/>
  <c r="J471" i="8"/>
  <c r="J467" i="8"/>
  <c r="J463" i="8"/>
  <c r="J459" i="8"/>
  <c r="J455" i="8"/>
  <c r="J451" i="8"/>
  <c r="J447" i="8"/>
  <c r="J443" i="8"/>
  <c r="J439" i="8"/>
  <c r="J435" i="8"/>
  <c r="J431" i="8"/>
  <c r="J427" i="8"/>
  <c r="J423" i="8"/>
  <c r="J419" i="8"/>
  <c r="J415" i="8"/>
  <c r="J411" i="8"/>
  <c r="J407" i="8"/>
  <c r="J403" i="8"/>
  <c r="K399" i="8"/>
  <c r="K395" i="8"/>
  <c r="K391" i="8"/>
  <c r="K387" i="8"/>
  <c r="K383" i="8"/>
  <c r="J380" i="8"/>
  <c r="J376" i="8"/>
  <c r="J372" i="8"/>
  <c r="J368" i="8"/>
  <c r="J364" i="8"/>
  <c r="J360" i="8"/>
  <c r="J356" i="8"/>
  <c r="J352" i="8"/>
  <c r="J348" i="8"/>
  <c r="J344" i="8"/>
  <c r="J340" i="8"/>
  <c r="J336" i="8"/>
  <c r="J332" i="8"/>
  <c r="J328" i="8"/>
  <c r="J324" i="8"/>
  <c r="J320" i="8"/>
  <c r="J316" i="8"/>
  <c r="J312" i="8"/>
  <c r="J308" i="8"/>
  <c r="J304" i="8"/>
  <c r="J300" i="8"/>
  <c r="J296" i="8"/>
  <c r="J292" i="8"/>
  <c r="J288" i="8"/>
  <c r="J284" i="8"/>
  <c r="J280" i="8"/>
  <c r="K276" i="8"/>
  <c r="K272" i="8"/>
  <c r="K268" i="8"/>
  <c r="L264" i="8"/>
  <c r="L260" i="8"/>
  <c r="L256" i="8"/>
  <c r="L252" i="8"/>
  <c r="L248" i="8"/>
  <c r="L244" i="8"/>
  <c r="L240" i="8"/>
  <c r="L236" i="8"/>
  <c r="L232" i="8"/>
  <c r="L228" i="8"/>
  <c r="L224" i="8"/>
  <c r="L220" i="8"/>
  <c r="L216" i="8"/>
  <c r="L212" i="8"/>
  <c r="L208" i="8"/>
  <c r="L204" i="8"/>
  <c r="L200" i="8"/>
  <c r="L196" i="8"/>
  <c r="L192" i="8"/>
  <c r="L188" i="8"/>
  <c r="L184" i="8"/>
  <c r="L180" i="8"/>
  <c r="L176" i="8"/>
  <c r="L172" i="8"/>
  <c r="M168" i="8"/>
  <c r="M164" i="8"/>
  <c r="M160" i="8"/>
  <c r="M156" i="8"/>
  <c r="J152" i="8"/>
  <c r="J148" i="8"/>
  <c r="J144" i="8"/>
  <c r="J140" i="8"/>
  <c r="J136" i="8"/>
  <c r="L133" i="8"/>
  <c r="L129" i="8"/>
  <c r="L125" i="8"/>
  <c r="L121" i="8"/>
  <c r="L117" i="8"/>
  <c r="M113" i="8"/>
  <c r="M109" i="8"/>
  <c r="M105" i="8"/>
  <c r="M101" i="8"/>
  <c r="M97" i="8"/>
  <c r="M93" i="8"/>
  <c r="L89" i="8"/>
  <c r="L85" i="8"/>
  <c r="M81" i="8"/>
  <c r="M77" i="8"/>
  <c r="M73" i="8"/>
  <c r="M69" i="8"/>
  <c r="M65" i="8"/>
  <c r="M61" i="8"/>
  <c r="M57" i="8"/>
  <c r="M53" i="8"/>
  <c r="M49" i="8"/>
  <c r="M45" i="8"/>
  <c r="M41" i="8"/>
  <c r="M37" i="8"/>
  <c r="M33" i="8"/>
  <c r="M29" i="8"/>
  <c r="M25" i="8"/>
  <c r="M21" i="8"/>
  <c r="M17" i="8"/>
  <c r="J13" i="8"/>
  <c r="J9" i="8"/>
  <c r="J5" i="8"/>
  <c r="C20" i="4"/>
  <c r="L1345" i="8"/>
  <c r="J1479" i="8"/>
  <c r="L1128" i="8"/>
  <c r="L1060" i="8"/>
  <c r="K996" i="8"/>
  <c r="L1456" i="8"/>
  <c r="K1211" i="8"/>
  <c r="J1126" i="8"/>
  <c r="J1062" i="8"/>
  <c r="J1395" i="8"/>
  <c r="J980" i="8"/>
  <c r="K906" i="8"/>
  <c r="J843" i="8"/>
  <c r="K807" i="8"/>
  <c r="J775" i="8"/>
  <c r="K743" i="8"/>
  <c r="K711" i="8"/>
  <c r="M679" i="8"/>
  <c r="M648" i="8"/>
  <c r="M620" i="8"/>
  <c r="M604" i="8"/>
  <c r="M588" i="8"/>
  <c r="M572" i="8"/>
  <c r="M556" i="8"/>
  <c r="M540" i="8"/>
  <c r="J1383" i="8"/>
  <c r="J1245" i="8"/>
  <c r="J1169" i="8"/>
  <c r="L993" i="8"/>
  <c r="L963" i="8"/>
  <c r="M934" i="8"/>
  <c r="J912" i="8"/>
  <c r="L1310" i="8"/>
  <c r="L1204" i="8"/>
  <c r="M1144" i="8"/>
  <c r="M1128" i="8"/>
  <c r="M1112" i="8"/>
  <c r="M1096" i="8"/>
  <c r="M1080" i="8"/>
  <c r="M1064" i="8"/>
  <c r="M1048" i="8"/>
  <c r="M1032" i="8"/>
  <c r="M1017" i="8"/>
  <c r="M1009" i="8"/>
  <c r="J993" i="8"/>
  <c r="L985" i="8"/>
  <c r="L970" i="8"/>
  <c r="L955" i="8"/>
  <c r="M940" i="8"/>
  <c r="M928" i="8"/>
  <c r="K917" i="8"/>
  <c r="J906" i="8"/>
  <c r="M896" i="8"/>
  <c r="M1414" i="8"/>
  <c r="J1257" i="8"/>
  <c r="J1161" i="8"/>
  <c r="K1124" i="8"/>
  <c r="K1092" i="8"/>
  <c r="K1060" i="8"/>
  <c r="K1028" i="8"/>
  <c r="J995" i="8"/>
  <c r="M968" i="8"/>
  <c r="L940" i="8"/>
  <c r="J919" i="8"/>
  <c r="K894" i="8"/>
  <c r="L885" i="8"/>
  <c r="J874" i="8"/>
  <c r="M864" i="8"/>
  <c r="L853" i="8"/>
  <c r="J842" i="8"/>
  <c r="M832" i="8"/>
  <c r="M821" i="8"/>
  <c r="K810" i="8"/>
  <c r="J799" i="8"/>
  <c r="L789" i="8"/>
  <c r="J778" i="8"/>
  <c r="M768" i="8"/>
  <c r="M757" i="8"/>
  <c r="K746" i="8"/>
  <c r="J735" i="8"/>
  <c r="M725" i="8"/>
  <c r="K714" i="8"/>
  <c r="K703" i="8"/>
  <c r="L692" i="8"/>
  <c r="J681" i="8"/>
  <c r="J673" i="8"/>
  <c r="K668" i="8"/>
  <c r="M663" i="8"/>
  <c r="J658" i="8"/>
  <c r="L653" i="8"/>
  <c r="L648" i="8"/>
  <c r="J642" i="8"/>
  <c r="L637" i="8"/>
  <c r="L632" i="8"/>
  <c r="J626" i="8"/>
  <c r="L621" i="8"/>
  <c r="L616" i="8"/>
  <c r="J610" i="8"/>
  <c r="L605" i="8"/>
  <c r="L600" i="8"/>
  <c r="J594" i="8"/>
  <c r="L589" i="8"/>
  <c r="L584" i="8"/>
  <c r="J578" i="8"/>
  <c r="L573" i="8"/>
  <c r="L568" i="8"/>
  <c r="J562" i="8"/>
  <c r="L557" i="8"/>
  <c r="L552" i="8"/>
  <c r="J546" i="8"/>
  <c r="L541" i="8"/>
  <c r="L536" i="8"/>
  <c r="J530" i="8"/>
  <c r="J526" i="8"/>
  <c r="J522" i="8"/>
  <c r="J518" i="8"/>
  <c r="K514" i="8"/>
  <c r="L510" i="8"/>
  <c r="L506" i="8"/>
  <c r="L502" i="8"/>
  <c r="L498" i="8"/>
  <c r="L494" i="8"/>
  <c r="L490" i="8"/>
  <c r="L486" i="8"/>
  <c r="L482" i="8"/>
  <c r="L478" i="8"/>
  <c r="L474" i="8"/>
  <c r="L470" i="8"/>
  <c r="L466" i="8"/>
  <c r="L462" i="8"/>
  <c r="L458" i="8"/>
  <c r="L454" i="8"/>
  <c r="L450" i="8"/>
  <c r="L446" i="8"/>
  <c r="L442" i="8"/>
  <c r="L438" i="8"/>
  <c r="L434" i="8"/>
  <c r="L430" i="8"/>
  <c r="L426" i="8"/>
  <c r="L422" i="8"/>
  <c r="L418" i="8"/>
  <c r="L414" i="8"/>
  <c r="L410" i="8"/>
  <c r="L406" i="8"/>
  <c r="L402" i="8"/>
  <c r="M398" i="8"/>
  <c r="M394" i="8"/>
  <c r="M390" i="8"/>
  <c r="M386" i="8"/>
  <c r="N382" i="8"/>
  <c r="L379" i="8"/>
  <c r="L375" i="8"/>
  <c r="L371" i="8"/>
  <c r="L367" i="8"/>
  <c r="L363" i="8"/>
  <c r="L359" i="8"/>
  <c r="L355" i="8"/>
  <c r="L351" i="8"/>
  <c r="L347" i="8"/>
  <c r="L343" i="8"/>
  <c r="L339" i="8"/>
  <c r="L335" i="8"/>
  <c r="L331" i="8"/>
  <c r="L327" i="8"/>
  <c r="L323" i="8"/>
  <c r="L319" i="8"/>
  <c r="L315" i="8"/>
  <c r="L311" i="8"/>
  <c r="L307" i="8"/>
  <c r="L303" i="8"/>
  <c r="L299" i="8"/>
  <c r="L295" i="8"/>
  <c r="L291" i="8"/>
  <c r="L287" i="8"/>
  <c r="L283" i="8"/>
  <c r="L279" i="8"/>
  <c r="M275" i="8"/>
  <c r="M271" i="8"/>
  <c r="M267" i="8"/>
  <c r="J263" i="8"/>
  <c r="J259" i="8"/>
  <c r="J255" i="8"/>
  <c r="J251" i="8"/>
  <c r="J247" i="8"/>
  <c r="J243" i="8"/>
  <c r="J239" i="8"/>
  <c r="J235" i="8"/>
  <c r="J231" i="8"/>
  <c r="J227" i="8"/>
  <c r="J223" i="8"/>
  <c r="J219" i="8"/>
  <c r="J215" i="8"/>
  <c r="J211" i="8"/>
  <c r="J207" i="8"/>
  <c r="J203" i="8"/>
  <c r="J199" i="8"/>
  <c r="J195" i="8"/>
  <c r="J191" i="8"/>
  <c r="J187" i="8"/>
  <c r="J183" i="8"/>
  <c r="J179" i="8"/>
  <c r="J175" i="8"/>
  <c r="J171" i="8"/>
  <c r="K167" i="8"/>
  <c r="K163" i="8"/>
  <c r="K159" i="8"/>
  <c r="L155" i="8"/>
  <c r="L151" i="8"/>
  <c r="L147" i="8"/>
  <c r="L143" i="8"/>
  <c r="L139" i="8"/>
  <c r="P135" i="8"/>
  <c r="J132" i="8"/>
  <c r="J128" i="8"/>
  <c r="J124" i="8"/>
  <c r="J120" i="8"/>
  <c r="K116" i="8"/>
  <c r="K112" i="8"/>
  <c r="K108" i="8"/>
  <c r="K104" i="8"/>
  <c r="K100" i="8"/>
  <c r="K96" i="8"/>
  <c r="K92" i="8"/>
  <c r="J88" i="8"/>
  <c r="J84" i="8"/>
  <c r="K80" i="8"/>
  <c r="K76" i="8"/>
  <c r="K72" i="8"/>
  <c r="K68" i="8"/>
  <c r="K64" i="8"/>
  <c r="K60" i="8"/>
  <c r="K56" i="8"/>
  <c r="K52" i="8"/>
  <c r="K48" i="8"/>
  <c r="K44" i="8"/>
  <c r="K40" i="8"/>
  <c r="K36" i="8"/>
  <c r="K32" i="8"/>
  <c r="K28" i="8"/>
  <c r="K24" i="8"/>
  <c r="K20" i="8"/>
  <c r="K16" i="8"/>
  <c r="L12" i="8"/>
  <c r="L8" i="8"/>
  <c r="L4" i="8"/>
  <c r="C16" i="4"/>
  <c r="J1254" i="8"/>
  <c r="K1298" i="8"/>
  <c r="L1108" i="8"/>
  <c r="L1044" i="8"/>
  <c r="K980" i="8"/>
  <c r="K1341" i="8"/>
  <c r="M1184" i="8"/>
  <c r="J1110" i="8"/>
  <c r="J1046" i="8"/>
  <c r="J1265" i="8"/>
  <c r="K959" i="8"/>
  <c r="J891" i="8"/>
  <c r="J831" i="8"/>
  <c r="K799" i="8"/>
  <c r="J767" i="8"/>
  <c r="K735" i="8"/>
  <c r="L703" i="8"/>
  <c r="M671" i="8"/>
  <c r="M640" i="8"/>
  <c r="M616" i="8"/>
  <c r="M600" i="8"/>
  <c r="M584" i="8"/>
  <c r="M568" i="8"/>
  <c r="M552" i="8"/>
  <c r="M536" i="8"/>
  <c r="J1334" i="8"/>
  <c r="J1219" i="8"/>
  <c r="J1151" i="8"/>
  <c r="J982" i="8"/>
  <c r="L952" i="8"/>
  <c r="J928" i="8"/>
  <c r="K907" i="8"/>
  <c r="M1282" i="8"/>
  <c r="L1186" i="8"/>
  <c r="M1140" i="8"/>
  <c r="M1124" i="8"/>
  <c r="M1108" i="8"/>
  <c r="M1092" i="8"/>
  <c r="M1076" i="8"/>
  <c r="M1060" i="8"/>
  <c r="M1044" i="8"/>
  <c r="M1028" i="8"/>
  <c r="M1016" i="8"/>
  <c r="M1008" i="8"/>
  <c r="L992" i="8"/>
  <c r="J977" i="8"/>
  <c r="L969" i="8"/>
  <c r="L954" i="8"/>
  <c r="L939" i="8"/>
  <c r="J926" i="8"/>
  <c r="M916" i="8"/>
  <c r="K905" i="8"/>
  <c r="J894" i="8"/>
  <c r="J1399" i="8"/>
  <c r="J1229" i="8"/>
  <c r="L1156" i="8"/>
  <c r="K1120" i="8"/>
  <c r="K1088" i="8"/>
  <c r="K1056" i="8"/>
  <c r="K1024" i="8"/>
  <c r="L991" i="8"/>
  <c r="J963" i="8"/>
  <c r="M936" i="8"/>
  <c r="L913" i="8"/>
  <c r="K893" i="8"/>
  <c r="M884" i="8"/>
  <c r="L873" i="8"/>
  <c r="J862" i="8"/>
  <c r="M852" i="8"/>
  <c r="L841" i="8"/>
  <c r="J830" i="8"/>
  <c r="J819" i="8"/>
  <c r="M809" i="8"/>
  <c r="K798" i="8"/>
  <c r="M788" i="8"/>
  <c r="L777" i="8"/>
  <c r="J766" i="8"/>
  <c r="J755" i="8"/>
  <c r="M745" i="8"/>
  <c r="K734" i="8"/>
  <c r="J723" i="8"/>
  <c r="M713" i="8"/>
  <c r="M702" i="8"/>
  <c r="L691" i="8"/>
  <c r="L680" i="8"/>
  <c r="L672" i="8"/>
  <c r="M667" i="8"/>
  <c r="J662" i="8"/>
  <c r="L657" i="8"/>
  <c r="L652" i="8"/>
  <c r="J646" i="8"/>
  <c r="L641" i="8"/>
  <c r="L636" i="8"/>
  <c r="J630" i="8"/>
  <c r="L625" i="8"/>
  <c r="L620" i="8"/>
  <c r="J614" i="8"/>
  <c r="L609" i="8"/>
  <c r="L604" i="8"/>
  <c r="J598" i="8"/>
  <c r="L593" i="8"/>
  <c r="L588" i="8"/>
  <c r="J582" i="8"/>
  <c r="L577" i="8"/>
  <c r="L572" i="8"/>
  <c r="J566" i="8"/>
  <c r="L561" i="8"/>
  <c r="L556" i="8"/>
  <c r="J550" i="8"/>
  <c r="L545" i="8"/>
  <c r="L540" i="8"/>
  <c r="J534" i="8"/>
  <c r="L529" i="8"/>
  <c r="L525" i="8"/>
  <c r="L521" i="8"/>
  <c r="L517" i="8"/>
  <c r="M513" i="8"/>
  <c r="J509" i="8"/>
  <c r="J505" i="8"/>
  <c r="J501" i="8"/>
  <c r="J497" i="8"/>
  <c r="J493" i="8"/>
  <c r="J489" i="8"/>
  <c r="J485" i="8"/>
  <c r="J481" i="8"/>
  <c r="J477" i="8"/>
  <c r="J473" i="8"/>
  <c r="J469" i="8"/>
  <c r="J465" i="8"/>
  <c r="J461" i="8"/>
  <c r="J457" i="8"/>
  <c r="J453" i="8"/>
  <c r="J449" i="8"/>
  <c r="J445" i="8"/>
  <c r="J441" i="8"/>
  <c r="J437" i="8"/>
  <c r="J433" i="8"/>
  <c r="J429" i="8"/>
  <c r="J425" i="8"/>
  <c r="J421" i="8"/>
  <c r="J417" i="8"/>
  <c r="J413" i="8"/>
  <c r="J409" i="8"/>
  <c r="J405" i="8"/>
  <c r="J401" i="8"/>
  <c r="K397" i="8"/>
  <c r="K393" i="8"/>
  <c r="K389" i="8"/>
  <c r="K385" i="8"/>
  <c r="J382" i="8"/>
  <c r="J378" i="8"/>
  <c r="J374" i="8"/>
  <c r="J370" i="8"/>
  <c r="J366" i="8"/>
  <c r="J362" i="8"/>
  <c r="J358" i="8"/>
  <c r="J354" i="8"/>
  <c r="J350" i="8"/>
  <c r="J346" i="8"/>
  <c r="J342" i="8"/>
  <c r="J338" i="8"/>
  <c r="J334" i="8"/>
  <c r="J330" i="8"/>
  <c r="J326" i="8"/>
  <c r="J322" i="8"/>
  <c r="J318" i="8"/>
  <c r="J314" i="8"/>
  <c r="J310" i="8"/>
  <c r="J306" i="8"/>
  <c r="J302" i="8"/>
  <c r="J298" i="8"/>
  <c r="J294" i="8"/>
  <c r="J290" i="8"/>
  <c r="J286" i="8"/>
  <c r="J282" i="8"/>
  <c r="J278" i="8"/>
  <c r="K274" i="8"/>
  <c r="K270" i="8"/>
  <c r="L266" i="8"/>
  <c r="L262" i="8"/>
  <c r="L258" i="8"/>
  <c r="L254" i="8"/>
  <c r="L250" i="8"/>
  <c r="L246" i="8"/>
  <c r="L242" i="8"/>
  <c r="L238" i="8"/>
  <c r="L234" i="8"/>
  <c r="L230" i="8"/>
  <c r="L226" i="8"/>
  <c r="L222" i="8"/>
  <c r="L218" i="8"/>
  <c r="L214" i="8"/>
  <c r="L210" i="8"/>
  <c r="L206" i="8"/>
  <c r="L202" i="8"/>
  <c r="L198" i="8"/>
  <c r="L194" i="8"/>
  <c r="L190" i="8"/>
  <c r="L186" i="8"/>
  <c r="L182" i="8"/>
  <c r="L178" i="8"/>
  <c r="L174" i="8"/>
  <c r="L170" i="8"/>
  <c r="M166" i="8"/>
  <c r="M162" i="8"/>
  <c r="M158" i="8"/>
  <c r="J154" i="8"/>
  <c r="J150" i="8"/>
  <c r="J146" i="8"/>
  <c r="J142" i="8"/>
  <c r="J138" i="8"/>
  <c r="L135" i="8"/>
  <c r="L131" i="8"/>
  <c r="L127" i="8"/>
  <c r="L123" i="8"/>
  <c r="L119" i="8"/>
  <c r="M115" i="8"/>
  <c r="M111" i="8"/>
  <c r="M107" i="8"/>
  <c r="M103" i="8"/>
  <c r="M99" i="8"/>
  <c r="M95" i="8"/>
  <c r="L91" i="8"/>
  <c r="L87" i="8"/>
  <c r="L83" i="8"/>
  <c r="M79" i="8"/>
  <c r="M75" i="8"/>
  <c r="M71" i="8"/>
  <c r="M67" i="8"/>
  <c r="M63" i="8"/>
  <c r="M59" i="8"/>
  <c r="M55" i="8"/>
  <c r="M51" i="8"/>
  <c r="M47" i="8"/>
  <c r="M43" i="8"/>
  <c r="M39" i="8"/>
  <c r="M35" i="8"/>
  <c r="M31" i="8"/>
  <c r="M27" i="8"/>
  <c r="M23" i="8"/>
  <c r="M19" i="8"/>
  <c r="M15" i="8"/>
  <c r="J11" i="8"/>
  <c r="J7" i="8"/>
  <c r="J3" i="8"/>
  <c r="C12" i="4"/>
  <c r="M1429" i="8"/>
  <c r="L1216" i="8"/>
  <c r="L1092" i="8"/>
  <c r="L1028" i="8"/>
  <c r="K964" i="8"/>
  <c r="K1294" i="8"/>
  <c r="K1162" i="8"/>
  <c r="J1094" i="8"/>
  <c r="J1030" i="8"/>
  <c r="J1193" i="8"/>
  <c r="N938" i="8"/>
  <c r="J875" i="8"/>
  <c r="K823" i="8"/>
  <c r="J791" i="8"/>
  <c r="K759" i="8"/>
  <c r="K727" i="8"/>
  <c r="L695" i="8"/>
  <c r="L664" i="8"/>
  <c r="M632" i="8"/>
  <c r="M612" i="8"/>
  <c r="M596" i="8"/>
  <c r="M580" i="8"/>
  <c r="M564" i="8"/>
  <c r="M548" i="8"/>
  <c r="M532" i="8"/>
  <c r="K1292" i="8"/>
  <c r="L1196" i="8"/>
  <c r="L1001" i="8"/>
  <c r="L978" i="8"/>
  <c r="M948" i="8"/>
  <c r="K923" i="8"/>
  <c r="L1442" i="8"/>
  <c r="M1255" i="8"/>
  <c r="M1173" i="8"/>
  <c r="M1136" i="8"/>
  <c r="M1120" i="8"/>
  <c r="M1104" i="8"/>
  <c r="M1088" i="8"/>
  <c r="M1072" i="8"/>
  <c r="M1056" i="8"/>
  <c r="M1040" i="8"/>
  <c r="M1024" i="8"/>
  <c r="M1013" i="8"/>
  <c r="M1005" i="8"/>
  <c r="K989" i="8"/>
  <c r="J974" i="8"/>
  <c r="J959" i="8"/>
  <c r="L944" i="8"/>
  <c r="K933" i="8"/>
  <c r="J922" i="8"/>
  <c r="M912" i="8"/>
  <c r="L901" i="8"/>
  <c r="J890" i="8"/>
  <c r="K1308" i="8"/>
  <c r="L1194" i="8"/>
  <c r="K1140" i="8"/>
  <c r="K1108" i="8"/>
  <c r="K1076" i="8"/>
  <c r="K1044" i="8"/>
  <c r="K1012" i="8"/>
  <c r="J981" i="8"/>
  <c r="L950" i="8"/>
  <c r="L928" i="8"/>
  <c r="L905" i="8"/>
  <c r="M890" i="8"/>
  <c r="M880" i="8"/>
  <c r="L869" i="8"/>
  <c r="J858" i="8"/>
  <c r="M848" i="8"/>
  <c r="L837" i="8"/>
  <c r="K826" i="8"/>
  <c r="J815" i="8"/>
  <c r="M805" i="8"/>
  <c r="K794" i="8"/>
  <c r="M784" i="8"/>
  <c r="L773" i="8"/>
  <c r="K762" i="8"/>
  <c r="J751" i="8"/>
  <c r="M741" i="8"/>
  <c r="K730" i="8"/>
  <c r="J719" i="8"/>
  <c r="M709" i="8"/>
  <c r="M698" i="8"/>
  <c r="L687" i="8"/>
  <c r="L676" i="8"/>
  <c r="L671" i="8"/>
  <c r="K665" i="8"/>
  <c r="L661" i="8"/>
  <c r="L656" i="8"/>
  <c r="J650" i="8"/>
  <c r="L645" i="8"/>
  <c r="L640" i="8"/>
  <c r="J634" i="8"/>
  <c r="L629" i="8"/>
  <c r="L624" i="8"/>
  <c r="J618" i="8"/>
  <c r="L613" i="8"/>
  <c r="L608" i="8"/>
  <c r="J602" i="8"/>
  <c r="L597" i="8"/>
  <c r="L592" i="8"/>
  <c r="J586" i="8"/>
  <c r="L581" i="8"/>
  <c r="L576" i="8"/>
  <c r="J570" i="8"/>
  <c r="L565" i="8"/>
  <c r="L560" i="8"/>
  <c r="J554" i="8"/>
  <c r="L549" i="8"/>
  <c r="L544" i="8"/>
  <c r="J538" i="8"/>
  <c r="L533" i="8"/>
  <c r="J528" i="8"/>
  <c r="J524" i="8"/>
  <c r="J520" i="8"/>
  <c r="J516" i="8"/>
  <c r="K512" i="8"/>
  <c r="L508" i="8"/>
  <c r="L504" i="8"/>
  <c r="L500" i="8"/>
  <c r="L496" i="8"/>
  <c r="L492" i="8"/>
  <c r="L488" i="8"/>
  <c r="L484" i="8"/>
  <c r="L480" i="8"/>
  <c r="L476" i="8"/>
  <c r="L472" i="8"/>
  <c r="L468" i="8"/>
  <c r="L452" i="8"/>
  <c r="L436" i="8"/>
  <c r="L420" i="8"/>
  <c r="L404" i="8"/>
  <c r="M388" i="8"/>
  <c r="L373" i="8"/>
  <c r="L357" i="8"/>
  <c r="L341" i="8"/>
  <c r="L325" i="8"/>
  <c r="L309" i="8"/>
  <c r="L293" i="8"/>
  <c r="L277" i="8"/>
  <c r="J261" i="8"/>
  <c r="J245" i="8"/>
  <c r="J229" i="8"/>
  <c r="J213" i="8"/>
  <c r="J197" i="8"/>
  <c r="J181" i="8"/>
  <c r="K165" i="8"/>
  <c r="L149" i="8"/>
  <c r="J134" i="8"/>
  <c r="J118" i="8"/>
  <c r="K102" i="8"/>
  <c r="J86" i="8"/>
  <c r="K70" i="8"/>
  <c r="K54" i="8"/>
  <c r="K38" i="8"/>
  <c r="K22" i="8"/>
  <c r="L6" i="8"/>
  <c r="T401" i="3"/>
  <c r="K1336" i="8"/>
  <c r="K1288" i="8"/>
  <c r="L1218" i="8"/>
  <c r="L1188" i="8"/>
  <c r="M1163" i="8"/>
  <c r="K1138" i="8"/>
  <c r="K1122" i="8"/>
  <c r="K1106" i="8"/>
  <c r="K1090" i="8"/>
  <c r="K1074" i="8"/>
  <c r="K1058" i="8"/>
  <c r="K1042" i="8"/>
  <c r="K1026" i="8"/>
  <c r="K1010" i="8"/>
  <c r="J997" i="8"/>
  <c r="M984" i="8"/>
  <c r="L966" i="8"/>
  <c r="L956" i="8"/>
  <c r="K938" i="8"/>
  <c r="L925" i="8"/>
  <c r="L916" i="8"/>
  <c r="J907" i="8"/>
  <c r="J900" i="8"/>
  <c r="K896" i="8"/>
  <c r="M886" i="8"/>
  <c r="J880" i="8"/>
  <c r="L875" i="8"/>
  <c r="M870" i="8"/>
  <c r="J864" i="8"/>
  <c r="L859" i="8"/>
  <c r="M854" i="8"/>
  <c r="J848" i="8"/>
  <c r="L843" i="8"/>
  <c r="M838" i="8"/>
  <c r="J832" i="8"/>
  <c r="L827" i="8"/>
  <c r="M823" i="8"/>
  <c r="J817" i="8"/>
  <c r="K812" i="8"/>
  <c r="M807" i="8"/>
  <c r="J801" i="8"/>
  <c r="K796" i="8"/>
  <c r="M790" i="8"/>
  <c r="J784" i="8"/>
  <c r="L779" i="8"/>
  <c r="M774" i="8"/>
  <c r="J768" i="8"/>
  <c r="K764" i="8"/>
  <c r="M759" i="8"/>
  <c r="J753" i="8"/>
  <c r="K748" i="8"/>
  <c r="M743" i="8"/>
  <c r="J737" i="8"/>
  <c r="K732" i="8"/>
  <c r="M727" i="8"/>
  <c r="J721" i="8"/>
  <c r="K716" i="8"/>
  <c r="M711" i="8"/>
  <c r="J705" i="8"/>
  <c r="K701" i="8"/>
  <c r="M696" i="8"/>
  <c r="J691" i="8"/>
  <c r="L686" i="8"/>
  <c r="L681" i="8"/>
  <c r="J675" i="8"/>
  <c r="L670" i="8"/>
  <c r="M665" i="8"/>
  <c r="L659" i="8"/>
  <c r="L654" i="8"/>
  <c r="J648" i="8"/>
  <c r="L643" i="8"/>
  <c r="L638" i="8"/>
  <c r="J632" i="8"/>
  <c r="L627" i="8"/>
  <c r="L622" i="8"/>
  <c r="J616" i="8"/>
  <c r="L611" i="8"/>
  <c r="L606" i="8"/>
  <c r="J600" i="8"/>
  <c r="L595" i="8"/>
  <c r="L590" i="8"/>
  <c r="J584" i="8"/>
  <c r="L579" i="8"/>
  <c r="L574" i="8"/>
  <c r="J568" i="8"/>
  <c r="L563" i="8"/>
  <c r="L558" i="8"/>
  <c r="J552" i="8"/>
  <c r="L547" i="8"/>
  <c r="L542" i="8"/>
  <c r="J536" i="8"/>
  <c r="L531" i="8"/>
  <c r="J527" i="8"/>
  <c r="J523" i="8"/>
  <c r="J519" i="8"/>
  <c r="J515" i="8"/>
  <c r="K511" i="8"/>
  <c r="J508" i="8"/>
  <c r="J504" i="8"/>
  <c r="J500" i="8"/>
  <c r="J496" i="8"/>
  <c r="J492" i="8"/>
  <c r="J488" i="8"/>
  <c r="J484" i="8"/>
  <c r="J480" i="8"/>
  <c r="J476" i="8"/>
  <c r="J472" i="8"/>
  <c r="J468" i="8"/>
  <c r="J464" i="8"/>
  <c r="J460" i="8"/>
  <c r="J456" i="8"/>
  <c r="J452" i="8"/>
  <c r="J448" i="8"/>
  <c r="J444" i="8"/>
  <c r="J440" i="8"/>
  <c r="J436" i="8"/>
  <c r="J432" i="8"/>
  <c r="J428" i="8"/>
  <c r="J424" i="8"/>
  <c r="J420" i="8"/>
  <c r="J416" i="8"/>
  <c r="J412" i="8"/>
  <c r="J408" i="8"/>
  <c r="J404" i="8"/>
  <c r="K400" i="8"/>
  <c r="K396" i="8"/>
  <c r="K392" i="8"/>
  <c r="M1501" i="8"/>
  <c r="K1305" i="8"/>
  <c r="M1219" i="8"/>
  <c r="J1155" i="8"/>
  <c r="K1119" i="8"/>
  <c r="K1087" i="8"/>
  <c r="K1055" i="8"/>
  <c r="K1023" i="8"/>
  <c r="L996" i="8"/>
  <c r="M960" i="8"/>
  <c r="L935" i="8"/>
  <c r="J909" i="8"/>
  <c r="M893" i="8"/>
  <c r="K880" i="8"/>
  <c r="K871" i="8"/>
  <c r="M857" i="8"/>
  <c r="K848" i="8"/>
  <c r="K839" i="8"/>
  <c r="L824" i="8"/>
  <c r="L815" i="8"/>
  <c r="J806" i="8"/>
  <c r="K792" i="8"/>
  <c r="K783" i="8"/>
  <c r="M769" i="8"/>
  <c r="L759" i="8"/>
  <c r="J750" i="8"/>
  <c r="L736" i="8"/>
  <c r="L727" i="8"/>
  <c r="J718" i="8"/>
  <c r="L704" i="8"/>
  <c r="M695" i="8"/>
  <c r="M686" i="8"/>
  <c r="M1426" i="8"/>
  <c r="K1254" i="8"/>
  <c r="M1179" i="8"/>
  <c r="K1133" i="8"/>
  <c r="K1101" i="8"/>
  <c r="K1069" i="8"/>
  <c r="K1037" i="8"/>
  <c r="K1005" i="8"/>
  <c r="L980" i="8"/>
  <c r="M944" i="8"/>
  <c r="L923" i="8"/>
  <c r="L903" i="8"/>
  <c r="K889" i="8"/>
  <c r="M875" i="8"/>
  <c r="K866" i="8"/>
  <c r="K857" i="8"/>
  <c r="M843" i="8"/>
  <c r="K834" i="8"/>
  <c r="L825" i="8"/>
  <c r="J816" i="8"/>
  <c r="L802" i="8"/>
  <c r="K793" i="8"/>
  <c r="M779" i="8"/>
  <c r="K770" i="8"/>
  <c r="J760" i="8"/>
  <c r="L746" i="8"/>
  <c r="L737" i="8"/>
  <c r="J728" i="8"/>
  <c r="L714" i="8"/>
  <c r="L705" i="8"/>
  <c r="L696" i="8"/>
  <c r="J686" i="8"/>
  <c r="M672" i="8"/>
  <c r="L663" i="8"/>
  <c r="K654" i="8"/>
  <c r="J645" i="8"/>
  <c r="M631" i="8"/>
  <c r="K622" i="8"/>
  <c r="J613" i="8"/>
  <c r="M599" i="8"/>
  <c r="K590" i="8"/>
  <c r="J581" i="8"/>
  <c r="M567" i="8"/>
  <c r="K558" i="8"/>
  <c r="J549" i="8"/>
  <c r="M535" i="8"/>
  <c r="J399" i="8"/>
  <c r="J395" i="8"/>
  <c r="J391" i="8"/>
  <c r="M387" i="8"/>
  <c r="J381" i="8"/>
  <c r="L376" i="8"/>
  <c r="M371" i="8"/>
  <c r="J365" i="8"/>
  <c r="L360" i="8"/>
  <c r="M355" i="8"/>
  <c r="J349" i="8"/>
  <c r="L344" i="8"/>
  <c r="M339" i="8"/>
  <c r="J333" i="8"/>
  <c r="L328" i="8"/>
  <c r="M323" i="8"/>
  <c r="J317" i="8"/>
  <c r="L312" i="8"/>
  <c r="M307" i="8"/>
  <c r="J301" i="8"/>
  <c r="L296" i="8"/>
  <c r="M291" i="8"/>
  <c r="J285" i="8"/>
  <c r="L280" i="8"/>
  <c r="J274" i="8"/>
  <c r="K269" i="8"/>
  <c r="K263" i="8"/>
  <c r="K258" i="8"/>
  <c r="M253" i="8"/>
  <c r="K247" i="8"/>
  <c r="K242" i="8"/>
  <c r="M237" i="8"/>
  <c r="K231" i="8"/>
  <c r="K226" i="8"/>
  <c r="M221" i="8"/>
  <c r="K215" i="8"/>
  <c r="K210" i="8"/>
  <c r="M205" i="8"/>
  <c r="K199" i="8"/>
  <c r="K194" i="8"/>
  <c r="M189" i="8"/>
  <c r="K183" i="8"/>
  <c r="K178" i="8"/>
  <c r="M173" i="8"/>
  <c r="J168" i="8"/>
  <c r="L163" i="8"/>
  <c r="L158" i="8"/>
  <c r="L152" i="8"/>
  <c r="M147" i="8"/>
  <c r="J141" i="8"/>
  <c r="K1369" i="8"/>
  <c r="K1191" i="8"/>
  <c r="K1139" i="8"/>
  <c r="K1107" i="8"/>
  <c r="K1075" i="8"/>
  <c r="K1043" i="8"/>
  <c r="K1011" i="8"/>
  <c r="L981" i="8"/>
  <c r="K953" i="8"/>
  <c r="L930" i="8"/>
  <c r="L911" i="8"/>
  <c r="L895" i="8"/>
  <c r="K884" i="8"/>
  <c r="K875" i="8"/>
  <c r="M861" i="8"/>
  <c r="K852" i="8"/>
  <c r="K843" i="8"/>
  <c r="M829" i="8"/>
  <c r="L820" i="8"/>
  <c r="L811" i="8"/>
  <c r="J802" i="8"/>
  <c r="M789" i="8"/>
  <c r="K780" i="8"/>
  <c r="K771" i="8"/>
  <c r="J762" i="8"/>
  <c r="L748" i="8"/>
  <c r="L739" i="8"/>
  <c r="J730" i="8"/>
  <c r="L716" i="8"/>
  <c r="L707" i="8"/>
  <c r="J697" i="8"/>
  <c r="M682" i="8"/>
  <c r="M1311" i="8"/>
  <c r="M1205" i="8"/>
  <c r="K1145" i="8"/>
  <c r="K1113" i="8"/>
  <c r="K1081" i="8"/>
  <c r="K1049" i="8"/>
  <c r="K1017" i="8"/>
  <c r="J987" i="8"/>
  <c r="J962" i="8"/>
  <c r="L934" i="8"/>
  <c r="L915" i="8"/>
  <c r="K892" i="8"/>
  <c r="K885" i="8"/>
  <c r="M871" i="8"/>
  <c r="K862" i="8"/>
  <c r="K853" i="8"/>
  <c r="M839" i="8"/>
  <c r="K830" i="8"/>
  <c r="J820" i="8"/>
  <c r="L806" i="8"/>
  <c r="L797" i="8"/>
  <c r="K789" i="8"/>
  <c r="M775" i="8"/>
  <c r="K766" i="8"/>
  <c r="L757" i="8"/>
  <c r="J748" i="8"/>
  <c r="L734" i="8"/>
  <c r="L725" i="8"/>
  <c r="J716" i="8"/>
  <c r="M701" i="8"/>
  <c r="M692" i="8"/>
  <c r="K683" i="8"/>
  <c r="J674" i="8"/>
  <c r="M659" i="8"/>
  <c r="K650" i="8"/>
  <c r="J641" i="8"/>
  <c r="M627" i="8"/>
  <c r="K618" i="8"/>
  <c r="J609" i="8"/>
  <c r="M595" i="8"/>
  <c r="K586" i="8"/>
  <c r="J577" i="8"/>
  <c r="M563" i="8"/>
  <c r="K554" i="8"/>
  <c r="J545" i="8"/>
  <c r="M531" i="8"/>
  <c r="K527" i="8"/>
  <c r="K523" i="8"/>
  <c r="K519" i="8"/>
  <c r="K515" i="8"/>
  <c r="L511" i="8"/>
  <c r="M507" i="8"/>
  <c r="M503" i="8"/>
  <c r="M499" i="8"/>
  <c r="M495" i="8"/>
  <c r="M491" i="8"/>
  <c r="M487" i="8"/>
  <c r="M483" i="8"/>
  <c r="M479" i="8"/>
  <c r="M475" i="8"/>
  <c r="M471" i="8"/>
  <c r="M467" i="8"/>
  <c r="M463" i="8"/>
  <c r="M459" i="8"/>
  <c r="M455" i="8"/>
  <c r="M451" i="8"/>
  <c r="M447" i="8"/>
  <c r="M443" i="8"/>
  <c r="M439" i="8"/>
  <c r="M435" i="8"/>
  <c r="M431" i="8"/>
  <c r="M427" i="8"/>
  <c r="M423" i="8"/>
  <c r="M419" i="8"/>
  <c r="M415" i="8"/>
  <c r="M411" i="8"/>
  <c r="M407" i="8"/>
  <c r="M403" i="8"/>
  <c r="J387" i="8"/>
  <c r="L382" i="8"/>
  <c r="M377" i="8"/>
  <c r="J371" i="8"/>
  <c r="L366" i="8"/>
  <c r="M361" i="8"/>
  <c r="J355" i="8"/>
  <c r="L350" i="8"/>
  <c r="M345" i="8"/>
  <c r="J339" i="8"/>
  <c r="L334" i="8"/>
  <c r="M329" i="8"/>
  <c r="J323" i="8"/>
  <c r="L318" i="8"/>
  <c r="M313" i="8"/>
  <c r="J307" i="8"/>
  <c r="L302" i="8"/>
  <c r="M297" i="8"/>
  <c r="J291" i="8"/>
  <c r="L286" i="8"/>
  <c r="M281" i="8"/>
  <c r="J276" i="8"/>
  <c r="K271" i="8"/>
  <c r="N266" i="8"/>
  <c r="K261" i="8"/>
  <c r="K256" i="8"/>
  <c r="M251" i="8"/>
  <c r="K245" i="8"/>
  <c r="K240" i="8"/>
  <c r="M235" i="8"/>
  <c r="K229" i="8"/>
  <c r="K224" i="8"/>
  <c r="M219" i="8"/>
  <c r="K213" i="8"/>
  <c r="K208" i="8"/>
  <c r="M203" i="8"/>
  <c r="K197" i="8"/>
  <c r="K192" i="8"/>
  <c r="M187" i="8"/>
  <c r="K181" i="8"/>
  <c r="K176" i="8"/>
  <c r="M171" i="8"/>
  <c r="L165" i="8"/>
  <c r="L160" i="8"/>
  <c r="J155" i="8"/>
  <c r="L150" i="8"/>
  <c r="M145" i="8"/>
  <c r="J139" i="8"/>
  <c r="K134" i="8"/>
  <c r="K129" i="8"/>
  <c r="M124" i="8"/>
  <c r="K118" i="8"/>
  <c r="L114" i="8"/>
  <c r="L109" i="8"/>
  <c r="J103" i="8"/>
  <c r="L98" i="8"/>
  <c r="L93" i="8"/>
  <c r="K86" i="8"/>
  <c r="L81" i="8"/>
  <c r="J75" i="8"/>
  <c r="L70" i="8"/>
  <c r="L65" i="8"/>
  <c r="J59" i="8"/>
  <c r="L54" i="8"/>
  <c r="L49" i="8"/>
  <c r="J43" i="8"/>
  <c r="L38" i="8"/>
  <c r="L33" i="8"/>
  <c r="J27" i="8"/>
  <c r="L22" i="8"/>
  <c r="L17" i="8"/>
  <c r="L11" i="8"/>
  <c r="M6" i="8"/>
  <c r="C21" i="4"/>
  <c r="K660" i="8"/>
  <c r="M641" i="8"/>
  <c r="J615" i="8"/>
  <c r="K596" i="8"/>
  <c r="M577" i="8"/>
  <c r="J551" i="8"/>
  <c r="K532" i="8"/>
  <c r="M517" i="8"/>
  <c r="K500" i="8"/>
  <c r="K484" i="8"/>
  <c r="K468" i="8"/>
  <c r="K452" i="8"/>
  <c r="K436" i="8"/>
  <c r="K420" i="8"/>
  <c r="K404" i="8"/>
  <c r="L388" i="8"/>
  <c r="K379" i="8"/>
  <c r="K370" i="8"/>
  <c r="M356" i="8"/>
  <c r="K347" i="8"/>
  <c r="K338" i="8"/>
  <c r="M324" i="8"/>
  <c r="K315" i="8"/>
  <c r="K306" i="8"/>
  <c r="M292" i="8"/>
  <c r="K283" i="8"/>
  <c r="L274" i="8"/>
  <c r="L265" i="8"/>
  <c r="J256" i="8"/>
  <c r="M242" i="8"/>
  <c r="L233" i="8"/>
  <c r="J224" i="8"/>
  <c r="M210" i="8"/>
  <c r="L201" i="8"/>
  <c r="J192" i="8"/>
  <c r="M178" i="8"/>
  <c r="L169" i="8"/>
  <c r="K160" i="8"/>
  <c r="K150" i="8"/>
  <c r="M135" i="8"/>
  <c r="K124" i="8"/>
  <c r="L464" i="8"/>
  <c r="L448" i="8"/>
  <c r="L432" i="8"/>
  <c r="L416" i="8"/>
  <c r="M400" i="8"/>
  <c r="M384" i="8"/>
  <c r="L369" i="8"/>
  <c r="L353" i="8"/>
  <c r="L337" i="8"/>
  <c r="L321" i="8"/>
  <c r="L305" i="8"/>
  <c r="L289" i="8"/>
  <c r="M273" i="8"/>
  <c r="J257" i="8"/>
  <c r="J241" i="8"/>
  <c r="J225" i="8"/>
  <c r="J209" i="8"/>
  <c r="J193" i="8"/>
  <c r="J177" i="8"/>
  <c r="K161" i="8"/>
  <c r="L145" i="8"/>
  <c r="J130" i="8"/>
  <c r="K114" i="8"/>
  <c r="K98" i="8"/>
  <c r="K82" i="8"/>
  <c r="K66" i="8"/>
  <c r="K50" i="8"/>
  <c r="K34" i="8"/>
  <c r="K18" i="8"/>
  <c r="L2" i="8"/>
  <c r="L1438" i="8"/>
  <c r="L1325" i="8"/>
  <c r="M1251" i="8"/>
  <c r="M1213" i="8"/>
  <c r="M1185" i="8"/>
  <c r="M1149" i="8"/>
  <c r="K1134" i="8"/>
  <c r="K1118" i="8"/>
  <c r="K1102" i="8"/>
  <c r="K1086" i="8"/>
  <c r="K1070" i="8"/>
  <c r="K1054" i="8"/>
  <c r="K1038" i="8"/>
  <c r="K1022" i="8"/>
  <c r="K1006" i="8"/>
  <c r="K993" i="8"/>
  <c r="J979" i="8"/>
  <c r="J965" i="8"/>
  <c r="M952" i="8"/>
  <c r="L933" i="8"/>
  <c r="L924" i="8"/>
  <c r="J915" i="8"/>
  <c r="K903" i="8"/>
  <c r="L899" i="8"/>
  <c r="M895" i="8"/>
  <c r="J884" i="8"/>
  <c r="L879" i="8"/>
  <c r="M874" i="8"/>
  <c r="J868" i="8"/>
  <c r="L863" i="8"/>
  <c r="M858" i="8"/>
  <c r="J852" i="8"/>
  <c r="L847" i="8"/>
  <c r="M842" i="8"/>
  <c r="J836" i="8"/>
  <c r="L831" i="8"/>
  <c r="N826" i="8"/>
  <c r="J821" i="8"/>
  <c r="K816" i="8"/>
  <c r="M811" i="8"/>
  <c r="J805" i="8"/>
  <c r="K800" i="8"/>
  <c r="M795" i="8"/>
  <c r="J788" i="8"/>
  <c r="L783" i="8"/>
  <c r="M778" i="8"/>
  <c r="J772" i="8"/>
  <c r="L767" i="8"/>
  <c r="M763" i="8"/>
  <c r="J757" i="8"/>
  <c r="K752" i="8"/>
  <c r="M747" i="8"/>
  <c r="J741" i="8"/>
  <c r="K736" i="8"/>
  <c r="M731" i="8"/>
  <c r="J725" i="8"/>
  <c r="K720" i="8"/>
  <c r="M715" i="8"/>
  <c r="J709" i="8"/>
  <c r="K704" i="8"/>
  <c r="M700" i="8"/>
  <c r="K694" i="8"/>
  <c r="L690" i="8"/>
  <c r="L685" i="8"/>
  <c r="J679" i="8"/>
  <c r="L674" i="8"/>
  <c r="M669" i="8"/>
  <c r="K663" i="8"/>
  <c r="L658" i="8"/>
  <c r="J652" i="8"/>
  <c r="L647" i="8"/>
  <c r="L642" i="8"/>
  <c r="J636" i="8"/>
  <c r="L631" i="8"/>
  <c r="L626" i="8"/>
  <c r="J620" i="8"/>
  <c r="L615" i="8"/>
  <c r="L610" i="8"/>
  <c r="J604" i="8"/>
  <c r="L599" i="8"/>
  <c r="L594" i="8"/>
  <c r="J588" i="8"/>
  <c r="L583" i="8"/>
  <c r="L578" i="8"/>
  <c r="J572" i="8"/>
  <c r="L567" i="8"/>
  <c r="L562" i="8"/>
  <c r="J556" i="8"/>
  <c r="L551" i="8"/>
  <c r="L546" i="8"/>
  <c r="J540" i="8"/>
  <c r="L535" i="8"/>
  <c r="L530" i="8"/>
  <c r="L526" i="8"/>
  <c r="L522" i="8"/>
  <c r="L518" i="8"/>
  <c r="M514" i="8"/>
  <c r="N510" i="8"/>
  <c r="L507" i="8"/>
  <c r="L503" i="8"/>
  <c r="L499" i="8"/>
  <c r="L495" i="8"/>
  <c r="L491" i="8"/>
  <c r="L487" i="8"/>
  <c r="L483" i="8"/>
  <c r="L479" i="8"/>
  <c r="L475" i="8"/>
  <c r="L471" i="8"/>
  <c r="L467" i="8"/>
  <c r="L463" i="8"/>
  <c r="L459" i="8"/>
  <c r="L455" i="8"/>
  <c r="L451" i="8"/>
  <c r="L447" i="8"/>
  <c r="L443" i="8"/>
  <c r="L439" i="8"/>
  <c r="L435" i="8"/>
  <c r="L431" i="8"/>
  <c r="L427" i="8"/>
  <c r="L423" i="8"/>
  <c r="L419" i="8"/>
  <c r="L415" i="8"/>
  <c r="L411" i="8"/>
  <c r="L407" i="8"/>
  <c r="L403" i="8"/>
  <c r="M399" i="8"/>
  <c r="M395" i="8"/>
  <c r="M391" i="8"/>
  <c r="L1446" i="8"/>
  <c r="M1290" i="8"/>
  <c r="L1210" i="8"/>
  <c r="K1143" i="8"/>
  <c r="K1111" i="8"/>
  <c r="K1079" i="8"/>
  <c r="K1047" i="8"/>
  <c r="K1015" i="8"/>
  <c r="K985" i="8"/>
  <c r="J957" i="8"/>
  <c r="J925" i="8"/>
  <c r="L906" i="8"/>
  <c r="K888" i="8"/>
  <c r="K879" i="8"/>
  <c r="M865" i="8"/>
  <c r="K856" i="8"/>
  <c r="K847" i="8"/>
  <c r="M833" i="8"/>
  <c r="L823" i="8"/>
  <c r="J814" i="8"/>
  <c r="L800" i="8"/>
  <c r="K791" i="8"/>
  <c r="M777" i="8"/>
  <c r="K768" i="8"/>
  <c r="J758" i="8"/>
  <c r="L744" i="8"/>
  <c r="L735" i="8"/>
  <c r="J726" i="8"/>
  <c r="L712" i="8"/>
  <c r="M703" i="8"/>
  <c r="L694" i="8"/>
  <c r="K685" i="8"/>
  <c r="J1387" i="8"/>
  <c r="M1239" i="8"/>
  <c r="L1172" i="8"/>
  <c r="K1125" i="8"/>
  <c r="K1093" i="8"/>
  <c r="K1061" i="8"/>
  <c r="K1029" i="8"/>
  <c r="L997" i="8"/>
  <c r="K969" i="8"/>
  <c r="J941" i="8"/>
  <c r="J913" i="8"/>
  <c r="M899" i="8"/>
  <c r="M883" i="8"/>
  <c r="K874" i="8"/>
  <c r="K865" i="8"/>
  <c r="M851" i="8"/>
  <c r="K842" i="8"/>
  <c r="K833" i="8"/>
  <c r="J824" i="8"/>
  <c r="L810" i="8"/>
  <c r="L801" i="8"/>
  <c r="M787" i="8"/>
  <c r="K778" i="8"/>
  <c r="K769" i="8"/>
  <c r="L754" i="8"/>
  <c r="L745" i="8"/>
  <c r="J736" i="8"/>
  <c r="L722" i="8"/>
  <c r="L713" i="8"/>
  <c r="J704" i="8"/>
  <c r="J695" i="8"/>
  <c r="M680" i="8"/>
  <c r="K671" i="8"/>
  <c r="K662" i="8"/>
  <c r="J653" i="8"/>
  <c r="M639" i="8"/>
  <c r="K630" i="8"/>
  <c r="J621" i="8"/>
  <c r="M607" i="8"/>
  <c r="K598" i="8"/>
  <c r="J589" i="8"/>
  <c r="M575" i="8"/>
  <c r="K566" i="8"/>
  <c r="J557" i="8"/>
  <c r="M543" i="8"/>
  <c r="K534" i="8"/>
  <c r="J398" i="8"/>
  <c r="J394" i="8"/>
  <c r="J390" i="8"/>
  <c r="J385" i="8"/>
  <c r="L380" i="8"/>
  <c r="M375" i="8"/>
  <c r="J369" i="8"/>
  <c r="L364" i="8"/>
  <c r="M359" i="8"/>
  <c r="L460" i="8"/>
  <c r="L444" i="8"/>
  <c r="L428" i="8"/>
  <c r="L412" i="8"/>
  <c r="M396" i="8"/>
  <c r="L381" i="8"/>
  <c r="L365" i="8"/>
  <c r="L349" i="8"/>
  <c r="L333" i="8"/>
  <c r="L317" i="8"/>
  <c r="L301" i="8"/>
  <c r="L285" i="8"/>
  <c r="M269" i="8"/>
  <c r="J253" i="8"/>
  <c r="J237" i="8"/>
  <c r="J221" i="8"/>
  <c r="J205" i="8"/>
  <c r="J189" i="8"/>
  <c r="J173" i="8"/>
  <c r="K157" i="8"/>
  <c r="L141" i="8"/>
  <c r="J126" i="8"/>
  <c r="K110" i="8"/>
  <c r="K94" i="8"/>
  <c r="K78" i="8"/>
  <c r="K62" i="8"/>
  <c r="K46" i="8"/>
  <c r="K30" i="8"/>
  <c r="L14" i="8"/>
  <c r="C8" i="4"/>
  <c r="J1375" i="8"/>
  <c r="M1302" i="8"/>
  <c r="K1242" i="8"/>
  <c r="K1208" i="8"/>
  <c r="J1171" i="8"/>
  <c r="L1146" i="8"/>
  <c r="K1130" i="8"/>
  <c r="K1114" i="8"/>
  <c r="K1098" i="8"/>
  <c r="K1082" i="8"/>
  <c r="K1066" i="8"/>
  <c r="K1050" i="8"/>
  <c r="K1034" i="8"/>
  <c r="K1018" i="8"/>
  <c r="K1002" i="8"/>
  <c r="L989" i="8"/>
  <c r="L975" i="8"/>
  <c r="K961" i="8"/>
  <c r="J947" i="8"/>
  <c r="L932" i="8"/>
  <c r="J923" i="8"/>
  <c r="L909" i="8"/>
  <c r="K902" i="8"/>
  <c r="M898" i="8"/>
  <c r="J888" i="8"/>
  <c r="L883" i="8"/>
  <c r="M878" i="8"/>
  <c r="J872" i="8"/>
  <c r="L867" i="8"/>
  <c r="M862" i="8"/>
  <c r="J856" i="8"/>
  <c r="L851" i="8"/>
  <c r="M846" i="8"/>
  <c r="J840" i="8"/>
  <c r="L835" i="8"/>
  <c r="M830" i="8"/>
  <c r="J825" i="8"/>
  <c r="K820" i="8"/>
  <c r="M815" i="8"/>
  <c r="J809" i="8"/>
  <c r="K804" i="8"/>
  <c r="M799" i="8"/>
  <c r="J792" i="8"/>
  <c r="L787" i="8"/>
  <c r="M782" i="8"/>
  <c r="J776" i="8"/>
  <c r="L771" i="8"/>
  <c r="M766" i="8"/>
  <c r="J761" i="8"/>
  <c r="K756" i="8"/>
  <c r="M751" i="8"/>
  <c r="J745" i="8"/>
  <c r="K740" i="8"/>
  <c r="M735" i="8"/>
  <c r="J729" i="8"/>
  <c r="K724" i="8"/>
  <c r="M719" i="8"/>
  <c r="J713" i="8"/>
  <c r="K708" i="8"/>
  <c r="N703" i="8"/>
  <c r="K698" i="8"/>
  <c r="K693" i="8"/>
  <c r="L689" i="8"/>
  <c r="J683" i="8"/>
  <c r="L678" i="8"/>
  <c r="L673" i="8"/>
  <c r="K667" i="8"/>
  <c r="L662" i="8"/>
  <c r="J656" i="8"/>
  <c r="L651" i="8"/>
  <c r="L646" i="8"/>
  <c r="J640" i="8"/>
  <c r="L635" i="8"/>
  <c r="L630" i="8"/>
  <c r="J624" i="8"/>
  <c r="L619" i="8"/>
  <c r="L614" i="8"/>
  <c r="J608" i="8"/>
  <c r="L603" i="8"/>
  <c r="L598" i="8"/>
  <c r="J592" i="8"/>
  <c r="L587" i="8"/>
  <c r="L582" i="8"/>
  <c r="J576" i="8"/>
  <c r="L571" i="8"/>
  <c r="L566" i="8"/>
  <c r="J560" i="8"/>
  <c r="L555" i="8"/>
  <c r="L550" i="8"/>
  <c r="J544" i="8"/>
  <c r="L539" i="8"/>
  <c r="L534" i="8"/>
  <c r="J529" i="8"/>
  <c r="J525" i="8"/>
  <c r="J521" i="8"/>
  <c r="J517" i="8"/>
  <c r="K513" i="8"/>
  <c r="J510" i="8"/>
  <c r="J506" i="8"/>
  <c r="J502" i="8"/>
  <c r="J498" i="8"/>
  <c r="J494" i="8"/>
  <c r="J490" i="8"/>
  <c r="J486" i="8"/>
  <c r="J482" i="8"/>
  <c r="J478" i="8"/>
  <c r="J474" i="8"/>
  <c r="J470" i="8"/>
  <c r="J466" i="8"/>
  <c r="J462" i="8"/>
  <c r="J458" i="8"/>
  <c r="J454" i="8"/>
  <c r="J450" i="8"/>
  <c r="J446" i="8"/>
  <c r="J442" i="8"/>
  <c r="J438" i="8"/>
  <c r="J434" i="8"/>
  <c r="J430" i="8"/>
  <c r="J426" i="8"/>
  <c r="J422" i="8"/>
  <c r="J418" i="8"/>
  <c r="J414" i="8"/>
  <c r="J410" i="8"/>
  <c r="J406" i="8"/>
  <c r="J402" i="8"/>
  <c r="K398" i="8"/>
  <c r="K394" i="8"/>
  <c r="K390" i="8"/>
  <c r="M1339" i="8"/>
  <c r="M1247" i="8"/>
  <c r="M1169" i="8"/>
  <c r="K1135" i="8"/>
  <c r="K1103" i="8"/>
  <c r="K1071" i="8"/>
  <c r="K1039" i="8"/>
  <c r="K1007" i="8"/>
  <c r="L974" i="8"/>
  <c r="L949" i="8"/>
  <c r="L922" i="8"/>
  <c r="M902" i="8"/>
  <c r="K887" i="8"/>
  <c r="M873" i="8"/>
  <c r="K864" i="8"/>
  <c r="K855" i="8"/>
  <c r="M841" i="8"/>
  <c r="K832" i="8"/>
  <c r="J822" i="8"/>
  <c r="L808" i="8"/>
  <c r="L799" i="8"/>
  <c r="M785" i="8"/>
  <c r="K776" i="8"/>
  <c r="K767" i="8"/>
  <c r="L752" i="8"/>
  <c r="L743" i="8"/>
  <c r="J734" i="8"/>
  <c r="L720" i="8"/>
  <c r="L711" i="8"/>
  <c r="L702" i="8"/>
  <c r="J693" i="8"/>
  <c r="J684" i="8"/>
  <c r="K1358" i="8"/>
  <c r="K1215" i="8"/>
  <c r="M1165" i="8"/>
  <c r="K1117" i="8"/>
  <c r="K1085" i="8"/>
  <c r="K1053" i="8"/>
  <c r="K1021" i="8"/>
  <c r="J994" i="8"/>
  <c r="L958" i="8"/>
  <c r="J929" i="8"/>
  <c r="L910" i="8"/>
  <c r="K898" i="8"/>
  <c r="K882" i="8"/>
  <c r="K873" i="8"/>
  <c r="M859" i="8"/>
  <c r="K850" i="8"/>
  <c r="K841" i="8"/>
  <c r="M827" i="8"/>
  <c r="L818" i="8"/>
  <c r="L809" i="8"/>
  <c r="J800" i="8"/>
  <c r="K786" i="8"/>
  <c r="K777" i="8"/>
  <c r="L762" i="8"/>
  <c r="L753" i="8"/>
  <c r="J744" i="8"/>
  <c r="L730" i="8"/>
  <c r="L721" i="8"/>
  <c r="J712" i="8"/>
  <c r="J703" i="8"/>
  <c r="M688" i="8"/>
  <c r="K679" i="8"/>
  <c r="J670" i="8"/>
  <c r="J661" i="8"/>
  <c r="M647" i="8"/>
  <c r="K638" i="8"/>
  <c r="J629" i="8"/>
  <c r="M615" i="8"/>
  <c r="K606" i="8"/>
  <c r="J597" i="8"/>
  <c r="M583" i="8"/>
  <c r="K574" i="8"/>
  <c r="J565" i="8"/>
  <c r="M551" i="8"/>
  <c r="K542" i="8"/>
  <c r="J533" i="8"/>
  <c r="J397" i="8"/>
  <c r="J393" i="8"/>
  <c r="J389" i="8"/>
  <c r="K384" i="8"/>
  <c r="M379" i="8"/>
  <c r="J373" i="8"/>
  <c r="L368" i="8"/>
  <c r="M363" i="8"/>
  <c r="J357" i="8"/>
  <c r="L352" i="8"/>
  <c r="M347" i="8"/>
  <c r="J341" i="8"/>
  <c r="L336" i="8"/>
  <c r="M331" i="8"/>
  <c r="J325" i="8"/>
  <c r="L320" i="8"/>
  <c r="M315" i="8"/>
  <c r="J309" i="8"/>
  <c r="L304" i="8"/>
  <c r="M299" i="8"/>
  <c r="J293" i="8"/>
  <c r="L288" i="8"/>
  <c r="M283" i="8"/>
  <c r="J277" i="8"/>
  <c r="M272" i="8"/>
  <c r="K266" i="8"/>
  <c r="M261" i="8"/>
  <c r="K255" i="8"/>
  <c r="K250" i="8"/>
  <c r="M245" i="8"/>
  <c r="K239" i="8"/>
  <c r="K234" i="8"/>
  <c r="M229" i="8"/>
  <c r="K223" i="8"/>
  <c r="K218" i="8"/>
  <c r="M213" i="8"/>
  <c r="K207" i="8"/>
  <c r="K202" i="8"/>
  <c r="M197" i="8"/>
  <c r="K191" i="8"/>
  <c r="K186" i="8"/>
  <c r="M181" i="8"/>
  <c r="K175" i="8"/>
  <c r="K170" i="8"/>
  <c r="L166" i="8"/>
  <c r="J160" i="8"/>
  <c r="M155" i="8"/>
  <c r="J149" i="8"/>
  <c r="L144" i="8"/>
  <c r="M139" i="8"/>
  <c r="J1261" i="8"/>
  <c r="J1177" i="8"/>
  <c r="K1123" i="8"/>
  <c r="K1091" i="8"/>
  <c r="K1059" i="8"/>
  <c r="K1027" i="8"/>
  <c r="M992" i="8"/>
  <c r="L967" i="8"/>
  <c r="J939" i="8"/>
  <c r="J917" i="8"/>
  <c r="K900" i="8"/>
  <c r="K890" i="8"/>
  <c r="M877" i="8"/>
  <c r="K868" i="8"/>
  <c r="K859" i="8"/>
  <c r="M845" i="8"/>
  <c r="K836" i="8"/>
  <c r="K827" i="8"/>
  <c r="J818" i="8"/>
  <c r="L804" i="8"/>
  <c r="L795" i="8"/>
  <c r="K787" i="8"/>
  <c r="M773" i="8"/>
  <c r="L764" i="8"/>
  <c r="L755" i="8"/>
  <c r="J746" i="8"/>
  <c r="L732" i="8"/>
  <c r="L723" i="8"/>
  <c r="J714" i="8"/>
  <c r="M699" i="8"/>
  <c r="K689" i="8"/>
  <c r="J680" i="8"/>
  <c r="K1285" i="8"/>
  <c r="J1159" i="8"/>
  <c r="K1129" i="8"/>
  <c r="K1097" i="8"/>
  <c r="K1065" i="8"/>
  <c r="K1033" i="8"/>
  <c r="M1001" i="8"/>
  <c r="J973" i="8"/>
  <c r="L948" i="8"/>
  <c r="J921" i="8"/>
  <c r="M901" i="8"/>
  <c r="M887" i="8"/>
  <c r="K878" i="8"/>
  <c r="K869" i="8"/>
  <c r="M855" i="8"/>
  <c r="K846" i="8"/>
  <c r="K837" i="8"/>
  <c r="L822" i="8"/>
  <c r="L813" i="8"/>
  <c r="J804" i="8"/>
  <c r="M791" i="8"/>
  <c r="K782" i="8"/>
  <c r="K773" i="8"/>
  <c r="J764" i="8"/>
  <c r="L750" i="8"/>
  <c r="L741" i="8"/>
  <c r="J732" i="8"/>
  <c r="L718" i="8"/>
  <c r="L709" i="8"/>
  <c r="J699" i="8"/>
  <c r="L456" i="8"/>
  <c r="L440" i="8"/>
  <c r="L377" i="8"/>
  <c r="L313" i="8"/>
  <c r="J249" i="8"/>
  <c r="J185" i="8"/>
  <c r="J122" i="8"/>
  <c r="K58" i="8"/>
  <c r="J3" i="4"/>
  <c r="J1203" i="8"/>
  <c r="K1110" i="8"/>
  <c r="K1046" i="8"/>
  <c r="L988" i="8"/>
  <c r="J931" i="8"/>
  <c r="M897" i="8"/>
  <c r="L871" i="8"/>
  <c r="M850" i="8"/>
  <c r="J828" i="8"/>
  <c r="K808" i="8"/>
  <c r="M786" i="8"/>
  <c r="J765" i="8"/>
  <c r="K744" i="8"/>
  <c r="M723" i="8"/>
  <c r="K702" i="8"/>
  <c r="L682" i="8"/>
  <c r="J660" i="8"/>
  <c r="L639" i="8"/>
  <c r="L618" i="8"/>
  <c r="J596" i="8"/>
  <c r="L575" i="8"/>
  <c r="L554" i="8"/>
  <c r="J532" i="8"/>
  <c r="L516" i="8"/>
  <c r="L501" i="8"/>
  <c r="L485" i="8"/>
  <c r="L469" i="8"/>
  <c r="L453" i="8"/>
  <c r="L437" i="8"/>
  <c r="L421" i="8"/>
  <c r="L405" i="8"/>
  <c r="M389" i="8"/>
  <c r="K1127" i="8"/>
  <c r="L999" i="8"/>
  <c r="K897" i="8"/>
  <c r="M849" i="8"/>
  <c r="L807" i="8"/>
  <c r="L760" i="8"/>
  <c r="L719" i="8"/>
  <c r="K1467" i="8"/>
  <c r="K1109" i="8"/>
  <c r="L983" i="8"/>
  <c r="M894" i="8"/>
  <c r="K849" i="8"/>
  <c r="J808" i="8"/>
  <c r="L761" i="8"/>
  <c r="J720" i="8"/>
  <c r="J678" i="8"/>
  <c r="J637" i="8"/>
  <c r="M591" i="8"/>
  <c r="K550" i="8"/>
  <c r="J392" i="8"/>
  <c r="L372" i="8"/>
  <c r="J353" i="8"/>
  <c r="M343" i="8"/>
  <c r="L332" i="8"/>
  <c r="J321" i="8"/>
  <c r="M311" i="8"/>
  <c r="L300" i="8"/>
  <c r="J289" i="8"/>
  <c r="M279" i="8"/>
  <c r="M268" i="8"/>
  <c r="M257" i="8"/>
  <c r="K246" i="8"/>
  <c r="K235" i="8"/>
  <c r="M225" i="8"/>
  <c r="K214" i="8"/>
  <c r="K203" i="8"/>
  <c r="M193" i="8"/>
  <c r="K182" i="8"/>
  <c r="K171" i="8"/>
  <c r="L162" i="8"/>
  <c r="M151" i="8"/>
  <c r="L140" i="8"/>
  <c r="L1184" i="8"/>
  <c r="K1099" i="8"/>
  <c r="K1035" i="8"/>
  <c r="J978" i="8"/>
  <c r="L927" i="8"/>
  <c r="M891" i="8"/>
  <c r="M869" i="8"/>
  <c r="K851" i="8"/>
  <c r="K828" i="8"/>
  <c r="J810" i="8"/>
  <c r="K788" i="8"/>
  <c r="N765" i="8"/>
  <c r="L747" i="8"/>
  <c r="L724" i="8"/>
  <c r="J706" i="8"/>
  <c r="K681" i="8"/>
  <c r="J1187" i="8"/>
  <c r="K1105" i="8"/>
  <c r="K1041" i="8"/>
  <c r="M976" i="8"/>
  <c r="L931" i="8"/>
  <c r="K891" i="8"/>
  <c r="K870" i="8"/>
  <c r="M847" i="8"/>
  <c r="K829" i="8"/>
  <c r="L805" i="8"/>
  <c r="M783" i="8"/>
  <c r="L765" i="8"/>
  <c r="L742" i="8"/>
  <c r="J724" i="8"/>
  <c r="L700" i="8"/>
  <c r="M684" i="8"/>
  <c r="M668" i="8"/>
  <c r="J657" i="8"/>
  <c r="K642" i="8"/>
  <c r="K626" i="8"/>
  <c r="M611" i="8"/>
  <c r="J601" i="8"/>
  <c r="J585" i="8"/>
  <c r="K570" i="8"/>
  <c r="M555" i="8"/>
  <c r="M539" i="8"/>
  <c r="K529" i="8"/>
  <c r="K524" i="8"/>
  <c r="K518" i="8"/>
  <c r="L513" i="8"/>
  <c r="M508" i="8"/>
  <c r="M502" i="8"/>
  <c r="M497" i="8"/>
  <c r="M492" i="8"/>
  <c r="M486" i="8"/>
  <c r="M481" i="8"/>
  <c r="M476" i="8"/>
  <c r="M470" i="8"/>
  <c r="M465" i="8"/>
  <c r="M460" i="8"/>
  <c r="M454" i="8"/>
  <c r="M449" i="8"/>
  <c r="M444" i="8"/>
  <c r="M438" i="8"/>
  <c r="M433" i="8"/>
  <c r="M428" i="8"/>
  <c r="M422" i="8"/>
  <c r="M417" i="8"/>
  <c r="M412" i="8"/>
  <c r="M406" i="8"/>
  <c r="M401" i="8"/>
  <c r="J383" i="8"/>
  <c r="J375" i="8"/>
  <c r="M369" i="8"/>
  <c r="L362" i="8"/>
  <c r="L354" i="8"/>
  <c r="J347" i="8"/>
  <c r="M341" i="8"/>
  <c r="M333" i="8"/>
  <c r="L326" i="8"/>
  <c r="J319" i="8"/>
  <c r="J311" i="8"/>
  <c r="M305" i="8"/>
  <c r="L298" i="8"/>
  <c r="L290" i="8"/>
  <c r="J283" i="8"/>
  <c r="M277" i="8"/>
  <c r="M270" i="8"/>
  <c r="K264" i="8"/>
  <c r="K257" i="8"/>
  <c r="K249" i="8"/>
  <c r="M243" i="8"/>
  <c r="K236" i="8"/>
  <c r="K228" i="8"/>
  <c r="K221" i="8"/>
  <c r="M215" i="8"/>
  <c r="M207" i="8"/>
  <c r="K200" i="8"/>
  <c r="K193" i="8"/>
  <c r="K185" i="8"/>
  <c r="M179" i="8"/>
  <c r="K172" i="8"/>
  <c r="L164" i="8"/>
  <c r="L157" i="8"/>
  <c r="J151" i="8"/>
  <c r="J143" i="8"/>
  <c r="M137" i="8"/>
  <c r="K130" i="8"/>
  <c r="K122" i="8"/>
  <c r="N116" i="8"/>
  <c r="L110" i="8"/>
  <c r="L102" i="8"/>
  <c r="J95" i="8"/>
  <c r="M88" i="8"/>
  <c r="J79" i="8"/>
  <c r="L73" i="8"/>
  <c r="L66" i="8"/>
  <c r="L58" i="8"/>
  <c r="J51" i="8"/>
  <c r="L45" i="8"/>
  <c r="L37" i="8"/>
  <c r="L30" i="8"/>
  <c r="J23" i="8"/>
  <c r="J15" i="8"/>
  <c r="J8" i="8"/>
  <c r="M2" i="8"/>
  <c r="M657" i="8"/>
  <c r="K628" i="8"/>
  <c r="J599" i="8"/>
  <c r="J567" i="8"/>
  <c r="M545" i="8"/>
  <c r="M521" i="8"/>
  <c r="K496" i="8"/>
  <c r="K476" i="8"/>
  <c r="K456" i="8"/>
  <c r="K432" i="8"/>
  <c r="K412" i="8"/>
  <c r="L392" i="8"/>
  <c r="K378" i="8"/>
  <c r="K363" i="8"/>
  <c r="M348" i="8"/>
  <c r="M332" i="8"/>
  <c r="K322" i="8"/>
  <c r="K307" i="8"/>
  <c r="K291" i="8"/>
  <c r="N276" i="8"/>
  <c r="M266" i="8"/>
  <c r="M250" i="8"/>
  <c r="J240" i="8"/>
  <c r="L225" i="8"/>
  <c r="L209" i="8"/>
  <c r="M194" i="8"/>
  <c r="J184" i="8"/>
  <c r="K168" i="8"/>
  <c r="M152" i="8"/>
  <c r="K142" i="8"/>
  <c r="K123" i="8"/>
  <c r="M119" i="8"/>
  <c r="J109" i="8"/>
  <c r="K105" i="8"/>
  <c r="J94" i="8"/>
  <c r="M90" i="8"/>
  <c r="J82" i="8"/>
  <c r="M78" i="8"/>
  <c r="K67" i="8"/>
  <c r="L63" i="8"/>
  <c r="J52" i="8"/>
  <c r="L48" i="8"/>
  <c r="M44" i="8"/>
  <c r="J33" i="8"/>
  <c r="K29" i="8"/>
  <c r="J18" i="8"/>
  <c r="N14" i="8"/>
  <c r="J6" i="8"/>
  <c r="K2" i="8"/>
  <c r="C4" i="4"/>
  <c r="R399" i="3"/>
  <c r="K677" i="8"/>
  <c r="J651" i="8"/>
  <c r="K632" i="8"/>
  <c r="M613" i="8"/>
  <c r="J587" i="8"/>
  <c r="K568" i="8"/>
  <c r="M549" i="8"/>
  <c r="M526" i="8"/>
  <c r="J513" i="8"/>
  <c r="K497" i="8"/>
  <c r="K481" i="8"/>
  <c r="K465" i="8"/>
  <c r="K449" i="8"/>
  <c r="K433" i="8"/>
  <c r="K417" i="8"/>
  <c r="K401" i="8"/>
  <c r="J388" i="8"/>
  <c r="M374" i="8"/>
  <c r="K365" i="8"/>
  <c r="K356" i="8"/>
  <c r="M342" i="8"/>
  <c r="K333" i="8"/>
  <c r="K324" i="8"/>
  <c r="M310" i="8"/>
  <c r="K301" i="8"/>
  <c r="K292" i="8"/>
  <c r="M278" i="8"/>
  <c r="L269" i="8"/>
  <c r="M260" i="8"/>
  <c r="L251" i="8"/>
  <c r="J242" i="8"/>
  <c r="M228" i="8"/>
  <c r="L219" i="8"/>
  <c r="J210" i="8"/>
  <c r="M196" i="8"/>
  <c r="L187" i="8"/>
  <c r="J178" i="8"/>
  <c r="M163" i="8"/>
  <c r="M154" i="8"/>
  <c r="K145" i="8"/>
  <c r="M136" i="8"/>
  <c r="L132" i="8"/>
  <c r="J121" i="8"/>
  <c r="M117" i="8"/>
  <c r="J106" i="8"/>
  <c r="M102" i="8"/>
  <c r="J91" i="8"/>
  <c r="K87" i="8"/>
  <c r="M83" i="8"/>
  <c r="J77" i="8"/>
  <c r="K73" i="8"/>
  <c r="J62" i="8"/>
  <c r="M58" i="8"/>
  <c r="K47" i="8"/>
  <c r="L43" i="8"/>
  <c r="J32" i="8"/>
  <c r="L28" i="8"/>
  <c r="M24" i="8"/>
  <c r="M13" i="8"/>
  <c r="J2" i="8"/>
  <c r="C6" i="4"/>
  <c r="N662" i="8"/>
  <c r="J639" i="8"/>
  <c r="K620" i="8"/>
  <c r="M601" i="8"/>
  <c r="J575" i="8"/>
  <c r="K556" i="8"/>
  <c r="M537" i="8"/>
  <c r="M515" i="8"/>
  <c r="K502" i="8"/>
  <c r="K486" i="8"/>
  <c r="K470" i="8"/>
  <c r="K454" i="8"/>
  <c r="K438" i="8"/>
  <c r="K422" i="8"/>
  <c r="K406" i="8"/>
  <c r="L390" i="8"/>
  <c r="M376" i="8"/>
  <c r="K367" i="8"/>
  <c r="K358" i="8"/>
  <c r="M344" i="8"/>
  <c r="K335" i="8"/>
  <c r="K326" i="8"/>
  <c r="M312" i="8"/>
  <c r="K303" i="8"/>
  <c r="K294" i="8"/>
  <c r="M280" i="8"/>
  <c r="L270" i="8"/>
  <c r="J260" i="8"/>
  <c r="M246" i="8"/>
  <c r="L237" i="8"/>
  <c r="J228" i="8"/>
  <c r="M214" i="8"/>
  <c r="L205" i="8"/>
  <c r="J196" i="8"/>
  <c r="M182" i="8"/>
  <c r="L173" i="8"/>
  <c r="J163" i="8"/>
  <c r="K154" i="8"/>
  <c r="M140" i="8"/>
  <c r="L136" i="8"/>
  <c r="J133" i="8"/>
  <c r="M129" i="8"/>
  <c r="L118" i="8"/>
  <c r="M114" i="8"/>
  <c r="K103" i="8"/>
  <c r="L99" i="8"/>
  <c r="J87" i="8"/>
  <c r="K83" i="8"/>
  <c r="J74" i="8"/>
  <c r="M70" i="8"/>
  <c r="K59" i="8"/>
  <c r="L55" i="8"/>
  <c r="J44" i="8"/>
  <c r="L40" i="8"/>
  <c r="M36" i="8"/>
  <c r="J25" i="8"/>
  <c r="K21" i="8"/>
  <c r="M12" i="8"/>
  <c r="C15" i="4"/>
  <c r="T399" i="3"/>
  <c r="T395" i="3"/>
  <c r="T391" i="3"/>
  <c r="T387" i="3"/>
  <c r="T383" i="3"/>
  <c r="T379" i="3"/>
  <c r="T375" i="3"/>
  <c r="T371" i="3"/>
  <c r="T367" i="3"/>
  <c r="T363" i="3"/>
  <c r="T359" i="3"/>
  <c r="T355" i="3"/>
  <c r="J659" i="8"/>
  <c r="K640" i="8"/>
  <c r="M621" i="8"/>
  <c r="J595" i="8"/>
  <c r="K576" i="8"/>
  <c r="M557" i="8"/>
  <c r="J531" i="8"/>
  <c r="M516" i="8"/>
  <c r="K499" i="8"/>
  <c r="K483" i="8"/>
  <c r="K467" i="8"/>
  <c r="K451" i="8"/>
  <c r="K435" i="8"/>
  <c r="K419" i="8"/>
  <c r="K403" i="8"/>
  <c r="L386" i="8"/>
  <c r="K377" i="8"/>
  <c r="K368" i="8"/>
  <c r="M354" i="8"/>
  <c r="K345" i="8"/>
  <c r="K336" i="8"/>
  <c r="M322" i="8"/>
  <c r="K313" i="8"/>
  <c r="K304" i="8"/>
  <c r="M290" i="8"/>
  <c r="K281" i="8"/>
  <c r="J271" i="8"/>
  <c r="M256" i="8"/>
  <c r="L247" i="8"/>
  <c r="J238" i="8"/>
  <c r="M224" i="8"/>
  <c r="L215" i="8"/>
  <c r="J206" i="8"/>
  <c r="M192" i="8"/>
  <c r="L183" i="8"/>
  <c r="J174" i="8"/>
  <c r="J165" i="8"/>
  <c r="M150" i="8"/>
  <c r="K141" i="8"/>
  <c r="J131" i="8"/>
  <c r="K127" i="8"/>
  <c r="M123" i="8"/>
  <c r="J113" i="8"/>
  <c r="K109" i="8"/>
  <c r="J98" i="8"/>
  <c r="M94" i="8"/>
  <c r="M82" i="8"/>
  <c r="K71" i="8"/>
  <c r="L67" i="8"/>
  <c r="J56" i="8"/>
  <c r="L52" i="8"/>
  <c r="M48" i="8"/>
  <c r="J37" i="8"/>
  <c r="K33" i="8"/>
  <c r="J22" i="8"/>
  <c r="M18" i="8"/>
  <c r="K12" i="8"/>
  <c r="M8" i="8"/>
  <c r="C19" i="4"/>
  <c r="C2" i="4"/>
  <c r="M398" i="3"/>
  <c r="M392" i="3"/>
  <c r="M388" i="3"/>
  <c r="M384" i="3"/>
  <c r="M380" i="3"/>
  <c r="M376" i="3"/>
  <c r="M372" i="3"/>
  <c r="M368" i="3"/>
  <c r="M364" i="3"/>
  <c r="M360" i="3"/>
  <c r="M356" i="3"/>
  <c r="T351" i="3"/>
  <c r="T347" i="3"/>
  <c r="T343" i="3"/>
  <c r="T339" i="3"/>
  <c r="T335" i="3"/>
  <c r="T331" i="3"/>
  <c r="T327" i="3"/>
  <c r="T323" i="3"/>
  <c r="T319" i="3"/>
  <c r="T315" i="3"/>
  <c r="T311" i="3"/>
  <c r="T307" i="3"/>
  <c r="T303" i="3"/>
  <c r="T299" i="3"/>
  <c r="T295" i="3"/>
  <c r="T291" i="3"/>
  <c r="T287" i="3"/>
  <c r="T283" i="3"/>
  <c r="T279" i="3"/>
  <c r="T275" i="3"/>
  <c r="T271" i="3"/>
  <c r="T267" i="3"/>
  <c r="T263" i="3"/>
  <c r="T259" i="3"/>
  <c r="T255" i="3"/>
  <c r="T251" i="3"/>
  <c r="R247" i="3"/>
  <c r="R243" i="3"/>
  <c r="R239" i="3"/>
  <c r="R235" i="3"/>
  <c r="R231" i="3"/>
  <c r="R227" i="3"/>
  <c r="M401" i="3"/>
  <c r="R381" i="3"/>
  <c r="R365" i="3"/>
  <c r="R391" i="3"/>
  <c r="R375" i="3"/>
  <c r="R359" i="3"/>
  <c r="M352" i="3"/>
  <c r="M348" i="3"/>
  <c r="M344" i="3"/>
  <c r="M340" i="3"/>
  <c r="M336" i="3"/>
  <c r="M332" i="3"/>
  <c r="M328" i="3"/>
  <c r="M324" i="3"/>
  <c r="M320" i="3"/>
  <c r="M316" i="3"/>
  <c r="M312" i="3"/>
  <c r="M308" i="3"/>
  <c r="M304" i="3"/>
  <c r="M300" i="3"/>
  <c r="L424" i="8"/>
  <c r="L361" i="8"/>
  <c r="L297" i="8"/>
  <c r="J233" i="8"/>
  <c r="J169" i="8"/>
  <c r="K106" i="8"/>
  <c r="K42" i="8"/>
  <c r="M1347" i="8"/>
  <c r="L1168" i="8"/>
  <c r="K1094" i="8"/>
  <c r="K1030" i="8"/>
  <c r="J970" i="8"/>
  <c r="L917" i="8"/>
  <c r="L887" i="8"/>
  <c r="M866" i="8"/>
  <c r="J844" i="8"/>
  <c r="K824" i="8"/>
  <c r="M803" i="8"/>
  <c r="J780" i="8"/>
  <c r="K760" i="8"/>
  <c r="M739" i="8"/>
  <c r="J717" i="8"/>
  <c r="K697" i="8"/>
  <c r="L677" i="8"/>
  <c r="L655" i="8"/>
  <c r="L634" i="8"/>
  <c r="J612" i="8"/>
  <c r="L591" i="8"/>
  <c r="L570" i="8"/>
  <c r="J548" i="8"/>
  <c r="L528" i="8"/>
  <c r="M512" i="8"/>
  <c r="L497" i="8"/>
  <c r="L481" i="8"/>
  <c r="L465" i="8"/>
  <c r="L449" i="8"/>
  <c r="L433" i="8"/>
  <c r="L417" i="8"/>
  <c r="L401" i="8"/>
  <c r="K1320" i="8"/>
  <c r="K1095" i="8"/>
  <c r="J971" i="8"/>
  <c r="M881" i="8"/>
  <c r="K840" i="8"/>
  <c r="J798" i="8"/>
  <c r="L751" i="8"/>
  <c r="J710" i="8"/>
  <c r="J1269" i="8"/>
  <c r="K1077" i="8"/>
  <c r="J955" i="8"/>
  <c r="K881" i="8"/>
  <c r="M835" i="8"/>
  <c r="L794" i="8"/>
  <c r="J752" i="8"/>
  <c r="L706" i="8"/>
  <c r="M664" i="8"/>
  <c r="M623" i="8"/>
  <c r="K582" i="8"/>
  <c r="J541" i="8"/>
  <c r="K388" i="8"/>
  <c r="M367" i="8"/>
  <c r="M351" i="8"/>
  <c r="L340" i="8"/>
  <c r="J329" i="8"/>
  <c r="M319" i="8"/>
  <c r="L308" i="8"/>
  <c r="J297" i="8"/>
  <c r="M287" i="8"/>
  <c r="M276" i="8"/>
  <c r="M265" i="8"/>
  <c r="K254" i="8"/>
  <c r="K243" i="8"/>
  <c r="M233" i="8"/>
  <c r="K222" i="8"/>
  <c r="K211" i="8"/>
  <c r="M201" i="8"/>
  <c r="K190" i="8"/>
  <c r="K179" i="8"/>
  <c r="M169" i="8"/>
  <c r="L159" i="8"/>
  <c r="L148" i="8"/>
  <c r="M1406" i="8"/>
  <c r="M1147" i="8"/>
  <c r="K1083" i="8"/>
  <c r="K1019" i="8"/>
  <c r="L964" i="8"/>
  <c r="L914" i="8"/>
  <c r="M885" i="8"/>
  <c r="K867" i="8"/>
  <c r="K844" i="8"/>
  <c r="J826" i="8"/>
  <c r="L803" i="8"/>
  <c r="M781" i="8"/>
  <c r="L763" i="8"/>
  <c r="L740" i="8"/>
  <c r="J722" i="8"/>
  <c r="L698" i="8"/>
  <c r="K1330" i="8"/>
  <c r="L1152" i="8"/>
  <c r="K1089" i="8"/>
  <c r="K1025" i="8"/>
  <c r="L965" i="8"/>
  <c r="L918" i="8"/>
  <c r="K886" i="8"/>
  <c r="M863" i="8"/>
  <c r="K845" i="8"/>
  <c r="L821" i="8"/>
  <c r="L798" i="8"/>
  <c r="K781" i="8"/>
  <c r="L758" i="8"/>
  <c r="J740" i="8"/>
  <c r="L717" i="8"/>
  <c r="M693" i="8"/>
  <c r="J682" i="8"/>
  <c r="L667" i="8"/>
  <c r="M651" i="8"/>
  <c r="M635" i="8"/>
  <c r="J625" i="8"/>
  <c r="K610" i="8"/>
  <c r="K594" i="8"/>
  <c r="M579" i="8"/>
  <c r="J569" i="8"/>
  <c r="J553" i="8"/>
  <c r="K538" i="8"/>
  <c r="K528" i="8"/>
  <c r="K522" i="8"/>
  <c r="K517" i="8"/>
  <c r="L512" i="8"/>
  <c r="M506" i="8"/>
  <c r="M501" i="8"/>
  <c r="M496" i="8"/>
  <c r="M490" i="8"/>
  <c r="M485" i="8"/>
  <c r="M480" i="8"/>
  <c r="M474" i="8"/>
  <c r="M469" i="8"/>
  <c r="M464" i="8"/>
  <c r="M458" i="8"/>
  <c r="M453" i="8"/>
  <c r="M448" i="8"/>
  <c r="M442" i="8"/>
  <c r="M437" i="8"/>
  <c r="M432" i="8"/>
  <c r="M426" i="8"/>
  <c r="M421" i="8"/>
  <c r="M416" i="8"/>
  <c r="M410" i="8"/>
  <c r="M405" i="8"/>
  <c r="N400" i="8"/>
  <c r="M381" i="8"/>
  <c r="L374" i="8"/>
  <c r="J367" i="8"/>
  <c r="J359" i="8"/>
  <c r="M353" i="8"/>
  <c r="L346" i="8"/>
  <c r="L338" i="8"/>
  <c r="J331" i="8"/>
  <c r="M325" i="8"/>
  <c r="M317" i="8"/>
  <c r="L310" i="8"/>
  <c r="J303" i="8"/>
  <c r="J295" i="8"/>
  <c r="M289" i="8"/>
  <c r="L282" i="8"/>
  <c r="K275" i="8"/>
  <c r="J268" i="8"/>
  <c r="M263" i="8"/>
  <c r="M255" i="8"/>
  <c r="K248" i="8"/>
  <c r="K241" i="8"/>
  <c r="K233" i="8"/>
  <c r="M227" i="8"/>
  <c r="K220" i="8"/>
  <c r="K212" i="8"/>
  <c r="K205" i="8"/>
  <c r="M199" i="8"/>
  <c r="M191" i="8"/>
  <c r="K184" i="8"/>
  <c r="K177" i="8"/>
  <c r="K169" i="8"/>
  <c r="J162" i="8"/>
  <c r="L156" i="8"/>
  <c r="M149" i="8"/>
  <c r="L142" i="8"/>
  <c r="N135" i="8"/>
  <c r="M128" i="8"/>
  <c r="K121" i="8"/>
  <c r="J115" i="8"/>
  <c r="J107" i="8"/>
  <c r="L101" i="8"/>
  <c r="L94" i="8"/>
  <c r="K85" i="8"/>
  <c r="L78" i="8"/>
  <c r="J71" i="8"/>
  <c r="J63" i="8"/>
  <c r="L57" i="8"/>
  <c r="L50" i="8"/>
  <c r="L42" i="8"/>
  <c r="J35" i="8"/>
  <c r="L29" i="8"/>
  <c r="L21" i="8"/>
  <c r="M14" i="8"/>
  <c r="L7" i="8"/>
  <c r="J676" i="8"/>
  <c r="J647" i="8"/>
  <c r="M625" i="8"/>
  <c r="M593" i="8"/>
  <c r="K564" i="8"/>
  <c r="J535" i="8"/>
  <c r="J512" i="8"/>
  <c r="K492" i="8"/>
  <c r="K472" i="8"/>
  <c r="K448" i="8"/>
  <c r="K428" i="8"/>
  <c r="K408" i="8"/>
  <c r="L387" i="8"/>
  <c r="M372" i="8"/>
  <c r="K362" i="8"/>
  <c r="K346" i="8"/>
  <c r="K331" i="8"/>
  <c r="M316" i="8"/>
  <c r="M300" i="8"/>
  <c r="K290" i="8"/>
  <c r="L275" i="8"/>
  <c r="J264" i="8"/>
  <c r="L249" i="8"/>
  <c r="M234" i="8"/>
  <c r="M218" i="8"/>
  <c r="J208" i="8"/>
  <c r="L193" i="8"/>
  <c r="L177" i="8"/>
  <c r="J167" i="8"/>
  <c r="K151" i="8"/>
  <c r="J127" i="8"/>
  <c r="M122" i="8"/>
  <c r="J112" i="8"/>
  <c r="L108" i="8"/>
  <c r="M104" i="8"/>
  <c r="J93" i="8"/>
  <c r="M89" i="8"/>
  <c r="J81" i="8"/>
  <c r="K77" i="8"/>
  <c r="J66" i="8"/>
  <c r="M62" i="8"/>
  <c r="K51" i="8"/>
  <c r="L47" i="8"/>
  <c r="J36" i="8"/>
  <c r="L32" i="8"/>
  <c r="M28" i="8"/>
  <c r="J17" i="8"/>
  <c r="K9" i="8"/>
  <c r="L5" i="8"/>
  <c r="C18" i="4"/>
  <c r="C1" i="4"/>
  <c r="T398" i="3"/>
  <c r="M674" i="8"/>
  <c r="K648" i="8"/>
  <c r="M629" i="8"/>
  <c r="J603" i="8"/>
  <c r="K584" i="8"/>
  <c r="M565" i="8"/>
  <c r="J539" i="8"/>
  <c r="M522" i="8"/>
  <c r="K509" i="8"/>
  <c r="K493" i="8"/>
  <c r="K477" i="8"/>
  <c r="K461" i="8"/>
  <c r="K445" i="8"/>
  <c r="K429" i="8"/>
  <c r="K413" i="8"/>
  <c r="L397" i="8"/>
  <c r="M382" i="8"/>
  <c r="K373" i="8"/>
  <c r="K364" i="8"/>
  <c r="M350" i="8"/>
  <c r="K341" i="8"/>
  <c r="K332" i="8"/>
  <c r="M318" i="8"/>
  <c r="K309" i="8"/>
  <c r="K300" i="8"/>
  <c r="M286" i="8"/>
  <c r="K277" i="8"/>
  <c r="L268" i="8"/>
  <c r="L259" i="8"/>
  <c r="J250" i="8"/>
  <c r="M236" i="8"/>
  <c r="L227" i="8"/>
  <c r="J218" i="8"/>
  <c r="M204" i="8"/>
  <c r="L195" i="8"/>
  <c r="J186" i="8"/>
  <c r="M172" i="8"/>
  <c r="K162" i="8"/>
  <c r="K153" i="8"/>
  <c r="K144" i="8"/>
  <c r="K135" i="8"/>
  <c r="M131" i="8"/>
  <c r="K120" i="8"/>
  <c r="M116" i="8"/>
  <c r="J105" i="8"/>
  <c r="K101" i="8"/>
  <c r="L90" i="8"/>
  <c r="M86" i="8"/>
  <c r="J80" i="8"/>
  <c r="L76" i="8"/>
  <c r="M72" i="8"/>
  <c r="J61" i="8"/>
  <c r="K57" i="8"/>
  <c r="J46" i="8"/>
  <c r="M42" i="8"/>
  <c r="K31" i="8"/>
  <c r="L27" i="8"/>
  <c r="J16" i="8"/>
  <c r="K5" i="8"/>
  <c r="G25" i="4"/>
  <c r="M678" i="8"/>
  <c r="J655" i="8"/>
  <c r="K636" i="8"/>
  <c r="M617" i="8"/>
  <c r="J591" i="8"/>
  <c r="K572" i="8"/>
  <c r="M553" i="8"/>
  <c r="M527" i="8"/>
  <c r="J514" i="8"/>
  <c r="K498" i="8"/>
  <c r="K482" i="8"/>
  <c r="K466" i="8"/>
  <c r="K450" i="8"/>
  <c r="K434" i="8"/>
  <c r="K418" i="8"/>
  <c r="K402" i="8"/>
  <c r="L384" i="8"/>
  <c r="K375" i="8"/>
  <c r="K366" i="8"/>
  <c r="M352" i="8"/>
  <c r="K343" i="8"/>
  <c r="K334" i="8"/>
  <c r="M320" i="8"/>
  <c r="K311" i="8"/>
  <c r="K302" i="8"/>
  <c r="M288" i="8"/>
  <c r="K279" i="8"/>
  <c r="J269" i="8"/>
  <c r="M254" i="8"/>
  <c r="L245" i="8"/>
  <c r="J236" i="8"/>
  <c r="M222" i="8"/>
  <c r="L213" i="8"/>
  <c r="J204" i="8"/>
  <c r="M190" i="8"/>
  <c r="L181" i="8"/>
  <c r="J172" i="8"/>
  <c r="M157" i="8"/>
  <c r="M148" i="8"/>
  <c r="K139" i="8"/>
  <c r="Q135" i="8"/>
  <c r="K132" i="8"/>
  <c r="L128" i="8"/>
  <c r="J117" i="8"/>
  <c r="K113" i="8"/>
  <c r="J102" i="8"/>
  <c r="M98" i="8"/>
  <c r="L86" i="8"/>
  <c r="N82" i="8"/>
  <c r="J73" i="8"/>
  <c r="K69" i="8"/>
  <c r="J58" i="8"/>
  <c r="M54" i="8"/>
  <c r="K43" i="8"/>
  <c r="L39" i="8"/>
  <c r="J28" i="8"/>
  <c r="L24" i="8"/>
  <c r="M20" i="8"/>
  <c r="M11" i="8"/>
  <c r="C10" i="4"/>
  <c r="R398" i="3"/>
  <c r="R394" i="3"/>
  <c r="R390" i="3"/>
  <c r="R386" i="3"/>
  <c r="R382" i="3"/>
  <c r="R378" i="3"/>
  <c r="R374" i="3"/>
  <c r="R370" i="3"/>
  <c r="R366" i="3"/>
  <c r="R362" i="3"/>
  <c r="R358" i="3"/>
  <c r="J672" i="8"/>
  <c r="K656" i="8"/>
  <c r="M637" i="8"/>
  <c r="J611" i="8"/>
  <c r="K592" i="8"/>
  <c r="M573" i="8"/>
  <c r="J547" i="8"/>
  <c r="M528" i="8"/>
  <c r="J511" i="8"/>
  <c r="K495" i="8"/>
  <c r="K479" i="8"/>
  <c r="K463" i="8"/>
  <c r="K447" i="8"/>
  <c r="K431" i="8"/>
  <c r="K415" i="8"/>
  <c r="L399" i="8"/>
  <c r="L385" i="8"/>
  <c r="K376" i="8"/>
  <c r="M362" i="8"/>
  <c r="K353" i="8"/>
  <c r="K344" i="8"/>
  <c r="M330" i="8"/>
  <c r="K321" i="8"/>
  <c r="K312" i="8"/>
  <c r="M298" i="8"/>
  <c r="K289" i="8"/>
  <c r="K280" i="8"/>
  <c r="M264" i="8"/>
  <c r="L255" i="8"/>
  <c r="J246" i="8"/>
  <c r="M232" i="8"/>
  <c r="L223" i="8"/>
  <c r="J214" i="8"/>
  <c r="M200" i="8"/>
  <c r="L191" i="8"/>
  <c r="J182" i="8"/>
  <c r="N168" i="8"/>
  <c r="M159" i="8"/>
  <c r="K149" i="8"/>
  <c r="K140" i="8"/>
  <c r="L130" i="8"/>
  <c r="M126" i="8"/>
  <c r="J116" i="8"/>
  <c r="L112" i="8"/>
  <c r="M108" i="8"/>
  <c r="J97" i="8"/>
  <c r="K93" i="8"/>
  <c r="K81" i="8"/>
  <c r="J70" i="8"/>
  <c r="M66" i="8"/>
  <c r="K55" i="8"/>
  <c r="L51" i="8"/>
  <c r="J40" i="8"/>
  <c r="L36" i="8"/>
  <c r="M32" i="8"/>
  <c r="J21" i="8"/>
  <c r="K17" i="8"/>
  <c r="K11" i="8"/>
  <c r="M7" i="8"/>
  <c r="C14" i="4"/>
  <c r="M399" i="3"/>
  <c r="T394" i="3"/>
  <c r="T390" i="3"/>
  <c r="T386" i="3"/>
  <c r="T382" i="3"/>
  <c r="T378" i="3"/>
  <c r="T374" i="3"/>
  <c r="T370" i="3"/>
  <c r="T366" i="3"/>
  <c r="T362" i="3"/>
  <c r="T358" i="3"/>
  <c r="R354" i="3"/>
  <c r="R350" i="3"/>
  <c r="R346" i="3"/>
  <c r="R342" i="3"/>
  <c r="R338" i="3"/>
  <c r="R334" i="3"/>
  <c r="R330" i="3"/>
  <c r="R326" i="3"/>
  <c r="R322" i="3"/>
  <c r="R318" i="3"/>
  <c r="R314" i="3"/>
  <c r="R310" i="3"/>
  <c r="R306" i="3"/>
  <c r="R302" i="3"/>
  <c r="R298" i="3"/>
  <c r="R294" i="3"/>
  <c r="R290" i="3"/>
  <c r="R286" i="3"/>
  <c r="R282" i="3"/>
  <c r="R278" i="3"/>
  <c r="R274" i="3"/>
  <c r="R270" i="3"/>
  <c r="R266" i="3"/>
  <c r="R262" i="3"/>
  <c r="R258" i="3"/>
  <c r="R254" i="3"/>
  <c r="R250" i="3"/>
  <c r="R246" i="3"/>
  <c r="R242" i="3"/>
  <c r="R238" i="3"/>
  <c r="R234" i="3"/>
  <c r="R230" i="3"/>
  <c r="R226" i="3"/>
  <c r="M391" i="3"/>
  <c r="M375" i="3"/>
  <c r="M359" i="3"/>
  <c r="M385" i="3"/>
  <c r="M369" i="3"/>
  <c r="T354" i="3"/>
  <c r="T350" i="3"/>
  <c r="T346" i="3"/>
  <c r="T342" i="3"/>
  <c r="T338" i="3"/>
  <c r="T334" i="3"/>
  <c r="T330" i="3"/>
  <c r="T326" i="3"/>
  <c r="T322" i="3"/>
  <c r="T318" i="3"/>
  <c r="T314" i="3"/>
  <c r="T310" i="3"/>
  <c r="T306" i="3"/>
  <c r="T302" i="3"/>
  <c r="T298" i="3"/>
  <c r="T294" i="3"/>
  <c r="L408" i="8"/>
  <c r="L281" i="8"/>
  <c r="L153" i="8"/>
  <c r="K26" i="8"/>
  <c r="K1142" i="8"/>
  <c r="K1014" i="8"/>
  <c r="L908" i="8"/>
  <c r="J860" i="8"/>
  <c r="M819" i="8"/>
  <c r="L775" i="8"/>
  <c r="J733" i="8"/>
  <c r="N692" i="8"/>
  <c r="L650" i="8"/>
  <c r="L607" i="8"/>
  <c r="J564" i="8"/>
  <c r="L524" i="8"/>
  <c r="L493" i="8"/>
  <c r="L461" i="8"/>
  <c r="L429" i="8"/>
  <c r="M397" i="8"/>
  <c r="K1063" i="8"/>
  <c r="K872" i="8"/>
  <c r="K784" i="8"/>
  <c r="J701" i="8"/>
  <c r="K1045" i="8"/>
  <c r="M867" i="8"/>
  <c r="K785" i="8"/>
  <c r="M697" i="8"/>
  <c r="K614" i="8"/>
  <c r="J400" i="8"/>
  <c r="J361" i="8"/>
  <c r="J337" i="8"/>
  <c r="L316" i="8"/>
  <c r="M295" i="8"/>
  <c r="K273" i="8"/>
  <c r="K251" i="8"/>
  <c r="K230" i="8"/>
  <c r="M209" i="8"/>
  <c r="K187" i="8"/>
  <c r="L167" i="8"/>
  <c r="J145" i="8"/>
  <c r="K1131" i="8"/>
  <c r="K1003" i="8"/>
  <c r="J904" i="8"/>
  <c r="K860" i="8"/>
  <c r="L819" i="8"/>
  <c r="K779" i="8"/>
  <c r="J738" i="8"/>
  <c r="M690" i="8"/>
  <c r="K1137" i="8"/>
  <c r="K1009" i="8"/>
  <c r="J905" i="8"/>
  <c r="K861" i="8"/>
  <c r="L814" i="8"/>
  <c r="K774" i="8"/>
  <c r="L733" i="8"/>
  <c r="K691" i="8"/>
  <c r="J666" i="8"/>
  <c r="K634" i="8"/>
  <c r="M603" i="8"/>
  <c r="K578" i="8"/>
  <c r="M547" i="8"/>
  <c r="K526" i="8"/>
  <c r="K516" i="8"/>
  <c r="M505" i="8"/>
  <c r="M494" i="8"/>
  <c r="M484" i="8"/>
  <c r="M473" i="8"/>
  <c r="M462" i="8"/>
  <c r="M452" i="8"/>
  <c r="M441" i="8"/>
  <c r="M430" i="8"/>
  <c r="M420" i="8"/>
  <c r="M409" i="8"/>
  <c r="K386" i="8"/>
  <c r="M373" i="8"/>
  <c r="L358" i="8"/>
  <c r="J343" i="8"/>
  <c r="L330" i="8"/>
  <c r="J315" i="8"/>
  <c r="M301" i="8"/>
  <c r="J287" i="8"/>
  <c r="M274" i="8"/>
  <c r="K260" i="8"/>
  <c r="M247" i="8"/>
  <c r="K232" i="8"/>
  <c r="K217" i="8"/>
  <c r="K204" i="8"/>
  <c r="K189" i="8"/>
  <c r="M175" i="8"/>
  <c r="L161" i="8"/>
  <c r="J147" i="8"/>
  <c r="K133" i="8"/>
  <c r="M120" i="8"/>
  <c r="L106" i="8"/>
  <c r="K90" i="8"/>
  <c r="L77" i="8"/>
  <c r="L62" i="8"/>
  <c r="J47" i="8"/>
  <c r="L34" i="8"/>
  <c r="J19" i="8"/>
  <c r="J4" i="8"/>
  <c r="K644" i="8"/>
  <c r="J583" i="8"/>
  <c r="M529" i="8"/>
  <c r="K488" i="8"/>
  <c r="K444" i="8"/>
  <c r="L400" i="8"/>
  <c r="K371" i="8"/>
  <c r="M340" i="8"/>
  <c r="K314" i="8"/>
  <c r="M284" i="8"/>
  <c r="M258" i="8"/>
  <c r="J232" i="8"/>
  <c r="M202" i="8"/>
  <c r="J176" i="8"/>
  <c r="M144" i="8"/>
  <c r="M121" i="8"/>
  <c r="L107" i="8"/>
  <c r="L92" i="8"/>
  <c r="L80" i="8"/>
  <c r="J65" i="8"/>
  <c r="J50" i="8"/>
  <c r="K35" i="8"/>
  <c r="J20" i="8"/>
  <c r="K8" i="8"/>
  <c r="C13" i="4"/>
  <c r="R397" i="3"/>
  <c r="M645" i="8"/>
  <c r="K600" i="8"/>
  <c r="J555" i="8"/>
  <c r="M518" i="8"/>
  <c r="K489" i="8"/>
  <c r="K457" i="8"/>
  <c r="K425" i="8"/>
  <c r="L393" i="8"/>
  <c r="K372" i="8"/>
  <c r="K349" i="8"/>
  <c r="M326" i="8"/>
  <c r="K308" i="8"/>
  <c r="K285" i="8"/>
  <c r="J267" i="8"/>
  <c r="M244" i="8"/>
  <c r="J226" i="8"/>
  <c r="L203" i="8"/>
  <c r="M180" i="8"/>
  <c r="J161" i="8"/>
  <c r="M138" i="8"/>
  <c r="J123" i="8"/>
  <c r="J108" i="8"/>
  <c r="M100" i="8"/>
  <c r="M85" i="8"/>
  <c r="L75" i="8"/>
  <c r="L60" i="8"/>
  <c r="J45" i="8"/>
  <c r="J30" i="8"/>
  <c r="K15" i="8"/>
  <c r="C17" i="4"/>
  <c r="K652" i="8"/>
  <c r="J607" i="8"/>
  <c r="M569" i="8"/>
  <c r="M523" i="8"/>
  <c r="K494" i="8"/>
  <c r="K462" i="8"/>
  <c r="K430" i="8"/>
  <c r="L398" i="8"/>
  <c r="K374" i="8"/>
  <c r="K351" i="8"/>
  <c r="M328" i="8"/>
  <c r="K310" i="8"/>
  <c r="K287" i="8"/>
  <c r="M262" i="8"/>
  <c r="J244" i="8"/>
  <c r="L221" i="8"/>
  <c r="M198" i="8"/>
  <c r="J180" i="8"/>
  <c r="K156" i="8"/>
  <c r="K138" i="8"/>
  <c r="K131" i="8"/>
  <c r="L116" i="8"/>
  <c r="J101" i="8"/>
  <c r="J85" i="8"/>
  <c r="L72" i="8"/>
  <c r="J57" i="8"/>
  <c r="J42" i="8"/>
  <c r="K27" i="8"/>
  <c r="J14" i="8"/>
  <c r="C3" i="4"/>
  <c r="T393" i="3"/>
  <c r="T385" i="3"/>
  <c r="T377" i="3"/>
  <c r="T369" i="3"/>
  <c r="T361" i="3"/>
  <c r="L669" i="8"/>
  <c r="J627" i="8"/>
  <c r="M589" i="8"/>
  <c r="K544" i="8"/>
  <c r="K507" i="8"/>
  <c r="K475" i="8"/>
  <c r="K443" i="8"/>
  <c r="K411" i="8"/>
  <c r="J384" i="8"/>
  <c r="K361" i="8"/>
  <c r="M338" i="8"/>
  <c r="K320" i="8"/>
  <c r="K297" i="8"/>
  <c r="L273" i="8"/>
  <c r="J254" i="8"/>
  <c r="L231" i="8"/>
  <c r="M208" i="8"/>
  <c r="J190" i="8"/>
  <c r="M167" i="8"/>
  <c r="K148" i="8"/>
  <c r="J129" i="8"/>
  <c r="K115" i="8"/>
  <c r="J100" i="8"/>
  <c r="M92" i="8"/>
  <c r="J69" i="8"/>
  <c r="J54" i="8"/>
  <c r="K39" i="8"/>
  <c r="J24" i="8"/>
  <c r="M16" i="8"/>
  <c r="K6" i="8"/>
  <c r="M400" i="3"/>
  <c r="M390" i="3"/>
  <c r="M382" i="3"/>
  <c r="M374" i="3"/>
  <c r="M366" i="3"/>
  <c r="M358" i="3"/>
  <c r="T349" i="3"/>
  <c r="T341" i="3"/>
  <c r="T333" i="3"/>
  <c r="T325" i="3"/>
  <c r="T317" i="3"/>
  <c r="T309" i="3"/>
  <c r="T301" i="3"/>
  <c r="T293" i="3"/>
  <c r="T285" i="3"/>
  <c r="T277" i="3"/>
  <c r="T269" i="3"/>
  <c r="T261" i="3"/>
  <c r="T253" i="3"/>
  <c r="R245" i="3"/>
  <c r="R237" i="3"/>
  <c r="R229" i="3"/>
  <c r="R389" i="3"/>
  <c r="R357" i="3"/>
  <c r="R367" i="3"/>
  <c r="M350" i="3"/>
  <c r="M342" i="3"/>
  <c r="M334" i="3"/>
  <c r="M326" i="3"/>
  <c r="M318" i="3"/>
  <c r="M310" i="3"/>
  <c r="M302" i="3"/>
  <c r="M296" i="3"/>
  <c r="T290" i="3"/>
  <c r="T286" i="3"/>
  <c r="T282" i="3"/>
  <c r="T278" i="3"/>
  <c r="T274" i="3"/>
  <c r="T270" i="3"/>
  <c r="T266" i="3"/>
  <c r="T262" i="3"/>
  <c r="T258" i="3"/>
  <c r="T254" i="3"/>
  <c r="T250" i="3"/>
  <c r="P245" i="3"/>
  <c r="M240" i="3"/>
  <c r="T234" i="3"/>
  <c r="P229" i="3"/>
  <c r="M224" i="3"/>
  <c r="R385" i="3"/>
  <c r="R369" i="3"/>
  <c r="M353" i="3"/>
  <c r="R387" i="3"/>
  <c r="R371" i="3"/>
  <c r="R355" i="3"/>
  <c r="R347" i="3"/>
  <c r="M347" i="3"/>
  <c r="R325" i="3"/>
  <c r="R309" i="3"/>
  <c r="R293" i="3"/>
  <c r="R277" i="3"/>
  <c r="R261" i="3"/>
  <c r="M245" i="3"/>
  <c r="T240" i="3"/>
  <c r="P231" i="3"/>
  <c r="T225" i="3"/>
  <c r="T221" i="3"/>
  <c r="T217" i="3"/>
  <c r="T213" i="3"/>
  <c r="T209" i="3"/>
  <c r="T205" i="3"/>
  <c r="T201" i="3"/>
  <c r="T197" i="3"/>
  <c r="T193" i="3"/>
  <c r="T189" i="3"/>
  <c r="T185" i="3"/>
  <c r="T181" i="3"/>
  <c r="T177" i="3"/>
  <c r="T173" i="3"/>
  <c r="T169" i="3"/>
  <c r="T165" i="3"/>
  <c r="T161" i="3"/>
  <c r="T157" i="3"/>
  <c r="T153" i="3"/>
  <c r="T149" i="3"/>
  <c r="T145" i="3"/>
  <c r="T141" i="3"/>
  <c r="T137" i="3"/>
  <c r="T133" i="3"/>
  <c r="T129" i="3"/>
  <c r="T125" i="3"/>
  <c r="T121" i="3"/>
  <c r="T117" i="3"/>
  <c r="T113" i="3"/>
  <c r="T109" i="3"/>
  <c r="T105" i="3"/>
  <c r="T101" i="3"/>
  <c r="T97" i="3"/>
  <c r="T93" i="3"/>
  <c r="T89" i="3"/>
  <c r="T85" i="3"/>
  <c r="T81" i="3"/>
  <c r="M345" i="3"/>
  <c r="R327" i="3"/>
  <c r="R311" i="3"/>
  <c r="R295" i="3"/>
  <c r="R279" i="3"/>
  <c r="R263" i="3"/>
  <c r="P248" i="3"/>
  <c r="P238" i="3"/>
  <c r="M234" i="3"/>
  <c r="R223" i="3"/>
  <c r="R219" i="3"/>
  <c r="R215" i="3"/>
  <c r="R211" i="3"/>
  <c r="R207" i="3"/>
  <c r="R203" i="3"/>
  <c r="R199" i="3"/>
  <c r="R195" i="3"/>
  <c r="R191" i="3"/>
  <c r="R187" i="3"/>
  <c r="R183" i="3"/>
  <c r="R179" i="3"/>
  <c r="R175" i="3"/>
  <c r="R171" i="3"/>
  <c r="R167" i="3"/>
  <c r="R163" i="3"/>
  <c r="R159" i="3"/>
  <c r="R155" i="3"/>
  <c r="R151" i="3"/>
  <c r="R147" i="3"/>
  <c r="R143" i="3"/>
  <c r="R139" i="3"/>
  <c r="R135" i="3"/>
  <c r="R131" i="3"/>
  <c r="R127" i="3"/>
  <c r="R123" i="3"/>
  <c r="R119" i="3"/>
  <c r="R115" i="3"/>
  <c r="R111" i="3"/>
  <c r="R107" i="3"/>
  <c r="R103" i="3"/>
  <c r="R99" i="3"/>
  <c r="R95" i="3"/>
  <c r="R91" i="3"/>
  <c r="R87" i="3"/>
  <c r="R83" i="3"/>
  <c r="R79" i="3"/>
  <c r="R75" i="3"/>
  <c r="R71" i="3"/>
  <c r="R67" i="3"/>
  <c r="R63" i="3"/>
  <c r="R59" i="3"/>
  <c r="R55" i="3"/>
  <c r="R51" i="3"/>
  <c r="R47" i="3"/>
  <c r="R43" i="3"/>
  <c r="R39" i="3"/>
  <c r="R35" i="3"/>
  <c r="M31" i="3"/>
  <c r="M27" i="3"/>
  <c r="R337" i="3"/>
  <c r="R321" i="3"/>
  <c r="R305" i="3"/>
  <c r="R289" i="3"/>
  <c r="R273" i="3"/>
  <c r="R257" i="3"/>
  <c r="T248" i="3"/>
  <c r="P239" i="3"/>
  <c r="T233" i="3"/>
  <c r="P228" i="3"/>
  <c r="T220" i="3"/>
  <c r="T216" i="3"/>
  <c r="T212" i="3"/>
  <c r="T208" i="3"/>
  <c r="T204" i="3"/>
  <c r="T200" i="3"/>
  <c r="T196" i="3"/>
  <c r="T192" i="3"/>
  <c r="T188" i="3"/>
  <c r="T184" i="3"/>
  <c r="T180" i="3"/>
  <c r="T176" i="3"/>
  <c r="T172" i="3"/>
  <c r="T168" i="3"/>
  <c r="T164" i="3"/>
  <c r="T160" i="3"/>
  <c r="T156" i="3"/>
  <c r="T152" i="3"/>
  <c r="T148" i="3"/>
  <c r="T144" i="3"/>
  <c r="T140" i="3"/>
  <c r="T136" i="3"/>
  <c r="T132" i="3"/>
  <c r="T128" i="3"/>
  <c r="T124" i="3"/>
  <c r="T120" i="3"/>
  <c r="T116" i="3"/>
  <c r="T112" i="3"/>
  <c r="T108" i="3"/>
  <c r="T104" i="3"/>
  <c r="T100" i="3"/>
  <c r="T96" i="3"/>
  <c r="T92" i="3"/>
  <c r="T88" i="3"/>
  <c r="T84" i="3"/>
  <c r="T80" i="3"/>
  <c r="T76" i="3"/>
  <c r="T72" i="3"/>
  <c r="T68" i="3"/>
  <c r="M341" i="3"/>
  <c r="M325" i="3"/>
  <c r="M309" i="3"/>
  <c r="M293" i="3"/>
  <c r="M277" i="3"/>
  <c r="M261" i="3"/>
  <c r="M249" i="3"/>
  <c r="T244" i="3"/>
  <c r="P235" i="3"/>
  <c r="T229" i="3"/>
  <c r="P224" i="3"/>
  <c r="R220" i="3"/>
  <c r="R216" i="3"/>
  <c r="R212" i="3"/>
  <c r="R208" i="3"/>
  <c r="R204" i="3"/>
  <c r="R200" i="3"/>
  <c r="R196" i="3"/>
  <c r="R192" i="3"/>
  <c r="R188" i="3"/>
  <c r="R184" i="3"/>
  <c r="R180" i="3"/>
  <c r="R176" i="3"/>
  <c r="R172" i="3"/>
  <c r="R168" i="3"/>
  <c r="R164" i="3"/>
  <c r="R160" i="3"/>
  <c r="R156" i="3"/>
  <c r="R152" i="3"/>
  <c r="R148" i="3"/>
  <c r="R144" i="3"/>
  <c r="R140" i="3"/>
  <c r="R136" i="3"/>
  <c r="R132" i="3"/>
  <c r="R128" i="3"/>
  <c r="R124" i="3"/>
  <c r="R120" i="3"/>
  <c r="R116" i="3"/>
  <c r="R112" i="3"/>
  <c r="R108" i="3"/>
  <c r="R104" i="3"/>
  <c r="R100" i="3"/>
  <c r="R96" i="3"/>
  <c r="R92" i="3"/>
  <c r="R88" i="3"/>
  <c r="R84" i="3"/>
  <c r="R80" i="3"/>
  <c r="R76" i="3"/>
  <c r="R72" i="3"/>
  <c r="R68" i="3"/>
  <c r="R64" i="3"/>
  <c r="R60" i="3"/>
  <c r="R56" i="3"/>
  <c r="T77" i="3"/>
  <c r="T73" i="3"/>
  <c r="T69" i="3"/>
  <c r="T65" i="3"/>
  <c r="T61" i="3"/>
  <c r="T57" i="3"/>
  <c r="T53" i="3"/>
  <c r="M47" i="3"/>
  <c r="M39" i="3"/>
  <c r="R4" i="3"/>
  <c r="P51" i="3"/>
  <c r="P43" i="3"/>
  <c r="P35" i="3"/>
  <c r="R29" i="3"/>
  <c r="M25" i="3"/>
  <c r="M21" i="3"/>
  <c r="M17" i="3"/>
  <c r="M13" i="3"/>
  <c r="M4" i="3"/>
  <c r="T62" i="3"/>
  <c r="T58" i="3"/>
  <c r="T54" i="3"/>
  <c r="T48" i="3"/>
  <c r="T40" i="3"/>
  <c r="P34" i="3"/>
  <c r="R28" i="3"/>
  <c r="P25" i="3"/>
  <c r="P23" i="3"/>
  <c r="P21" i="3"/>
  <c r="P19" i="3"/>
  <c r="P17" i="3"/>
  <c r="P15" i="3"/>
  <c r="P13" i="3"/>
  <c r="P11" i="3"/>
  <c r="P9" i="3"/>
  <c r="P7" i="3"/>
  <c r="P5" i="3"/>
  <c r="P3" i="3"/>
  <c r="M52" i="3"/>
  <c r="T49" i="3"/>
  <c r="R46" i="3"/>
  <c r="M44" i="3"/>
  <c r="T41" i="3"/>
  <c r="R38" i="3"/>
  <c r="M36" i="3"/>
  <c r="R27" i="3"/>
  <c r="T28" i="3"/>
  <c r="R24" i="3"/>
  <c r="R20" i="3"/>
  <c r="R16" i="3"/>
  <c r="R12" i="3"/>
  <c r="R7" i="3"/>
  <c r="M9" i="3"/>
  <c r="P33" i="3"/>
  <c r="L197" i="8"/>
  <c r="M174" i="8"/>
  <c r="K155" i="8"/>
  <c r="J137" i="8"/>
  <c r="M130" i="8"/>
  <c r="L115" i="8"/>
  <c r="L100" i="8"/>
  <c r="K84" i="8"/>
  <c r="L71" i="8"/>
  <c r="L56" i="8"/>
  <c r="J41" i="8"/>
  <c r="J26" i="8"/>
  <c r="L13" i="8"/>
  <c r="R400" i="3"/>
  <c r="R392" i="3"/>
  <c r="R384" i="3"/>
  <c r="R376" i="3"/>
  <c r="R368" i="3"/>
  <c r="M392" i="8"/>
  <c r="J265" i="8"/>
  <c r="L137" i="8"/>
  <c r="L10" i="8"/>
  <c r="K1126" i="8"/>
  <c r="L998" i="8"/>
  <c r="K901" i="8"/>
  <c r="L855" i="8"/>
  <c r="J813" i="8"/>
  <c r="M770" i="8"/>
  <c r="K728" i="8"/>
  <c r="J687" i="8"/>
  <c r="J644" i="8"/>
  <c r="L602" i="8"/>
  <c r="L559" i="8"/>
  <c r="L520" i="8"/>
  <c r="L489" i="8"/>
  <c r="L457" i="8"/>
  <c r="L425" i="8"/>
  <c r="M393" i="8"/>
  <c r="K1031" i="8"/>
  <c r="K863" i="8"/>
  <c r="K775" i="8"/>
  <c r="J692" i="8"/>
  <c r="K1013" i="8"/>
  <c r="K858" i="8"/>
  <c r="M771" i="8"/>
  <c r="K687" i="8"/>
  <c r="J605" i="8"/>
  <c r="J396" i="8"/>
  <c r="L356" i="8"/>
  <c r="M335" i="8"/>
  <c r="J313" i="8"/>
  <c r="L292" i="8"/>
  <c r="J270" i="8"/>
  <c r="M249" i="8"/>
  <c r="K227" i="8"/>
  <c r="K206" i="8"/>
  <c r="M185" i="8"/>
  <c r="J164" i="8"/>
  <c r="M143" i="8"/>
  <c r="K1115" i="8"/>
  <c r="J989" i="8"/>
  <c r="K899" i="8"/>
  <c r="M853" i="8"/>
  <c r="L812" i="8"/>
  <c r="K772" i="8"/>
  <c r="L731" i="8"/>
  <c r="J688" i="8"/>
  <c r="K1121" i="8"/>
  <c r="L990" i="8"/>
  <c r="J896" i="8"/>
  <c r="K854" i="8"/>
  <c r="J812" i="8"/>
  <c r="M767" i="8"/>
  <c r="L726" i="8"/>
  <c r="J690" i="8"/>
  <c r="K658" i="8"/>
  <c r="J633" i="8"/>
  <c r="K602" i="8"/>
  <c r="M571" i="8"/>
  <c r="K546" i="8"/>
  <c r="K525" i="8"/>
  <c r="L514" i="8"/>
  <c r="M504" i="8"/>
  <c r="M493" i="8"/>
  <c r="M482" i="8"/>
  <c r="M472" i="8"/>
  <c r="M461" i="8"/>
  <c r="M450" i="8"/>
  <c r="M440" i="8"/>
  <c r="M429" i="8"/>
  <c r="M418" i="8"/>
  <c r="M408" i="8"/>
  <c r="M385" i="8"/>
  <c r="L370" i="8"/>
  <c r="M357" i="8"/>
  <c r="L342" i="8"/>
  <c r="J327" i="8"/>
  <c r="L314" i="8"/>
  <c r="J299" i="8"/>
  <c r="M285" i="8"/>
  <c r="J272" i="8"/>
  <c r="M259" i="8"/>
  <c r="K244" i="8"/>
  <c r="M231" i="8"/>
  <c r="K216" i="8"/>
  <c r="K201" i="8"/>
  <c r="K188" i="8"/>
  <c r="K173" i="8"/>
  <c r="J158" i="8"/>
  <c r="L146" i="8"/>
  <c r="M132" i="8"/>
  <c r="K117" i="8"/>
  <c r="L105" i="8"/>
  <c r="K89" i="8"/>
  <c r="L74" i="8"/>
  <c r="L61" i="8"/>
  <c r="L46" i="8"/>
  <c r="J31" i="8"/>
  <c r="L18" i="8"/>
  <c r="L3" i="8"/>
  <c r="J631" i="8"/>
  <c r="K580" i="8"/>
  <c r="M525" i="8"/>
  <c r="K480" i="8"/>
  <c r="K440" i="8"/>
  <c r="L396" i="8"/>
  <c r="M364" i="8"/>
  <c r="K339" i="8"/>
  <c r="M308" i="8"/>
  <c r="K282" i="8"/>
  <c r="L257" i="8"/>
  <c r="M226" i="8"/>
  <c r="J200" i="8"/>
  <c r="M170" i="8"/>
  <c r="K143" i="8"/>
  <c r="L120" i="8"/>
  <c r="M106" i="8"/>
  <c r="K91" i="8"/>
  <c r="L79" i="8"/>
  <c r="L64" i="8"/>
  <c r="J49" i="8"/>
  <c r="J34" i="8"/>
  <c r="K19" i="8"/>
  <c r="K7" i="8"/>
  <c r="C7" i="4"/>
  <c r="T396" i="3"/>
  <c r="J635" i="8"/>
  <c r="M597" i="8"/>
  <c r="K552" i="8"/>
  <c r="N514" i="8"/>
  <c r="K485" i="8"/>
  <c r="K453" i="8"/>
  <c r="K421" i="8"/>
  <c r="L389" i="8"/>
  <c r="M366" i="8"/>
  <c r="K348" i="8"/>
  <c r="K325" i="8"/>
  <c r="M302" i="8"/>
  <c r="K284" i="8"/>
  <c r="J266" i="8"/>
  <c r="L243" i="8"/>
  <c r="M220" i="8"/>
  <c r="J202" i="8"/>
  <c r="L179" i="8"/>
  <c r="N155" i="8"/>
  <c r="K137" i="8"/>
  <c r="L122" i="8"/>
  <c r="K107" i="8"/>
  <c r="J92" i="8"/>
  <c r="L84" i="8"/>
  <c r="M74" i="8"/>
  <c r="L59" i="8"/>
  <c r="L44" i="8"/>
  <c r="J29" i="8"/>
  <c r="K14" i="8"/>
  <c r="C11" i="4"/>
  <c r="M649" i="8"/>
  <c r="K604" i="8"/>
  <c r="J559" i="8"/>
  <c r="M519" i="8"/>
  <c r="K490" i="8"/>
  <c r="K458" i="8"/>
  <c r="K426" i="8"/>
  <c r="L394" i="8"/>
  <c r="M368" i="8"/>
  <c r="K350" i="8"/>
  <c r="K327" i="8"/>
  <c r="M304" i="8"/>
  <c r="K286" i="8"/>
  <c r="L261" i="8"/>
  <c r="M238" i="8"/>
  <c r="J220" i="8"/>
  <c r="L345" i="8"/>
  <c r="J217" i="8"/>
  <c r="J90" i="8"/>
  <c r="K1293" i="8"/>
  <c r="K1078" i="8"/>
  <c r="L957" i="8"/>
  <c r="M882" i="8"/>
  <c r="L839" i="8"/>
  <c r="J797" i="8"/>
  <c r="M755" i="8"/>
  <c r="K712" i="8"/>
  <c r="J671" i="8"/>
  <c r="J628" i="8"/>
  <c r="L586" i="8"/>
  <c r="L543" i="8"/>
  <c r="L509" i="8"/>
  <c r="L477" i="8"/>
  <c r="L445" i="8"/>
  <c r="L413" i="8"/>
  <c r="K1234" i="8"/>
  <c r="J946" i="8"/>
  <c r="K831" i="8"/>
  <c r="J742" i="8"/>
  <c r="M1195" i="8"/>
  <c r="L926" i="8"/>
  <c r="L826" i="8"/>
  <c r="L738" i="8"/>
  <c r="M655" i="8"/>
  <c r="J573" i="8"/>
  <c r="M383" i="8"/>
  <c r="L348" i="8"/>
  <c r="M327" i="8"/>
  <c r="J305" i="8"/>
  <c r="L284" i="8"/>
  <c r="K262" i="8"/>
  <c r="M241" i="8"/>
  <c r="K219" i="8"/>
  <c r="K198" i="8"/>
  <c r="M177" i="8"/>
  <c r="J156" i="8"/>
  <c r="K1274" i="8"/>
  <c r="K1067" i="8"/>
  <c r="L942" i="8"/>
  <c r="K883" i="8"/>
  <c r="M837" i="8"/>
  <c r="L796" i="8"/>
  <c r="L756" i="8"/>
  <c r="L715" i="8"/>
  <c r="M1298" i="8"/>
  <c r="K1073" i="8"/>
  <c r="L951" i="8"/>
  <c r="M879" i="8"/>
  <c r="K838" i="8"/>
  <c r="J796" i="8"/>
  <c r="J756" i="8"/>
  <c r="L710" i="8"/>
  <c r="M676" i="8"/>
  <c r="J649" i="8"/>
  <c r="M619" i="8"/>
  <c r="J593" i="8"/>
  <c r="K562" i="8"/>
  <c r="J537" i="8"/>
  <c r="K521" i="8"/>
  <c r="M510" i="8"/>
  <c r="M500" i="8"/>
  <c r="M489" i="8"/>
  <c r="M478" i="8"/>
  <c r="M468" i="8"/>
  <c r="M457" i="8"/>
  <c r="M446" i="8"/>
  <c r="M436" i="8"/>
  <c r="M425" i="8"/>
  <c r="M414" i="8"/>
  <c r="M404" i="8"/>
  <c r="J379" i="8"/>
  <c r="M365" i="8"/>
  <c r="J351" i="8"/>
  <c r="M337" i="8"/>
  <c r="L322" i="8"/>
  <c r="M309" i="8"/>
  <c r="L294" i="8"/>
  <c r="J279" i="8"/>
  <c r="K267" i="8"/>
  <c r="K253" i="8"/>
  <c r="M239" i="8"/>
  <c r="K225" i="8"/>
  <c r="M211" i="8"/>
  <c r="K196" i="8"/>
  <c r="M183" i="8"/>
  <c r="L168" i="8"/>
  <c r="L154" i="8"/>
  <c r="M141" i="8"/>
  <c r="K126" i="8"/>
  <c r="L113" i="8"/>
  <c r="J99" i="8"/>
  <c r="M84" i="8"/>
  <c r="L69" i="8"/>
  <c r="J55" i="8"/>
  <c r="L41" i="8"/>
  <c r="L26" i="8"/>
  <c r="J12" i="8"/>
  <c r="K673" i="8"/>
  <c r="K612" i="8"/>
  <c r="M561" i="8"/>
  <c r="K508" i="8"/>
  <c r="K464" i="8"/>
  <c r="K424" i="8"/>
  <c r="J386" i="8"/>
  <c r="K355" i="8"/>
  <c r="K330" i="8"/>
  <c r="K299" i="8"/>
  <c r="J273" i="8"/>
  <c r="J248" i="8"/>
  <c r="L217" i="8"/>
  <c r="M186" i="8"/>
  <c r="M161" i="8"/>
  <c r="L126" i="8"/>
  <c r="K111" i="8"/>
  <c r="J96" i="8"/>
  <c r="L88" i="8"/>
  <c r="M76" i="8"/>
  <c r="K61" i="8"/>
  <c r="M46" i="8"/>
  <c r="L31" i="8"/>
  <c r="L16" i="8"/>
  <c r="M4" i="8"/>
  <c r="R401" i="3"/>
  <c r="J664" i="8"/>
  <c r="J619" i="8"/>
  <c r="M581" i="8"/>
  <c r="K536" i="8"/>
  <c r="K505" i="8"/>
  <c r="K473" i="8"/>
  <c r="K441" i="8"/>
  <c r="K409" i="8"/>
  <c r="K381" i="8"/>
  <c r="M358" i="8"/>
  <c r="K340" i="8"/>
  <c r="K317" i="8"/>
  <c r="M294" i="8"/>
  <c r="L276" i="8"/>
  <c r="J258" i="8"/>
  <c r="L235" i="8"/>
  <c r="M212" i="8"/>
  <c r="J194" i="8"/>
  <c r="L171" i="8"/>
  <c r="K152" i="8"/>
  <c r="M134" i="8"/>
  <c r="K119" i="8"/>
  <c r="L104" i="8"/>
  <c r="J89" i="8"/>
  <c r="K79" i="8"/>
  <c r="J64" i="8"/>
  <c r="M56" i="8"/>
  <c r="K41" i="8"/>
  <c r="M26" i="8"/>
  <c r="K4" i="8"/>
  <c r="J668" i="8"/>
  <c r="M633" i="8"/>
  <c r="K588" i="8"/>
  <c r="J543" i="8"/>
  <c r="K510" i="8"/>
  <c r="K478" i="8"/>
  <c r="K446" i="8"/>
  <c r="K414" i="8"/>
  <c r="L383" i="8"/>
  <c r="M360" i="8"/>
  <c r="K342" i="8"/>
  <c r="K319" i="8"/>
  <c r="M296" i="8"/>
  <c r="K278" i="8"/>
  <c r="L253" i="8"/>
  <c r="M230" i="8"/>
  <c r="J212" i="8"/>
  <c r="L189" i="8"/>
  <c r="M165" i="8"/>
  <c r="K147" i="8"/>
  <c r="J135" i="8"/>
  <c r="M127" i="8"/>
  <c r="M112" i="8"/>
  <c r="K97" i="8"/>
  <c r="J76" i="8"/>
  <c r="M68" i="8"/>
  <c r="K53" i="8"/>
  <c r="M38" i="8"/>
  <c r="L23" i="8"/>
  <c r="K10" i="8"/>
  <c r="T397" i="3"/>
  <c r="T389" i="3"/>
  <c r="T381" i="3"/>
  <c r="T373" i="3"/>
  <c r="T365" i="3"/>
  <c r="T357" i="3"/>
  <c r="M653" i="8"/>
  <c r="K608" i="8"/>
  <c r="J563" i="8"/>
  <c r="M524" i="8"/>
  <c r="K491" i="8"/>
  <c r="K459" i="8"/>
  <c r="K427" i="8"/>
  <c r="L395" i="8"/>
  <c r="M370" i="8"/>
  <c r="K352" i="8"/>
  <c r="K329" i="8"/>
  <c r="M306" i="8"/>
  <c r="K288" i="8"/>
  <c r="L263" i="8"/>
  <c r="M240" i="8"/>
  <c r="J222" i="8"/>
  <c r="L199" i="8"/>
  <c r="M176" i="8"/>
  <c r="K158" i="8"/>
  <c r="K136" i="8"/>
  <c r="M125" i="8"/>
  <c r="L111" i="8"/>
  <c r="L96" i="8"/>
  <c r="M80" i="8"/>
  <c r="K65" i="8"/>
  <c r="M50" i="8"/>
  <c r="L35" i="8"/>
  <c r="L20" i="8"/>
  <c r="J10" i="8"/>
  <c r="C9" i="4"/>
  <c r="M394" i="3"/>
  <c r="M386" i="3"/>
  <c r="M378" i="3"/>
  <c r="M370" i="3"/>
  <c r="M362" i="3"/>
  <c r="T353" i="3"/>
  <c r="T345" i="3"/>
  <c r="T337" i="3"/>
  <c r="T329" i="3"/>
  <c r="T321" i="3"/>
  <c r="T313" i="3"/>
  <c r="T305" i="3"/>
  <c r="T297" i="3"/>
  <c r="T289" i="3"/>
  <c r="T281" i="3"/>
  <c r="T273" i="3"/>
  <c r="T265" i="3"/>
  <c r="T257" i="3"/>
  <c r="R249" i="3"/>
  <c r="R241" i="3"/>
  <c r="R233" i="3"/>
  <c r="R225" i="3"/>
  <c r="R373" i="3"/>
  <c r="R383" i="3"/>
  <c r="M354" i="3"/>
  <c r="M346" i="3"/>
  <c r="M338" i="3"/>
  <c r="M330" i="3"/>
  <c r="M322" i="3"/>
  <c r="M314" i="3"/>
  <c r="M306" i="3"/>
  <c r="M298" i="3"/>
  <c r="T292" i="3"/>
  <c r="T288" i="3"/>
  <c r="T284" i="3"/>
  <c r="T280" i="3"/>
  <c r="T276" i="3"/>
  <c r="T272" i="3"/>
  <c r="T268" i="3"/>
  <c r="T264" i="3"/>
  <c r="T260" i="3"/>
  <c r="T256" i="3"/>
  <c r="T252" i="3"/>
  <c r="M248" i="3"/>
  <c r="T242" i="3"/>
  <c r="P237" i="3"/>
  <c r="M232" i="3"/>
  <c r="T226" i="3"/>
  <c r="R393" i="3"/>
  <c r="R377" i="3"/>
  <c r="R361" i="3"/>
  <c r="R395" i="3"/>
  <c r="R379" i="3"/>
  <c r="R363" i="3"/>
  <c r="R351" i="3"/>
  <c r="R343" i="3"/>
  <c r="R333" i="3"/>
  <c r="R317" i="3"/>
  <c r="R301" i="3"/>
  <c r="R285" i="3"/>
  <c r="R269" i="3"/>
  <c r="R253" i="3"/>
  <c r="P242" i="3"/>
  <c r="M238" i="3"/>
  <c r="M227" i="3"/>
  <c r="T223" i="3"/>
  <c r="T219" i="3"/>
  <c r="T215" i="3"/>
  <c r="T211" i="3"/>
  <c r="T207" i="3"/>
  <c r="T203" i="3"/>
  <c r="T199" i="3"/>
  <c r="T195" i="3"/>
  <c r="T191" i="3"/>
  <c r="T187" i="3"/>
  <c r="T183" i="3"/>
  <c r="T179" i="3"/>
  <c r="T175" i="3"/>
  <c r="T171" i="3"/>
  <c r="T167" i="3"/>
  <c r="T163" i="3"/>
  <c r="T159" i="3"/>
  <c r="T155" i="3"/>
  <c r="T151" i="3"/>
  <c r="T147" i="3"/>
  <c r="T143" i="3"/>
  <c r="T139" i="3"/>
  <c r="T135" i="3"/>
  <c r="T131" i="3"/>
  <c r="T127" i="3"/>
  <c r="T123" i="3"/>
  <c r="T119" i="3"/>
  <c r="T115" i="3"/>
  <c r="T111" i="3"/>
  <c r="T107" i="3"/>
  <c r="T103" i="3"/>
  <c r="T99" i="3"/>
  <c r="T95" i="3"/>
  <c r="T91" i="3"/>
  <c r="T87" i="3"/>
  <c r="T83" i="3"/>
  <c r="T79" i="3"/>
  <c r="R335" i="3"/>
  <c r="R319" i="3"/>
  <c r="R303" i="3"/>
  <c r="R287" i="3"/>
  <c r="R271" i="3"/>
  <c r="R255" i="3"/>
  <c r="M241" i="3"/>
  <c r="T236" i="3"/>
  <c r="P227" i="3"/>
  <c r="R221" i="3"/>
  <c r="R217" i="3"/>
  <c r="R213" i="3"/>
  <c r="R209" i="3"/>
  <c r="R205" i="3"/>
  <c r="R201" i="3"/>
  <c r="R197" i="3"/>
  <c r="R193" i="3"/>
  <c r="R189" i="3"/>
  <c r="R185" i="3"/>
  <c r="R181" i="3"/>
  <c r="R177" i="3"/>
  <c r="R173" i="3"/>
  <c r="R169" i="3"/>
  <c r="R165" i="3"/>
  <c r="R161" i="3"/>
  <c r="R157" i="3"/>
  <c r="R153" i="3"/>
  <c r="R149" i="3"/>
  <c r="R145" i="3"/>
  <c r="R141" i="3"/>
  <c r="R137" i="3"/>
  <c r="R133" i="3"/>
  <c r="R129" i="3"/>
  <c r="R125" i="3"/>
  <c r="R121" i="3"/>
  <c r="R117" i="3"/>
  <c r="R113" i="3"/>
  <c r="R109" i="3"/>
  <c r="R105" i="3"/>
  <c r="R101" i="3"/>
  <c r="R97" i="3"/>
  <c r="R93" i="3"/>
  <c r="R89" i="3"/>
  <c r="R85" i="3"/>
  <c r="R81" i="3"/>
  <c r="R77" i="3"/>
  <c r="R73" i="3"/>
  <c r="R69" i="3"/>
  <c r="R65" i="3"/>
  <c r="R61" i="3"/>
  <c r="R57" i="3"/>
  <c r="R53" i="3"/>
  <c r="R49" i="3"/>
  <c r="R45" i="3"/>
  <c r="R41" i="3"/>
  <c r="R37" i="3"/>
  <c r="M33" i="3"/>
  <c r="M29" i="3"/>
  <c r="M343" i="3"/>
  <c r="R329" i="3"/>
  <c r="R313" i="3"/>
  <c r="R297" i="3"/>
  <c r="R281" i="3"/>
  <c r="R265" i="3"/>
  <c r="P250" i="3"/>
  <c r="M246" i="3"/>
  <c r="M235" i="3"/>
  <c r="T231" i="3"/>
  <c r="T222" i="3"/>
  <c r="T218" i="3"/>
  <c r="T214" i="3"/>
  <c r="T210" i="3"/>
  <c r="T206" i="3"/>
  <c r="T202" i="3"/>
  <c r="T198" i="3"/>
  <c r="T194" i="3"/>
  <c r="T190" i="3"/>
  <c r="T186" i="3"/>
  <c r="T182" i="3"/>
  <c r="T178" i="3"/>
  <c r="T174" i="3"/>
  <c r="T170" i="3"/>
  <c r="T166" i="3"/>
  <c r="T162" i="3"/>
  <c r="T158" i="3"/>
  <c r="T154" i="3"/>
  <c r="T150" i="3"/>
  <c r="T146" i="3"/>
  <c r="T142" i="3"/>
  <c r="T138" i="3"/>
  <c r="T134" i="3"/>
  <c r="T130" i="3"/>
  <c r="T126" i="3"/>
  <c r="T122" i="3"/>
  <c r="T118" i="3"/>
  <c r="T114" i="3"/>
  <c r="T110" i="3"/>
  <c r="T106" i="3"/>
  <c r="T102" i="3"/>
  <c r="T98" i="3"/>
  <c r="T94" i="3"/>
  <c r="T90" i="3"/>
  <c r="T86" i="3"/>
  <c r="T82" i="3"/>
  <c r="T78" i="3"/>
  <c r="T74" i="3"/>
  <c r="T70" i="3"/>
  <c r="T66" i="3"/>
  <c r="M333" i="3"/>
  <c r="M317" i="3"/>
  <c r="M301" i="3"/>
  <c r="M285" i="3"/>
  <c r="M269" i="3"/>
  <c r="M253" i="3"/>
  <c r="P246" i="3"/>
  <c r="M242" i="3"/>
  <c r="M231" i="3"/>
  <c r="T227" i="3"/>
  <c r="R222" i="3"/>
  <c r="R218" i="3"/>
  <c r="R214" i="3"/>
  <c r="R210" i="3"/>
  <c r="R206" i="3"/>
  <c r="R202" i="3"/>
  <c r="R198" i="3"/>
  <c r="R194" i="3"/>
  <c r="R190" i="3"/>
  <c r="R186" i="3"/>
  <c r="R182" i="3"/>
  <c r="R178" i="3"/>
  <c r="R174" i="3"/>
  <c r="R170" i="3"/>
  <c r="R166" i="3"/>
  <c r="R162" i="3"/>
  <c r="R158" i="3"/>
  <c r="R154" i="3"/>
  <c r="R150" i="3"/>
  <c r="R146" i="3"/>
  <c r="R142" i="3"/>
  <c r="R138" i="3"/>
  <c r="R134" i="3"/>
  <c r="R130" i="3"/>
  <c r="R126" i="3"/>
  <c r="R122" i="3"/>
  <c r="R118" i="3"/>
  <c r="R114" i="3"/>
  <c r="R110" i="3"/>
  <c r="R106" i="3"/>
  <c r="R102" i="3"/>
  <c r="R98" i="3"/>
  <c r="R94" i="3"/>
  <c r="R90" i="3"/>
  <c r="R86" i="3"/>
  <c r="R82" i="3"/>
  <c r="R78" i="3"/>
  <c r="R74" i="3"/>
  <c r="R70" i="3"/>
  <c r="R66" i="3"/>
  <c r="R62" i="3"/>
  <c r="R58" i="3"/>
  <c r="R54" i="3"/>
  <c r="T75" i="3"/>
  <c r="T71" i="3"/>
  <c r="T67" i="3"/>
  <c r="T63" i="3"/>
  <c r="T59" i="3"/>
  <c r="T55" i="3"/>
  <c r="M51" i="3"/>
  <c r="M43" i="3"/>
  <c r="R34" i="3"/>
  <c r="M10" i="3"/>
  <c r="P47" i="3"/>
  <c r="P39" i="3"/>
  <c r="T31" i="3"/>
  <c r="P27" i="3"/>
  <c r="M23" i="3"/>
  <c r="M19" i="3"/>
  <c r="M15" i="3"/>
  <c r="M11" i="3"/>
  <c r="T64" i="3"/>
  <c r="T60" i="3"/>
  <c r="T56" i="3"/>
  <c r="T52" i="3"/>
  <c r="T44" i="3"/>
  <c r="T36" i="3"/>
  <c r="T30" i="3"/>
  <c r="L329" i="8"/>
  <c r="K1062" i="8"/>
  <c r="L791" i="8"/>
  <c r="L623" i="8"/>
  <c r="L473" i="8"/>
  <c r="L919" i="8"/>
  <c r="L907" i="8"/>
  <c r="M559" i="8"/>
  <c r="M303" i="8"/>
  <c r="M217" i="8"/>
  <c r="K1200" i="8"/>
  <c r="K835" i="8"/>
  <c r="J1225" i="8"/>
  <c r="M831" i="8"/>
  <c r="K675" i="8"/>
  <c r="J561" i="8"/>
  <c r="M498" i="8"/>
  <c r="M456" i="8"/>
  <c r="M413" i="8"/>
  <c r="M349" i="8"/>
  <c r="M293" i="8"/>
  <c r="K237" i="8"/>
  <c r="K180" i="8"/>
  <c r="K125" i="8"/>
  <c r="J67" i="8"/>
  <c r="M10" i="8"/>
  <c r="K504" i="8"/>
  <c r="K354" i="8"/>
  <c r="L241" i="8"/>
  <c r="J125" i="8"/>
  <c r="J68" i="8"/>
  <c r="L15" i="8"/>
  <c r="K616" i="8"/>
  <c r="K469" i="8"/>
  <c r="K357" i="8"/>
  <c r="J275" i="8"/>
  <c r="M188" i="8"/>
  <c r="M118" i="8"/>
  <c r="K63" i="8"/>
  <c r="K3" i="8"/>
  <c r="K540" i="8"/>
  <c r="K410" i="8"/>
  <c r="K318" i="8"/>
  <c r="L229" i="8"/>
  <c r="K146" i="8"/>
  <c r="M96" i="8"/>
  <c r="K37" i="8"/>
  <c r="R388" i="3"/>
  <c r="R360" i="3"/>
  <c r="K624" i="8"/>
  <c r="M541" i="8"/>
  <c r="K471" i="8"/>
  <c r="K407" i="8"/>
  <c r="K360" i="8"/>
  <c r="M314" i="8"/>
  <c r="L272" i="8"/>
  <c r="J230" i="8"/>
  <c r="M184" i="8"/>
  <c r="M142" i="8"/>
  <c r="J114" i="8"/>
  <c r="J83" i="8"/>
  <c r="J53" i="8"/>
  <c r="K23" i="8"/>
  <c r="M5" i="8"/>
  <c r="T388" i="3"/>
  <c r="T372" i="3"/>
  <c r="T356" i="3"/>
  <c r="R340" i="3"/>
  <c r="R324" i="3"/>
  <c r="R308" i="3"/>
  <c r="R292" i="3"/>
  <c r="R276" i="3"/>
  <c r="R260" i="3"/>
  <c r="R244" i="3"/>
  <c r="R228" i="3"/>
  <c r="M393" i="3"/>
  <c r="T348" i="3"/>
  <c r="T332" i="3"/>
  <c r="T316" i="3"/>
  <c r="T300" i="3"/>
  <c r="M290" i="3"/>
  <c r="M282" i="3"/>
  <c r="M274" i="3"/>
  <c r="M266" i="3"/>
  <c r="M258" i="3"/>
  <c r="P249" i="3"/>
  <c r="T238" i="3"/>
  <c r="M228" i="3"/>
  <c r="M379" i="3"/>
  <c r="M396" i="3"/>
  <c r="M365" i="3"/>
  <c r="R345" i="3"/>
  <c r="M319" i="3"/>
  <c r="M287" i="3"/>
  <c r="M255" i="3"/>
  <c r="T239" i="3"/>
  <c r="T224" i="3"/>
  <c r="M216" i="3"/>
  <c r="M208" i="3"/>
  <c r="M200" i="3"/>
  <c r="M192" i="3"/>
  <c r="M184" i="3"/>
  <c r="M176" i="3"/>
  <c r="M168" i="3"/>
  <c r="M160" i="3"/>
  <c r="M152" i="3"/>
  <c r="M144" i="3"/>
  <c r="M136" i="3"/>
  <c r="M128" i="3"/>
  <c r="M120" i="3"/>
  <c r="M112" i="3"/>
  <c r="M104" i="3"/>
  <c r="M96" i="3"/>
  <c r="M88" i="3"/>
  <c r="M80" i="3"/>
  <c r="M321" i="3"/>
  <c r="M289" i="3"/>
  <c r="M257" i="3"/>
  <c r="T237" i="3"/>
  <c r="P222" i="3"/>
  <c r="P214" i="3"/>
  <c r="P206" i="3"/>
  <c r="P198" i="3"/>
  <c r="P190" i="3"/>
  <c r="P182" i="3"/>
  <c r="P174" i="3"/>
  <c r="P166" i="3"/>
  <c r="P158" i="3"/>
  <c r="P150" i="3"/>
  <c r="P142" i="3"/>
  <c r="P134" i="3"/>
  <c r="P126" i="3"/>
  <c r="P118" i="3"/>
  <c r="P110" i="3"/>
  <c r="P102" i="3"/>
  <c r="P94" i="3"/>
  <c r="P86" i="3"/>
  <c r="P78" i="3"/>
  <c r="P70" i="3"/>
  <c r="P62" i="3"/>
  <c r="P54" i="3"/>
  <c r="P46" i="3"/>
  <c r="P38" i="3"/>
  <c r="M30" i="3"/>
  <c r="M331" i="3"/>
  <c r="M299" i="3"/>
  <c r="M267" i="3"/>
  <c r="T247" i="3"/>
  <c r="T232" i="3"/>
  <c r="M219" i="3"/>
  <c r="M211" i="3"/>
  <c r="M203" i="3"/>
  <c r="M195" i="3"/>
  <c r="M187" i="3"/>
  <c r="M179" i="3"/>
  <c r="M171" i="3"/>
  <c r="M163" i="3"/>
  <c r="M155" i="3"/>
  <c r="M147" i="3"/>
  <c r="M139" i="3"/>
  <c r="M131" i="3"/>
  <c r="M123" i="3"/>
  <c r="M115" i="3"/>
  <c r="M107" i="3"/>
  <c r="M99" i="3"/>
  <c r="M91" i="3"/>
  <c r="M83" i="3"/>
  <c r="M75" i="3"/>
  <c r="M67" i="3"/>
  <c r="R323" i="3"/>
  <c r="R291" i="3"/>
  <c r="R259" i="3"/>
  <c r="T243" i="3"/>
  <c r="T228" i="3"/>
  <c r="P219" i="3"/>
  <c r="P211" i="3"/>
  <c r="P203" i="3"/>
  <c r="P195" i="3"/>
  <c r="P187" i="3"/>
  <c r="P179" i="3"/>
  <c r="P171" i="3"/>
  <c r="P163" i="3"/>
  <c r="P155" i="3"/>
  <c r="P147" i="3"/>
  <c r="P139" i="3"/>
  <c r="P131" i="3"/>
  <c r="P123" i="3"/>
  <c r="P115" i="3"/>
  <c r="P107" i="3"/>
  <c r="P99" i="3"/>
  <c r="P91" i="3"/>
  <c r="P83" i="3"/>
  <c r="P75" i="3"/>
  <c r="P67" i="3"/>
  <c r="P59" i="3"/>
  <c r="M76" i="3"/>
  <c r="M68" i="3"/>
  <c r="M61" i="3"/>
  <c r="M53" i="3"/>
  <c r="M37" i="3"/>
  <c r="P49" i="3"/>
  <c r="R33" i="3"/>
  <c r="M24" i="3"/>
  <c r="M16" i="3"/>
  <c r="M3" i="3"/>
  <c r="M58" i="3"/>
  <c r="T46" i="3"/>
  <c r="R32" i="3"/>
  <c r="T25" i="3"/>
  <c r="T22" i="3"/>
  <c r="P20" i="3"/>
  <c r="T17" i="3"/>
  <c r="T14" i="3"/>
  <c r="P12" i="3"/>
  <c r="T9" i="3"/>
  <c r="T6" i="3"/>
  <c r="P4" i="3"/>
  <c r="R52" i="3"/>
  <c r="R48" i="3"/>
  <c r="T45" i="3"/>
  <c r="M42" i="3"/>
  <c r="M38" i="3"/>
  <c r="T29" i="3"/>
  <c r="R30" i="3"/>
  <c r="R23" i="3"/>
  <c r="R18" i="3"/>
  <c r="R13" i="3"/>
  <c r="R6" i="3"/>
  <c r="M5" i="3"/>
  <c r="M6" i="3"/>
  <c r="J201" i="8"/>
  <c r="K305" i="8"/>
  <c r="M110" i="8"/>
  <c r="J72" i="8"/>
  <c r="L19" i="8"/>
  <c r="T384" i="3"/>
  <c r="T368" i="3"/>
  <c r="R352" i="3"/>
  <c r="R336" i="3"/>
  <c r="R320" i="3"/>
  <c r="R288" i="3"/>
  <c r="R256" i="3"/>
  <c r="R224" i="3"/>
  <c r="T344" i="3"/>
  <c r="T328" i="3"/>
  <c r="T296" i="3"/>
  <c r="M280" i="3"/>
  <c r="M264" i="3"/>
  <c r="M256" i="3"/>
  <c r="M236" i="3"/>
  <c r="M357" i="3"/>
  <c r="M311" i="3"/>
  <c r="P247" i="3"/>
  <c r="M222" i="3"/>
  <c r="M206" i="3"/>
  <c r="M190" i="3"/>
  <c r="M174" i="3"/>
  <c r="M158" i="3"/>
  <c r="M142" i="3"/>
  <c r="M134" i="3"/>
  <c r="M118" i="3"/>
  <c r="M102" i="3"/>
  <c r="M86" i="3"/>
  <c r="M313" i="3"/>
  <c r="M250" i="3"/>
  <c r="P204" i="3"/>
  <c r="P188" i="3"/>
  <c r="P164" i="3"/>
  <c r="P148" i="3"/>
  <c r="P132" i="3"/>
  <c r="P116" i="3"/>
  <c r="P100" i="3"/>
  <c r="P76" i="3"/>
  <c r="P60" i="3"/>
  <c r="P44" i="3"/>
  <c r="M28" i="3"/>
  <c r="P244" i="3"/>
  <c r="M217" i="3"/>
  <c r="M161" i="3"/>
  <c r="M145" i="3"/>
  <c r="M129" i="3"/>
  <c r="M113" i="3"/>
  <c r="M97" i="3"/>
  <c r="M81" i="3"/>
  <c r="M349" i="3"/>
  <c r="R315" i="3"/>
  <c r="R251" i="3"/>
  <c r="M226" i="3"/>
  <c r="P193" i="3"/>
  <c r="P177" i="3"/>
  <c r="P161" i="3"/>
  <c r="P153" i="3"/>
  <c r="P137" i="3"/>
  <c r="P121" i="3"/>
  <c r="P105" i="3"/>
  <c r="P97" i="3"/>
  <c r="P81" i="3"/>
  <c r="P65" i="3"/>
  <c r="M74" i="3"/>
  <c r="M59" i="3"/>
  <c r="R8" i="3"/>
  <c r="P31" i="3"/>
  <c r="M14" i="3"/>
  <c r="M64" i="3"/>
  <c r="T42" i="3"/>
  <c r="T24" i="3"/>
  <c r="T19" i="3"/>
  <c r="P14" i="3"/>
  <c r="T8" i="3"/>
  <c r="T3" i="3"/>
  <c r="T51" i="3"/>
  <c r="M48" i="3"/>
  <c r="R44" i="3"/>
  <c r="R40" i="3"/>
  <c r="T37" i="3"/>
  <c r="P29" i="3"/>
  <c r="P28" i="3"/>
  <c r="R22" i="3"/>
  <c r="R17" i="3"/>
  <c r="R11" i="3"/>
  <c r="R5" i="3"/>
  <c r="T33" i="3"/>
  <c r="K74" i="8"/>
  <c r="J876" i="8"/>
  <c r="M707" i="8"/>
  <c r="L538" i="8"/>
  <c r="L409" i="8"/>
  <c r="L728" i="8"/>
  <c r="L729" i="8"/>
  <c r="J345" i="8"/>
  <c r="K259" i="8"/>
  <c r="K174" i="8"/>
  <c r="J933" i="8"/>
  <c r="J754" i="8"/>
  <c r="M937" i="8"/>
  <c r="L749" i="8"/>
  <c r="J617" i="8"/>
  <c r="K520" i="8"/>
  <c r="M477" i="8"/>
  <c r="M434" i="8"/>
  <c r="L378" i="8"/>
  <c r="M321" i="8"/>
  <c r="K265" i="8"/>
  <c r="K209" i="8"/>
  <c r="M153" i="8"/>
  <c r="L97" i="8"/>
  <c r="J39" i="8"/>
  <c r="M609" i="8"/>
  <c r="K416" i="8"/>
  <c r="K298" i="8"/>
  <c r="L185" i="8"/>
  <c r="K95" i="8"/>
  <c r="K45" i="8"/>
  <c r="T400" i="3"/>
  <c r="M533" i="8"/>
  <c r="K405" i="8"/>
  <c r="K316" i="8"/>
  <c r="J234" i="8"/>
  <c r="M146" i="8"/>
  <c r="K88" i="8"/>
  <c r="M40" i="8"/>
  <c r="J623" i="8"/>
  <c r="K474" i="8"/>
  <c r="K359" i="8"/>
  <c r="L271" i="8"/>
  <c r="J188" i="8"/>
  <c r="J119" i="8"/>
  <c r="J60" i="8"/>
  <c r="M9" i="8"/>
  <c r="R372" i="3"/>
  <c r="M666" i="8"/>
  <c r="J579" i="8"/>
  <c r="K503" i="8"/>
  <c r="K439" i="8"/>
  <c r="M378" i="8"/>
  <c r="K337" i="8"/>
  <c r="K296" i="8"/>
  <c r="M248" i="8"/>
  <c r="L207" i="8"/>
  <c r="K166" i="8"/>
  <c r="K128" i="8"/>
  <c r="K99" i="8"/>
  <c r="L68" i="8"/>
  <c r="J38" i="8"/>
  <c r="K13" i="8"/>
  <c r="M397" i="3"/>
  <c r="T380" i="3"/>
  <c r="T364" i="3"/>
  <c r="R348" i="3"/>
  <c r="R332" i="3"/>
  <c r="R316" i="3"/>
  <c r="R300" i="3"/>
  <c r="R284" i="3"/>
  <c r="R268" i="3"/>
  <c r="R252" i="3"/>
  <c r="R236" i="3"/>
  <c r="M383" i="3"/>
  <c r="M361" i="3"/>
  <c r="T340" i="3"/>
  <c r="T324" i="3"/>
  <c r="T308" i="3"/>
  <c r="M294" i="3"/>
  <c r="M286" i="3"/>
  <c r="M278" i="3"/>
  <c r="M270" i="3"/>
  <c r="M262" i="3"/>
  <c r="M254" i="3"/>
  <c r="M244" i="3"/>
  <c r="P233" i="3"/>
  <c r="M395" i="3"/>
  <c r="M363" i="3"/>
  <c r="M381" i="3"/>
  <c r="R353" i="3"/>
  <c r="M335" i="3"/>
  <c r="M303" i="3"/>
  <c r="M271" i="3"/>
  <c r="M243" i="3"/>
  <c r="M229" i="3"/>
  <c r="M220" i="3"/>
  <c r="M204" i="3"/>
  <c r="M196" i="3"/>
  <c r="M188" i="3"/>
  <c r="M180" i="3"/>
  <c r="M164" i="3"/>
  <c r="M148" i="3"/>
  <c r="M124" i="3"/>
  <c r="M108" i="3"/>
  <c r="M92" i="3"/>
  <c r="M337" i="3"/>
  <c r="M273" i="3"/>
  <c r="P218" i="3"/>
  <c r="P202" i="3"/>
  <c r="P186" i="3"/>
  <c r="P170" i="3"/>
  <c r="P146" i="3"/>
  <c r="P130" i="3"/>
  <c r="P114" i="3"/>
  <c r="P98" i="3"/>
  <c r="P82" i="3"/>
  <c r="P66" i="3"/>
  <c r="P50" i="3"/>
  <c r="M34" i="3"/>
  <c r="M251" i="3"/>
  <c r="M223" i="3"/>
  <c r="M207" i="3"/>
  <c r="M183" i="3"/>
  <c r="M167" i="3"/>
  <c r="M151" i="3"/>
  <c r="M135" i="3"/>
  <c r="M119" i="3"/>
  <c r="M95" i="3"/>
  <c r="M79" i="3"/>
  <c r="R339" i="3"/>
  <c r="R307" i="3"/>
  <c r="M247" i="3"/>
  <c r="P215" i="3"/>
  <c r="P191" i="3"/>
  <c r="P167" i="3"/>
  <c r="P151" i="3"/>
  <c r="P127" i="3"/>
  <c r="P103" i="3"/>
  <c r="P87" i="3"/>
  <c r="P63" i="3"/>
  <c r="M72" i="3"/>
  <c r="M45" i="3"/>
  <c r="P41" i="3"/>
  <c r="M12" i="3"/>
  <c r="M54" i="3"/>
  <c r="P24" i="3"/>
  <c r="T18" i="3"/>
  <c r="T13" i="3"/>
  <c r="T5" i="3"/>
  <c r="R50" i="3"/>
  <c r="T43" i="3"/>
  <c r="R36" i="3"/>
  <c r="T32" i="3"/>
  <c r="R26" i="3"/>
  <c r="R15" i="3"/>
  <c r="R10" i="3"/>
  <c r="R31" i="3"/>
  <c r="M834" i="8"/>
  <c r="K666" i="8"/>
  <c r="L1162" i="8"/>
  <c r="K646" i="8"/>
  <c r="K238" i="8"/>
  <c r="J153" i="8"/>
  <c r="L708" i="8"/>
  <c r="J708" i="8"/>
  <c r="M587" i="8"/>
  <c r="M424" i="8"/>
  <c r="L306" i="8"/>
  <c r="M195" i="8"/>
  <c r="L82" i="8"/>
  <c r="L25" i="8"/>
  <c r="L267" i="8"/>
  <c r="J159" i="8"/>
  <c r="M30" i="8"/>
  <c r="K501" i="8"/>
  <c r="K293" i="8"/>
  <c r="J78" i="8"/>
  <c r="M585" i="8"/>
  <c r="M336" i="8"/>
  <c r="K164" i="8"/>
  <c r="M52" i="8"/>
  <c r="R396" i="3"/>
  <c r="R364" i="3"/>
  <c r="J643" i="8"/>
  <c r="K560" i="8"/>
  <c r="K487" i="8"/>
  <c r="K423" i="8"/>
  <c r="K369" i="8"/>
  <c r="K328" i="8"/>
  <c r="M282" i="8"/>
  <c r="L239" i="8"/>
  <c r="J198" i="8"/>
  <c r="J157" i="8"/>
  <c r="L124" i="8"/>
  <c r="L95" i="8"/>
  <c r="M64" i="8"/>
  <c r="M34" i="8"/>
  <c r="L9" i="8"/>
  <c r="T392" i="3"/>
  <c r="T376" i="3"/>
  <c r="T360" i="3"/>
  <c r="R344" i="3"/>
  <c r="R328" i="3"/>
  <c r="R312" i="3"/>
  <c r="R296" i="3"/>
  <c r="R280" i="3"/>
  <c r="R264" i="3"/>
  <c r="R248" i="3"/>
  <c r="R232" i="3"/>
  <c r="M367" i="3"/>
  <c r="T352" i="3"/>
  <c r="T336" i="3"/>
  <c r="T320" i="3"/>
  <c r="T304" i="3"/>
  <c r="M292" i="3"/>
  <c r="M284" i="3"/>
  <c r="M276" i="3"/>
  <c r="M268" i="3"/>
  <c r="M260" i="3"/>
  <c r="M252" i="3"/>
  <c r="P241" i="3"/>
  <c r="T230" i="3"/>
  <c r="M387" i="3"/>
  <c r="M355" i="3"/>
  <c r="M373" i="3"/>
  <c r="R349" i="3"/>
  <c r="M327" i="3"/>
  <c r="M295" i="3"/>
  <c r="M263" i="3"/>
  <c r="T241" i="3"/>
  <c r="P226" i="3"/>
  <c r="M218" i="3"/>
  <c r="M210" i="3"/>
  <c r="M202" i="3"/>
  <c r="M194" i="3"/>
  <c r="M186" i="3"/>
  <c r="M178" i="3"/>
  <c r="M170" i="3"/>
  <c r="M162" i="3"/>
  <c r="M154" i="3"/>
  <c r="M90" i="3"/>
  <c r="P144" i="3"/>
  <c r="P112" i="3"/>
  <c r="P96" i="3"/>
  <c r="P88" i="3"/>
  <c r="P72" i="3"/>
  <c r="P56" i="3"/>
  <c r="P40" i="3"/>
  <c r="M339" i="3"/>
  <c r="M307" i="3"/>
  <c r="M275" i="3"/>
  <c r="T249" i="3"/>
  <c r="M221" i="3"/>
  <c r="M205" i="3"/>
  <c r="M197" i="3"/>
  <c r="M181" i="3"/>
  <c r="M165" i="3"/>
  <c r="M149" i="3"/>
  <c r="M133" i="3"/>
  <c r="M125" i="3"/>
  <c r="M109" i="3"/>
  <c r="M93" i="3"/>
  <c r="M77" i="3"/>
  <c r="R331" i="3"/>
  <c r="R299" i="3"/>
  <c r="T245" i="3"/>
  <c r="P230" i="3"/>
  <c r="P213" i="3"/>
  <c r="P197" i="3"/>
  <c r="P173" i="3"/>
  <c r="P157" i="3"/>
  <c r="P141" i="3"/>
  <c r="P125" i="3"/>
  <c r="P117" i="3"/>
  <c r="P101" i="3"/>
  <c r="P85" i="3"/>
  <c r="P61" i="3"/>
  <c r="M70" i="3"/>
  <c r="M55" i="3"/>
  <c r="M2" i="3"/>
  <c r="M18" i="3"/>
  <c r="M60" i="3"/>
  <c r="P26" i="3"/>
  <c r="T20" i="3"/>
  <c r="T15" i="3"/>
  <c r="L943" i="8"/>
  <c r="J749" i="8"/>
  <c r="J580" i="8"/>
  <c r="L441" i="8"/>
  <c r="L816" i="8"/>
  <c r="L817" i="8"/>
  <c r="J377" i="8"/>
  <c r="J281" i="8"/>
  <c r="K195" i="8"/>
  <c r="K1051" i="8"/>
  <c r="J794" i="8"/>
  <c r="K1057" i="8"/>
  <c r="K790" i="8"/>
  <c r="M643" i="8"/>
  <c r="K530" i="8"/>
  <c r="M488" i="8"/>
  <c r="M445" i="8"/>
  <c r="M402" i="8"/>
  <c r="J335" i="8"/>
  <c r="L278" i="8"/>
  <c r="M223" i="8"/>
  <c r="J166" i="8"/>
  <c r="J111" i="8"/>
  <c r="L53" i="8"/>
  <c r="M670" i="8"/>
  <c r="K460" i="8"/>
  <c r="K323" i="8"/>
  <c r="J216" i="8"/>
  <c r="J110" i="8"/>
  <c r="M60" i="8"/>
  <c r="M3" i="8"/>
  <c r="J571" i="8"/>
  <c r="K437" i="8"/>
  <c r="M334" i="8"/>
  <c r="M252" i="8"/>
  <c r="J170" i="8"/>
  <c r="L103" i="8"/>
  <c r="J48" i="8"/>
  <c r="L665" i="8"/>
  <c r="K506" i="8"/>
  <c r="K382" i="8"/>
  <c r="K295" i="8"/>
  <c r="M206" i="8"/>
  <c r="L134" i="8"/>
  <c r="K75" i="8"/>
  <c r="M22" i="8"/>
  <c r="R380" i="3"/>
  <c r="R356" i="3"/>
  <c r="M605" i="8"/>
  <c r="M520" i="8"/>
  <c r="K455" i="8"/>
  <c r="L391" i="8"/>
  <c r="M346" i="8"/>
  <c r="J262" i="8"/>
  <c r="M216" i="8"/>
  <c r="L175" i="8"/>
  <c r="O135" i="8"/>
  <c r="K49" i="8"/>
  <c r="C5" i="4"/>
  <c r="R304" i="3"/>
  <c r="R272" i="3"/>
  <c r="R240" i="3"/>
  <c r="M377" i="3"/>
  <c r="T312" i="3"/>
  <c r="M288" i="3"/>
  <c r="M272" i="3"/>
  <c r="T246" i="3"/>
  <c r="P225" i="3"/>
  <c r="M371" i="3"/>
  <c r="M389" i="3"/>
  <c r="R341" i="3"/>
  <c r="M279" i="3"/>
  <c r="P236" i="3"/>
  <c r="M214" i="3"/>
  <c r="M198" i="3"/>
  <c r="M182" i="3"/>
  <c r="M166" i="3"/>
  <c r="M150" i="3"/>
  <c r="M126" i="3"/>
  <c r="M110" i="3"/>
  <c r="M94" i="3"/>
  <c r="M78" i="3"/>
  <c r="M281" i="3"/>
  <c r="T235" i="3"/>
  <c r="P220" i="3"/>
  <c r="P212" i="3"/>
  <c r="P196" i="3"/>
  <c r="P180" i="3"/>
  <c r="P172" i="3"/>
  <c r="P156" i="3"/>
  <c r="P140" i="3"/>
  <c r="P124" i="3"/>
  <c r="P108" i="3"/>
  <c r="P92" i="3"/>
  <c r="P84" i="3"/>
  <c r="P68" i="3"/>
  <c r="P52" i="3"/>
  <c r="P36" i="3"/>
  <c r="M323" i="3"/>
  <c r="M291" i="3"/>
  <c r="M259" i="3"/>
  <c r="M230" i="3"/>
  <c r="M209" i="3"/>
  <c r="M201" i="3"/>
  <c r="M193" i="3"/>
  <c r="M185" i="3"/>
  <c r="M177" i="3"/>
  <c r="M169" i="3"/>
  <c r="M153" i="3"/>
  <c r="M137" i="3"/>
  <c r="M121" i="3"/>
  <c r="M105" i="3"/>
  <c r="M89" i="3"/>
  <c r="M73" i="3"/>
  <c r="R283" i="3"/>
  <c r="P240" i="3"/>
  <c r="P217" i="3"/>
  <c r="P209" i="3"/>
  <c r="P201" i="3"/>
  <c r="P185" i="3"/>
  <c r="P169" i="3"/>
  <c r="P145" i="3"/>
  <c r="P129" i="3"/>
  <c r="P113" i="3"/>
  <c r="P89" i="3"/>
  <c r="P73" i="3"/>
  <c r="P57" i="3"/>
  <c r="M66" i="3"/>
  <c r="M49" i="3"/>
  <c r="P45" i="3"/>
  <c r="M22" i="3"/>
  <c r="M56" i="3"/>
  <c r="P30" i="3"/>
  <c r="P22" i="3"/>
  <c r="T16" i="3"/>
  <c r="T11" i="3"/>
  <c r="P6" i="3"/>
  <c r="M212" i="3"/>
  <c r="M172" i="3"/>
  <c r="M156" i="3"/>
  <c r="M140" i="3"/>
  <c r="M132" i="3"/>
  <c r="M116" i="3"/>
  <c r="M100" i="3"/>
  <c r="M84" i="3"/>
  <c r="M305" i="3"/>
  <c r="P243" i="3"/>
  <c r="P232" i="3"/>
  <c r="P210" i="3"/>
  <c r="P194" i="3"/>
  <c r="P178" i="3"/>
  <c r="P162" i="3"/>
  <c r="P154" i="3"/>
  <c r="P138" i="3"/>
  <c r="P122" i="3"/>
  <c r="P106" i="3"/>
  <c r="P90" i="3"/>
  <c r="P74" i="3"/>
  <c r="P58" i="3"/>
  <c r="P42" i="3"/>
  <c r="M351" i="3"/>
  <c r="M315" i="3"/>
  <c r="M283" i="3"/>
  <c r="M237" i="3"/>
  <c r="M215" i="3"/>
  <c r="M199" i="3"/>
  <c r="M191" i="3"/>
  <c r="M175" i="3"/>
  <c r="M159" i="3"/>
  <c r="M143" i="3"/>
  <c r="M127" i="3"/>
  <c r="M111" i="3"/>
  <c r="M103" i="3"/>
  <c r="M87" i="3"/>
  <c r="M71" i="3"/>
  <c r="R275" i="3"/>
  <c r="M233" i="3"/>
  <c r="P223" i="3"/>
  <c r="P207" i="3"/>
  <c r="P199" i="3"/>
  <c r="P183" i="3"/>
  <c r="P175" i="3"/>
  <c r="P159" i="3"/>
  <c r="P143" i="3"/>
  <c r="P135" i="3"/>
  <c r="P119" i="3"/>
  <c r="P111" i="3"/>
  <c r="P95" i="3"/>
  <c r="P79" i="3"/>
  <c r="P71" i="3"/>
  <c r="P55" i="3"/>
  <c r="M65" i="3"/>
  <c r="M57" i="3"/>
  <c r="R2" i="3"/>
  <c r="T27" i="3"/>
  <c r="M20" i="3"/>
  <c r="M62" i="3"/>
  <c r="T38" i="3"/>
  <c r="T26" i="3"/>
  <c r="T21" i="3"/>
  <c r="P16" i="3"/>
  <c r="T10" i="3"/>
  <c r="P8" i="3"/>
  <c r="T2" i="3"/>
  <c r="T47" i="3"/>
  <c r="M40" i="3"/>
  <c r="R21" i="3"/>
  <c r="R3" i="3"/>
  <c r="J1237" i="8"/>
  <c r="L505" i="8"/>
  <c r="K1141" i="8"/>
  <c r="L324" i="8"/>
  <c r="K876" i="8"/>
  <c r="K877" i="8"/>
  <c r="M509" i="8"/>
  <c r="M466" i="8"/>
  <c r="J363" i="8"/>
  <c r="K252" i="8"/>
  <c r="L138" i="8"/>
  <c r="K548" i="8"/>
  <c r="M380" i="8"/>
  <c r="M87" i="8"/>
  <c r="M661" i="8"/>
  <c r="K380" i="8"/>
  <c r="L211" i="8"/>
  <c r="M133" i="8"/>
  <c r="K25" i="8"/>
  <c r="K442" i="8"/>
  <c r="J252" i="8"/>
  <c r="J104" i="8"/>
  <c r="M146" i="3"/>
  <c r="M138" i="3"/>
  <c r="M130" i="3"/>
  <c r="M122" i="3"/>
  <c r="M114" i="3"/>
  <c r="M106" i="3"/>
  <c r="M98" i="3"/>
  <c r="M82" i="3"/>
  <c r="M329" i="3"/>
  <c r="M297" i="3"/>
  <c r="M265" i="3"/>
  <c r="M239" i="3"/>
  <c r="M225" i="3"/>
  <c r="P216" i="3"/>
  <c r="P208" i="3"/>
  <c r="P200" i="3"/>
  <c r="P192" i="3"/>
  <c r="P184" i="3"/>
  <c r="P176" i="3"/>
  <c r="P168" i="3"/>
  <c r="P160" i="3"/>
  <c r="P152" i="3"/>
  <c r="P136" i="3"/>
  <c r="P128" i="3"/>
  <c r="P120" i="3"/>
  <c r="P104" i="3"/>
  <c r="P80" i="3"/>
  <c r="P64" i="3"/>
  <c r="P48" i="3"/>
  <c r="M32" i="3"/>
  <c r="P234" i="3"/>
  <c r="M213" i="3"/>
  <c r="M189" i="3"/>
  <c r="M173" i="3"/>
  <c r="M157" i="3"/>
  <c r="M141" i="3"/>
  <c r="M117" i="3"/>
  <c r="M101" i="3"/>
  <c r="M85" i="3"/>
  <c r="M69" i="3"/>
  <c r="R267" i="3"/>
  <c r="P221" i="3"/>
  <c r="P205" i="3"/>
  <c r="P189" i="3"/>
  <c r="P181" i="3"/>
  <c r="P165" i="3"/>
  <c r="P149" i="3"/>
  <c r="P133" i="3"/>
  <c r="P109" i="3"/>
  <c r="P93" i="3"/>
  <c r="P77" i="3"/>
  <c r="P69" i="3"/>
  <c r="P53" i="3"/>
  <c r="M63" i="3"/>
  <c r="M41" i="3"/>
  <c r="P37" i="3"/>
  <c r="M26" i="3"/>
  <c r="M7" i="3"/>
  <c r="T50" i="3"/>
  <c r="T34" i="3"/>
  <c r="T23" i="3"/>
  <c r="P18" i="3"/>
  <c r="T12" i="3"/>
  <c r="P10" i="3"/>
  <c r="T7" i="3"/>
  <c r="T4" i="3"/>
  <c r="P2" i="3"/>
  <c r="M50" i="3"/>
  <c r="M46" i="3"/>
  <c r="R42" i="3"/>
  <c r="T39" i="3"/>
  <c r="T35" i="3"/>
  <c r="P32" i="3"/>
  <c r="R25" i="3"/>
  <c r="R19" i="3"/>
  <c r="R14" i="3"/>
  <c r="R9" i="3"/>
  <c r="M8" i="3"/>
  <c r="M35" i="3"/>
  <c r="U9" i="3" l="1" a="1"/>
  <c r="U9" i="3" s="1"/>
  <c r="U14" i="3" a="1"/>
  <c r="U14" i="3" s="1"/>
  <c r="U19" i="3" a="1"/>
  <c r="U19" i="3" s="1"/>
  <c r="U25" i="3" a="1"/>
  <c r="U25" i="3" s="1"/>
  <c r="U42" i="3" a="1"/>
  <c r="U42" i="3" s="1"/>
  <c r="U267" i="3" a="1"/>
  <c r="U267" i="3" s="1"/>
  <c r="U3" i="3" a="1"/>
  <c r="U3" i="3" s="1"/>
  <c r="U21" i="3" a="1"/>
  <c r="U21" i="3" s="1"/>
  <c r="U2" i="3" a="1"/>
  <c r="U2" i="3" s="1"/>
  <c r="K405" i="3"/>
  <c r="K406" i="3" s="1"/>
  <c r="U275" i="3" a="1"/>
  <c r="U275" i="3" s="1"/>
  <c r="U283" i="3" a="1"/>
  <c r="U283" i="3" s="1"/>
  <c r="U341" i="3" a="1"/>
  <c r="U341" i="3" s="1"/>
  <c r="U240" i="3" a="1"/>
  <c r="U240" i="3" s="1"/>
  <c r="U272" i="3" a="1"/>
  <c r="U272" i="3" s="1"/>
  <c r="U304" i="3" a="1"/>
  <c r="U304" i="3" s="1"/>
  <c r="U356" i="3" a="1"/>
  <c r="U356" i="3" s="1"/>
  <c r="U380" i="3" a="1"/>
  <c r="U380" i="3" s="1"/>
  <c r="U299" i="3" a="1"/>
  <c r="U299" i="3" s="1"/>
  <c r="U331" i="3" a="1"/>
  <c r="U331" i="3" s="1"/>
  <c r="U349" i="3" a="1"/>
  <c r="U349" i="3" s="1"/>
  <c r="U232" i="3" a="1"/>
  <c r="U232" i="3" s="1"/>
  <c r="U248" i="3" a="1"/>
  <c r="U248" i="3" s="1"/>
  <c r="U264" i="3" a="1"/>
  <c r="U264" i="3" s="1"/>
  <c r="U280" i="3" a="1"/>
  <c r="U280" i="3" s="1"/>
  <c r="U296" i="3" a="1"/>
  <c r="U296" i="3" s="1"/>
  <c r="U312" i="3" a="1"/>
  <c r="U312" i="3" s="1"/>
  <c r="U328" i="3" a="1"/>
  <c r="U328" i="3" s="1"/>
  <c r="U344" i="3" a="1"/>
  <c r="U344" i="3" s="1"/>
  <c r="U364" i="3" a="1"/>
  <c r="U364" i="3" s="1"/>
  <c r="U396" i="3" a="1"/>
  <c r="U396" i="3" s="1"/>
  <c r="U31" i="3" a="1"/>
  <c r="U31" i="3" s="1"/>
  <c r="U10" i="3" a="1"/>
  <c r="U10" i="3" s="1"/>
  <c r="U15" i="3" a="1"/>
  <c r="U15" i="3" s="1"/>
  <c r="U26" i="3" a="1"/>
  <c r="U26" i="3" s="1"/>
  <c r="U36" i="3" a="1"/>
  <c r="U36" i="3" s="1"/>
  <c r="U50" i="3" a="1"/>
  <c r="U50" i="3" s="1"/>
  <c r="U307" i="3" a="1"/>
  <c r="U307" i="3" s="1"/>
  <c r="U339" i="3" a="1"/>
  <c r="U339" i="3" s="1"/>
  <c r="U353" i="3" a="1"/>
  <c r="U353" i="3" s="1"/>
  <c r="U236" i="3" a="1"/>
  <c r="U236" i="3" s="1"/>
  <c r="U252" i="3" a="1"/>
  <c r="U252" i="3" s="1"/>
  <c r="U268" i="3" a="1"/>
  <c r="U268" i="3" s="1"/>
  <c r="U284" i="3" a="1"/>
  <c r="U284" i="3" s="1"/>
  <c r="U300" i="3" a="1"/>
  <c r="U300" i="3" s="1"/>
  <c r="U316" i="3" a="1"/>
  <c r="U316" i="3" s="1"/>
  <c r="U332" i="3" a="1"/>
  <c r="U332" i="3" s="1"/>
  <c r="U348" i="3" a="1"/>
  <c r="U348" i="3" s="1"/>
  <c r="U372" i="3" a="1"/>
  <c r="U372" i="3" s="1"/>
  <c r="U5" i="3" a="1"/>
  <c r="U5" i="3" s="1"/>
  <c r="U11" i="3" a="1"/>
  <c r="U11" i="3" s="1"/>
  <c r="U17" i="3" a="1"/>
  <c r="U17" i="3" s="1"/>
  <c r="U22" i="3" a="1"/>
  <c r="U22" i="3" s="1"/>
  <c r="U40" i="3" a="1"/>
  <c r="U40" i="3" s="1"/>
  <c r="U44" i="3" a="1"/>
  <c r="U44" i="3" s="1"/>
  <c r="U8" i="3" a="1"/>
  <c r="U8" i="3" s="1"/>
  <c r="U251" i="3" a="1"/>
  <c r="U251" i="3" s="1"/>
  <c r="U315" i="3" a="1"/>
  <c r="U315" i="3" s="1"/>
  <c r="U224" i="3" a="1"/>
  <c r="U224" i="3" s="1"/>
  <c r="U256" i="3" a="1"/>
  <c r="U256" i="3" s="1"/>
  <c r="U288" i="3" a="1"/>
  <c r="U288" i="3" s="1"/>
  <c r="U320" i="3" a="1"/>
  <c r="U320" i="3" s="1"/>
  <c r="U336" i="3" a="1"/>
  <c r="U336" i="3" s="1"/>
  <c r="U352" i="3" a="1"/>
  <c r="U352" i="3" s="1"/>
  <c r="U6" i="3" a="1"/>
  <c r="U6" i="3" s="1"/>
  <c r="U13" i="3" a="1"/>
  <c r="U13" i="3" s="1"/>
  <c r="U18" i="3" a="1"/>
  <c r="U18" i="3" s="1"/>
  <c r="U23" i="3" a="1"/>
  <c r="U23" i="3" s="1"/>
  <c r="U30" i="3" a="1"/>
  <c r="U30" i="3" s="1"/>
  <c r="U48" i="3" a="1"/>
  <c r="U48" i="3" s="1"/>
  <c r="U52" i="3" a="1"/>
  <c r="U52" i="3" s="1"/>
  <c r="U32" i="3" a="1"/>
  <c r="U32" i="3" s="1"/>
  <c r="U33" i="3" a="1"/>
  <c r="U33" i="3" s="1"/>
  <c r="U259" i="3" a="1"/>
  <c r="U259" i="3" s="1"/>
  <c r="U291" i="3" a="1"/>
  <c r="U291" i="3" s="1"/>
  <c r="U323" i="3" a="1"/>
  <c r="U323" i="3" s="1"/>
  <c r="U345" i="3" a="1"/>
  <c r="U345" i="3" s="1"/>
  <c r="U228" i="3" a="1"/>
  <c r="U228" i="3" s="1"/>
  <c r="U244" i="3" a="1"/>
  <c r="U244" i="3" s="1"/>
  <c r="U260" i="3" a="1"/>
  <c r="U260" i="3" s="1"/>
  <c r="U276" i="3" a="1"/>
  <c r="U276" i="3" s="1"/>
  <c r="U292" i="3" a="1"/>
  <c r="U292" i="3" s="1"/>
  <c r="U308" i="3" a="1"/>
  <c r="U308" i="3" s="1"/>
  <c r="U324" i="3" a="1"/>
  <c r="U324" i="3" s="1"/>
  <c r="U340" i="3" a="1"/>
  <c r="U340" i="3" s="1"/>
  <c r="U360" i="3" a="1"/>
  <c r="U360" i="3" s="1"/>
  <c r="U388" i="3" a="1"/>
  <c r="U388" i="3" s="1"/>
  <c r="U34" i="3" a="1"/>
  <c r="U34" i="3" s="1"/>
  <c r="U54" i="3" a="1"/>
  <c r="U54" i="3" s="1"/>
  <c r="U58" i="3" a="1"/>
  <c r="U58" i="3" s="1"/>
  <c r="U62" i="3" a="1"/>
  <c r="U62" i="3" s="1"/>
  <c r="U66" i="3" a="1"/>
  <c r="U66" i="3" s="1"/>
  <c r="U70" i="3" a="1"/>
  <c r="U70" i="3" s="1"/>
  <c r="U74" i="3" a="1"/>
  <c r="U74" i="3" s="1"/>
  <c r="U78" i="3" a="1"/>
  <c r="U78" i="3" s="1"/>
  <c r="U82" i="3" a="1"/>
  <c r="U82" i="3" s="1"/>
  <c r="U86" i="3" a="1"/>
  <c r="U86" i="3" s="1"/>
  <c r="U90" i="3" a="1"/>
  <c r="U90" i="3" s="1"/>
  <c r="U94" i="3" a="1"/>
  <c r="U94" i="3" s="1"/>
  <c r="U98" i="3" a="1"/>
  <c r="U98" i="3" s="1"/>
  <c r="U102" i="3" a="1"/>
  <c r="U102" i="3" s="1"/>
  <c r="U106" i="3" a="1"/>
  <c r="U106" i="3" s="1"/>
  <c r="U110" i="3" a="1"/>
  <c r="U110" i="3" s="1"/>
  <c r="U114" i="3" a="1"/>
  <c r="U114" i="3" s="1"/>
  <c r="U118" i="3" a="1"/>
  <c r="U118" i="3" s="1"/>
  <c r="U122" i="3" a="1"/>
  <c r="U122" i="3" s="1"/>
  <c r="U126" i="3" a="1"/>
  <c r="U126" i="3" s="1"/>
  <c r="U130" i="3" a="1"/>
  <c r="U130" i="3" s="1"/>
  <c r="U134" i="3" a="1"/>
  <c r="U134" i="3" s="1"/>
  <c r="U138" i="3" a="1"/>
  <c r="U138" i="3" s="1"/>
  <c r="U142" i="3" a="1"/>
  <c r="U142" i="3" s="1"/>
  <c r="U146" i="3" a="1"/>
  <c r="U146" i="3" s="1"/>
  <c r="U150" i="3" a="1"/>
  <c r="U150" i="3" s="1"/>
  <c r="U154" i="3" a="1"/>
  <c r="U154" i="3" s="1"/>
  <c r="U158" i="3" a="1"/>
  <c r="U158" i="3" s="1"/>
  <c r="U162" i="3" a="1"/>
  <c r="U162" i="3" s="1"/>
  <c r="U166" i="3" a="1"/>
  <c r="U166" i="3" s="1"/>
  <c r="U170" i="3" a="1"/>
  <c r="U170" i="3" s="1"/>
  <c r="U174" i="3" a="1"/>
  <c r="U174" i="3" s="1"/>
  <c r="U178" i="3" a="1"/>
  <c r="U178" i="3" s="1"/>
  <c r="U182" i="3" a="1"/>
  <c r="U182" i="3" s="1"/>
  <c r="U186" i="3" a="1"/>
  <c r="U186" i="3" s="1"/>
  <c r="U190" i="3" a="1"/>
  <c r="U190" i="3" s="1"/>
  <c r="U194" i="3" a="1"/>
  <c r="U194" i="3" s="1"/>
  <c r="U198" i="3" a="1"/>
  <c r="U198" i="3" s="1"/>
  <c r="U202" i="3" a="1"/>
  <c r="U202" i="3" s="1"/>
  <c r="U206" i="3" a="1"/>
  <c r="U206" i="3" s="1"/>
  <c r="U210" i="3" a="1"/>
  <c r="U210" i="3" s="1"/>
  <c r="U214" i="3" a="1"/>
  <c r="U214" i="3" s="1"/>
  <c r="U218" i="3" a="1"/>
  <c r="U218" i="3" s="1"/>
  <c r="U222" i="3" a="1"/>
  <c r="U222" i="3" s="1"/>
  <c r="U265" i="3" a="1"/>
  <c r="U265" i="3" s="1"/>
  <c r="U281" i="3" a="1"/>
  <c r="U281" i="3" s="1"/>
  <c r="U297" i="3" a="1"/>
  <c r="U297" i="3" s="1"/>
  <c r="U313" i="3" a="1"/>
  <c r="U313" i="3" s="1"/>
  <c r="U329" i="3" a="1"/>
  <c r="U329" i="3" s="1"/>
  <c r="U37" i="3" a="1"/>
  <c r="U37" i="3" s="1"/>
  <c r="U41" i="3" a="1"/>
  <c r="U41" i="3" s="1"/>
  <c r="U45" i="3" a="1"/>
  <c r="U45" i="3" s="1"/>
  <c r="U49" i="3" a="1"/>
  <c r="U49" i="3" s="1"/>
  <c r="U53" i="3" a="1"/>
  <c r="U53" i="3" s="1"/>
  <c r="U57" i="3" a="1"/>
  <c r="U57" i="3" s="1"/>
  <c r="U61" i="3" a="1"/>
  <c r="U61" i="3" s="1"/>
  <c r="U65" i="3" a="1"/>
  <c r="U65" i="3" s="1"/>
  <c r="U69" i="3" a="1"/>
  <c r="U69" i="3" s="1"/>
  <c r="U73" i="3" a="1"/>
  <c r="U73" i="3" s="1"/>
  <c r="U77" i="3" a="1"/>
  <c r="U77" i="3" s="1"/>
  <c r="U81" i="3" a="1"/>
  <c r="U81" i="3" s="1"/>
  <c r="U85" i="3" a="1"/>
  <c r="U85" i="3" s="1"/>
  <c r="U89" i="3" a="1"/>
  <c r="U89" i="3" s="1"/>
  <c r="U93" i="3" a="1"/>
  <c r="U93" i="3" s="1"/>
  <c r="U97" i="3" a="1"/>
  <c r="U97" i="3" s="1"/>
  <c r="U101" i="3" a="1"/>
  <c r="U101" i="3" s="1"/>
  <c r="U105" i="3" a="1"/>
  <c r="U105" i="3" s="1"/>
  <c r="U109" i="3" a="1"/>
  <c r="U109" i="3" s="1"/>
  <c r="U113" i="3" a="1"/>
  <c r="U113" i="3" s="1"/>
  <c r="U117" i="3" a="1"/>
  <c r="U117" i="3" s="1"/>
  <c r="U121" i="3" a="1"/>
  <c r="U121" i="3" s="1"/>
  <c r="U125" i="3" a="1"/>
  <c r="U125" i="3" s="1"/>
  <c r="U129" i="3" a="1"/>
  <c r="U129" i="3" s="1"/>
  <c r="U133" i="3" a="1"/>
  <c r="U133" i="3" s="1"/>
  <c r="U137" i="3" a="1"/>
  <c r="U137" i="3" s="1"/>
  <c r="U141" i="3" a="1"/>
  <c r="U141" i="3" s="1"/>
  <c r="U145" i="3" a="1"/>
  <c r="U145" i="3" s="1"/>
  <c r="U149" i="3" a="1"/>
  <c r="U149" i="3" s="1"/>
  <c r="U153" i="3" a="1"/>
  <c r="U153" i="3" s="1"/>
  <c r="U157" i="3" a="1"/>
  <c r="U157" i="3" s="1"/>
  <c r="U161" i="3" a="1"/>
  <c r="U161" i="3" s="1"/>
  <c r="U165" i="3" a="1"/>
  <c r="U165" i="3" s="1"/>
  <c r="U169" i="3" a="1"/>
  <c r="U169" i="3" s="1"/>
  <c r="U173" i="3" a="1"/>
  <c r="U173" i="3" s="1"/>
  <c r="U177" i="3" a="1"/>
  <c r="U177" i="3" s="1"/>
  <c r="U181" i="3" a="1"/>
  <c r="U181" i="3" s="1"/>
  <c r="U185" i="3" a="1"/>
  <c r="U185" i="3" s="1"/>
  <c r="U189" i="3" a="1"/>
  <c r="U189" i="3" s="1"/>
  <c r="U193" i="3" a="1"/>
  <c r="U193" i="3" s="1"/>
  <c r="U197" i="3" a="1"/>
  <c r="U197" i="3" s="1"/>
  <c r="U201" i="3" a="1"/>
  <c r="U201" i="3" s="1"/>
  <c r="U205" i="3" a="1"/>
  <c r="U205" i="3" s="1"/>
  <c r="U209" i="3" a="1"/>
  <c r="U209" i="3" s="1"/>
  <c r="U213" i="3" a="1"/>
  <c r="U213" i="3" s="1"/>
  <c r="U217" i="3" a="1"/>
  <c r="U217" i="3" s="1"/>
  <c r="U221" i="3" a="1"/>
  <c r="U221" i="3" s="1"/>
  <c r="U255" i="3" a="1"/>
  <c r="U255" i="3" s="1"/>
  <c r="U271" i="3" a="1"/>
  <c r="U271" i="3" s="1"/>
  <c r="U287" i="3" a="1"/>
  <c r="U287" i="3" s="1"/>
  <c r="U303" i="3" a="1"/>
  <c r="U303" i="3" s="1"/>
  <c r="U319" i="3" a="1"/>
  <c r="U319" i="3" s="1"/>
  <c r="U335" i="3" a="1"/>
  <c r="U335" i="3" s="1"/>
  <c r="U253" i="3" a="1"/>
  <c r="U253" i="3" s="1"/>
  <c r="U269" i="3" a="1"/>
  <c r="U269" i="3" s="1"/>
  <c r="U285" i="3" a="1"/>
  <c r="U285" i="3" s="1"/>
  <c r="U301" i="3" a="1"/>
  <c r="U301" i="3" s="1"/>
  <c r="U317" i="3" a="1"/>
  <c r="U317" i="3" s="1"/>
  <c r="U333" i="3" a="1"/>
  <c r="U333" i="3" s="1"/>
  <c r="U343" i="3" a="1"/>
  <c r="U343" i="3" s="1"/>
  <c r="U351" i="3" a="1"/>
  <c r="U351" i="3" s="1"/>
  <c r="U363" i="3" a="1"/>
  <c r="U363" i="3" s="1"/>
  <c r="U379" i="3" a="1"/>
  <c r="U379" i="3" s="1"/>
  <c r="U395" i="3" a="1"/>
  <c r="U395" i="3" s="1"/>
  <c r="U361" i="3" a="1"/>
  <c r="U361" i="3" s="1"/>
  <c r="U377" i="3" a="1"/>
  <c r="U377" i="3" s="1"/>
  <c r="U393" i="3" a="1"/>
  <c r="U393" i="3" s="1"/>
  <c r="U383" i="3" a="1"/>
  <c r="U383" i="3" s="1"/>
  <c r="U373" i="3" a="1"/>
  <c r="U373" i="3" s="1"/>
  <c r="U225" i="3" a="1"/>
  <c r="U225" i="3" s="1"/>
  <c r="U233" i="3" a="1"/>
  <c r="U233" i="3" s="1"/>
  <c r="U241" i="3" a="1"/>
  <c r="U241" i="3" s="1"/>
  <c r="U249" i="3" a="1"/>
  <c r="U249" i="3" s="1"/>
  <c r="U401" i="3" a="1"/>
  <c r="U401" i="3" s="1"/>
  <c r="U368" i="3" a="1"/>
  <c r="U368" i="3" s="1"/>
  <c r="U376" i="3" a="1"/>
  <c r="U376" i="3" s="1"/>
  <c r="U384" i="3" a="1"/>
  <c r="U384" i="3" s="1"/>
  <c r="U392" i="3" a="1"/>
  <c r="U392" i="3" s="1"/>
  <c r="U400" i="3" a="1"/>
  <c r="U400" i="3" s="1"/>
  <c r="U7" i="3" a="1"/>
  <c r="U7" i="3" s="1"/>
  <c r="U12" i="3" a="1"/>
  <c r="U12" i="3" s="1"/>
  <c r="U16" i="3" a="1"/>
  <c r="U16" i="3" s="1"/>
  <c r="U20" i="3" a="1"/>
  <c r="U20" i="3" s="1"/>
  <c r="U24" i="3" a="1"/>
  <c r="U24" i="3" s="1"/>
  <c r="U27" i="3" a="1"/>
  <c r="U27" i="3" s="1"/>
  <c r="U38" i="3" a="1"/>
  <c r="U38" i="3" s="1"/>
  <c r="U46" i="3" a="1"/>
  <c r="U46" i="3" s="1"/>
  <c r="U28" i="3" a="1"/>
  <c r="U28" i="3" s="1"/>
  <c r="U29" i="3" a="1"/>
  <c r="U29" i="3" s="1"/>
  <c r="U4" i="3" a="1"/>
  <c r="U4" i="3" s="1"/>
  <c r="U56" i="3" a="1"/>
  <c r="U56" i="3" s="1"/>
  <c r="U60" i="3" a="1"/>
  <c r="U60" i="3" s="1"/>
  <c r="U64" i="3" a="1"/>
  <c r="U64" i="3" s="1"/>
  <c r="U68" i="3" a="1"/>
  <c r="U68" i="3" s="1"/>
  <c r="U72" i="3" a="1"/>
  <c r="U72" i="3" s="1"/>
  <c r="U76" i="3" a="1"/>
  <c r="U76" i="3" s="1"/>
  <c r="U80" i="3" a="1"/>
  <c r="U80" i="3" s="1"/>
  <c r="U84" i="3" a="1"/>
  <c r="U84" i="3" s="1"/>
  <c r="U88" i="3" a="1"/>
  <c r="U88" i="3" s="1"/>
  <c r="U92" i="3" a="1"/>
  <c r="U92" i="3" s="1"/>
  <c r="U96" i="3" a="1"/>
  <c r="U96" i="3" s="1"/>
  <c r="U100" i="3" a="1"/>
  <c r="U100" i="3" s="1"/>
  <c r="U104" i="3" a="1"/>
  <c r="U104" i="3" s="1"/>
  <c r="U108" i="3" a="1"/>
  <c r="U108" i="3" s="1"/>
  <c r="U112" i="3" a="1"/>
  <c r="U112" i="3" s="1"/>
  <c r="U116" i="3" a="1"/>
  <c r="U116" i="3" s="1"/>
  <c r="U120" i="3" a="1"/>
  <c r="U120" i="3" s="1"/>
  <c r="U124" i="3" a="1"/>
  <c r="U124" i="3" s="1"/>
  <c r="U128" i="3" a="1"/>
  <c r="U128" i="3" s="1"/>
  <c r="U132" i="3" a="1"/>
  <c r="U132" i="3" s="1"/>
  <c r="U136" i="3" a="1"/>
  <c r="U136" i="3" s="1"/>
  <c r="U140" i="3" a="1"/>
  <c r="U140" i="3" s="1"/>
  <c r="U144" i="3" a="1"/>
  <c r="U144" i="3" s="1"/>
  <c r="U148" i="3" a="1"/>
  <c r="U148" i="3" s="1"/>
  <c r="U152" i="3" a="1"/>
  <c r="U152" i="3" s="1"/>
  <c r="U156" i="3" a="1"/>
  <c r="U156" i="3" s="1"/>
  <c r="U160" i="3" a="1"/>
  <c r="U160" i="3" s="1"/>
  <c r="U164" i="3" a="1"/>
  <c r="U164" i="3" s="1"/>
  <c r="U168" i="3" a="1"/>
  <c r="U168" i="3" s="1"/>
  <c r="U172" i="3" a="1"/>
  <c r="U172" i="3" s="1"/>
  <c r="U176" i="3" a="1"/>
  <c r="U176" i="3" s="1"/>
  <c r="U180" i="3" a="1"/>
  <c r="U180" i="3" s="1"/>
  <c r="U184" i="3" a="1"/>
  <c r="U184" i="3" s="1"/>
  <c r="U188" i="3" a="1"/>
  <c r="U188" i="3" s="1"/>
  <c r="U192" i="3" a="1"/>
  <c r="U192" i="3" s="1"/>
  <c r="U196" i="3" a="1"/>
  <c r="U196" i="3" s="1"/>
  <c r="U200" i="3" a="1"/>
  <c r="U200" i="3" s="1"/>
  <c r="U204" i="3" a="1"/>
  <c r="U204" i="3" s="1"/>
  <c r="U208" i="3" a="1"/>
  <c r="U208" i="3" s="1"/>
  <c r="U212" i="3" a="1"/>
  <c r="U212" i="3" s="1"/>
  <c r="U216" i="3" a="1"/>
  <c r="U216" i="3" s="1"/>
  <c r="U220" i="3" a="1"/>
  <c r="U220" i="3" s="1"/>
  <c r="U257" i="3" a="1"/>
  <c r="U257" i="3" s="1"/>
  <c r="U273" i="3" a="1"/>
  <c r="U273" i="3" s="1"/>
  <c r="U289" i="3" a="1"/>
  <c r="U289" i="3" s="1"/>
  <c r="U305" i="3" a="1"/>
  <c r="U305" i="3" s="1"/>
  <c r="U321" i="3" a="1"/>
  <c r="U321" i="3" s="1"/>
  <c r="U337" i="3" a="1"/>
  <c r="U337" i="3" s="1"/>
  <c r="U35" i="3" a="1"/>
  <c r="U35" i="3" s="1"/>
  <c r="U39" i="3" a="1"/>
  <c r="U39" i="3" s="1"/>
  <c r="U43" i="3" a="1"/>
  <c r="U43" i="3" s="1"/>
  <c r="U47" i="3" a="1"/>
  <c r="U47" i="3" s="1"/>
  <c r="U51" i="3" a="1"/>
  <c r="U51" i="3" s="1"/>
  <c r="U55" i="3" a="1"/>
  <c r="U55" i="3" s="1"/>
  <c r="U59" i="3" a="1"/>
  <c r="U59" i="3" s="1"/>
  <c r="U63" i="3" a="1"/>
  <c r="U63" i="3" s="1"/>
  <c r="U67" i="3" a="1"/>
  <c r="U67" i="3" s="1"/>
  <c r="U71" i="3" a="1"/>
  <c r="U71" i="3" s="1"/>
  <c r="U75" i="3" a="1"/>
  <c r="U75" i="3" s="1"/>
  <c r="U79" i="3" a="1"/>
  <c r="U79" i="3" s="1"/>
  <c r="U83" i="3" a="1"/>
  <c r="U83" i="3" s="1"/>
  <c r="U87" i="3" a="1"/>
  <c r="U87" i="3" s="1"/>
  <c r="U91" i="3" a="1"/>
  <c r="U91" i="3" s="1"/>
  <c r="U95" i="3" a="1"/>
  <c r="U95" i="3" s="1"/>
  <c r="U99" i="3" a="1"/>
  <c r="U99" i="3" s="1"/>
  <c r="U103" i="3" a="1"/>
  <c r="U103" i="3" s="1"/>
  <c r="U107" i="3" a="1"/>
  <c r="U107" i="3" s="1"/>
  <c r="U111" i="3" a="1"/>
  <c r="U111" i="3" s="1"/>
  <c r="U115" i="3" a="1"/>
  <c r="U115" i="3" s="1"/>
  <c r="U119" i="3" a="1"/>
  <c r="U119" i="3" s="1"/>
  <c r="U123" i="3" a="1"/>
  <c r="U123" i="3" s="1"/>
  <c r="U127" i="3" a="1"/>
  <c r="U127" i="3" s="1"/>
  <c r="U131" i="3" a="1"/>
  <c r="U131" i="3" s="1"/>
  <c r="U135" i="3" a="1"/>
  <c r="U135" i="3" s="1"/>
  <c r="U139" i="3" a="1"/>
  <c r="U139" i="3" s="1"/>
  <c r="U143" i="3" a="1"/>
  <c r="U143" i="3" s="1"/>
  <c r="U147" i="3" a="1"/>
  <c r="U147" i="3" s="1"/>
  <c r="U151" i="3" a="1"/>
  <c r="U151" i="3" s="1"/>
  <c r="U155" i="3" a="1"/>
  <c r="U155" i="3" s="1"/>
  <c r="U159" i="3" a="1"/>
  <c r="U159" i="3" s="1"/>
  <c r="U163" i="3" a="1"/>
  <c r="U163" i="3" s="1"/>
  <c r="U167" i="3" a="1"/>
  <c r="U167" i="3" s="1"/>
  <c r="U171" i="3" a="1"/>
  <c r="U171" i="3" s="1"/>
  <c r="U175" i="3" a="1"/>
  <c r="U175" i="3" s="1"/>
  <c r="U179" i="3" a="1"/>
  <c r="U179" i="3" s="1"/>
  <c r="U183" i="3" a="1"/>
  <c r="U183" i="3" s="1"/>
  <c r="U187" i="3" a="1"/>
  <c r="U187" i="3" s="1"/>
  <c r="U191" i="3" a="1"/>
  <c r="U191" i="3" s="1"/>
  <c r="U195" i="3" a="1"/>
  <c r="U195" i="3" s="1"/>
  <c r="U199" i="3" a="1"/>
  <c r="U199" i="3" s="1"/>
  <c r="U203" i="3" a="1"/>
  <c r="U203" i="3" s="1"/>
  <c r="U207" i="3" a="1"/>
  <c r="U207" i="3" s="1"/>
  <c r="U211" i="3" a="1"/>
  <c r="U211" i="3" s="1"/>
  <c r="U215" i="3" a="1"/>
  <c r="U215" i="3" s="1"/>
  <c r="U219" i="3" a="1"/>
  <c r="U219" i="3" s="1"/>
  <c r="U223" i="3" a="1"/>
  <c r="U223" i="3" s="1"/>
  <c r="U263" i="3" a="1"/>
  <c r="U263" i="3" s="1"/>
  <c r="U279" i="3" a="1"/>
  <c r="U279" i="3" s="1"/>
  <c r="U295" i="3" a="1"/>
  <c r="U295" i="3" s="1"/>
  <c r="U311" i="3" a="1"/>
  <c r="U311" i="3" s="1"/>
  <c r="U327" i="3" a="1"/>
  <c r="U327" i="3" s="1"/>
  <c r="U261" i="3" a="1"/>
  <c r="U261" i="3" s="1"/>
  <c r="U277" i="3" a="1"/>
  <c r="U277" i="3" s="1"/>
  <c r="U293" i="3" a="1"/>
  <c r="U293" i="3" s="1"/>
  <c r="U309" i="3" a="1"/>
  <c r="U309" i="3" s="1"/>
  <c r="U325" i="3" a="1"/>
  <c r="U325" i="3" s="1"/>
  <c r="U347" i="3" a="1"/>
  <c r="U347" i="3" s="1"/>
  <c r="U355" i="3" a="1"/>
  <c r="U355" i="3" s="1"/>
  <c r="U371" i="3" a="1"/>
  <c r="U371" i="3" s="1"/>
  <c r="U387" i="3" a="1"/>
  <c r="U387" i="3" s="1"/>
  <c r="U369" i="3" a="1"/>
  <c r="U369" i="3" s="1"/>
  <c r="U385" i="3" a="1"/>
  <c r="U385" i="3" s="1"/>
  <c r="U367" i="3" a="1"/>
  <c r="U367" i="3" s="1"/>
  <c r="U357" i="3" a="1"/>
  <c r="U357" i="3" s="1"/>
  <c r="U389" i="3" a="1"/>
  <c r="U389" i="3" s="1"/>
  <c r="U229" i="3" a="1"/>
  <c r="U229" i="3" s="1"/>
  <c r="U237" i="3" a="1"/>
  <c r="U237" i="3" s="1"/>
  <c r="U245" i="3" a="1"/>
  <c r="U245" i="3" s="1"/>
  <c r="U397" i="3" a="1"/>
  <c r="U397" i="3" s="1"/>
  <c r="U226" i="3" a="1"/>
  <c r="U226" i="3" s="1"/>
  <c r="U230" i="3" a="1"/>
  <c r="U230" i="3" s="1"/>
  <c r="U234" i="3" a="1"/>
  <c r="U234" i="3" s="1"/>
  <c r="U238" i="3" a="1"/>
  <c r="U238" i="3" s="1"/>
  <c r="U242" i="3" a="1"/>
  <c r="U242" i="3" s="1"/>
  <c r="U246" i="3" a="1"/>
  <c r="U246" i="3" s="1"/>
  <c r="U250" i="3" a="1"/>
  <c r="U250" i="3" s="1"/>
  <c r="U254" i="3" a="1"/>
  <c r="U254" i="3" s="1"/>
  <c r="U258" i="3" a="1"/>
  <c r="U258" i="3" s="1"/>
  <c r="U262" i="3" a="1"/>
  <c r="U262" i="3" s="1"/>
  <c r="U266" i="3" a="1"/>
  <c r="U266" i="3" s="1"/>
  <c r="U270" i="3" a="1"/>
  <c r="U270" i="3" s="1"/>
  <c r="U274" i="3" a="1"/>
  <c r="U274" i="3" s="1"/>
  <c r="U278" i="3" a="1"/>
  <c r="U278" i="3" s="1"/>
  <c r="U282" i="3" a="1"/>
  <c r="U282" i="3" s="1"/>
  <c r="U286" i="3" a="1"/>
  <c r="U286" i="3" s="1"/>
  <c r="U290" i="3" a="1"/>
  <c r="U290" i="3" s="1"/>
  <c r="U294" i="3" a="1"/>
  <c r="U294" i="3" s="1"/>
  <c r="U298" i="3" a="1"/>
  <c r="U298" i="3" s="1"/>
  <c r="U302" i="3" a="1"/>
  <c r="U302" i="3" s="1"/>
  <c r="U306" i="3" a="1"/>
  <c r="U306" i="3" s="1"/>
  <c r="U310" i="3" a="1"/>
  <c r="U310" i="3" s="1"/>
  <c r="U314" i="3" a="1"/>
  <c r="U314" i="3" s="1"/>
  <c r="U318" i="3" a="1"/>
  <c r="U318" i="3" s="1"/>
  <c r="U322" i="3" a="1"/>
  <c r="U322" i="3" s="1"/>
  <c r="U326" i="3" a="1"/>
  <c r="U326" i="3" s="1"/>
  <c r="U330" i="3" a="1"/>
  <c r="U330" i="3" s="1"/>
  <c r="U334" i="3" a="1"/>
  <c r="U334" i="3" s="1"/>
  <c r="U338" i="3" a="1"/>
  <c r="U338" i="3" s="1"/>
  <c r="U342" i="3" a="1"/>
  <c r="U342" i="3" s="1"/>
  <c r="U346" i="3" a="1"/>
  <c r="U346" i="3" s="1"/>
  <c r="U350" i="3" a="1"/>
  <c r="U350" i="3" s="1"/>
  <c r="U354" i="3" a="1"/>
  <c r="U354" i="3" s="1"/>
  <c r="U358" i="3" a="1"/>
  <c r="U358" i="3" s="1"/>
  <c r="U362" i="3" a="1"/>
  <c r="U362" i="3" s="1"/>
  <c r="U366" i="3" a="1"/>
  <c r="U366" i="3" s="1"/>
  <c r="U370" i="3" a="1"/>
  <c r="U370" i="3" s="1"/>
  <c r="U374" i="3" a="1"/>
  <c r="U374" i="3" s="1"/>
  <c r="U378" i="3" a="1"/>
  <c r="U378" i="3" s="1"/>
  <c r="U382" i="3" a="1"/>
  <c r="U382" i="3" s="1"/>
  <c r="U386" i="3" a="1"/>
  <c r="U386" i="3" s="1"/>
  <c r="U390" i="3" a="1"/>
  <c r="U390" i="3" s="1"/>
  <c r="U394" i="3" a="1"/>
  <c r="U394" i="3" s="1"/>
  <c r="U398" i="3" a="1"/>
  <c r="U398" i="3" s="1"/>
  <c r="U359" i="3" a="1"/>
  <c r="U359" i="3" s="1"/>
  <c r="U375" i="3" a="1"/>
  <c r="U375" i="3" s="1"/>
  <c r="U391" i="3" a="1"/>
  <c r="U391" i="3" s="1"/>
  <c r="U365" i="3" a="1"/>
  <c r="U365" i="3" s="1"/>
  <c r="U381" i="3" a="1"/>
  <c r="U381" i="3" s="1"/>
  <c r="U227" i="3" a="1"/>
  <c r="U227" i="3" s="1"/>
  <c r="U231" i="3" a="1"/>
  <c r="U231" i="3" s="1"/>
  <c r="U235" i="3" a="1"/>
  <c r="U235" i="3" s="1"/>
  <c r="U239" i="3" a="1"/>
  <c r="U239" i="3" s="1"/>
  <c r="U243" i="3" a="1"/>
  <c r="U243" i="3" s="1"/>
  <c r="U247" i="3" a="1"/>
  <c r="U247" i="3" s="1"/>
  <c r="U399" i="3" a="1"/>
  <c r="U399" i="3" s="1"/>
  <c r="E30" i="4"/>
  <c r="K9" i="3"/>
  <c r="K19" i="3"/>
  <c r="K3" i="3"/>
  <c r="K2" i="3"/>
  <c r="K275" i="3"/>
  <c r="K341" i="3"/>
  <c r="K356" i="3"/>
  <c r="K349" i="3"/>
  <c r="K248" i="3"/>
  <c r="K50" i="3"/>
  <c r="K236" i="3"/>
  <c r="K268" i="3"/>
  <c r="K300" i="3"/>
  <c r="K332" i="3"/>
  <c r="K11" i="3"/>
  <c r="K251" i="3"/>
  <c r="K224" i="3"/>
  <c r="K288" i="3"/>
  <c r="K336" i="3"/>
  <c r="K52" i="3"/>
  <c r="K33" i="3"/>
  <c r="K244" i="3"/>
  <c r="K388" i="3"/>
  <c r="K62" i="3"/>
  <c r="K78" i="3"/>
  <c r="K134" i="3"/>
  <c r="K142" i="3"/>
  <c r="K198" i="3"/>
  <c r="K206" i="3"/>
  <c r="K37" i="3"/>
  <c r="K45" i="3"/>
  <c r="K53" i="3"/>
  <c r="K61" i="3"/>
  <c r="K69" i="3"/>
  <c r="K77" i="3"/>
  <c r="K85" i="3"/>
  <c r="K93" i="3"/>
  <c r="K101" i="3"/>
  <c r="K109" i="3"/>
  <c r="K117" i="3"/>
  <c r="K125" i="3"/>
  <c r="K133" i="3"/>
  <c r="K141" i="3"/>
  <c r="K149" i="3"/>
  <c r="K157" i="3"/>
  <c r="K165" i="3"/>
  <c r="K173" i="3"/>
  <c r="K181" i="3"/>
  <c r="K189" i="3"/>
  <c r="K197" i="3"/>
  <c r="K205" i="3"/>
  <c r="K213" i="3"/>
  <c r="K221" i="3"/>
  <c r="K271" i="3"/>
  <c r="K303" i="3"/>
  <c r="K335" i="3"/>
  <c r="K351" i="3"/>
  <c r="K42" i="3"/>
  <c r="K380" i="3"/>
  <c r="K331" i="3"/>
  <c r="K264" i="3"/>
  <c r="K296" i="3"/>
  <c r="K328" i="3"/>
  <c r="K364" i="3"/>
  <c r="K15" i="3"/>
  <c r="K307" i="3"/>
  <c r="K353" i="3"/>
  <c r="K316" i="3"/>
  <c r="K348" i="3"/>
  <c r="K5" i="3"/>
  <c r="K17" i="3"/>
  <c r="K8" i="3"/>
  <c r="K320" i="3"/>
  <c r="K23" i="3"/>
  <c r="K48" i="3"/>
  <c r="K360" i="3"/>
  <c r="K34" i="3"/>
  <c r="K58" i="3"/>
  <c r="K82" i="3"/>
  <c r="K90" i="3"/>
  <c r="K106" i="3"/>
  <c r="K122" i="3"/>
  <c r="K130" i="3"/>
  <c r="K146" i="3"/>
  <c r="K154" i="3"/>
  <c r="K170" i="3"/>
  <c r="K186" i="3"/>
  <c r="K210" i="3"/>
  <c r="K218" i="3"/>
  <c r="K265" i="3"/>
  <c r="K41" i="3"/>
  <c r="K49" i="3"/>
  <c r="K57" i="3"/>
  <c r="K65" i="3"/>
  <c r="K73" i="3"/>
  <c r="K81" i="3"/>
  <c r="K89" i="3"/>
  <c r="K97" i="3"/>
  <c r="K105" i="3"/>
  <c r="K113" i="3"/>
  <c r="K121" i="3"/>
  <c r="K129" i="3"/>
  <c r="K137" i="3"/>
  <c r="K145" i="3"/>
  <c r="K153" i="3"/>
  <c r="K161" i="3"/>
  <c r="K169" i="3"/>
  <c r="K177" i="3"/>
  <c r="K185" i="3"/>
  <c r="K193" i="3"/>
  <c r="K201" i="3"/>
  <c r="K209" i="3"/>
  <c r="K217" i="3"/>
  <c r="K255" i="3"/>
  <c r="K287" i="3"/>
  <c r="K319" i="3"/>
  <c r="K317" i="3"/>
  <c r="K377" i="3"/>
  <c r="K383" i="3"/>
  <c r="K376" i="3"/>
  <c r="K392" i="3"/>
  <c r="K38" i="3"/>
  <c r="K28" i="3"/>
  <c r="K60" i="3"/>
  <c r="K68" i="3"/>
  <c r="K76" i="3"/>
  <c r="K84" i="3"/>
  <c r="K92" i="3"/>
  <c r="K100" i="3"/>
  <c r="K108" i="3"/>
  <c r="K116" i="3"/>
  <c r="K124" i="3"/>
  <c r="K132" i="3"/>
  <c r="K140" i="3"/>
  <c r="K148" i="3"/>
  <c r="K156" i="3"/>
  <c r="K164" i="3"/>
  <c r="K172" i="3"/>
  <c r="K180" i="3"/>
  <c r="K188" i="3"/>
  <c r="K196" i="3"/>
  <c r="K204" i="3"/>
  <c r="K212" i="3"/>
  <c r="K220" i="3"/>
  <c r="K273" i="3"/>
  <c r="K305" i="3"/>
  <c r="K337" i="3"/>
  <c r="K39" i="3"/>
  <c r="K47" i="3"/>
  <c r="K55" i="3"/>
  <c r="K63" i="3"/>
  <c r="K71" i="3"/>
  <c r="K87" i="3"/>
  <c r="K111" i="3"/>
  <c r="K119" i="3"/>
  <c r="K127" i="3"/>
  <c r="K135" i="3"/>
  <c r="K151" i="3"/>
  <c r="K167" i="3"/>
  <c r="K175" i="3"/>
  <c r="K183" i="3"/>
  <c r="K191" i="3"/>
  <c r="K207" i="3"/>
  <c r="K215" i="3"/>
  <c r="K279" i="3"/>
  <c r="K311" i="3"/>
  <c r="K261" i="3"/>
  <c r="K293" i="3"/>
  <c r="K325" i="3"/>
  <c r="K355" i="3"/>
  <c r="K387" i="3"/>
  <c r="K245" i="3"/>
  <c r="K226" i="3"/>
  <c r="K234" i="3"/>
  <c r="K242" i="3"/>
  <c r="K250" i="3"/>
  <c r="K258" i="3"/>
  <c r="K266" i="3"/>
  <c r="K274" i="3"/>
  <c r="K282" i="3"/>
  <c r="K290" i="3"/>
  <c r="K298" i="3"/>
  <c r="K306" i="3"/>
  <c r="K314" i="3"/>
  <c r="K322" i="3"/>
  <c r="K330" i="3"/>
  <c r="K338" i="3"/>
  <c r="K346" i="3"/>
  <c r="K354" i="3"/>
  <c r="K362" i="3"/>
  <c r="K370" i="3"/>
  <c r="K378" i="3"/>
  <c r="K386" i="3"/>
  <c r="K394" i="3"/>
  <c r="K359" i="3"/>
  <c r="K391" i="3"/>
  <c r="K381" i="3"/>
  <c r="K231" i="3"/>
  <c r="K239" i="3"/>
  <c r="K247" i="3"/>
  <c r="G20" i="4"/>
  <c r="K253" i="3"/>
  <c r="K285" i="3"/>
  <c r="K4" i="3"/>
  <c r="K143" i="3"/>
  <c r="K159" i="3"/>
  <c r="K199" i="3"/>
  <c r="K223" i="3"/>
  <c r="K385" i="3"/>
  <c r="K357" i="3"/>
  <c r="K229" i="3"/>
  <c r="K99" i="3"/>
  <c r="K115" i="3"/>
  <c r="K163" i="3"/>
  <c r="K14" i="3"/>
  <c r="K267" i="3"/>
  <c r="K21" i="3"/>
  <c r="K283" i="3"/>
  <c r="K240" i="3"/>
  <c r="K304" i="3"/>
  <c r="K232" i="3"/>
  <c r="K31" i="3"/>
  <c r="K36" i="3"/>
  <c r="K252" i="3"/>
  <c r="K284" i="3"/>
  <c r="K40" i="3"/>
  <c r="K315" i="3"/>
  <c r="K256" i="3"/>
  <c r="K352" i="3"/>
  <c r="K13" i="3"/>
  <c r="K32" i="3"/>
  <c r="K259" i="3"/>
  <c r="K323" i="3"/>
  <c r="K228" i="3"/>
  <c r="K260" i="3"/>
  <c r="K292" i="3"/>
  <c r="K324" i="3"/>
  <c r="K66" i="3"/>
  <c r="K74" i="3"/>
  <c r="K98" i="3"/>
  <c r="K114" i="3"/>
  <c r="K138" i="3"/>
  <c r="K162" i="3"/>
  <c r="K178" i="3"/>
  <c r="K194" i="3"/>
  <c r="K202" i="3"/>
  <c r="K297" i="3"/>
  <c r="K329" i="3"/>
  <c r="K343" i="3"/>
  <c r="K363" i="3"/>
  <c r="K395" i="3"/>
  <c r="K225" i="3"/>
  <c r="K241" i="3"/>
  <c r="K401" i="3"/>
  <c r="K7" i="3"/>
  <c r="K16" i="3"/>
  <c r="K24" i="3"/>
  <c r="K79" i="3"/>
  <c r="K95" i="3"/>
  <c r="K103" i="3"/>
  <c r="K263" i="3"/>
  <c r="K295" i="3"/>
  <c r="K277" i="3"/>
  <c r="K309" i="3"/>
  <c r="K25" i="3"/>
  <c r="K272" i="3"/>
  <c r="K299" i="3"/>
  <c r="K280" i="3"/>
  <c r="K312" i="3"/>
  <c r="K344" i="3"/>
  <c r="K396" i="3"/>
  <c r="K10" i="3"/>
  <c r="K26" i="3"/>
  <c r="K339" i="3"/>
  <c r="K372" i="3"/>
  <c r="K22" i="3"/>
  <c r="K44" i="3"/>
  <c r="K6" i="3"/>
  <c r="K18" i="3"/>
  <c r="K30" i="3"/>
  <c r="K291" i="3"/>
  <c r="K345" i="3"/>
  <c r="K276" i="3"/>
  <c r="K308" i="3"/>
  <c r="K340" i="3"/>
  <c r="K54" i="3"/>
  <c r="K70" i="3"/>
  <c r="K86" i="3"/>
  <c r="K94" i="3"/>
  <c r="K102" i="3"/>
  <c r="K110" i="3"/>
  <c r="K118" i="3"/>
  <c r="K126" i="3"/>
  <c r="K150" i="3"/>
  <c r="K158" i="3"/>
  <c r="K166" i="3"/>
  <c r="K174" i="3"/>
  <c r="K182" i="3"/>
  <c r="K190" i="3"/>
  <c r="K214" i="3"/>
  <c r="K222" i="3"/>
  <c r="K281" i="3"/>
  <c r="K313" i="3"/>
  <c r="K269" i="3"/>
  <c r="K301" i="3"/>
  <c r="K333" i="3"/>
  <c r="K379" i="3"/>
  <c r="K361" i="3"/>
  <c r="K233" i="3"/>
  <c r="K249" i="3"/>
  <c r="K368" i="3"/>
  <c r="K400" i="3"/>
  <c r="K46" i="3"/>
  <c r="K35" i="3"/>
  <c r="K51" i="3"/>
  <c r="K59" i="3"/>
  <c r="K75" i="3"/>
  <c r="K91" i="3"/>
  <c r="K107" i="3"/>
  <c r="K123" i="3"/>
  <c r="K131" i="3"/>
  <c r="K139" i="3"/>
  <c r="K147" i="3"/>
  <c r="K155" i="3"/>
  <c r="K171" i="3"/>
  <c r="K179" i="3"/>
  <c r="K187" i="3"/>
  <c r="K195" i="3"/>
  <c r="K203" i="3"/>
  <c r="K219" i="3"/>
  <c r="K327" i="3"/>
  <c r="K347" i="3"/>
  <c r="K371" i="3"/>
  <c r="K369" i="3"/>
  <c r="K367" i="3"/>
  <c r="K389" i="3"/>
  <c r="K237" i="3"/>
  <c r="K397" i="3"/>
  <c r="K230" i="3"/>
  <c r="K238" i="3"/>
  <c r="K246" i="3"/>
  <c r="K227" i="3"/>
  <c r="K235" i="3"/>
  <c r="K243" i="3"/>
  <c r="K399" i="3"/>
  <c r="K393" i="3"/>
  <c r="K373" i="3"/>
  <c r="K384" i="3"/>
  <c r="K12" i="3"/>
  <c r="K20" i="3"/>
  <c r="K27" i="3"/>
  <c r="K29" i="3"/>
  <c r="K56" i="3"/>
  <c r="K64" i="3"/>
  <c r="K72" i="3"/>
  <c r="K80" i="3"/>
  <c r="K88" i="3"/>
  <c r="K96" i="3"/>
  <c r="K104" i="3"/>
  <c r="K112" i="3"/>
  <c r="K120" i="3"/>
  <c r="K128" i="3"/>
  <c r="K136" i="3"/>
  <c r="K144" i="3"/>
  <c r="K152" i="3"/>
  <c r="K160" i="3"/>
  <c r="K168" i="3"/>
  <c r="K176" i="3"/>
  <c r="K184" i="3"/>
  <c r="K192" i="3"/>
  <c r="K200" i="3"/>
  <c r="K208" i="3"/>
  <c r="K216" i="3"/>
  <c r="K257" i="3"/>
  <c r="K289" i="3"/>
  <c r="K321" i="3"/>
  <c r="K43" i="3"/>
  <c r="K67" i="3"/>
  <c r="K83" i="3"/>
  <c r="K211" i="3"/>
  <c r="K254" i="3"/>
  <c r="K262" i="3"/>
  <c r="K270" i="3"/>
  <c r="K278" i="3"/>
  <c r="K286" i="3"/>
  <c r="K294" i="3"/>
  <c r="K302" i="3"/>
  <c r="K310" i="3"/>
  <c r="K318" i="3"/>
  <c r="K326" i="3"/>
  <c r="K334" i="3"/>
  <c r="K342" i="3"/>
  <c r="K350" i="3"/>
  <c r="K358" i="3"/>
  <c r="K366" i="3"/>
  <c r="K374" i="3"/>
  <c r="K382" i="3"/>
  <c r="K390" i="3"/>
  <c r="K398" i="3"/>
  <c r="K375" i="3"/>
  <c r="K365" i="3"/>
  <c r="B31" i="4" l="1"/>
  <c r="B30" i="4"/>
  <c r="H5" i="4" a="1"/>
  <c r="H5" i="4" s="1"/>
</calcChain>
</file>

<file path=xl/sharedStrings.xml><?xml version="1.0" encoding="utf-8"?>
<sst xmlns="http://schemas.openxmlformats.org/spreadsheetml/2006/main" count="69490" uniqueCount="29494">
  <si>
    <t>Player</t>
  </si>
  <si>
    <t>Timestamp</t>
  </si>
  <si>
    <t>Random Number</t>
  </si>
  <si>
    <t>State</t>
  </si>
  <si>
    <t>City</t>
  </si>
  <si>
    <t>Concatenated</t>
  </si>
  <si>
    <t>Latitude</t>
  </si>
  <si>
    <t>Longitude</t>
  </si>
  <si>
    <t>City (trimmed)</t>
  </si>
  <si>
    <t>State (trimmed)</t>
  </si>
  <si>
    <t>State (Spelled Out)</t>
  </si>
  <si>
    <t>HIGH SCHOOL</t>
  </si>
  <si>
    <t>Untitled Question</t>
  </si>
  <si>
    <t>RNG: Leave State (Changes Based on Caliber of Recruit)</t>
  </si>
  <si>
    <t>RNG: Which top 50 team does the prospect go to leaving state potentially</t>
  </si>
  <si>
    <t>RNG Chance Recruit Goes to an In State Top 250 School</t>
  </si>
  <si>
    <t>Does a top 250 School exist in the home state?</t>
  </si>
  <si>
    <t>Randomizer for the top 250 school in state for where a prospect goes</t>
  </si>
  <si>
    <t>Does their hometown exist in top 1500 schools?</t>
  </si>
  <si>
    <t>Randomizer for the School if Hometown Exists in Top 1500</t>
  </si>
  <si>
    <t>Does their hometown exist in the Database?</t>
  </si>
  <si>
    <t>Randomizer for the School if Hometown Doesn't Exist in Top 1500</t>
  </si>
  <si>
    <t>Closest top 1500 School if a Hometown School Doesn't Exist for a Recruit</t>
  </si>
  <si>
    <t xml:space="preserve"> MI</t>
  </si>
  <si>
    <t>Detroit</t>
  </si>
  <si>
    <t>Detroit, MI</t>
  </si>
  <si>
    <t>Naples, UT</t>
  </si>
  <si>
    <t>Pacific Northwest Region</t>
  </si>
  <si>
    <t>West Coast Region</t>
  </si>
  <si>
    <t>New England Region</t>
  </si>
  <si>
    <t>South Region</t>
  </si>
  <si>
    <t>Mid Atlantic Region</t>
  </si>
  <si>
    <t>Southeast Atlantic Region</t>
  </si>
  <si>
    <t>Midwest Region</t>
  </si>
  <si>
    <t>Great Lakes</t>
  </si>
  <si>
    <t>Washington, LA</t>
  </si>
  <si>
    <t>Bishop Gorman (Las Vegas)</t>
  </si>
  <si>
    <t>Long Island Lutheran (Brookville)</t>
  </si>
  <si>
    <t>X</t>
  </si>
  <si>
    <t>Y</t>
  </si>
  <si>
    <t>Santa Monica, CA</t>
  </si>
  <si>
    <t>Duncanville</t>
  </si>
  <si>
    <t>DeMatha (Hyattsville)</t>
  </si>
  <si>
    <t>Montverde Academy (Montverde)</t>
  </si>
  <si>
    <t>Morgan City, LA</t>
  </si>
  <si>
    <t>Hellgate (Missoula)</t>
  </si>
  <si>
    <t>Lansing, MI</t>
  </si>
  <si>
    <t xml:space="preserve"> CA</t>
  </si>
  <si>
    <t>St. Edward (Lakewood)</t>
  </si>
  <si>
    <t>Bellflower</t>
  </si>
  <si>
    <t>Bellflower, CA</t>
  </si>
  <si>
    <t>Sierra Canyon (Chatsworth)</t>
  </si>
  <si>
    <t>St. Benedict's Prep (Newark)</t>
  </si>
  <si>
    <t>Prichard, AL</t>
  </si>
  <si>
    <t>Dickinson</t>
  </si>
  <si>
    <t>Paul VI (Fairfax)</t>
  </si>
  <si>
    <t>Goose Creek, SC</t>
  </si>
  <si>
    <t>Grayson (Loganville)</t>
  </si>
  <si>
    <t>West Haven, CT</t>
  </si>
  <si>
    <t>St. Vincent-St. Mary (Akron)</t>
  </si>
  <si>
    <t>Sheldon (Sacramento)</t>
  </si>
  <si>
    <t>Lancaster</t>
  </si>
  <si>
    <t>Paris, France</t>
  </si>
  <si>
    <t>Gonzaga (Washington)</t>
  </si>
  <si>
    <t xml:space="preserve"> Angola</t>
  </si>
  <si>
    <t>Luanda</t>
  </si>
  <si>
    <t>Luanda, Angola</t>
  </si>
  <si>
    <t>Dorman (Roebuck)</t>
  </si>
  <si>
    <t>Curie (Chicago)</t>
  </si>
  <si>
    <t>AL</t>
  </si>
  <si>
    <t>AK</t>
  </si>
  <si>
    <t>AZ</t>
  </si>
  <si>
    <t>Hancock, MI</t>
  </si>
  <si>
    <t>Ribet Academy (Los Angeles)</t>
  </si>
  <si>
    <t>Scotlandville (Baton Rouge)</t>
  </si>
  <si>
    <t>AB</t>
  </si>
  <si>
    <t>EF</t>
  </si>
  <si>
    <t>IJ</t>
  </si>
  <si>
    <t>Ljubljana, Slovenia</t>
  </si>
  <si>
    <t>Neumann-Goretti (Philadelphia)</t>
  </si>
  <si>
    <t>Mountain Brook (Birmingham)</t>
  </si>
  <si>
    <t>BC</t>
  </si>
  <si>
    <t>FG</t>
  </si>
  <si>
    <t>JK</t>
  </si>
  <si>
    <t>Miami, FL</t>
  </si>
  <si>
    <t>Lawrence North (Indianapolis)</t>
  </si>
  <si>
    <t>Etiwanda</t>
  </si>
  <si>
    <t>Richardson</t>
  </si>
  <si>
    <t>CD</t>
  </si>
  <si>
    <t>GH</t>
  </si>
  <si>
    <t>KL</t>
  </si>
  <si>
    <t>Charlotte, NC</t>
  </si>
  <si>
    <t>Oak Hill Academy (Mouth of Wilson)</t>
  </si>
  <si>
    <t>IMG Academy (Bradenton)</t>
  </si>
  <si>
    <t xml:space="preserve"> OH</t>
  </si>
  <si>
    <t>Lyndhurst</t>
  </si>
  <si>
    <t>Lyndhurst, OH</t>
  </si>
  <si>
    <t>DE</t>
  </si>
  <si>
    <t>HI</t>
  </si>
  <si>
    <t>LM</t>
  </si>
  <si>
    <t>Davis, CA</t>
  </si>
  <si>
    <t>Eden Prairie</t>
  </si>
  <si>
    <t>Prolific Prep of Napa Christian (Napa)</t>
  </si>
  <si>
    <t>Smyrna, GA</t>
  </si>
  <si>
    <t>Waxahachie</t>
  </si>
  <si>
    <t>Lee (Montgomery)</t>
  </si>
  <si>
    <t>Grand Rapids, MI</t>
  </si>
  <si>
    <t>Archbishop Moeller (Cincinnati)</t>
  </si>
  <si>
    <t>Archbishop Mitty (San Jose)</t>
  </si>
  <si>
    <t>Nashville, TN</t>
  </si>
  <si>
    <t>John Paul II (Plano)</t>
  </si>
  <si>
    <t>Justice, IL</t>
  </si>
  <si>
    <t>Callaway (Jackson)</t>
  </si>
  <si>
    <t>Brookfield Central (Brookfield)</t>
  </si>
  <si>
    <t xml:space="preserve"> FL</t>
  </si>
  <si>
    <t>Miami</t>
  </si>
  <si>
    <t>Mater Dei (Santa Ana)</t>
  </si>
  <si>
    <t>South Sioux City, NE</t>
  </si>
  <si>
    <t>Grand Prairie</t>
  </si>
  <si>
    <t>North Mecklenburg (Huntersville)</t>
  </si>
  <si>
    <t>Hamilton (Sussex)</t>
  </si>
  <si>
    <t>Montreal, Canada</t>
  </si>
  <si>
    <t>Centennial (Corona)</t>
  </si>
  <si>
    <t>Concord First Assembly Academy (Concord)</t>
  </si>
  <si>
    <t>Harvard-Westlake (Studio City)</t>
  </si>
  <si>
    <t>Windward (Los Angeles)</t>
  </si>
  <si>
    <t>Santa Clarita Christian (Canyon Country)</t>
  </si>
  <si>
    <t>Cleveland</t>
  </si>
  <si>
    <t>Cleveland, OH</t>
  </si>
  <si>
    <t>Salesian College Preparatory (Richmond)</t>
  </si>
  <si>
    <t>Bishop O'Dowd (Oakland)</t>
  </si>
  <si>
    <t>Archbishop Riordan (San Francisco)</t>
  </si>
  <si>
    <t>Phoenix, AZ</t>
  </si>
  <si>
    <t>Campolindo (Moraga)</t>
  </si>
  <si>
    <t>Rancho Christian (Temecula)</t>
  </si>
  <si>
    <t>Montverde</t>
  </si>
  <si>
    <t>FL</t>
  </si>
  <si>
    <t>Evart, MI</t>
  </si>
  <si>
    <t>Columbus</t>
  </si>
  <si>
    <t>Columbus, OH</t>
  </si>
  <si>
    <t>B</t>
  </si>
  <si>
    <t>Sycamore, IL</t>
  </si>
  <si>
    <t>A</t>
  </si>
  <si>
    <t>Perris, CA</t>
  </si>
  <si>
    <t>Campobello, SC</t>
  </si>
  <si>
    <t>Alexandria, VA</t>
  </si>
  <si>
    <t>Gates, TN</t>
  </si>
  <si>
    <t>Santa Ana, CA</t>
  </si>
  <si>
    <t xml:space="preserve"> GA</t>
  </si>
  <si>
    <t>Atlanta</t>
  </si>
  <si>
    <t>Atlanta, GA</t>
  </si>
  <si>
    <t>San Diego, CA</t>
  </si>
  <si>
    <t>Rank</t>
  </si>
  <si>
    <t>Top 50 teams</t>
  </si>
  <si>
    <t>Weighting</t>
  </si>
  <si>
    <t>Fircrest, WA</t>
  </si>
  <si>
    <t>High Point, NC</t>
  </si>
  <si>
    <t>Chelsea, MA</t>
  </si>
  <si>
    <t>Philadelphia, PA</t>
  </si>
  <si>
    <t>7 chances</t>
  </si>
  <si>
    <t>Augusta, GA</t>
  </si>
  <si>
    <t>Garland, TX</t>
  </si>
  <si>
    <t>Sterling Heights, MI</t>
  </si>
  <si>
    <t>Baltimore, MD</t>
  </si>
  <si>
    <t>Dublin, OH</t>
  </si>
  <si>
    <t>Lake Waccamaw, NC</t>
  </si>
  <si>
    <t>Pasadena, TX</t>
  </si>
  <si>
    <t>Orlando</t>
  </si>
  <si>
    <t>4 chances</t>
  </si>
  <si>
    <t>1023 blah Orlando, FL, HFHF, hfpad</t>
  </si>
  <si>
    <t>Melbourne</t>
  </si>
  <si>
    <t>Melbourne, FL</t>
  </si>
  <si>
    <t>Raleigh, NC</t>
  </si>
  <si>
    <t>16-25</t>
  </si>
  <si>
    <t>OH</t>
  </si>
  <si>
    <t>2 chances</t>
  </si>
  <si>
    <t>1023 blah Atlanta, GA, HFHF, hfpad</t>
  </si>
  <si>
    <t>Mesquite, TX</t>
  </si>
  <si>
    <t>Greensboro</t>
  </si>
  <si>
    <t>NC</t>
  </si>
  <si>
    <t>1023 blah Las Vegas, NV, HFHF, hfpad</t>
  </si>
  <si>
    <t>Eastman, GA</t>
  </si>
  <si>
    <t>Albany</t>
  </si>
  <si>
    <t>NY</t>
  </si>
  <si>
    <t>1023 blah Seattle, WA, HFHF, hfpad</t>
  </si>
  <si>
    <t>26-50</t>
  </si>
  <si>
    <t>1 chance</t>
  </si>
  <si>
    <t>Broken Arrow, OK</t>
  </si>
  <si>
    <t>New York</t>
  </si>
  <si>
    <t>1023 blah Houston, TX, HFHF, hfpad</t>
  </si>
  <si>
    <t>Whitesboro, TX</t>
  </si>
  <si>
    <t>MI</t>
  </si>
  <si>
    <t>1023 blah New York, NY, HFHF, hfpad</t>
  </si>
  <si>
    <t>Cary, NC</t>
  </si>
  <si>
    <t>Paris</t>
  </si>
  <si>
    <t>France</t>
  </si>
  <si>
    <t>1023 blah Charlotte, NC, HFHF, hfpad</t>
  </si>
  <si>
    <t>Hazlehurst, GA</t>
  </si>
  <si>
    <t>1023 blah Miami, FL, HFHF, hfpad</t>
  </si>
  <si>
    <t>Palo Alto, CA</t>
  </si>
  <si>
    <t>1023 blah Detroit, MI, HFHF, hfpad</t>
  </si>
  <si>
    <t>Iowa City, IA</t>
  </si>
  <si>
    <t>Saginaw, MI</t>
  </si>
  <si>
    <t>Apache Junction, AZ</t>
  </si>
  <si>
    <t>Las Vegas, NV</t>
  </si>
  <si>
    <t>Shreveport, LA</t>
  </si>
  <si>
    <t xml:space="preserve"> TX</t>
  </si>
  <si>
    <t>Moscow, PA</t>
  </si>
  <si>
    <t>Grand Prairie, TX</t>
  </si>
  <si>
    <t>Hoover, AL</t>
  </si>
  <si>
    <t>Mountainside, NJ</t>
  </si>
  <si>
    <t>Auburn</t>
  </si>
  <si>
    <t xml:space="preserve"> MS</t>
  </si>
  <si>
    <t>Biloxi</t>
  </si>
  <si>
    <t>Olive Branch</t>
  </si>
  <si>
    <t xml:space="preserve"> SC</t>
  </si>
  <si>
    <t>Gaffney</t>
  </si>
  <si>
    <t xml:space="preserve"> NE</t>
  </si>
  <si>
    <t>Omaha</t>
  </si>
  <si>
    <t xml:space="preserve"> MN</t>
  </si>
  <si>
    <t>Minneapolis</t>
  </si>
  <si>
    <t xml:space="preserve"> MA</t>
  </si>
  <si>
    <t>Boston</t>
  </si>
  <si>
    <t>Starkville</t>
  </si>
  <si>
    <t xml:space="preserve"> AZ</t>
  </si>
  <si>
    <t>Glendale</t>
  </si>
  <si>
    <t xml:space="preserve"> IA</t>
  </si>
  <si>
    <t>Ottumwa</t>
  </si>
  <si>
    <t xml:space="preserve"> MD</t>
  </si>
  <si>
    <t>Ocean City</t>
  </si>
  <si>
    <t>Oviedo</t>
  </si>
  <si>
    <t xml:space="preserve"> Spain</t>
  </si>
  <si>
    <t>Bareclone</t>
  </si>
  <si>
    <t>Swainsboro</t>
  </si>
  <si>
    <t>Highland</t>
  </si>
  <si>
    <t xml:space="preserve"> LA</t>
  </si>
  <si>
    <t>Lafayette</t>
  </si>
  <si>
    <t>San Diego</t>
  </si>
  <si>
    <t xml:space="preserve"> NY</t>
  </si>
  <si>
    <t>Homer</t>
  </si>
  <si>
    <t xml:space="preserve"> England</t>
  </si>
  <si>
    <t>London</t>
  </si>
  <si>
    <t>Baltimore</t>
  </si>
  <si>
    <t xml:space="preserve"> PA</t>
  </si>
  <si>
    <t>Allentown</t>
  </si>
  <si>
    <t xml:space="preserve"> WA</t>
  </si>
  <si>
    <t>Kent</t>
  </si>
  <si>
    <t xml:space="preserve"> KY</t>
  </si>
  <si>
    <t>Lyndon</t>
  </si>
  <si>
    <t xml:space="preserve"> NC</t>
  </si>
  <si>
    <t>Pittsboro</t>
  </si>
  <si>
    <t>San Antonio</t>
  </si>
  <si>
    <t>Dallas</t>
  </si>
  <si>
    <t>Edgewood</t>
  </si>
  <si>
    <t xml:space="preserve"> IL</t>
  </si>
  <si>
    <t>Northlake</t>
  </si>
  <si>
    <t xml:space="preserve"> TN</t>
  </si>
  <si>
    <t>Memphis</t>
  </si>
  <si>
    <t>Princess Anne</t>
  </si>
  <si>
    <t>San Juan Capistrano</t>
  </si>
  <si>
    <t>Riverside</t>
  </si>
  <si>
    <t>Cedar Hill</t>
  </si>
  <si>
    <t xml:space="preserve"> AL</t>
  </si>
  <si>
    <t>Jasper</t>
  </si>
  <si>
    <t xml:space="preserve"> OR</t>
  </si>
  <si>
    <t>Eugene</t>
  </si>
  <si>
    <t xml:space="preserve"> VA</t>
  </si>
  <si>
    <t>Virginia Beach</t>
  </si>
  <si>
    <t>Chicago</t>
  </si>
  <si>
    <t>North Platte</t>
  </si>
  <si>
    <t xml:space="preserve"> NJ</t>
  </si>
  <si>
    <t>Caldwell</t>
  </si>
  <si>
    <t>Wilmington</t>
  </si>
  <si>
    <t xml:space="preserve"> MO</t>
  </si>
  <si>
    <t>Saint Louis</t>
  </si>
  <si>
    <t xml:space="preserve"> DC</t>
  </si>
  <si>
    <t>Washington</t>
  </si>
  <si>
    <t>Florala</t>
  </si>
  <si>
    <t>Murfreesboro</t>
  </si>
  <si>
    <t>Oxford</t>
  </si>
  <si>
    <t>Ramsey</t>
  </si>
  <si>
    <t>Norfolk</t>
  </si>
  <si>
    <t>Warner Robins</t>
  </si>
  <si>
    <t>Charlotte</t>
  </si>
  <si>
    <t>Clarksdale</t>
  </si>
  <si>
    <t>Hialeah</t>
  </si>
  <si>
    <t>Concord</t>
  </si>
  <si>
    <t>Hurst</t>
  </si>
  <si>
    <t xml:space="preserve"> IN</t>
  </si>
  <si>
    <t>Hammond</t>
  </si>
  <si>
    <t>McAllen</t>
  </si>
  <si>
    <t>Gainesville</t>
  </si>
  <si>
    <t>Temecula</t>
  </si>
  <si>
    <t>McKinney</t>
  </si>
  <si>
    <t>Indianapolis</t>
  </si>
  <si>
    <t>Auburn, MI</t>
  </si>
  <si>
    <t>Northfield</t>
  </si>
  <si>
    <t>Jackson</t>
  </si>
  <si>
    <t>Linden</t>
  </si>
  <si>
    <t>Jeffersonville</t>
  </si>
  <si>
    <t xml:space="preserve"> WI</t>
  </si>
  <si>
    <t>Holmen</t>
  </si>
  <si>
    <t>Mendon</t>
  </si>
  <si>
    <t>Fairfield</t>
  </si>
  <si>
    <t>Eatonton</t>
  </si>
  <si>
    <t>Marysville</t>
  </si>
  <si>
    <t xml:space="preserve"> AR</t>
  </si>
  <si>
    <t>West Memphis</t>
  </si>
  <si>
    <t>Keansburg</t>
  </si>
  <si>
    <t>Toledo</t>
  </si>
  <si>
    <t>Corvallis</t>
  </si>
  <si>
    <t xml:space="preserve"> Lithuania</t>
  </si>
  <si>
    <t>Trakai</t>
  </si>
  <si>
    <t>Utica</t>
  </si>
  <si>
    <t xml:space="preserve"> NV</t>
  </si>
  <si>
    <t>Las Vegas</t>
  </si>
  <si>
    <t xml:space="preserve"> UT</t>
  </si>
  <si>
    <t>Ogden</t>
  </si>
  <si>
    <t>Flushing</t>
  </si>
  <si>
    <t>Taft</t>
  </si>
  <si>
    <t xml:space="preserve"> CO</t>
  </si>
  <si>
    <t>Grand Junction</t>
  </si>
  <si>
    <t>Waconia</t>
  </si>
  <si>
    <t>Los Angeles</t>
  </si>
  <si>
    <t>Searcy</t>
  </si>
  <si>
    <t>Houghton Lake</t>
  </si>
  <si>
    <t>Brooklyn</t>
  </si>
  <si>
    <t>Athens</t>
  </si>
  <si>
    <t>Provo</t>
  </si>
  <si>
    <t xml:space="preserve"> Greece</t>
  </si>
  <si>
    <t>Denham Springs</t>
  </si>
  <si>
    <t>Waukesha</t>
  </si>
  <si>
    <t>Loma Linda</t>
  </si>
  <si>
    <t>Woodland</t>
  </si>
  <si>
    <t>Waterford</t>
  </si>
  <si>
    <t>Appleton</t>
  </si>
  <si>
    <t>Pittsburgh</t>
  </si>
  <si>
    <t>Augusta</t>
  </si>
  <si>
    <t>Yorba Linda</t>
  </si>
  <si>
    <t>Rockledge</t>
  </si>
  <si>
    <t>Hood River</t>
  </si>
  <si>
    <t xml:space="preserve"> CT</t>
  </si>
  <si>
    <t>Norwich</t>
  </si>
  <si>
    <t xml:space="preserve"> Canada</t>
  </si>
  <si>
    <t>Hamilton</t>
  </si>
  <si>
    <t xml:space="preserve"> Sweden</t>
  </si>
  <si>
    <t>Stockholm</t>
  </si>
  <si>
    <t>Ann Arbor</t>
  </si>
  <si>
    <t>Sacramento</t>
  </si>
  <si>
    <t>Renton</t>
  </si>
  <si>
    <t>Nashville</t>
  </si>
  <si>
    <t>Kansas City</t>
  </si>
  <si>
    <t>Suwanee</t>
  </si>
  <si>
    <t>Aurora</t>
  </si>
  <si>
    <t>Naples</t>
  </si>
  <si>
    <t>Biloxi, MS</t>
  </si>
  <si>
    <t>Columbia</t>
  </si>
  <si>
    <t>Needmore</t>
  </si>
  <si>
    <t>Worcester</t>
  </si>
  <si>
    <t>Conroe</t>
  </si>
  <si>
    <t>East Lansing</t>
  </si>
  <si>
    <t>Pompton Lakes</t>
  </si>
  <si>
    <t>Belton</t>
  </si>
  <si>
    <t>Anaheim</t>
  </si>
  <si>
    <t>Coppell</t>
  </si>
  <si>
    <t>Dalton</t>
  </si>
  <si>
    <t>Mercedes</t>
  </si>
  <si>
    <t>New Baltimore</t>
  </si>
  <si>
    <t>Houston</t>
  </si>
  <si>
    <t xml:space="preserve"> ND</t>
  </si>
  <si>
    <t>Grand Forks</t>
  </si>
  <si>
    <t>Osseo</t>
  </si>
  <si>
    <t>Lubbock</t>
  </si>
  <si>
    <t>Holmes</t>
  </si>
  <si>
    <t>Montclair</t>
  </si>
  <si>
    <t>Quebec City</t>
  </si>
  <si>
    <t>Ballston Spa</t>
  </si>
  <si>
    <t>Orrville</t>
  </si>
  <si>
    <t>Breaux Bridge</t>
  </si>
  <si>
    <t>Bellbrook</t>
  </si>
  <si>
    <t>Monroe</t>
  </si>
  <si>
    <t>Juneau</t>
  </si>
  <si>
    <t>Prescott</t>
  </si>
  <si>
    <t>Saginaw</t>
  </si>
  <si>
    <t xml:space="preserve"> WV</t>
  </si>
  <si>
    <t>Fanrock</t>
  </si>
  <si>
    <t>Tacoma</t>
  </si>
  <si>
    <t>Saint Paul</t>
  </si>
  <si>
    <t>Colorado Springs</t>
  </si>
  <si>
    <t>Chewelah</t>
  </si>
  <si>
    <t>Lynnwood</t>
  </si>
  <si>
    <t>Edmonds</t>
  </si>
  <si>
    <t>Edison</t>
  </si>
  <si>
    <t>Terre Haute</t>
  </si>
  <si>
    <t>Milpitas</t>
  </si>
  <si>
    <t>Wantagh</t>
  </si>
  <si>
    <t>Van Nuys</t>
  </si>
  <si>
    <t>Sebastopol</t>
  </si>
  <si>
    <t>Mount Pleasant</t>
  </si>
  <si>
    <t>Saltillo</t>
  </si>
  <si>
    <t>Champaign</t>
  </si>
  <si>
    <t>Puyallup</t>
  </si>
  <si>
    <t>Dry Prong</t>
  </si>
  <si>
    <t>Torrance</t>
  </si>
  <si>
    <t>Apopka</t>
  </si>
  <si>
    <t>Greeneville</t>
  </si>
  <si>
    <t xml:space="preserve"> ME</t>
  </si>
  <si>
    <t>Calais</t>
  </si>
  <si>
    <t>Godwin</t>
  </si>
  <si>
    <t>Statesboro</t>
  </si>
  <si>
    <t>Killeen</t>
  </si>
  <si>
    <t>Springville</t>
  </si>
  <si>
    <t>Olive Branch, MS</t>
  </si>
  <si>
    <t>Wayne</t>
  </si>
  <si>
    <t>Central Point</t>
  </si>
  <si>
    <t>El Cajon</t>
  </si>
  <si>
    <t>Springfield</t>
  </si>
  <si>
    <t>Palm Beach Gardens</t>
  </si>
  <si>
    <t>Glendora</t>
  </si>
  <si>
    <t>Woodridge</t>
  </si>
  <si>
    <t>Loveland</t>
  </si>
  <si>
    <t>Lawrenceville</t>
  </si>
  <si>
    <t>Salisbury</t>
  </si>
  <si>
    <t>Fults</t>
  </si>
  <si>
    <t>San Francisco</t>
  </si>
  <si>
    <t>Montebello</t>
  </si>
  <si>
    <t>Brownsville</t>
  </si>
  <si>
    <t>Sylmar</t>
  </si>
  <si>
    <t>Sharon</t>
  </si>
  <si>
    <t>Summit Point</t>
  </si>
  <si>
    <t>Brookfield</t>
  </si>
  <si>
    <t xml:space="preserve"> HI</t>
  </si>
  <si>
    <t>Honolulu</t>
  </si>
  <si>
    <t>Worthington</t>
  </si>
  <si>
    <t>North Charleston</t>
  </si>
  <si>
    <t>Alton</t>
  </si>
  <si>
    <t>Morris</t>
  </si>
  <si>
    <t>Fishkill</t>
  </si>
  <si>
    <t>Humble</t>
  </si>
  <si>
    <t>Montgomery</t>
  </si>
  <si>
    <t>Morrisville</t>
  </si>
  <si>
    <t>Sault Sainte Marie</t>
  </si>
  <si>
    <t>Cochran</t>
  </si>
  <si>
    <t>Timberville</t>
  </si>
  <si>
    <t>Powder Springs</t>
  </si>
  <si>
    <t>Evans</t>
  </si>
  <si>
    <t>Rancho Cucamonga</t>
  </si>
  <si>
    <t>North Miami Beach</t>
  </si>
  <si>
    <t>Dothan</t>
  </si>
  <si>
    <t>East Meadow</t>
  </si>
  <si>
    <t>Sussex</t>
  </si>
  <si>
    <t>Salem</t>
  </si>
  <si>
    <t>Livermore</t>
  </si>
  <si>
    <t xml:space="preserve"> OK</t>
  </si>
  <si>
    <t>Park Hill</t>
  </si>
  <si>
    <t>Mandeville</t>
  </si>
  <si>
    <t xml:space="preserve"> KS</t>
  </si>
  <si>
    <t>Dodge City</t>
  </si>
  <si>
    <t>Pleasant Grove</t>
  </si>
  <si>
    <t>Milwaukee</t>
  </si>
  <si>
    <t>Mc Connells</t>
  </si>
  <si>
    <t>Hostetter</t>
  </si>
  <si>
    <t>Effingham</t>
  </si>
  <si>
    <t>Emerald Isle</t>
  </si>
  <si>
    <t>Pitman</t>
  </si>
  <si>
    <t>Prescott Valley</t>
  </si>
  <si>
    <t>Spartanburg</t>
  </si>
  <si>
    <t>Ridgeland</t>
  </si>
  <si>
    <t>Flanders</t>
  </si>
  <si>
    <t>East Brookfield</t>
  </si>
  <si>
    <t>Brownsburg</t>
  </si>
  <si>
    <t>Lewisburg</t>
  </si>
  <si>
    <t>Huntsville</t>
  </si>
  <si>
    <t>Palmetto</t>
  </si>
  <si>
    <t>Merrill</t>
  </si>
  <si>
    <t>Aptos</t>
  </si>
  <si>
    <t>Union Point</t>
  </si>
  <si>
    <t>Martinsville</t>
  </si>
  <si>
    <t>Emporia</t>
  </si>
  <si>
    <t>Ottawa</t>
  </si>
  <si>
    <t>North Chicago</t>
  </si>
  <si>
    <t>Byfield</t>
  </si>
  <si>
    <t>Fond Du Lac</t>
  </si>
  <si>
    <t>Union</t>
  </si>
  <si>
    <t>Gaffney, SC</t>
  </si>
  <si>
    <t>Woodway</t>
  </si>
  <si>
    <t>Pasadena</t>
  </si>
  <si>
    <t>Dundee</t>
  </si>
  <si>
    <t>Madison</t>
  </si>
  <si>
    <t>Myersville</t>
  </si>
  <si>
    <t xml:space="preserve"> RI</t>
  </si>
  <si>
    <t>Johnston</t>
  </si>
  <si>
    <t xml:space="preserve"> MT</t>
  </si>
  <si>
    <t>Helena</t>
  </si>
  <si>
    <t>Louisville</t>
  </si>
  <si>
    <t>Jacksboro</t>
  </si>
  <si>
    <t>Fremont</t>
  </si>
  <si>
    <t>Lenoir</t>
  </si>
  <si>
    <t xml:space="preserve"> DE</t>
  </si>
  <si>
    <t>Newark</t>
  </si>
  <si>
    <t>Middletown</t>
  </si>
  <si>
    <t>Berwyn</t>
  </si>
  <si>
    <t>Grayslake</t>
  </si>
  <si>
    <t>Milton</t>
  </si>
  <si>
    <t>Pompano Beach</t>
  </si>
  <si>
    <t>Locke</t>
  </si>
  <si>
    <t>Lexington</t>
  </si>
  <si>
    <t>Wheeling</t>
  </si>
  <si>
    <t>Bailey</t>
  </si>
  <si>
    <t>Chula Vista</t>
  </si>
  <si>
    <t>Hawthorne</t>
  </si>
  <si>
    <t>Greendale</t>
  </si>
  <si>
    <t>Carrboro</t>
  </si>
  <si>
    <t>Leavittsburg</t>
  </si>
  <si>
    <t>Carlsbad</t>
  </si>
  <si>
    <t>The Colony</t>
  </si>
  <si>
    <t>Lake Stevens</t>
  </si>
  <si>
    <t>Waverly</t>
  </si>
  <si>
    <t>Mosinee</t>
  </si>
  <si>
    <t>Golden Valley</t>
  </si>
  <si>
    <t xml:space="preserve"> VT</t>
  </si>
  <si>
    <t>Bennington</t>
  </si>
  <si>
    <t>Drexel Hill</t>
  </si>
  <si>
    <t>Baton Rouge</t>
  </si>
  <si>
    <t>Holden</t>
  </si>
  <si>
    <t>Franklin</t>
  </si>
  <si>
    <t>Andalusia</t>
  </si>
  <si>
    <t>Modesto</t>
  </si>
  <si>
    <t>Long Beach</t>
  </si>
  <si>
    <t>Danville</t>
  </si>
  <si>
    <t>New Port Richey</t>
  </si>
  <si>
    <t>Saint Cloud</t>
  </si>
  <si>
    <t>Snyder</t>
  </si>
  <si>
    <t>Tafton</t>
  </si>
  <si>
    <t>Rome</t>
  </si>
  <si>
    <t>Hydes</t>
  </si>
  <si>
    <t>Harvey</t>
  </si>
  <si>
    <t>Spanish Fork</t>
  </si>
  <si>
    <t>West Palm Beach</t>
  </si>
  <si>
    <t>Philadelphia</t>
  </si>
  <si>
    <t>Cocoa</t>
  </si>
  <si>
    <t>Lakeside</t>
  </si>
  <si>
    <t>Carmel</t>
  </si>
  <si>
    <t>North Las Vegas</t>
  </si>
  <si>
    <t xml:space="preserve"> NH</t>
  </si>
  <si>
    <t>Weare</t>
  </si>
  <si>
    <t>Tulare</t>
  </si>
  <si>
    <t>Kirkwood</t>
  </si>
  <si>
    <t>Fullerton</t>
  </si>
  <si>
    <t>Medford</t>
  </si>
  <si>
    <t xml:space="preserve"> AK</t>
  </si>
  <si>
    <t>Chefornak</t>
  </si>
  <si>
    <t>Valley Cottage</t>
  </si>
  <si>
    <t>Bronx</t>
  </si>
  <si>
    <t>Fayetteville</t>
  </si>
  <si>
    <t>Wesson</t>
  </si>
  <si>
    <t>Billings</t>
  </si>
  <si>
    <t>Omaha, NE</t>
  </si>
  <si>
    <t>Williamsburg</t>
  </si>
  <si>
    <t>Saint Petersburg</t>
  </si>
  <si>
    <t>Moses Lake</t>
  </si>
  <si>
    <t>Bristol</t>
  </si>
  <si>
    <t>Little Suamico</t>
  </si>
  <si>
    <t>Vernal</t>
  </si>
  <si>
    <t>Starbuck</t>
  </si>
  <si>
    <t>Southgate</t>
  </si>
  <si>
    <t>Kernersville</t>
  </si>
  <si>
    <t>York</t>
  </si>
  <si>
    <t>Dayton</t>
  </si>
  <si>
    <t>Scotch Plains</t>
  </si>
  <si>
    <t>Bedias</t>
  </si>
  <si>
    <t>Stow</t>
  </si>
  <si>
    <t>Amityville</t>
  </si>
  <si>
    <t>Vian</t>
  </si>
  <si>
    <t>Austin</t>
  </si>
  <si>
    <t>Pueblo</t>
  </si>
  <si>
    <t>Edgerton</t>
  </si>
  <si>
    <t>Grantham</t>
  </si>
  <si>
    <t>Reno</t>
  </si>
  <si>
    <t>Riverhead</t>
  </si>
  <si>
    <t>Midvale</t>
  </si>
  <si>
    <t>Mableton</t>
  </si>
  <si>
    <t>King City</t>
  </si>
  <si>
    <t>Gorham</t>
  </si>
  <si>
    <t>Miller</t>
  </si>
  <si>
    <t>Santa Clara</t>
  </si>
  <si>
    <t>Minneapolis, MN</t>
  </si>
  <si>
    <t>Boston, MA</t>
  </si>
  <si>
    <t>CA</t>
  </si>
  <si>
    <t>Chatsworth</t>
  </si>
  <si>
    <t>MD</t>
  </si>
  <si>
    <t>Hyattsville</t>
  </si>
  <si>
    <t>Starkville, MS</t>
  </si>
  <si>
    <t>NV</t>
  </si>
  <si>
    <t>Glendale, AZ</t>
  </si>
  <si>
    <t>TX</t>
  </si>
  <si>
    <t>Ottumwa, IA</t>
  </si>
  <si>
    <t>Napa</t>
  </si>
  <si>
    <t>GA</t>
  </si>
  <si>
    <t>Loganville</t>
  </si>
  <si>
    <t>Ocean City, MD</t>
  </si>
  <si>
    <t>Glen Head</t>
  </si>
  <si>
    <t>VA</t>
  </si>
  <si>
    <t>Fairfax</t>
  </si>
  <si>
    <t>IL</t>
  </si>
  <si>
    <t>Oviedo, FL</t>
  </si>
  <si>
    <t>SC</t>
  </si>
  <si>
    <t>Roebuck</t>
  </si>
  <si>
    <t>MN</t>
  </si>
  <si>
    <t>Lakewood</t>
  </si>
  <si>
    <t>Bareclone, Spain</t>
  </si>
  <si>
    <t>San Jose</t>
  </si>
  <si>
    <t>Birmingham</t>
  </si>
  <si>
    <t>Swainsboro, GA</t>
  </si>
  <si>
    <t>Akron</t>
  </si>
  <si>
    <t>Santa Ana</t>
  </si>
  <si>
    <t>Corona</t>
  </si>
  <si>
    <t>Highland, CA</t>
  </si>
  <si>
    <t>IN</t>
  </si>
  <si>
    <t>Team Name</t>
  </si>
  <si>
    <t>City (without front space)</t>
  </si>
  <si>
    <t>Longitude (Don't forget negative)</t>
  </si>
  <si>
    <t xml:space="preserve"> Montverde</t>
  </si>
  <si>
    <t>17235 7th St, Montverde, FL 34756, USA</t>
  </si>
  <si>
    <t>LA</t>
  </si>
  <si>
    <t xml:space="preserve"> Chatsworth</t>
  </si>
  <si>
    <t>20801 Rinaldi St, Chatsworth, CA 91311, USA</t>
  </si>
  <si>
    <t xml:space="preserve"> Hyattsville</t>
  </si>
  <si>
    <t>4313 Madison St, Hyattsville, MD 20781, USA</t>
  </si>
  <si>
    <t>Lafayette, LA</t>
  </si>
  <si>
    <t xml:space="preserve"> Las Vegas</t>
  </si>
  <si>
    <t>5959 S Hualapai Way, Las Vegas, NV 89148, USA</t>
  </si>
  <si>
    <t>Studio City</t>
  </si>
  <si>
    <t xml:space="preserve"> Sacramento</t>
  </si>
  <si>
    <t>8333 Kingsbridge Dr, Sacramento, CA 95829, USA</t>
  </si>
  <si>
    <t xml:space="preserve"> Los Angeles</t>
  </si>
  <si>
    <t>2911 N San Fernando Rd, Los Angeles, CA 90065, USA</t>
  </si>
  <si>
    <t xml:space="preserve"> Duncanville</t>
  </si>
  <si>
    <t>102 N Main St, Duncanville, TX 75116, USA</t>
  </si>
  <si>
    <t xml:space="preserve"> Rancho Cucamonga</t>
  </si>
  <si>
    <t>12880 Saddleridge Dr, Rancho Cucamonga, CA 91739, USA</t>
  </si>
  <si>
    <t xml:space="preserve"> Napa</t>
  </si>
  <si>
    <t>2201 Pine St, Napa, CA 94559, USA</t>
  </si>
  <si>
    <t>Santa Clarita</t>
  </si>
  <si>
    <t xml:space="preserve"> Loganville</t>
  </si>
  <si>
    <t>50 Hope Hollow Rd, Loganville, GA 30052, USA</t>
  </si>
  <si>
    <t>MT</t>
  </si>
  <si>
    <t xml:space="preserve"> Glen Head</t>
  </si>
  <si>
    <t>131 Brookville Rd, Glen Head, NY 11545, USA</t>
  </si>
  <si>
    <t>Missoula</t>
  </si>
  <si>
    <t xml:space="preserve"> Fairfax</t>
  </si>
  <si>
    <t>10675 Fairfax Blvd, Fairfax, VA 22030, USA</t>
  </si>
  <si>
    <t xml:space="preserve"> Chicago</t>
  </si>
  <si>
    <t>Volney</t>
  </si>
  <si>
    <t>Curie Metropolitan High School, 4959 S Archer Ave, Chicago, IL 60632, USA</t>
  </si>
  <si>
    <t xml:space="preserve"> Dickinson</t>
  </si>
  <si>
    <t>4301 TX-3, Dickinson, TX 77539, USA</t>
  </si>
  <si>
    <t>Richmond</t>
  </si>
  <si>
    <t xml:space="preserve"> Roebuck</t>
  </si>
  <si>
    <t>1050 Cavalier Way, Roebuck, SC 29376, USA</t>
  </si>
  <si>
    <t xml:space="preserve"> Eden Prairie</t>
  </si>
  <si>
    <t>15201 Scenic Heights Rd, Eden Prairie, MN 55344, USA</t>
  </si>
  <si>
    <t>Oakland</t>
  </si>
  <si>
    <t xml:space="preserve"> Lancaster</t>
  </si>
  <si>
    <t>Online Store, Lancaster, TX 75146, USA</t>
  </si>
  <si>
    <t>Cincinnati</t>
  </si>
  <si>
    <t xml:space="preserve"> Lakewood</t>
  </si>
  <si>
    <t>13500 Detroit Ave, Lakewood, OH 44107, USA</t>
  </si>
  <si>
    <t xml:space="preserve"> San Jose</t>
  </si>
  <si>
    <t>5000 Mitty Way, San Jose, CA 95129, USA</t>
  </si>
  <si>
    <t xml:space="preserve"> Birmingham</t>
  </si>
  <si>
    <t>3800 Montevallo Rd, Birmingham, AL 35213, USA</t>
  </si>
  <si>
    <t>New York, NY</t>
  </si>
  <si>
    <t xml:space="preserve"> Akron</t>
  </si>
  <si>
    <t>15 N Maple St, Akron, OH 44303, USA</t>
  </si>
  <si>
    <t>PA</t>
  </si>
  <si>
    <t xml:space="preserve"> Santa Ana</t>
  </si>
  <si>
    <t>1202 W Edinger Ave, Santa Ana, CA 92707, USA</t>
  </si>
  <si>
    <t xml:space="preserve"> Corona</t>
  </si>
  <si>
    <t>1820 Rimpau Ave, Corona, CA 92881, USA</t>
  </si>
  <si>
    <t xml:space="preserve"> Indianapolis</t>
  </si>
  <si>
    <t>7802 Hague Rd, Indianapolis, IN 46256, USA</t>
  </si>
  <si>
    <t>WI</t>
  </si>
  <si>
    <t xml:space="preserve"> Baton Rouge</t>
  </si>
  <si>
    <t>2867 Brig Gen Isaac Smith Ave, Baton Rouge, LA 70807, USA</t>
  </si>
  <si>
    <t xml:space="preserve"> Studio City</t>
  </si>
  <si>
    <t>3700 Coldwater Canyon Ave, Studio City, CA 91604, USA</t>
  </si>
  <si>
    <t>Huntersville</t>
  </si>
  <si>
    <t>11350 Palms Blvd, Los Angeles, CA 90066, USA</t>
  </si>
  <si>
    <t xml:space="preserve"> Santa Clarita</t>
  </si>
  <si>
    <t>27249 Luther Dr, Santa Clarita, CA 91351, USA</t>
  </si>
  <si>
    <t xml:space="preserve"> Missoula</t>
  </si>
  <si>
    <t>900 S Higgins Ave, Missoula, MT 59801, USA</t>
  </si>
  <si>
    <t>MS</t>
  </si>
  <si>
    <t xml:space="preserve"> Volney</t>
  </si>
  <si>
    <t>2635 Oak Hill Rd, Volney, VA 24363, USA</t>
  </si>
  <si>
    <t xml:space="preserve"> Richmond</t>
  </si>
  <si>
    <t>2851 Salesian Ave, Richmond, CA 94804, USA</t>
  </si>
  <si>
    <t>Homer, MI</t>
  </si>
  <si>
    <t xml:space="preserve"> Oakland</t>
  </si>
  <si>
    <t>9500 Stearns Ave, Oakland, CA 94605, USA</t>
  </si>
  <si>
    <t xml:space="preserve"> Cincinnati</t>
  </si>
  <si>
    <t>9001 Montgomery Rd, Cincinnati, OH 45242, USA</t>
  </si>
  <si>
    <t xml:space="preserve"> San Francisco</t>
  </si>
  <si>
    <t>Frida Khalo Way &amp; Judson Ave, San Francisco, CA 94112, USA</t>
  </si>
  <si>
    <t xml:space="preserve"> Philadelphia</t>
  </si>
  <si>
    <t>1736 S 10th St, Philadelphia, PA 19148, USA</t>
  </si>
  <si>
    <t xml:space="preserve"> Brookfield</t>
  </si>
  <si>
    <t>16900 Gebhardt Rd, Brookfield, WI 53005, USA</t>
  </si>
  <si>
    <t>Plano</t>
  </si>
  <si>
    <t xml:space="preserve"> Huntersville</t>
  </si>
  <si>
    <t>11201 Old Statesville Rd, Huntersville, NC 28078, USA</t>
  </si>
  <si>
    <t>DC</t>
  </si>
  <si>
    <t xml:space="preserve"> Jackson</t>
  </si>
  <si>
    <t>601 Beasley Rd, Jackson, MS 39206, USA</t>
  </si>
  <si>
    <t>District of Columbia</t>
  </si>
  <si>
    <t xml:space="preserve"> Richardson</t>
  </si>
  <si>
    <t>101 S Greenville Ave, Richardson, TX 75081, USA</t>
  </si>
  <si>
    <t xml:space="preserve"> Waxahachie</t>
  </si>
  <si>
    <t>104 N Elm St, Waxahachie, TX 75165, USA</t>
  </si>
  <si>
    <t>Bradenton</t>
  </si>
  <si>
    <t>London, England</t>
  </si>
  <si>
    <t xml:space="preserve"> Plano</t>
  </si>
  <si>
    <t>900 Coit Rd, Plano, TX 75075, USA</t>
  </si>
  <si>
    <t xml:space="preserve"> Washington</t>
  </si>
  <si>
    <t>Moraga</t>
  </si>
  <si>
    <t>19 I St NW, Washington, DC 20001, USA</t>
  </si>
  <si>
    <t xml:space="preserve"> Bradenton</t>
  </si>
  <si>
    <t>5650 Bollettieri Blvd, Bradenton, FL 34210, USA</t>
  </si>
  <si>
    <t xml:space="preserve"> Moraga</t>
  </si>
  <si>
    <t>32 Corte Aires, Moraga, CA 94556, USA</t>
  </si>
  <si>
    <t xml:space="preserve"> Concord</t>
  </si>
  <si>
    <t>154 Warren C Coleman Blvd N, Concord, NC 28027, USA</t>
  </si>
  <si>
    <t xml:space="preserve"> Temecula</t>
  </si>
  <si>
    <t>31300 Rancho Community Way, Temecula, CA 92592, USA</t>
  </si>
  <si>
    <t xml:space="preserve"> Grand Prairie</t>
  </si>
  <si>
    <t>504 TX-180, Grand Prairie, TX 75050, USA</t>
  </si>
  <si>
    <t>NJ</t>
  </si>
  <si>
    <t xml:space="preserve"> Newark</t>
  </si>
  <si>
    <t>520 Dr M.L.K. Jr. Blvd, Newark, NJ 07102, USA</t>
  </si>
  <si>
    <t xml:space="preserve"> Sussex</t>
  </si>
  <si>
    <t>w220n6151 Town Line Rd, Sussex, WI 53089, USA</t>
  </si>
  <si>
    <t xml:space="preserve"> Montgomery</t>
  </si>
  <si>
    <t>1420 Narrow Ln Pkwy, Montgomery, AL 36111, USA</t>
  </si>
  <si>
    <t>Eastside Catholic (Sammamish)</t>
  </si>
  <si>
    <t>WA</t>
  </si>
  <si>
    <t xml:space="preserve"> Sammamish</t>
  </si>
  <si>
    <t>232 228th Ave SE, Sammamish, WA 98074, USA</t>
  </si>
  <si>
    <t>St. Frances Academy (Baltimore)</t>
  </si>
  <si>
    <t xml:space="preserve"> Baltimore</t>
  </si>
  <si>
    <t>501 E Chase St, Baltimore, MD 21202, USA</t>
  </si>
  <si>
    <t>Sammamish</t>
  </si>
  <si>
    <t>Bellarmine College Prep (San Jose)</t>
  </si>
  <si>
    <t>960 W Hedding St, San Jose, CA 95126, USA</t>
  </si>
  <si>
    <t>Allen</t>
  </si>
  <si>
    <t xml:space="preserve"> Allen</t>
  </si>
  <si>
    <t>112 W Main St, Allen, TX 75013, USA</t>
  </si>
  <si>
    <t>Bartow</t>
  </si>
  <si>
    <t xml:space="preserve"> Bartow</t>
  </si>
  <si>
    <t>3585 us Hwy 17 N, Bartow, FL 33830, USA</t>
  </si>
  <si>
    <t>Allentown, PA</t>
  </si>
  <si>
    <t>Wilson (West Lawn)</t>
  </si>
  <si>
    <t xml:space="preserve"> Reading</t>
  </si>
  <si>
    <t>2601 Grandview Blvd, Reading, PA 19609, USA</t>
  </si>
  <si>
    <t>Wasatch Academy (Mt. Pleasant)</t>
  </si>
  <si>
    <t>UT</t>
  </si>
  <si>
    <t xml:space="preserve"> Mt Pleasant</t>
  </si>
  <si>
    <t>179 S 100 W, Mt Pleasant, UT 84647, USA</t>
  </si>
  <si>
    <t>Hamilton Heights Christian Academy (Chattanooga)</t>
  </si>
  <si>
    <t>Reading</t>
  </si>
  <si>
    <t>TN</t>
  </si>
  <si>
    <t xml:space="preserve"> Chattanooga</t>
  </si>
  <si>
    <t>2201 Hickory Valley Rd, Chattanooga, TN 37421, USA</t>
  </si>
  <si>
    <t>Camden</t>
  </si>
  <si>
    <t xml:space="preserve"> Camden</t>
  </si>
  <si>
    <t>Mt Pleasant</t>
  </si>
  <si>
    <t>1535 Broadway, Camden, NJ 08104, USA</t>
  </si>
  <si>
    <t>Union (Vancouver)</t>
  </si>
  <si>
    <t xml:space="preserve"> Camas</t>
  </si>
  <si>
    <t>Unnamed Road, Camas, WA 98607, USA</t>
  </si>
  <si>
    <t>Chattanooga</t>
  </si>
  <si>
    <t>Combine Academy (Lincolnton)</t>
  </si>
  <si>
    <t xml:space="preserve"> Lincolnton</t>
  </si>
  <si>
    <t>270 Car Farm Rd, Lincolnton, NC 28092, USA</t>
  </si>
  <si>
    <t>Kent, WA</t>
  </si>
  <si>
    <t>Poly (Baltimore)</t>
  </si>
  <si>
    <t>1400 W Cold Spring Ln, Baltimore, MD 21209, USA</t>
  </si>
  <si>
    <t>Mount Si (Snoqualmie)</t>
  </si>
  <si>
    <t xml:space="preserve"> Snoqualmie</t>
  </si>
  <si>
    <t>Camas</t>
  </si>
  <si>
    <t>8463 Maple Ave SE, Snoqualmie, WA 98065, USA</t>
  </si>
  <si>
    <t>Guyer (Denton)</t>
  </si>
  <si>
    <t xml:space="preserve"> Denton</t>
  </si>
  <si>
    <t>7501 Teasley Ln, Denton, TX 76210, USA</t>
  </si>
  <si>
    <t>Lincolnton</t>
  </si>
  <si>
    <t>Sunrise Christian Academy (Bel Aire)</t>
  </si>
  <si>
    <t>KS</t>
  </si>
  <si>
    <t xml:space="preserve"> Bel Aire</t>
  </si>
  <si>
    <t>5500 E 45th St N, Bel Aire, KS 67220, USA</t>
  </si>
  <si>
    <t>Huffman (Birmingham)</t>
  </si>
  <si>
    <t>800 Paragon Pkwy, Birmingham, AL 35235, USA</t>
  </si>
  <si>
    <t>Collinsville</t>
  </si>
  <si>
    <t xml:space="preserve"> Collinsville</t>
  </si>
  <si>
    <t>100 S Morrison Ave, Collinsville, IL 62234, USA</t>
  </si>
  <si>
    <t>Snoqualmie</t>
  </si>
  <si>
    <t>Blue Ridge (St. George)</t>
  </si>
  <si>
    <t xml:space="preserve"> Dyke</t>
  </si>
  <si>
    <t>273 Mayo Dr, Dyke, VA 22935, USA</t>
  </si>
  <si>
    <t>Denton</t>
  </si>
  <si>
    <t>St. Stephen's &amp; St. Agnes (Alexandria)</t>
  </si>
  <si>
    <t xml:space="preserve"> Alexandria</t>
  </si>
  <si>
    <t>1000 St Stephens Rd, Alexandria, VA 22304, USA</t>
  </si>
  <si>
    <t>Lyndon, KY</t>
  </si>
  <si>
    <t>Wheeler (Marietta)</t>
  </si>
  <si>
    <t xml:space="preserve"> Marietta</t>
  </si>
  <si>
    <t>Bel Aire</t>
  </si>
  <si>
    <t>21 Holt Rd NE, Marietta, GA 30068, USA</t>
  </si>
  <si>
    <t>St. Mary Prep (Orchard Lake)</t>
  </si>
  <si>
    <t xml:space="preserve"> West Bloomfield Township</t>
  </si>
  <si>
    <t>3535 Commerce Rd, West Bloomfield Township, MI 48324, USA</t>
  </si>
  <si>
    <t>Ellison (Killeen)</t>
  </si>
  <si>
    <t xml:space="preserve"> Killeen</t>
  </si>
  <si>
    <t>909 E Elms Rd, Killeen, TX 76542, USA</t>
  </si>
  <si>
    <t>St. Francis (La Canada)</t>
  </si>
  <si>
    <t xml:space="preserve"> La Cañada Flintridge</t>
  </si>
  <si>
    <t>200 Foothill Blvd, La Cañada Flintridge, CA 91011, USA</t>
  </si>
  <si>
    <t>Dyke</t>
  </si>
  <si>
    <t>Bossier (Bossier City)</t>
  </si>
  <si>
    <t xml:space="preserve"> Bossier City</t>
  </si>
  <si>
    <t>1300 Airline Dr, Bossier City, LA 71111, USA</t>
  </si>
  <si>
    <t>Woodward Academy (College Park)</t>
  </si>
  <si>
    <t>Alexandria</t>
  </si>
  <si>
    <t xml:space="preserve"> College Park</t>
  </si>
  <si>
    <t>1662 W Rugby Ave, College Park, GA 30337, USA</t>
  </si>
  <si>
    <t>Orlando Christian Prep (Orlando)</t>
  </si>
  <si>
    <t xml:space="preserve"> Orlando</t>
  </si>
  <si>
    <t>Marietta</t>
  </si>
  <si>
    <t>500 S Semoran Blvd, Orlando, FL 32807, USA</t>
  </si>
  <si>
    <t>Pittsboro, NC</t>
  </si>
  <si>
    <t>West Bloomfield Township</t>
  </si>
  <si>
    <t>Roselle Catholic (Roselle)</t>
  </si>
  <si>
    <t xml:space="preserve"> Roselle</t>
  </si>
  <si>
    <t>350 Raritan Rd, Roselle, NJ 07203, USA</t>
  </si>
  <si>
    <t>Archbishop Wood (Warminster)</t>
  </si>
  <si>
    <t xml:space="preserve"> Warminster</t>
  </si>
  <si>
    <t>655 Old York Rd, Warminster, PA 18974, USA</t>
  </si>
  <si>
    <t>Tampa Catholic (Tampa)</t>
  </si>
  <si>
    <t xml:space="preserve"> Tampa</t>
  </si>
  <si>
    <t>509 N Florida Ave, Tampa, FL 33602, USA</t>
  </si>
  <si>
    <t>La Cañada Flintridge</t>
  </si>
  <si>
    <t>Dublin</t>
  </si>
  <si>
    <t xml:space="preserve"> Dublin</t>
  </si>
  <si>
    <t>Dougherty Rd + Camp Parks Blvd, Dublin, CA 94568, USA</t>
  </si>
  <si>
    <t>Bossier City</t>
  </si>
  <si>
    <t>Elizabeth</t>
  </si>
  <si>
    <t xml:space="preserve"> Elizabeth</t>
  </si>
  <si>
    <t>Nueva York, 1089 E Jersey St, Elizabeth, NJ 07201, USA</t>
  </si>
  <si>
    <t>College Park</t>
  </si>
  <si>
    <t>Moravian Prep (Hudson)</t>
  </si>
  <si>
    <t xml:space="preserve"> Hudson</t>
  </si>
  <si>
    <t>1444 Cajah Mountain Rd, Hudson, NC 28638, USA</t>
  </si>
  <si>
    <t>Fort Bend Hightower (Missouri City)</t>
  </si>
  <si>
    <t xml:space="preserve"> Missouri City</t>
  </si>
  <si>
    <t>3333 Hurricane Ln, Missouri City, TX 77459, USA</t>
  </si>
  <si>
    <t>Roselle</t>
  </si>
  <si>
    <t>Saint Andrew's (Boca Raton)</t>
  </si>
  <si>
    <t xml:space="preserve"> Boca Raton</t>
  </si>
  <si>
    <t>3900 Jog Rd, Boca Raton, FL 33434, USA</t>
  </si>
  <si>
    <t>San Antonio, TX</t>
  </si>
  <si>
    <t>Warminster</t>
  </si>
  <si>
    <t>Patrick School (Hillside)</t>
  </si>
  <si>
    <t xml:space="preserve"> Hillside</t>
  </si>
  <si>
    <t>397 Columbia Ave, Hillside, NJ 07205, USA</t>
  </si>
  <si>
    <t>Whitehaven (Memphis)</t>
  </si>
  <si>
    <t>Tampa</t>
  </si>
  <si>
    <t xml:space="preserve"> Memphis</t>
  </si>
  <si>
    <t>4134 McCorkle Rd, Memphis, TN 38116, USA</t>
  </si>
  <si>
    <t>Brandeis (San Antonio)</t>
  </si>
  <si>
    <t xml:space="preserve"> San Antonio</t>
  </si>
  <si>
    <t>13011 Kyle Seale Pkwy, San Antonio, TX 78249, USA</t>
  </si>
  <si>
    <t>Male (Louisville)</t>
  </si>
  <si>
    <t>KY</t>
  </si>
  <si>
    <t xml:space="preserve"> Louisville</t>
  </si>
  <si>
    <t>4409 Preston Hwy, Louisville, KY 40213, USA</t>
  </si>
  <si>
    <t>Fairfax (Los Angeles)</t>
  </si>
  <si>
    <t>465 N Martel Ave, Los Angeles, CA 90036, USA</t>
  </si>
  <si>
    <t>Hudson</t>
  </si>
  <si>
    <t>Davis (Kaysville)</t>
  </si>
  <si>
    <t>Davis County</t>
  </si>
  <si>
    <t>Davis County, UT, USA</t>
  </si>
  <si>
    <t>Missouri City</t>
  </si>
  <si>
    <t>Sanford (Hockessin)</t>
  </si>
  <si>
    <t xml:space="preserve"> Hockessin</t>
  </si>
  <si>
    <t>6900 Lancaster Pike, Hockessin, DE 19707, USA</t>
  </si>
  <si>
    <t>Boca Raton</t>
  </si>
  <si>
    <t>Dallas, TX</t>
  </si>
  <si>
    <t>Vashon (St. Louis)</t>
  </si>
  <si>
    <t>MO</t>
  </si>
  <si>
    <t>Hillside</t>
  </si>
  <si>
    <t xml:space="preserve"> St. Louis</t>
  </si>
  <si>
    <t>3035 Cass Ave, St. Louis, MO 63106, USA</t>
  </si>
  <si>
    <t>AR</t>
  </si>
  <si>
    <t xml:space="preserve"> West Memphis</t>
  </si>
  <si>
    <t>101 E Broadway Blvd, West Memphis, AR 72301, USA</t>
  </si>
  <si>
    <t>Garfield (Seattle)</t>
  </si>
  <si>
    <t xml:space="preserve"> Seattle</t>
  </si>
  <si>
    <t>400 23rd Ave, Seattle, WA 98122, USA</t>
  </si>
  <si>
    <t>Renaissance Academy (Altadena)</t>
  </si>
  <si>
    <t xml:space="preserve"> Altadena</t>
  </si>
  <si>
    <t>119 W Palm St, Altadena, CA 91001, USA</t>
  </si>
  <si>
    <t>St. Francis (Alpharetta)</t>
  </si>
  <si>
    <t xml:space="preserve"> Milton</t>
  </si>
  <si>
    <t>13440 Cogburn Rd, Milton, GA 30004, USA</t>
  </si>
  <si>
    <t>Fremont (Plain City)</t>
  </si>
  <si>
    <t xml:space="preserve"> Plain City</t>
  </si>
  <si>
    <t>1900 N 4700 W, Plain City, UT 84404, USA</t>
  </si>
  <si>
    <t>Hockessin</t>
  </si>
  <si>
    <t>Dillard (Fort Lauderdale)</t>
  </si>
  <si>
    <t xml:space="preserve"> Fort Lauderdale</t>
  </si>
  <si>
    <t>2400 E Sunrise Blvd, Fort Lauderdale, FL 33304, USA</t>
  </si>
  <si>
    <t>Edgewood, KY</t>
  </si>
  <si>
    <t>St. Louis</t>
  </si>
  <si>
    <t>Capital Christian (Sacramento)</t>
  </si>
  <si>
    <t>9470 Micron Ave, Sacramento, CA 95827, USA</t>
  </si>
  <si>
    <t>St. John's (Washington)</t>
  </si>
  <si>
    <t>2607 Military Rd NW, Washington, DC 20015, USA</t>
  </si>
  <si>
    <t>Seattle</t>
  </si>
  <si>
    <t>Lawrence Central (Indianapolis)</t>
  </si>
  <si>
    <t>6501 Sunnyside Rd, Indianapolis, IN 46236, USA</t>
  </si>
  <si>
    <t>Altadena</t>
  </si>
  <si>
    <t>Pembroke Pines Charter (Pembroke Pines)</t>
  </si>
  <si>
    <t xml:space="preserve"> Pembroke Pines</t>
  </si>
  <si>
    <t>10801 Pembroke Rd, Pembroke Pines, FL 33025, USA</t>
  </si>
  <si>
    <t>Chaminade (West Hills)</t>
  </si>
  <si>
    <t xml:space="preserve"> West Hills</t>
  </si>
  <si>
    <t>7500 Chaminade Ave, West Hills, CA 91304, USA</t>
  </si>
  <si>
    <t>Bogan (Chicago)</t>
  </si>
  <si>
    <t>Plain City</t>
  </si>
  <si>
    <t>3939 W 79th St, Chicago, IL 60652, USA</t>
  </si>
  <si>
    <t>Skutt Catholic (Omaha)</t>
  </si>
  <si>
    <t>NE</t>
  </si>
  <si>
    <t xml:space="preserve"> Omaha</t>
  </si>
  <si>
    <t>3131 S 156th St, Omaha, NE 68130, USA</t>
  </si>
  <si>
    <t>Fort Lauderdale</t>
  </si>
  <si>
    <t>Northlake, IL</t>
  </si>
  <si>
    <t>JSerra Catholic (San Juan Capistrano)</t>
  </si>
  <si>
    <t xml:space="preserve"> San Juan Capistrano</t>
  </si>
  <si>
    <t>26351 Junipero Serra Rd, San Juan Capistrano, CA 92675, USA</t>
  </si>
  <si>
    <t>Marshall (Richmond)</t>
  </si>
  <si>
    <t xml:space="preserve"> Henrico</t>
  </si>
  <si>
    <t>7506 W Broad St, Henrico, VA 23294, USA</t>
  </si>
  <si>
    <t>Cardinal Ritter College Prep (St. Louis)</t>
  </si>
  <si>
    <t>701 N Spring Ave, St. Louis, MO 63108, USA</t>
  </si>
  <si>
    <t>Damien (La Verne)</t>
  </si>
  <si>
    <t xml:space="preserve"> La Verne</t>
  </si>
  <si>
    <t>Pembroke Pines</t>
  </si>
  <si>
    <t>2280 Damien Ave, La Verne, CA 91750, USA</t>
  </si>
  <si>
    <t>West Hills</t>
  </si>
  <si>
    <t xml:space="preserve"> Coppell</t>
  </si>
  <si>
    <t>655 W Bethel Rd, Coppell, TX 75019, USA</t>
  </si>
  <si>
    <t>St. Mark's (Dallas)</t>
  </si>
  <si>
    <t xml:space="preserve"> Dallas</t>
  </si>
  <si>
    <t>10600 Preston Rd, Dallas, TX 75230, USA</t>
  </si>
  <si>
    <t>Forest Hill (West Palm Beach)</t>
  </si>
  <si>
    <t xml:space="preserve"> West Palm Beach</t>
  </si>
  <si>
    <t>5552 FL-882, West Palm Beach, FL 33415, USA</t>
  </si>
  <si>
    <t>Henrico</t>
  </si>
  <si>
    <t>Memphis, TN</t>
  </si>
  <si>
    <t>Jemison (Huntsville)</t>
  </si>
  <si>
    <t xml:space="preserve"> Huntsville</t>
  </si>
  <si>
    <t>4560 Pulaski Pike NW, Huntsville, AL 35810, USA</t>
  </si>
  <si>
    <t>La Verne</t>
  </si>
  <si>
    <t xml:space="preserve"> Alpharetta</t>
  </si>
  <si>
    <t>14184 Hopewell Rd, Alpharetta, GA 30004, USA</t>
  </si>
  <si>
    <t>Las Cruces</t>
  </si>
  <si>
    <t>NM</t>
  </si>
  <si>
    <t xml:space="preserve"> Las Cruces</t>
  </si>
  <si>
    <t>Las Cruces, petén, Las Cruces, NM 88001, USA</t>
  </si>
  <si>
    <t>St. Patrick-St. Vincent (Vallejo)</t>
  </si>
  <si>
    <t xml:space="preserve"> Vallejo</t>
  </si>
  <si>
    <t>1500 Benicia Rd, Vallejo, CA 94591, USA</t>
  </si>
  <si>
    <t>Alpharetta</t>
  </si>
  <si>
    <t>Heritage Christian (Northridge)</t>
  </si>
  <si>
    <t xml:space="preserve"> North Hills</t>
  </si>
  <si>
    <t>9825 Woodley Ave, North Hills, CA 91343, USA</t>
  </si>
  <si>
    <t>Vallejo</t>
  </si>
  <si>
    <t>Davidson Day (Davidson)</t>
  </si>
  <si>
    <t xml:space="preserve"> Davidson</t>
  </si>
  <si>
    <t>North Hills</t>
  </si>
  <si>
    <t>750 Jetton St, Davidson, NC 28036, USA</t>
  </si>
  <si>
    <t>Davidson</t>
  </si>
  <si>
    <t>Cathedral Catholic (San Diego)</t>
  </si>
  <si>
    <t xml:space="preserve"> San Diego</t>
  </si>
  <si>
    <t>5555 Del Mar Heights Rd, San Diego, CA 92130, USA</t>
  </si>
  <si>
    <t>Christian Brothers (St. Louis)</t>
  </si>
  <si>
    <t>McEachern (Powder Springs)</t>
  </si>
  <si>
    <t>2941 Dougherty Ferry Rd, St. Louis, MO 63122, USA</t>
  </si>
  <si>
    <t>Shadow Creek (Pearland)</t>
  </si>
  <si>
    <t>Pearland</t>
  </si>
  <si>
    <t>Beaumont United (Beaumont)</t>
  </si>
  <si>
    <t xml:space="preserve"> Powder Springs</t>
  </si>
  <si>
    <t>4413 McEachern School Rd, Powder Springs, GA 30127, USA</t>
  </si>
  <si>
    <t>Beaumont</t>
  </si>
  <si>
    <t>Bloomington South (Bloomington)</t>
  </si>
  <si>
    <t>Bloomington</t>
  </si>
  <si>
    <t>South Grand Prairie (Grand Prairie)</t>
  </si>
  <si>
    <t xml:space="preserve"> Pearland</t>
  </si>
  <si>
    <t>2302 Shadow Falls Ln, Pearland, TX 77584, USA</t>
  </si>
  <si>
    <t>Santa Fe Catholic (Lakeland)</t>
  </si>
  <si>
    <t>Lakeland</t>
  </si>
  <si>
    <t>Stranahan (Fort Lauderdale)</t>
  </si>
  <si>
    <t xml:space="preserve"> Beaumont</t>
  </si>
  <si>
    <t>3443 Fannett Rd, Beaumont, TX 77705, USA</t>
  </si>
  <si>
    <t>Shiloh (Snellville)</t>
  </si>
  <si>
    <t>Snellville</t>
  </si>
  <si>
    <t>St. John Bosco (Bellflower)</t>
  </si>
  <si>
    <t xml:space="preserve"> Bloomington</t>
  </si>
  <si>
    <t>1965 S Walnut St, Bloomington, IN 47401, USA</t>
  </si>
  <si>
    <t>Miramar</t>
  </si>
  <si>
    <t>Wagner (San Antonio)</t>
  </si>
  <si>
    <t>301 W Warrior Trail, Grand Prairie, TX 75052, USA</t>
  </si>
  <si>
    <t>Whitney Young (Chicago)</t>
  </si>
  <si>
    <t xml:space="preserve"> Lakeland</t>
  </si>
  <si>
    <t>Cleveland (Rio Rancho)</t>
  </si>
  <si>
    <t>3110 US-92, Lakeland, FL 33801, USA</t>
  </si>
  <si>
    <t>Rio Rancho</t>
  </si>
  <si>
    <t>Simeon (Chicago)</t>
  </si>
  <si>
    <t>Princess Anne, MD</t>
  </si>
  <si>
    <t>Westlake (Austin)</t>
  </si>
  <si>
    <t>335 SE 6th Ave, Fort Lauderdale, FL 33301, USA</t>
  </si>
  <si>
    <t>Thornton (Harvey)</t>
  </si>
  <si>
    <t xml:space="preserve"> Snellville</t>
  </si>
  <si>
    <t>Pinson Valley (Pinson)</t>
  </si>
  <si>
    <t>4210 Shiloh Rd, Snellville, GA 30039, USA</t>
  </si>
  <si>
    <t>Minnehaha Academy (Minneapolis)</t>
  </si>
  <si>
    <t xml:space="preserve"> Bellflower</t>
  </si>
  <si>
    <t>13640 Bellflower Blvd, Bellflower, CA 90706, USA</t>
  </si>
  <si>
    <t>Billings West (Billings)</t>
  </si>
  <si>
    <t>Central (Springfield)</t>
  </si>
  <si>
    <t>MA</t>
  </si>
  <si>
    <t xml:space="preserve"> Miramar</t>
  </si>
  <si>
    <t>Miramar Blvd, Miramar, FL 33025, USA</t>
  </si>
  <si>
    <t>Skyview (Billings)</t>
  </si>
  <si>
    <t>Wylie</t>
  </si>
  <si>
    <t>1740 Wagner Dr, San Antonio, TX 78226, USA</t>
  </si>
  <si>
    <t>Jacksonville</t>
  </si>
  <si>
    <t>211 S Laflin St, Chicago, IL 60607, USA</t>
  </si>
  <si>
    <t>Mansfield Timberview (Arlington)</t>
  </si>
  <si>
    <t>Arlington</t>
  </si>
  <si>
    <t>Huntington St. Joseph Prep (Huntington)</t>
  </si>
  <si>
    <t>WV</t>
  </si>
  <si>
    <t xml:space="preserve"> Rio Rancho</t>
  </si>
  <si>
    <t>4541 Skyline Loop, Rio Rancho, NM 87144, USA</t>
  </si>
  <si>
    <t>Huntington</t>
  </si>
  <si>
    <t>Del City</t>
  </si>
  <si>
    <t>OK</t>
  </si>
  <si>
    <t>Rickards (Tallahassee)</t>
  </si>
  <si>
    <t>8235 S Vincennes Ave,Chicago,IL,60620,1763, Chicago, IL 60620, USA</t>
  </si>
  <si>
    <t>Tallahassee</t>
  </si>
  <si>
    <t>Centennial (Burleson)</t>
  </si>
  <si>
    <t>San Juan Capistrano, CA</t>
  </si>
  <si>
    <t>Burleson</t>
  </si>
  <si>
    <t>Memphis East (Memphis)</t>
  </si>
  <si>
    <t xml:space="preserve"> Austin</t>
  </si>
  <si>
    <t>De La Salle (Concord)</t>
  </si>
  <si>
    <t>1821 Westlake Dr, Austin, TX 78746, USA</t>
  </si>
  <si>
    <t>Rutgers Prep (Somerset)</t>
  </si>
  <si>
    <t>PS</t>
  </si>
  <si>
    <t>Somerset</t>
  </si>
  <si>
    <t>Wossman (Monroe)</t>
  </si>
  <si>
    <t xml:space="preserve"> Harvey</t>
  </si>
  <si>
    <t>15001 Broadway Ave, Harvey, IL 60426, USA</t>
  </si>
  <si>
    <t>Permian (Odessa)</t>
  </si>
  <si>
    <t>Odessa</t>
  </si>
  <si>
    <t>Desert Vista (Phoenix)</t>
  </si>
  <si>
    <t>Phoenix</t>
  </si>
  <si>
    <t>4466 Pinson Valley Pkwy, Birmingham, AL 35215, USA</t>
  </si>
  <si>
    <t>Cannon (Concord)</t>
  </si>
  <si>
    <t>Westchester (Los Angeles)</t>
  </si>
  <si>
    <t xml:space="preserve"> Minneapolis</t>
  </si>
  <si>
    <t>3100 W River Pkwy, Minneapolis, MN 55406, USA</t>
  </si>
  <si>
    <t>Lutheran East (Cleveland Heights)</t>
  </si>
  <si>
    <t xml:space="preserve"> Billings</t>
  </si>
  <si>
    <t>2201 St Johns Ave, Billings, MT 59102, USA</t>
  </si>
  <si>
    <t>Cleveland Heights</t>
  </si>
  <si>
    <t>Bloom (Chicago Heights)</t>
  </si>
  <si>
    <t>Chicago Heights</t>
  </si>
  <si>
    <t>Bergen Catholic (Oradell)</t>
  </si>
  <si>
    <t xml:space="preserve"> Springfield</t>
  </si>
  <si>
    <t>Oradell</t>
  </si>
  <si>
    <t>1840 Roosevelt Ave, Springfield, MA 01109, USA</t>
  </si>
  <si>
    <t>Mater Academy Charter (Hialeah Gardens)</t>
  </si>
  <si>
    <t>Hialeah Gardens</t>
  </si>
  <si>
    <t>Caribou</t>
  </si>
  <si>
    <t>ME</t>
  </si>
  <si>
    <t>1775 High Sierra Blvd, Billings, MT 59105, USA</t>
  </si>
  <si>
    <t>Andover</t>
  </si>
  <si>
    <t xml:space="preserve"> Wylie</t>
  </si>
  <si>
    <t>Hillcrest Prep (Phoenix)</t>
  </si>
  <si>
    <t>131 N Ballard Ave, Wylie, TX 75098, USA</t>
  </si>
  <si>
    <t>Hilliard Bradley (Hilliard)</t>
  </si>
  <si>
    <t>Hilliard</t>
  </si>
  <si>
    <t>Peoria Notre Dame (Peoria)</t>
  </si>
  <si>
    <t xml:space="preserve"> Jacksonville</t>
  </si>
  <si>
    <t>100 Overland Trail, Jacksonville, AR 72076, USA</t>
  </si>
  <si>
    <t>Peoria</t>
  </si>
  <si>
    <t>Our Saviour Lutheran (Bronx)</t>
  </si>
  <si>
    <t>The Bronx</t>
  </si>
  <si>
    <t>North Little Rock</t>
  </si>
  <si>
    <t xml:space="preserve"> Arlington</t>
  </si>
  <si>
    <t>7700 S Watson Rd, Arlington, TX 76002, USA</t>
  </si>
  <si>
    <t>Huron (Ann Arbor)</t>
  </si>
  <si>
    <t>Orr (Chicago)</t>
  </si>
  <si>
    <t xml:space="preserve"> Huntington</t>
  </si>
  <si>
    <t>600 13th St, Huntington, WV 25701, USA</t>
  </si>
  <si>
    <t>Oxnard</t>
  </si>
  <si>
    <t>Riverside, CA</t>
  </si>
  <si>
    <t>Torrey Pines (San Diego)</t>
  </si>
  <si>
    <t xml:space="preserve"> Del City</t>
  </si>
  <si>
    <t>107 SE 22nd St, Del City, OK 73115, USA</t>
  </si>
  <si>
    <t>La Jolla</t>
  </si>
  <si>
    <t>University (Fort Lauderdale)</t>
  </si>
  <si>
    <t xml:space="preserve"> Tallahassee</t>
  </si>
  <si>
    <t>3013 Jim Lee Rd, Tallahassee, FL 32301, USA</t>
  </si>
  <si>
    <t>Briarcrest Christian (Eads)</t>
  </si>
  <si>
    <t>Eads</t>
  </si>
  <si>
    <t>St. Catherine's (Racine)</t>
  </si>
  <si>
    <t xml:space="preserve"> Burleson</t>
  </si>
  <si>
    <t>Racine</t>
  </si>
  <si>
    <t>201 S Hurst Rd, Burleson, TX 76028, USA</t>
  </si>
  <si>
    <t>Universal Academy (Irving)</t>
  </si>
  <si>
    <t>Morgan Park (Chicago)</t>
  </si>
  <si>
    <t>Lincoln (Gahanna)</t>
  </si>
  <si>
    <t>Gahanna</t>
  </si>
  <si>
    <t>Perkins@Walnut Grove Rd, Memphis, TN 38117, USA</t>
  </si>
  <si>
    <t>Madison La Follette (Madison)</t>
  </si>
  <si>
    <t>1130 Winton Dr, Concord, CA 94518, USA</t>
  </si>
  <si>
    <t>South Cobb (Austell)</t>
  </si>
  <si>
    <t>Roman Catholic (Philadelphia)</t>
  </si>
  <si>
    <t xml:space="preserve"> Somerset</t>
  </si>
  <si>
    <t>970 Easton Ave, Somerset, NJ 08873, USA</t>
  </si>
  <si>
    <t>Evanston</t>
  </si>
  <si>
    <t>Shaker Heights</t>
  </si>
  <si>
    <t xml:space="preserve"> Monroe</t>
  </si>
  <si>
    <t>Cedar Hill, TX</t>
  </si>
  <si>
    <t>1600 Arizona Ave, Monroe, LA 71202, USA</t>
  </si>
  <si>
    <t>Magnolia</t>
  </si>
  <si>
    <t>La Lumiere (La Porte)</t>
  </si>
  <si>
    <t xml:space="preserve"> Odessa</t>
  </si>
  <si>
    <t>1800 E 42nd St, Odessa, TX 79762, USA</t>
  </si>
  <si>
    <t>La Porte</t>
  </si>
  <si>
    <t>Pace Academy (Atlanta)</t>
  </si>
  <si>
    <t xml:space="preserve"> Phoenix</t>
  </si>
  <si>
    <t>Methacton (Norristown)</t>
  </si>
  <si>
    <t>Christy Cove Park, 2352 E Christy Dr, Phoenix, AZ 85028, USA</t>
  </si>
  <si>
    <t>Eagleville</t>
  </si>
  <si>
    <t>Houston (Germantown)</t>
  </si>
  <si>
    <t>Germantown</t>
  </si>
  <si>
    <t>760 Cabarrus Ave W, Concord, NC 28027, USA</t>
  </si>
  <si>
    <t>McDowell (Erie)</t>
  </si>
  <si>
    <t>Erie</t>
  </si>
  <si>
    <t>St. Augustine (San Diego)</t>
  </si>
  <si>
    <t>6372 W 84th St, Los Angeles, CA 90045, USA</t>
  </si>
  <si>
    <t>Clovis West (Fresno)</t>
  </si>
  <si>
    <t>Fresno</t>
  </si>
  <si>
    <t>Desert Pines (Las Vegas)</t>
  </si>
  <si>
    <t>Kimberly</t>
  </si>
  <si>
    <t xml:space="preserve"> Brownsburg</t>
  </si>
  <si>
    <t>2 E Main St, Brownsburg, IN 46112, USA</t>
  </si>
  <si>
    <t>St. Anthony (Long Beach)</t>
  </si>
  <si>
    <t>Jasper, AL</t>
  </si>
  <si>
    <t>Sulphur Springs</t>
  </si>
  <si>
    <t xml:space="preserve"> Cleveland Heights</t>
  </si>
  <si>
    <t>3565 Mayfield Rd, Cleveland Heights, OH 44118, USA</t>
  </si>
  <si>
    <t>Grand Blanc</t>
  </si>
  <si>
    <t>University (Morgantown)</t>
  </si>
  <si>
    <t xml:space="preserve"> Chicago Heights</t>
  </si>
  <si>
    <t>1350 S Halsted St, Chicago Heights, IL 60411, USA</t>
  </si>
  <si>
    <t>Chillicothe</t>
  </si>
  <si>
    <t>Neenah</t>
  </si>
  <si>
    <t xml:space="preserve"> Oradell</t>
  </si>
  <si>
    <t>Norview (Norfolk)</t>
  </si>
  <si>
    <t>1040 Oradell Ave, Oradell, NJ 07649, USA</t>
  </si>
  <si>
    <t>St. John's (Shrewsbury)</t>
  </si>
  <si>
    <t>Shrewsbury</t>
  </si>
  <si>
    <t>Monsignor Bonner/Archbishop Prendergast Catholic (Drexel Hill)</t>
  </si>
  <si>
    <t xml:space="preserve"> Hialeah Gardens</t>
  </si>
  <si>
    <t>7901 NW 103rd St, Hialeah Gardens, FL 33016, USA</t>
  </si>
  <si>
    <t>Midwest City</t>
  </si>
  <si>
    <t xml:space="preserve"> Caribou</t>
  </si>
  <si>
    <t>Stevenson (Lincolnshire)</t>
  </si>
  <si>
    <t>208 Limestone St, Caribou, ME 04736, USA</t>
  </si>
  <si>
    <t>Lincolnshire</t>
  </si>
  <si>
    <t>South Shore (Brooklyn)</t>
  </si>
  <si>
    <t xml:space="preserve"> Andover</t>
  </si>
  <si>
    <t>801 N Andover Rd, Andover, KS 67002, USA</t>
  </si>
  <si>
    <t>Poly (Riverside)</t>
  </si>
  <si>
    <t>Hudsonville</t>
  </si>
  <si>
    <t>3916 E Paradise Ln, Phoenix, AZ 85032, USA</t>
  </si>
  <si>
    <t>Eugene, OR</t>
  </si>
  <si>
    <t>Haysville Campus (Wichita)</t>
  </si>
  <si>
    <t xml:space="preserve"> Hilliard</t>
  </si>
  <si>
    <t>Wichita</t>
  </si>
  <si>
    <t>2800 Walker Rd, Hilliard, OH 43026, USA</t>
  </si>
  <si>
    <t>McKinley (Canton)</t>
  </si>
  <si>
    <t>Canton</t>
  </si>
  <si>
    <t>Westover (Fayetteville)</t>
  </si>
  <si>
    <t xml:space="preserve"> Peoria</t>
  </si>
  <si>
    <t>5105 N Sheridan Rd, Peoria, IL 61614, USA</t>
  </si>
  <si>
    <t>Rice Memorial (South Burlington)</t>
  </si>
  <si>
    <t>VT</t>
  </si>
  <si>
    <t>South Burlington</t>
  </si>
  <si>
    <t>Glacier Peak (Snohomish)</t>
  </si>
  <si>
    <t xml:space="preserve"> The Bronx</t>
  </si>
  <si>
    <t>6286, 1734 Williamsbridge Rd, The Bronx, NY 10461, USA</t>
  </si>
  <si>
    <t>Snohomish</t>
  </si>
  <si>
    <t>Hopkins (Minnetonka)</t>
  </si>
  <si>
    <t>Hopkins</t>
  </si>
  <si>
    <t>Washington (Tulsa)</t>
  </si>
  <si>
    <t xml:space="preserve"> North Little Rock</t>
  </si>
  <si>
    <t>Tulsa</t>
  </si>
  <si>
    <t>1600 Main St, North Little Rock, AR 72114, USA</t>
  </si>
  <si>
    <t>Andrew Jackson (Jacksonville)</t>
  </si>
  <si>
    <t>Warren (San Antonio)</t>
  </si>
  <si>
    <t xml:space="preserve"> Ann Arbor</t>
  </si>
  <si>
    <t>Huron + State, Ann Arbor, MI 48104, USA</t>
  </si>
  <si>
    <t>Blue Valley North West (Overland Park)</t>
  </si>
  <si>
    <t>Overland Park</t>
  </si>
  <si>
    <t>Math Civics &amp; Sciences (Philadelphia)</t>
  </si>
  <si>
    <t>730 N Pulaski Rd, Chicago, IL 60624, USA</t>
  </si>
  <si>
    <t>O'Dea (Seattle)</t>
  </si>
  <si>
    <t>Virginia Beach, VA</t>
  </si>
  <si>
    <t>Northeast (Oakland Park)</t>
  </si>
  <si>
    <t xml:space="preserve"> Oxnard</t>
  </si>
  <si>
    <t>108 CA-34, Oxnard, CA 93030, USA</t>
  </si>
  <si>
    <t>Oakland Park</t>
  </si>
  <si>
    <t>Dixie (St. George)</t>
  </si>
  <si>
    <t>St. George</t>
  </si>
  <si>
    <t xml:space="preserve"> La Jolla</t>
  </si>
  <si>
    <t>Paxon School For Advanced Studies (Jacksonville)</t>
  </si>
  <si>
    <t>11198 Genesee Ave, La Jolla, CA 92093, USA</t>
  </si>
  <si>
    <t>Grant (Sacramento)</t>
  </si>
  <si>
    <t>111 E Las Olas Blvd, Fort Lauderdale, FL 33301, USA</t>
  </si>
  <si>
    <t>Manasquan</t>
  </si>
  <si>
    <t>Scobey</t>
  </si>
  <si>
    <t xml:space="preserve"> Eads</t>
  </si>
  <si>
    <t>Mills University Studies (Little Rock)</t>
  </si>
  <si>
    <t>Unnamed Road, Eads, TN 38028, USA</t>
  </si>
  <si>
    <t>Little Rock</t>
  </si>
  <si>
    <t>Mekeel Christian Academy (Schenectady)</t>
  </si>
  <si>
    <t>Scotia</t>
  </si>
  <si>
    <t xml:space="preserve"> Racine</t>
  </si>
  <si>
    <t>Martin (Arlington)</t>
  </si>
  <si>
    <t>1200 Park Ave, Racine, WI 53403, USA</t>
  </si>
  <si>
    <t>King's Fork (Suffolk)</t>
  </si>
  <si>
    <t>Suffolk</t>
  </si>
  <si>
    <t>Summer Creek (Houston)</t>
  </si>
  <si>
    <t>1101 E Sandy Lake Rd, Coppell, TX 75019, USA</t>
  </si>
  <si>
    <t>Marshall</t>
  </si>
  <si>
    <t>Vandegrift (Austin)</t>
  </si>
  <si>
    <t>East (West Chester)</t>
  </si>
  <si>
    <t>Chicago, IL</t>
  </si>
  <si>
    <t>11337 S Hermosa Ave, Chicago, IL 60643, USA</t>
  </si>
  <si>
    <t>West Chester</t>
  </si>
  <si>
    <t>Morton Ranch (Katy)</t>
  </si>
  <si>
    <t>Katy</t>
  </si>
  <si>
    <t xml:space="preserve"> Gahanna</t>
  </si>
  <si>
    <t>Marian Catholic (Chicago Heights)</t>
  </si>
  <si>
    <t>140 S Hamilton Rd, Gahanna, OH 43230, USA</t>
  </si>
  <si>
    <t>Onalaska</t>
  </si>
  <si>
    <t xml:space="preserve"> Madison</t>
  </si>
  <si>
    <t>700 Pflaum Rd, Madison, WI 53716, USA</t>
  </si>
  <si>
    <t>Cedar Falls</t>
  </si>
  <si>
    <t>IA</t>
  </si>
  <si>
    <t>Central Pointe Christian Academy (Kissimmee)</t>
  </si>
  <si>
    <t>Kissimmee</t>
  </si>
  <si>
    <t xml:space="preserve"> Fairfield</t>
  </si>
  <si>
    <t>St. Augustine (New Orleans)</t>
  </si>
  <si>
    <t>420 52nd St Ensley, Fairfield, AL 35064, USA</t>
  </si>
  <si>
    <t>New Orleans</t>
  </si>
  <si>
    <t>Peabody (Alexandria)</t>
  </si>
  <si>
    <t xml:space="preserve"> Mableton</t>
  </si>
  <si>
    <t>1920 Clay Rd SW, Mableton, GA 30126, USA</t>
  </si>
  <si>
    <t>Lincoln</t>
  </si>
  <si>
    <t>301 N Broad St, Philadelphia, PA 19107, USA</t>
  </si>
  <si>
    <t>Clarkston</t>
  </si>
  <si>
    <t xml:space="preserve"> Evanston</t>
  </si>
  <si>
    <t>1511 Ridge Ave, Evanston, IL 60201, USA</t>
  </si>
  <si>
    <t>Village of Clarkston</t>
  </si>
  <si>
    <t>West Oaks Academy (Orlando)</t>
  </si>
  <si>
    <t>North Platte, NE</t>
  </si>
  <si>
    <t>Roosevelt (Eastvale)</t>
  </si>
  <si>
    <t xml:space="preserve"> Shaker Heights</t>
  </si>
  <si>
    <t>20151 S Woodland Rd, Shaker Heights, OH 44122, USA</t>
  </si>
  <si>
    <t>Eastvale</t>
  </si>
  <si>
    <t>Churchill (Eugene)</t>
  </si>
  <si>
    <t>OR</t>
  </si>
  <si>
    <t>Rock Creek Christian Academy (Upper Marlboro)</t>
  </si>
  <si>
    <t xml:space="preserve"> Magnolia</t>
  </si>
  <si>
    <t>121 E Main St, Magnolia, AR 71753, USA</t>
  </si>
  <si>
    <t>Upper Marlboro</t>
  </si>
  <si>
    <t xml:space="preserve"> La Porte</t>
  </si>
  <si>
    <t>6801 N Wilhelm Rd, La Porte, IN 46350, USA</t>
  </si>
  <si>
    <t xml:space="preserve"> Atlanta</t>
  </si>
  <si>
    <t>945 West Paces Ferry Rd NW, Atlanta, GA 30327, USA</t>
  </si>
  <si>
    <t xml:space="preserve"> Eagleville</t>
  </si>
  <si>
    <t>3138 Longacre Rd, Eagleville, PA 19403, USA</t>
  </si>
  <si>
    <t xml:space="preserve"> Germantown</t>
  </si>
  <si>
    <t>9755 Wolf River Blvd, Germantown, TN 38139, USA</t>
  </si>
  <si>
    <t>Caldwell, NJ</t>
  </si>
  <si>
    <t xml:space="preserve"> Erie</t>
  </si>
  <si>
    <t>3580 Caughey Rd, Erie, PA 16506, USA</t>
  </si>
  <si>
    <t>3249 Palm St, San Diego, CA 92104, USA</t>
  </si>
  <si>
    <t>Abbreviation:</t>
  </si>
  <si>
    <t xml:space="preserve"> Fresno</t>
  </si>
  <si>
    <t>US State:</t>
  </si>
  <si>
    <t>1070 E Teague Ave, Fresno, CA 93720, USA</t>
  </si>
  <si>
    <t>Alabama</t>
  </si>
  <si>
    <t>Alaska</t>
  </si>
  <si>
    <t>Arizona</t>
  </si>
  <si>
    <t>Arkansas</t>
  </si>
  <si>
    <t>California</t>
  </si>
  <si>
    <t>CO</t>
  </si>
  <si>
    <t>Colorado</t>
  </si>
  <si>
    <t>3750 E Bonanza Rd, Las Vegas, NV 89110, USA</t>
  </si>
  <si>
    <t>CT</t>
  </si>
  <si>
    <t>Connecticut</t>
  </si>
  <si>
    <t>Delaware</t>
  </si>
  <si>
    <t>Florida</t>
  </si>
  <si>
    <t>Georgia</t>
  </si>
  <si>
    <t>Hawaii</t>
  </si>
  <si>
    <t>ID</t>
  </si>
  <si>
    <t>Idaho</t>
  </si>
  <si>
    <t>Illinois</t>
  </si>
  <si>
    <t>Indiana</t>
  </si>
  <si>
    <t>Iowa</t>
  </si>
  <si>
    <t xml:space="preserve"> Kimberly</t>
  </si>
  <si>
    <t>Kansas</t>
  </si>
  <si>
    <t>Kentucky</t>
  </si>
  <si>
    <t>103 S Railroad St, Kimberly, WI 54136, USA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</si>
  <si>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</si>
  <si>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</si>
  <si>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</si>
  <si>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</si>
  <si>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</si>
  <si>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</si>
  <si>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</si>
  <si>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</si>
  <si>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 xml:space="preserve"> Long Beach</t>
  </si>
  <si>
    <t>Montana</t>
  </si>
  <si>
    <t>Nebraska</t>
  </si>
  <si>
    <t>620 Olive Ave, Long Beach, CA 90802, USA</t>
  </si>
  <si>
    <t>Nevada</t>
  </si>
  <si>
    <t>NH</t>
  </si>
  <si>
    <t>New Hampshire</t>
  </si>
  <si>
    <t>New Jersey</t>
  </si>
  <si>
    <t>New Mexico</t>
  </si>
  <si>
    <t>North Carolina</t>
  </si>
  <si>
    <t>ND</t>
  </si>
  <si>
    <t>North Dakota</t>
  </si>
  <si>
    <t>Wilmington, NC</t>
  </si>
  <si>
    <t>Ohio</t>
  </si>
  <si>
    <t>Oklahoma</t>
  </si>
  <si>
    <t>Oregon</t>
  </si>
  <si>
    <t>Pennsylvania</t>
  </si>
  <si>
    <t xml:space="preserve"> Sulphur Springs</t>
  </si>
  <si>
    <t>RI</t>
  </si>
  <si>
    <t>Rhode Island</t>
  </si>
  <si>
    <t>South Carolina</t>
  </si>
  <si>
    <t>118 Church St, Sulphur Springs, TX 75482, USA</t>
  </si>
  <si>
    <t>SD</t>
  </si>
  <si>
    <t>South Dakota</t>
  </si>
  <si>
    <t>Tennessee</t>
  </si>
  <si>
    <t>Texas</t>
  </si>
  <si>
    <t>Utah</t>
  </si>
  <si>
    <t>Vermont</t>
  </si>
  <si>
    <t>Virginia</t>
  </si>
  <si>
    <t>West Virginia</t>
  </si>
  <si>
    <t>Wisconsin</t>
  </si>
  <si>
    <t>WY</t>
  </si>
  <si>
    <t>Wyoming</t>
  </si>
  <si>
    <t xml:space="preserve"> Grand Blanc</t>
  </si>
  <si>
    <t>District Of Columbia</t>
  </si>
  <si>
    <t>3033 E Grand Blanc Rd, Grand Blanc, MI 48439, USA</t>
  </si>
  <si>
    <t xml:space="preserve"> Chillicothe</t>
  </si>
  <si>
    <t>101 University Dr, Chillicothe, OH 45601, USA</t>
  </si>
  <si>
    <t xml:space="preserve"> Neenah</t>
  </si>
  <si>
    <t>119 W Doty Ave, Neenah, WI 54956, USA</t>
  </si>
  <si>
    <t xml:space="preserve"> Norfolk</t>
  </si>
  <si>
    <t>6365 Alexander St, Norfolk, VA 23513, USA</t>
  </si>
  <si>
    <t xml:space="preserve"> Shrewsbury</t>
  </si>
  <si>
    <t>378 Main St, Shrewsbury, MA 01545, USA</t>
  </si>
  <si>
    <t xml:space="preserve"> Drexel Hill</t>
  </si>
  <si>
    <t>Saint Louis, MO</t>
  </si>
  <si>
    <t>403 N Lansdowne Ave, Drexel Hill, PA 19026, USA</t>
  </si>
  <si>
    <t xml:space="preserve"> Midwest City</t>
  </si>
  <si>
    <t>SE 15th St @ Felix Pl, Midwest City, OK 73110, USA</t>
  </si>
  <si>
    <t xml:space="preserve"> Lincolnshire</t>
  </si>
  <si>
    <t>1 Stevenson Dr, Lincolnshire, IL 60069, USA</t>
  </si>
  <si>
    <t xml:space="preserve"> Brooklyn</t>
  </si>
  <si>
    <t>6565 Flatlands Ave, Brooklyn, NY 11236, USA</t>
  </si>
  <si>
    <t xml:space="preserve"> Riverside</t>
  </si>
  <si>
    <t>5450 Victoria Ave, Riverside, CA 92506, USA</t>
  </si>
  <si>
    <t xml:space="preserve"> Hudsonville</t>
  </si>
  <si>
    <t>3385 Van Buren St, Hudsonville, MI 49426, USA</t>
  </si>
  <si>
    <t xml:space="preserve"> Starkville</t>
  </si>
  <si>
    <t>610 Yellow Jacket Dr, Starkville, MS 39759, USA</t>
  </si>
  <si>
    <t>Washington, DC</t>
  </si>
  <si>
    <t xml:space="preserve"> Wichita</t>
  </si>
  <si>
    <t>2100 W 55th St S, Wichita, KS 67217, USA</t>
  </si>
  <si>
    <t xml:space="preserve"> Canton</t>
  </si>
  <si>
    <t>800 Mc Kinley Monument Dr NW, Canton, OH 44708, USA</t>
  </si>
  <si>
    <t xml:space="preserve"> Fayetteville</t>
  </si>
  <si>
    <t>155 Bonanza Dr, Fayetteville, NC 28303, USA</t>
  </si>
  <si>
    <t xml:space="preserve"> South Burlington</t>
  </si>
  <si>
    <t>99 Proctor Ave, South Burlington, VT 05403, USA</t>
  </si>
  <si>
    <t xml:space="preserve"> Snohomish</t>
  </si>
  <si>
    <t>7401 144th Pl SE, Snohomish, WA 98296, USA</t>
  </si>
  <si>
    <t xml:space="preserve"> Hopkins</t>
  </si>
  <si>
    <t>109 Oak Glen Dr, Hopkins, MN 55343, USA</t>
  </si>
  <si>
    <t xml:space="preserve"> Tulsa</t>
  </si>
  <si>
    <t>1514 E Zion St, Tulsa, OK 74106, USA</t>
  </si>
  <si>
    <t>Florala, AL</t>
  </si>
  <si>
    <t>117 W 30th St, Jacksonville, FL 32206, USA</t>
  </si>
  <si>
    <t>9411 Military Dr W, San Antonio, TX 78251, USA</t>
  </si>
  <si>
    <t xml:space="preserve"> Overland Park</t>
  </si>
  <si>
    <t>13260 Switzer Rd, Overland Park, KS 66213, USA</t>
  </si>
  <si>
    <t>441 N Broad St, Philadelphia, PA 19123, USA</t>
  </si>
  <si>
    <t>860 Terry Ave, Seattle, WA 98104, USA</t>
  </si>
  <si>
    <t xml:space="preserve"> Oakland Park</t>
  </si>
  <si>
    <t>700 NE 56th St, Oakland Park, FL 33334, USA</t>
  </si>
  <si>
    <t xml:space="preserve"> St. George</t>
  </si>
  <si>
    <t>Murfreesboro, TN</t>
  </si>
  <si>
    <t>Unnamed Road, St. George, UT 84770, USA</t>
  </si>
  <si>
    <t>Paxon High School, Jacksonville, FL 32254, USA</t>
  </si>
  <si>
    <t>5321 Del Rio Rd, Sacramento, CA 95822, USA</t>
  </si>
  <si>
    <t xml:space="preserve"> Manasquan</t>
  </si>
  <si>
    <t>519 Perrine Blvd, Manasquan, NJ 08736, USA</t>
  </si>
  <si>
    <t xml:space="preserve"> Scobey</t>
  </si>
  <si>
    <t>22 Main St, Scobey, MT 59263, USA</t>
  </si>
  <si>
    <t xml:space="preserve"> Little Rock</t>
  </si>
  <si>
    <t>808 AR-338, Little Rock, AR 72206, USA</t>
  </si>
  <si>
    <t xml:space="preserve"> Scotia</t>
  </si>
  <si>
    <t>2008 2nd St, Scotia, NY 12302, USA</t>
  </si>
  <si>
    <t>Oxford, MS</t>
  </si>
  <si>
    <t>3100 Sprocket Dr, Arlington, TX 76015, USA</t>
  </si>
  <si>
    <t xml:space="preserve"> Suffolk</t>
  </si>
  <si>
    <t>351 Kings Fork Rd, Suffolk, VA 23434, USA</t>
  </si>
  <si>
    <t xml:space="preserve"> Houston</t>
  </si>
  <si>
    <t>9220 Clarewood Dr, Houston, TX 77036, USA</t>
  </si>
  <si>
    <t xml:space="preserve"> Marshall</t>
  </si>
  <si>
    <t>361 W Main St, Marshall, MN 56258, USA</t>
  </si>
  <si>
    <t>9500 McNeil Dr, Austin, TX 78750, USA</t>
  </si>
  <si>
    <t xml:space="preserve"> West Chester</t>
  </si>
  <si>
    <t>5 W Gay St, West Chester, PA 19380, USA</t>
  </si>
  <si>
    <t>Ramsey, NJ</t>
  </si>
  <si>
    <t xml:space="preserve"> Katy</t>
  </si>
  <si>
    <t>21000 Franz Rd, Katy, TX 77449, USA</t>
  </si>
  <si>
    <t>700 Ashland Ave, Chicago Heights, IL 60411, USA</t>
  </si>
  <si>
    <t xml:space="preserve"> Onalaska</t>
  </si>
  <si>
    <t>229 2nd Ave N, Onalaska, WI 54650, USA</t>
  </si>
  <si>
    <t xml:space="preserve"> Cedar Falls</t>
  </si>
  <si>
    <t>402 Main St, Cedar Falls, IA 50613, USA</t>
  </si>
  <si>
    <t xml:space="preserve"> Kissimmee</t>
  </si>
  <si>
    <t>2031 Simpson Rd, Kissimmee, FL 34744, USA</t>
  </si>
  <si>
    <t>School Name</t>
  </si>
  <si>
    <t>State Name [Public School] Latest available year</t>
  </si>
  <si>
    <t>Mailing City [Public School] 2018-19</t>
  </si>
  <si>
    <t>Trunc State</t>
  </si>
  <si>
    <t>Trunc City</t>
  </si>
  <si>
    <t>Abbeville High School</t>
  </si>
  <si>
    <t xml:space="preserve"> New Orleans</t>
  </si>
  <si>
    <t>2600 A P Tureaud Ave, New Orleans, LA 70119, USA</t>
  </si>
  <si>
    <t>Abbeville</t>
  </si>
  <si>
    <t>Minor High School</t>
  </si>
  <si>
    <t>2700 Jones Ave, Alexandria, LA 71302, USA</t>
  </si>
  <si>
    <t>Adamsville</t>
  </si>
  <si>
    <t>Addison High School</t>
  </si>
  <si>
    <t>Addison</t>
  </si>
  <si>
    <t xml:space="preserve"> Lincoln</t>
  </si>
  <si>
    <t>Thompson High School</t>
  </si>
  <si>
    <t>Alabaster</t>
  </si>
  <si>
    <t>Norfolk, VA</t>
  </si>
  <si>
    <t>412 Broadway St, Lincoln, IL 62656, USA</t>
  </si>
  <si>
    <t>Albertville High School</t>
  </si>
  <si>
    <t>Albertville</t>
  </si>
  <si>
    <t>Asbury High School</t>
  </si>
  <si>
    <t xml:space="preserve"> Springville</t>
  </si>
  <si>
    <t>Benjamin Russell High School</t>
  </si>
  <si>
    <t>Alexander City</t>
  </si>
  <si>
    <t>110 S State St, Springville, UT 84663, USA</t>
  </si>
  <si>
    <t>Alexandria High School</t>
  </si>
  <si>
    <t>Aliceville High School</t>
  </si>
  <si>
    <t>Aliceville</t>
  </si>
  <si>
    <t xml:space="preserve"> Village of Clarkston</t>
  </si>
  <si>
    <t>Winterboro High School</t>
  </si>
  <si>
    <t>Alpine</t>
  </si>
  <si>
    <t>23 S Main St, Village of Clarkston, MI 48346, USA</t>
  </si>
  <si>
    <t>Andalusia High School</t>
  </si>
  <si>
    <t>Straughn High School</t>
  </si>
  <si>
    <t>Anniston High School</t>
  </si>
  <si>
    <t>8624 A D Mims Rd, Orlando, FL 32818, USA</t>
  </si>
  <si>
    <t>Anniston</t>
  </si>
  <si>
    <t>Saks High School</t>
  </si>
  <si>
    <t>Wellborn High School</t>
  </si>
  <si>
    <t xml:space="preserve"> Eastvale</t>
  </si>
  <si>
    <t>7447 Scholar Way, Eastvale, CA 92880, USA</t>
  </si>
  <si>
    <t>White Plains High School</t>
  </si>
  <si>
    <t>Arab High School</t>
  </si>
  <si>
    <t>Arab</t>
  </si>
  <si>
    <t>Ardmore High School</t>
  </si>
  <si>
    <t>Ardmore</t>
  </si>
  <si>
    <t xml:space="preserve"> Eugene</t>
  </si>
  <si>
    <t>Meek High School</t>
  </si>
  <si>
    <t>Arley</t>
  </si>
  <si>
    <t>1850 Bailey Hill Rd, Eugene, OR 97405, USA</t>
  </si>
  <si>
    <t>Ashford High School</t>
  </si>
  <si>
    <t>Ashford</t>
  </si>
  <si>
    <t>Ashville High School</t>
  </si>
  <si>
    <t>Ashville</t>
  </si>
  <si>
    <t>Athens High School</t>
  </si>
  <si>
    <t>Warner Robins, GA</t>
  </si>
  <si>
    <t xml:space="preserve"> Upper Marlboro</t>
  </si>
  <si>
    <t>Clements High School</t>
  </si>
  <si>
    <t>6707 Woodyard Rd, Upper Marlboro, MD 20772, USA</t>
  </si>
  <si>
    <t>East Limestone High School</t>
  </si>
  <si>
    <t>Escambia County High School</t>
  </si>
  <si>
    <t>Atmore</t>
  </si>
  <si>
    <t xml:space="preserve"> Olive Branch</t>
  </si>
  <si>
    <t>9015 Goodman Rd, Olive Branch, MS 38654, USA</t>
  </si>
  <si>
    <t>Etowah High School</t>
  </si>
  <si>
    <t>Attalla</t>
  </si>
  <si>
    <t>Auburn High School</t>
  </si>
  <si>
    <t>Baldwin County High School</t>
  </si>
  <si>
    <t>Port Allen</t>
  </si>
  <si>
    <t>Bay Minette</t>
  </si>
  <si>
    <t xml:space="preserve"> Port Allen</t>
  </si>
  <si>
    <t>Phillips High School</t>
  </si>
  <si>
    <t>Bear Creek</t>
  </si>
  <si>
    <t>3095 Hwy 1 North 3095 Hwy 1 North, Port Allen, LA 70767, USA</t>
  </si>
  <si>
    <t>Berry High School</t>
  </si>
  <si>
    <t>Berry</t>
  </si>
  <si>
    <t>Branson (Ross)</t>
  </si>
  <si>
    <t>Bessemer City High School</t>
  </si>
  <si>
    <t xml:space="preserve"> Ross</t>
  </si>
  <si>
    <t>Bessemer</t>
  </si>
  <si>
    <t>39 Fernhill Ave, Ross, CA 94957, USA</t>
  </si>
  <si>
    <t>Oak Grove High School</t>
  </si>
  <si>
    <t>Dutchtown (Hampton)</t>
  </si>
  <si>
    <t xml:space="preserve"> Stockbridge</t>
  </si>
  <si>
    <t>149 Mitchell Rd, Stockbridge, GA 30281, USA</t>
  </si>
  <si>
    <t>Fultondale High School</t>
  </si>
  <si>
    <t>George Washington Carver High School</t>
  </si>
  <si>
    <t>Green Run (Virginia Beach)</t>
  </si>
  <si>
    <t xml:space="preserve"> Virginia Beach</t>
  </si>
  <si>
    <t>3440 Green Garden Cir, Virginia Beach, VA 23453, USA</t>
  </si>
  <si>
    <t>Huffman High Schoolmagnet</t>
  </si>
  <si>
    <t>Jacksonolin High School</t>
  </si>
  <si>
    <t>Westminster Academy (Fort Lauderdale)</t>
  </si>
  <si>
    <t xml:space="preserve"> Lauderdale Lakes</t>
  </si>
  <si>
    <t>Oak Mountain High School</t>
  </si>
  <si>
    <t>3701 NW 44th St, Lauderdale Lakes, FL 33319, USA</t>
  </si>
  <si>
    <t>Parker High School</t>
  </si>
  <si>
    <t>Ramsay High School</t>
  </si>
  <si>
    <t>St. Bernard (Playa del Rey)</t>
  </si>
  <si>
    <t xml:space="preserve"> Playa Del Rey</t>
  </si>
  <si>
    <t>9100 Falmouth Ave, Playa Del Rey, CA 90293, USA</t>
  </si>
  <si>
    <t>Spain Park High School</t>
  </si>
  <si>
    <t>Wenonah High School</t>
  </si>
  <si>
    <t>Lowell</t>
  </si>
  <si>
    <t xml:space="preserve"> Lowell</t>
  </si>
  <si>
    <t>UMass Lowell East Campus, Lowell, MA 01851, USA</t>
  </si>
  <si>
    <t>Woodlawn High Schoolmagnet</t>
  </si>
  <si>
    <t>La Salle (Cincinnati)</t>
  </si>
  <si>
    <t xml:space="preserve"> Monfort Heights</t>
  </si>
  <si>
    <t>LaSalle High School - North Bend Rd, Monfort Heights, OH 45239, USA</t>
  </si>
  <si>
    <t>Jb Pennington High School</t>
  </si>
  <si>
    <t>Blountsville</t>
  </si>
  <si>
    <t>Susan Moore High School</t>
  </si>
  <si>
    <t>Conway</t>
  </si>
  <si>
    <t>Boaz High School</t>
  </si>
  <si>
    <t xml:space="preserve"> Conway</t>
  </si>
  <si>
    <t>Boaz</t>
  </si>
  <si>
    <t>1319 Main St, Conway, AR 72034, USA</t>
  </si>
  <si>
    <t>Cold Springs High School</t>
  </si>
  <si>
    <t>Bremen</t>
  </si>
  <si>
    <t>Tr Miller High School</t>
  </si>
  <si>
    <t>Brewton</t>
  </si>
  <si>
    <t>Brookwood High School</t>
  </si>
  <si>
    <t>Covington Catholic (Park Hills)</t>
  </si>
  <si>
    <t>Brookwood</t>
  </si>
  <si>
    <t xml:space="preserve"> Park Hills</t>
  </si>
  <si>
    <t>1600 Dixie Hwy, Park Hills, KY 41011, USA</t>
  </si>
  <si>
    <t>Pike County High School</t>
  </si>
  <si>
    <t>Brundidge</t>
  </si>
  <si>
    <t>Sipsey Valley High School</t>
  </si>
  <si>
    <t>Buhl</t>
  </si>
  <si>
    <t>Health Sciences Charter (Buffalo)</t>
  </si>
  <si>
    <t>Choctaw County High School</t>
  </si>
  <si>
    <t xml:space="preserve"> Buffalo</t>
  </si>
  <si>
    <t>Butler</t>
  </si>
  <si>
    <t>1140 Ellicott St, Buffalo, NY 14209, USA</t>
  </si>
  <si>
    <t>Calera High School</t>
  </si>
  <si>
    <t>Calera</t>
  </si>
  <si>
    <t>Wilcox Central High School</t>
  </si>
  <si>
    <t>Atascocita (Humble)</t>
  </si>
  <si>
    <t xml:space="preserve"> Humble</t>
  </si>
  <si>
    <t>Carbon Hill High School</t>
  </si>
  <si>
    <t>402 1st St E, Humble, TX 77338, USA</t>
  </si>
  <si>
    <t>Carbon Hill</t>
  </si>
  <si>
    <t>Center Point High School</t>
  </si>
  <si>
    <t>Center Point</t>
  </si>
  <si>
    <t>Clarksdale, MS</t>
  </si>
  <si>
    <t>Layton</t>
  </si>
  <si>
    <t>Cherokee County High School</t>
  </si>
  <si>
    <t>Centre</t>
  </si>
  <si>
    <t xml:space="preserve"> Layton</t>
  </si>
  <si>
    <t>1 Ellison St, Layton, UT 84041, USA</t>
  </si>
  <si>
    <t>Bibb County High School</t>
  </si>
  <si>
    <t>Centreville</t>
  </si>
  <si>
    <t>Washington County High School</t>
  </si>
  <si>
    <t>Chatom</t>
  </si>
  <si>
    <t>Chelsea High School</t>
  </si>
  <si>
    <t>Chaminade (St. Louis)</t>
  </si>
  <si>
    <t>Chelsea</t>
  </si>
  <si>
    <t>Cherokee High School</t>
  </si>
  <si>
    <t>Cherokee</t>
  </si>
  <si>
    <t>425 S Lindbergh Blvd, St. Louis, MO 63131, USA</t>
  </si>
  <si>
    <t>Chickasaw City High School</t>
  </si>
  <si>
    <t>Chickasaw</t>
  </si>
  <si>
    <t>Childersburg High School</t>
  </si>
  <si>
    <t>Childersburg</t>
  </si>
  <si>
    <t>Homewood-Flossmoor (Flossmoor)</t>
  </si>
  <si>
    <t xml:space="preserve"> Homewood</t>
  </si>
  <si>
    <t>Citronelle High School</t>
  </si>
  <si>
    <t>Citronelle</t>
  </si>
  <si>
    <t>18900 Kedzie Ave, Homewood, IL 60430, USA</t>
  </si>
  <si>
    <t>Chilton County High School</t>
  </si>
  <si>
    <t>Clanton</t>
  </si>
  <si>
    <t>Barbour County High School</t>
  </si>
  <si>
    <t>Clayton</t>
  </si>
  <si>
    <t>Bell (Hurst)</t>
  </si>
  <si>
    <t>Cleveland High School</t>
  </si>
  <si>
    <t xml:space="preserve"> Hurst</t>
  </si>
  <si>
    <t>Bell Station, 3232 Bell Flight Blvd, Hurst, TX 76053, USA</t>
  </si>
  <si>
    <t>Houston County High School</t>
  </si>
  <si>
    <t>Shelby County High School</t>
  </si>
  <si>
    <t>Columbiana</t>
  </si>
  <si>
    <t>Warren Central (Indianapolis)</t>
  </si>
  <si>
    <t>Cordova High School</t>
  </si>
  <si>
    <t>Cordova</t>
  </si>
  <si>
    <t>9500 E 16th St, Indianapolis, IN 46229, USA</t>
  </si>
  <si>
    <t>Paul W Bryant High School</t>
  </si>
  <si>
    <t>Cottondale</t>
  </si>
  <si>
    <t>R A Hubbard High School</t>
  </si>
  <si>
    <t>Courtland</t>
  </si>
  <si>
    <t>Lakota East (Liberty Township)</t>
  </si>
  <si>
    <t>Crossville High School</t>
  </si>
  <si>
    <t xml:space="preserve"> Liberty Township</t>
  </si>
  <si>
    <t>Crossville</t>
  </si>
  <si>
    <t>6840 Lakota Ln, Liberty Township, OH 45044, USA</t>
  </si>
  <si>
    <t>Cullman High School</t>
  </si>
  <si>
    <t>Cullman</t>
  </si>
  <si>
    <t>Fairview High School</t>
  </si>
  <si>
    <t>Good Hope High School</t>
  </si>
  <si>
    <t>Westfield (Houston)</t>
  </si>
  <si>
    <t>Hialeah, FL</t>
  </si>
  <si>
    <t>2010 FM 1960, Houston, TX 77073, USA</t>
  </si>
  <si>
    <t>West Point High School</t>
  </si>
  <si>
    <t>Dadeville High School</t>
  </si>
  <si>
    <t>Dadeville</t>
  </si>
  <si>
    <t>Niles Notre Dame (Niles)</t>
  </si>
  <si>
    <t xml:space="preserve"> Niles</t>
  </si>
  <si>
    <t>Daleville High School</t>
  </si>
  <si>
    <t>7655 W Dempster St, Niles, IL 60714, USA</t>
  </si>
  <si>
    <t>Daleville</t>
  </si>
  <si>
    <t>Danville High School</t>
  </si>
  <si>
    <t>Daphne High School</t>
  </si>
  <si>
    <t>Daphne</t>
  </si>
  <si>
    <t xml:space="preserve"> Wyoming</t>
  </si>
  <si>
    <t>2801 Burlingame Ave SW, Wyoming, MI 49519, USA</t>
  </si>
  <si>
    <t>Holtville High School</t>
  </si>
  <si>
    <t>Deatsville</t>
  </si>
  <si>
    <t>Marbury High School</t>
  </si>
  <si>
    <t>Austin High School</t>
  </si>
  <si>
    <t>Vanden (Fairfield)</t>
  </si>
  <si>
    <t>Decatur</t>
  </si>
  <si>
    <t>2951 Markeley Ln, Fairfield, CA 94533, USA</t>
  </si>
  <si>
    <t>Decatur High School</t>
  </si>
  <si>
    <t>Priceville High School</t>
  </si>
  <si>
    <t>Brookfield East (Brookfield)</t>
  </si>
  <si>
    <t>Demopolis High School</t>
  </si>
  <si>
    <t>Demopolis</t>
  </si>
  <si>
    <t>3305 Lilly Rd, Brookfield, WI 53005, USA</t>
  </si>
  <si>
    <t>Corner High School</t>
  </si>
  <si>
    <t>Dora</t>
  </si>
  <si>
    <t>Dora High School</t>
  </si>
  <si>
    <t>Dothan High School</t>
  </si>
  <si>
    <t>Argyle</t>
  </si>
  <si>
    <t xml:space="preserve"> Argyle</t>
  </si>
  <si>
    <t>Northview High School</t>
  </si>
  <si>
    <t>210 Denton St E, Argyle, TX 76226, USA</t>
  </si>
  <si>
    <t>Rehobeth High School</t>
  </si>
  <si>
    <t>Winston County High School</t>
  </si>
  <si>
    <t>Double Springs</t>
  </si>
  <si>
    <t>Midland Christian (Midland)</t>
  </si>
  <si>
    <t xml:space="preserve"> Midland</t>
  </si>
  <si>
    <t>Douglas High School</t>
  </si>
  <si>
    <t>Douglas</t>
  </si>
  <si>
    <t>2001 Culver Dr, Midland, TX 79705, USA</t>
  </si>
  <si>
    <t>W S Neal High School</t>
  </si>
  <si>
    <t>East Brewton</t>
  </si>
  <si>
    <t>Concord, NC</t>
  </si>
  <si>
    <t>Elmore County High School</t>
  </si>
  <si>
    <t>Eclectic</t>
  </si>
  <si>
    <t>Greeley (Chappaqua)</t>
  </si>
  <si>
    <t xml:space="preserve"> Chappaqua</t>
  </si>
  <si>
    <t>Mattie T Blount High School</t>
  </si>
  <si>
    <t>Eight Mile</t>
  </si>
  <si>
    <t>InterGenerate Garden Chappaqua, 233 N Greeley Ave, Chappaqua, NY 10514, USA</t>
  </si>
  <si>
    <t>Elba High School</t>
  </si>
  <si>
    <t>Elba</t>
  </si>
  <si>
    <t>Elkmont High School</t>
  </si>
  <si>
    <t>Elkmont</t>
  </si>
  <si>
    <t>Green (Uniontown)</t>
  </si>
  <si>
    <t xml:space="preserve"> Uniontown</t>
  </si>
  <si>
    <t>3553 Pine St NW, Uniontown, OH 44685, USA</t>
  </si>
  <si>
    <t>Enterprise High School</t>
  </si>
  <si>
    <t>Enterprise</t>
  </si>
  <si>
    <t>Eufaula High School</t>
  </si>
  <si>
    <t>Eufaula</t>
  </si>
  <si>
    <t>Oak Park</t>
  </si>
  <si>
    <t xml:space="preserve"> Oak Park</t>
  </si>
  <si>
    <t>Greene County High School</t>
  </si>
  <si>
    <t>408 Southridge Dr, Oak Park, CA 91377, USA</t>
  </si>
  <si>
    <t>Eutaw</t>
  </si>
  <si>
    <t>Hillcrest High School</t>
  </si>
  <si>
    <t>Evergreen</t>
  </si>
  <si>
    <t>Fairfield High School Preparatory School</t>
  </si>
  <si>
    <t>Tri-Cities (East Point)</t>
  </si>
  <si>
    <t xml:space="preserve"> East Point</t>
  </si>
  <si>
    <t>Fairhope High School</t>
  </si>
  <si>
    <t>2575 Harris St, East Point, GA 30344, USA</t>
  </si>
  <si>
    <t>Fairhope</t>
  </si>
  <si>
    <t>Falkville High School</t>
  </si>
  <si>
    <t>Falkville</t>
  </si>
  <si>
    <t>Fayette County High School</t>
  </si>
  <si>
    <t>Fayette</t>
  </si>
  <si>
    <t>Norcross</t>
  </si>
  <si>
    <t xml:space="preserve"> Norcross</t>
  </si>
  <si>
    <t>87 S Peachtree St, Norcross, GA 30071, USA</t>
  </si>
  <si>
    <t>Flomaton High School</t>
  </si>
  <si>
    <t>Flomaton</t>
  </si>
  <si>
    <t>Florala High School</t>
  </si>
  <si>
    <t>Florence High School</t>
  </si>
  <si>
    <t>Fort Wayne Blackhawk Christian (Fort Wayne)</t>
  </si>
  <si>
    <t>Florence</t>
  </si>
  <si>
    <t xml:space="preserve"> Fort Wayne</t>
  </si>
  <si>
    <t>7400 E State Blvd, Fort Wayne, IN 46815, USA</t>
  </si>
  <si>
    <t>Foley High School</t>
  </si>
  <si>
    <t>Foley</t>
  </si>
  <si>
    <t>Fort Payne High School</t>
  </si>
  <si>
    <t>Fort Payne</t>
  </si>
  <si>
    <t>Gadsden City High School</t>
  </si>
  <si>
    <t>Gadsden</t>
  </si>
  <si>
    <t>Seminole (Sanford)</t>
  </si>
  <si>
    <t xml:space="preserve"> Sanford</t>
  </si>
  <si>
    <t>211 W 11th St, Sanford, FL 32771, USA</t>
  </si>
  <si>
    <t>Gaston High School</t>
  </si>
  <si>
    <t>Gardendale High School</t>
  </si>
  <si>
    <t>Gardendale</t>
  </si>
  <si>
    <t>Hurst, TX</t>
  </si>
  <si>
    <t>Geneva High School</t>
  </si>
  <si>
    <t>Geneva</t>
  </si>
  <si>
    <t>Jefferson (Portland)</t>
  </si>
  <si>
    <t xml:space="preserve"> Portland</t>
  </si>
  <si>
    <t>Southern Choctaw High School</t>
  </si>
  <si>
    <t>Gilbertown</t>
  </si>
  <si>
    <t>5210 N Kerby Ave, Portland, OR 97217, USA</t>
  </si>
  <si>
    <t>Glencoe High School</t>
  </si>
  <si>
    <t>Glencoe</t>
  </si>
  <si>
    <t>Gordo High School</t>
  </si>
  <si>
    <t>Archbishop Stepinac (White Plains)</t>
  </si>
  <si>
    <t>Gordo</t>
  </si>
  <si>
    <t xml:space="preserve"> White Plains</t>
  </si>
  <si>
    <t>950 Mamaroneck Ave, White Plains, NY 10605, USA</t>
  </si>
  <si>
    <t>Mundelein</t>
  </si>
  <si>
    <t xml:space="preserve"> Mundelein</t>
  </si>
  <si>
    <t>1445 Wimpole Streer 202 EEE, Mundelein, IL 60060, USA</t>
  </si>
  <si>
    <t>Capistrano Valley (Mission Viejo)</t>
  </si>
  <si>
    <t xml:space="preserve"> Mission Viejo</t>
  </si>
  <si>
    <t>26301 Via Escolar, Mission Viejo, CA 92692, USA</t>
  </si>
  <si>
    <t>Ridge View (Columbia)</t>
  </si>
  <si>
    <t xml:space="preserve"> Columbia</t>
  </si>
  <si>
    <t>4801 State Rd S-40-83, Columbia, SC 29229, USA</t>
  </si>
  <si>
    <t>Goshen High School</t>
  </si>
  <si>
    <t>Goshen</t>
  </si>
  <si>
    <t>Kate D Smith Dar High School</t>
  </si>
  <si>
    <t>Grant</t>
  </si>
  <si>
    <t>Shenendehowa (Clifton Park)</t>
  </si>
  <si>
    <t xml:space="preserve"> Clifton Park</t>
  </si>
  <si>
    <t>11 Biette Rd, Clifton Park, NY 12065, USA</t>
  </si>
  <si>
    <t>Greensboro High School</t>
  </si>
  <si>
    <t>Greenville High School</t>
  </si>
  <si>
    <t>Greenville</t>
  </si>
  <si>
    <t>Clarke County High School</t>
  </si>
  <si>
    <t>Grove Hill</t>
  </si>
  <si>
    <t>Blue Valley North (Overland Park)</t>
  </si>
  <si>
    <t>Marion County High School</t>
  </si>
  <si>
    <t>12200 Lamar Ave, Overland Park, KS 66209, USA</t>
  </si>
  <si>
    <t>Guin</t>
  </si>
  <si>
    <t>Gulf Shores High School</t>
  </si>
  <si>
    <t>Gulf Shores</t>
  </si>
  <si>
    <t xml:space="preserve"> Carmel</t>
  </si>
  <si>
    <t>Brindlee Mountain High School</t>
  </si>
  <si>
    <t>Guntersville</t>
  </si>
  <si>
    <t>599 E Main St, Carmel, IN 46032, USA</t>
  </si>
  <si>
    <t>Guntersville High School</t>
  </si>
  <si>
    <t>Madison County High School</t>
  </si>
  <si>
    <t>Gurley</t>
  </si>
  <si>
    <t>Center Hill (Olive Branch)</t>
  </si>
  <si>
    <t>Hackleburg High School</t>
  </si>
  <si>
    <t>Hackleburg</t>
  </si>
  <si>
    <t>Hammond, IN</t>
  </si>
  <si>
    <t>3988 Forest Hill Rd S, Olive Branch, MS 38654, USA</t>
  </si>
  <si>
    <t>Haleyville High School</t>
  </si>
  <si>
    <t>Haleyville</t>
  </si>
  <si>
    <t>Hamilton High School</t>
  </si>
  <si>
    <t>Yates (Houston)</t>
  </si>
  <si>
    <t>Hanceville High School</t>
  </si>
  <si>
    <t>Hanceville</t>
  </si>
  <si>
    <t>Geneva County High School</t>
  </si>
  <si>
    <t>Hartford</t>
  </si>
  <si>
    <t>4602 Oats St, Houston, TX 77020, USA</t>
  </si>
  <si>
    <t>Hartselle High School</t>
  </si>
  <si>
    <t>Hartselle</t>
  </si>
  <si>
    <t>Sparkman High School</t>
  </si>
  <si>
    <t>Harvest</t>
  </si>
  <si>
    <t>Four Winds/Minnewaukan (Fort Totten)</t>
  </si>
  <si>
    <t xml:space="preserve"> Oberon</t>
  </si>
  <si>
    <t>Hayden High School</t>
  </si>
  <si>
    <t>ND-57, Oberon, ND 58357, USA</t>
  </si>
  <si>
    <t>Hayden</t>
  </si>
  <si>
    <t>Central High School</t>
  </si>
  <si>
    <t>Hayneville</t>
  </si>
  <si>
    <t>Hazel Green High School</t>
  </si>
  <si>
    <t>Legacy Early College (Greenville)</t>
  </si>
  <si>
    <t>Hazel Green</t>
  </si>
  <si>
    <t xml:space="preserve"> Greenville</t>
  </si>
  <si>
    <t>Headland High School</t>
  </si>
  <si>
    <t>900 Woodside Ave, Greenville, SC 29611, USA</t>
  </si>
  <si>
    <t>Headland</t>
  </si>
  <si>
    <t>Cleburne County High School</t>
  </si>
  <si>
    <t>Heflin</t>
  </si>
  <si>
    <t>Helena High School</t>
  </si>
  <si>
    <t>Ouachita Parish (Monroe)</t>
  </si>
  <si>
    <t>Hokes Bluff High School</t>
  </si>
  <si>
    <t>Hokes Bluff</t>
  </si>
  <si>
    <t>364-596 Louisville Ave, Monroe, LA 71201, USA</t>
  </si>
  <si>
    <t>Holly Pond High School</t>
  </si>
  <si>
    <t>Holly Pond</t>
  </si>
  <si>
    <t>King/Drew (Los Angeles)</t>
  </si>
  <si>
    <t>Homewood High School</t>
  </si>
  <si>
    <t>Homewood</t>
  </si>
  <si>
    <t>1621 E 120th St, Los Angeles, CA 90059, USA</t>
  </si>
  <si>
    <t>Hoover High School</t>
  </si>
  <si>
    <t>Hoover</t>
  </si>
  <si>
    <t>Hueytown High School</t>
  </si>
  <si>
    <t>Hueytown</t>
  </si>
  <si>
    <t>Chaminade-Madonna (Hollywood)</t>
  </si>
  <si>
    <t>Columbia High School</t>
  </si>
  <si>
    <t xml:space="preserve"> Hollywood</t>
  </si>
  <si>
    <t>500 E Chaminade Dr, Hollywood, FL 33021, USA</t>
  </si>
  <si>
    <t>Huntsville High School</t>
  </si>
  <si>
    <t>Jemison High School</t>
  </si>
  <si>
    <t>McAllen, TX</t>
  </si>
  <si>
    <t>La Crosse Central (La Crosse)</t>
  </si>
  <si>
    <t xml:space="preserve"> La Crosse</t>
  </si>
  <si>
    <t>Lee High School</t>
  </si>
  <si>
    <t>1801 Losey Blvd S, La Crosse, WI 54601, USA</t>
  </si>
  <si>
    <t>New Century Technology High School</t>
  </si>
  <si>
    <t>Canisius (Buffalo)</t>
  </si>
  <si>
    <t>Virgil Grissom High School</t>
  </si>
  <si>
    <t>2001 Main St, Buffalo, NY 14208, USA</t>
  </si>
  <si>
    <t>Shades Valley High School</t>
  </si>
  <si>
    <t>Irondale</t>
  </si>
  <si>
    <t>Alma Bryant High School</t>
  </si>
  <si>
    <t>Irvington</t>
  </si>
  <si>
    <t>Jesuit (Carmichael)</t>
  </si>
  <si>
    <t xml:space="preserve"> Carmichael</t>
  </si>
  <si>
    <t>Jackson High School</t>
  </si>
  <si>
    <t>1200 Jacob Ln, Carmichael, CA 95608, USA</t>
  </si>
  <si>
    <t>Jacksonville High School</t>
  </si>
  <si>
    <t>Pleasant Valley High School</t>
  </si>
  <si>
    <t>Liberty (Henderson)</t>
  </si>
  <si>
    <t xml:space="preserve"> Henderson</t>
  </si>
  <si>
    <t>Curry High School</t>
  </si>
  <si>
    <t>3700 Liberty Heights Ave, Henderson, NV 89052, USA</t>
  </si>
  <si>
    <t>Jasper High School</t>
  </si>
  <si>
    <t xml:space="preserve"> Cleveland</t>
  </si>
  <si>
    <t>Jemison</t>
  </si>
  <si>
    <t>100 S Ocoee St, Cleveland, TN 37311, USA</t>
  </si>
  <si>
    <t>Brooks High School</t>
  </si>
  <si>
    <t>Killen</t>
  </si>
  <si>
    <t>Mortimer Jordan High School</t>
  </si>
  <si>
    <t>Ballard (Louisville)</t>
  </si>
  <si>
    <t>6000 Brownsboro Rd, Louisville, KY 40222, USA</t>
  </si>
  <si>
    <t>Lafayette High School</t>
  </si>
  <si>
    <t>Lanett Senior High School</t>
  </si>
  <si>
    <t>Lanett</t>
  </si>
  <si>
    <t>Leeds High School</t>
  </si>
  <si>
    <t>Volcano Vista (Albuquerque)</t>
  </si>
  <si>
    <t>Leeds</t>
  </si>
  <si>
    <t xml:space="preserve"> Albuquerque</t>
  </si>
  <si>
    <t>8100 Rainbow Blvd NW, Albuquerque, NM 87114, USA</t>
  </si>
  <si>
    <t>Colbert County High School</t>
  </si>
  <si>
    <t>Leighton</t>
  </si>
  <si>
    <t>West Limestone High School</t>
  </si>
  <si>
    <t>Lester</t>
  </si>
  <si>
    <t>Gainesville, FL</t>
  </si>
  <si>
    <t>Greensboro Day School (Greensboro)</t>
  </si>
  <si>
    <t xml:space="preserve"> Greensboro</t>
  </si>
  <si>
    <t>Calhoun High School</t>
  </si>
  <si>
    <t>Letohatchee</t>
  </si>
  <si>
    <t>5401 Lawndale Dr, Greensboro, NC 27455, USA</t>
  </si>
  <si>
    <t>Lincoln High School</t>
  </si>
  <si>
    <t>Linden High School</t>
  </si>
  <si>
    <t>Skyridge (Lehi)</t>
  </si>
  <si>
    <t xml:space="preserve"> Lehi</t>
  </si>
  <si>
    <t>Central High School Of Clay County</t>
  </si>
  <si>
    <t>Lineville</t>
  </si>
  <si>
    <t>3000 N Center St, Lehi, UT 84043, USA</t>
  </si>
  <si>
    <t>Loachapoka High School</t>
  </si>
  <si>
    <t>Loachapoka</t>
  </si>
  <si>
    <t>Locust Fork High School</t>
  </si>
  <si>
    <t>Locust Fork</t>
  </si>
  <si>
    <t>Whitman-Hanson Regional (Whitman)</t>
  </si>
  <si>
    <t xml:space="preserve"> Whitman</t>
  </si>
  <si>
    <t>Lynn High School</t>
  </si>
  <si>
    <t>Lynn</t>
  </si>
  <si>
    <t>600 Franklin St, Whitman, MA 02382, USA</t>
  </si>
  <si>
    <t>Bob Jones High School</t>
  </si>
  <si>
    <t>James Clemens High School</t>
  </si>
  <si>
    <t>Antonian Prep (San Antonio)</t>
  </si>
  <si>
    <t>Mcadory High School</t>
  </si>
  <si>
    <t>Mc Calla</t>
  </si>
  <si>
    <t>6423 West Ave, San Antonio, TX 78213, USA</t>
  </si>
  <si>
    <t>Mcintosh High School</t>
  </si>
  <si>
    <t>Mc Intosh</t>
  </si>
  <si>
    <t>Midfield High School</t>
  </si>
  <si>
    <t>Midfield</t>
  </si>
  <si>
    <t>Dale County High School</t>
  </si>
  <si>
    <t>Providence (Burbank)</t>
  </si>
  <si>
    <t>Midland City</t>
  </si>
  <si>
    <t xml:space="preserve"> Burbank</t>
  </si>
  <si>
    <t>501 S Buena Vista St, Burbank, CA 91505, USA</t>
  </si>
  <si>
    <t>Stanhope Elmore High School</t>
  </si>
  <si>
    <t>Millbrook</t>
  </si>
  <si>
    <t>Acceleration Day And Evening Academy</t>
  </si>
  <si>
    <t>Mobile</t>
  </si>
  <si>
    <t>Salesian (Los Angeles)</t>
  </si>
  <si>
    <t>Baker High School</t>
  </si>
  <si>
    <t>960 S Soto St, Los Angeles, CA 90023, USA</t>
  </si>
  <si>
    <t>Ben C Rain High School</t>
  </si>
  <si>
    <t>John L Leflore Magnet School</t>
  </si>
  <si>
    <t>Mentor</t>
  </si>
  <si>
    <t xml:space="preserve"> Mentor</t>
  </si>
  <si>
    <t>Lillie B Williamson High School</t>
  </si>
  <si>
    <t>7545 Center St, Mentor, OH 44060, USA</t>
  </si>
  <si>
    <t>Murphy High School</t>
  </si>
  <si>
    <t>Temecula, CA</t>
  </si>
  <si>
    <t>Wp Davidson High School</t>
  </si>
  <si>
    <t>Madison Prep Academy (Baton Rouge)</t>
  </si>
  <si>
    <t>1555 Madison Ave, Baton Rouge, LA 70802, USA</t>
  </si>
  <si>
    <t>Monroe County High School</t>
  </si>
  <si>
    <t>Monroeville</t>
  </si>
  <si>
    <t>Montevallo High School</t>
  </si>
  <si>
    <t>Montevallo</t>
  </si>
  <si>
    <t>Booker T Washington Magnet High School</t>
  </si>
  <si>
    <t>South County (Lorton)</t>
  </si>
  <si>
    <t xml:space="preserve"> Lorton</t>
  </si>
  <si>
    <t>Brewbaker Technology Magnet High School</t>
  </si>
  <si>
    <t>8501 Silverbrook Rd, Lorton, VA 22079, USA</t>
  </si>
  <si>
    <t>Carver Senior High School</t>
  </si>
  <si>
    <t>Jefferson Davis High School</t>
  </si>
  <si>
    <t>Salpointe Catholic (Tucson)</t>
  </si>
  <si>
    <t xml:space="preserve"> Tucson</t>
  </si>
  <si>
    <t>Lanier Senior High School</t>
  </si>
  <si>
    <t>1421 E Silver St, Tucson, AZ 85719, USA</t>
  </si>
  <si>
    <t>Loveless Academyemic Magnet Program High School</t>
  </si>
  <si>
    <t>Prosper</t>
  </si>
  <si>
    <t xml:space="preserve"> Prosper</t>
  </si>
  <si>
    <t>109 E Broadway St, Prosper, TX 75078, USA</t>
  </si>
  <si>
    <t>Park Crossing High School</t>
  </si>
  <si>
    <t>Moody High School</t>
  </si>
  <si>
    <t>Moody</t>
  </si>
  <si>
    <t>Newburgh Free Academy (Newburgh)</t>
  </si>
  <si>
    <t xml:space="preserve"> Newburgh</t>
  </si>
  <si>
    <t>Lawrence County High School</t>
  </si>
  <si>
    <t>Moulton</t>
  </si>
  <si>
    <t>201 Fullerton Ave, Newburgh, NY 12550, USA</t>
  </si>
  <si>
    <t>Hale County High School</t>
  </si>
  <si>
    <t>Moundville</t>
  </si>
  <si>
    <t>Lima Senior (Lima)</t>
  </si>
  <si>
    <t xml:space="preserve"> Lima</t>
  </si>
  <si>
    <t>Mountain Brook High School</t>
  </si>
  <si>
    <t>Mountain Brk</t>
  </si>
  <si>
    <t>Lima Senior, Lima, OH 45801, USA</t>
  </si>
  <si>
    <t>Munford High School</t>
  </si>
  <si>
    <t>Munford</t>
  </si>
  <si>
    <t>Muscle Shoals High School</t>
  </si>
  <si>
    <t>Muscle Shoals</t>
  </si>
  <si>
    <t>Mount St. Joseph (Baltimore)</t>
  </si>
  <si>
    <t>4403 Frederick Ave, Baltimore, MD 21229, USA</t>
  </si>
  <si>
    <t>McKinney, TX</t>
  </si>
  <si>
    <t>New Brockton High School</t>
  </si>
  <si>
    <t>New Brockton</t>
  </si>
  <si>
    <t>Resurrection Christian (Loveland)</t>
  </si>
  <si>
    <t>New Hope High School</t>
  </si>
  <si>
    <t xml:space="preserve"> Loveland</t>
  </si>
  <si>
    <t>New Hope</t>
  </si>
  <si>
    <t>6508 Crossroads Blvd, Loveland, CO 80538, USA</t>
  </si>
  <si>
    <t>Buckhorn High School</t>
  </si>
  <si>
    <t>New Market</t>
  </si>
  <si>
    <t>Millbrook (Raleigh)</t>
  </si>
  <si>
    <t xml:space="preserve"> Raleigh</t>
  </si>
  <si>
    <t>NortHigh Schoolide High School</t>
  </si>
  <si>
    <t>Northport</t>
  </si>
  <si>
    <t>2201 Spring Forest Rd, Raleigh, NC 27615, USA</t>
  </si>
  <si>
    <t>Tuscaloosa County High School</t>
  </si>
  <si>
    <t>Eastview (Apple Valley)</t>
  </si>
  <si>
    <t xml:space="preserve"> Apple Valley</t>
  </si>
  <si>
    <t>Reeltown High School</t>
  </si>
  <si>
    <t>6200 140th St W, Apple Valley, MN 55124, USA</t>
  </si>
  <si>
    <t>Notasulga</t>
  </si>
  <si>
    <t>Oakman High School</t>
  </si>
  <si>
    <t>Oakman</t>
  </si>
  <si>
    <t>DeSoto</t>
  </si>
  <si>
    <t xml:space="preserve"> DeSoto</t>
  </si>
  <si>
    <t>Saint Clair County High School</t>
  </si>
  <si>
    <t>Odenville</t>
  </si>
  <si>
    <t>108 W Belt Line Rd, DeSoto, TX 75115, USA</t>
  </si>
  <si>
    <t>Ohatchee High School</t>
  </si>
  <si>
    <t>Ohatchee</t>
  </si>
  <si>
    <t>Fort Bend Travis (Richmond)</t>
  </si>
  <si>
    <t>Oneonta High School</t>
  </si>
  <si>
    <t>Oneonta</t>
  </si>
  <si>
    <t>301 Jackson St, Richmond, TX 77469, USA</t>
  </si>
  <si>
    <t>Meridian</t>
  </si>
  <si>
    <t xml:space="preserve"> Meridian</t>
  </si>
  <si>
    <t>2502 7th St, Meridian, MS 39301, USA</t>
  </si>
  <si>
    <t>Joliet West (Joliet)</t>
  </si>
  <si>
    <t xml:space="preserve"> Joliet</t>
  </si>
  <si>
    <t>39 N Larkin Ave, Joliet, IL 60435, USA</t>
  </si>
  <si>
    <t>Judson (Converse)</t>
  </si>
  <si>
    <t xml:space="preserve"> Converse</t>
  </si>
  <si>
    <t>Beauregard High School</t>
  </si>
  <si>
    <t>9142 FM78, Converse, TX 78109, USA</t>
  </si>
  <si>
    <t>Opelika</t>
  </si>
  <si>
    <t>Culver Academies (Culver)</t>
  </si>
  <si>
    <t xml:space="preserve"> Culver</t>
  </si>
  <si>
    <t>North East Barrack, Culver, IN 46511, USA</t>
  </si>
  <si>
    <t>Opelika High School</t>
  </si>
  <si>
    <t>Caledonia</t>
  </si>
  <si>
    <t xml:space="preserve"> Caledonia</t>
  </si>
  <si>
    <t>105 E Main St, Caledonia, MN 55921, USA</t>
  </si>
  <si>
    <t>Opp High School</t>
  </si>
  <si>
    <t>Opp</t>
  </si>
  <si>
    <t>Keith MiddleHigh School</t>
  </si>
  <si>
    <t>Lynn English (Lynn)</t>
  </si>
  <si>
    <t xml:space="preserve"> Lynn</t>
  </si>
  <si>
    <t>Indianapolis, IN</t>
  </si>
  <si>
    <t>Oxford High School</t>
  </si>
  <si>
    <t>50 Goodridge St, Lynn, MA 01902, USA</t>
  </si>
  <si>
    <t>Carroll High School</t>
  </si>
  <si>
    <t>Ozark</t>
  </si>
  <si>
    <t>Durango (Las Vegas)</t>
  </si>
  <si>
    <t xml:space="preserve"> Spring Valley</t>
  </si>
  <si>
    <t>Pelham High School</t>
  </si>
  <si>
    <t>Pelham</t>
  </si>
  <si>
    <t>NB Durango after Russell, Spring Valley, NV 89113, USA</t>
  </si>
  <si>
    <t>Pell City High School</t>
  </si>
  <si>
    <t>Pell City</t>
  </si>
  <si>
    <t>Shadow Hills (Indio)</t>
  </si>
  <si>
    <t xml:space="preserve"> Indio</t>
  </si>
  <si>
    <t>Phenix City</t>
  </si>
  <si>
    <t>83205 Shadow Hills Way, Indio, CA 92203, USA</t>
  </si>
  <si>
    <t>Russell County High School</t>
  </si>
  <si>
    <t>Phil Campbell High School</t>
  </si>
  <si>
    <t>Phil Campbell</t>
  </si>
  <si>
    <t>Lee (Jacksonville)</t>
  </si>
  <si>
    <t>1200 McDuff Ave S, Jacksonville, FL 32205, USA</t>
  </si>
  <si>
    <t>Piedmont High School</t>
  </si>
  <si>
    <t>Piedmont</t>
  </si>
  <si>
    <t>Pike Road High School</t>
  </si>
  <si>
    <t>Pike Road</t>
  </si>
  <si>
    <t>Fort Benton</t>
  </si>
  <si>
    <t xml:space="preserve"> Fort Benton</t>
  </si>
  <si>
    <t>Claychalkville High School</t>
  </si>
  <si>
    <t>Pinson</t>
  </si>
  <si>
    <t>1735 State Hwy 387, Fort Benton, MT 59442, USA</t>
  </si>
  <si>
    <t>Pinson Valley High School</t>
  </si>
  <si>
    <t>Capital (Santa Fe)</t>
  </si>
  <si>
    <t xml:space="preserve"> Santa Fe</t>
  </si>
  <si>
    <t>4851 Paseo del Sol, Santa Fe, NM 87507, USA</t>
  </si>
  <si>
    <t>Dallas County High School</t>
  </si>
  <si>
    <t>Plantersville</t>
  </si>
  <si>
    <t>Pleasant Grove High School</t>
  </si>
  <si>
    <t>Raytown South (Raytown)</t>
  </si>
  <si>
    <t xml:space="preserve"> Raytown</t>
  </si>
  <si>
    <t>Prattville High School</t>
  </si>
  <si>
    <t>Prattville</t>
  </si>
  <si>
    <t>8211 Sterling Ave, Raytown, MO 64138, USA</t>
  </si>
  <si>
    <t>Cf Vigor High School</t>
  </si>
  <si>
    <t>Prichard</t>
  </si>
  <si>
    <t>Loyola Academy (Wilmette)</t>
  </si>
  <si>
    <t xml:space="preserve"> Wilmette</t>
  </si>
  <si>
    <t>Ranburne High School</t>
  </si>
  <si>
    <t>Ranburne</t>
  </si>
  <si>
    <t>1100 Laramie Ave, Wilmette, IL 60091, USA</t>
  </si>
  <si>
    <t>Northfield, IL</t>
  </si>
  <si>
    <t>Red Level High School</t>
  </si>
  <si>
    <t>Red Level</t>
  </si>
  <si>
    <t>Pickens County High School</t>
  </si>
  <si>
    <t>Reform</t>
  </si>
  <si>
    <t>Flower Mound</t>
  </si>
  <si>
    <t xml:space="preserve"> Flower Mound</t>
  </si>
  <si>
    <t>2200 Whispering Oaks, Flower Mound, TX 75022, USA</t>
  </si>
  <si>
    <t>Handley High School</t>
  </si>
  <si>
    <t>Roanoke</t>
  </si>
  <si>
    <t>Robertsdale High School</t>
  </si>
  <si>
    <t>Robertsdale</t>
  </si>
  <si>
    <t>Saint Mary's (Albany)</t>
  </si>
  <si>
    <t xml:space="preserve"> Albany</t>
  </si>
  <si>
    <t>Rockford</t>
  </si>
  <si>
    <t>1294 Albina Ave, Albany, CA 94706, USA</t>
  </si>
  <si>
    <t>Russellville High School</t>
  </si>
  <si>
    <t>Russellville</t>
  </si>
  <si>
    <t>Tharptown High School</t>
  </si>
  <si>
    <t>Samson High School</t>
  </si>
  <si>
    <t>Samson</t>
  </si>
  <si>
    <t>Hamilton Southeastern (Fishers)</t>
  </si>
  <si>
    <t xml:space="preserve"> Noblesville</t>
  </si>
  <si>
    <t>Saraland High School</t>
  </si>
  <si>
    <t>Saraland</t>
  </si>
  <si>
    <t>14385 E 156th St, Noblesville, IN 46060, USA</t>
  </si>
  <si>
    <t>Sardis High School</t>
  </si>
  <si>
    <t>Sardis City</t>
  </si>
  <si>
    <t>Satsuma High School</t>
  </si>
  <si>
    <t>Taconic (Pittsfield)</t>
  </si>
  <si>
    <t>Satsuma</t>
  </si>
  <si>
    <t xml:space="preserve"> Pittsfield</t>
  </si>
  <si>
    <t>96 Valentine Rd, Pittsfield, MA 01201, USA</t>
  </si>
  <si>
    <t>Scottsboro High School</t>
  </si>
  <si>
    <t>Scottsboro</t>
  </si>
  <si>
    <t>Mount Juliet (Mt. Juliet)</t>
  </si>
  <si>
    <t>Selma High School</t>
  </si>
  <si>
    <t>Selma</t>
  </si>
  <si>
    <t xml:space="preserve"> Mt. Juliet</t>
  </si>
  <si>
    <t>2185 N Mt Juliet Rd, Mt. Juliet, TN 37122, USA</t>
  </si>
  <si>
    <t>SoutHigh Schoolide High School</t>
  </si>
  <si>
    <t>Mary G Montgomery High School</t>
  </si>
  <si>
    <t>Semmes</t>
  </si>
  <si>
    <t>Shakopee</t>
  </si>
  <si>
    <t>Sheffield High School</t>
  </si>
  <si>
    <t xml:space="preserve"> Shakopee</t>
  </si>
  <si>
    <t>Sheffield</t>
  </si>
  <si>
    <t>128 2nd Ave W, Shakopee, MN 55379, USA</t>
  </si>
  <si>
    <t>George W Long High School</t>
  </si>
  <si>
    <t>Skipperville</t>
  </si>
  <si>
    <t>Oak Ridge (Orlando)</t>
  </si>
  <si>
    <t xml:space="preserve"> Oak Ridge</t>
  </si>
  <si>
    <t>Slocomb High School</t>
  </si>
  <si>
    <t>Slocomb</t>
  </si>
  <si>
    <t>W Oak Ridge Road and Oak Hill Manor Drive, Oak Ridge, FL 32809, USA</t>
  </si>
  <si>
    <t>SmitHigh School Station High School</t>
  </si>
  <si>
    <t>Smiths Station</t>
  </si>
  <si>
    <t>Albert P Brewer High School</t>
  </si>
  <si>
    <t>Somerville</t>
  </si>
  <si>
    <t>Glenbrook South (Glenview)</t>
  </si>
  <si>
    <t xml:space="preserve"> Glenview</t>
  </si>
  <si>
    <t>Southside</t>
  </si>
  <si>
    <t>4000 W Lake Ave, Glenview, IL 60026, USA</t>
  </si>
  <si>
    <t>Spanish Fort High School</t>
  </si>
  <si>
    <t>Spanish Fort</t>
  </si>
  <si>
    <t>Horn (Mesquite)</t>
  </si>
  <si>
    <t xml:space="preserve"> Mesquite</t>
  </si>
  <si>
    <t>Springville High School</t>
  </si>
  <si>
    <t>3300 E Cartwright Rd, Mesquite, TX 75181, USA</t>
  </si>
  <si>
    <t>North Jackson High School</t>
  </si>
  <si>
    <t>Stevenson</t>
  </si>
  <si>
    <t>Bb Comer Memorial High School</t>
  </si>
  <si>
    <t>Sylacauga</t>
  </si>
  <si>
    <t>Christian (Grand Rapids)</t>
  </si>
  <si>
    <t xml:space="preserve"> Grand Rapids</t>
  </si>
  <si>
    <t>2300 Plymouth Ave SE, Grand Rapids, MI 49506, USA</t>
  </si>
  <si>
    <t>Sylacauga High School</t>
  </si>
  <si>
    <t>Talladega County Central High School</t>
  </si>
  <si>
    <t>Talladega</t>
  </si>
  <si>
    <t>Newman Smith (Carrollton)</t>
  </si>
  <si>
    <t xml:space="preserve"> Carrollton</t>
  </si>
  <si>
    <t>2335 N Josey Ln, Carrollton, TX 75006, USA</t>
  </si>
  <si>
    <t>Talladega High School</t>
  </si>
  <si>
    <t>Tallassee High School</t>
  </si>
  <si>
    <t>Tallassee</t>
  </si>
  <si>
    <t>Cave Spring (Roanoke)</t>
  </si>
  <si>
    <t xml:space="preserve"> Cave Spring</t>
  </si>
  <si>
    <t>Tanner High School</t>
  </si>
  <si>
    <t>4410 Old Cave Spring Rd, Cave Spring, VA 24018, USA</t>
  </si>
  <si>
    <t>Tanner</t>
  </si>
  <si>
    <t>Tarrant High School</t>
  </si>
  <si>
    <t>Tarrant</t>
  </si>
  <si>
    <t>Ironwood (Glendale)</t>
  </si>
  <si>
    <t xml:space="preserve"> Glendale</t>
  </si>
  <si>
    <t>Theodore High School</t>
  </si>
  <si>
    <t>Theodore</t>
  </si>
  <si>
    <t>4400 W Missouri Ave lot 105, Glendale, AZ 85301, USA</t>
  </si>
  <si>
    <t>Thomasville High School</t>
  </si>
  <si>
    <t>Thomasville</t>
  </si>
  <si>
    <t>Hatton High School</t>
  </si>
  <si>
    <t>Father Tolton (Columbia)</t>
  </si>
  <si>
    <t>Town Creek</t>
  </si>
  <si>
    <t>3351 E Gans Rd, Columbia, MO 65201, USA</t>
  </si>
  <si>
    <t>East Lawrence High School</t>
  </si>
  <si>
    <t>Trinity</t>
  </si>
  <si>
    <t>West Morgan High School</t>
  </si>
  <si>
    <t>Bonita (La Verne)</t>
  </si>
  <si>
    <t>Charles Henderson High School</t>
  </si>
  <si>
    <t>Troy</t>
  </si>
  <si>
    <t>2399-2349 B St, La Verne, CA 91750, USA</t>
  </si>
  <si>
    <t>Jackson, TN</t>
  </si>
  <si>
    <t>Hewitttrussville High School</t>
  </si>
  <si>
    <t>Trussville</t>
  </si>
  <si>
    <t>Tuscaloosa</t>
  </si>
  <si>
    <t>Alemany (Mission Hills)</t>
  </si>
  <si>
    <t xml:space="preserve"> Mission Hills</t>
  </si>
  <si>
    <t>11111 N Alemany Dr, Mission Hills, CA 91345, USA</t>
  </si>
  <si>
    <t>Holt High School</t>
  </si>
  <si>
    <t>Grandview (Aurora)</t>
  </si>
  <si>
    <t xml:space="preserve"> Aurora</t>
  </si>
  <si>
    <t>Northridge High School</t>
  </si>
  <si>
    <t>20500 E Arapahoe Rd, Aurora, CO 80016, USA</t>
  </si>
  <si>
    <t>Colbert Heights High School</t>
  </si>
  <si>
    <t>Tuscumbia</t>
  </si>
  <si>
    <t>Deshler High School</t>
  </si>
  <si>
    <t>Booker T Washington High School</t>
  </si>
  <si>
    <t>Serra (San Mateo)</t>
  </si>
  <si>
    <t>Tuskegee</t>
  </si>
  <si>
    <t xml:space="preserve"> San Mateo</t>
  </si>
  <si>
    <t>451 W 20th Ave, San Mateo, CA 94403, USA</t>
  </si>
  <si>
    <t>Bullock County High School</t>
  </si>
  <si>
    <t>Union Springs</t>
  </si>
  <si>
    <t>Beulah High School</t>
  </si>
  <si>
    <t>Valley</t>
  </si>
  <si>
    <t>Lincoln (Ypsilanti)</t>
  </si>
  <si>
    <t xml:space="preserve"> Ypsilanti</t>
  </si>
  <si>
    <t>Valley High School</t>
  </si>
  <si>
    <t>7425 Willis Rd, Ypsilanti, MI 48197, USA</t>
  </si>
  <si>
    <t>Vestavia Hills High School</t>
  </si>
  <si>
    <t>Vestavia</t>
  </si>
  <si>
    <t>Vincent Middle High School</t>
  </si>
  <si>
    <t>Vincent</t>
  </si>
  <si>
    <t>Chester</t>
  </si>
  <si>
    <t xml:space="preserve"> Chester</t>
  </si>
  <si>
    <t>Vinemont High School</t>
  </si>
  <si>
    <t>Vinemont</t>
  </si>
  <si>
    <t>291 E 4th St, Chester, PA 19013, USA</t>
  </si>
  <si>
    <t>West End High School</t>
  </si>
  <si>
    <t>Walnut Grove</t>
  </si>
  <si>
    <t>Weaver High School</t>
  </si>
  <si>
    <t>Weaver</t>
  </si>
  <si>
    <t>Potomac (Oxon Hill)</t>
  </si>
  <si>
    <t xml:space="preserve"> Oxon Hill</t>
  </si>
  <si>
    <t>Randolph County High School</t>
  </si>
  <si>
    <t>Linden, NJ</t>
  </si>
  <si>
    <t>Wedowee</t>
  </si>
  <si>
    <t>5211 Boydell Ave, Oxon Hill, MD 20745, USA</t>
  </si>
  <si>
    <t>West Blocton High School</t>
  </si>
  <si>
    <t>West Blocton</t>
  </si>
  <si>
    <t>Wetumpka High School</t>
  </si>
  <si>
    <t>Wetumpka</t>
  </si>
  <si>
    <t>Trinity Christian (Fayetteville)</t>
  </si>
  <si>
    <t>Winfield High School</t>
  </si>
  <si>
    <t>3727 Rosehill Rd, Fayetteville, NC 28311, USA</t>
  </si>
  <si>
    <t>Winfield</t>
  </si>
  <si>
    <t>Woodland High School</t>
  </si>
  <si>
    <t>Carmel Christian (Matthews)</t>
  </si>
  <si>
    <t>Sumter Central High School</t>
  </si>
  <si>
    <t xml:space="preserve"> Matthews</t>
  </si>
  <si>
    <t>1145 Pineville-Matthews Rd, Matthews, NC 28105, USA</t>
  </si>
  <si>
    <t>Bartlett High School</t>
  </si>
  <si>
    <t>Anchorage</t>
  </si>
  <si>
    <t>Dimond High School</t>
  </si>
  <si>
    <t>6265 Chester St, Arlington, TN 38002, USA</t>
  </si>
  <si>
    <t>East High School</t>
  </si>
  <si>
    <t>High Schoolland Academy Charter</t>
  </si>
  <si>
    <t>Bellevue West (Bellevue)</t>
  </si>
  <si>
    <t xml:space="preserve"> Bellevue</t>
  </si>
  <si>
    <t>Service High School</t>
  </si>
  <si>
    <t>1501 Thurston Ave, Bellevue, NE 68123, USA</t>
  </si>
  <si>
    <t>South Anchorage High School</t>
  </si>
  <si>
    <t>Steller Secondary School</t>
  </si>
  <si>
    <t>Rocky Mountain (Meridian)</t>
  </si>
  <si>
    <t>5450 N Linder Rd, Meridian, ID 83646, USA</t>
  </si>
  <si>
    <t>West High School</t>
  </si>
  <si>
    <t>Aniak Jr/Sr High School</t>
  </si>
  <si>
    <t>Aniak</t>
  </si>
  <si>
    <t>Bethel Regional High School</t>
  </si>
  <si>
    <t>Bancroft-Rosalie/Lyons-Decatur Northeast (Bancroft)</t>
  </si>
  <si>
    <t>Bethel</t>
  </si>
  <si>
    <t xml:space="preserve"> Bancroft</t>
  </si>
  <si>
    <t>708 Main St, Bancroft, NE 68004, USA</t>
  </si>
  <si>
    <t>Chugiak High School</t>
  </si>
  <si>
    <t>Chugiak</t>
  </si>
  <si>
    <t>Cordova Jr/Sr High School</t>
  </si>
  <si>
    <t>Jeffersonville, IN</t>
  </si>
  <si>
    <t xml:space="preserve"> Dora</t>
  </si>
  <si>
    <t>462 Bella Vista Dr, Dora, MO 65637, USA</t>
  </si>
  <si>
    <t>Craig High School</t>
  </si>
  <si>
    <t>Craig</t>
  </si>
  <si>
    <t>Delta Junction Senior High School</t>
  </si>
  <si>
    <t>Delta Junction</t>
  </si>
  <si>
    <t>San Tan Charter (Gilbert)</t>
  </si>
  <si>
    <t xml:space="preserve"> Gilbert</t>
  </si>
  <si>
    <t>3959 E Elliot Rd, Gilbert, AZ 85296, USA</t>
  </si>
  <si>
    <t>Dillingham Middle/High School</t>
  </si>
  <si>
    <t>Dillingham</t>
  </si>
  <si>
    <t>Rangeview (Aurora)</t>
  </si>
  <si>
    <t>17559 E Iliff Ave, Aurora, CO 80013, USA</t>
  </si>
  <si>
    <t>Alaska Middle College School</t>
  </si>
  <si>
    <t>Eagle River</t>
  </si>
  <si>
    <t>Eagle River High School</t>
  </si>
  <si>
    <t>Sandy Creek (Tyrone)</t>
  </si>
  <si>
    <t xml:space="preserve"> Tyrone</t>
  </si>
  <si>
    <t>Ben Eielson Jr/Sr High School</t>
  </si>
  <si>
    <t>Eielson Afb</t>
  </si>
  <si>
    <t>360 Jenkins Rd, Tyrone, GA 30290, USA</t>
  </si>
  <si>
    <t>Effie Kokrine Charter School</t>
  </si>
  <si>
    <t>Fairbanks</t>
  </si>
  <si>
    <t>Catholic Central (Grand Rapids)</t>
  </si>
  <si>
    <t>Lathrop High School</t>
  </si>
  <si>
    <t>324 Division St, Grand Rapids, MI 49503, USA</t>
  </si>
  <si>
    <t>West Valley High School</t>
  </si>
  <si>
    <t>South Miami (Miami)</t>
  </si>
  <si>
    <t>Galena Interior Learning Academy (Gila)</t>
  </si>
  <si>
    <t xml:space="preserve"> South Miami</t>
  </si>
  <si>
    <t>Galena</t>
  </si>
  <si>
    <t>5975 SW 72nd St, South Miami, FL 33143, USA</t>
  </si>
  <si>
    <t>Sidney C. Huntington Jr/Sr High School</t>
  </si>
  <si>
    <t>Glennallen Jr/Sr High School</t>
  </si>
  <si>
    <t>Forest Hill (Jackson)</t>
  </si>
  <si>
    <t>Glennallen</t>
  </si>
  <si>
    <t>125 Forest Hill Dr, Jackson, MS 39212, USA</t>
  </si>
  <si>
    <t>Haines High School</t>
  </si>
  <si>
    <t>Haines</t>
  </si>
  <si>
    <t>Homer High School</t>
  </si>
  <si>
    <t>Holmen, WI</t>
  </si>
  <si>
    <t>DeLaSalle (Minneapolis)</t>
  </si>
  <si>
    <t>Houston High School</t>
  </si>
  <si>
    <t>1 De La Salle Dr, Minneapolis, MN 55401, USA</t>
  </si>
  <si>
    <t>Juneau-Douglas High School</t>
  </si>
  <si>
    <t>Muskegon</t>
  </si>
  <si>
    <t>Thunder Mountain High School</t>
  </si>
  <si>
    <t xml:space="preserve"> Muskegon</t>
  </si>
  <si>
    <t>175 M-46, Muskegon, MI 49440, USA</t>
  </si>
  <si>
    <t>George Morgan Sr. H.S.</t>
  </si>
  <si>
    <t>Kalskag</t>
  </si>
  <si>
    <t>Kenai Central High School</t>
  </si>
  <si>
    <t>Kenai</t>
  </si>
  <si>
    <t>Mankato East (Mankato)</t>
  </si>
  <si>
    <t xml:space="preserve"> Mankato</t>
  </si>
  <si>
    <t>Ketchikan High School</t>
  </si>
  <si>
    <t>2600 Hoffman Rd, Mankato, MN 56001, USA</t>
  </si>
  <si>
    <t>Ketchikan</t>
  </si>
  <si>
    <t>Kodiak High School</t>
  </si>
  <si>
    <t>Kodiak</t>
  </si>
  <si>
    <t>Edmond Memorial (Edmond)</t>
  </si>
  <si>
    <t xml:space="preserve"> Oklahoma City</t>
  </si>
  <si>
    <t>1919 E Memorial Rd, Oklahoma City, OK 73131, USA</t>
  </si>
  <si>
    <t>Kotzebue Middle/High School</t>
  </si>
  <si>
    <t>Kotzebue</t>
  </si>
  <si>
    <t>Metlakatla High School</t>
  </si>
  <si>
    <t>Metlakatla</t>
  </si>
  <si>
    <t>Bristol Bay Middle/High School</t>
  </si>
  <si>
    <t>St. Charles (Waldorf)</t>
  </si>
  <si>
    <t>Naknek</t>
  </si>
  <si>
    <t xml:space="preserve"> Waldorf</t>
  </si>
  <si>
    <t>3858 Gateview Pl, Waldorf, MD 20602, USA</t>
  </si>
  <si>
    <t>Nikiski Middle/Senior High School</t>
  </si>
  <si>
    <t>Nikiski</t>
  </si>
  <si>
    <t>Nome-Beltz Jr/Sr High School</t>
  </si>
  <si>
    <t>Keenan (Columbia)</t>
  </si>
  <si>
    <t>Nome</t>
  </si>
  <si>
    <t>Unnamed Road, Columbia, SC 29203, USA</t>
  </si>
  <si>
    <t>North Pole High School</t>
  </si>
  <si>
    <t>North Pole</t>
  </si>
  <si>
    <t>Star Of The North Secondary School</t>
  </si>
  <si>
    <t>East Lake (Tarpon Springs)</t>
  </si>
  <si>
    <t xml:space="preserve"> Tarpon Springs</t>
  </si>
  <si>
    <t>Colony High School</t>
  </si>
  <si>
    <t>Palmer</t>
  </si>
  <si>
    <t>4 S Pinellas Ave, Tarpon Springs, FL 34689, USA</t>
  </si>
  <si>
    <t>Mendon, MI</t>
  </si>
  <si>
    <t>Mat-Su Middle College School</t>
  </si>
  <si>
    <t>Weston Ranch (Stockton)</t>
  </si>
  <si>
    <t>Palmer High School</t>
  </si>
  <si>
    <t xml:space="preserve"> Stockton</t>
  </si>
  <si>
    <t>3984 Ews Woods Blvd, Stockton, CA 95206, USA</t>
  </si>
  <si>
    <t>Petersburg High School</t>
  </si>
  <si>
    <t>Petersburg</t>
  </si>
  <si>
    <t>Seward High School</t>
  </si>
  <si>
    <t>Seward</t>
  </si>
  <si>
    <t>Albany Academy for Boys (Albany)</t>
  </si>
  <si>
    <t>Mt. Edgecumbe High School</t>
  </si>
  <si>
    <t>Sitka</t>
  </si>
  <si>
    <t>140 Academy Rd, Albany, NY 12208, USA</t>
  </si>
  <si>
    <t>Sitka High School</t>
  </si>
  <si>
    <t>Central Valley (Spokane Valley)</t>
  </si>
  <si>
    <t>River City Academy</t>
  </si>
  <si>
    <t xml:space="preserve"> Spokane Valley</t>
  </si>
  <si>
    <t>Soldotna</t>
  </si>
  <si>
    <t>821 S Sullivan Rd, Spokane Valley, WA 99037, USA</t>
  </si>
  <si>
    <t>Soldotna High School</t>
  </si>
  <si>
    <t>Susitna Valley High School</t>
  </si>
  <si>
    <t>Talkeetna</t>
  </si>
  <si>
    <t>Trotwood-Madison (Trotwood)</t>
  </si>
  <si>
    <t xml:space="preserve"> Dayton</t>
  </si>
  <si>
    <t>Unalaska Jr/Sr High School</t>
  </si>
  <si>
    <t>2475 N Snyder Rd, Dayton, OH 45426, USA</t>
  </si>
  <si>
    <t>Unalaska</t>
  </si>
  <si>
    <t>Barrow High School</t>
  </si>
  <si>
    <t>Utqiagvik</t>
  </si>
  <si>
    <t>Gill St. Bernard's (Gladstone)</t>
  </si>
  <si>
    <t>Valdez High School</t>
  </si>
  <si>
    <t>Valdez</t>
  </si>
  <si>
    <t xml:space="preserve"> Gladstone</t>
  </si>
  <si>
    <t>Joe Redington Senior Jr/Sr High School</t>
  </si>
  <si>
    <t>Box 604, 25 St Bernards Rd, Gladstone, NJ 07934, USA</t>
  </si>
  <si>
    <t>Wasilla</t>
  </si>
  <si>
    <t>Wasilla High School</t>
  </si>
  <si>
    <t>Manhattan Christian (Manhattan)</t>
  </si>
  <si>
    <t>Wrangell High School</t>
  </si>
  <si>
    <t>Wrangell</t>
  </si>
  <si>
    <t xml:space="preserve"> Manhattan</t>
  </si>
  <si>
    <t>8000 Churchill Rd, Manhattan, MT 59741, USA</t>
  </si>
  <si>
    <t>Ajo High School</t>
  </si>
  <si>
    <t>Ajo</t>
  </si>
  <si>
    <t>Notre Dame (SO) (Sherman Oaks)</t>
  </si>
  <si>
    <t xml:space="preserve"> Sherman Oaks</t>
  </si>
  <si>
    <t>Boulder Creek High School</t>
  </si>
  <si>
    <t>Anthem</t>
  </si>
  <si>
    <t>Apache Junction High School</t>
  </si>
  <si>
    <t>Apache Junction</t>
  </si>
  <si>
    <t>13645 Riverside Dr, Sherman Oaks, CA 91423, USA</t>
  </si>
  <si>
    <t>Apache Trail High School</t>
  </si>
  <si>
    <t>North Shore (Houston)</t>
  </si>
  <si>
    <t>Imagine Prep Superstition</t>
  </si>
  <si>
    <t>851 Federal Rd, Houston, TX 77015, USA</t>
  </si>
  <si>
    <t>Ash Fork High School</t>
  </si>
  <si>
    <t>Ash Fork</t>
  </si>
  <si>
    <t>Agua Fria High School</t>
  </si>
  <si>
    <t>Avondale</t>
  </si>
  <si>
    <t xml:space="preserve"> Auburn</t>
  </si>
  <si>
    <t>Estrella High School</t>
  </si>
  <si>
    <t>501 10th St, Auburn, NE 68305, USA</t>
  </si>
  <si>
    <t>La Joya Community High School</t>
  </si>
  <si>
    <t>Westview High School</t>
  </si>
  <si>
    <t>Collegiate (Wichita)</t>
  </si>
  <si>
    <t>Bagdad Middle / Senior High School</t>
  </si>
  <si>
    <t>9115 E 13th St N, Wichita, KS 67206, USA</t>
  </si>
  <si>
    <t>Bagdad</t>
  </si>
  <si>
    <t>Benson High School</t>
  </si>
  <si>
    <t>Benson</t>
  </si>
  <si>
    <t>St. Peter's Prep (Jersey City)</t>
  </si>
  <si>
    <t xml:space="preserve"> Jersey City</t>
  </si>
  <si>
    <t>144 Grand St, Jersey City, NJ 07302, USA</t>
  </si>
  <si>
    <t>San Pedro Valley High School</t>
  </si>
  <si>
    <t>Ottawa-Glandorf (Ottawa)</t>
  </si>
  <si>
    <t xml:space="preserve"> Ottawa</t>
  </si>
  <si>
    <t>San Pedro Valley Online Academy</t>
  </si>
  <si>
    <t>630 Glendale Ave, Ottawa, OH 45875, USA</t>
  </si>
  <si>
    <t>Bisbee High School</t>
  </si>
  <si>
    <t>Bisbee</t>
  </si>
  <si>
    <t>Hardin</t>
  </si>
  <si>
    <t xml:space="preserve"> Hardin</t>
  </si>
  <si>
    <t>Bowie High School</t>
  </si>
  <si>
    <t>403 4th St W, Hardin, MT 59034, USA</t>
  </si>
  <si>
    <t>Bowie</t>
  </si>
  <si>
    <t>Buckeye Union High School</t>
  </si>
  <si>
    <t>Buckeye</t>
  </si>
  <si>
    <t>Fairview</t>
  </si>
  <si>
    <t xml:space="preserve"> Fairview</t>
  </si>
  <si>
    <t>4 Ellery Ave, Fairview, MT 59221, USA</t>
  </si>
  <si>
    <t>BuHigh Schoold Institute Of Online Learning</t>
  </si>
  <si>
    <t>Odyssey Institute For Advanced And International Studies</t>
  </si>
  <si>
    <t xml:space="preserve"> East Lansing</t>
  </si>
  <si>
    <t>337 Abbot Rd, East Lansing, MI 48823, USA</t>
  </si>
  <si>
    <t>The Buckeye Academy</t>
  </si>
  <si>
    <t>Fairfield, AL</t>
  </si>
  <si>
    <t>Malvern Prep (Malvern)</t>
  </si>
  <si>
    <t xml:space="preserve"> Malvern</t>
  </si>
  <si>
    <t>418 S Warren Ave, Malvern, PA 19355, USA</t>
  </si>
  <si>
    <t>Verrado High School</t>
  </si>
  <si>
    <t>Shawnee (Lima)</t>
  </si>
  <si>
    <t>Youngker High School</t>
  </si>
  <si>
    <t xml:space="preserve"> Fort Shawnee</t>
  </si>
  <si>
    <t>3255 Zurmehly Rd, Fort Shawnee, OH 45806, USA</t>
  </si>
  <si>
    <t>CruHigh Schoold Academy</t>
  </si>
  <si>
    <t>Bullhead City</t>
  </si>
  <si>
    <t>Arrowhead (Hartland)</t>
  </si>
  <si>
    <t xml:space="preserve"> Hartland</t>
  </si>
  <si>
    <t>Mohave Accelerated Learning Center</t>
  </si>
  <si>
    <t>800 North Ave, Hartland, WI 53029, USA</t>
  </si>
  <si>
    <t>Mohave High School</t>
  </si>
  <si>
    <t>Okemos</t>
  </si>
  <si>
    <t xml:space="preserve"> Okemos</t>
  </si>
  <si>
    <t>2090 W Grand River Ave, Okemos, MI 48864, USA</t>
  </si>
  <si>
    <t>Camp Verde High School</t>
  </si>
  <si>
    <t>Camp Verde</t>
  </si>
  <si>
    <t>York (Elmhurst)</t>
  </si>
  <si>
    <t>South Verde Technology Magnet</t>
  </si>
  <si>
    <t xml:space="preserve"> Elmhurst</t>
  </si>
  <si>
    <t>355 St Charles Rd, Elmhurst, IL 60126, USA</t>
  </si>
  <si>
    <t>Asu Preparatory Academy - Casa Grande High School</t>
  </si>
  <si>
    <t>Casa Grande</t>
  </si>
  <si>
    <t>Casa Grande Union High School</t>
  </si>
  <si>
    <t>Mt. Lebanon (Pittsburgh)</t>
  </si>
  <si>
    <t xml:space="preserve"> Pittsburgh</t>
  </si>
  <si>
    <t>531 Grant St, Pittsburgh, PA 15219, USA</t>
  </si>
  <si>
    <t>Villa Oasis Interscholastic Center For Education (Voice)</t>
  </si>
  <si>
    <t>Vista Grande High School</t>
  </si>
  <si>
    <t>Middleburg Academy (Middleburg)</t>
  </si>
  <si>
    <t xml:space="preserve"> Middleburg</t>
  </si>
  <si>
    <t>Cactus Shadows High School</t>
  </si>
  <si>
    <t>Cave Creek</t>
  </si>
  <si>
    <t>35321 Notre Dame Ln, Middleburg, VA 20117, USA</t>
  </si>
  <si>
    <t>Career Success Jr/Sr High School - North Phoenix</t>
  </si>
  <si>
    <t>Cave Creek  Az</t>
  </si>
  <si>
    <t>Arizona College Prep Erie Campus</t>
  </si>
  <si>
    <t>Westtown (West Chester)</t>
  </si>
  <si>
    <t>Chandler</t>
  </si>
  <si>
    <t>Westtown Train Station, 842 E Market Street, West Chester, PA 19382, USA</t>
  </si>
  <si>
    <t>Az Compass Prep School</t>
  </si>
  <si>
    <t>Basha High School</t>
  </si>
  <si>
    <t>Mt. Pleasant</t>
  </si>
  <si>
    <t>Basis Chandler</t>
  </si>
  <si>
    <t>908 W 1st St, Mt Pleasant, TX 75455, USA</t>
  </si>
  <si>
    <t>Blueprint High School</t>
  </si>
  <si>
    <t>Chandler High School</t>
  </si>
  <si>
    <t>Ramsay (Birmingham)</t>
  </si>
  <si>
    <t>1800 13th Ave S, Birmingham, AL 35205, USA</t>
  </si>
  <si>
    <t>Chandler Online Academy</t>
  </si>
  <si>
    <t>Farmville Central (Farmville)</t>
  </si>
  <si>
    <t xml:space="preserve"> Farmville</t>
  </si>
  <si>
    <t>Intelli-School</t>
  </si>
  <si>
    <t>3308 E Wilson St, Farmville, NC 27828, USA</t>
  </si>
  <si>
    <t>Eatonton, GA</t>
  </si>
  <si>
    <t>Kaizen Education Foundation Dba El Dorado High School</t>
  </si>
  <si>
    <t>Freedom (Morganton)</t>
  </si>
  <si>
    <t xml:space="preserve"> Morganton</t>
  </si>
  <si>
    <t>Primavera - Online</t>
  </si>
  <si>
    <t>511 Independence Blvd, Morganton, NC 28655, USA</t>
  </si>
  <si>
    <t>Chinle High School</t>
  </si>
  <si>
    <t>Chinle</t>
  </si>
  <si>
    <t>Silver Creek (Sellersburg)</t>
  </si>
  <si>
    <t xml:space="preserve"> Sellersburg</t>
  </si>
  <si>
    <t>Chino Valley High School</t>
  </si>
  <si>
    <t>Chino Valley</t>
  </si>
  <si>
    <t>557 Renz Ave, Sellersburg, IN 47172, USA</t>
  </si>
  <si>
    <t>El Capitan Public School</t>
  </si>
  <si>
    <t>Colorado City</t>
  </si>
  <si>
    <t>Millennium (Goodyear)</t>
  </si>
  <si>
    <t xml:space="preserve"> Goodyear</t>
  </si>
  <si>
    <t>Coolidge Alternative Program</t>
  </si>
  <si>
    <t>500 W Wigwam Blvd, Goodyear, AZ 85395, USA</t>
  </si>
  <si>
    <t>Coolidge</t>
  </si>
  <si>
    <t>Coolidge High School</t>
  </si>
  <si>
    <t>Northside (Fort Smith)</t>
  </si>
  <si>
    <t xml:space="preserve"> Fort Smith</t>
  </si>
  <si>
    <t>Imagine Prep Coolidge</t>
  </si>
  <si>
    <t>2301 N B St, Fort Smith, AR 72901, USA</t>
  </si>
  <si>
    <t>Mingus Online Academy</t>
  </si>
  <si>
    <t>Cottonwood</t>
  </si>
  <si>
    <t>Mingus Union High School</t>
  </si>
  <si>
    <t>Jesuit (Portland)</t>
  </si>
  <si>
    <t>Center For Academyemic Success  The #2</t>
  </si>
  <si>
    <t>9000 SW Beaverton Hillsdale Hwy, Portland, OR 97225, USA</t>
  </si>
  <si>
    <t>Cretin-Derham Hall (St. Paul)</t>
  </si>
  <si>
    <t>Duncan High School</t>
  </si>
  <si>
    <t xml:space="preserve"> St Paul</t>
  </si>
  <si>
    <t>Duncan</t>
  </si>
  <si>
    <t>550 S Albert St, St Paul, MN 55116, USA</t>
  </si>
  <si>
    <t>Dysart High School</t>
  </si>
  <si>
    <t>El Mirage</t>
  </si>
  <si>
    <t>Valley Union High School</t>
  </si>
  <si>
    <t>Elfrida</t>
  </si>
  <si>
    <t>Cary-Grove (Cary)</t>
  </si>
  <si>
    <t xml:space="preserve"> Cary</t>
  </si>
  <si>
    <t>Santa Cruz Center For Success</t>
  </si>
  <si>
    <t>Eloy</t>
  </si>
  <si>
    <t>Marysville, WA</t>
  </si>
  <si>
    <t>2208 Three Oaks Rd, Cary, IL 60013, USA</t>
  </si>
  <si>
    <t>Santa Cruz Valley Union High School</t>
  </si>
  <si>
    <t>Coconino High School</t>
  </si>
  <si>
    <t>Ocoee</t>
  </si>
  <si>
    <t>Flagstaff</t>
  </si>
  <si>
    <t xml:space="preserve"> Ocoee</t>
  </si>
  <si>
    <t>129 E McKey St, Ocoee, FL 34761, USA</t>
  </si>
  <si>
    <t>Flagstaff Arts And Leadership Academy</t>
  </si>
  <si>
    <t>Flagstaff High School</t>
  </si>
  <si>
    <t>Lithonia</t>
  </si>
  <si>
    <t xml:space="preserve"> Lithonia</t>
  </si>
  <si>
    <t>Northern Arizona Distance Learning</t>
  </si>
  <si>
    <t>7278 Conyers St, Lithonia, GA 30058, USA</t>
  </si>
  <si>
    <t>Northland Preparatory Academy</t>
  </si>
  <si>
    <t>Ponderosa High School</t>
  </si>
  <si>
    <t>Central Catholic (Portland)</t>
  </si>
  <si>
    <t>Summit High School</t>
  </si>
  <si>
    <t>2401 SE Stark St, Portland, OR 97214, USA</t>
  </si>
  <si>
    <t>O'Fallon</t>
  </si>
  <si>
    <t xml:space="preserve"> O'Fallon</t>
  </si>
  <si>
    <t>1 S Lincoln Ave, O'Fallon, IL 62269, USA</t>
  </si>
  <si>
    <t>Poston Butte High School</t>
  </si>
  <si>
    <t>Window Rock High School</t>
  </si>
  <si>
    <t>Fort Defiance</t>
  </si>
  <si>
    <t>Academy Of Building Industries</t>
  </si>
  <si>
    <t>Fort Mohave</t>
  </si>
  <si>
    <t>Rider (Wichita Falls)</t>
  </si>
  <si>
    <t>Fort Thomas High School</t>
  </si>
  <si>
    <t>Fort Thomas</t>
  </si>
  <si>
    <t xml:space="preserve"> Wichita Falls</t>
  </si>
  <si>
    <t>Fountain Hills High School</t>
  </si>
  <si>
    <t>4611 Cypress Ave, Wichita Falls, TX 76310, USA</t>
  </si>
  <si>
    <t>Fountain Hills</t>
  </si>
  <si>
    <t>Fountain.Hills Online</t>
  </si>
  <si>
    <t>Fredonia High School</t>
  </si>
  <si>
    <t>Fredonia</t>
  </si>
  <si>
    <t>Williamston</t>
  </si>
  <si>
    <t xml:space="preserve"> Williamston</t>
  </si>
  <si>
    <t>West Memphis, AR</t>
  </si>
  <si>
    <t>107 S Putnam St, Williamston, MI 48895, USA</t>
  </si>
  <si>
    <t>Ganado High School</t>
  </si>
  <si>
    <t>Ganado</t>
  </si>
  <si>
    <t>Valley (Albuquerque)</t>
  </si>
  <si>
    <t>Gila Bend High School</t>
  </si>
  <si>
    <t>Valley Vista SW, Albuquerque, NM 87121, USA</t>
  </si>
  <si>
    <t>Gila Bend</t>
  </si>
  <si>
    <t>Campo Verde High School</t>
  </si>
  <si>
    <t>Benton Harbor</t>
  </si>
  <si>
    <t>Gilbert</t>
  </si>
  <si>
    <t xml:space="preserve"> Benton Harbor</t>
  </si>
  <si>
    <t>101149 6th St, Benton Harbor, MI 49022, USA</t>
  </si>
  <si>
    <t>Desert Hills High School</t>
  </si>
  <si>
    <t>Arroyo Grande</t>
  </si>
  <si>
    <t xml:space="preserve"> Arroyo Grande</t>
  </si>
  <si>
    <t>811 E Grand Ave, Arroyo Grande, CA 93420, USA</t>
  </si>
  <si>
    <t>Gilbert Classical Academy High School</t>
  </si>
  <si>
    <t>Fairview (Boulder)</t>
  </si>
  <si>
    <t xml:space="preserve"> Boulder</t>
  </si>
  <si>
    <t>Gilbert Global Academy High School</t>
  </si>
  <si>
    <t>1515 Greenbriar Blvd, Boulder, CO 80305, USA</t>
  </si>
  <si>
    <t>Gilbert High School</t>
  </si>
  <si>
    <t>Valencia</t>
  </si>
  <si>
    <t xml:space="preserve"> Valencia</t>
  </si>
  <si>
    <t>24805 Carbon Ln, Valencia, CA 91354, USA</t>
  </si>
  <si>
    <t>High Schoolland High School</t>
  </si>
  <si>
    <t>Mishawaka Marian (Mishawaka)</t>
  </si>
  <si>
    <t xml:space="preserve"> Mishawaka</t>
  </si>
  <si>
    <t>Higley High School</t>
  </si>
  <si>
    <t>1311 S Logan St, Mishawaka, IN 46544, USA</t>
  </si>
  <si>
    <t>Leading Edge Academy Gilbert Early College</t>
  </si>
  <si>
    <t>Midway (Waco)</t>
  </si>
  <si>
    <t xml:space="preserve"> Hewitt</t>
  </si>
  <si>
    <t>800 N Hewitt Dr, Hewitt, TX 76643, USA</t>
  </si>
  <si>
    <t>Leading Edge Academy Online</t>
  </si>
  <si>
    <t>National Christian Academy (Fort Washington)</t>
  </si>
  <si>
    <t xml:space="preserve"> Fort Washington</t>
  </si>
  <si>
    <t>Learning Foundation And Performing Arts Gilbert</t>
  </si>
  <si>
    <t>6700 Bock Rd, Fort Washington, MD 20744, USA</t>
  </si>
  <si>
    <t>Mesquite High School</t>
  </si>
  <si>
    <t>Park Center (Brooklyn Park)</t>
  </si>
  <si>
    <t xml:space="preserve"> Brooklyn Park</t>
  </si>
  <si>
    <t>7300 Brooklyn Blvd, Brooklyn Park, MN 55443, USA</t>
  </si>
  <si>
    <t>Perry High School</t>
  </si>
  <si>
    <t>River Rouge</t>
  </si>
  <si>
    <t xml:space="preserve"> River Rouge</t>
  </si>
  <si>
    <t>Williams Field High School</t>
  </si>
  <si>
    <t>10573 W Jefferson Ave, River Rouge, MI 48218, USA</t>
  </si>
  <si>
    <t>Apollo High School</t>
  </si>
  <si>
    <t>Cedar Shoals (Athens)</t>
  </si>
  <si>
    <t xml:space="preserve"> Athens</t>
  </si>
  <si>
    <t>Keansburg, NJ</t>
  </si>
  <si>
    <t>1300 Cedar Shoals Dr, Athens, GA 30605, USA</t>
  </si>
  <si>
    <t>Cactus High School</t>
  </si>
  <si>
    <t>Maryknoll (Honolulu)</t>
  </si>
  <si>
    <t xml:space="preserve"> Honolulu</t>
  </si>
  <si>
    <t>Copper Canyon High School</t>
  </si>
  <si>
    <t>1526 Alexander St, Honolulu, HI 96822, USA</t>
  </si>
  <si>
    <t>Deer Valley High School</t>
  </si>
  <si>
    <t>Hot Springs</t>
  </si>
  <si>
    <t xml:space="preserve"> Hot Springs</t>
  </si>
  <si>
    <t>Desert Heights Preparatory Academy</t>
  </si>
  <si>
    <t>348 US-70 BUS, Hot Springs, AR 71901, USA</t>
  </si>
  <si>
    <t>E-Institute At Avondale</t>
  </si>
  <si>
    <t>Cape Henry Collegiate (Virginia Beach)</t>
  </si>
  <si>
    <t>1320 Mill Dam Rd, Virginia Beach, VA 23454, USA</t>
  </si>
  <si>
    <t>E-Institute At Buckeye</t>
  </si>
  <si>
    <t>Foothills Christian (El Cajon)</t>
  </si>
  <si>
    <t xml:space="preserve"> El Cajon</t>
  </si>
  <si>
    <t>E-Institute At Grovers</t>
  </si>
  <si>
    <t>2321 Dryden Rd, El Cajon, CA 92020, USA</t>
  </si>
  <si>
    <t>E-Institute At Metro</t>
  </si>
  <si>
    <t>Walker</t>
  </si>
  <si>
    <t xml:space="preserve"> Walker</t>
  </si>
  <si>
    <t>29525 Walker Rd S, Walker, LA 70785, USA</t>
  </si>
  <si>
    <t>E-Institute At Surprise</t>
  </si>
  <si>
    <t>Episcopal (Alexandria)</t>
  </si>
  <si>
    <t>E-Institute At Taylion</t>
  </si>
  <si>
    <t>1200 N Quaker Ln, Alexandria, VA 22302, USA</t>
  </si>
  <si>
    <t>E-Institute At Union Hills</t>
  </si>
  <si>
    <t>East Catholic (Manchester)</t>
  </si>
  <si>
    <t xml:space="preserve"> Manchester</t>
  </si>
  <si>
    <t>115 New State Rd, Manchester, CT 06042, USA</t>
  </si>
  <si>
    <t>Fern Creek (Louisville)</t>
  </si>
  <si>
    <t>Glendale High School</t>
  </si>
  <si>
    <t>Bardstown @ Hudson, Louisville, KY 40291, USA</t>
  </si>
  <si>
    <t>Glendale Union Online</t>
  </si>
  <si>
    <t>Independence High School</t>
  </si>
  <si>
    <t>Immaculate Conception (Montclair)</t>
  </si>
  <si>
    <t>Ironwood High School</t>
  </si>
  <si>
    <t xml:space="preserve"> Montclair</t>
  </si>
  <si>
    <t>33 Cottage Pl, Montclair, NJ 07042, USA</t>
  </si>
  <si>
    <t>Jefferson Preparatory High School</t>
  </si>
  <si>
    <t>Toledo, OH</t>
  </si>
  <si>
    <t>Mountain Ridge High School</t>
  </si>
  <si>
    <t>Bowie (Arlington)</t>
  </si>
  <si>
    <t>Ombudsman - Charter Metro</t>
  </si>
  <si>
    <t>2101 Highbank Dr, Arlington, TX 76018, USA</t>
  </si>
  <si>
    <t>Raymond S. Kellis</t>
  </si>
  <si>
    <t>Bishop Miege (Shawnee Mission)</t>
  </si>
  <si>
    <t xml:space="preserve"> Roeland Park</t>
  </si>
  <si>
    <t>Sandra Day O'Connor High School</t>
  </si>
  <si>
    <t>5041 Reinhardt Dr, Roeland Park, KS 66205, USA</t>
  </si>
  <si>
    <t>Globe High School</t>
  </si>
  <si>
    <t>Globe</t>
  </si>
  <si>
    <t>Liberty High School</t>
  </si>
  <si>
    <t>Notre Dame (Cape Girardeau)</t>
  </si>
  <si>
    <t xml:space="preserve"> Cape Girardeau</t>
  </si>
  <si>
    <t>265 Notre Dame Dr, Cape Girardeau, MO 63701, USA</t>
  </si>
  <si>
    <t>Desert Edge High School</t>
  </si>
  <si>
    <t>Goodyear</t>
  </si>
  <si>
    <t>Estrella Foothills High School</t>
  </si>
  <si>
    <t>Dr. Phillips (Orlando)</t>
  </si>
  <si>
    <t>Millennium High School</t>
  </si>
  <si>
    <t>445 S Magnolia Ave, Orlando, FL 32801, USA</t>
  </si>
  <si>
    <t>Grand Canyon High School</t>
  </si>
  <si>
    <t>Grand Canyon Village</t>
  </si>
  <si>
    <t>De Smet Jesuit (St. Louis)</t>
  </si>
  <si>
    <t>233 N New Ballas Rd, St. Louis, MO 63141, USA</t>
  </si>
  <si>
    <t>Mogollon High School</t>
  </si>
  <si>
    <t>Heber</t>
  </si>
  <si>
    <t>Holbrook High School</t>
  </si>
  <si>
    <t>Holbrook</t>
  </si>
  <si>
    <t>Gulliver Prep (Miami)</t>
  </si>
  <si>
    <t xml:space="preserve"> Pinecrest</t>
  </si>
  <si>
    <t>Joseph City High School</t>
  </si>
  <si>
    <t>6575 N Kendall Dr, Pinecrest, FL 33156, USA</t>
  </si>
  <si>
    <t>Joseph City</t>
  </si>
  <si>
    <t>Monument Valley High School</t>
  </si>
  <si>
    <t>Kayenta</t>
  </si>
  <si>
    <t>Corvallis, OR</t>
  </si>
  <si>
    <t>White Cone High School</t>
  </si>
  <si>
    <t>Piedmont Classical (Browns Summit)</t>
  </si>
  <si>
    <t>Keams Canyon</t>
  </si>
  <si>
    <t>4100 Yanceyville St, Greensboro, NC 27405, USA</t>
  </si>
  <si>
    <t>Ray Jr/Sr High School</t>
  </si>
  <si>
    <t>Kearny</t>
  </si>
  <si>
    <t>Kingman Academy Of Learning - High School</t>
  </si>
  <si>
    <t>Kingman</t>
  </si>
  <si>
    <t>Indianapolis Crispus Attucks (Indianapolis)</t>
  </si>
  <si>
    <t>Kingman High School</t>
  </si>
  <si>
    <t>1140 Doctor M.L.K. Jr St, Indianapolis, IN 46202, USA</t>
  </si>
  <si>
    <t>Lee Williams High School</t>
  </si>
  <si>
    <t>University Lab (Baton Rouge)</t>
  </si>
  <si>
    <t>Havasuonline</t>
  </si>
  <si>
    <t>45 Dalrymple Dr, Baton Rouge, LA 70808, USA</t>
  </si>
  <si>
    <t>Lake Havasu City</t>
  </si>
  <si>
    <t>Edison Academy (Detroit)</t>
  </si>
  <si>
    <t>Lake Havasu High School</t>
  </si>
  <si>
    <t xml:space="preserve"> Detroit</t>
  </si>
  <si>
    <t>1988 Erskine St, Detroit, MI 48207, USA</t>
  </si>
  <si>
    <t>Wooddale (Memphis)</t>
  </si>
  <si>
    <t>Telesis Preparatory Academy</t>
  </si>
  <si>
    <t>5151 Scottsdale Ave, Memphis, TN 38118, USA</t>
  </si>
  <si>
    <t>Blue Ridge High School</t>
  </si>
  <si>
    <t>Bishop Montgomery (Torrance)</t>
  </si>
  <si>
    <t xml:space="preserve"> Torrance</t>
  </si>
  <si>
    <t>Blue Ridge High School Online</t>
  </si>
  <si>
    <t>5430 Torrance Blvd, Torrance, CA 90503, USA</t>
  </si>
  <si>
    <t>Betty Fairfax High School</t>
  </si>
  <si>
    <t>Laveen</t>
  </si>
  <si>
    <t>Cesar Chavez High School</t>
  </si>
  <si>
    <t>St. Thomas More (Lafayette)</t>
  </si>
  <si>
    <t>Beaver Dam High School</t>
  </si>
  <si>
    <t>Litchfield Park</t>
  </si>
  <si>
    <t xml:space="preserve"> Lafayette</t>
  </si>
  <si>
    <t>A. C. E.</t>
  </si>
  <si>
    <t>Marana</t>
  </si>
  <si>
    <t>450 E Farrel Rd, Lafayette, LA 70508, USA</t>
  </si>
  <si>
    <t>Marana High School</t>
  </si>
  <si>
    <t>Mcat High School</t>
  </si>
  <si>
    <t>Trakai, Lithuania</t>
  </si>
  <si>
    <t>Blair Academy (Blairstown)</t>
  </si>
  <si>
    <t>Maricopa High School</t>
  </si>
  <si>
    <t>Maricopa</t>
  </si>
  <si>
    <t xml:space="preserve"> Blairstown</t>
  </si>
  <si>
    <t>2 Park St, Blairstown, NJ 07825, USA</t>
  </si>
  <si>
    <t>Mayer High School</t>
  </si>
  <si>
    <t>Mayer</t>
  </si>
  <si>
    <t>Academy With Community Partners</t>
  </si>
  <si>
    <t>Mesa</t>
  </si>
  <si>
    <t>Columbia (Lake City)</t>
  </si>
  <si>
    <t xml:space="preserve"> Lake City</t>
  </si>
  <si>
    <t>469 SW Fighting Tiger Dr, Lake City, FL 32025, USA</t>
  </si>
  <si>
    <t>Asu Preparatory Academy-Polytechnic High School</t>
  </si>
  <si>
    <t>Desert Ridge High School</t>
  </si>
  <si>
    <t>Dobson High School</t>
  </si>
  <si>
    <t>Skyline (Mesa)</t>
  </si>
  <si>
    <t xml:space="preserve"> Mesa</t>
  </si>
  <si>
    <t>845 S Crismon Rd, Mesa, AZ 85208, USA</t>
  </si>
  <si>
    <t>East Valley Academy</t>
  </si>
  <si>
    <t>East Valley High School</t>
  </si>
  <si>
    <t>Edkey  Inc. - Sequoia Choice Precision School</t>
  </si>
  <si>
    <t>Madison East (Madison)</t>
  </si>
  <si>
    <t>Grainger Hall of Business Administration, Madison, WI 53715, USA</t>
  </si>
  <si>
    <t>Heritage Academy</t>
  </si>
  <si>
    <t>Heritage Academy Laveen</t>
  </si>
  <si>
    <t>Heritage Academy Queen Creek</t>
  </si>
  <si>
    <t>Schoolhouse Prep (Miami)</t>
  </si>
  <si>
    <t xml:space="preserve"> Miami</t>
  </si>
  <si>
    <t>3800 SW 108th Ave, Miami, FL 33165, USA</t>
  </si>
  <si>
    <t>Mesa High School</t>
  </si>
  <si>
    <t>Mountain View High School</t>
  </si>
  <si>
    <t>Folsom</t>
  </si>
  <si>
    <t xml:space="preserve"> Folsom</t>
  </si>
  <si>
    <t>Pinnacle Charter High School</t>
  </si>
  <si>
    <t>625 Sutter St, Folsom, CA 95630, USA</t>
  </si>
  <si>
    <t>Pinnacle Online - Wmcb</t>
  </si>
  <si>
    <t>Red Mountain High School</t>
  </si>
  <si>
    <t>Sequoia Secondary School</t>
  </si>
  <si>
    <t>Oxon Hill</t>
  </si>
  <si>
    <t>Sequoia Village High School</t>
  </si>
  <si>
    <t>6306 Oxon Hill Rd, Oxon Hill, MD 20745, USA</t>
  </si>
  <si>
    <t>Skyline High School</t>
  </si>
  <si>
    <t>Sonoran Desert School</t>
  </si>
  <si>
    <t>Utica, NY</t>
  </si>
  <si>
    <t>Sun Valley High School</t>
  </si>
  <si>
    <t>Valiant Academy</t>
  </si>
  <si>
    <t>Blytheville</t>
  </si>
  <si>
    <t xml:space="preserve"> Blytheville</t>
  </si>
  <si>
    <t>Westwood High School</t>
  </si>
  <si>
    <t>646 E Main St, Blytheville, AR 72315, USA</t>
  </si>
  <si>
    <t>Miami Junior Senior High School</t>
  </si>
  <si>
    <t>River Valley High School</t>
  </si>
  <si>
    <t>Mohave Valley</t>
  </si>
  <si>
    <t>Los Osos (Rancho Cucamonga)</t>
  </si>
  <si>
    <t>Morenci High School</t>
  </si>
  <si>
    <t>Morenci</t>
  </si>
  <si>
    <t>6001 Milliken Ave, Rancho Cucamonga, CA 91737, USA</t>
  </si>
  <si>
    <t>Cornerstone Charter School</t>
  </si>
  <si>
    <t>New River</t>
  </si>
  <si>
    <t>Nogales High School</t>
  </si>
  <si>
    <t>Nogales</t>
  </si>
  <si>
    <t>Norwalk</t>
  </si>
  <si>
    <t xml:space="preserve"> Norwalk</t>
  </si>
  <si>
    <t>PvHigh School Aoi Program</t>
  </si>
  <si>
    <t>802 Main St, Norwalk, IA 50211, USA</t>
  </si>
  <si>
    <t>Basis Oro Valley</t>
  </si>
  <si>
    <t>Oro Valley</t>
  </si>
  <si>
    <t>Canyon Del Oro High School</t>
  </si>
  <si>
    <t>Lewisville</t>
  </si>
  <si>
    <t xml:space="preserve"> Lewisville</t>
  </si>
  <si>
    <t>102 W Main St, Lewisville, TX 75057, USA</t>
  </si>
  <si>
    <t>Ironwood Ridge High School</t>
  </si>
  <si>
    <t>Manson Mesa High School</t>
  </si>
  <si>
    <t>Page</t>
  </si>
  <si>
    <t>Hampden</t>
  </si>
  <si>
    <t>Page High School</t>
  </si>
  <si>
    <t xml:space="preserve"> Hampden</t>
  </si>
  <si>
    <t>9 Canoe Club Rd, Hampden, ME 04444, USA</t>
  </si>
  <si>
    <t>Tse'Yaato' High School</t>
  </si>
  <si>
    <t>Parker</t>
  </si>
  <si>
    <t>Santa Fe</t>
  </si>
  <si>
    <t>Patagonia Union High School</t>
  </si>
  <si>
    <t>Patagonia</t>
  </si>
  <si>
    <t>215 E San Francisco St, Santa Fe, NM 87501, USA</t>
  </si>
  <si>
    <t>Payson Center For Success - Online</t>
  </si>
  <si>
    <t>Payson</t>
  </si>
  <si>
    <t>Hartville</t>
  </si>
  <si>
    <t>Payson Center For Success High School</t>
  </si>
  <si>
    <t xml:space="preserve"> Hartville</t>
  </si>
  <si>
    <t>109 W Rolla St, Hartville, MO 65667, USA</t>
  </si>
  <si>
    <t>Payson High School</t>
  </si>
  <si>
    <t>Basis Peoria</t>
  </si>
  <si>
    <t>Lexington Catholic (Lexington)</t>
  </si>
  <si>
    <t>Centennial High School</t>
  </si>
  <si>
    <t xml:space="preserve"> Lexington</t>
  </si>
  <si>
    <t>2250 Clays Mill Rd, Lexington, KY 40503, USA</t>
  </si>
  <si>
    <t>Ombudsman - Charter Northwest</t>
  </si>
  <si>
    <t>Olympic (Charlotte)</t>
  </si>
  <si>
    <t xml:space="preserve"> Charlotte</t>
  </si>
  <si>
    <t>Peoria Accelerated High School</t>
  </si>
  <si>
    <t>4301 Sandy Porter Rd, Charlotte, NC 28273, USA</t>
  </si>
  <si>
    <t>Peoria High School</t>
  </si>
  <si>
    <t>Rcb College Preparatory Academy</t>
  </si>
  <si>
    <t>Cox Mill (Concord)</t>
  </si>
  <si>
    <t>Skyline D5</t>
  </si>
  <si>
    <t>1355 Cox Mill Rd, Concord, NC 28027, USA</t>
  </si>
  <si>
    <t>Student Choice High School</t>
  </si>
  <si>
    <t>Westlake (Westlake Village)</t>
  </si>
  <si>
    <t>Sunrise Mountain High School</t>
  </si>
  <si>
    <t xml:space="preserve"> Thousand Oaks</t>
  </si>
  <si>
    <t>1 WellPoint Way, Thousand Oaks, CA 91362, USA</t>
  </si>
  <si>
    <t>Aaec - Paradise Valley</t>
  </si>
  <si>
    <t>Aaec - Smcc Campus</t>
  </si>
  <si>
    <t>Lawton</t>
  </si>
  <si>
    <t xml:space="preserve"> Lawton</t>
  </si>
  <si>
    <t>514-548 SW D Ave, Lawton, OK 73501, USA</t>
  </si>
  <si>
    <t>Accelerated Learning Center</t>
  </si>
  <si>
    <t>Aim High Schooler College Prep Academy</t>
  </si>
  <si>
    <t>Birmingham (Lake Balboa)</t>
  </si>
  <si>
    <t xml:space="preserve"> Lake Balboa</t>
  </si>
  <si>
    <t>1710 Haynes St, Lake Balboa, CA 91406, USA</t>
  </si>
  <si>
    <t>Alhambra High School</t>
  </si>
  <si>
    <t>Arcadia High School</t>
  </si>
  <si>
    <t>Corcoran (Syracuse)</t>
  </si>
  <si>
    <t xml:space="preserve"> Syracuse</t>
  </si>
  <si>
    <t>Ogden, UT</t>
  </si>
  <si>
    <t>Arizona Agribusiness &amp; Equine Center  Inc. - Mesa</t>
  </si>
  <si>
    <t>919 Glenwood Ave, Syracuse, NY 13207, USA</t>
  </si>
  <si>
    <t>Arizona Agribusiness &amp; Equine Center  Inc. - Prescott Valley</t>
  </si>
  <si>
    <t>Arizona Agribusiness &amp; Equine Center  Inc. - Red Mountain</t>
  </si>
  <si>
    <t>Menlo-Atherton (Atherton)</t>
  </si>
  <si>
    <t xml:space="preserve"> Atherton</t>
  </si>
  <si>
    <t>Arizona Agribusiness &amp; Equine Center - Estrella</t>
  </si>
  <si>
    <t>555 Middlefield Rd, Atherton, CA 94027, USA</t>
  </si>
  <si>
    <t>Arizona Autism Charter School  Upper School Campus</t>
  </si>
  <si>
    <t>Medina</t>
  </si>
  <si>
    <t xml:space="preserve"> Medina</t>
  </si>
  <si>
    <t>Arizona Call-A-Teen Center For Excellence</t>
  </si>
  <si>
    <t>327 N Spring Grove St, Medina, OH 44256, USA</t>
  </si>
  <si>
    <t>Arizona Collegiate High School</t>
  </si>
  <si>
    <t>Arizona Conservatory For Arts And Academyemics</t>
  </si>
  <si>
    <t xml:space="preserve"> Butler</t>
  </si>
  <si>
    <t>Arizona Insight Academy</t>
  </si>
  <si>
    <t>106 N Main St, Butler, PA 16001, USA</t>
  </si>
  <si>
    <t>Arizona Preparatory Academy</t>
  </si>
  <si>
    <t>Howell (St. Charles)</t>
  </si>
  <si>
    <t xml:space="preserve"> St Charles</t>
  </si>
  <si>
    <t>Arizona School For The Arts</t>
  </si>
  <si>
    <t>Unnamed Road, St Charles, MO 63304, USA</t>
  </si>
  <si>
    <t>Asu Preparatory Academy- Phoenix High School</t>
  </si>
  <si>
    <t>Har-Ber (Springdale)</t>
  </si>
  <si>
    <t xml:space="preserve"> Springdale</t>
  </si>
  <si>
    <t>Barry Goldwater High School</t>
  </si>
  <si>
    <t>300 Jones Rd, Springdale, AR 72762, USA</t>
  </si>
  <si>
    <t>Flushing, NY</t>
  </si>
  <si>
    <t>Basis Phoenix</t>
  </si>
  <si>
    <t>Camelback High School</t>
  </si>
  <si>
    <t>Wildwood Catholic (North Wildwood)</t>
  </si>
  <si>
    <t xml:space="preserve"> North Wildwood</t>
  </si>
  <si>
    <t>1500 Central Ave, North Wildwood, NJ 08260, USA</t>
  </si>
  <si>
    <t>Canyon View Prep Academy</t>
  </si>
  <si>
    <t>Career Success High School - Glendale</t>
  </si>
  <si>
    <t>Catholic-B.R. (Baton Rouge)</t>
  </si>
  <si>
    <t>Career Success High School - Main Campus</t>
  </si>
  <si>
    <t>1800 S Acadian Thruway, Baton Rouge, LA 70808, USA</t>
  </si>
  <si>
    <t>Carl Hayden High School</t>
  </si>
  <si>
    <t>Green Tech (Albany)</t>
  </si>
  <si>
    <t>99 Slingerland St, Albany, NY 12202, USA</t>
  </si>
  <si>
    <t>Continued Hope High Schools</t>
  </si>
  <si>
    <t>Basehor-Linwood (Basehor)</t>
  </si>
  <si>
    <t>Cortez High School</t>
  </si>
  <si>
    <t xml:space="preserve"> Bonner Springs</t>
  </si>
  <si>
    <t>16244 Metropolitan Ave, Bonner Springs, KS 66012, USA</t>
  </si>
  <si>
    <t>Crestview College Preparatory High School</t>
  </si>
  <si>
    <t>Crown Point High School</t>
  </si>
  <si>
    <t>Central (Little Rock)</t>
  </si>
  <si>
    <t>Deer Valley Academy</t>
  </si>
  <si>
    <t>1500 S Park St, Little Rock, AR 72202, USA</t>
  </si>
  <si>
    <t>Deer Valley Online Learning Program</t>
  </si>
  <si>
    <t>Kankakee</t>
  </si>
  <si>
    <t xml:space="preserve"> Kankakee</t>
  </si>
  <si>
    <t>Desert Vista High School</t>
  </si>
  <si>
    <t>388 E Court St, Kankakee, IL 60901, USA</t>
  </si>
  <si>
    <t>Franklin Police And Fire High School</t>
  </si>
  <si>
    <t>Gateway Early College High School</t>
  </si>
  <si>
    <t>Mansfield</t>
  </si>
  <si>
    <t xml:space="preserve"> Mansfield</t>
  </si>
  <si>
    <t>Genesis Academy</t>
  </si>
  <si>
    <t>172 N Main St, Mansfield, MA 02048, USA</t>
  </si>
  <si>
    <t>Girls Leadership Academy Of Arizona</t>
  </si>
  <si>
    <t>Glenview College Preparatory High School</t>
  </si>
  <si>
    <t>Taft, CA</t>
  </si>
  <si>
    <t>Great Hearts Academyemies - Arete Prep</t>
  </si>
  <si>
    <t>Lamar (Arlington)</t>
  </si>
  <si>
    <t>Great Hearts Academyemies - Cicero Prep</t>
  </si>
  <si>
    <t>1224 E Lamar Blvd, Arlington, TX 76011, USA</t>
  </si>
  <si>
    <t>Great Hearts Academyemies - Glendale Prep</t>
  </si>
  <si>
    <t>Great Hearts Academyemies - Scottsdale Prep</t>
  </si>
  <si>
    <t>Barlow (Gresham)</t>
  </si>
  <si>
    <t xml:space="preserve"> Gresham</t>
  </si>
  <si>
    <t>Great Hearts Academyemies - Trivium Prep</t>
  </si>
  <si>
    <t>1331 NW Eastman Pkwy, Gresham, OR 97030, USA</t>
  </si>
  <si>
    <t>Great Hearts Academyemies - Veritas Prep</t>
  </si>
  <si>
    <t>Greenway High School</t>
  </si>
  <si>
    <t>Fairmont Prep (Anaheim)</t>
  </si>
  <si>
    <t>Hope College And Career Readiness Academy</t>
  </si>
  <si>
    <t xml:space="preserve"> Anaheim</t>
  </si>
  <si>
    <t>2200 W Sequoia Ave, Anaheim, CA 92801, USA</t>
  </si>
  <si>
    <t>Hope High School</t>
  </si>
  <si>
    <t>Hope High School Online</t>
  </si>
  <si>
    <t>Dwyer (Palm Beach Gardens)</t>
  </si>
  <si>
    <t xml:space="preserve"> Palm Beach Gardens</t>
  </si>
  <si>
    <t>Horizon Honors Secondary School</t>
  </si>
  <si>
    <t>13601 N Military Trl, Palm Beach Gardens, FL 33418, USA</t>
  </si>
  <si>
    <t>Humanities And Sciences High School - Phoenix</t>
  </si>
  <si>
    <t>Imagine Prep Surprise</t>
  </si>
  <si>
    <t>Science Hill (Johnson City)</t>
  </si>
  <si>
    <t xml:space="preserve"> Johnson City</t>
  </si>
  <si>
    <t>1509 John Exum Pkwy, Johnson City, TN 37604, USA</t>
  </si>
  <si>
    <t>Intelli-School - Metro Center</t>
  </si>
  <si>
    <t>Intelli-School - Paradise Valley</t>
  </si>
  <si>
    <t>Life Christian Academy (Chester)</t>
  </si>
  <si>
    <t xml:space="preserve"> Colonial Heights</t>
  </si>
  <si>
    <t>Intelli-School Glendale</t>
  </si>
  <si>
    <t>16801 Harrowgate Rd, Colonial Heights, VA 23834, USA</t>
  </si>
  <si>
    <t>International Commerce High School - Phoenix</t>
  </si>
  <si>
    <t>Kaizen Education Foundation Dba Maya High School</t>
  </si>
  <si>
    <t>Eagle's Landing (McDonough)</t>
  </si>
  <si>
    <t xml:space="preserve"> McDonough</t>
  </si>
  <si>
    <t>Kaizen Education Foundation Dba Quest High School</t>
  </si>
  <si>
    <t>Grand Junction, CO</t>
  </si>
  <si>
    <t>50 Kelly Rd, McDonough, GA 30253, USA</t>
  </si>
  <si>
    <t>Kaizen Education Foundation Dba Summit High School</t>
  </si>
  <si>
    <t>Learning Institute  The</t>
  </si>
  <si>
    <t>Chattahoochee (Alpharetta)</t>
  </si>
  <si>
    <t>Linda Abril Educational Academy</t>
  </si>
  <si>
    <t>3155 North Point Pkwy, Alpharetta, GA 30005, USA</t>
  </si>
  <si>
    <t>Madison High Schoolland Prep</t>
  </si>
  <si>
    <t>Valor Christian (Highlands Ranch)</t>
  </si>
  <si>
    <t>Maryvale High School</t>
  </si>
  <si>
    <t xml:space="preserve"> Highlands Ranch</t>
  </si>
  <si>
    <t>3775 E Grace Blvd, Highlands Ranch, CO 80126, USA</t>
  </si>
  <si>
    <t>Metropolitan Arts Institute</t>
  </si>
  <si>
    <t>Midtown High School</t>
  </si>
  <si>
    <t>Knoxville Catholic (Knoxville)</t>
  </si>
  <si>
    <t xml:space="preserve"> Knoxville</t>
  </si>
  <si>
    <t>Mission Heights Preparatory High School</t>
  </si>
  <si>
    <t>805 S Northshore Dr, Knoxville, TN 37919, USA</t>
  </si>
  <si>
    <t>Moon Valley High School</t>
  </si>
  <si>
    <t>Mount Tabor (Winston-Salem)</t>
  </si>
  <si>
    <t>Mountain Pointe High School</t>
  </si>
  <si>
    <t xml:space="preserve"> Winston-Salem</t>
  </si>
  <si>
    <t>200 Robinhood Medical Plaza, Winston-Salem, NC 27106, USA</t>
  </si>
  <si>
    <t>Nfl Yet College Prep Academy</t>
  </si>
  <si>
    <t>Union (Tulsa)</t>
  </si>
  <si>
    <t>North Canyon High School</t>
  </si>
  <si>
    <t>6636 S Mingo Rd, Tulsa, OK 74133, USA</t>
  </si>
  <si>
    <t>North High School</t>
  </si>
  <si>
    <t>North Pointe Preparatory</t>
  </si>
  <si>
    <t>Lincoln (Tallahassee)</t>
  </si>
  <si>
    <t>Ombudsman - Charter East</t>
  </si>
  <si>
    <t>Waconia, MN</t>
  </si>
  <si>
    <t>243 N Magnolia Dr, Tallahassee, FL 32301, USA</t>
  </si>
  <si>
    <t>Ombudsman - Charter East Ii</t>
  </si>
  <si>
    <t>Ombudsman - Charter West</t>
  </si>
  <si>
    <t>Paradise Valley High School</t>
  </si>
  <si>
    <t xml:space="preserve"> Decatur</t>
  </si>
  <si>
    <t>Pathways In Education</t>
  </si>
  <si>
    <t>2201 FM 51, Decatur, TX 76234, USA</t>
  </si>
  <si>
    <t>Phoenix Coding Academy</t>
  </si>
  <si>
    <t>Coronado (Henderson)</t>
  </si>
  <si>
    <t>Phoenix College Preparatory Academy</t>
  </si>
  <si>
    <t>1001 Coronado Center Dr, Henderson, NV 89052, USA</t>
  </si>
  <si>
    <t>Phoenix Union Bioscience High School</t>
  </si>
  <si>
    <t>Phoenix Union-Wilson College Preparatory</t>
  </si>
  <si>
    <t>Bishop McNamara (Forestville)</t>
  </si>
  <si>
    <t>Pillar Academy Of Business &amp; Finance</t>
  </si>
  <si>
    <t xml:space="preserve"> Forestville</t>
  </si>
  <si>
    <t>6800 Marlboro Pike, Forestville, MD 20747, USA</t>
  </si>
  <si>
    <t>Pillar Academy Online</t>
  </si>
  <si>
    <t>Pinnacle High School</t>
  </si>
  <si>
    <t>Staley (Kansas City)</t>
  </si>
  <si>
    <t xml:space="preserve"> Kansas City</t>
  </si>
  <si>
    <t>Pinnacle High School - Casa Grande</t>
  </si>
  <si>
    <t>2800 NE Shoal Creek Pkwy, Kansas City, MO 64156, USA</t>
  </si>
  <si>
    <t>Sutton</t>
  </si>
  <si>
    <t xml:space="preserve"> Sutton</t>
  </si>
  <si>
    <t>4 Uxbridge Rd, Sutton, MA 01590, USA</t>
  </si>
  <si>
    <t>Heritage Hall (Oklahoma City)</t>
  </si>
  <si>
    <t>Precision Academy</t>
  </si>
  <si>
    <t>1800 NW 122nd St, Oklahoma City, OK 73120, USA</t>
  </si>
  <si>
    <t>Los Angeles, CA</t>
  </si>
  <si>
    <t>Premier Charter High School</t>
  </si>
  <si>
    <t>PuHigh Schoold Distance-Learning School</t>
  </si>
  <si>
    <t>Frenship (Wolfforth)</t>
  </si>
  <si>
    <t xml:space="preserve"> Lubbock</t>
  </si>
  <si>
    <t>Research Blvd, Lubbock, TX 79407, USA</t>
  </si>
  <si>
    <t>Rcb Medical Arts Academy</t>
  </si>
  <si>
    <t>Rsd High School</t>
  </si>
  <si>
    <t>Amarillo</t>
  </si>
  <si>
    <t xml:space="preserve"> Amarillo</t>
  </si>
  <si>
    <t>Shadow Mountain High School</t>
  </si>
  <si>
    <t>307 I-40BL, Amarillo, TX 79107, USA</t>
  </si>
  <si>
    <t>Skyline Prep High School</t>
  </si>
  <si>
    <t>South Mountain High School</t>
  </si>
  <si>
    <t>Harrison Central (Gulfport)</t>
  </si>
  <si>
    <t xml:space="preserve"> Gulfport</t>
  </si>
  <si>
    <t>15600 School Rd, Gulfport, MS 39503, USA</t>
  </si>
  <si>
    <t>South Pointe High School</t>
  </si>
  <si>
    <t>South Ridge High School</t>
  </si>
  <si>
    <t>St. Joseph Regional (Montvale)</t>
  </si>
  <si>
    <t>Southwest Leadership Academy</t>
  </si>
  <si>
    <t xml:space="preserve"> Montvale</t>
  </si>
  <si>
    <t>40 Chestnut Ridge Rd, Montvale, NJ 07645, USA</t>
  </si>
  <si>
    <t>Sunnyslope High School</t>
  </si>
  <si>
    <t>Sweetwater Community School</t>
  </si>
  <si>
    <t>Southmoore (Moore)</t>
  </si>
  <si>
    <t xml:space="preserve"> Moore</t>
  </si>
  <si>
    <t>2901 S Santa Fe Ave, Moore, OK 73170, USA</t>
  </si>
  <si>
    <t>System Phoenix</t>
  </si>
  <si>
    <t>Think Through Academy</t>
  </si>
  <si>
    <t>Minnesota Prep Academy (Brooklyn Park)</t>
  </si>
  <si>
    <t>Thunderbird High School</t>
  </si>
  <si>
    <t>Trevor Browne High School</t>
  </si>
  <si>
    <t>Rogers</t>
  </si>
  <si>
    <t xml:space="preserve"> Rogers</t>
  </si>
  <si>
    <t>Victory High School - Campus</t>
  </si>
  <si>
    <t>214 W Elm St, Rogers, AR 72756, USA</t>
  </si>
  <si>
    <t>Washington High School</t>
  </si>
  <si>
    <t>Searcy, AR</t>
  </si>
  <si>
    <t>West Phoenix High School</t>
  </si>
  <si>
    <t>Kennedy (Paterson)</t>
  </si>
  <si>
    <t xml:space="preserve"> Paterson</t>
  </si>
  <si>
    <t>Western School Of Science And Technology</t>
  </si>
  <si>
    <t>61 Preakness Ave, Paterson, NJ 07522, USA</t>
  </si>
  <si>
    <t>Gila Valley Learning Center</t>
  </si>
  <si>
    <t>Pima</t>
  </si>
  <si>
    <t>Pima High School</t>
  </si>
  <si>
    <t>North Crowley (Fort Worth)</t>
  </si>
  <si>
    <t xml:space="preserve"> Fort Worth</t>
  </si>
  <si>
    <t>2701, 9100 S Hulen St, Fort Worth, TX 76123, USA</t>
  </si>
  <si>
    <t>Pinon High School</t>
  </si>
  <si>
    <t>Pinon</t>
  </si>
  <si>
    <t>Aspire  High School</t>
  </si>
  <si>
    <t>Northpoint Expeditionary Learning Academy</t>
  </si>
  <si>
    <t>Pacifica Christian/Orange County (Newport Beach)</t>
  </si>
  <si>
    <t xml:space="preserve"> Newport Beach</t>
  </si>
  <si>
    <t>883 W 15th St, Newport Beach, CA 92663, USA</t>
  </si>
  <si>
    <t>Prescott High School</t>
  </si>
  <si>
    <t>Tri-City College Prep High School</t>
  </si>
  <si>
    <t>Impact Christian Academy (Jacksonville)</t>
  </si>
  <si>
    <t>Bradshaw Mountain High School</t>
  </si>
  <si>
    <t>8985 Lone Star Rd, Jacksonville, FL 32211, USA</t>
  </si>
  <si>
    <t>Bradshaw Mountain Online Academy</t>
  </si>
  <si>
    <t>Pace Preparatory Academy</t>
  </si>
  <si>
    <t>Simon Gratz (Philadelphia)</t>
  </si>
  <si>
    <t>1798 W Hunting Park Ave, Philadelphia, PA 19140, USA</t>
  </si>
  <si>
    <t>Yavapai County High School</t>
  </si>
  <si>
    <t>Benjamin Franklin High School</t>
  </si>
  <si>
    <t>Queen Creek</t>
  </si>
  <si>
    <t>Dr. Camille Casteel High School</t>
  </si>
  <si>
    <t>Lake Oswego</t>
  </si>
  <si>
    <t xml:space="preserve"> Lake Oswego</t>
  </si>
  <si>
    <t>P. O. Box 2302, 15875 Boones Ferry Rd, Lake Oswego, OR 97035, USA</t>
  </si>
  <si>
    <t>Queen Creek High School</t>
  </si>
  <si>
    <t>San Tan Foothills High School</t>
  </si>
  <si>
    <t>Bishop Carroll (Wichita)</t>
  </si>
  <si>
    <t>Rio Rico High School</t>
  </si>
  <si>
    <t>Rio Rico</t>
  </si>
  <si>
    <t>8101 W Central Ave, Wichita, KS 67212, USA</t>
  </si>
  <si>
    <t>Houghton Lake, MI</t>
  </si>
  <si>
    <t>Henry Dunkerson Pathways Academy</t>
  </si>
  <si>
    <t>Safford</t>
  </si>
  <si>
    <t>Mt Graham High School</t>
  </si>
  <si>
    <t>Blackman (Murfreesboro)</t>
  </si>
  <si>
    <t xml:space="preserve"> Murfreesboro</t>
  </si>
  <si>
    <t>3956 Blaze Dr, Murfreesboro, TN 37128, USA</t>
  </si>
  <si>
    <t>Safford High School</t>
  </si>
  <si>
    <t>Sahuarita High School</t>
  </si>
  <si>
    <t>Sahuarita</t>
  </si>
  <si>
    <t>South Salem (Salem)</t>
  </si>
  <si>
    <t xml:space="preserve"> Salem</t>
  </si>
  <si>
    <t>945 Downs St S, Salem, OR 97302, USA</t>
  </si>
  <si>
    <t>Walden Grove High School</t>
  </si>
  <si>
    <t>St David High School</t>
  </si>
  <si>
    <t>Saint David</t>
  </si>
  <si>
    <t>St. Johns Learning Center</t>
  </si>
  <si>
    <t>Hesperia</t>
  </si>
  <si>
    <t>Saint Johns</t>
  </si>
  <si>
    <t xml:space="preserve"> Hesperia</t>
  </si>
  <si>
    <t>9646 Hesperia Rd, Hesperia, CA 92345, USA</t>
  </si>
  <si>
    <t>Salome High School</t>
  </si>
  <si>
    <t>Salome</t>
  </si>
  <si>
    <t>San Carlos High School</t>
  </si>
  <si>
    <t>San Carlos</t>
  </si>
  <si>
    <t>Oak Grove (Hattiesburg)</t>
  </si>
  <si>
    <t xml:space="preserve"> Hattiesburg</t>
  </si>
  <si>
    <t>San Carlos Unified School District #20 Alternative Center</t>
  </si>
  <si>
    <t>34 Warrior Dr, Hattiesburg, MS 39402, USA</t>
  </si>
  <si>
    <t>San Luis High School</t>
  </si>
  <si>
    <t>San Luis</t>
  </si>
  <si>
    <t>San Manuel High School</t>
  </si>
  <si>
    <t>Lake Highland Prep (Orlando)</t>
  </si>
  <si>
    <t>San Manuel</t>
  </si>
  <si>
    <t>901 Highland Ave, Orlando, FL 32803, USA</t>
  </si>
  <si>
    <t>Combs High School</t>
  </si>
  <si>
    <t>San Tan Valley</t>
  </si>
  <si>
    <t>Sanders</t>
  </si>
  <si>
    <t>San Joaquin Memorial (Fresno)</t>
  </si>
  <si>
    <t>Basis Goodyear</t>
  </si>
  <si>
    <t>Scottsdale</t>
  </si>
  <si>
    <t>1406 N Fresno St, Fresno, CA 93703, USA</t>
  </si>
  <si>
    <t>Chaparral High School</t>
  </si>
  <si>
    <t>Coronado High School</t>
  </si>
  <si>
    <t>Whitney (Rocklin)</t>
  </si>
  <si>
    <t xml:space="preserve"> Rocklin</t>
  </si>
  <si>
    <t>Brooklyn, NY</t>
  </si>
  <si>
    <t>3810 Whitney Oaks Dr, Rocklin, CA 95765, USA</t>
  </si>
  <si>
    <t>Desert Mountain High School</t>
  </si>
  <si>
    <t>Foothills Academy Connected</t>
  </si>
  <si>
    <t>Chesterton</t>
  </si>
  <si>
    <t xml:space="preserve"> Chesterton</t>
  </si>
  <si>
    <t>Horizon High School</t>
  </si>
  <si>
    <t>unnamed road, Chesterton, IN 46304, USA</t>
  </si>
  <si>
    <t>Saguaro High School</t>
  </si>
  <si>
    <t>Salt River Accelerated Learning Academy</t>
  </si>
  <si>
    <t>Waterloo West (Waterloo)</t>
  </si>
  <si>
    <t xml:space="preserve"> Waterloo</t>
  </si>
  <si>
    <t>425 E Ridgeway Ave, Waterloo, IA 50702, USA</t>
  </si>
  <si>
    <t>Salt River High School</t>
  </si>
  <si>
    <t>Red Rock Academy</t>
  </si>
  <si>
    <t xml:space="preserve"> Piedmont</t>
  </si>
  <si>
    <t>Sedona</t>
  </si>
  <si>
    <t>342 Highland Ave, Piedmont, CA 94611, USA</t>
  </si>
  <si>
    <t>Sedona Red Rock Junior/Senior High School</t>
  </si>
  <si>
    <t>Lumberton</t>
  </si>
  <si>
    <t xml:space="preserve"> Lumberton</t>
  </si>
  <si>
    <t>Seligman High School</t>
  </si>
  <si>
    <t>Seligman</t>
  </si>
  <si>
    <t>209 N Elm St, Lumberton, NC 28358, USA</t>
  </si>
  <si>
    <t>Alternative High School (Indian Oasis High School)</t>
  </si>
  <si>
    <t>Sells</t>
  </si>
  <si>
    <t>Baboquivari High School</t>
  </si>
  <si>
    <t>Boyden-Hull (Hull)</t>
  </si>
  <si>
    <t xml:space="preserve"> Hull</t>
  </si>
  <si>
    <t>801 1st St, Hull, IA 51239, USA</t>
  </si>
  <si>
    <t>Shonto Preparatory Technology High School</t>
  </si>
  <si>
    <t>Shonto</t>
  </si>
  <si>
    <t>Show Low High School</t>
  </si>
  <si>
    <t>Show Low</t>
  </si>
  <si>
    <t>White Mountain Institute</t>
  </si>
  <si>
    <t>Millard North (Omaha)</t>
  </si>
  <si>
    <t>Wmi On Line</t>
  </si>
  <si>
    <t>1010 S 144th St, Omaha, NE 68154, USA</t>
  </si>
  <si>
    <t>Buena High School</t>
  </si>
  <si>
    <t>Sierra Vista</t>
  </si>
  <si>
    <t>Center For Academyemic Success  The #1</t>
  </si>
  <si>
    <t>Central York (York)</t>
  </si>
  <si>
    <t xml:space="preserve"> York</t>
  </si>
  <si>
    <t>Sierra Vista Online</t>
  </si>
  <si>
    <t>775 Marion Rd, York, PA 17406, USA</t>
  </si>
  <si>
    <t>Snowflake High School</t>
  </si>
  <si>
    <t>Snowflake</t>
  </si>
  <si>
    <t>Natchitoches Central (Natchitoches)</t>
  </si>
  <si>
    <t xml:space="preserve"> Natchitoches</t>
  </si>
  <si>
    <t>Round Valley High School</t>
  </si>
  <si>
    <t>Springerville</t>
  </si>
  <si>
    <t>6587 LA-1 Bypass, Natchitoches, LA 71457, USA</t>
  </si>
  <si>
    <t>White Mountain Academy</t>
  </si>
  <si>
    <t>St Johns High School</t>
  </si>
  <si>
    <t>Memorial (Tulsa)</t>
  </si>
  <si>
    <t>St Johns</t>
  </si>
  <si>
    <t>10506 S Memorial Dr, Tulsa, OK 74133, USA</t>
  </si>
  <si>
    <t>Superior Junior/Senior High School</t>
  </si>
  <si>
    <t>Superior</t>
  </si>
  <si>
    <t>Dysart Ischool</t>
  </si>
  <si>
    <t>Surprise</t>
  </si>
  <si>
    <t>Hutto</t>
  </si>
  <si>
    <t xml:space="preserve"> Hutto</t>
  </si>
  <si>
    <t>Paradise Honors High School</t>
  </si>
  <si>
    <t>612 US-79, Hutto, TX 78634, USA</t>
  </si>
  <si>
    <t>Shadow Ridge High School</t>
  </si>
  <si>
    <t>Valley Vista High School</t>
  </si>
  <si>
    <t>Mansfield Legacy (Mansfield)</t>
  </si>
  <si>
    <t>1263 N Main St, Mansfield, TX 76063, USA</t>
  </si>
  <si>
    <t>Willow Canyon High School</t>
  </si>
  <si>
    <t>Rogers (Toledo)</t>
  </si>
  <si>
    <t>Northern Az Academy For Career Dev. - Taylor</t>
  </si>
  <si>
    <t xml:space="preserve"> Toledo</t>
  </si>
  <si>
    <t>Taylor</t>
  </si>
  <si>
    <t>222 McTigue Dr, Toledo, OH 43615, USA</t>
  </si>
  <si>
    <t>Red Mesa High School</t>
  </si>
  <si>
    <t>Teec Nos Pos</t>
  </si>
  <si>
    <t>Red Valley/Cove High School</t>
  </si>
  <si>
    <t>North Florida Educational Institute (Jacksonville)</t>
  </si>
  <si>
    <t>Asu Preparatory Academy Digital</t>
  </si>
  <si>
    <t>Tempe</t>
  </si>
  <si>
    <t>580 Lawton Ave, Jacksonville, FL 32208, USA</t>
  </si>
  <si>
    <t>Asu Preparatory Academy Tempe</t>
  </si>
  <si>
    <t>Compadre High School</t>
  </si>
  <si>
    <t>Blazer (Ashland)</t>
  </si>
  <si>
    <t xml:space="preserve"> Ashland</t>
  </si>
  <si>
    <t>Corona Del Sol High School</t>
  </si>
  <si>
    <t>1624 Carter Ave, Ashland, KY 41101, USA</t>
  </si>
  <si>
    <t>Edoptions High School Learning Center</t>
  </si>
  <si>
    <t>Norfolk Collegiate (Norfolk)</t>
  </si>
  <si>
    <t>Athens, AL</t>
  </si>
  <si>
    <t>Edoptions Preparatory Academy</t>
  </si>
  <si>
    <t>7312 Granby St, Norfolk, VA 23505, USA</t>
  </si>
  <si>
    <t>Humanities And Science High School - Tempe</t>
  </si>
  <si>
    <t>Wilson (Tacoma)</t>
  </si>
  <si>
    <t>Humanities And Sciences Academy Arizona</t>
  </si>
  <si>
    <t xml:space="preserve"> Tacoma</t>
  </si>
  <si>
    <t>1202 N Orchard St, Tacoma, WA 98406, USA</t>
  </si>
  <si>
    <t>International Commerce High School - Tempe</t>
  </si>
  <si>
    <t>James Madison Preparatory School</t>
  </si>
  <si>
    <t>Thomas Worthington (Worthington)</t>
  </si>
  <si>
    <t xml:space="preserve"> Worthington</t>
  </si>
  <si>
    <t>Marcos De Niza High School</t>
  </si>
  <si>
    <t>300 W Dublin Granville Rd, Worthington, OH 43085, USA</t>
  </si>
  <si>
    <t>Mcclintock High School</t>
  </si>
  <si>
    <t>East (Anchorage)</t>
  </si>
  <si>
    <t xml:space="preserve"> Anchorage</t>
  </si>
  <si>
    <t>New School For The Arts</t>
  </si>
  <si>
    <t>E Street &amp; 10th Avenue NNW, Anchorage, AK 99501, USA</t>
  </si>
  <si>
    <t>Ombudsman - Charter Northeast</t>
  </si>
  <si>
    <t>John Hardin (Elizabethtown)</t>
  </si>
  <si>
    <t xml:space="preserve"> Elizabethtown</t>
  </si>
  <si>
    <t>Phoenix Collegiate Academy High School</t>
  </si>
  <si>
    <t>384 W A Jenkins Rd, Elizabethtown, KY 42701, USA</t>
  </si>
  <si>
    <t>Henry Clay (Lexington)</t>
  </si>
  <si>
    <t>Pinnacle High School - Tempe</t>
  </si>
  <si>
    <t>1302 Fincastle Rd, Lexington, KY 40502, USA</t>
  </si>
  <si>
    <t>Pinnacle Online High School</t>
  </si>
  <si>
    <t>St. Andrew's Episcopal (Potomac)</t>
  </si>
  <si>
    <t xml:space="preserve"> Potomac</t>
  </si>
  <si>
    <t>8804 Postoak Rd, Potomac, MD 20854, USA</t>
  </si>
  <si>
    <t>Tapbi</t>
  </si>
  <si>
    <t>White Station (Memphis)</t>
  </si>
  <si>
    <t>Tempe High School</t>
  </si>
  <si>
    <t>5469 Fiesta Dr, Memphis, TN 38120, USA</t>
  </si>
  <si>
    <t>Tempe Preparatory Academy</t>
  </si>
  <si>
    <t>Cleveland Central Catholic (Cleveland)</t>
  </si>
  <si>
    <t>Valley Preparatory Academy</t>
  </si>
  <si>
    <t>6550 Baxter Ave, Cleveland, OH 44105, USA</t>
  </si>
  <si>
    <t>Thatcher High School</t>
  </si>
  <si>
    <t>Thatcher</t>
  </si>
  <si>
    <t>Flora (Columbia)</t>
  </si>
  <si>
    <t>Sierra Linda High School</t>
  </si>
  <si>
    <t>Tolleson</t>
  </si>
  <si>
    <t>4453 Devine St, Columbia, SC 29205, USA</t>
  </si>
  <si>
    <t>Tolleson Union High School</t>
  </si>
  <si>
    <t>University High School</t>
  </si>
  <si>
    <t>East St. Louis</t>
  </si>
  <si>
    <t xml:space="preserve"> East St Louis</t>
  </si>
  <si>
    <t>1000-1008 Martin Luther King Dr, East St Louis, IL 62201, USA</t>
  </si>
  <si>
    <t>Tombstone High School</t>
  </si>
  <si>
    <t>Tombstone</t>
  </si>
  <si>
    <t>Francis Parker (San Diego)</t>
  </si>
  <si>
    <t>Tonopah Valley High School</t>
  </si>
  <si>
    <t>Tonopah</t>
  </si>
  <si>
    <t>6501 Linda Vista Rd, San Diego, CA 92111, USA</t>
  </si>
  <si>
    <t>Tuba City High School</t>
  </si>
  <si>
    <t>Tuba City</t>
  </si>
  <si>
    <t>St. Xavier (Cincinnati)</t>
  </si>
  <si>
    <t>600 W North Bend Rd, Cincinnati, OH 45224, USA</t>
  </si>
  <si>
    <t>Academy Of Tucson High School</t>
  </si>
  <si>
    <t>Tucson</t>
  </si>
  <si>
    <t>Agave Middle And High School</t>
  </si>
  <si>
    <t>Bolingbrook</t>
  </si>
  <si>
    <t xml:space="preserve"> Bolingbrook</t>
  </si>
  <si>
    <t>Rte 53 &amp; Briarcliff Rd, Bolingbrook, IL 60440, USA</t>
  </si>
  <si>
    <t>Alta Vista High School</t>
  </si>
  <si>
    <t>Amphitheater High School</t>
  </si>
  <si>
    <t>Arizona College Prep Academy</t>
  </si>
  <si>
    <t>Santa Fe Christian (Solana Beach)</t>
  </si>
  <si>
    <t xml:space="preserve"> Solana Beach</t>
  </si>
  <si>
    <t>838 Academy Dr, Solana Beach, CA 92075, USA</t>
  </si>
  <si>
    <t>Basis Tucson North</t>
  </si>
  <si>
    <t>Canyon Rose Academy-East</t>
  </si>
  <si>
    <t>698 US-1, York, ME 03909, USA</t>
  </si>
  <si>
    <t>Catalina Foothills High School</t>
  </si>
  <si>
    <t>Teays Valley Christian Prep (Scott Depot)</t>
  </si>
  <si>
    <t xml:space="preserve"> Scott Depot</t>
  </si>
  <si>
    <t>Catalina High School</t>
  </si>
  <si>
    <t>6562 Teays Valley Road, Scott Depot, WV 25560, USA</t>
  </si>
  <si>
    <t>Changemaker High School</t>
  </si>
  <si>
    <t>Windermere</t>
  </si>
  <si>
    <t xml:space="preserve"> Windermere</t>
  </si>
  <si>
    <t>503b Main St, Windermere, FL 34786, USA</t>
  </si>
  <si>
    <t>Cholla High School</t>
  </si>
  <si>
    <t>City High School</t>
  </si>
  <si>
    <t>Park Vista (Lake Worth)</t>
  </si>
  <si>
    <t xml:space="preserve"> Lake Worth</t>
  </si>
  <si>
    <t>7900 Jog Rd, Lake Worth, FL 33463, USA</t>
  </si>
  <si>
    <t>Compass High School</t>
  </si>
  <si>
    <t>Copper Point High School</t>
  </si>
  <si>
    <t>Boardman (Youngstown)</t>
  </si>
  <si>
    <t xml:space="preserve"> Youngstown</t>
  </si>
  <si>
    <t>Desert View High School</t>
  </si>
  <si>
    <t>W Boardman St &amp; S Hazel St, Youngstown, OH 44503, USA</t>
  </si>
  <si>
    <t>Eastpointe High School</t>
  </si>
  <si>
    <t>Edge High School - Northwest</t>
  </si>
  <si>
    <t>Legacy Christian Academy (Frisco)</t>
  </si>
  <si>
    <t xml:space="preserve"> Frisco</t>
  </si>
  <si>
    <t>Empire High School</t>
  </si>
  <si>
    <t>6525 Fighting Eagles Ln, Frisco, TX 75034, USA</t>
  </si>
  <si>
    <t>Envision High School</t>
  </si>
  <si>
    <t>Flowing Wells Digital Campus</t>
  </si>
  <si>
    <t>Calvary Christian Academy (Fort Lauderdale)</t>
  </si>
  <si>
    <t>2401 W Cypress Creek Rd, Fort Lauderdale, FL 33309, USA</t>
  </si>
  <si>
    <t>Flowing Wells High School</t>
  </si>
  <si>
    <t>Ha:San Preparatory &amp; Leadership School</t>
  </si>
  <si>
    <t>Tucker</t>
  </si>
  <si>
    <t xml:space="preserve"> Tucker</t>
  </si>
  <si>
    <t>4983 Lavista Rd, Tucker, GA 30084, USA</t>
  </si>
  <si>
    <t>St. Charles North (St. Charles)</t>
  </si>
  <si>
    <t xml:space="preserve"> St. Charles</t>
  </si>
  <si>
    <t>Ombudsman - Charter Valencia</t>
  </si>
  <si>
    <t>225 Red Gate Rd, St. Charles, IL 60175, USA</t>
  </si>
  <si>
    <t>Palo Verde High School Magnet School</t>
  </si>
  <si>
    <t>896 W Lawson St, Fayetteville, AR 72703, USA</t>
  </si>
  <si>
    <t>Pima Partnership School  The</t>
  </si>
  <si>
    <t>Pima Prevention Partnership-Tucson</t>
  </si>
  <si>
    <t>Provo, UT</t>
  </si>
  <si>
    <t>Sky View (Smithfield)</t>
  </si>
  <si>
    <t xml:space="preserve"> Smithfield</t>
  </si>
  <si>
    <t>520 S 250 E, Smithfield, UT 84335, USA</t>
  </si>
  <si>
    <t>Pima Vocational High School</t>
  </si>
  <si>
    <t>Ppep Tec - Alice S. Paul Learning Center</t>
  </si>
  <si>
    <t>Edmondson-Westside (Baltimore)</t>
  </si>
  <si>
    <t>Ppep Tec - Celestino Fernandez Learning Center</t>
  </si>
  <si>
    <t>501 N Athol Ave, Baltimore, MD 21229, USA</t>
  </si>
  <si>
    <t>Ppep Tec - Cesar Chavez Learning Center</t>
  </si>
  <si>
    <t>Ppep Tec - Colin L. Powell Learning Center</t>
  </si>
  <si>
    <t>Waukee</t>
  </si>
  <si>
    <t xml:space="preserve"> Waukee</t>
  </si>
  <si>
    <t>243-299 6th St, Waukee, IA 50263, USA</t>
  </si>
  <si>
    <t>Ppep Tec - Jose Yepez Learning Center</t>
  </si>
  <si>
    <t>Ppep Tec - Raul H. Castro Learning Center</t>
  </si>
  <si>
    <t>Pueblo High School</t>
  </si>
  <si>
    <t>Ardrey Kell (Charlotte)</t>
  </si>
  <si>
    <t>10220 Ardrey Kell Rd, Charlotte, NC 28277, USA</t>
  </si>
  <si>
    <t>Rincon High School</t>
  </si>
  <si>
    <t>Sabino High School</t>
  </si>
  <si>
    <t>Racine Case (Racine)</t>
  </si>
  <si>
    <t>Saca Online</t>
  </si>
  <si>
    <t>5729 Washington Ave, Racine, WI 53406, USA</t>
  </si>
  <si>
    <t>Sahuaro High School</t>
  </si>
  <si>
    <t>Santa Rita High School</t>
  </si>
  <si>
    <t>Onate (Las Cruces)</t>
  </si>
  <si>
    <t>5700 Mesa Grande Dr, Las Cruces, NM 88011, USA</t>
  </si>
  <si>
    <t>Sentinel Peak High School</t>
  </si>
  <si>
    <t>Sky Islands</t>
  </si>
  <si>
    <t>Granada (Livermore)</t>
  </si>
  <si>
    <t>Skyview High School</t>
  </si>
  <si>
    <t xml:space="preserve"> Livermore</t>
  </si>
  <si>
    <t>400 Wall St, Livermore, CA 94550, USA</t>
  </si>
  <si>
    <t>Athens, Greece</t>
  </si>
  <si>
    <t>Sonoran Science Academy - Davis Monthan</t>
  </si>
  <si>
    <t>Southern Arizona Community High School</t>
  </si>
  <si>
    <t>South Bend Adams (South Bend)</t>
  </si>
  <si>
    <t xml:space="preserve"> South Bend</t>
  </si>
  <si>
    <t>808 Twyckenham Dr, South Bend, IN 46615, USA</t>
  </si>
  <si>
    <t>Star Academyemic High School</t>
  </si>
  <si>
    <t>Sunnyside High School</t>
  </si>
  <si>
    <t>Bridgeport</t>
  </si>
  <si>
    <t xml:space="preserve"> Saginaw</t>
  </si>
  <si>
    <t>4293 Williamson Rd, Saginaw, MI 48601, USA</t>
  </si>
  <si>
    <t>Tanque Verde High School</t>
  </si>
  <si>
    <t>Toltecali High School</t>
  </si>
  <si>
    <t>Balboa School (Escondido)</t>
  </si>
  <si>
    <t xml:space="preserve"> Escondido</t>
  </si>
  <si>
    <t>Tucson Magnet High School</t>
  </si>
  <si>
    <t>855 Brotherton Rd, Escondido, CA 92025, USA</t>
  </si>
  <si>
    <t>Tucson Preparatory School</t>
  </si>
  <si>
    <t>Capital (Helena)</t>
  </si>
  <si>
    <t xml:space="preserve"> Helena</t>
  </si>
  <si>
    <t>1301 E 6th Ave, Helena, MT 59601, USA</t>
  </si>
  <si>
    <t>Vision Charter School</t>
  </si>
  <si>
    <t>Beverly Hills</t>
  </si>
  <si>
    <t>Youth Works Charter High School</t>
  </si>
  <si>
    <t xml:space="preserve"> Beverly Hills</t>
  </si>
  <si>
    <t>464 N Rexford Dr, Beverly Hills, CA 90210, USA</t>
  </si>
  <si>
    <t>Andrada Polytechnic High School</t>
  </si>
  <si>
    <t>Vail</t>
  </si>
  <si>
    <t>Cienega High School</t>
  </si>
  <si>
    <t>Myrtle Beach</t>
  </si>
  <si>
    <t xml:space="preserve"> Myrtle Beach</t>
  </si>
  <si>
    <t>Pantano High School</t>
  </si>
  <si>
    <t>400 N Kings Hwy, Myrtle Beach, SC 29577, USA</t>
  </si>
  <si>
    <t>Canyon View High School</t>
  </si>
  <si>
    <t>Waddell</t>
  </si>
  <si>
    <t>Antelope Union High School</t>
  </si>
  <si>
    <t>Wellton</t>
  </si>
  <si>
    <t>Cole (San Antonio)</t>
  </si>
  <si>
    <t>AuHigh School Online Academyamy</t>
  </si>
  <si>
    <t>4001 Winans Rd, San Antonio, TX 78234, USA</t>
  </si>
  <si>
    <t>Alchesay High School</t>
  </si>
  <si>
    <t>Whiteriver</t>
  </si>
  <si>
    <t>Wickenburg High School</t>
  </si>
  <si>
    <t>Wickenburg</t>
  </si>
  <si>
    <t>Village Christian (Sun Valley)</t>
  </si>
  <si>
    <t>Denham Springs, LA</t>
  </si>
  <si>
    <t xml:space="preserve"> Sun Valley</t>
  </si>
  <si>
    <t>Willcox High School</t>
  </si>
  <si>
    <t>10291 Village Ave, Sun Valley, CA 91352, USA</t>
  </si>
  <si>
    <t>Willcox</t>
  </si>
  <si>
    <t>Williams High School</t>
  </si>
  <si>
    <t>Williams</t>
  </si>
  <si>
    <t>Kickapoo (Springfield)</t>
  </si>
  <si>
    <t>Winkelman</t>
  </si>
  <si>
    <t>3710 S Jefferson Ave, Springfield, MO 65807, USA</t>
  </si>
  <si>
    <t>Winslow High School</t>
  </si>
  <si>
    <t>Winslow</t>
  </si>
  <si>
    <t>Young High School</t>
  </si>
  <si>
    <t>Young</t>
  </si>
  <si>
    <t>Lowville</t>
  </si>
  <si>
    <t xml:space="preserve"> Lowville</t>
  </si>
  <si>
    <t>Aztec High School</t>
  </si>
  <si>
    <t>Yuma</t>
  </si>
  <si>
    <t>5404 Shady Ave, Lowville, NY 13367, USA</t>
  </si>
  <si>
    <t>Carpe Diem Collegiate High School Dba Carpe Diem E-Learning</t>
  </si>
  <si>
    <t>Cibola High School</t>
  </si>
  <si>
    <t>Bakersfield Christian (Bakersfield)</t>
  </si>
  <si>
    <t xml:space="preserve"> Bakersfield</t>
  </si>
  <si>
    <t>Educational Opportunity Center</t>
  </si>
  <si>
    <t>12775 Stockdale Hwy, Bakersfield, CA 93314, USA</t>
  </si>
  <si>
    <t>Gila Ridge High School</t>
  </si>
  <si>
    <t>Ischool2020</t>
  </si>
  <si>
    <t>Huntington (Ferriday)</t>
  </si>
  <si>
    <t xml:space="preserve"> Ferriday</t>
  </si>
  <si>
    <t>Kofa High School</t>
  </si>
  <si>
    <t>1450 Huntington Stadium Fisherman S Dr, Ferriday, LA 71334, USA</t>
  </si>
  <si>
    <t>Yuma High School</t>
  </si>
  <si>
    <t>Yuma Online Distance Academy</t>
  </si>
  <si>
    <t>Cass Tech (Detroit)</t>
  </si>
  <si>
    <t>2501 2nd Ave, Detroit, MI 48201, USA</t>
  </si>
  <si>
    <t>Alma High School</t>
  </si>
  <si>
    <t>Alma</t>
  </si>
  <si>
    <t>Alpena High School</t>
  </si>
  <si>
    <t>Alpena</t>
  </si>
  <si>
    <t>Brentwood</t>
  </si>
  <si>
    <t xml:space="preserve"> Brentwood</t>
  </si>
  <si>
    <t>783 Suffolk Ave, Brentwood, NY 11717, USA</t>
  </si>
  <si>
    <t>Centerpoint High School</t>
  </si>
  <si>
    <t>Amity</t>
  </si>
  <si>
    <t>Arkadelphia High School</t>
  </si>
  <si>
    <t>Arkadelphia</t>
  </si>
  <si>
    <t>Waukesha, WI</t>
  </si>
  <si>
    <t>Armorel High School</t>
  </si>
  <si>
    <t>Catalina Foothills (Tucson)</t>
  </si>
  <si>
    <t>Armorel</t>
  </si>
  <si>
    <t>3525 N Hacienda Del Sol Rd, Tucson, AZ 85718, USA</t>
  </si>
  <si>
    <t>Ashdown High School</t>
  </si>
  <si>
    <t>Ashdown</t>
  </si>
  <si>
    <t>AZ Compass Prep (Chandler)</t>
  </si>
  <si>
    <t>Atkins High School</t>
  </si>
  <si>
    <t xml:space="preserve"> Chandler</t>
  </si>
  <si>
    <t>Atkins</t>
  </si>
  <si>
    <t>2020 N Arizona Ave UNIT 206, Chandler, AZ 85225, USA</t>
  </si>
  <si>
    <t>Augusta High School</t>
  </si>
  <si>
    <t>Bald Knob High School</t>
  </si>
  <si>
    <t>Bald Knob</t>
  </si>
  <si>
    <t>Timpview (Provo)</t>
  </si>
  <si>
    <t xml:space="preserve"> Provo</t>
  </si>
  <si>
    <t>Barton High School</t>
  </si>
  <si>
    <t>Barton</t>
  </si>
  <si>
    <t>3570 Timpview Dr, Provo, UT 84604, USA</t>
  </si>
  <si>
    <t>Batesville High School</t>
  </si>
  <si>
    <t>Batesville</t>
  </si>
  <si>
    <t>O'Connor (Helotes)</t>
  </si>
  <si>
    <t>SoutHigh Schoolide Charter High School</t>
  </si>
  <si>
    <t xml:space="preserve"> Helotes</t>
  </si>
  <si>
    <t>12221 Leslie Rd, Helotes, TX 78023, USA</t>
  </si>
  <si>
    <t>Bauxite High School</t>
  </si>
  <si>
    <t>Bauxite</t>
  </si>
  <si>
    <t>Miner Academy</t>
  </si>
  <si>
    <t>Byron Nelson (Trophy Club)</t>
  </si>
  <si>
    <t xml:space="preserve"> Roanoke</t>
  </si>
  <si>
    <t>Bay High School</t>
  </si>
  <si>
    <t>2775 Bobcat Blvd, Roanoke, TX 76262, USA</t>
  </si>
  <si>
    <t>Bay</t>
  </si>
  <si>
    <t>Bearden High School</t>
  </si>
  <si>
    <t>Bearden</t>
  </si>
  <si>
    <t>South Side High School</t>
  </si>
  <si>
    <t>Bee Branch</t>
  </si>
  <si>
    <t xml:space="preserve"> Carmel-By-The-Sea</t>
  </si>
  <si>
    <t>800 Ocean Ave, Carmel-By-The-Sea, CA 93923, USA</t>
  </si>
  <si>
    <t>Beebe High School</t>
  </si>
  <si>
    <t>Beebe</t>
  </si>
  <si>
    <t>Benton High School</t>
  </si>
  <si>
    <t>Benton</t>
  </si>
  <si>
    <t>Harmony Grove High School</t>
  </si>
  <si>
    <t>3420 Mayfield Rd, Cleveland Heights, OH 44118, USA</t>
  </si>
  <si>
    <t>Bentonville High School</t>
  </si>
  <si>
    <t>Bentonville</t>
  </si>
  <si>
    <t>Haas Hall Academy Bentonville</t>
  </si>
  <si>
    <t>Hill School (Pottstown)</t>
  </si>
  <si>
    <t xml:space="preserve"> Pottstown</t>
  </si>
  <si>
    <t>860 Beech St, Pottstown, PA 19464, USA</t>
  </si>
  <si>
    <t>Northwest Arkansas Classical Academy High School</t>
  </si>
  <si>
    <t>Loma Linda, CA</t>
  </si>
  <si>
    <t>Bergman High School</t>
  </si>
  <si>
    <t>Bergman</t>
  </si>
  <si>
    <t>Benet Academy (Lisle)</t>
  </si>
  <si>
    <t xml:space="preserve"> Lisle</t>
  </si>
  <si>
    <t>Berryville High School</t>
  </si>
  <si>
    <t>Berryville</t>
  </si>
  <si>
    <t>2200 Maple Ave, Lisle, IL 60532, USA</t>
  </si>
  <si>
    <t>Bigelow High School</t>
  </si>
  <si>
    <t>Bigelow</t>
  </si>
  <si>
    <t>Wyoming (Cincinnati)</t>
  </si>
  <si>
    <t>Bismarck High School</t>
  </si>
  <si>
    <t>Bismarck</t>
  </si>
  <si>
    <t>803 Oak Ave, Wyoming, OH 45215, USA</t>
  </si>
  <si>
    <t>Blevins High School</t>
  </si>
  <si>
    <t>Blevins</t>
  </si>
  <si>
    <t>Blytheville High School-A New Tech School</t>
  </si>
  <si>
    <t>South Granville (Creedmoor)</t>
  </si>
  <si>
    <t xml:space="preserve"> Creedmoor</t>
  </si>
  <si>
    <t>Gosnell High School</t>
  </si>
  <si>
    <t>701 Crescent Heights Dr, Creedmoor, NC 27522, USA</t>
  </si>
  <si>
    <t>Kipp Blytheville Collegiate High School</t>
  </si>
  <si>
    <t>Booneville High School</t>
  </si>
  <si>
    <t>Booneville</t>
  </si>
  <si>
    <t>Rock Bridge (Columbia)</t>
  </si>
  <si>
    <t>7953 Old Plank Rd S, Columbia, MO 65203, USA</t>
  </si>
  <si>
    <t>Bradford High School</t>
  </si>
  <si>
    <t>Bradford</t>
  </si>
  <si>
    <t>Bradley High School</t>
  </si>
  <si>
    <t>Bradley</t>
  </si>
  <si>
    <t>Kell (Marietta)</t>
  </si>
  <si>
    <t>County Line High School</t>
  </si>
  <si>
    <t>Branch</t>
  </si>
  <si>
    <t>4770 Lee Waters Rd, Marietta, GA 30066, USA</t>
  </si>
  <si>
    <t>Brinkley High School</t>
  </si>
  <si>
    <t>Brinkley</t>
  </si>
  <si>
    <t>Izard Co. Cons. High School</t>
  </si>
  <si>
    <t>Piper (Kansas City)</t>
  </si>
  <si>
    <t>Brockwell</t>
  </si>
  <si>
    <t>12152 Leavenworth Rd, Kansas City, KS 66109, USA</t>
  </si>
  <si>
    <t>Brookland High School</t>
  </si>
  <si>
    <t>Brookland</t>
  </si>
  <si>
    <t>Woodland, CA</t>
  </si>
  <si>
    <t>Bryant High School</t>
  </si>
  <si>
    <t>Bryant</t>
  </si>
  <si>
    <t>Sonora (La Habra)</t>
  </si>
  <si>
    <t>Cabot High School</t>
  </si>
  <si>
    <t xml:space="preserve"> La Habra</t>
  </si>
  <si>
    <t>Cabot</t>
  </si>
  <si>
    <t>401 S Palm St, La Habra, CA 90631, USA</t>
  </si>
  <si>
    <t>Calico Rock High School</t>
  </si>
  <si>
    <t>Calico Rock</t>
  </si>
  <si>
    <t>Camden Fairview High School</t>
  </si>
  <si>
    <t>Archbishop Carroll (Washington)</t>
  </si>
  <si>
    <t>4300 Harewood Rd NE, Washington, DC 20017, USA</t>
  </si>
  <si>
    <t>Carlisle High School</t>
  </si>
  <si>
    <t>Carlisle</t>
  </si>
  <si>
    <t>Mission Viejo</t>
  </si>
  <si>
    <t>Cave City High School Career &amp; Collegiate Preparatory School</t>
  </si>
  <si>
    <t>Cave City</t>
  </si>
  <si>
    <t>Marguerite-La Paz, Mission Viejo, CA, USA</t>
  </si>
  <si>
    <t>Cedarville High School</t>
  </si>
  <si>
    <t>Cedarville</t>
  </si>
  <si>
    <t>Nemo Vista High School</t>
  </si>
  <si>
    <t>DePaul College Prep (Chicago)</t>
  </si>
  <si>
    <t>Center Ridge</t>
  </si>
  <si>
    <t>3633 N California Ave, Chicago, IL 60618, USA</t>
  </si>
  <si>
    <t>Bentonville West High School</t>
  </si>
  <si>
    <t>Centerton</t>
  </si>
  <si>
    <t>Charleston High School</t>
  </si>
  <si>
    <t>Charleston</t>
  </si>
  <si>
    <t>Hortonville</t>
  </si>
  <si>
    <t>Cross Cnty High School A New Tech Sch</t>
  </si>
  <si>
    <t>Cherry Valley</t>
  </si>
  <si>
    <t xml:space="preserve"> Hortonville</t>
  </si>
  <si>
    <t>102 E Main St, Hortonville, WI 54944, USA</t>
  </si>
  <si>
    <t>Clarendon High School</t>
  </si>
  <si>
    <t>Clarendon</t>
  </si>
  <si>
    <t>Clarksville High School</t>
  </si>
  <si>
    <t>Clarksville</t>
  </si>
  <si>
    <t>Lincoln Park (Chicago)</t>
  </si>
  <si>
    <t>Clinton High School</t>
  </si>
  <si>
    <t>2399 N Lincoln Ave, Chicago, IL 60614, USA</t>
  </si>
  <si>
    <t>Clinton</t>
  </si>
  <si>
    <t>Westside High School</t>
  </si>
  <si>
    <t>Coal Hill</t>
  </si>
  <si>
    <t>Dougherty Valley (San Ramon)</t>
  </si>
  <si>
    <t xml:space="preserve"> San Ramon</t>
  </si>
  <si>
    <t>Concord High School</t>
  </si>
  <si>
    <t>10550 Albion Rd, San Ramon, CA 94582, USA</t>
  </si>
  <si>
    <t>Waterford, MI</t>
  </si>
  <si>
    <t>Conway High School West</t>
  </si>
  <si>
    <t>Corning High School</t>
  </si>
  <si>
    <t>Corning</t>
  </si>
  <si>
    <t>Bowie (Austin)</t>
  </si>
  <si>
    <t>Cotter High School</t>
  </si>
  <si>
    <t>Cotter</t>
  </si>
  <si>
    <t>311 Bowie St, Austin, TX 78703, USA</t>
  </si>
  <si>
    <t>Cossatot River High School</t>
  </si>
  <si>
    <t>Cove</t>
  </si>
  <si>
    <t>Crossett High School</t>
  </si>
  <si>
    <t>Raymore-Peculiar (Peculiar)</t>
  </si>
  <si>
    <t>Crossett</t>
  </si>
  <si>
    <t xml:space="preserve"> Peculiar</t>
  </si>
  <si>
    <t>20801 S School Rd, Peculiar, MO 64078, USA</t>
  </si>
  <si>
    <t>Dardanelle High School</t>
  </si>
  <si>
    <t>Dardanelle</t>
  </si>
  <si>
    <t>Greenwood (Springfield)</t>
  </si>
  <si>
    <t>3835 W Greenwood St, Springfield, MO 65807, USA</t>
  </si>
  <si>
    <t>Dequeen High School</t>
  </si>
  <si>
    <t>Dequeen</t>
  </si>
  <si>
    <t>Harlan (San Antonio)</t>
  </si>
  <si>
    <t>Dermott High School</t>
  </si>
  <si>
    <t>Dermott</t>
  </si>
  <si>
    <t>1103 Commercial Ave, San Antonio, TX 78211, USA</t>
  </si>
  <si>
    <t>Dermott Jtc School</t>
  </si>
  <si>
    <t>Des Arc High School</t>
  </si>
  <si>
    <t>Des Arc</t>
  </si>
  <si>
    <t>Maumelle</t>
  </si>
  <si>
    <t xml:space="preserve"> Maumelle</t>
  </si>
  <si>
    <t>1100 Edgewood Dr, Maumelle, AR 72113, USA</t>
  </si>
  <si>
    <t>Dewitt High School</t>
  </si>
  <si>
    <t>Dewitt</t>
  </si>
  <si>
    <t>Dierks High School</t>
  </si>
  <si>
    <t>Dierks</t>
  </si>
  <si>
    <t>Seattle Prep (Seattle)</t>
  </si>
  <si>
    <t>2400 11th Ave E, Seattle, WA 98102, USA</t>
  </si>
  <si>
    <t>Ouachita High School</t>
  </si>
  <si>
    <t>Donaldson</t>
  </si>
  <si>
    <t>Dover High School</t>
  </si>
  <si>
    <t>Dover</t>
  </si>
  <si>
    <t>Dumas High School</t>
  </si>
  <si>
    <t>Lanier (Sugar Hill)</t>
  </si>
  <si>
    <t>Dumas</t>
  </si>
  <si>
    <t xml:space="preserve"> Buford</t>
  </si>
  <si>
    <t>1487 Railroad Ave, Buford, GA 30518, USA</t>
  </si>
  <si>
    <t>Appleton, WI</t>
  </si>
  <si>
    <t>Earle High School</t>
  </si>
  <si>
    <t>Earle</t>
  </si>
  <si>
    <t>El Dorado High School</t>
  </si>
  <si>
    <t>El Dorado</t>
  </si>
  <si>
    <t>Lynden</t>
  </si>
  <si>
    <t xml:space="preserve"> Lynden</t>
  </si>
  <si>
    <t>Parkers Chapel High School</t>
  </si>
  <si>
    <t>PO Box 754, Lynden, WA 98264, USA</t>
  </si>
  <si>
    <t>Elkins High School</t>
  </si>
  <si>
    <t>Elkins</t>
  </si>
  <si>
    <t>Emerson High School</t>
  </si>
  <si>
    <t>East (Rochester)</t>
  </si>
  <si>
    <t>Emerson</t>
  </si>
  <si>
    <t xml:space="preserve"> East Rochester</t>
  </si>
  <si>
    <t>809 Main St, East Rochester, NY 14445, USA</t>
  </si>
  <si>
    <t>England High School</t>
  </si>
  <si>
    <t>England</t>
  </si>
  <si>
    <t>Eureka Springs High School</t>
  </si>
  <si>
    <t>Eureka Springs</t>
  </si>
  <si>
    <t>Johnson (San Antonio)</t>
  </si>
  <si>
    <t>Farmington Career Academyemies</t>
  </si>
  <si>
    <t>23203 Bulverde Rd, San Antonio, TX 78259, USA</t>
  </si>
  <si>
    <t>Farmington</t>
  </si>
  <si>
    <t>Haas Hall Academy</t>
  </si>
  <si>
    <t>Iowa City West (Iowa City)</t>
  </si>
  <si>
    <t xml:space="preserve"> Iowa City</t>
  </si>
  <si>
    <t>Agee Lierly Life Preparation Services School</t>
  </si>
  <si>
    <t>2901 Melrose Ave, Iowa City, IA 52246, USA</t>
  </si>
  <si>
    <t>Fayetteville High School East</t>
  </si>
  <si>
    <t>Flippin High School</t>
  </si>
  <si>
    <t xml:space="preserve"> Charleston</t>
  </si>
  <si>
    <t>Flippin</t>
  </si>
  <si>
    <t>200 W Marshall St, Charleston, MO 63834, USA</t>
  </si>
  <si>
    <t>Fordyce High School</t>
  </si>
  <si>
    <t>Fordyce</t>
  </si>
  <si>
    <t>Foreman High School</t>
  </si>
  <si>
    <t>Foreman</t>
  </si>
  <si>
    <t>Oldham County (Buckner)</t>
  </si>
  <si>
    <t xml:space="preserve"> La Grange</t>
  </si>
  <si>
    <t>4217 KY-146, La Grange, KY 40031, USA</t>
  </si>
  <si>
    <t>Forrest City High School</t>
  </si>
  <si>
    <t>Forrest City</t>
  </si>
  <si>
    <t>Furture School Of Fort Smith</t>
  </si>
  <si>
    <t>Fort Smith</t>
  </si>
  <si>
    <t>Timber Creek Regional (Erial)</t>
  </si>
  <si>
    <t xml:space="preserve"> Sicklerville</t>
  </si>
  <si>
    <t>501 Jarvis Rd, Sicklerville, NJ 08081, USA</t>
  </si>
  <si>
    <t>Pittsburgh, PA</t>
  </si>
  <si>
    <t>Pickerington North (Pickerington)</t>
  </si>
  <si>
    <t xml:space="preserve"> Pickerington</t>
  </si>
  <si>
    <t>Fouke High School</t>
  </si>
  <si>
    <t>Fouke</t>
  </si>
  <si>
    <t>7800 Refugee Rd, Pickerington, OH 43147, USA</t>
  </si>
  <si>
    <t>Rural Special High School</t>
  </si>
  <si>
    <t>Fox</t>
  </si>
  <si>
    <t>Gentry High School Conversion Charter</t>
  </si>
  <si>
    <t>Gentry</t>
  </si>
  <si>
    <t>Gravette High School</t>
  </si>
  <si>
    <t>523b Penn St, Reading, PA 19601, USA</t>
  </si>
  <si>
    <t>Gravette</t>
  </si>
  <si>
    <t>Green Forest High School</t>
  </si>
  <si>
    <t>Green Forest</t>
  </si>
  <si>
    <t>Greenbrier High School</t>
  </si>
  <si>
    <t>Greenbrier</t>
  </si>
  <si>
    <t>Nicolet (Glendale)</t>
  </si>
  <si>
    <t>Greenland High School</t>
  </si>
  <si>
    <t>6701 N Jean Nicolet Rd, Glendale, WI 53217, USA</t>
  </si>
  <si>
    <t>Greenland</t>
  </si>
  <si>
    <t>Greenwood High School</t>
  </si>
  <si>
    <t>Greenwood</t>
  </si>
  <si>
    <t>West Side High School</t>
  </si>
  <si>
    <t>Cuba City</t>
  </si>
  <si>
    <t>Greers Ferry</t>
  </si>
  <si>
    <t xml:space="preserve"> Cuba City</t>
  </si>
  <si>
    <t>115 S Washington St, Cuba City, WI 53807, USA</t>
  </si>
  <si>
    <t>Gurdon High School</t>
  </si>
  <si>
    <t>Gurdon</t>
  </si>
  <si>
    <t>Guy-Perkins High School</t>
  </si>
  <si>
    <t>Guy</t>
  </si>
  <si>
    <t>San Leandro</t>
  </si>
  <si>
    <t xml:space="preserve"> San Leandro</t>
  </si>
  <si>
    <t>Hackett High School</t>
  </si>
  <si>
    <t>1200 E 14th St, San Leandro, CA 94577, USA</t>
  </si>
  <si>
    <t>Hackett</t>
  </si>
  <si>
    <t>Hamburg High School</t>
  </si>
  <si>
    <t>Hamburg</t>
  </si>
  <si>
    <t>South (Columbus)</t>
  </si>
  <si>
    <t xml:space="preserve"> Groveport</t>
  </si>
  <si>
    <t>Hampton High School</t>
  </si>
  <si>
    <t>4350 OH-317, Groveport, OH 43125, USA</t>
  </si>
  <si>
    <t>Hampton</t>
  </si>
  <si>
    <t>Hardy</t>
  </si>
  <si>
    <t>Harrisburg College &amp; Career Preparatory School</t>
  </si>
  <si>
    <t>Olympia</t>
  </si>
  <si>
    <t>Harrisburg</t>
  </si>
  <si>
    <t xml:space="preserve"> Olympia</t>
  </si>
  <si>
    <t>1100 Capitol Way S, Olympia, WA 98501, USA</t>
  </si>
  <si>
    <t>Harrison High School</t>
  </si>
  <si>
    <t>Harrison</t>
  </si>
  <si>
    <t>Wonderview High School</t>
  </si>
  <si>
    <t>Hattieville</t>
  </si>
  <si>
    <t>Nixa</t>
  </si>
  <si>
    <t xml:space="preserve"> Nixa</t>
  </si>
  <si>
    <t>Western Yell Co. High School</t>
  </si>
  <si>
    <t>Havana</t>
  </si>
  <si>
    <t>104 E Mt Vernon St, Nixa, MO 65714, USA</t>
  </si>
  <si>
    <t>Hazen High School</t>
  </si>
  <si>
    <t>Hazen</t>
  </si>
  <si>
    <t>Heber Springs High School</t>
  </si>
  <si>
    <t>Our Lady of Good Counsel (Olney)</t>
  </si>
  <si>
    <t>Heber Springs</t>
  </si>
  <si>
    <t xml:space="preserve"> Olney</t>
  </si>
  <si>
    <t>17301 Old Vic Blvd, Olney, MD 20832, USA</t>
  </si>
  <si>
    <t>Hector High School</t>
  </si>
  <si>
    <t>Hector</t>
  </si>
  <si>
    <t>Kipp Delta Collegiate High School</t>
  </si>
  <si>
    <t>Wyatt (Fort Worth)</t>
  </si>
  <si>
    <t>2400 E Seminary Dr, Fort Worth, TX 76119, USA</t>
  </si>
  <si>
    <t>Hermitage High School</t>
  </si>
  <si>
    <t>Hermitage</t>
  </si>
  <si>
    <t>Hope</t>
  </si>
  <si>
    <t>Brewster Academy (Wolfeboro)</t>
  </si>
  <si>
    <t xml:space="preserve"> Wolfeboro</t>
  </si>
  <si>
    <t>Spring Hill High School</t>
  </si>
  <si>
    <t>80 Academy Dr, Wolfeboro, NH 03894, USA</t>
  </si>
  <si>
    <t>Horatio High School</t>
  </si>
  <si>
    <t>Horatio</t>
  </si>
  <si>
    <t>Cutter-Morning Star High School Sch.</t>
  </si>
  <si>
    <t>Clackamas</t>
  </si>
  <si>
    <t xml:space="preserve"> Clackamas</t>
  </si>
  <si>
    <t>SE Hwy 212, Clackamas, OR 97015, USA</t>
  </si>
  <si>
    <t>Fountain Lake Charter High School</t>
  </si>
  <si>
    <t>Hot Springs World Class High School</t>
  </si>
  <si>
    <t>North Scott (Eldridge)</t>
  </si>
  <si>
    <t xml:space="preserve"> Eldridge</t>
  </si>
  <si>
    <t>Lakeside High School</t>
  </si>
  <si>
    <t>200 S 1st St, Eldridge, IA 52748, USA</t>
  </si>
  <si>
    <t>Yorba Linda, CA</t>
  </si>
  <si>
    <t>Hoxie High School</t>
  </si>
  <si>
    <t>Hoxie</t>
  </si>
  <si>
    <t>Port Arthur Memorial (Port Arthur)</t>
  </si>
  <si>
    <t xml:space="preserve"> Port Arthur</t>
  </si>
  <si>
    <t>US-96, Port Arthur, TX 77642, USA</t>
  </si>
  <si>
    <t>Sloan-Hendrix High School</t>
  </si>
  <si>
    <t>Imboden</t>
  </si>
  <si>
    <t>College Prep Academy</t>
  </si>
  <si>
    <t>Raymond</t>
  </si>
  <si>
    <t xml:space="preserve"> Raymond</t>
  </si>
  <si>
    <t>110 E Main St, Raymond, MS 39154, USA</t>
  </si>
  <si>
    <t>Jessieville High School</t>
  </si>
  <si>
    <t>Jessieville</t>
  </si>
  <si>
    <t>Nettleton High School</t>
  </si>
  <si>
    <t>Jonesboro</t>
  </si>
  <si>
    <t>Helias (Jefferson City)</t>
  </si>
  <si>
    <t xml:space="preserve"> Jefferson City</t>
  </si>
  <si>
    <t>1305 Swifts Hwy, Jefferson City, MO 65109, USA</t>
  </si>
  <si>
    <t>The Academyemies At Jonesboro High School</t>
  </si>
  <si>
    <t>Valley View High School</t>
  </si>
  <si>
    <t>Spring Valley (Las Vegas)</t>
  </si>
  <si>
    <t>4446 Verdugo St, Las Vegas, NV 89147, USA</t>
  </si>
  <si>
    <t>White Co. Central High School</t>
  </si>
  <si>
    <t>Judsonia</t>
  </si>
  <si>
    <t>Junction City High School</t>
  </si>
  <si>
    <t>Junction City</t>
  </si>
  <si>
    <t>Fort Wayne Snider (Fort Wayne)</t>
  </si>
  <si>
    <t>Kingston High School</t>
  </si>
  <si>
    <t>Kingston</t>
  </si>
  <si>
    <t>4600 Fairlawn Pass, Fort Wayne, IN 46815, USA</t>
  </si>
  <si>
    <t>Kirby High School</t>
  </si>
  <si>
    <t>Kirby</t>
  </si>
  <si>
    <t>Riverside High School</t>
  </si>
  <si>
    <t>Lake City</t>
  </si>
  <si>
    <t>Hinsdale South (Darien)</t>
  </si>
  <si>
    <t xml:space="preserve"> Darien</t>
  </si>
  <si>
    <t>7401 Clarendon Hills Rd, Darien, IL 60561, USA</t>
  </si>
  <si>
    <t>Lake Village</t>
  </si>
  <si>
    <t>Lamar High School</t>
  </si>
  <si>
    <t>Lamar</t>
  </si>
  <si>
    <t>Rockledge, FL</t>
  </si>
  <si>
    <t>The Park School of Buffalo (Buffalo)</t>
  </si>
  <si>
    <t>Lavaca High School</t>
  </si>
  <si>
    <t>Lavaca</t>
  </si>
  <si>
    <t>4625 Harlem Rd, Buffalo, NY 14226, USA</t>
  </si>
  <si>
    <t>Lead Hill High School</t>
  </si>
  <si>
    <t>Lead Hill</t>
  </si>
  <si>
    <t>East Poinsett Co. High School</t>
  </si>
  <si>
    <t>Lepanto</t>
  </si>
  <si>
    <t>Rolling Hills Prep (San Pedro)</t>
  </si>
  <si>
    <t xml:space="preserve"> Harbor City</t>
  </si>
  <si>
    <t>Lafayette County High School</t>
  </si>
  <si>
    <t>1500 Palos Verdes Dr N, Harbor City, CA 90710, USA</t>
  </si>
  <si>
    <t>Lincoln New Tech High School</t>
  </si>
  <si>
    <t>Ark Consolidated High School</t>
  </si>
  <si>
    <t>Bonnabel (Kenner)</t>
  </si>
  <si>
    <t xml:space="preserve"> Kenner</t>
  </si>
  <si>
    <t>2801 Bruin Dr, Kenner, LA 70065, USA</t>
  </si>
  <si>
    <t>Estem Public Charter High School</t>
  </si>
  <si>
    <t>San Gabriel Academy (San Gabriel)</t>
  </si>
  <si>
    <t>Hall High School</t>
  </si>
  <si>
    <t xml:space="preserve"> San Gabriel</t>
  </si>
  <si>
    <t>8827 E Broadway, San Gabriel, CA 91776, USA</t>
  </si>
  <si>
    <t>J.A. Fair High School</t>
  </si>
  <si>
    <t>St. Mary's (Phoenix)</t>
  </si>
  <si>
    <t>Joe T. Robinson High School</t>
  </si>
  <si>
    <t>2525 N 3rd St, Phoenix, AZ 85004, USA</t>
  </si>
  <si>
    <t>Lisa Academy High School</t>
  </si>
  <si>
    <t>Mcclellan Magnet High School</t>
  </si>
  <si>
    <t>Sioux Falls Christian (Sioux Falls)</t>
  </si>
  <si>
    <t xml:space="preserve"> Sioux Falls</t>
  </si>
  <si>
    <t>6120 S Charger Cir, Sioux Falls, SD 57108, USA</t>
  </si>
  <si>
    <t>Parkview Magnet High School</t>
  </si>
  <si>
    <t>Premier High School Of Little Rock</t>
  </si>
  <si>
    <t>Sunnyslope (Phoenix)</t>
  </si>
  <si>
    <t>Quest Middle School Of Little Rock</t>
  </si>
  <si>
    <t>8841 N 7th St, Phoenix, AZ 85020, USA</t>
  </si>
  <si>
    <t>Siatech High School Charter</t>
  </si>
  <si>
    <t>Hood River, OR</t>
  </si>
  <si>
    <t>Wilbur D. Mills High School</t>
  </si>
  <si>
    <t>St. Louis Christian Academy (St. Louis)</t>
  </si>
  <si>
    <t>Lonoke High School</t>
  </si>
  <si>
    <t>Lonoke</t>
  </si>
  <si>
    <t>3145 Lafayette Ave, St. Louis, MO 63104, USA</t>
  </si>
  <si>
    <t>J.D. Leftwich High School</t>
  </si>
  <si>
    <t>Magazine</t>
  </si>
  <si>
    <t>Magnolia High School</t>
  </si>
  <si>
    <t>Hesston</t>
  </si>
  <si>
    <t>Glen Rose High School</t>
  </si>
  <si>
    <t xml:space="preserve"> Hesston</t>
  </si>
  <si>
    <t>Malvern</t>
  </si>
  <si>
    <t>100 N Main St, Hesston, KS 67062, USA</t>
  </si>
  <si>
    <t>Magnet Cove High School</t>
  </si>
  <si>
    <t>Malvern High School</t>
  </si>
  <si>
    <t>Cherokee (Canton)</t>
  </si>
  <si>
    <t>101 E Main St, Canton, GA 30114, USA</t>
  </si>
  <si>
    <t>Mammoth Spring High School</t>
  </si>
  <si>
    <t>Mammoth Spring</t>
  </si>
  <si>
    <t>Manila High School</t>
  </si>
  <si>
    <t>Manila</t>
  </si>
  <si>
    <t>Bullis (Potomac)</t>
  </si>
  <si>
    <t>Mansfield High School</t>
  </si>
  <si>
    <t>10601 Falls Rd, Potomac, MD 20854, USA</t>
  </si>
  <si>
    <t>Marianna</t>
  </si>
  <si>
    <t>Marion High School</t>
  </si>
  <si>
    <t>Prior Lake</t>
  </si>
  <si>
    <t>Marion</t>
  </si>
  <si>
    <t xml:space="preserve"> Prior Lake</t>
  </si>
  <si>
    <t>16268 Eagle Creek Ave SE, Prior Lake, MN 55372, USA</t>
  </si>
  <si>
    <t>Marked Tree High School</t>
  </si>
  <si>
    <t>Marked Tree</t>
  </si>
  <si>
    <t>Marmaduke High School</t>
  </si>
  <si>
    <t xml:space="preserve"> Swainsboro</t>
  </si>
  <si>
    <t>Marmaduke</t>
  </si>
  <si>
    <t>101 S Main St, Swainsboro, GA 30401, USA</t>
  </si>
  <si>
    <t>Marshall High School</t>
  </si>
  <si>
    <t>Norwich, CT</t>
  </si>
  <si>
    <t>Tascosa (Amarillo)</t>
  </si>
  <si>
    <t>Marvell High School</t>
  </si>
  <si>
    <t>Marvell</t>
  </si>
  <si>
    <t>3921 Westlawn Ave, Amarillo, TX 79102, USA</t>
  </si>
  <si>
    <t>Maumelle Charter High School</t>
  </si>
  <si>
    <t>Maumelle High School</t>
  </si>
  <si>
    <t>Pike (Indianapolis)</t>
  </si>
  <si>
    <t>I-465, Indianapolis, IN 46254, USA</t>
  </si>
  <si>
    <t>Mayflower High School</t>
  </si>
  <si>
    <t>Mayflower</t>
  </si>
  <si>
    <t>Maynard High School</t>
  </si>
  <si>
    <t>Maynard</t>
  </si>
  <si>
    <t>Gray Collegiate Academy (West Columbia)</t>
  </si>
  <si>
    <t xml:space="preserve"> West Columbia</t>
  </si>
  <si>
    <t>Mccrory High School</t>
  </si>
  <si>
    <t>Mccrory</t>
  </si>
  <si>
    <t>3833 Leaphart Rd, West Columbia, SC 29169, USA</t>
  </si>
  <si>
    <t>Mcgehee High School</t>
  </si>
  <si>
    <t>Mcgehee</t>
  </si>
  <si>
    <t>Pebblebrook (Mableton)</t>
  </si>
  <si>
    <t>Melbourne High School</t>
  </si>
  <si>
    <t>991 Old Alabama Rd SW, Mableton, GA 30126, USA</t>
  </si>
  <si>
    <t>Acorn High School</t>
  </si>
  <si>
    <t>Mena</t>
  </si>
  <si>
    <t>Mena High School</t>
  </si>
  <si>
    <t>Ridge Point (Missouri City)</t>
  </si>
  <si>
    <t xml:space="preserve"> Sienna Plantation</t>
  </si>
  <si>
    <t>Mineral Springs High School</t>
  </si>
  <si>
    <t>Mineral Springs</t>
  </si>
  <si>
    <t>500 Waters Lake Blvd, Sienna Plantation, TX 77459, USA</t>
  </si>
  <si>
    <t>Buffalo Is. Central High School</t>
  </si>
  <si>
    <t>Monette</t>
  </si>
  <si>
    <t>Drew Central High School</t>
  </si>
  <si>
    <t>Brentwood School (Los Angeles)</t>
  </si>
  <si>
    <t>Monticello</t>
  </si>
  <si>
    <t>100 S Barrington Pl, Los Angeles, CA 90049, USA</t>
  </si>
  <si>
    <t>Monticello High School</t>
  </si>
  <si>
    <t>Morrilton Sr. High School</t>
  </si>
  <si>
    <t>Poway</t>
  </si>
  <si>
    <t>Morrilton</t>
  </si>
  <si>
    <t xml:space="preserve"> Poway</t>
  </si>
  <si>
    <t>13608 Putney Rd, Poway, CA 92064, USA</t>
  </si>
  <si>
    <t>Mount Ida High School</t>
  </si>
  <si>
    <t>Mount Ida</t>
  </si>
  <si>
    <t>Hamilton, Canada</t>
  </si>
  <si>
    <t>Mtn Home High School Career Academyemics</t>
  </si>
  <si>
    <t xml:space="preserve"> Oxford</t>
  </si>
  <si>
    <t>Mountain Home</t>
  </si>
  <si>
    <t>2 Snow St, Oxford, AL 36203, USA</t>
  </si>
  <si>
    <t>Mountain Pine High School</t>
  </si>
  <si>
    <t>Mountain Pine</t>
  </si>
  <si>
    <t>Yankton</t>
  </si>
  <si>
    <t xml:space="preserve"> Yankton</t>
  </si>
  <si>
    <t>Mountain View</t>
  </si>
  <si>
    <t>333 Broadway Ave, Yankton, SD 57078, USA</t>
  </si>
  <si>
    <t>Mountainburg High School</t>
  </si>
  <si>
    <t>Mountainburg</t>
  </si>
  <si>
    <t>Imhotep Charter (Philadelphia)</t>
  </si>
  <si>
    <t>Mt. Vernon/Enola High School</t>
  </si>
  <si>
    <t>Mt Vernon</t>
  </si>
  <si>
    <t>6201 N 21st St, Philadelphia, PA 19138, USA</t>
  </si>
  <si>
    <t>Mulberry High School</t>
  </si>
  <si>
    <t>Mulberry</t>
  </si>
  <si>
    <t>Mayfair (Lakewood)</t>
  </si>
  <si>
    <t>Murfreesboro High School</t>
  </si>
  <si>
    <t>6000 Woodruff Ave, Lakewood, CA 90713, USA</t>
  </si>
  <si>
    <t>Nashville High School</t>
  </si>
  <si>
    <t>The Woodlands Christian Academy (The Woodlands)</t>
  </si>
  <si>
    <t xml:space="preserve"> The Woodlands</t>
  </si>
  <si>
    <t>Cedar Ridge High School</t>
  </si>
  <si>
    <t>5800 Academy Way, The Woodlands, TX 77384, USA</t>
  </si>
  <si>
    <t>Newport High School</t>
  </si>
  <si>
    <t>Newport</t>
  </si>
  <si>
    <t>Norfork High School</t>
  </si>
  <si>
    <t>Norfork</t>
  </si>
  <si>
    <t>Kinston</t>
  </si>
  <si>
    <t xml:space="preserve"> Kinston</t>
  </si>
  <si>
    <t>2645 US Hwy 258, North St, Kinston, NC 28501, USA</t>
  </si>
  <si>
    <t>Caddo Hills High School</t>
  </si>
  <si>
    <t>Norman</t>
  </si>
  <si>
    <t>North Little Rock Center Of Excellence</t>
  </si>
  <si>
    <t>21st Century Charter (Gary)</t>
  </si>
  <si>
    <t>North Little Rock High School</t>
  </si>
  <si>
    <t xml:space="preserve"> Gary</t>
  </si>
  <si>
    <t>556 Washington St, Gary, IN 46402, USA</t>
  </si>
  <si>
    <t>Oark High School</t>
  </si>
  <si>
    <t>Oark</t>
  </si>
  <si>
    <t>Two Rivers High School</t>
  </si>
  <si>
    <t>Ola</t>
  </si>
  <si>
    <t>Ben L. Smith (Greensboro)</t>
  </si>
  <si>
    <t>Stockholm, Sweden</t>
  </si>
  <si>
    <t>2407 S Holden Rd, Greensboro, NC 27407, USA</t>
  </si>
  <si>
    <t>Omaha High School</t>
  </si>
  <si>
    <t>Osceola High School</t>
  </si>
  <si>
    <t>Osceola</t>
  </si>
  <si>
    <t>Ozark High School</t>
  </si>
  <si>
    <t>Clovis North (Fresno)</t>
  </si>
  <si>
    <t>Palestine-Wheatley Senior High School</t>
  </si>
  <si>
    <t>2770 E International Ave, Fresno, CA 93730, USA</t>
  </si>
  <si>
    <t>Palestine</t>
  </si>
  <si>
    <t>Pangburn High School</t>
  </si>
  <si>
    <t>Pangburn</t>
  </si>
  <si>
    <t>Greene Co. Tech High School</t>
  </si>
  <si>
    <t>Paragould</t>
  </si>
  <si>
    <t>Chapmanville Regional (Chapmanville)</t>
  </si>
  <si>
    <t xml:space="preserve"> Chapmanville</t>
  </si>
  <si>
    <t>Paragould High School</t>
  </si>
  <si>
    <t>506 Crawley Creek Rd, Chapmanville, WV 25508, USA</t>
  </si>
  <si>
    <t>Paris High School</t>
  </si>
  <si>
    <t>Pea Ridge High School</t>
  </si>
  <si>
    <t>Pea Ridge</t>
  </si>
  <si>
    <t>Archbishop Alter (Kettering)</t>
  </si>
  <si>
    <t xml:space="preserve"> Kettering</t>
  </si>
  <si>
    <t>940 E David Rd, Kettering, OH 45429, USA</t>
  </si>
  <si>
    <t>Pea Ridge Manufacturing &amp; Business Academy</t>
  </si>
  <si>
    <t>Lake Hamilton High School</t>
  </si>
  <si>
    <t>Pearcy</t>
  </si>
  <si>
    <t>Kamehameha Kapalama (Honolulu)</t>
  </si>
  <si>
    <t>Perryville High School</t>
  </si>
  <si>
    <t>Perryville</t>
  </si>
  <si>
    <t>210 Konia Cir, Honolulu, HI 96817, USA</t>
  </si>
  <si>
    <t>Piggott High School</t>
  </si>
  <si>
    <t>Piggott</t>
  </si>
  <si>
    <t>Dollarway High School</t>
  </si>
  <si>
    <t>Pine Bluff</t>
  </si>
  <si>
    <t>De Anza (El Sobrante)</t>
  </si>
  <si>
    <t xml:space="preserve"> El Sobrante</t>
  </si>
  <si>
    <t>Pine Bluff High School</t>
  </si>
  <si>
    <t>De Anza High School, 5000 Valley View Rd, El Sobrante, CA 94803, USA</t>
  </si>
  <si>
    <t>Southeast Arkansas Preparatory High School</t>
  </si>
  <si>
    <t>Watson Chapel High School</t>
  </si>
  <si>
    <t xml:space="preserve"> Carlsbad</t>
  </si>
  <si>
    <t>3016 Carlsbad Blvd, Carlsbad, CA 92008, USA</t>
  </si>
  <si>
    <t>Midland High School</t>
  </si>
  <si>
    <t>Pleasant Plains</t>
  </si>
  <si>
    <t>Pocahontas High School</t>
  </si>
  <si>
    <t>Pocahontas</t>
  </si>
  <si>
    <t>934 3rd St, Alexandria, LA 71301, USA</t>
  </si>
  <si>
    <t>Pottsville High School</t>
  </si>
  <si>
    <t>Pottsville</t>
  </si>
  <si>
    <t>Ann Arbor, MI</t>
  </si>
  <si>
    <t>Poyen High School</t>
  </si>
  <si>
    <t>Poyen</t>
  </si>
  <si>
    <t>Prairie Grove High School</t>
  </si>
  <si>
    <t>Prairie Grove</t>
  </si>
  <si>
    <t>Clovis</t>
  </si>
  <si>
    <t xml:space="preserve"> Clovis</t>
  </si>
  <si>
    <t>100-160 E 7th St, Clovis, NM 88101, USA</t>
  </si>
  <si>
    <t>Quitman High School</t>
  </si>
  <si>
    <t>Quitman</t>
  </si>
  <si>
    <t>Pine Crest (Fort Lauderdale)</t>
  </si>
  <si>
    <t>Rector High School</t>
  </si>
  <si>
    <t>Rector</t>
  </si>
  <si>
    <t>1525 NE 62nd St, Fort Lauderdale, FL 33334, USA</t>
  </si>
  <si>
    <t>Rison High School</t>
  </si>
  <si>
    <t>Rison</t>
  </si>
  <si>
    <t>Woodlawn High School</t>
  </si>
  <si>
    <t>George Washington (Charleston)</t>
  </si>
  <si>
    <t>15 Tennis Club Rd, Charleston, WV 25314, USA</t>
  </si>
  <si>
    <t>Arkansas Arts Academy High School</t>
  </si>
  <si>
    <t>Rogers Heritage High School</t>
  </si>
  <si>
    <t>MacArthur (Irving)</t>
  </si>
  <si>
    <t>Rogers High School</t>
  </si>
  <si>
    <t xml:space="preserve"> Irving</t>
  </si>
  <si>
    <t>5321 N MacArthur Blvd, Irving, TX 75038, USA</t>
  </si>
  <si>
    <t>Rogers New Technology High School</t>
  </si>
  <si>
    <t>Rose Bud High School</t>
  </si>
  <si>
    <t>Rose Bud</t>
  </si>
  <si>
    <t>Nevada High School  School</t>
  </si>
  <si>
    <t>Rosston</t>
  </si>
  <si>
    <t>Pickerington Central (Pickerington)</t>
  </si>
  <si>
    <t>300 Opportunity Way, Pickerington, OH 43147, USA</t>
  </si>
  <si>
    <t>Salem High School</t>
  </si>
  <si>
    <t>Scranton High School</t>
  </si>
  <si>
    <t>Scranton</t>
  </si>
  <si>
    <t>Riverview High School</t>
  </si>
  <si>
    <t xml:space="preserve"> Dover</t>
  </si>
  <si>
    <t>201 S State St, Dover, DE 19904, USA</t>
  </si>
  <si>
    <t>Searcy High School</t>
  </si>
  <si>
    <t>Sacramento, CA</t>
  </si>
  <si>
    <t>Sheridan High School</t>
  </si>
  <si>
    <t>Sheridan</t>
  </si>
  <si>
    <t>Newton (Covington)</t>
  </si>
  <si>
    <t xml:space="preserve"> Covington</t>
  </si>
  <si>
    <t>Lisa Academy North High School Charter School</t>
  </si>
  <si>
    <t>Sherwood</t>
  </si>
  <si>
    <t>1106 Monticello St SW, Covington, GA 30014, USA</t>
  </si>
  <si>
    <t>Sylvan Hills High School</t>
  </si>
  <si>
    <t>Perham</t>
  </si>
  <si>
    <t>Shirley High School</t>
  </si>
  <si>
    <t>Shirley</t>
  </si>
  <si>
    <t xml:space="preserve"> Perham</t>
  </si>
  <si>
    <t>200 2nd Ave NW, Perham, MN 56573, USA</t>
  </si>
  <si>
    <t>Siloam Springs High School Conversion Charter</t>
  </si>
  <si>
    <t>Siloam Springs</t>
  </si>
  <si>
    <t>Smackover High School</t>
  </si>
  <si>
    <t>Smackover</t>
  </si>
  <si>
    <t>St. Joseph's Collegiate Institute (Buffalo)</t>
  </si>
  <si>
    <t>845 Kenmore Ave, Buffalo, NY 14223, USA</t>
  </si>
  <si>
    <t>Sparkman</t>
  </si>
  <si>
    <t>Don Tyson School Of Innovations</t>
  </si>
  <si>
    <t>Springdale</t>
  </si>
  <si>
    <t>Langston Hughes (Fairburn)</t>
  </si>
  <si>
    <t xml:space="preserve"> Fairburn</t>
  </si>
  <si>
    <t>Unnamed Road, Fairburn, GA 30213, USA</t>
  </si>
  <si>
    <t>Har-Ber High School</t>
  </si>
  <si>
    <t>Springdale High School</t>
  </si>
  <si>
    <t>Cardinal O'Hara (Springfield)</t>
  </si>
  <si>
    <t>St. Paul High School</t>
  </si>
  <si>
    <t>St Paul</t>
  </si>
  <si>
    <t>801-899 Coppock Ln, Springfield, PA 19064, USA</t>
  </si>
  <si>
    <t>Star City High School</t>
  </si>
  <si>
    <t>Star City</t>
  </si>
  <si>
    <t>Strawberry</t>
  </si>
  <si>
    <t>Colony (Palmer)</t>
  </si>
  <si>
    <t xml:space="preserve"> Palmer</t>
  </si>
  <si>
    <t>420 S Colony Way, Palmer, AK 99645, USA</t>
  </si>
  <si>
    <t>Stuttgart High School</t>
  </si>
  <si>
    <t>Stuttgart</t>
  </si>
  <si>
    <t>Taylor High School</t>
  </si>
  <si>
    <t>Archbishop Ryan (Philadelphia)</t>
  </si>
  <si>
    <t>Arkansas High School</t>
  </si>
  <si>
    <t>Texarkana</t>
  </si>
  <si>
    <t>11201 Academy Rd, Philadelphia, PA 19154, USA</t>
  </si>
  <si>
    <t>Genoa Central High School</t>
  </si>
  <si>
    <t>Renton, WA</t>
  </si>
  <si>
    <t>Woods Cross</t>
  </si>
  <si>
    <t xml:space="preserve"> Woods Cross</t>
  </si>
  <si>
    <t>Washington Academy Charter School</t>
  </si>
  <si>
    <t>1868 500 W, Woods Cross, UT 84010, USA</t>
  </si>
  <si>
    <t>Timbo High School</t>
  </si>
  <si>
    <t>Timbo</t>
  </si>
  <si>
    <t>Bishop McDevitt (Wyncote)</t>
  </si>
  <si>
    <t xml:space="preserve"> Wyncote</t>
  </si>
  <si>
    <t>Trumann High School</t>
  </si>
  <si>
    <t>Trumann</t>
  </si>
  <si>
    <t>125 Royal Ave, Wyncote, PA 19095, USA</t>
  </si>
  <si>
    <t>Tuckerman High School</t>
  </si>
  <si>
    <t>Tuckerman</t>
  </si>
  <si>
    <t>Brophy College Prep (Phoenix)</t>
  </si>
  <si>
    <t>Valley Springs High School</t>
  </si>
  <si>
    <t>Valley Springs</t>
  </si>
  <si>
    <t>4701 N Central Ave, Phoenix, AZ 85012, USA</t>
  </si>
  <si>
    <t>Van Buren High School</t>
  </si>
  <si>
    <t>Van Buren</t>
  </si>
  <si>
    <t>Vilonia High School</t>
  </si>
  <si>
    <t>Vilonia</t>
  </si>
  <si>
    <t xml:space="preserve"> Clinton</t>
  </si>
  <si>
    <t>606-608 Dunton Rd, Clinton, MS 39056, USA</t>
  </si>
  <si>
    <t>Viola High School</t>
  </si>
  <si>
    <t>Viola</t>
  </si>
  <si>
    <t>Waldron High School</t>
  </si>
  <si>
    <t>Waldron</t>
  </si>
  <si>
    <t>William Allen (Allentown)</t>
  </si>
  <si>
    <t xml:space="preserve"> Allentown</t>
  </si>
  <si>
    <t>Walnut Ridge High School</t>
  </si>
  <si>
    <t>Walnut Ridge</t>
  </si>
  <si>
    <t>106 N 17th St, Allentown, PA 18102, USA</t>
  </si>
  <si>
    <t>Warren High School District Conversion Charter</t>
  </si>
  <si>
    <t>Warren</t>
  </si>
  <si>
    <t>West Fork High School</t>
  </si>
  <si>
    <t>West Fork</t>
  </si>
  <si>
    <t>Mauldin</t>
  </si>
  <si>
    <t xml:space="preserve"> Mauldin</t>
  </si>
  <si>
    <t>29 W Butler Rd, Mauldin, SC 29662, USA</t>
  </si>
  <si>
    <t>West Helena</t>
  </si>
  <si>
    <t>The Academyemies Of West Memphis Charter School</t>
  </si>
  <si>
    <t>Rocklin</t>
  </si>
  <si>
    <t>White Hall High School</t>
  </si>
  <si>
    <t>White Hall</t>
  </si>
  <si>
    <t>POBOX1655, Rocklin, CA 95677, USA</t>
  </si>
  <si>
    <t>Rivercrest High School</t>
  </si>
  <si>
    <t>Wilson</t>
  </si>
  <si>
    <t>Wynne High School</t>
  </si>
  <si>
    <t>Wynne</t>
  </si>
  <si>
    <t>Bellaire</t>
  </si>
  <si>
    <t xml:space="preserve"> Bellaire</t>
  </si>
  <si>
    <t>Yellville-Summit High School</t>
  </si>
  <si>
    <t>Yellville</t>
  </si>
  <si>
    <t>St. Hope Foundation 6800 West Loop South, Suite 580, Bellaire, TX 77401, USA</t>
  </si>
  <si>
    <t>Empower Generations</t>
  </si>
  <si>
    <t>Acton</t>
  </si>
  <si>
    <t>Sequoyah (Canton)</t>
  </si>
  <si>
    <t>Mission Academy</t>
  </si>
  <si>
    <t>4485 Hickory Rd, Canton, GA 30115, USA</t>
  </si>
  <si>
    <t>Vasquez High School</t>
  </si>
  <si>
    <t>Adelanto High School</t>
  </si>
  <si>
    <t>Adelanto</t>
  </si>
  <si>
    <t>Liberty Heights (Charlotte)</t>
  </si>
  <si>
    <t>Agoura High School</t>
  </si>
  <si>
    <t>Agoura</t>
  </si>
  <si>
    <t>10718 Lederer Ave, Charlotte, NC 28277, USA</t>
  </si>
  <si>
    <t>Alameda Community Learning Center</t>
  </si>
  <si>
    <t>Alameda</t>
  </si>
  <si>
    <t>Alameda High School</t>
  </si>
  <si>
    <t>East Ridge (Woodbury)</t>
  </si>
  <si>
    <t xml:space="preserve"> Woodbury</t>
  </si>
  <si>
    <t>4200 Pioneer Dr, Woodbury, MN 55129, USA</t>
  </si>
  <si>
    <t>Encinal Junior/Senior High School</t>
  </si>
  <si>
    <t>Albany High School</t>
  </si>
  <si>
    <t>New Oxford</t>
  </si>
  <si>
    <t xml:space="preserve"> New Oxford</t>
  </si>
  <si>
    <t>Alhambra</t>
  </si>
  <si>
    <t>8 Hanover St, New Oxford, PA 17350, USA</t>
  </si>
  <si>
    <t>Mark Keppel High School</t>
  </si>
  <si>
    <t>St. Francis Prep (Fresh Meadows)</t>
  </si>
  <si>
    <t>Aliso Niguel High School</t>
  </si>
  <si>
    <t xml:space="preserve"> Flushing</t>
  </si>
  <si>
    <t>Aliso Viejo</t>
  </si>
  <si>
    <t>61-00 Francis Lewis Blvd, Flushing, NY 11365, USA</t>
  </si>
  <si>
    <t>Alpaugh -Senior High School</t>
  </si>
  <si>
    <t>Alpaugh</t>
  </si>
  <si>
    <t>Alta Loma High School</t>
  </si>
  <si>
    <t>Alta Loma</t>
  </si>
  <si>
    <t>Carter (Dallas)</t>
  </si>
  <si>
    <t>8180 Park Ln #345, Dallas, TX 75231, USA</t>
  </si>
  <si>
    <t>Aveson Global Leadership Academy</t>
  </si>
  <si>
    <t>Kansas City, MO</t>
  </si>
  <si>
    <t>Bret Harte Union High School</t>
  </si>
  <si>
    <t>Altaville</t>
  </si>
  <si>
    <t>Modoc High School</t>
  </si>
  <si>
    <t>Alturas</t>
  </si>
  <si>
    <t>Washington (Memphis)</t>
  </si>
  <si>
    <t>1303 Washington Ave, Memphis, TN 38104, USA</t>
  </si>
  <si>
    <t>American Canyon High School</t>
  </si>
  <si>
    <t>American Canyon</t>
  </si>
  <si>
    <t>Anaheim High School</t>
  </si>
  <si>
    <t>Deer Park (Cincinnati)</t>
  </si>
  <si>
    <t>Canyon High School</t>
  </si>
  <si>
    <t>4244 Matson Ave, Cincinnati, OH 45236, USA</t>
  </si>
  <si>
    <t>Katella High School</t>
  </si>
  <si>
    <t>Adams Central (Hastings)</t>
  </si>
  <si>
    <t>Loara High School</t>
  </si>
  <si>
    <t xml:space="preserve"> Hastings</t>
  </si>
  <si>
    <t>5510 Co Rd 73, Hastings, NE 68901, USA</t>
  </si>
  <si>
    <t>Savanna High School</t>
  </si>
  <si>
    <t>20 S 2nd St, Newark, OH 43055, USA</t>
  </si>
  <si>
    <t>Western High School</t>
  </si>
  <si>
    <t>Anderson High School</t>
  </si>
  <si>
    <t>Anderson</t>
  </si>
  <si>
    <t>Americus-Sumter (Americus)</t>
  </si>
  <si>
    <t xml:space="preserve"> Americus</t>
  </si>
  <si>
    <t>Municipal Building City of Americus, 101 W Lamar St, Americus, GA 31709, USA</t>
  </si>
  <si>
    <t>Anderson New Technology High School</t>
  </si>
  <si>
    <t>Antelope High School</t>
  </si>
  <si>
    <t>Antelope</t>
  </si>
  <si>
    <t>St. Joseph Notre Dame (Alameda)</t>
  </si>
  <si>
    <t>Center High School</t>
  </si>
  <si>
    <t xml:space="preserve"> Alameda</t>
  </si>
  <si>
    <t>1011 Chestnut St, Alameda, CA 94501, USA</t>
  </si>
  <si>
    <t>Antioch High School</t>
  </si>
  <si>
    <t>Antioch</t>
  </si>
  <si>
    <t>Suwanee, GA</t>
  </si>
  <si>
    <t xml:space="preserve"> Bryant</t>
  </si>
  <si>
    <t>200 N Reynolds Rd, Bryant, AR 72022, USA</t>
  </si>
  <si>
    <t>Anza</t>
  </si>
  <si>
    <t>Apple Valley High School</t>
  </si>
  <si>
    <t>Apple Valley</t>
  </si>
  <si>
    <t>Palisades (Pacific Palisades)</t>
  </si>
  <si>
    <t xml:space="preserve"> Santa Monica</t>
  </si>
  <si>
    <t>Granite Hills High School</t>
  </si>
  <si>
    <t>520 Latimer Rd, Santa Monica, CA 90402, USA</t>
  </si>
  <si>
    <t>Aptos High School</t>
  </si>
  <si>
    <t>Delta Charter</t>
  </si>
  <si>
    <t>Waseca</t>
  </si>
  <si>
    <t xml:space="preserve"> Waseca</t>
  </si>
  <si>
    <t>110 S State St, Waseca, MN 56093, USA</t>
  </si>
  <si>
    <t>Pierce High School</t>
  </si>
  <si>
    <t>Arbuckle</t>
  </si>
  <si>
    <t>Arcadia</t>
  </si>
  <si>
    <t>Don Bosco Prep (Ramsey)</t>
  </si>
  <si>
    <t xml:space="preserve"> Ramsey</t>
  </si>
  <si>
    <t>492 Franklin Turnpike, Ramsey, NJ 07446, USA</t>
  </si>
  <si>
    <t>Arcata High School</t>
  </si>
  <si>
    <t>Arcata</t>
  </si>
  <si>
    <t>Northcoast Preparatory And Performing Arts Academy</t>
  </si>
  <si>
    <t>Eldorado (Albuquerque)</t>
  </si>
  <si>
    <t>Six Rivers Charter High School</t>
  </si>
  <si>
    <t>11300 Montgomery Blvd NE, Albuquerque, NM 87111, USA</t>
  </si>
  <si>
    <t>Arleta High School</t>
  </si>
  <si>
    <t>Arleta</t>
  </si>
  <si>
    <t>Arroyo Grande High School</t>
  </si>
  <si>
    <t>Great Oak (Temecula)</t>
  </si>
  <si>
    <t>32555 Deer Hollow Way, Temecula, CA 92592, USA</t>
  </si>
  <si>
    <t>Central Coast New Tech High School</t>
  </si>
  <si>
    <t>Arvin High School</t>
  </si>
  <si>
    <t>Arvin</t>
  </si>
  <si>
    <t>Zebulon B. Vance (Charlotte)</t>
  </si>
  <si>
    <t>Aurora, CO</t>
  </si>
  <si>
    <t>Atascadero High School</t>
  </si>
  <si>
    <t>Atascadero</t>
  </si>
  <si>
    <t>7600 IBM Dr, Charlotte, NC 28262, USA</t>
  </si>
  <si>
    <t>Menlo-Atherton High School</t>
  </si>
  <si>
    <t>Atherton</t>
  </si>
  <si>
    <t>Atwater High School</t>
  </si>
  <si>
    <t>Atwater</t>
  </si>
  <si>
    <t>9707 E Broadway St, Pearland, TX 77584, USA</t>
  </si>
  <si>
    <t>Buhach Colony High School</t>
  </si>
  <si>
    <t>Placer High School</t>
  </si>
  <si>
    <t>Avenal High School</t>
  </si>
  <si>
    <t>Sheboygan Area Lutheran (Sheboygan)</t>
  </si>
  <si>
    <t>Avenal</t>
  </si>
  <si>
    <t xml:space="preserve"> Sheboygan</t>
  </si>
  <si>
    <t>3323 University Dr, Sheboygan, WI 53081, USA</t>
  </si>
  <si>
    <t>Azusa High School</t>
  </si>
  <si>
    <t>Azusa</t>
  </si>
  <si>
    <t>Gladstone High School</t>
  </si>
  <si>
    <t>Highland (Warrenton)</t>
  </si>
  <si>
    <t xml:space="preserve"> Warrenton</t>
  </si>
  <si>
    <t>Baker</t>
  </si>
  <si>
    <t>597 Broadview Ave, Warrenton, VA 20186, USA</t>
  </si>
  <si>
    <t>Bakersfield High School</t>
  </si>
  <si>
    <t>Bakersfield</t>
  </si>
  <si>
    <t>Maryville</t>
  </si>
  <si>
    <t xml:space="preserve"> Maryville</t>
  </si>
  <si>
    <t>202 E Broadway Ave, Maryville, TN 37804, USA</t>
  </si>
  <si>
    <t>East Bakersfield High School</t>
  </si>
  <si>
    <t>Foothill High School</t>
  </si>
  <si>
    <t>Sebring</t>
  </si>
  <si>
    <t>Frontier High School</t>
  </si>
  <si>
    <t xml:space="preserve"> Sebring</t>
  </si>
  <si>
    <t>107 S Commerce Ave, Sebring, FL 33870, USA</t>
  </si>
  <si>
    <t>Golden Valley High School</t>
  </si>
  <si>
    <t>Anderson (Austin)</t>
  </si>
  <si>
    <t>8403 Mesa Dr, Austin, TX 78759, USA</t>
  </si>
  <si>
    <t>Naples, FL</t>
  </si>
  <si>
    <t xml:space="preserve"> McKinney</t>
  </si>
  <si>
    <t>Mira Monte High School</t>
  </si>
  <si>
    <t>102 N Central Expy, McKinney, TX 75070, USA</t>
  </si>
  <si>
    <t>La Marque</t>
  </si>
  <si>
    <t>Ridgeview High School</t>
  </si>
  <si>
    <t xml:space="preserve"> La Marque</t>
  </si>
  <si>
    <t>1111 Bayou Rd, La Marque, TX 77568, USA</t>
  </si>
  <si>
    <t>South High School</t>
  </si>
  <si>
    <t>Stockdale High School</t>
  </si>
  <si>
    <t>Gardena</t>
  </si>
  <si>
    <t xml:space="preserve"> Gardena</t>
  </si>
  <si>
    <t>Redondo Beach Bl &amp; Western Ave, Gardena, CA 90247, USA</t>
  </si>
  <si>
    <t>Baldwin Park High School</t>
  </si>
  <si>
    <t>Baldwin Park</t>
  </si>
  <si>
    <t>Sierra Vista High School</t>
  </si>
  <si>
    <t>Shallowater</t>
  </si>
  <si>
    <t xml:space="preserve"> Shallowater</t>
  </si>
  <si>
    <t>Banning High School</t>
  </si>
  <si>
    <t>707 Avenue G, Shallowater, TX 79363, USA</t>
  </si>
  <si>
    <t>Banning</t>
  </si>
  <si>
    <t>Barstow High School</t>
  </si>
  <si>
    <t>Barstow</t>
  </si>
  <si>
    <t>Beaumont Senior High School</t>
  </si>
  <si>
    <t>Trinity Episcopal (Richmond)</t>
  </si>
  <si>
    <t>3850 Pittaway Dr, Richmond, VA 23235, USA</t>
  </si>
  <si>
    <t>Bell Senior High School</t>
  </si>
  <si>
    <t>Bell</t>
  </si>
  <si>
    <t>Prepa Tec Los Angeles High School</t>
  </si>
  <si>
    <t>Peaster</t>
  </si>
  <si>
    <t xml:space="preserve"> Weatherford</t>
  </si>
  <si>
    <t>Bell Gardens High School</t>
  </si>
  <si>
    <t>Bell Gardens</t>
  </si>
  <si>
    <t>8776 FM 920, Weatherford, TX 76088, USA</t>
  </si>
  <si>
    <t>Bellflower High School</t>
  </si>
  <si>
    <t>Lausanne Collegiate (Memphis)</t>
  </si>
  <si>
    <t>Mayfair High School</t>
  </si>
  <si>
    <t>Columbia, MD</t>
  </si>
  <si>
    <t>1381 W Massey Rd, Memphis, TN 38120, USA</t>
  </si>
  <si>
    <t>Carlmont High School</t>
  </si>
  <si>
    <t>Belmont</t>
  </si>
  <si>
    <t>Benicia High School</t>
  </si>
  <si>
    <t>Benicia</t>
  </si>
  <si>
    <t>Sylvan Hills (Sherwood)</t>
  </si>
  <si>
    <t xml:space="preserve"> Sherwood</t>
  </si>
  <si>
    <t>405 Dee Jay Hudson Dr, Sherwood, AR 72120, USA</t>
  </si>
  <si>
    <t>Berkeley High School</t>
  </si>
  <si>
    <t>Berkeley</t>
  </si>
  <si>
    <t>Realm Charter</t>
  </si>
  <si>
    <t>New Town (Owings Mills)</t>
  </si>
  <si>
    <t xml:space="preserve"> Owings Mills</t>
  </si>
  <si>
    <t>Beverly Hills High School</t>
  </si>
  <si>
    <t>9704 Middle Mill Dr, Owings Mills, MD 21117, USA</t>
  </si>
  <si>
    <t>Big Valley Jr. Sr. High School</t>
  </si>
  <si>
    <t>Bieber</t>
  </si>
  <si>
    <t>Big Bear High School</t>
  </si>
  <si>
    <t>Big Bear Lake</t>
  </si>
  <si>
    <t>Big Pine High School</t>
  </si>
  <si>
    <t>Big Pine</t>
  </si>
  <si>
    <t>Trinity Catholic (St. Louis)</t>
  </si>
  <si>
    <t>Biggs High School</t>
  </si>
  <si>
    <t>Biggs</t>
  </si>
  <si>
    <t>1720 Redman Ave, St. Louis, MO 63138, USA</t>
  </si>
  <si>
    <t>Bishop Union High School</t>
  </si>
  <si>
    <t>Bishop</t>
  </si>
  <si>
    <t>Bloomington High School</t>
  </si>
  <si>
    <t>Fenwick (Oak Park)</t>
  </si>
  <si>
    <t>Palo Verde High School</t>
  </si>
  <si>
    <t>Blythe</t>
  </si>
  <si>
    <t>524 Washington Blvd, Oak Park, IL 60302, USA</t>
  </si>
  <si>
    <t>Bonsall High School</t>
  </si>
  <si>
    <t>Bonsall</t>
  </si>
  <si>
    <t>Anderson Valley Junior-Senior High School</t>
  </si>
  <si>
    <t>Webster (Tulsa)</t>
  </si>
  <si>
    <t>Boonville</t>
  </si>
  <si>
    <t>1919 W 40th St, Tulsa, OK 74107, USA</t>
  </si>
  <si>
    <t>Boron Junior-Senior High School</t>
  </si>
  <si>
    <t>Boron</t>
  </si>
  <si>
    <t>Borrego Springs High School</t>
  </si>
  <si>
    <t>Borrego Springs</t>
  </si>
  <si>
    <t>Hendrickson (Pflugerville)</t>
  </si>
  <si>
    <t>Needmore, PA</t>
  </si>
  <si>
    <t xml:space="preserve"> Pflugerville</t>
  </si>
  <si>
    <t>Brawley Union High School</t>
  </si>
  <si>
    <t>Brawley</t>
  </si>
  <si>
    <t>19201 Colorado Sand Dr, Pflugerville, TX 78660, USA</t>
  </si>
  <si>
    <t>Brea-Olinda High School</t>
  </si>
  <si>
    <t>Brea</t>
  </si>
  <si>
    <t>Heritage High School</t>
  </si>
  <si>
    <t>Palo Alto</t>
  </si>
  <si>
    <t xml:space="preserve"> Palo Alto</t>
  </si>
  <si>
    <t>668 Coleridge Ave, Palo Alto, CA 94301, USA</t>
  </si>
  <si>
    <t>Buena Park High School</t>
  </si>
  <si>
    <t>Buena Park</t>
  </si>
  <si>
    <t>Burbank High School</t>
  </si>
  <si>
    <t>Burbank</t>
  </si>
  <si>
    <t>BurrougHigh School High School</t>
  </si>
  <si>
    <t>32-38 E Main St, Ramsey, NJ 07446, USA</t>
  </si>
  <si>
    <t>Puc Cals Middle School And Early College High School</t>
  </si>
  <si>
    <t>Puc Comm Charter Mid And Puc Comm Charter Early College High School</t>
  </si>
  <si>
    <t>University of Detroit Jesuit (Detroit)</t>
  </si>
  <si>
    <t>8400 N Cambridge Ave, Detroit, MI 48221, USA</t>
  </si>
  <si>
    <t>Puc Early College Academy For Leaders And Scholars (Ecals)</t>
  </si>
  <si>
    <t>Puc Lakeview Charter High School</t>
  </si>
  <si>
    <t>Lone Peak (Highland)</t>
  </si>
  <si>
    <t xml:space="preserve"> Highland</t>
  </si>
  <si>
    <t>Puc Nueva Esperanza Charter Academy</t>
  </si>
  <si>
    <t>10189 N 4800 W, Highland, UT 84003, USA</t>
  </si>
  <si>
    <t>Puc Triumph Charter Academy And Puc Triumph Charter High School</t>
  </si>
  <si>
    <t>Burlingame High School</t>
  </si>
  <si>
    <t>Pecos</t>
  </si>
  <si>
    <t>Burlingame</t>
  </si>
  <si>
    <t xml:space="preserve"> Pecos</t>
  </si>
  <si>
    <t>Burney Junior-Senior High School</t>
  </si>
  <si>
    <t>8 S Main St, Pecos, NM 87552, USA</t>
  </si>
  <si>
    <t>Burney</t>
  </si>
  <si>
    <t>Calabasas High School</t>
  </si>
  <si>
    <t>Calabasas</t>
  </si>
  <si>
    <t>Wisconsin Dells</t>
  </si>
  <si>
    <t xml:space="preserve"> Wisconsin Dells</t>
  </si>
  <si>
    <t>Calexico High School</t>
  </si>
  <si>
    <t>452 Broadway, Wisconsin Dells, WI 53965, USA</t>
  </si>
  <si>
    <t>Calexico</t>
  </si>
  <si>
    <t>Worcester, NY</t>
  </si>
  <si>
    <t>California City High School</t>
  </si>
  <si>
    <t>California City</t>
  </si>
  <si>
    <t>Modesto Christian (Modesto)</t>
  </si>
  <si>
    <t xml:space="preserve"> Salida</t>
  </si>
  <si>
    <t>5901 Sisk Rd, Salida, CA 95368, USA</t>
  </si>
  <si>
    <t>Calipatria High School</t>
  </si>
  <si>
    <t>Calipatria</t>
  </si>
  <si>
    <t>Calistoga Junior-Senior High School</t>
  </si>
  <si>
    <t>Calistoga</t>
  </si>
  <si>
    <t>Fishers</t>
  </si>
  <si>
    <t xml:space="preserve"> Fishers</t>
  </si>
  <si>
    <t>Adolfo Camarillo High School</t>
  </si>
  <si>
    <t>8787 E 116th St, Fishers, IN 46038, USA</t>
  </si>
  <si>
    <t>Camarillo</t>
  </si>
  <si>
    <t>Architecture Construction &amp; Engineering Charter High School (Ace)</t>
  </si>
  <si>
    <t>East Coweta (Sharpsburg)</t>
  </si>
  <si>
    <t xml:space="preserve"> Sharpsburg</t>
  </si>
  <si>
    <t>Rancho Campana High School</t>
  </si>
  <si>
    <t>102 Main St, Sharpsburg, GA 30277, USA</t>
  </si>
  <si>
    <t>Coast Union High School</t>
  </si>
  <si>
    <t>Cambria</t>
  </si>
  <si>
    <t>Post Falls</t>
  </si>
  <si>
    <t>Westmont High School</t>
  </si>
  <si>
    <t>Campbell</t>
  </si>
  <si>
    <t xml:space="preserve"> Post Falls</t>
  </si>
  <si>
    <t>North 900 Suite #9, Post Falls, ID 83854, USA</t>
  </si>
  <si>
    <t>Canoga Park Senior High School</t>
  </si>
  <si>
    <t>Canoga Park</t>
  </si>
  <si>
    <t>Cardinal Hayes (Bronx)</t>
  </si>
  <si>
    <t>Canyon Country</t>
  </si>
  <si>
    <t>650 Grand Concourse, The Bronx, NY 10451, USA</t>
  </si>
  <si>
    <t>Carlsbad High School</t>
  </si>
  <si>
    <t>Sage Creek High School</t>
  </si>
  <si>
    <t>Murrah (Jackson)</t>
  </si>
  <si>
    <t>1400 Murrah Dr, Jackson, MS 39216, USA</t>
  </si>
  <si>
    <t>Carmel High School</t>
  </si>
  <si>
    <t>Loyalsock Township (Williamsport)</t>
  </si>
  <si>
    <t>Carpinteria Senior High School</t>
  </si>
  <si>
    <t>Carpinteria</t>
  </si>
  <si>
    <t xml:space="preserve"> Montoursville</t>
  </si>
  <si>
    <t>2501 E 3rd St, Montoursville, PA 17754, USA</t>
  </si>
  <si>
    <t>Academyemies Of Education And Empowerment At Carson High School</t>
  </si>
  <si>
    <t>Carson</t>
  </si>
  <si>
    <t>Academy Of Medical Arts At Carson High School</t>
  </si>
  <si>
    <t>Conroe, TX</t>
  </si>
  <si>
    <t>St. Mary's (Stockton)</t>
  </si>
  <si>
    <t>California Academy Of Mathematics And Science</t>
  </si>
  <si>
    <t>203 Washington St, Stockton, CA 95202, USA</t>
  </si>
  <si>
    <t>Carson Senior High School</t>
  </si>
  <si>
    <t>San Ramon Valley (Danville)</t>
  </si>
  <si>
    <t>Magnolia Science Academy 3</t>
  </si>
  <si>
    <t>216 Plumpointe Ln, San Ramon, CA 94582, USA</t>
  </si>
  <si>
    <t>Caruthers High School</t>
  </si>
  <si>
    <t>Caruthers</t>
  </si>
  <si>
    <t>Castro Valley High School</t>
  </si>
  <si>
    <t>Castro Valley</t>
  </si>
  <si>
    <t>Patrick Henry (Roanoke)</t>
  </si>
  <si>
    <t>North Monterey County High School</t>
  </si>
  <si>
    <t>Castroville</t>
  </si>
  <si>
    <t>2202 Grandin Rd SW, Roanoke, VA 24015, USA</t>
  </si>
  <si>
    <t>Cathedral City High School</t>
  </si>
  <si>
    <t>Cathedral City</t>
  </si>
  <si>
    <t>Surprise Valley High School</t>
  </si>
  <si>
    <t>The Rock (Gainesville)</t>
  </si>
  <si>
    <t xml:space="preserve"> Gainesville</t>
  </si>
  <si>
    <t>Central Valley High School</t>
  </si>
  <si>
    <t>Ceres</t>
  </si>
  <si>
    <t>9818 SW 24th Ave, Gainesville, FL 32607, USA</t>
  </si>
  <si>
    <t>Ceres High School</t>
  </si>
  <si>
    <t>Whitmore Charter High School</t>
  </si>
  <si>
    <t>Archer (Lawrenceville)</t>
  </si>
  <si>
    <t xml:space="preserve"> Lawrenceville</t>
  </si>
  <si>
    <t>Cerritos High School</t>
  </si>
  <si>
    <t>601 Professional Dr, Lawrenceville, GA 30046, USA</t>
  </si>
  <si>
    <t>Cerritos</t>
  </si>
  <si>
    <t>Gahr (Richard) High School</t>
  </si>
  <si>
    <t xml:space="preserve"> Pasadena</t>
  </si>
  <si>
    <t>Whitney (Gretchen) High School</t>
  </si>
  <si>
    <t>279 E Holly St, Pasadena, CA 91101, USA</t>
  </si>
  <si>
    <t>Chatsworth Charter High School</t>
  </si>
  <si>
    <t>Manor</t>
  </si>
  <si>
    <t>Chester Junior/Senior High School</t>
  </si>
  <si>
    <t xml:space="preserve"> Manor</t>
  </si>
  <si>
    <t>116 TX-212 Loop, Manor, TX 78653, USA</t>
  </si>
  <si>
    <t>Chico High School</t>
  </si>
  <si>
    <t>Chico</t>
  </si>
  <si>
    <t>East Lansing, MI</t>
  </si>
  <si>
    <t>Inspire School Of Arts And Sciences</t>
  </si>
  <si>
    <t>Northwood (Pittsboro)</t>
  </si>
  <si>
    <t xml:space="preserve"> Pittsboro</t>
  </si>
  <si>
    <t>310 Northwood High School Rd, Pittsboro, NC 27312, USA</t>
  </si>
  <si>
    <t>Pivot Charter School North Valley Ii</t>
  </si>
  <si>
    <t>Jackson South Side (Jackson)</t>
  </si>
  <si>
    <t>Chino High School</t>
  </si>
  <si>
    <t>Chino</t>
  </si>
  <si>
    <t>84 Harts Bridge Rd, Jackson, TN 38301, USA</t>
  </si>
  <si>
    <t>Don Antonio Lugo High School</t>
  </si>
  <si>
    <t>Plainfield</t>
  </si>
  <si>
    <t xml:space="preserve"> Plainfield</t>
  </si>
  <si>
    <t>Ruben S. Ayala High School</t>
  </si>
  <si>
    <t>174 S Avon Ave, Plainfield, IN 46168, USA</t>
  </si>
  <si>
    <t>Chino Hills High School</t>
  </si>
  <si>
    <t>Chino Hills</t>
  </si>
  <si>
    <t>St. Raymond Boys (Bronx)</t>
  </si>
  <si>
    <t>2155 St Raymond Ave, The Bronx, NY 10462, USA</t>
  </si>
  <si>
    <t>Chowchilla Union High School</t>
  </si>
  <si>
    <t>Chowchilla</t>
  </si>
  <si>
    <t>Bonita Vista Senior High School</t>
  </si>
  <si>
    <t>Kimball (Dallas)</t>
  </si>
  <si>
    <t>Castle Park Senior High School</t>
  </si>
  <si>
    <t>3701 Boulder Dr, Dallas, TX 75233, USA</t>
  </si>
  <si>
    <t>Chula Vista Senior High School</t>
  </si>
  <si>
    <t>Eastlake High School</t>
  </si>
  <si>
    <t>Eleanor Roosevelt (Greenbelt)</t>
  </si>
  <si>
    <t>Hilltop Senior High School</t>
  </si>
  <si>
    <t xml:space="preserve"> Greenbelt</t>
  </si>
  <si>
    <t>7601 Hanover Pkwy, Greenbelt, MD 20770, USA</t>
  </si>
  <si>
    <t>Maac Community Charter</t>
  </si>
  <si>
    <t>Olympian High School</t>
  </si>
  <si>
    <t>Wise (Upper Marlboro)</t>
  </si>
  <si>
    <t>Otay Ranch Senior High School</t>
  </si>
  <si>
    <t>12650 Brooke Ln, Upper Marlboro, MD 20772, USA</t>
  </si>
  <si>
    <t>Pompton Lakes, NJ</t>
  </si>
  <si>
    <t>Douglass (Upper Marlboro)</t>
  </si>
  <si>
    <t>Sweetwater Secondary</t>
  </si>
  <si>
    <t>8000 Croom Rd, Upper Marlboro, MD 20772, USA</t>
  </si>
  <si>
    <t>Mesa Verde High School</t>
  </si>
  <si>
    <t>Citrus Heights</t>
  </si>
  <si>
    <t>Lanphier (Springfield)</t>
  </si>
  <si>
    <t>1300 N 11th St, Springfield, IL 62702, USA</t>
  </si>
  <si>
    <t>San Juan High School</t>
  </si>
  <si>
    <t>Victor</t>
  </si>
  <si>
    <t xml:space="preserve"> Victor</t>
  </si>
  <si>
    <t>William Workman High School</t>
  </si>
  <si>
    <t>City Of Industry</t>
  </si>
  <si>
    <t>23 E Main St, Victor, NY 14564, USA</t>
  </si>
  <si>
    <t>Claremont High School</t>
  </si>
  <si>
    <t>Claremont</t>
  </si>
  <si>
    <t>McCluer (Florissant)</t>
  </si>
  <si>
    <t xml:space="preserve"> Florissant</t>
  </si>
  <si>
    <t>1896 S New Florissant Rd, Florissant, MO 63031, USA</t>
  </si>
  <si>
    <t>Delta High School</t>
  </si>
  <si>
    <t>Clarksburg</t>
  </si>
  <si>
    <t>Cloverdale High School</t>
  </si>
  <si>
    <t>Cloverdale</t>
  </si>
  <si>
    <t>Seattle Academy (Seattle)</t>
  </si>
  <si>
    <t>Buchanan High School</t>
  </si>
  <si>
    <t>1201 E Union St, Seattle, WA 98122, USA</t>
  </si>
  <si>
    <t>Clovis East High School</t>
  </si>
  <si>
    <t>Clovis High School</t>
  </si>
  <si>
    <t xml:space="preserve"> Augusta</t>
  </si>
  <si>
    <t>1201 Osage St, Augusta, KS 67010, USA</t>
  </si>
  <si>
    <t>Clovis Online Charter</t>
  </si>
  <si>
    <t>Coatesville</t>
  </si>
  <si>
    <t xml:space="preserve"> Coatesville</t>
  </si>
  <si>
    <t>Coalinga High School</t>
  </si>
  <si>
    <t>Coalinga</t>
  </si>
  <si>
    <t>107 Lincoln Hwy E, Coatesville, PA 19320, USA</t>
  </si>
  <si>
    <t>Coleville High School</t>
  </si>
  <si>
    <t>Coleville</t>
  </si>
  <si>
    <t>Normal University (Normal)</t>
  </si>
  <si>
    <t xml:space="preserve"> Normal</t>
  </si>
  <si>
    <t>Colfax High School</t>
  </si>
  <si>
    <t>Colfax</t>
  </si>
  <si>
    <t>Fell Hall, S University St, Normal, IL 61761, USA</t>
  </si>
  <si>
    <t>Colton High School</t>
  </si>
  <si>
    <t>Colton</t>
  </si>
  <si>
    <t>Belton, TX</t>
  </si>
  <si>
    <t>Colusa High School</t>
  </si>
  <si>
    <t>Colusa</t>
  </si>
  <si>
    <t>Dubuque Senior (Dubuque)</t>
  </si>
  <si>
    <t xml:space="preserve"> Dubuque</t>
  </si>
  <si>
    <t>1800 Clarke Dr, Dubuque, IA 52001, USA</t>
  </si>
  <si>
    <t>Compton</t>
  </si>
  <si>
    <t>Compton Early College High School</t>
  </si>
  <si>
    <t>Memorial (Frisco)</t>
  </si>
  <si>
    <t>Compton High School</t>
  </si>
  <si>
    <t>6440 Memorial Dr, Frisco, TX 75034, USA</t>
  </si>
  <si>
    <t>Dominguez High School</t>
  </si>
  <si>
    <t>Bartlett</t>
  </si>
  <si>
    <t>Clayton Valley Charter High School</t>
  </si>
  <si>
    <t xml:space="preserve"> Bartlett</t>
  </si>
  <si>
    <t>5680 TN-15, Bartlett, TN 38134, USA</t>
  </si>
  <si>
    <t>Mt. Diablo High School</t>
  </si>
  <si>
    <t>Edward Little (Auburn)</t>
  </si>
  <si>
    <t>77 Harris St, Auburn, ME 04210, USA</t>
  </si>
  <si>
    <t>Ygnacio Valley High School</t>
  </si>
  <si>
    <t>Corcoran High School</t>
  </si>
  <si>
    <t>Corcoran</t>
  </si>
  <si>
    <t>Cherry Creek (Greenwood Village)</t>
  </si>
  <si>
    <t xml:space="preserve"> Greenwood Village</t>
  </si>
  <si>
    <t>9300 E Union Ave, Greenwood Village, CO 80111, USA</t>
  </si>
  <si>
    <t>Corning Independent Study</t>
  </si>
  <si>
    <t>Gulfport</t>
  </si>
  <si>
    <t>3210 16th St, Gulfport, MS 39501, USA</t>
  </si>
  <si>
    <t>Corona High School</t>
  </si>
  <si>
    <t>Santiago High School</t>
  </si>
  <si>
    <t>University Prep (Rochester)</t>
  </si>
  <si>
    <t xml:space="preserve"> Rochester</t>
  </si>
  <si>
    <t>1290 Lake Ave, Rochester, NY 14613, USA</t>
  </si>
  <si>
    <t>Coronado</t>
  </si>
  <si>
    <t>College And Career Preparatory Academy</t>
  </si>
  <si>
    <t>Watchung Hills Regional (Warren)</t>
  </si>
  <si>
    <t>Costa Mesa</t>
  </si>
  <si>
    <t xml:space="preserve"> Warren</t>
  </si>
  <si>
    <t>84 Old Stirling Rd, Warren, NJ 07059, USA</t>
  </si>
  <si>
    <t>Corona Del Mar High School</t>
  </si>
  <si>
    <t>Costa Mesa High School</t>
  </si>
  <si>
    <t>Unity Christian (Hudsonville)</t>
  </si>
  <si>
    <t>Estancia High School</t>
  </si>
  <si>
    <t>5978 48th Ave, Hudsonville, MI 49426, USA</t>
  </si>
  <si>
    <t>Newport Harbor High School</t>
  </si>
  <si>
    <t>1 W 1st Ave, Odessa, WA 99159, USA</t>
  </si>
  <si>
    <t>Coulterville High School</t>
  </si>
  <si>
    <t>Coulterville</t>
  </si>
  <si>
    <t>Loyola (Los Angeles)</t>
  </si>
  <si>
    <t>919 Albany St, Los Angeles, CA 90015, USA</t>
  </si>
  <si>
    <t>Covelo</t>
  </si>
  <si>
    <t>Charter Oak High School</t>
  </si>
  <si>
    <t>Covina</t>
  </si>
  <si>
    <t>Howell</t>
  </si>
  <si>
    <t xml:space="preserve"> Howell</t>
  </si>
  <si>
    <t>102 E Grand River Ave, Howell, MI 48843, USA</t>
  </si>
  <si>
    <t>Covina High School</t>
  </si>
  <si>
    <t>Waubonsie Valley (Aurora)</t>
  </si>
  <si>
    <t>Del Norte High School</t>
  </si>
  <si>
    <t>Crescent City</t>
  </si>
  <si>
    <t>2590 Ogden Ave, Aurora, IL 60504, USA</t>
  </si>
  <si>
    <t>John Swett High School</t>
  </si>
  <si>
    <t>Crockett</t>
  </si>
  <si>
    <t>Culver City High School</t>
  </si>
  <si>
    <t>Culver City</t>
  </si>
  <si>
    <t xml:space="preserve"> Fairhope</t>
  </si>
  <si>
    <t>384 Fairhope Ave, Fairhope, AL 36532, USA</t>
  </si>
  <si>
    <t>Cupertino High School</t>
  </si>
  <si>
    <t>Cupertino</t>
  </si>
  <si>
    <t>Homestead High School</t>
  </si>
  <si>
    <t>Riverview Sarasota (Sarasota)</t>
  </si>
  <si>
    <t xml:space="preserve"> Sarasota</t>
  </si>
  <si>
    <t>1 Ram Way, Sarasota, FL 34231, USA</t>
  </si>
  <si>
    <t>Monta Vista High School</t>
  </si>
  <si>
    <t>Cypress High School</t>
  </si>
  <si>
    <t>Cypress</t>
  </si>
  <si>
    <t>Anaheim, CA</t>
  </si>
  <si>
    <t>Homestead (Fort Wayne)</t>
  </si>
  <si>
    <t>Oxford Academy</t>
  </si>
  <si>
    <t>4310 Homestead Rd, Fort Wayne, IN 46814, USA</t>
  </si>
  <si>
    <t>Jefferson High School</t>
  </si>
  <si>
    <t>Daly City</t>
  </si>
  <si>
    <t>Summit Public School: Shasta</t>
  </si>
  <si>
    <t>Windermere Prep (Windermere)</t>
  </si>
  <si>
    <t>Westmoor High School</t>
  </si>
  <si>
    <t>6180 Winter Garden Vineland Rd, Windermere, FL 34786, USA</t>
  </si>
  <si>
    <t>Dana Hills High School</t>
  </si>
  <si>
    <t>Dana Point</t>
  </si>
  <si>
    <t>Monte Vista High School</t>
  </si>
  <si>
    <t>Oak Cliff Faith Family Academy (Dallas)</t>
  </si>
  <si>
    <t>San Ramon Valley High School</t>
  </si>
  <si>
    <t>300 W Kiest Blvd, Dallas, TX 75224, USA</t>
  </si>
  <si>
    <t>Da Vinci Charter Academy</t>
  </si>
  <si>
    <t>Davis</t>
  </si>
  <si>
    <t>Davis Senior High School</t>
  </si>
  <si>
    <t>Amityville Memorial (Amityville)</t>
  </si>
  <si>
    <t xml:space="preserve"> Amityville</t>
  </si>
  <si>
    <t>Cesar E. Chavez High School</t>
  </si>
  <si>
    <t>Delano</t>
  </si>
  <si>
    <t>250 Merrick Rd, Amityville, NY 11701, USA</t>
  </si>
  <si>
    <t>Delano High School</t>
  </si>
  <si>
    <t>Pascack Hills (Montvale)</t>
  </si>
  <si>
    <t>Robert F. Kennedy High School</t>
  </si>
  <si>
    <t>225 W Grand Ave, Montvale, NJ 07645, USA</t>
  </si>
  <si>
    <t>Delhi High School</t>
  </si>
  <si>
    <t>Delhi</t>
  </si>
  <si>
    <t>Denair High School</t>
  </si>
  <si>
    <t>Denair</t>
  </si>
  <si>
    <t xml:space="preserve"> Jeffersonville</t>
  </si>
  <si>
    <t>501 E Court Ave, Jeffersonville, IN 47130, USA</t>
  </si>
  <si>
    <t>Desert Hot Springs High School</t>
  </si>
  <si>
    <t>Desert Hot Springs</t>
  </si>
  <si>
    <t>Diamond Bar High School</t>
  </si>
  <si>
    <t>Diamond Bar</t>
  </si>
  <si>
    <t>Concord Academy (Concord)</t>
  </si>
  <si>
    <t>Dinuba High School</t>
  </si>
  <si>
    <t>Dinuba</t>
  </si>
  <si>
    <t>166 Main St, Concord, MA 01742, USA</t>
  </si>
  <si>
    <t>Dixon High School</t>
  </si>
  <si>
    <t>Dixon</t>
  </si>
  <si>
    <t>Butte Valley High School</t>
  </si>
  <si>
    <t>Dorris</t>
  </si>
  <si>
    <t>Coppell, TX</t>
  </si>
  <si>
    <t>Dos Palos High School</t>
  </si>
  <si>
    <t>Dos Palos</t>
  </si>
  <si>
    <t>Community School of Naples (Naples)</t>
  </si>
  <si>
    <t xml:space="preserve"> Naples</t>
  </si>
  <si>
    <t>Downey High School</t>
  </si>
  <si>
    <t>13275 Livingston Rd, Naples, FL 34109, USA</t>
  </si>
  <si>
    <t>Downey</t>
  </si>
  <si>
    <t>Warren (Earl) High School</t>
  </si>
  <si>
    <t>Downieville Junior-Senior High School</t>
  </si>
  <si>
    <t>Downieville</t>
  </si>
  <si>
    <t>Haven</t>
  </si>
  <si>
    <t>California School Of The Arts - San Gabriel Valley</t>
  </si>
  <si>
    <t xml:space="preserve"> Haven</t>
  </si>
  <si>
    <t>Duarte</t>
  </si>
  <si>
    <t>209 S Kansas Ave, Haven, KS 67543, USA</t>
  </si>
  <si>
    <t>Duarte High School</t>
  </si>
  <si>
    <t>Dublin High School</t>
  </si>
  <si>
    <t>Velma Jackson (Camden)</t>
  </si>
  <si>
    <t>2000 Loring Rd Exd, Camden, MS 39045, USA</t>
  </si>
  <si>
    <t>Dunlap Leadership Academy</t>
  </si>
  <si>
    <t>Dunlap</t>
  </si>
  <si>
    <t>Dunsmuir High School</t>
  </si>
  <si>
    <t>Dunsmuir</t>
  </si>
  <si>
    <t>Pinecrest (Southern Pines)</t>
  </si>
  <si>
    <t xml:space="preserve"> Southern Pines</t>
  </si>
  <si>
    <t>44 Pinecrest Plaza, Southern Pines, NC 28387, USA</t>
  </si>
  <si>
    <t>Durham High School</t>
  </si>
  <si>
    <t>Durham</t>
  </si>
  <si>
    <t>Ednovate - Esperanza College Prep</t>
  </si>
  <si>
    <t>East Los Angeles</t>
  </si>
  <si>
    <t>Village Christian Academy (Fayetteville)</t>
  </si>
  <si>
    <t>East Palo Alto Academy</t>
  </si>
  <si>
    <t>East Palo Alto</t>
  </si>
  <si>
    <t>906 S McPherson Church Rd, Fayetteville, NC 28303, USA</t>
  </si>
  <si>
    <t>Eleanor Roosevelt High School</t>
  </si>
  <si>
    <t>Smoky Hill (Aurora)</t>
  </si>
  <si>
    <t>Desert Junior-Senior High School</t>
  </si>
  <si>
    <t>Edwards</t>
  </si>
  <si>
    <t>El Cajon Valley High School</t>
  </si>
  <si>
    <t>Valhalla High School</t>
  </si>
  <si>
    <t>Clovis East (Clovis)</t>
  </si>
  <si>
    <t>Dalton, GA</t>
  </si>
  <si>
    <t>2940 Leonard Ave, Clovis, CA 93619, USA</t>
  </si>
  <si>
    <t>Central Union High School</t>
  </si>
  <si>
    <t>El Centro</t>
  </si>
  <si>
    <t>Imperial Pathways Charter</t>
  </si>
  <si>
    <t>Taft (Woodland Hills)</t>
  </si>
  <si>
    <t xml:space="preserve"> Woodland Hills</t>
  </si>
  <si>
    <t>Southwest High School</t>
  </si>
  <si>
    <t>5461 Winnetka Ave, Woodland Hills, CA 91364, USA</t>
  </si>
  <si>
    <t>El Cerrito High School</t>
  </si>
  <si>
    <t>El Cerrito</t>
  </si>
  <si>
    <t>Summit Public School K2</t>
  </si>
  <si>
    <t>Glenwood (Chatham)</t>
  </si>
  <si>
    <t xml:space="preserve"> Chatham</t>
  </si>
  <si>
    <t>1501 Plummer Blvd, Chatham, IL 62629, USA</t>
  </si>
  <si>
    <t>Union Mine High School</t>
  </si>
  <si>
    <t>Oak Ridge High School</t>
  </si>
  <si>
    <t>El Dorado Hills</t>
  </si>
  <si>
    <t>Bluefield</t>
  </si>
  <si>
    <t xml:space="preserve"> Bluefield</t>
  </si>
  <si>
    <t>538 Princeton Ave, Bluefield, WV 24701, USA</t>
  </si>
  <si>
    <t>Arroyo High School</t>
  </si>
  <si>
    <t>El Monte</t>
  </si>
  <si>
    <t>El Monte High School</t>
  </si>
  <si>
    <t>Saint Mary's Hall (San Antonio)</t>
  </si>
  <si>
    <t>3735 Twisted Oaks Dr, San Antonio, TX 78217, USA</t>
  </si>
  <si>
    <t>Yosemite Park High School</t>
  </si>
  <si>
    <t>El Portal</t>
  </si>
  <si>
    <t>Lake Park (Roselle)</t>
  </si>
  <si>
    <t>Da Vinci Rise High School</t>
  </si>
  <si>
    <t>El Segundo</t>
  </si>
  <si>
    <t>600 Medinah Rd, Roselle, IL 60172, USA</t>
  </si>
  <si>
    <t>Da Vinci Science</t>
  </si>
  <si>
    <t>Chippewa Falls</t>
  </si>
  <si>
    <t>El Segundo High School</t>
  </si>
  <si>
    <t xml:space="preserve"> Chippewa Falls</t>
  </si>
  <si>
    <t>217 N Bridge St, Chippewa Falls, WI 54729, USA</t>
  </si>
  <si>
    <t>Invictus Academy Of Richmond</t>
  </si>
  <si>
    <t>El Sobrante</t>
  </si>
  <si>
    <t>Elk Creek Junior-Senior High School</t>
  </si>
  <si>
    <t>Elk Creek</t>
  </si>
  <si>
    <t>Houston Christian (Houston)</t>
  </si>
  <si>
    <t>2700 West Sam Houston Pkwy N, Houston, TX 77043, USA</t>
  </si>
  <si>
    <t>Mercedes, TX</t>
  </si>
  <si>
    <t>Cosumnes Oaks High School</t>
  </si>
  <si>
    <t>Elk Grove</t>
  </si>
  <si>
    <t>Elk Grove Charter</t>
  </si>
  <si>
    <t>Crater (Central Point)</t>
  </si>
  <si>
    <t xml:space="preserve"> Central Point</t>
  </si>
  <si>
    <t>2002 Scenic Ave, Central Point, OR 97502, USA</t>
  </si>
  <si>
    <t>Elk Grove High School</t>
  </si>
  <si>
    <t>Franklin High School</t>
  </si>
  <si>
    <t>Windsor Forest (Savannah)</t>
  </si>
  <si>
    <t xml:space="preserve"> Savannah</t>
  </si>
  <si>
    <t>Laguna Creek High School</t>
  </si>
  <si>
    <t>12442 Deerfield Rd, Savannah, GA 31419, USA</t>
  </si>
  <si>
    <t>Monterey Trail High School</t>
  </si>
  <si>
    <t>Mater Dei Catholic (Chula Vista)</t>
  </si>
  <si>
    <t xml:space="preserve"> Chula Vista</t>
  </si>
  <si>
    <t>Sava - Sacramento Academyemic And Vocational Academy - Egusd</t>
  </si>
  <si>
    <t>1615 Mater Dei Dr, Chula Vista, CA 91913, USA</t>
  </si>
  <si>
    <t>Emery Secondary</t>
  </si>
  <si>
    <t>Emeryville</t>
  </si>
  <si>
    <t>Concordia Lutheran (Tomball)</t>
  </si>
  <si>
    <t xml:space="preserve"> Tomball</t>
  </si>
  <si>
    <t>700 E Main St, Tomball, TX 77375, USA</t>
  </si>
  <si>
    <t>Canyon Crest Academy</t>
  </si>
  <si>
    <t>Encinitas</t>
  </si>
  <si>
    <t xml:space="preserve"> Russellville</t>
  </si>
  <si>
    <t>La Costa Canyon High School</t>
  </si>
  <si>
    <t>102 W Main St, Russellville, AR 72801, USA</t>
  </si>
  <si>
    <t>San Dieguito High School Academy</t>
  </si>
  <si>
    <t>Torrey Pines High School</t>
  </si>
  <si>
    <t>Cross Creek (Augusta)</t>
  </si>
  <si>
    <t>3855 Old Waynesboro Rd, Augusta, GA 30906, USA</t>
  </si>
  <si>
    <t>Escalon High School</t>
  </si>
  <si>
    <t>Escalon</t>
  </si>
  <si>
    <t>Classical Academy High School</t>
  </si>
  <si>
    <t>Escondido</t>
  </si>
  <si>
    <t>Irmo (Columbia)</t>
  </si>
  <si>
    <t xml:space="preserve"> Irmo</t>
  </si>
  <si>
    <t>Del Lago Academy - Campus Of Applied Science</t>
  </si>
  <si>
    <t>1265 Lake Murray Blvd, Irmo, SC 29063, USA</t>
  </si>
  <si>
    <t>Escondido Charter High School</t>
  </si>
  <si>
    <t>New Baltimore, MI</t>
  </si>
  <si>
    <t>Gate City</t>
  </si>
  <si>
    <t xml:space="preserve"> Gate City</t>
  </si>
  <si>
    <t>Escondido High School</t>
  </si>
  <si>
    <t>242 W Jackson St, Gate City, VA 24251, USA</t>
  </si>
  <si>
    <t>Orange Glen High School</t>
  </si>
  <si>
    <t>Kingfisher</t>
  </si>
  <si>
    <t>San Pasqual High School</t>
  </si>
  <si>
    <t xml:space="preserve"> Kingfisher</t>
  </si>
  <si>
    <t>119 E Miles Ave, Kingfisher, OK 73750, USA</t>
  </si>
  <si>
    <t>Esparto High School</t>
  </si>
  <si>
    <t>Esparto</t>
  </si>
  <si>
    <t>Etiwanda High School</t>
  </si>
  <si>
    <t>Greensburg</t>
  </si>
  <si>
    <t xml:space="preserve"> Greensburg</t>
  </si>
  <si>
    <t>Etna Union High School</t>
  </si>
  <si>
    <t>150 courthouse Square, Greensburg, IN 47240, USA</t>
  </si>
  <si>
    <t>Etna</t>
  </si>
  <si>
    <t>Eureka Senior High School</t>
  </si>
  <si>
    <t>Eureka</t>
  </si>
  <si>
    <t>Exeter Union High School</t>
  </si>
  <si>
    <t>Exeter</t>
  </si>
  <si>
    <t>Preston</t>
  </si>
  <si>
    <t xml:space="preserve"> Preston</t>
  </si>
  <si>
    <t>Bella Vista High School</t>
  </si>
  <si>
    <t>2 N State St, Preston, ID 83263, USA</t>
  </si>
  <si>
    <t>Fair Oaks</t>
  </si>
  <si>
    <t>Del Campo High School</t>
  </si>
  <si>
    <t>Angelo Rodriguez High School</t>
  </si>
  <si>
    <t xml:space="preserve"> Apopka</t>
  </si>
  <si>
    <t>644 Lexington Pkwy, Apopka, FL 32712, USA</t>
  </si>
  <si>
    <t>Armijo High School</t>
  </si>
  <si>
    <t>Fairfield High School</t>
  </si>
  <si>
    <t>Spanish Springs (Sparks)</t>
  </si>
  <si>
    <t xml:space="preserve"> Sparks</t>
  </si>
  <si>
    <t>Matt Garcia Career And College Academy</t>
  </si>
  <si>
    <t>784 Victorian Ave, Sparks, NV 89431, USA</t>
  </si>
  <si>
    <t>Vanden High School</t>
  </si>
  <si>
    <t>Ruskin (Kansas City)</t>
  </si>
  <si>
    <t>6603 E Red Bridge Rd, Kansas City, MO 64134, USA</t>
  </si>
  <si>
    <t>Fallbrook High School</t>
  </si>
  <si>
    <t>Fallbrook</t>
  </si>
  <si>
    <t>Houston, TX</t>
  </si>
  <si>
    <t>Farmersville High School</t>
  </si>
  <si>
    <t>Farmersville</t>
  </si>
  <si>
    <t>Cabell Midland (Ona)</t>
  </si>
  <si>
    <t xml:space="preserve"> Ona</t>
  </si>
  <si>
    <t>San Lorenzo Valley High School</t>
  </si>
  <si>
    <t>Felton</t>
  </si>
  <si>
    <t>2300 US-60, Ona, WV 25545, USA</t>
  </si>
  <si>
    <t>Ferndale High School</t>
  </si>
  <si>
    <t>Ferndale</t>
  </si>
  <si>
    <t xml:space="preserve"> Danville</t>
  </si>
  <si>
    <t>Fillmore Senior High School</t>
  </si>
  <si>
    <t>205 W Main St, Danville, IN 46122, USA</t>
  </si>
  <si>
    <t>Fillmore</t>
  </si>
  <si>
    <t>Firebaugh High School</t>
  </si>
  <si>
    <t>Firebaugh</t>
  </si>
  <si>
    <t>Grand Island Central Catholic (Grand Island)</t>
  </si>
  <si>
    <t xml:space="preserve"> Grand Island</t>
  </si>
  <si>
    <t>Folsom High School</t>
  </si>
  <si>
    <t>1200 N Ruby Ave, Grand Island, NE 68803, USA</t>
  </si>
  <si>
    <t>Vista Del Lago High School</t>
  </si>
  <si>
    <t>Fontana A. B. Miller High School</t>
  </si>
  <si>
    <t>Fontana</t>
  </si>
  <si>
    <t>Northside Christian Academy (Charlotte)</t>
  </si>
  <si>
    <t>Fontana High School</t>
  </si>
  <si>
    <t>333 Jeremiah Blvd, Charlotte, NC 28262, USA</t>
  </si>
  <si>
    <t>Henry J. Kaiser High School</t>
  </si>
  <si>
    <t>Florida State University High School (Tallahassee)</t>
  </si>
  <si>
    <t>Jurupa Hills High School</t>
  </si>
  <si>
    <t>3000 School House Rd, Tallahassee, FL 32311, USA</t>
  </si>
  <si>
    <t>Foresthill High School</t>
  </si>
  <si>
    <t>Foresthill</t>
  </si>
  <si>
    <t>Wauwatosa West (Wauwatosa)</t>
  </si>
  <si>
    <t xml:space="preserve"> Wauwatosa</t>
  </si>
  <si>
    <t>Center &amp; N114, Wauwatosa, WI 53222, USA</t>
  </si>
  <si>
    <t>El Molino High School</t>
  </si>
  <si>
    <t>Forestville</t>
  </si>
  <si>
    <t>Fort Bragg High School</t>
  </si>
  <si>
    <t>Fort Bragg</t>
  </si>
  <si>
    <t>Hillcrest (Riverside)</t>
  </si>
  <si>
    <t>Grand Forks, ND</t>
  </si>
  <si>
    <t>Fortuna Union High School</t>
  </si>
  <si>
    <t>Fortuna</t>
  </si>
  <si>
    <t>11800 Indiana Ave, Riverside, CA 92503, USA</t>
  </si>
  <si>
    <t>Fountain Valley High School</t>
  </si>
  <si>
    <t>Fountain Valley</t>
  </si>
  <si>
    <t>Appoquinimink (West Middletown)</t>
  </si>
  <si>
    <t>Los Amigos High School</t>
  </si>
  <si>
    <t>631 Main St, Odessa, DE 19730, USA</t>
  </si>
  <si>
    <t>Fowler High School</t>
  </si>
  <si>
    <t>Fowler</t>
  </si>
  <si>
    <t>Santa Cruz County Career Advancement Charter</t>
  </si>
  <si>
    <t>Dimond (Anchorage)</t>
  </si>
  <si>
    <t>Freedom</t>
  </si>
  <si>
    <t>1113 E Dimond Blvd, Anchorage, AK 99515, USA</t>
  </si>
  <si>
    <t>American High School</t>
  </si>
  <si>
    <t>Irvington High School</t>
  </si>
  <si>
    <t>Whitesboro (Marcy)</t>
  </si>
  <si>
    <t xml:space="preserve"> Marcy</t>
  </si>
  <si>
    <t>6000 NY-291, Marcy, NY 13403, USA</t>
  </si>
  <si>
    <t>John F. Kennedy High School</t>
  </si>
  <si>
    <t>Mission San Jose High School</t>
  </si>
  <si>
    <t>Suffern</t>
  </si>
  <si>
    <t xml:space="preserve"> Suffern</t>
  </si>
  <si>
    <t>139 Lafayette Avenue, PO Box 177, Suffern, NY 10901, USA</t>
  </si>
  <si>
    <t>Bullard High School</t>
  </si>
  <si>
    <t>Palm Springs</t>
  </si>
  <si>
    <t xml:space="preserve"> Palm Springs</t>
  </si>
  <si>
    <t>Career Technical Education Charter</t>
  </si>
  <si>
    <t>201 E Alejo Rd, Palm Springs, CA 92262, USA</t>
  </si>
  <si>
    <t>Carter G. Woodson Public Charter</t>
  </si>
  <si>
    <t>Central High School East Campus</t>
  </si>
  <si>
    <t>Hattiesburg</t>
  </si>
  <si>
    <t>Clovis North High School</t>
  </si>
  <si>
    <t>101117 Hardy St, Hattiesburg, MS 39401, USA</t>
  </si>
  <si>
    <t>Clovis West High School</t>
  </si>
  <si>
    <t>Edison High School</t>
  </si>
  <si>
    <t>Page (Sand Springs)</t>
  </si>
  <si>
    <t xml:space="preserve"> Sand Springs</t>
  </si>
  <si>
    <t>1399 E Charles Page Blvd, Sand Springs, OK 74063, USA</t>
  </si>
  <si>
    <t>Erma Duncan Polytechnical High School</t>
  </si>
  <si>
    <t>Fresno High School</t>
  </si>
  <si>
    <t>St. Johnsbury Academy (St. Johnsbury)</t>
  </si>
  <si>
    <t xml:space="preserve"> St Johnsbury</t>
  </si>
  <si>
    <t>Herbert Hoover High School</t>
  </si>
  <si>
    <t>1000 Main St, St Johnsbury, VT 05819, USA</t>
  </si>
  <si>
    <t>Mclane High School</t>
  </si>
  <si>
    <t>Phillip J Patino School Of Entrepreneurship</t>
  </si>
  <si>
    <t>Hastings</t>
  </si>
  <si>
    <t>Roosevelt High School</t>
  </si>
  <si>
    <t>630 W 3rd St, Hastings, NE 68901, USA</t>
  </si>
  <si>
    <t>School Of Unlimited Learning</t>
  </si>
  <si>
    <t>Garnet Valley (Glen Mills)</t>
  </si>
  <si>
    <t xml:space="preserve"> Glen Mills</t>
  </si>
  <si>
    <t>171 Bethel Rd, Glen Mills, PA 19342, USA</t>
  </si>
  <si>
    <t>Chaska</t>
  </si>
  <si>
    <t xml:space="preserve"> Chaska</t>
  </si>
  <si>
    <t>3230 Chaska Blvd, Chaska, MN 55318, USA</t>
  </si>
  <si>
    <t>Fullerton Union High School</t>
  </si>
  <si>
    <t>Wharton (Tampa)</t>
  </si>
  <si>
    <t>Sunny Hills High School</t>
  </si>
  <si>
    <t>20150 Bruce B Downs Blvd, Tampa, FL 33647, USA</t>
  </si>
  <si>
    <t>Troy High School</t>
  </si>
  <si>
    <t>Upper Room Christian (Dix Hills)</t>
  </si>
  <si>
    <t xml:space="preserve"> Dix Hills</t>
  </si>
  <si>
    <t>Galt High School</t>
  </si>
  <si>
    <t>722 Deer Park Ave, Dix Hills, NY 11746, USA</t>
  </si>
  <si>
    <t>Galt</t>
  </si>
  <si>
    <t>Liberty Ranch High School</t>
  </si>
  <si>
    <t>Brusly</t>
  </si>
  <si>
    <t xml:space="preserve"> Brusly</t>
  </si>
  <si>
    <t>1341 W Main St, Brusly, LA 70719, USA</t>
  </si>
  <si>
    <t>Bolsa Grande High School</t>
  </si>
  <si>
    <t>Garden Grove</t>
  </si>
  <si>
    <t>Osseo, MN</t>
  </si>
  <si>
    <t>Blair Oaks (Jefferson City)</t>
  </si>
  <si>
    <t>Garden Grove High School</t>
  </si>
  <si>
    <t>1813 Rte M, Jefferson City, MO 65101, USA</t>
  </si>
  <si>
    <t>Pacifica High School</t>
  </si>
  <si>
    <t>Crossings Christian (Oklahoma City)</t>
  </si>
  <si>
    <t>Rancho Alamitos High School</t>
  </si>
  <si>
    <t>14400 Portland Ave, Oklahoma City, OK 73134, USA</t>
  </si>
  <si>
    <t>Golden Sierra Junior Senior High School</t>
  </si>
  <si>
    <t>Christian Brothers Academy (Syracuse)</t>
  </si>
  <si>
    <t>Garden Valley</t>
  </si>
  <si>
    <t>6245 Randall Rd, Syracuse, NY 13214, USA</t>
  </si>
  <si>
    <t>Gardena Senior High School</t>
  </si>
  <si>
    <t>New Millennium Secondary</t>
  </si>
  <si>
    <t>Seton Catholic Central (Binghamton)</t>
  </si>
  <si>
    <t xml:space="preserve"> Binghamton</t>
  </si>
  <si>
    <t>70 Seminary Ave, Binghamton, NY 13905, USA</t>
  </si>
  <si>
    <t>Geyserville New Tech Academy</t>
  </si>
  <si>
    <t>Geyserville</t>
  </si>
  <si>
    <t>Chaparral (Parker)</t>
  </si>
  <si>
    <t>Christopher High School</t>
  </si>
  <si>
    <t xml:space="preserve"> Parker</t>
  </si>
  <si>
    <t>Gilroy</t>
  </si>
  <si>
    <t>15655 Brookstone Dr, Parker, CO 80134, USA</t>
  </si>
  <si>
    <t>Dr. Tj Owens Gilroy Early College Academy</t>
  </si>
  <si>
    <t>Gilroy High School</t>
  </si>
  <si>
    <t>Cathedral (Indianapolis)</t>
  </si>
  <si>
    <t>1347 N Meridian St, Indianapolis, IN 46202, USA</t>
  </si>
  <si>
    <t>Walnut Ridge (Columbus)</t>
  </si>
  <si>
    <t xml:space="preserve"> Columbus</t>
  </si>
  <si>
    <t>4841 E Livingston Ave, Columbus, OH 43227, USA</t>
  </si>
  <si>
    <t>Glendora High School</t>
  </si>
  <si>
    <t>Dos Pueblos Senior High School</t>
  </si>
  <si>
    <t>Goleta</t>
  </si>
  <si>
    <t>North Fremont (Ashton)</t>
  </si>
  <si>
    <t xml:space="preserve"> Ashton</t>
  </si>
  <si>
    <t>Gonzales High School</t>
  </si>
  <si>
    <t>Gonzales</t>
  </si>
  <si>
    <t>3581 E 1300 N, Ashton, ID 83420, USA</t>
  </si>
  <si>
    <t>Granada Hills Charter High School</t>
  </si>
  <si>
    <t>Granada Hills</t>
  </si>
  <si>
    <t>Lincoln Park Performing Arts (Midland)</t>
  </si>
  <si>
    <t>1 Lincoln Park, Midland, PA 15059, USA</t>
  </si>
  <si>
    <t>Valley Academy Of Arts And Sciences</t>
  </si>
  <si>
    <t>Grand Terrace High School Sch At The Ray Abril Jr. Edal Complex</t>
  </si>
  <si>
    <t>Grand Terrace</t>
  </si>
  <si>
    <t>Martin County (Stuart)</t>
  </si>
  <si>
    <t xml:space="preserve"> Stuart</t>
  </si>
  <si>
    <t>2 Florida A1A, Stuart, FL 34994, USA</t>
  </si>
  <si>
    <t>Granite Bay High School</t>
  </si>
  <si>
    <t>Granite Bay</t>
  </si>
  <si>
    <t>Bear River High School</t>
  </si>
  <si>
    <t>Grass Valley</t>
  </si>
  <si>
    <t>Cheltenham (Wyncote)</t>
  </si>
  <si>
    <t>Bitney Prep High School</t>
  </si>
  <si>
    <t>416 Waverly Rd, Wyncote, PA 19095, USA</t>
  </si>
  <si>
    <t>John Muir Charter</t>
  </si>
  <si>
    <t>Hickory (Hermitage)</t>
  </si>
  <si>
    <t xml:space="preserve"> Hermitage</t>
  </si>
  <si>
    <t>343 N Hermitage Rd, Hermitage, PA 16148, USA</t>
  </si>
  <si>
    <t>Nevada Union High School</t>
  </si>
  <si>
    <t>Greenfield High School</t>
  </si>
  <si>
    <t>Greenfield</t>
  </si>
  <si>
    <t xml:space="preserve"> Marion</t>
  </si>
  <si>
    <t>44 E Military Rd, Marion, AR 72364, USA</t>
  </si>
  <si>
    <t>Greenville Junior/Senior High School</t>
  </si>
  <si>
    <t>Gridley High School</t>
  </si>
  <si>
    <t>Gridley</t>
  </si>
  <si>
    <t>Seton Hall Prep (West Orange)</t>
  </si>
  <si>
    <t xml:space="preserve"> West Orange</t>
  </si>
  <si>
    <t>Tioga High School</t>
  </si>
  <si>
    <t>Groveland</t>
  </si>
  <si>
    <t>120 Northfield Ave, West Orange, NJ 07052, USA</t>
  </si>
  <si>
    <t>Gustine High School</t>
  </si>
  <si>
    <t>Gustine</t>
  </si>
  <si>
    <t>Corner Canyon (Draper)</t>
  </si>
  <si>
    <t>Glen A. Wilson High School</t>
  </si>
  <si>
    <t xml:space="preserve"> Draper</t>
  </si>
  <si>
    <t>Hacienda Heights</t>
  </si>
  <si>
    <t>Lubbock, TX</t>
  </si>
  <si>
    <t>13433 1300 E, Draper, UT 84020, USA</t>
  </si>
  <si>
    <t>Los Altos High School</t>
  </si>
  <si>
    <t>Half Moon Bay High School</t>
  </si>
  <si>
    <t>Stratford</t>
  </si>
  <si>
    <t>Half Moon Bay</t>
  </si>
  <si>
    <t xml:space="preserve"> Stratford</t>
  </si>
  <si>
    <t>118630 WI-153, Stratford, WI 54484, USA</t>
  </si>
  <si>
    <t>Hamilton City</t>
  </si>
  <si>
    <t>Hanford High School</t>
  </si>
  <si>
    <t>Hanford</t>
  </si>
  <si>
    <t>4984 Main St, Lewisville, TX 75056, USA</t>
  </si>
  <si>
    <t>Hanford Online Charter</t>
  </si>
  <si>
    <t>Hanford West High School</t>
  </si>
  <si>
    <t>Braswell (Little Elm)</t>
  </si>
  <si>
    <t>Sierra Pacific High School</t>
  </si>
  <si>
    <t xml:space="preserve"> Little Elm</t>
  </si>
  <si>
    <t>Braswell Dr, Little Elm, TX 75068, USA</t>
  </si>
  <si>
    <t>Happy Camp High School</t>
  </si>
  <si>
    <t>Happy Camp</t>
  </si>
  <si>
    <t>Humanities And Arts (Harts) Academy Of Los Angeles</t>
  </si>
  <si>
    <t>Harbor City</t>
  </si>
  <si>
    <t>Jones (Orlando)</t>
  </si>
  <si>
    <t>Nathaniel Narbonne Senior High School</t>
  </si>
  <si>
    <t>801 Rio Grande Ave, Orlando, FL 32805, USA</t>
  </si>
  <si>
    <t>Da Vinci Communications High School</t>
  </si>
  <si>
    <t>Putnam City West (Oklahoma City)</t>
  </si>
  <si>
    <t>Da Vinci Design</t>
  </si>
  <si>
    <t>8500 NW 23rd St, Oklahoma City, OK 73127, USA</t>
  </si>
  <si>
    <t>Hawthorne High School</t>
  </si>
  <si>
    <t>Hawthorne Math And Science Academy</t>
  </si>
  <si>
    <t>North Central (Indianapolis)</t>
  </si>
  <si>
    <t>1801 E 86th St, Indianapolis, IN 46240, USA</t>
  </si>
  <si>
    <t>Hayfork High School</t>
  </si>
  <si>
    <t>Hayfork</t>
  </si>
  <si>
    <t>Hayward High School</t>
  </si>
  <si>
    <t>Hayward</t>
  </si>
  <si>
    <t>Mt. Eden High School</t>
  </si>
  <si>
    <t>Mater Dei (Breese)</t>
  </si>
  <si>
    <t>Holmes, NY</t>
  </si>
  <si>
    <t xml:space="preserve"> Breese</t>
  </si>
  <si>
    <t>Silver Oak High School Public Montessori Charter</t>
  </si>
  <si>
    <t>900 Mater Dei Dr, Breese, IL 62230, USA</t>
  </si>
  <si>
    <t>Tennyson High School</t>
  </si>
  <si>
    <t>Bob Jones (Madison)</t>
  </si>
  <si>
    <t>Healdsburg High School</t>
  </si>
  <si>
    <t>Healdsburg</t>
  </si>
  <si>
    <t>650 Hughes Rd, Madison, AL 35758, USA</t>
  </si>
  <si>
    <t>Academy Of Careers And Exploration</t>
  </si>
  <si>
    <t>Helendale</t>
  </si>
  <si>
    <t>Pampa</t>
  </si>
  <si>
    <t xml:space="preserve"> Pampa</t>
  </si>
  <si>
    <t>Hemet High School</t>
  </si>
  <si>
    <t>101 S Ballard St, Pampa, TX 79065, USA</t>
  </si>
  <si>
    <t>Hemet</t>
  </si>
  <si>
    <t>Tahquitz High School</t>
  </si>
  <si>
    <t>Hillcrest (Country Club Hills)</t>
  </si>
  <si>
    <t xml:space="preserve"> Country Club Hills</t>
  </si>
  <si>
    <t>17401 175th St, Country Club Hills, IL 60478, USA</t>
  </si>
  <si>
    <t>Western Center Academy</t>
  </si>
  <si>
    <t>Hercules High School</t>
  </si>
  <si>
    <t>Hercules</t>
  </si>
  <si>
    <t>Lawrence</t>
  </si>
  <si>
    <t>Herlong High School</t>
  </si>
  <si>
    <t xml:space="preserve"> Lawrence</t>
  </si>
  <si>
    <t>Herlong</t>
  </si>
  <si>
    <t>636 Massachusetts St, Lawrence, KS 66044, USA</t>
  </si>
  <si>
    <t>Alta Vista Innovation High School</t>
  </si>
  <si>
    <t>Encore Jr./Sr. High School Sch For The Perf And Visual Arts</t>
  </si>
  <si>
    <t>Hesperia High School</t>
  </si>
  <si>
    <t>Sultana High School</t>
  </si>
  <si>
    <t>Milwaukee King (Milwaukee)</t>
  </si>
  <si>
    <t xml:space="preserve"> Milwaukee</t>
  </si>
  <si>
    <t>Summit Leadership Academy-High School Desert</t>
  </si>
  <si>
    <t>1801 W Olive St, Milwaukee, WI 53209, USA</t>
  </si>
  <si>
    <t>Hilmar High School</t>
  </si>
  <si>
    <t>Hilmar</t>
  </si>
  <si>
    <t>San Benito High School</t>
  </si>
  <si>
    <t>Montclair, CA</t>
  </si>
  <si>
    <t>Hollister</t>
  </si>
  <si>
    <t>Helen Bernstein High School</t>
  </si>
  <si>
    <t>Hollywood</t>
  </si>
  <si>
    <t>Christian (El Cajon)</t>
  </si>
  <si>
    <t>Stem Academy At Bernstein High School</t>
  </si>
  <si>
    <t>2100 Greenfield Dr, El Cajon, CA 92019, USA</t>
  </si>
  <si>
    <t>Holtville</t>
  </si>
  <si>
    <t>Hoopa Valley High School</t>
  </si>
  <si>
    <t>Hoopa</t>
  </si>
  <si>
    <t xml:space="preserve"> Hamilton</t>
  </si>
  <si>
    <t>HugHigh Schoolon High School</t>
  </si>
  <si>
    <t>Hughson</t>
  </si>
  <si>
    <t>98 Marcus St, Hamilton, MT 59840, USA</t>
  </si>
  <si>
    <t>Huntington Beach</t>
  </si>
  <si>
    <t>Huntington Beach High School</t>
  </si>
  <si>
    <t>Columbus Grove</t>
  </si>
  <si>
    <t xml:space="preserve"> Columbus Grove</t>
  </si>
  <si>
    <t>104 N High St, Columbus Grove, OH 45830, USA</t>
  </si>
  <si>
    <t>Marina High School</t>
  </si>
  <si>
    <t>Ocean View High School</t>
  </si>
  <si>
    <t>Sentinel (Missoula)</t>
  </si>
  <si>
    <t>901 South Ave W, Missoula, MT 59801, USA</t>
  </si>
  <si>
    <t>Aspire Ollin University Preparatory Academy</t>
  </si>
  <si>
    <t>Huntington Park</t>
  </si>
  <si>
    <t>Huntington Park Senior High School</t>
  </si>
  <si>
    <t>160 NW 1st St, Toledo, OR 97391, USA</t>
  </si>
  <si>
    <t>Linda Esperanza Marquez High School A Hntngtn Park Inst Of Appl Med</t>
  </si>
  <si>
    <t>Linda Esperanza Marquez High School B Libra Academy</t>
  </si>
  <si>
    <t>Start (Toledo)</t>
  </si>
  <si>
    <t>Linda Esperanza Marquez High School C School Of Social Justice</t>
  </si>
  <si>
    <t>2010 Tremainsville Rd, Toledo, OH 43613, USA</t>
  </si>
  <si>
    <t>Imperial High School</t>
  </si>
  <si>
    <t>Imperial</t>
  </si>
  <si>
    <t>Mar Vista Senior High School</t>
  </si>
  <si>
    <t>Imperial Beach</t>
  </si>
  <si>
    <t>Robert C. Byrd (Clarksburg)</t>
  </si>
  <si>
    <t xml:space="preserve"> Mt Clare</t>
  </si>
  <si>
    <t>830 Eagle Way, Mt Clare, WV 26408, USA</t>
  </si>
  <si>
    <t>Owens Valley High School</t>
  </si>
  <si>
    <t>Independence</t>
  </si>
  <si>
    <t>Indio High School</t>
  </si>
  <si>
    <t>Indio</t>
  </si>
  <si>
    <t>Steward (Richmond)</t>
  </si>
  <si>
    <t>Shadow Hills High School</t>
  </si>
  <si>
    <t>11600 Gayton Rd, Richmond, VA 23238, USA</t>
  </si>
  <si>
    <t>City Honors College Preparatory Academy</t>
  </si>
  <si>
    <t>Inglewood</t>
  </si>
  <si>
    <t>Centreville (Clifton)</t>
  </si>
  <si>
    <t>Inglewood High School</t>
  </si>
  <si>
    <t xml:space="preserve"> Centreville</t>
  </si>
  <si>
    <t>13938 Braddock Rd, Centreville, VA 20120, USA</t>
  </si>
  <si>
    <t>Morningside High School</t>
  </si>
  <si>
    <t>New Opportunities Charter</t>
  </si>
  <si>
    <t>Buford</t>
  </si>
  <si>
    <t>Irvine High School</t>
  </si>
  <si>
    <t>101 E Main St NE, Buford, GA 30518, USA</t>
  </si>
  <si>
    <t>Irvine</t>
  </si>
  <si>
    <t>Northwood High School</t>
  </si>
  <si>
    <t>Maple Mountain (Spanish Fork)</t>
  </si>
  <si>
    <t>Portola High School</t>
  </si>
  <si>
    <t xml:space="preserve"> Spanish Fork</t>
  </si>
  <si>
    <t>51 N 2550 E, Spanish Fork, UT 84660, USA</t>
  </si>
  <si>
    <t>Woodbridge High School</t>
  </si>
  <si>
    <t>Manual (Peoria)</t>
  </si>
  <si>
    <t>811 S Griswold St, Peoria, IL 61605, USA</t>
  </si>
  <si>
    <t>Argonaut High School</t>
  </si>
  <si>
    <t>Julian High School</t>
  </si>
  <si>
    <t>Julian</t>
  </si>
  <si>
    <t>North Catholic (Cranberry Township)</t>
  </si>
  <si>
    <t xml:space="preserve"> Cranberry Twp</t>
  </si>
  <si>
    <t>Jurupa Valley High School</t>
  </si>
  <si>
    <t>Jurupa Valley</t>
  </si>
  <si>
    <t>1617 PA-228, Cranberry Twp, PA 16066, USA</t>
  </si>
  <si>
    <t>Patriot High School</t>
  </si>
  <si>
    <t>Crossroads (Santa Monica)</t>
  </si>
  <si>
    <t>Rivercrest Preparatory</t>
  </si>
  <si>
    <t>1714 21st St, Santa Monica, CA 90404, USA</t>
  </si>
  <si>
    <t>Rubidoux High School</t>
  </si>
  <si>
    <t>Kelseyville High School</t>
  </si>
  <si>
    <t>Northwest Guilford (Greensboro)</t>
  </si>
  <si>
    <t>Kelseyville</t>
  </si>
  <si>
    <t>5240 NW School Rd, Greensboro, NC 27409, USA</t>
  </si>
  <si>
    <t>Kerman High School</t>
  </si>
  <si>
    <t>Kerman</t>
  </si>
  <si>
    <t>King City High School</t>
  </si>
  <si>
    <t xml:space="preserve"> Breaux Bridge</t>
  </si>
  <si>
    <t>103 S Main St, Breaux Bridge, LA 70517, USA</t>
  </si>
  <si>
    <t>Pinnacle Academy Charter - Independent Study</t>
  </si>
  <si>
    <t>Quebec City, Canada</t>
  </si>
  <si>
    <t>Kingsburg High School</t>
  </si>
  <si>
    <t>Kingsburg</t>
  </si>
  <si>
    <t>Central Florida Christian Academy (Ocoee)</t>
  </si>
  <si>
    <t>La Canada High School</t>
  </si>
  <si>
    <t>La Canada</t>
  </si>
  <si>
    <t>700 Good Homes Rd, Orlando, FL 32818, USA</t>
  </si>
  <si>
    <t>Anderson W. Clark Magnet High School</t>
  </si>
  <si>
    <t>La Crescenta</t>
  </si>
  <si>
    <t>Edmond North (Edmond)</t>
  </si>
  <si>
    <t>Crescenta Valley High School</t>
  </si>
  <si>
    <t xml:space="preserve"> Edmond</t>
  </si>
  <si>
    <t>215 W Danforth Rd, Edmond, OK 73003, USA</t>
  </si>
  <si>
    <t>Don Pedro High School</t>
  </si>
  <si>
    <t>La Grange</t>
  </si>
  <si>
    <t>La Habra High School</t>
  </si>
  <si>
    <t>La Habra</t>
  </si>
  <si>
    <t>Crespi (Encino)</t>
  </si>
  <si>
    <t xml:space="preserve"> Encino</t>
  </si>
  <si>
    <t>5031 Alonzo Ave, Encino, CA 91316, USA</t>
  </si>
  <si>
    <t>Sonora High School</t>
  </si>
  <si>
    <t>La Jolla High School</t>
  </si>
  <si>
    <t>Bishop Guilfoyle (Altoona)</t>
  </si>
  <si>
    <t xml:space="preserve"> Altoona</t>
  </si>
  <si>
    <t>Preuss School Ucsd</t>
  </si>
  <si>
    <t>2400 Pleasant Valley Blvd, Altoona, PA 16602, USA</t>
  </si>
  <si>
    <t>Grossmont High School</t>
  </si>
  <si>
    <t>La Mesa</t>
  </si>
  <si>
    <t>Helix High School</t>
  </si>
  <si>
    <t>La Mirada High School</t>
  </si>
  <si>
    <t>La Mirada</t>
  </si>
  <si>
    <t>Greene County Tech (Paragould)</t>
  </si>
  <si>
    <t xml:space="preserve"> Paragould</t>
  </si>
  <si>
    <t>5205 W Kingshighway, Paragould, AR 72450, USA</t>
  </si>
  <si>
    <t>La Palma</t>
  </si>
  <si>
    <t>Bassett Senior High School</t>
  </si>
  <si>
    <t>La Puente</t>
  </si>
  <si>
    <t>Hamilton (Chandler)</t>
  </si>
  <si>
    <t>La Puente High School</t>
  </si>
  <si>
    <t>3700 S Arizona Ave, Chandler, AZ 85248, USA</t>
  </si>
  <si>
    <t>La Quinta High School</t>
  </si>
  <si>
    <t>La Quinta</t>
  </si>
  <si>
    <t>Acalanes High School</t>
  </si>
  <si>
    <t>Sacred Heart Prep (Atherton)</t>
  </si>
  <si>
    <t>Laguna Beach High School</t>
  </si>
  <si>
    <t>Laguna Beach</t>
  </si>
  <si>
    <t>150 Valparaiso Ave, Atherton, CA 94027, USA</t>
  </si>
  <si>
    <t>Laguna Hills High School</t>
  </si>
  <si>
    <t>Laguna Hills</t>
  </si>
  <si>
    <t>Rim Of The World Senior High School</t>
  </si>
  <si>
    <t>Cleveland, TN</t>
  </si>
  <si>
    <t>Lake Arrowhead</t>
  </si>
  <si>
    <t>Birmingham Community Charter High School</t>
  </si>
  <si>
    <t>Lake Balboa</t>
  </si>
  <si>
    <t>Oak Forest</t>
  </si>
  <si>
    <t xml:space="preserve"> Oak Forest</t>
  </si>
  <si>
    <t>Daniel Pearl Journalism &amp; Communications Magnet</t>
  </si>
  <si>
    <t>5101 159th St, Oak Forest, IL 60452, USA</t>
  </si>
  <si>
    <t>High School Tech La</t>
  </si>
  <si>
    <t>Boston College High (Boston)</t>
  </si>
  <si>
    <t xml:space="preserve"> Boston</t>
  </si>
  <si>
    <t>Lake Elsinore</t>
  </si>
  <si>
    <t>150 Morrissey Blvd, Boston, MA 02125, USA</t>
  </si>
  <si>
    <t>Temescal Canyon High School</t>
  </si>
  <si>
    <t>Bishop Lynch (Dallas)</t>
  </si>
  <si>
    <t>El Toro High School</t>
  </si>
  <si>
    <t>Lake Forest</t>
  </si>
  <si>
    <t>9750 Ferguson Rd, Dallas, TX 75228, USA</t>
  </si>
  <si>
    <t>Kern Valley High School</t>
  </si>
  <si>
    <t>Lake Isabella</t>
  </si>
  <si>
    <t>Clear Lake High School</t>
  </si>
  <si>
    <t>Lakeport</t>
  </si>
  <si>
    <t>Independence (Charlotte)</t>
  </si>
  <si>
    <t>3501 E Independence Blvd, Charlotte, NC 28205, USA</t>
  </si>
  <si>
    <t>El Capitan High School</t>
  </si>
  <si>
    <t>River Valley Charter</t>
  </si>
  <si>
    <t>Independence (Frisco)</t>
  </si>
  <si>
    <t>Artesia High School</t>
  </si>
  <si>
    <t>10555 Independence Pkwy, Frisco, TX 75035, USA</t>
  </si>
  <si>
    <t>Lakewood High School</t>
  </si>
  <si>
    <t>Odyssey Stem Academy</t>
  </si>
  <si>
    <t>Bishop Kenny (Jacksonville)</t>
  </si>
  <si>
    <t>Kingman Ave, Jacksonville, FL 32207, USA</t>
  </si>
  <si>
    <t>Antelope Valley High School</t>
  </si>
  <si>
    <t>Desert Sands Charter</t>
  </si>
  <si>
    <t>Stuart Hall (San Francisco)</t>
  </si>
  <si>
    <t>1715 Octavia St, San Francisco, CA 94109, USA</t>
  </si>
  <si>
    <t>Eastside High School</t>
  </si>
  <si>
    <t>Lancaster High School</t>
  </si>
  <si>
    <t>Mead (Longmont)</t>
  </si>
  <si>
    <t xml:space="preserve"> Longmont</t>
  </si>
  <si>
    <t>Vista Real Charter High School</t>
  </si>
  <si>
    <t>12750 Co Rd 7, Longmont, CO 80504, USA</t>
  </si>
  <si>
    <t>Redwood High School</t>
  </si>
  <si>
    <t>Larkspur</t>
  </si>
  <si>
    <t>West Linn</t>
  </si>
  <si>
    <t>Tesoro High School</t>
  </si>
  <si>
    <t>Las Flores</t>
  </si>
  <si>
    <t xml:space="preserve"> West Linn</t>
  </si>
  <si>
    <t>Willamette Dr &amp; Hidden Springs, West Linn, OR 97068, USA</t>
  </si>
  <si>
    <t>Laton High School</t>
  </si>
  <si>
    <t>Laton</t>
  </si>
  <si>
    <t>Environmental Charter High School</t>
  </si>
  <si>
    <t>Lawndale</t>
  </si>
  <si>
    <t>Kettle Moraine Lutheran (Jackson)</t>
  </si>
  <si>
    <t>3399 Division Rd, Jackson, WI 53037, USA</t>
  </si>
  <si>
    <t>Family First Charter</t>
  </si>
  <si>
    <t>Lawndale High School</t>
  </si>
  <si>
    <t>Eaglecrest (Centennial)</t>
  </si>
  <si>
    <t>5100 S Picadilly St, Aurora, CO 80015, USA</t>
  </si>
  <si>
    <t>Leuzinger High School</t>
  </si>
  <si>
    <t>Laytonville High School</t>
  </si>
  <si>
    <t>Laytonville</t>
  </si>
  <si>
    <t>Wilson (Washington)</t>
  </si>
  <si>
    <t>Le Grand High School</t>
  </si>
  <si>
    <t>3950 Chesapeake St NW, Washington, DC 20016, USA</t>
  </si>
  <si>
    <t>Le Grand</t>
  </si>
  <si>
    <t>Frazier Mountain High School</t>
  </si>
  <si>
    <t>Lebec</t>
  </si>
  <si>
    <t>Milton Hershey (Hershey)</t>
  </si>
  <si>
    <t xml:space="preserve"> Hershey</t>
  </si>
  <si>
    <t>Lee Vining High School</t>
  </si>
  <si>
    <t>Lee Vining</t>
  </si>
  <si>
    <t>1201 E Homestead Ln, Hershey, PA 17033, USA</t>
  </si>
  <si>
    <t>Leggett Valley High School</t>
  </si>
  <si>
    <t>Leggett</t>
  </si>
  <si>
    <t>Lemoore High School</t>
  </si>
  <si>
    <t>Cathedral Prep (Erie)</t>
  </si>
  <si>
    <t>Lemoore</t>
  </si>
  <si>
    <t>225 W 9th St, Erie, PA 16501, USA</t>
  </si>
  <si>
    <t>Lemoore Middle College High School</t>
  </si>
  <si>
    <t>Lemoore Online College Preparatory High School</t>
  </si>
  <si>
    <t>Sterling</t>
  </si>
  <si>
    <t xml:space="preserve"> Sterling</t>
  </si>
  <si>
    <t>Lennox Mathematics Science And Technology Academy</t>
  </si>
  <si>
    <t>Lennox</t>
  </si>
  <si>
    <t>Unnamed Road, Sterling, CO 80751, USA</t>
  </si>
  <si>
    <t>Ballston Spa, NY</t>
  </si>
  <si>
    <t>Oakland Tech (Oakland)</t>
  </si>
  <si>
    <t>Lindsay Senior High School</t>
  </si>
  <si>
    <t>Lindsay</t>
  </si>
  <si>
    <t>4351 Broadway, Oakland, CA 94611, USA</t>
  </si>
  <si>
    <t>Littlerock High School</t>
  </si>
  <si>
    <t>Littlerock</t>
  </si>
  <si>
    <t>Rayville</t>
  </si>
  <si>
    <t xml:space="preserve"> Rayville</t>
  </si>
  <si>
    <t>Live Oak High School</t>
  </si>
  <si>
    <t>864CF68R+W9 500 dаrby rd Hаvertown, PA 19083, Rayville, LA 71269, United States</t>
  </si>
  <si>
    <t>Live Oak</t>
  </si>
  <si>
    <t>Granada High School</t>
  </si>
  <si>
    <t>Livermore High School</t>
  </si>
  <si>
    <t>St. Pius X-St. Matthias Academy (Downey)</t>
  </si>
  <si>
    <t xml:space="preserve"> Downey</t>
  </si>
  <si>
    <t>7851 Gardendale St, Downey, CA 90242, USA</t>
  </si>
  <si>
    <t>Livingston High School</t>
  </si>
  <si>
    <t>Livingston</t>
  </si>
  <si>
    <t>Lodi High School</t>
  </si>
  <si>
    <t>Lodi</t>
  </si>
  <si>
    <t>Western Branch (Chesapeake)</t>
  </si>
  <si>
    <t xml:space="preserve"> Chesapeake</t>
  </si>
  <si>
    <t>Tokay High School</t>
  </si>
  <si>
    <t>4215 Foxxglen Run, Chesapeake, VA 23321, USA</t>
  </si>
  <si>
    <t>Cabrillo High School</t>
  </si>
  <si>
    <t>Lompoc</t>
  </si>
  <si>
    <t>Lompoc High School</t>
  </si>
  <si>
    <t>Evangel Christian (Long Island City)</t>
  </si>
  <si>
    <t xml:space="preserve"> Long Island City</t>
  </si>
  <si>
    <t>39-21 Crescent St, Long Island City, NY 11101, USA</t>
  </si>
  <si>
    <t>Lone Pine High School</t>
  </si>
  <si>
    <t>Lone Pine</t>
  </si>
  <si>
    <t>Leesville Road (Raleigh)</t>
  </si>
  <si>
    <t>Clear Passage Educational Center</t>
  </si>
  <si>
    <t>12204 Leesville Rd, Raleigh, NC 27613, USA</t>
  </si>
  <si>
    <t>College Bridge Academy</t>
  </si>
  <si>
    <t>Cy-Fair (Cypress)</t>
  </si>
  <si>
    <t xml:space="preserve"> Cypress</t>
  </si>
  <si>
    <t>22602 US-290, Cypress, TX 77429, USA</t>
  </si>
  <si>
    <t>Orrville, OH</t>
  </si>
  <si>
    <t>Ernest S. Mcbride Sr. High School</t>
  </si>
  <si>
    <t>Eunice Sato Academy Of Math &amp; Science</t>
  </si>
  <si>
    <t>Highland Park (Dallas)</t>
  </si>
  <si>
    <t>Intellectual Virtues Academy</t>
  </si>
  <si>
    <t>3617 Cornell Ave, Dallas, TX 75205, USA</t>
  </si>
  <si>
    <t>Jordan High School</t>
  </si>
  <si>
    <t>Millikan High School</t>
  </si>
  <si>
    <t>Martins Mill (Ben Wheeler)</t>
  </si>
  <si>
    <t xml:space="preserve"> Ben Wheeler</t>
  </si>
  <si>
    <t>301 FM1861, Ben Wheeler, TX 75754, USA</t>
  </si>
  <si>
    <t>Polytechnic High School</t>
  </si>
  <si>
    <t>Rancho Dominguez Preparatory</t>
  </si>
  <si>
    <t>Izard County (Brockwell)</t>
  </si>
  <si>
    <t xml:space="preserve"> Violet Hill</t>
  </si>
  <si>
    <t>Richard D. Browning High School</t>
  </si>
  <si>
    <t>5068 AR-9, Violet Hill, AR 72584, USA</t>
  </si>
  <si>
    <t>The Education Corps</t>
  </si>
  <si>
    <t>Wilson High School</t>
  </si>
  <si>
    <t>Lower Richland (Hopkins)</t>
  </si>
  <si>
    <t>2615 Lower Richland Blvd, Hopkins, SC 29061, USA</t>
  </si>
  <si>
    <t>Del Oro High School</t>
  </si>
  <si>
    <t>Loomis</t>
  </si>
  <si>
    <t>Los Alamitos High School</t>
  </si>
  <si>
    <t>Los Alamitos</t>
  </si>
  <si>
    <t>Floyd Central (Floyds Knobs)</t>
  </si>
  <si>
    <t xml:space="preserve"> Floyds Knobs</t>
  </si>
  <si>
    <t>Los Altos</t>
  </si>
  <si>
    <t>6575 Old Vincennes Rd, Floyds Knobs, IN 47119, USA</t>
  </si>
  <si>
    <t>Abraham Lincoln Senior High School</t>
  </si>
  <si>
    <t>Academy For Multilingual Arts And Sci At Mervyn M. Dymally High School</t>
  </si>
  <si>
    <t>Holy Trinity (Hicksville)</t>
  </si>
  <si>
    <t xml:space="preserve"> Hicksville</t>
  </si>
  <si>
    <t>98 Cherry Ln, Hicksville, NY 11801, USA</t>
  </si>
  <si>
    <t>Academyemia Avance Charter</t>
  </si>
  <si>
    <t>Alain Leroy Locke College Preparatory Academy</t>
  </si>
  <si>
    <t>Manti</t>
  </si>
  <si>
    <t xml:space="preserve"> Manti</t>
  </si>
  <si>
    <t>Breaux Bridge, LA</t>
  </si>
  <si>
    <t>198 N Main St, Manti, UT 84642, USA</t>
  </si>
  <si>
    <t>Alexander Hamilton Senior High School</t>
  </si>
  <si>
    <t>Alliance Alice M. Baxter College-Ready High School</t>
  </si>
  <si>
    <t>GlenOak (Canton)</t>
  </si>
  <si>
    <t>1801 Schneider St NE, Canton, OH 44721, USA</t>
  </si>
  <si>
    <t>Alliance Cindy And Bill Simon Technology Academy High School</t>
  </si>
  <si>
    <t>Alliance Collins Family College-Ready High School</t>
  </si>
  <si>
    <t>Highland (Albuquerque)</t>
  </si>
  <si>
    <t>5041 Indian School Rd NE, Albuquerque, NM 87110, USA</t>
  </si>
  <si>
    <t>Alliance Dr. Olga Mohan High School</t>
  </si>
  <si>
    <t>Alliance Gertz-Ressler Richard Merkin 6-12 Complex</t>
  </si>
  <si>
    <t>Shelbyville</t>
  </si>
  <si>
    <t xml:space="preserve"> Shelbyville</t>
  </si>
  <si>
    <t>5033 State Hwy 87, Shelbyville, TX 75973, USA</t>
  </si>
  <si>
    <t>Alliance Judy Ivie Burton Technology Academy High School</t>
  </si>
  <si>
    <t>Alliance Leichtman-Levine Family Foundation Env Sci High School</t>
  </si>
  <si>
    <t>Wilsonville</t>
  </si>
  <si>
    <t>Alliance Marc &amp; Eva Stern Math And Science</t>
  </si>
  <si>
    <t xml:space="preserve"> Wilsonville</t>
  </si>
  <si>
    <t>9287 SW Wilsonville Rd, Wilsonville, OR 97070, USA</t>
  </si>
  <si>
    <t>Alliance Margaret M. Bloomfield Technology Academy High School</t>
  </si>
  <si>
    <t>Fairland (Proctorville)</t>
  </si>
  <si>
    <t xml:space="preserve"> Proctorville</t>
  </si>
  <si>
    <t>Alliance Marine - Innovation And Technology 6-12 Complex</t>
  </si>
  <si>
    <t>21630 County Rd 411, Proctorville, OH 45669, USA</t>
  </si>
  <si>
    <t>Alliance Morgan Mckinzie High School</t>
  </si>
  <si>
    <t>Alliance Ouchi-O'Donovan 6-12 Complex</t>
  </si>
  <si>
    <t>83rd Av &amp; Washington St, Peoria, AZ 85345, USA</t>
  </si>
  <si>
    <t>Alliance Patti And Peter Neuwirth Leadership Academy</t>
  </si>
  <si>
    <t>Alliance Piera Barbaglia Shaheen Health Services Academy</t>
  </si>
  <si>
    <t>Carrollton</t>
  </si>
  <si>
    <t>Alliance Renee And Meyer Luskin Academy High School</t>
  </si>
  <si>
    <t>3615 Madison St, Saginaw, MI 48604, USA</t>
  </si>
  <si>
    <t>Alliance Susan And Eric Smidt Technology High School</t>
  </si>
  <si>
    <t>Grandview</t>
  </si>
  <si>
    <t>Alliance Ted K. Tajima High School</t>
  </si>
  <si>
    <t xml:space="preserve"> Grandview</t>
  </si>
  <si>
    <t>1009 E 131 Terrace, Grandview, MO 64030, USA</t>
  </si>
  <si>
    <t>Alliance Tennenbaum Family Technology High School</t>
  </si>
  <si>
    <t>Ambassador-Global Leadership</t>
  </si>
  <si>
    <t>North Central (Lebeau)</t>
  </si>
  <si>
    <t>6579 LA-10, Washington, LA 70589, USA</t>
  </si>
  <si>
    <t>Animo City Of Champions Charter High School</t>
  </si>
  <si>
    <t>Animo College Preparatory Academy</t>
  </si>
  <si>
    <t>Hargrave Military Academy (Chatham)</t>
  </si>
  <si>
    <t>200 Military Dr, Chatham, VA 24531, USA</t>
  </si>
  <si>
    <t>Animo Inglewood Charter High School</t>
  </si>
  <si>
    <t>Animo Jackie Robinson High School</t>
  </si>
  <si>
    <t>Galesburg</t>
  </si>
  <si>
    <t xml:space="preserve"> Galesburg</t>
  </si>
  <si>
    <t>Animo Leadership High School</t>
  </si>
  <si>
    <t>29 Public Square, Galesburg, IL 61401, USA</t>
  </si>
  <si>
    <t>Animo Pat Brown</t>
  </si>
  <si>
    <t>Colony (Ontario)</t>
  </si>
  <si>
    <t xml:space="preserve"> Ontario</t>
  </si>
  <si>
    <t>Animo Ralph Bunche Charter High School</t>
  </si>
  <si>
    <t>3850 E Riverside Dr, Ontario, CA 91761, USA</t>
  </si>
  <si>
    <t>Animo South Los Angeles Charter</t>
  </si>
  <si>
    <t>Animo Venice Charter High School</t>
  </si>
  <si>
    <t>Morgantown</t>
  </si>
  <si>
    <t xml:space="preserve"> Morgantown</t>
  </si>
  <si>
    <t>264 High St, Morgantown, WV 26505, USA</t>
  </si>
  <si>
    <t>Animo Watts College Preparatory Academy</t>
  </si>
  <si>
    <t>Apex Academy</t>
  </si>
  <si>
    <t>Cashmere</t>
  </si>
  <si>
    <t>Augustus F. Hawkins High School A Critical Design And Gaming</t>
  </si>
  <si>
    <t xml:space="preserve"> Cashmere</t>
  </si>
  <si>
    <t>101 Cottage Ave, Cashmere, WA 98815, USA</t>
  </si>
  <si>
    <t>Augustus F. Hawkins High School B Community Health Advocates</t>
  </si>
  <si>
    <t>Augustus F. Hawkins High School C Rspnsbl Indigenous Soc Entrepr</t>
  </si>
  <si>
    <t xml:space="preserve"> Linden</t>
  </si>
  <si>
    <t>Belmont Senior High School</t>
  </si>
  <si>
    <t>401 W 12th St, Linden, NJ 07036, USA</t>
  </si>
  <si>
    <t>Bellbrook, OH</t>
  </si>
  <si>
    <t>Benjamin Franklin Senior High School</t>
  </si>
  <si>
    <t>Boyle Heights Stem High School</t>
  </si>
  <si>
    <t>Mott (Waterford)</t>
  </si>
  <si>
    <t xml:space="preserve"> Waterford Twp</t>
  </si>
  <si>
    <t>1151 Scott Lake Rd, Waterford Twp, MI 48328, USA</t>
  </si>
  <si>
    <t>Boys Academyemic Leadership Academy</t>
  </si>
  <si>
    <t>Bright Star Secondary Charter Academy</t>
  </si>
  <si>
    <t>Norwell (Ossian)</t>
  </si>
  <si>
    <t>Camino Nuevo Charter High School</t>
  </si>
  <si>
    <t xml:space="preserve"> Ossian</t>
  </si>
  <si>
    <t>Camino Nuevo High School #2</t>
  </si>
  <si>
    <t>1100 US-224, Ossian, IN 46777, USA</t>
  </si>
  <si>
    <t>Catch Prep Charter High School Inc.</t>
  </si>
  <si>
    <t>Central City Value</t>
  </si>
  <si>
    <t>Master's Academy (Oviedo)</t>
  </si>
  <si>
    <t xml:space="preserve"> Oviedo</t>
  </si>
  <si>
    <t>Collegiate Charter High School Of Los Angeles</t>
  </si>
  <si>
    <t>1500 Lukas Ln, Oviedo, FL 32765, USA</t>
  </si>
  <si>
    <t>Communication And Tech At Diego Rivera Lrng Complex</t>
  </si>
  <si>
    <t>Contreras Learning Center-Academyemic Leadership Community</t>
  </si>
  <si>
    <t>Champlain Valley Union (Hinesburg)</t>
  </si>
  <si>
    <t xml:space="preserve"> Hinesburg</t>
  </si>
  <si>
    <t>Contreras Learning Center-School Of Social Justice</t>
  </si>
  <si>
    <t>369 C V U Rd, Hinesburg, VT 05461, USA</t>
  </si>
  <si>
    <t>Contreras Lrng Center-Los Angeles Sch Of Global Studies</t>
  </si>
  <si>
    <t>Great Falls</t>
  </si>
  <si>
    <t>Crenshaw Sci Tech Engr Math And Med Magnet</t>
  </si>
  <si>
    <t xml:space="preserve"> Great Falls</t>
  </si>
  <si>
    <t>401 Central Ave, Great Falls, MT 59401, USA</t>
  </si>
  <si>
    <t>David Starr Jordan Senior High School</t>
  </si>
  <si>
    <t>Diego Rivera Learning Complex Green Design Steam Academy</t>
  </si>
  <si>
    <t>Heritage Hills (Lincoln City)</t>
  </si>
  <si>
    <t xml:space="preserve"> Lincoln City</t>
  </si>
  <si>
    <t>Dr. Maya Angelou Community High School</t>
  </si>
  <si>
    <t>3644 E County Rd 1600 N, Lincoln City, IN 47552, USA</t>
  </si>
  <si>
    <t>E. Los Angeles Renaiss Academy At Esteban E. Torres High School #2</t>
  </si>
  <si>
    <t>Eagle Rock High School</t>
  </si>
  <si>
    <t>Greenforest (Decatur)</t>
  </si>
  <si>
    <t>Early College Academy-La Trade Tech College</t>
  </si>
  <si>
    <t>3250 Rainbow Dr, Decatur, GA 30034, USA</t>
  </si>
  <si>
    <t>Ednovate - Brio College Prep</t>
  </si>
  <si>
    <t>West Valley (Fairbanks)</t>
  </si>
  <si>
    <t>Ednovate - East College Prep</t>
  </si>
  <si>
    <t xml:space="preserve"> Fairbanks</t>
  </si>
  <si>
    <t>West Valley High School, 3800 Geist Rd, Fairbanks, AK 99709, USA</t>
  </si>
  <si>
    <t>Ednovate - Usc Hybrid High School College Prep</t>
  </si>
  <si>
    <t>Monroe, MI</t>
  </si>
  <si>
    <t>Edward R. Roybal Learning Center</t>
  </si>
  <si>
    <t>West Monroe</t>
  </si>
  <si>
    <t xml:space="preserve"> West Monroe</t>
  </si>
  <si>
    <t>Engr And Tech Academy At Esteban E. Torres High School #3</t>
  </si>
  <si>
    <t>2720 Cypress St, West Monroe, LA 71291, USA</t>
  </si>
  <si>
    <t>Esteban Torres East La Performing Arts Magnet</t>
  </si>
  <si>
    <t>Fairfax Senior High School</t>
  </si>
  <si>
    <t>Saint Francis (Mountain View)</t>
  </si>
  <si>
    <t xml:space="preserve"> Mountain View</t>
  </si>
  <si>
    <t>Felicitas And Gonzalo Mendez High School</t>
  </si>
  <si>
    <t>1885 Miramonte Ave, Mountain View, CA 94040, USA</t>
  </si>
  <si>
    <t>George Washington Preparatory High School</t>
  </si>
  <si>
    <t>Girls Academy Ldrshp Academydr.King Sch For Scitecheng &amp; Math</t>
  </si>
  <si>
    <t>Maine-Endwell (Endwell)</t>
  </si>
  <si>
    <t xml:space="preserve"> Endicott</t>
  </si>
  <si>
    <t>Hilda L. Solis Lrng Academy Sch Of Tech Business And Ed</t>
  </si>
  <si>
    <t>712 Farm to Market Rd, Endicott, NY 13760, USA</t>
  </si>
  <si>
    <t>Hollywood Senior High School</t>
  </si>
  <si>
    <t>Pearl-Cohn (Nashville)</t>
  </si>
  <si>
    <t>Humanitas Academy Of Art And Tech At Esteban E. Torres High School #4</t>
  </si>
  <si>
    <t xml:space="preserve"> Nashville</t>
  </si>
  <si>
    <t>904 26th Ave N, Nashville, TN 37208, USA</t>
  </si>
  <si>
    <t>Icef View Park Preparatory High School</t>
  </si>
  <si>
    <t>James A. Garfield Senior High School</t>
  </si>
  <si>
    <t>Forest Hills (Marshville)</t>
  </si>
  <si>
    <t xml:space="preserve"> Wingate</t>
  </si>
  <si>
    <t>100 Forest Hills School Rd S, Wingate, NC 28174, USA</t>
  </si>
  <si>
    <t>John C. Fremont Senior High School</t>
  </si>
  <si>
    <t>John Marshall Senior High School</t>
  </si>
  <si>
    <t>St. Ignatius (Cleveland)</t>
  </si>
  <si>
    <t>La'S Promise Charter High School #1</t>
  </si>
  <si>
    <t>1911 W 30th St, Cleveland, OH 44113, USA</t>
  </si>
  <si>
    <t>Los Angeles Academy Of Arts And Enterprise</t>
  </si>
  <si>
    <t>Los Angeles High School Of The Arts</t>
  </si>
  <si>
    <t xml:space="preserve"> Geneva</t>
  </si>
  <si>
    <t>164 Castle St, Geneva, NY 14456, USA</t>
  </si>
  <si>
    <t>Los Angeles International Charter High School</t>
  </si>
  <si>
    <t>Juneau, WI</t>
  </si>
  <si>
    <t>Los Angeles Leadership Academy</t>
  </si>
  <si>
    <t>Dominican (Whitefish Bay)</t>
  </si>
  <si>
    <t>Los Angeles Senior High School</t>
  </si>
  <si>
    <t xml:space="preserve"> Whitefish Bay</t>
  </si>
  <si>
    <t>2 E Silver Spring Dr, Whitefish Bay, WI 53217, USA</t>
  </si>
  <si>
    <t>Magnolia Science Academy 4</t>
  </si>
  <si>
    <t>Manual Arts Senior High School</t>
  </si>
  <si>
    <t>Ripley</t>
  </si>
  <si>
    <t xml:space="preserve"> Ripley</t>
  </si>
  <si>
    <t>Math And Science College Preparatory</t>
  </si>
  <si>
    <t>120a courthouse square, Ripley, MS 38663, USA</t>
  </si>
  <si>
    <t>Math Science &amp; Technology Magnet Academy At Roosevelt High School</t>
  </si>
  <si>
    <t>Matrix For Success Academy</t>
  </si>
  <si>
    <t xml:space="preserve"> Irvington</t>
  </si>
  <si>
    <t>Middle College High School</t>
  </si>
  <si>
    <t>1110 Clinton Ave, Irvington, NJ 07111, USA</t>
  </si>
  <si>
    <t>Nava College Preparatory Academy</t>
  </si>
  <si>
    <t>New Designs Charter</t>
  </si>
  <si>
    <t>Collins (Shelbyville)</t>
  </si>
  <si>
    <t>801 Discovery Blvd, Shelbyville, KY 40065, USA</t>
  </si>
  <si>
    <t>New Designs Charter School-Watts</t>
  </si>
  <si>
    <t>New Village Girls Academy</t>
  </si>
  <si>
    <t>New West Charter</t>
  </si>
  <si>
    <t xml:space="preserve"> Cabot</t>
  </si>
  <si>
    <t>113 N 2nd St, Cabot, AR 72023, USA</t>
  </si>
  <si>
    <t>Optimist Charter</t>
  </si>
  <si>
    <t>Oscar De La Hoya Animo Charter High School</t>
  </si>
  <si>
    <t>Andress (El Paso)</t>
  </si>
  <si>
    <t xml:space="preserve"> El Paso</t>
  </si>
  <si>
    <t>Performing Arts Community At Diego Rivera Learning Complex</t>
  </si>
  <si>
    <t>5400 Sun Valley Dr, El Paso, TX 79924, USA</t>
  </si>
  <si>
    <t>Public Service Community At Diego Rivera Learning Complex</t>
  </si>
  <si>
    <t>Ramon C. Cortines School Of Visual And Performing Arts</t>
  </si>
  <si>
    <t>North Central Texas Academy (Granbury)</t>
  </si>
  <si>
    <t xml:space="preserve"> Granbury</t>
  </si>
  <si>
    <t>3846 TX-144, Granbury, TX 76048, USA</t>
  </si>
  <si>
    <t>Rise Kohyang High School</t>
  </si>
  <si>
    <t>Santee Education Complex</t>
  </si>
  <si>
    <t>Prescott, AZ</t>
  </si>
  <si>
    <t>Beecher (Flint)</t>
  </si>
  <si>
    <t>School For The Visual Arts And Humanities</t>
  </si>
  <si>
    <t xml:space="preserve"> Genesee Charter Township</t>
  </si>
  <si>
    <t>NBD Saginaw at Coldwater, Genesee Charter Township, MI 48505, USA</t>
  </si>
  <si>
    <t>School Of Business And Tourism At Contreras Learning Complex</t>
  </si>
  <si>
    <t>Jenks</t>
  </si>
  <si>
    <t xml:space="preserve"> Jenks</t>
  </si>
  <si>
    <t>Soc Just Leadership Academy At Esteban E. Torres High School #5</t>
  </si>
  <si>
    <t>108 N 2nd St, Jenks, OK 74037, USA</t>
  </si>
  <si>
    <t>Sonia Sotomayor Arts And Sciences Academyemies</t>
  </si>
  <si>
    <t>Susan Miller Dorsey Senior High School</t>
  </si>
  <si>
    <t>Longview</t>
  </si>
  <si>
    <t xml:space="preserve"> Longview</t>
  </si>
  <si>
    <t>Synergy Quantum Academy</t>
  </si>
  <si>
    <t>200 US-80, Longview, TX 75601, USA</t>
  </si>
  <si>
    <t>Teach Tech Charter High School</t>
  </si>
  <si>
    <t>Niles North (Skokie)</t>
  </si>
  <si>
    <t>The City</t>
  </si>
  <si>
    <t xml:space="preserve"> Skokie</t>
  </si>
  <si>
    <t>9800 Lawler Ave, Skokie, IL 60077, USA</t>
  </si>
  <si>
    <t>Theodore Roosevelt Senior High School</t>
  </si>
  <si>
    <t>Thomas Jefferson Senior High School</t>
  </si>
  <si>
    <t>Lakeville South (Lakeville)</t>
  </si>
  <si>
    <t xml:space="preserve"> Lakeville</t>
  </si>
  <si>
    <t>University High School Charter</t>
  </si>
  <si>
    <t>21135 Jacquard Ave, Lakeville, MN 55044, USA</t>
  </si>
  <si>
    <t>University Pathways Medical Magnet Academy</t>
  </si>
  <si>
    <t>University Pathways Public Service Academy</t>
  </si>
  <si>
    <t>Hahnville (Boutte)</t>
  </si>
  <si>
    <t xml:space="preserve"> Boutte</t>
  </si>
  <si>
    <t>University Preparatory Value High School</t>
  </si>
  <si>
    <t>2243 Paul Maillard Rd, Boutte, LA 70039, USA</t>
  </si>
  <si>
    <t>Venice Senior High School</t>
  </si>
  <si>
    <t>Riviera Prep (Miami)</t>
  </si>
  <si>
    <t>Wallis Annenberg High School</t>
  </si>
  <si>
    <t>9675 SW 87th Ave, Miami, FL 33176, USA</t>
  </si>
  <si>
    <t>Wesm Health/Sports Medicine</t>
  </si>
  <si>
    <t>Dunham (Baton Rouge)</t>
  </si>
  <si>
    <t>West Adams Preparatory High School</t>
  </si>
  <si>
    <t>11111 Roy Emerson Dr, Baton Rouge, LA 70810, USA</t>
  </si>
  <si>
    <t>Wish Academy High School</t>
  </si>
  <si>
    <t>Woodrow Wilson Senior High School</t>
  </si>
  <si>
    <t>Huss (Gastonia)</t>
  </si>
  <si>
    <t xml:space="preserve"> Gastonia</t>
  </si>
  <si>
    <t>Youthbuild Charter School Of California</t>
  </si>
  <si>
    <t>1518 Edgefield Ave, Gastonia, NC 28052, USA</t>
  </si>
  <si>
    <t>Los Banos High School</t>
  </si>
  <si>
    <t>Los Banos</t>
  </si>
  <si>
    <t>Pacheco High School</t>
  </si>
  <si>
    <t>Dowling Catholic (West Des Moines)</t>
  </si>
  <si>
    <t xml:space="preserve"> West Des Moines</t>
  </si>
  <si>
    <t>Los Gatos High School</t>
  </si>
  <si>
    <t>1400 Buffalo Rd, West Des Moines, IA 50265, USA</t>
  </si>
  <si>
    <t>Los Gatos</t>
  </si>
  <si>
    <t>Los Molinos High School</t>
  </si>
  <si>
    <t>Los Molinos</t>
  </si>
  <si>
    <t xml:space="preserve"> Greenwood</t>
  </si>
  <si>
    <t>Lower Lake High School</t>
  </si>
  <si>
    <t>Lower Lake</t>
  </si>
  <si>
    <t>613 Main St, Greenwood, MS 38930, USA</t>
  </si>
  <si>
    <t>Loyalton High School</t>
  </si>
  <si>
    <t>Loyalton</t>
  </si>
  <si>
    <t>Lucerne Valley High School</t>
  </si>
  <si>
    <t>Lucerne Valley</t>
  </si>
  <si>
    <t>Roosevelt (Sioux Falls)</t>
  </si>
  <si>
    <t>6600 W 41st St, Sioux Falls, SD 57106, USA</t>
  </si>
  <si>
    <t>Lynwood High School</t>
  </si>
  <si>
    <t>Lynwood</t>
  </si>
  <si>
    <t>Marco Antonio Firebaugh High School</t>
  </si>
  <si>
    <t>Silverado (Las Vegas)</t>
  </si>
  <si>
    <t>Southern Trinity High School</t>
  </si>
  <si>
    <t>Mad River</t>
  </si>
  <si>
    <t>4979 Silverado Dr, Las Vegas, NV 89120, USA</t>
  </si>
  <si>
    <t>Madera</t>
  </si>
  <si>
    <t>Madera High School</t>
  </si>
  <si>
    <t>Yutan</t>
  </si>
  <si>
    <t xml:space="preserve"> Yutan</t>
  </si>
  <si>
    <t>Madera South High School</t>
  </si>
  <si>
    <t>411 2nd St, Yutan, NE 68073, USA</t>
  </si>
  <si>
    <t>Sherman Thomas Charter High School</t>
  </si>
  <si>
    <t>Fanrock, WV</t>
  </si>
  <si>
    <t>Malibu High School</t>
  </si>
  <si>
    <t>Malibu</t>
  </si>
  <si>
    <t>Rhodes (Cleveland)</t>
  </si>
  <si>
    <t>Mammoth High School</t>
  </si>
  <si>
    <t>Mammoth Lakes</t>
  </si>
  <si>
    <t>3614 Sackett Ave, Cleveland, OH 44109, USA</t>
  </si>
  <si>
    <t>Mira Costa High School</t>
  </si>
  <si>
    <t>Manhattan Beach</t>
  </si>
  <si>
    <t>Roosevelt (San Antonio)</t>
  </si>
  <si>
    <t>Be.Tech</t>
  </si>
  <si>
    <t>Manteca</t>
  </si>
  <si>
    <t>Roosevelt &amp; Military Dr., San Antonio, TX 78214, USA</t>
  </si>
  <si>
    <t>East Union High School</t>
  </si>
  <si>
    <t>Omaha Central (Omaha)</t>
  </si>
  <si>
    <t>7007 Grover St, Omaha, NE 68106, USA</t>
  </si>
  <si>
    <t>Manteca High School</t>
  </si>
  <si>
    <t>Sierra High School</t>
  </si>
  <si>
    <t xml:space="preserve"> Paris</t>
  </si>
  <si>
    <t>Weston Ranch High School</t>
  </si>
  <si>
    <t>37 Clarksville St, Paris, TX 75460, USA</t>
  </si>
  <si>
    <t>Lee (Huntsville)</t>
  </si>
  <si>
    <t>Learning For Life Charter</t>
  </si>
  <si>
    <t>Marina</t>
  </si>
  <si>
    <t>106 Quietdale Dr NE, Huntsville, AL 35811, USA</t>
  </si>
  <si>
    <t>Mariposa County High School</t>
  </si>
  <si>
    <t>Mariposa</t>
  </si>
  <si>
    <t>Greenwood Christian Academy (Greenwood)</t>
  </si>
  <si>
    <t>Alhambra Senior High School</t>
  </si>
  <si>
    <t>835 West Worthsville Road, Greenwood, IN 46143, USA</t>
  </si>
  <si>
    <t>Martinez</t>
  </si>
  <si>
    <t>Aerostem Academy</t>
  </si>
  <si>
    <t>Marysville Charter Academy For The Arts</t>
  </si>
  <si>
    <t>Borah (Boise)</t>
  </si>
  <si>
    <t xml:space="preserve"> Boise</t>
  </si>
  <si>
    <t>6001 W Cassia St, Boise, ID 83709, USA</t>
  </si>
  <si>
    <t>Marysville High School</t>
  </si>
  <si>
    <t>Maxwell Sr High School</t>
  </si>
  <si>
    <t>Maxwell</t>
  </si>
  <si>
    <t>Archbishop Spalding (Severn)</t>
  </si>
  <si>
    <t>Maywood Academy High School</t>
  </si>
  <si>
    <t>Tacoma, WA</t>
  </si>
  <si>
    <t>Maywood</t>
  </si>
  <si>
    <t xml:space="preserve"> Severn</t>
  </si>
  <si>
    <t>8080 New Cut Rd, Severn, MD 21144, USA</t>
  </si>
  <si>
    <t>Maywood Center For Enriched Studies</t>
  </si>
  <si>
    <t>Fall River Junior-Senior High School</t>
  </si>
  <si>
    <t>Mcarthur</t>
  </si>
  <si>
    <t>Ralston Valley (Arvada)</t>
  </si>
  <si>
    <t>Mccloud High School</t>
  </si>
  <si>
    <t>Mccloud</t>
  </si>
  <si>
    <t xml:space="preserve"> Arvada</t>
  </si>
  <si>
    <t>13856 W 68th Ave, Arvada, CO 80004, USA</t>
  </si>
  <si>
    <t>Mcfarland High School</t>
  </si>
  <si>
    <t>Mcfarland</t>
  </si>
  <si>
    <t>Mckinleyville High School</t>
  </si>
  <si>
    <t>Mckinleyville</t>
  </si>
  <si>
    <t>Saint Viator (Arlington Heights)</t>
  </si>
  <si>
    <t>Mendocino High School</t>
  </si>
  <si>
    <t xml:space="preserve"> Arlington Heights</t>
  </si>
  <si>
    <t>Mendocino</t>
  </si>
  <si>
    <t>1213 E Oakton St, Arlington Heights, IL 60004, USA</t>
  </si>
  <si>
    <t>Mendota High School</t>
  </si>
  <si>
    <t>Mendota</t>
  </si>
  <si>
    <t>Paloma Valley High School</t>
  </si>
  <si>
    <t>Menifee</t>
  </si>
  <si>
    <t>El Camino (Oceanside)</t>
  </si>
  <si>
    <t xml:space="preserve"> Oceanside</t>
  </si>
  <si>
    <t>Oxford Day Academy</t>
  </si>
  <si>
    <t>Menlo Park</t>
  </si>
  <si>
    <t>Rancho Del Oro &amp; Oregano Way, Oceanside, CA 92057, USA</t>
  </si>
  <si>
    <t>Come Back Charter</t>
  </si>
  <si>
    <t>Merced</t>
  </si>
  <si>
    <t>Sioux Valley (Volga)</t>
  </si>
  <si>
    <t xml:space="preserve"> Volga</t>
  </si>
  <si>
    <t>200 Hansina Ave, Volga, SD 57071, USA</t>
  </si>
  <si>
    <t>Merced High School</t>
  </si>
  <si>
    <t>Merced Scholars Charter</t>
  </si>
  <si>
    <t>Abernathy</t>
  </si>
  <si>
    <t>Middletown High School</t>
  </si>
  <si>
    <t xml:space="preserve"> Abernathy</t>
  </si>
  <si>
    <t>904 TX-369 Loop, Abernathy, TX 79311, USA</t>
  </si>
  <si>
    <t>Tamalpais High School</t>
  </si>
  <si>
    <t>Mill Valley</t>
  </si>
  <si>
    <t>Mills High School</t>
  </si>
  <si>
    <t>Millbrae</t>
  </si>
  <si>
    <t>Parkland (Winston-Salem)</t>
  </si>
  <si>
    <t>Milpitas High School</t>
  </si>
  <si>
    <t>625 Parkland Ct, Winston-Salem, NC 27127, USA</t>
  </si>
  <si>
    <t>South Fork Junior - Senior High School</t>
  </si>
  <si>
    <t>Miranda</t>
  </si>
  <si>
    <t>Capistrano Valley High School</t>
  </si>
  <si>
    <t>Saint Paul, MN</t>
  </si>
  <si>
    <t>Prestonwood Christian (Plano)</t>
  </si>
  <si>
    <t>Mission Viejo High School</t>
  </si>
  <si>
    <t>6801 W Park Blvd, Plano, TX 75093, USA</t>
  </si>
  <si>
    <t>Trabuco Hills High School</t>
  </si>
  <si>
    <t>Fred C. Beyer High School</t>
  </si>
  <si>
    <t>Carbondale</t>
  </si>
  <si>
    <t xml:space="preserve"> Carbondale</t>
  </si>
  <si>
    <t>Grace M. Davis High School</t>
  </si>
  <si>
    <t>109 W Main St, Carbondale, IL 62901, USA</t>
  </si>
  <si>
    <t>James C. EnocHigh School High School</t>
  </si>
  <si>
    <t>Joseph A. Gregori High School</t>
  </si>
  <si>
    <t>Sonora</t>
  </si>
  <si>
    <t xml:space="preserve"> Sonora</t>
  </si>
  <si>
    <t>Modesto High School</t>
  </si>
  <si>
    <t>181 S Washington St, Sonora, CA 95370, USA</t>
  </si>
  <si>
    <t>Peter Johansen High School</t>
  </si>
  <si>
    <t>Thomas Downey High School</t>
  </si>
  <si>
    <t>Dakota Valley (North Sioux City)</t>
  </si>
  <si>
    <t xml:space="preserve"> Jefferson</t>
  </si>
  <si>
    <t>Valley Charter High School</t>
  </si>
  <si>
    <t>33468 Dakota Rd, Jefferson, SD 57038, USA</t>
  </si>
  <si>
    <t>Mojave Jr./Sr. High School</t>
  </si>
  <si>
    <t>Mojave</t>
  </si>
  <si>
    <t>City College (Baltimore)</t>
  </si>
  <si>
    <t>Monrovia High School</t>
  </si>
  <si>
    <t>Monrovia</t>
  </si>
  <si>
    <t>City College, Baltimore, MD 21218, USA</t>
  </si>
  <si>
    <t>Montclair High School</t>
  </si>
  <si>
    <t>Mayo (Rochester)</t>
  </si>
  <si>
    <t>Applied Technology Center</t>
  </si>
  <si>
    <t>200 1st St SW, Rochester, MN 55905, USA</t>
  </si>
  <si>
    <t>Montebello High School</t>
  </si>
  <si>
    <t>Schurr High School</t>
  </si>
  <si>
    <t>Scottsbluff</t>
  </si>
  <si>
    <t xml:space="preserve"> Scottsbluff</t>
  </si>
  <si>
    <t>Monterey High School</t>
  </si>
  <si>
    <t>Monterey</t>
  </si>
  <si>
    <t>2002 Ave C, Scottsbluff, NE 69361, USA</t>
  </si>
  <si>
    <t>Ivytech Charter</t>
  </si>
  <si>
    <t>Moorpark</t>
  </si>
  <si>
    <t>Moorpark High School</t>
  </si>
  <si>
    <t>Elizabethtown</t>
  </si>
  <si>
    <t>Colorado Springs, CO</t>
  </si>
  <si>
    <t>The High School At Moorpark College</t>
  </si>
  <si>
    <t>222 N Mantle Ave, Elizabethtown, KY 42701, USA</t>
  </si>
  <si>
    <t>Campolindo High School</t>
  </si>
  <si>
    <t>Canyon Springs High School</t>
  </si>
  <si>
    <t>Moreno Valley</t>
  </si>
  <si>
    <t>Franklin (Elk Grove)</t>
  </si>
  <si>
    <t>Moreno Valley Community Learning Center</t>
  </si>
  <si>
    <t xml:space="preserve"> Elk Grove</t>
  </si>
  <si>
    <t>4011 Hood Franklin Rd, Elk Grove, CA 95757, USA</t>
  </si>
  <si>
    <t>Moreno Valley High School</t>
  </si>
  <si>
    <t>Rancho Verde High School</t>
  </si>
  <si>
    <t>Ankeny Centennial (Ankeny)</t>
  </si>
  <si>
    <t xml:space="preserve"> Ankeny</t>
  </si>
  <si>
    <t>2220 NW State St, Ankeny, IA 50023, USA</t>
  </si>
  <si>
    <t>Ann Sobrato High School</t>
  </si>
  <si>
    <t>Middletown South (Middletown)</t>
  </si>
  <si>
    <t>Morgan Hill</t>
  </si>
  <si>
    <t xml:space="preserve"> Middletown</t>
  </si>
  <si>
    <t>900 Nutswamp Rd, Middletown, NJ 07748, USA</t>
  </si>
  <si>
    <t>Morro Bay High School</t>
  </si>
  <si>
    <t>Morro Bay</t>
  </si>
  <si>
    <t>Henrico (Richmond)</t>
  </si>
  <si>
    <t>Mt. Shasta High School</t>
  </si>
  <si>
    <t>Mount Shasta</t>
  </si>
  <si>
    <t>2709 Henrico Dr, Richmond, VA 23222, USA</t>
  </si>
  <si>
    <t>Mountain House High School</t>
  </si>
  <si>
    <t>Mountain House</t>
  </si>
  <si>
    <t>Wilson (Portsmouth)</t>
  </si>
  <si>
    <t xml:space="preserve"> Portsmouth</t>
  </si>
  <si>
    <t>1401 Elmhurst Ln, Portsmouth, VA 23701, USA</t>
  </si>
  <si>
    <t>Murrieta Mesa High School</t>
  </si>
  <si>
    <t>Murrieta</t>
  </si>
  <si>
    <t>Murrieta Valley High School</t>
  </si>
  <si>
    <t>Hotchkiss School (Lakeville)</t>
  </si>
  <si>
    <t>Riverside County Education Academy - Indio</t>
  </si>
  <si>
    <t>Chewelah, WA</t>
  </si>
  <si>
    <t>11 Interlaken Rd, Lakeville, CT 06039, USA</t>
  </si>
  <si>
    <t>Vista Murrieta High School</t>
  </si>
  <si>
    <t>Napa High School</t>
  </si>
  <si>
    <t>Cardinal Newman (Columbia)</t>
  </si>
  <si>
    <t>Vintage High School</t>
  </si>
  <si>
    <t>2921 Alpine Rd, Columbia, SC 29223, USA</t>
  </si>
  <si>
    <t>Sweetwater High School</t>
  </si>
  <si>
    <t>National City</t>
  </si>
  <si>
    <t>Needles High School</t>
  </si>
  <si>
    <t>Rockwall</t>
  </si>
  <si>
    <t>Needles</t>
  </si>
  <si>
    <t xml:space="preserve"> Rockwall</t>
  </si>
  <si>
    <t>151 E Rusk St, Rockwall, TX 75087, USA</t>
  </si>
  <si>
    <t>Sierra Academy Of Expeditionary Learning</t>
  </si>
  <si>
    <t>Nevada City</t>
  </si>
  <si>
    <t>Cuyama Valley High School</t>
  </si>
  <si>
    <t>New Cuyama</t>
  </si>
  <si>
    <t>Baker (Baldwinsville)</t>
  </si>
  <si>
    <t xml:space="preserve"> Baldwinsville</t>
  </si>
  <si>
    <t>Newark Memorial High School</t>
  </si>
  <si>
    <t>7 E Oneida St, Baldwinsville, NY 13027, USA</t>
  </si>
  <si>
    <t>Newbury Park High School</t>
  </si>
  <si>
    <t>Newbury Park</t>
  </si>
  <si>
    <t>William S. Hart High School</t>
  </si>
  <si>
    <t>Newhall</t>
  </si>
  <si>
    <t>Spring Lake Park</t>
  </si>
  <si>
    <t>Orestimba High School</t>
  </si>
  <si>
    <t>Newman</t>
  </si>
  <si>
    <t>East Nicolaus High School</t>
  </si>
  <si>
    <t>Nicolaus</t>
  </si>
  <si>
    <t>Nipomo High School</t>
  </si>
  <si>
    <t>Saugus</t>
  </si>
  <si>
    <t>Nipomo</t>
  </si>
  <si>
    <t>989 Railroad Ave, Santa Clarita, CA 91350, USA</t>
  </si>
  <si>
    <t>Norco High School</t>
  </si>
  <si>
    <t>Norco</t>
  </si>
  <si>
    <t>Mountain Oaks High School</t>
  </si>
  <si>
    <t>North Fork</t>
  </si>
  <si>
    <t>Norman North (Norman)</t>
  </si>
  <si>
    <t xml:space="preserve"> Norman</t>
  </si>
  <si>
    <t>High Schoollands High School</t>
  </si>
  <si>
    <t>North Highlands</t>
  </si>
  <si>
    <t>1809 Stubbeman Ave, Norman, OK 73069, USA</t>
  </si>
  <si>
    <t>James Monroe High School</t>
  </si>
  <si>
    <t>Valor Academy High School</t>
  </si>
  <si>
    <t>Lynnwood, WA</t>
  </si>
  <si>
    <t>Scituate</t>
  </si>
  <si>
    <t xml:space="preserve"> Scituate</t>
  </si>
  <si>
    <t>East Valley Senior High School</t>
  </si>
  <si>
    <t>North Hollywood</t>
  </si>
  <si>
    <t>10 Allen Pl, Scituate, MA 02066, USA</t>
  </si>
  <si>
    <t>North Hollywood Senior High School</t>
  </si>
  <si>
    <t>Science Academy Stem Magnet</t>
  </si>
  <si>
    <t>Ensworth (Nashville)</t>
  </si>
  <si>
    <t>211 Ensworth Ave, Nashville, TN 37205, USA</t>
  </si>
  <si>
    <t>Northridge Academy High School</t>
  </si>
  <si>
    <t>Northridge</t>
  </si>
  <si>
    <t>John H. Glenn High School</t>
  </si>
  <si>
    <t>Hanover-Horton (Horton)</t>
  </si>
  <si>
    <t xml:space="preserve"> Horton</t>
  </si>
  <si>
    <t>Norwalk High School</t>
  </si>
  <si>
    <t>10000 Moscow Rd, Horton, MI 49246, USA</t>
  </si>
  <si>
    <t>Novato High School</t>
  </si>
  <si>
    <t>Novato</t>
  </si>
  <si>
    <t>San Marin High School</t>
  </si>
  <si>
    <t>West Morris Central (Chester)</t>
  </si>
  <si>
    <t>High School Dr Way, Chester, NJ 07930, USA</t>
  </si>
  <si>
    <t>Nuview Bridge Early College High School</t>
  </si>
  <si>
    <t>Nuevo</t>
  </si>
  <si>
    <t>Minarets Charter High School</t>
  </si>
  <si>
    <t>O'Neals</t>
  </si>
  <si>
    <t>Shelby</t>
  </si>
  <si>
    <t>Minarets High School</t>
  </si>
  <si>
    <t xml:space="preserve"> Shelby</t>
  </si>
  <si>
    <t>808 E Marion St, Shelby, NC 28150, USA</t>
  </si>
  <si>
    <t>Oak Hills High School</t>
  </si>
  <si>
    <t>Oak Hills</t>
  </si>
  <si>
    <t>Oak Park High School</t>
  </si>
  <si>
    <t xml:space="preserve"> Lynwood</t>
  </si>
  <si>
    <t>Oakdale Charter</t>
  </si>
  <si>
    <t>11171 Long Beach Blvd, Lynwood, CA 90262, USA</t>
  </si>
  <si>
    <t>Oakdale</t>
  </si>
  <si>
    <t>Oakdale High School</t>
  </si>
  <si>
    <t>Glacier High School Charter</t>
  </si>
  <si>
    <t>Oakhurst</t>
  </si>
  <si>
    <t>133 N Gilbert Rd, Gilbert, AZ 85234, USA</t>
  </si>
  <si>
    <t>Yosemite High School</t>
  </si>
  <si>
    <t>Alternatives In Action</t>
  </si>
  <si>
    <t>Edmonds, WA</t>
  </si>
  <si>
    <t>Providence School (Jacksonville)</t>
  </si>
  <si>
    <t>American Indian Public High School</t>
  </si>
  <si>
    <t>2015 Hodges Blvd, Jacksonville, FL 32224, USA</t>
  </si>
  <si>
    <t>Arise High School</t>
  </si>
  <si>
    <t>Westlake (Saratoga Springs)</t>
  </si>
  <si>
    <t>Aspire Alexander Twilight Secondary Academy</t>
  </si>
  <si>
    <t xml:space="preserve"> Saratoga Springs</t>
  </si>
  <si>
    <t>99 N 200 W, Saratoga Springs, UT 84045, USA</t>
  </si>
  <si>
    <t>Aspire Benjamin Holt College Preparatory Academy</t>
  </si>
  <si>
    <t>Aspire Golden State College Preparatory Academy</t>
  </si>
  <si>
    <t>Atrisco Heritage Academy (Albuquerque)</t>
  </si>
  <si>
    <t>Aspire Langston Hughes Academy</t>
  </si>
  <si>
    <t>10800 Dennis Chavez Blvd, Albuquerque, NM 87121, USA</t>
  </si>
  <si>
    <t>Aspire Lionel Wilson College Preparatory Academy</t>
  </si>
  <si>
    <t>South Portland</t>
  </si>
  <si>
    <t>Aspire Pacific Academy</t>
  </si>
  <si>
    <t>Edison, NJ</t>
  </si>
  <si>
    <t xml:space="preserve"> South Portland</t>
  </si>
  <si>
    <t>Aspire Richmond Ca. College Preparatory Academy</t>
  </si>
  <si>
    <t>202 Pine St, South Portland, ME 04106, USA</t>
  </si>
  <si>
    <t>Aspire Vanguard College Preparatory Academy</t>
  </si>
  <si>
    <t>Bay Area Technology</t>
  </si>
  <si>
    <t>Castlemont High School</t>
  </si>
  <si>
    <t>8896 Elk Grove Blvd, Elk Grove, CA 95624, USA</t>
  </si>
  <si>
    <t>Civicorps Corpsmember Academy</t>
  </si>
  <si>
    <t>Coliseum College Prep Academy</t>
  </si>
  <si>
    <t>Neuqua Valley (Naperville)</t>
  </si>
  <si>
    <t xml:space="preserve"> Naperville</t>
  </si>
  <si>
    <t>3220 Cedar Glade Rd, Naperville, IL 60564, USA</t>
  </si>
  <si>
    <t>Conservatory Of Vocal/Instrumental Arts High School</t>
  </si>
  <si>
    <t>East Bay Innovation Academy</t>
  </si>
  <si>
    <t>Petal</t>
  </si>
  <si>
    <t xml:space="preserve"> Petal</t>
  </si>
  <si>
    <t>Envision Academy For Arts &amp; Technology</t>
  </si>
  <si>
    <t>200 E Central Ave, Petal, MS 39465, USA</t>
  </si>
  <si>
    <t>Fremont High School</t>
  </si>
  <si>
    <t>Charlotte Latin (Charlotte)</t>
  </si>
  <si>
    <t>Impact Academy Of Arts &amp; Technology</t>
  </si>
  <si>
    <t>9502 Providence Rd, Charlotte, NC 28277, USA</t>
  </si>
  <si>
    <t>John Henry High School</t>
  </si>
  <si>
    <t>Latitude 37.8 High School</t>
  </si>
  <si>
    <t>Therrell (Atlanta)</t>
  </si>
  <si>
    <t>3099 Panther Trail SW, Atlanta, GA 30311, USA</t>
  </si>
  <si>
    <t>Leadership Public Schools - Hayward</t>
  </si>
  <si>
    <t>Leadership Public Schools: Richmond</t>
  </si>
  <si>
    <t xml:space="preserve"> Kingston</t>
  </si>
  <si>
    <t>Life Academy</t>
  </si>
  <si>
    <t>442 Broadway, Kingston, NY 12401, USA</t>
  </si>
  <si>
    <t>Lighthouse Community Charter High School</t>
  </si>
  <si>
    <t>Lps Oakland R &amp; D Campus</t>
  </si>
  <si>
    <t>Charlotte Catholic (Charlotte)</t>
  </si>
  <si>
    <t>7702 NC-51, Charlotte, NC 28226, USA</t>
  </si>
  <si>
    <t>Terre Haute, IN</t>
  </si>
  <si>
    <t>Madison Park Academy 6-12</t>
  </si>
  <si>
    <t>Mcclymonds High School</t>
  </si>
  <si>
    <t xml:space="preserve"> Eufaula</t>
  </si>
  <si>
    <t>79 S Eufaula Ave, Eufaula, AL 36027, USA</t>
  </si>
  <si>
    <t>Metwest High School</t>
  </si>
  <si>
    <t>Faith Christian (Arvada)</t>
  </si>
  <si>
    <t>Oakland Charter High School</t>
  </si>
  <si>
    <t>4890 Carr St, Arvada, CO 80002, USA</t>
  </si>
  <si>
    <t>Oakland High School</t>
  </si>
  <si>
    <t>North Kitsap (Poulsbo)</t>
  </si>
  <si>
    <t>Oakland Military Institute College Preparatory Academy</t>
  </si>
  <si>
    <t xml:space="preserve"> Poulsbo</t>
  </si>
  <si>
    <t>22602 Stottlemeyer Rd NE, Poulsbo, WA 98370, USA</t>
  </si>
  <si>
    <t>Oakland School For The Arts</t>
  </si>
  <si>
    <t>Oakland Technical High School</t>
  </si>
  <si>
    <t>Ingomar (New Albany)</t>
  </si>
  <si>
    <t xml:space="preserve"> New Albany</t>
  </si>
  <si>
    <t>114 Highland St, New Albany, MS 38652, USA</t>
  </si>
  <si>
    <t>Oakland Unity High School</t>
  </si>
  <si>
    <t>Banneker Academy (Brooklyn)</t>
  </si>
  <si>
    <t>Freedom High School</t>
  </si>
  <si>
    <t>Oakley</t>
  </si>
  <si>
    <t>77 Clinton Ave, Brooklyn, NY 11205, USA</t>
  </si>
  <si>
    <t>El Camino High School</t>
  </si>
  <si>
    <t>Oceanside</t>
  </si>
  <si>
    <t>Oceanside High School</t>
  </si>
  <si>
    <t>Sheboygan Falls</t>
  </si>
  <si>
    <t xml:space="preserve"> Sheboygan Falls</t>
  </si>
  <si>
    <t>636 Monroe St, Sheboygan Falls, WI 53085, USA</t>
  </si>
  <si>
    <t>Siatech</t>
  </si>
  <si>
    <t>Siatech Academy South</t>
  </si>
  <si>
    <t>Nordhoff High School</t>
  </si>
  <si>
    <t>Ojai</t>
  </si>
  <si>
    <t>Los Fresnos</t>
  </si>
  <si>
    <t xml:space="preserve"> Los Fresnos</t>
  </si>
  <si>
    <t>112 W Ocean Blvd, Los Fresnos, TX 78566, USA</t>
  </si>
  <si>
    <t>Lindhurst High School</t>
  </si>
  <si>
    <t>Olivehurst</t>
  </si>
  <si>
    <t>California Prep Sutter 8-12</t>
  </si>
  <si>
    <t>Ontario</t>
  </si>
  <si>
    <t>Rye</t>
  </si>
  <si>
    <t xml:space="preserve"> Rye</t>
  </si>
  <si>
    <t>Chaffey High School</t>
  </si>
  <si>
    <t>1050 Boston Post Rd, Rye, NY 10580, USA</t>
  </si>
  <si>
    <t>Ontario High School</t>
  </si>
  <si>
    <t>Uplift California North Charter</t>
  </si>
  <si>
    <t>416 1st Rd NE, Fairfield, MT 59436, USA</t>
  </si>
  <si>
    <t>Uplift California South Charter</t>
  </si>
  <si>
    <t>Round Rock Westwood (Austin)</t>
  </si>
  <si>
    <t>El Modena High School</t>
  </si>
  <si>
    <t>Orange</t>
  </si>
  <si>
    <t>12400 Mellow Meadow Dr, Austin, TX 78750, USA</t>
  </si>
  <si>
    <t>Orange High School</t>
  </si>
  <si>
    <t>Unity Middle College High School</t>
  </si>
  <si>
    <t>Belt</t>
  </si>
  <si>
    <t xml:space="preserve"> Belt</t>
  </si>
  <si>
    <t>Orange Cove High School</t>
  </si>
  <si>
    <t>29 5th St N, Belt, MT 59412, USA</t>
  </si>
  <si>
    <t>Orange Cove</t>
  </si>
  <si>
    <t>Casa Roble Fundamental High School</t>
  </si>
  <si>
    <t>Orangevale</t>
  </si>
  <si>
    <t>Hancock Central (Sparta)</t>
  </si>
  <si>
    <t>Miramonte High School</t>
  </si>
  <si>
    <t xml:space="preserve"> Sparta</t>
  </si>
  <si>
    <t>Orinda</t>
  </si>
  <si>
    <t>11311 GA-15, Sparta, GA 31087, USA</t>
  </si>
  <si>
    <t>Orland High School</t>
  </si>
  <si>
    <t>Orland</t>
  </si>
  <si>
    <t>Orosi High School</t>
  </si>
  <si>
    <t>Orosi</t>
  </si>
  <si>
    <t>Come Back Butte Charter</t>
  </si>
  <si>
    <t>Oroville</t>
  </si>
  <si>
    <t>North Linn (Troy Mills)</t>
  </si>
  <si>
    <t xml:space="preserve"> Coggon</t>
  </si>
  <si>
    <t>Unnamed Road, Coggon, IA 52218, USA</t>
  </si>
  <si>
    <t>Las Plumas High School</t>
  </si>
  <si>
    <t>Oroville High School</t>
  </si>
  <si>
    <t xml:space="preserve"> Delano</t>
  </si>
  <si>
    <t>158 County Rd 30 SE, Delano, MN 55328, USA</t>
  </si>
  <si>
    <t>Channel Islands High School</t>
  </si>
  <si>
    <t>Hueneme High School</t>
  </si>
  <si>
    <t>Lafayette Jefferson (Lafayette)</t>
  </si>
  <si>
    <t>Milpitas, CA</t>
  </si>
  <si>
    <t>Oxnard High School</t>
  </si>
  <si>
    <t>1801 S 18th St, Lafayette, IN 47905, USA</t>
  </si>
  <si>
    <t>Winston-Salem Preparatory Academy (Winston-Salem)</t>
  </si>
  <si>
    <t>Rio Mesa High School</t>
  </si>
  <si>
    <t>1215 N Cameron Ave, Winston-Salem, NC 27101, USA</t>
  </si>
  <si>
    <t>Pacific Grove High School</t>
  </si>
  <si>
    <t>Pacific Grove</t>
  </si>
  <si>
    <t>Palisades Charter High School</t>
  </si>
  <si>
    <t>Pacific Palisades</t>
  </si>
  <si>
    <t xml:space="preserve"> Osceola</t>
  </si>
  <si>
    <t>Terra Nova High School</t>
  </si>
  <si>
    <t>302 N Walnut St, Osceola, AR 72370, USA</t>
  </si>
  <si>
    <t>Pacifica</t>
  </si>
  <si>
    <t>Bert Corona Charter High School</t>
  </si>
  <si>
    <t>Pacoima</t>
  </si>
  <si>
    <t>Mainland (Daytona Beach)</t>
  </si>
  <si>
    <t>Palm Desert High School</t>
  </si>
  <si>
    <t xml:space="preserve"> Daytona Beach</t>
  </si>
  <si>
    <t>Palm Desert</t>
  </si>
  <si>
    <t>1255 US-92, Daytona Beach, FL 32114, USA</t>
  </si>
  <si>
    <t>Palm Springs High School</t>
  </si>
  <si>
    <t>Oak Ridge</t>
  </si>
  <si>
    <t>Palmdale</t>
  </si>
  <si>
    <t>106 S Illinois Ave, Oak Ridge, TN 37830, USA</t>
  </si>
  <si>
    <t>Palmdale High School</t>
  </si>
  <si>
    <t>Foothill (Palo Cedro)</t>
  </si>
  <si>
    <t xml:space="preserve"> Palo Cedro</t>
  </si>
  <si>
    <t>William J. (Pete) Knight High School</t>
  </si>
  <si>
    <t>9733 Deschutes Rd, Palo Cedro, CA 96073, USA</t>
  </si>
  <si>
    <t>Henry M. Gunn High School</t>
  </si>
  <si>
    <t>Palo Alto High School</t>
  </si>
  <si>
    <t>Columbine (Littleton)</t>
  </si>
  <si>
    <t xml:space="preserve"> Littleton</t>
  </si>
  <si>
    <t>7096 S Newland St, Littleton, CO 80128, USA</t>
  </si>
  <si>
    <t>Palo Cedro</t>
  </si>
  <si>
    <t>Palos Verdes High School</t>
  </si>
  <si>
    <t>Palos Verdes Estates</t>
  </si>
  <si>
    <t>Mehlville (St. Louis)</t>
  </si>
  <si>
    <t>Panorama High School</t>
  </si>
  <si>
    <t>Panorama City</t>
  </si>
  <si>
    <t>3722 Lemay Ferry Rd, St. Louis, MO 63125, USA</t>
  </si>
  <si>
    <t>Achieve Charter High School</t>
  </si>
  <si>
    <t>Paradise</t>
  </si>
  <si>
    <t>B O L D (Olivia)</t>
  </si>
  <si>
    <t>Paradise Elearning Academy</t>
  </si>
  <si>
    <t xml:space="preserve"> Olivia</t>
  </si>
  <si>
    <t>Wantagh, NY</t>
  </si>
  <si>
    <t>703 S 13th St, Olivia, MN 56277, USA</t>
  </si>
  <si>
    <t>Paradise Senior High School</t>
  </si>
  <si>
    <t>Paramount High School</t>
  </si>
  <si>
    <t>Paramount</t>
  </si>
  <si>
    <t xml:space="preserve"> Biloxi</t>
  </si>
  <si>
    <t>Parlier High School</t>
  </si>
  <si>
    <t>709 Howard Ave, Biloxi, MS 39530, USA</t>
  </si>
  <si>
    <t>Parlier</t>
  </si>
  <si>
    <t>Blair High School</t>
  </si>
  <si>
    <t>Madisonville-North Hopkins (Madisonville)</t>
  </si>
  <si>
    <t xml:space="preserve"> Madisonville</t>
  </si>
  <si>
    <t>John Muir High School</t>
  </si>
  <si>
    <t>4515 Hanson Rd, Madisonville, KY 42431, USA</t>
  </si>
  <si>
    <t>Learning Works</t>
  </si>
  <si>
    <t>Marshall Fundamental</t>
  </si>
  <si>
    <t>Central Dauphin (Harrisburg)</t>
  </si>
  <si>
    <t xml:space="preserve"> Linglestown</t>
  </si>
  <si>
    <t>Opportunities For Learning - Duarte</t>
  </si>
  <si>
    <t>5720 PA-39, Linglestown, PA 17112, USA</t>
  </si>
  <si>
    <t>Opportunities For Learning - Santa Clarita</t>
  </si>
  <si>
    <t>Berkmar (Lilburn)</t>
  </si>
  <si>
    <t xml:space="preserve"> Lilburn</t>
  </si>
  <si>
    <t>405 Pleasant Hill Rd, Lilburn, GA 30047, USA</t>
  </si>
  <si>
    <t>Options For Youth San Gabriel</t>
  </si>
  <si>
    <t>Options For Youth-Acton</t>
  </si>
  <si>
    <t>Caledonia-Mumford (Caledonia)</t>
  </si>
  <si>
    <t>Options For Youth-San Bernardino</t>
  </si>
  <si>
    <t>99 North St, Caledonia, NY 14423, USA</t>
  </si>
  <si>
    <t>Options For Youth-San Juan</t>
  </si>
  <si>
    <t>Options For Youth-Victorville Charter</t>
  </si>
  <si>
    <t>Lorain</t>
  </si>
  <si>
    <t xml:space="preserve"> Lorain</t>
  </si>
  <si>
    <t>Pasadena High School</t>
  </si>
  <si>
    <t>1844 Hamilton Ave, Lorain, OH 44052, USA</t>
  </si>
  <si>
    <t>Paso Robles High School</t>
  </si>
  <si>
    <t>Paso Robles</t>
  </si>
  <si>
    <t>Omaha Westside (Omaha)</t>
  </si>
  <si>
    <t>Patterson High School</t>
  </si>
  <si>
    <t>Patterson</t>
  </si>
  <si>
    <t>California Military Institute</t>
  </si>
  <si>
    <t>Perris</t>
  </si>
  <si>
    <t>8701 Pacific St, Omaha, NE 68114, USA</t>
  </si>
  <si>
    <t>Citrus Hill High School</t>
  </si>
  <si>
    <t>Van Nuys, CA</t>
  </si>
  <si>
    <t>Orange Vista High School</t>
  </si>
  <si>
    <t>Roncalli Catholic (Omaha)</t>
  </si>
  <si>
    <t>Perris High School</t>
  </si>
  <si>
    <t>6401 Sorensen Pkwy, Omaha, NE 68152, USA</t>
  </si>
  <si>
    <t>Pescadero High School</t>
  </si>
  <si>
    <t>Pescadero</t>
  </si>
  <si>
    <t>Richwood (Monroe)</t>
  </si>
  <si>
    <t>Casa Grande High School</t>
  </si>
  <si>
    <t>Petaluma</t>
  </si>
  <si>
    <t>2723 Martin Luther King Dr, Monroe, LA 71202, USA</t>
  </si>
  <si>
    <t>Gateway To College Academy</t>
  </si>
  <si>
    <t>Mt. Vernon</t>
  </si>
  <si>
    <t xml:space="preserve"> Mt Vernon</t>
  </si>
  <si>
    <t>Petaluma High School</t>
  </si>
  <si>
    <t>9156 IL-15, Mt Vernon, IL 62864, USA</t>
  </si>
  <si>
    <t>Mattole Triple Junction High School</t>
  </si>
  <si>
    <t>Petrolia</t>
  </si>
  <si>
    <t>Serrano High School</t>
  </si>
  <si>
    <t>Gadsden County (Havana)</t>
  </si>
  <si>
    <t>Phelan</t>
  </si>
  <si>
    <t xml:space="preserve"> Havana</t>
  </si>
  <si>
    <t>101c Co Rd 12A, Havana, FL 32333, USA</t>
  </si>
  <si>
    <t>El Rancho High School</t>
  </si>
  <si>
    <t>Pico Rivera</t>
  </si>
  <si>
    <t>Ellen Ochoa Prep Academy</t>
  </si>
  <si>
    <t>Rics, Mt Pleasant, MI 48858, USA</t>
  </si>
  <si>
    <t>Mountain Empire High School</t>
  </si>
  <si>
    <t>Pine Valley</t>
  </si>
  <si>
    <t>Clearwater</t>
  </si>
  <si>
    <t xml:space="preserve"> Clearwater</t>
  </si>
  <si>
    <t>Pinole Valley High School</t>
  </si>
  <si>
    <t>Pinole</t>
  </si>
  <si>
    <t>432 Cleveland St, Clearwater, FL 33755, USA</t>
  </si>
  <si>
    <t>Pittsburg Senior High School</t>
  </si>
  <si>
    <t>Pittsburg</t>
  </si>
  <si>
    <t>Placentia</t>
  </si>
  <si>
    <t>Carl Albert (Midwest City)</t>
  </si>
  <si>
    <t>Esperanza High School</t>
  </si>
  <si>
    <t>2009 S Post Rd, Midwest City, OK 73130, USA</t>
  </si>
  <si>
    <t>Valencia High School</t>
  </si>
  <si>
    <t>Garner Magnet (Garner)</t>
  </si>
  <si>
    <t xml:space="preserve"> Garner</t>
  </si>
  <si>
    <t>Placerville</t>
  </si>
  <si>
    <t>Sebastopol, CA</t>
  </si>
  <si>
    <t>9601 Spring Dr, Garner, NC 27529, USA</t>
  </si>
  <si>
    <t>College Park High School</t>
  </si>
  <si>
    <t>Pleasant Hill</t>
  </si>
  <si>
    <t>Amador Valley High School</t>
  </si>
  <si>
    <t>King's (Seattle)</t>
  </si>
  <si>
    <t>Pleasanton</t>
  </si>
  <si>
    <t>5227 Ballard Ave NW, Seattle, WA 98107, USA</t>
  </si>
  <si>
    <t>Point Arena High School</t>
  </si>
  <si>
    <t>Point Arena</t>
  </si>
  <si>
    <t>Coldspring-Oakhurst (Coldspring)</t>
  </si>
  <si>
    <t>Diamond Ranch High School</t>
  </si>
  <si>
    <t xml:space="preserve"> Coldspring</t>
  </si>
  <si>
    <t>Pomona</t>
  </si>
  <si>
    <t>14100 TX-150, Coldspring, TX 77331, USA</t>
  </si>
  <si>
    <t>Fremont Academy Of Engineering And Design</t>
  </si>
  <si>
    <t>Ganesha High School</t>
  </si>
  <si>
    <t>Santa Monica</t>
  </si>
  <si>
    <t>Garey High School</t>
  </si>
  <si>
    <t>802 Santa Monica Blvd, Santa Monica, CA 90401, USA</t>
  </si>
  <si>
    <t>Palomares Academy Of Health Science</t>
  </si>
  <si>
    <t>Pomona High School</t>
  </si>
  <si>
    <t>Lakewood (St. Petersburg)</t>
  </si>
  <si>
    <t>School Of Arts And Enterprise</t>
  </si>
  <si>
    <t xml:space="preserve"> St. Petersburg</t>
  </si>
  <si>
    <t>54th Ave S + Asturia Way S, St. Petersburg, FL 33705, USA</t>
  </si>
  <si>
    <t>Butterfield Charter High School</t>
  </si>
  <si>
    <t>Porterville</t>
  </si>
  <si>
    <t>First Assembly Christian (Cordova)</t>
  </si>
  <si>
    <t xml:space="preserve"> Cordova</t>
  </si>
  <si>
    <t>8650 Walnut Grove Rd, Cordova, TN 38018, USA</t>
  </si>
  <si>
    <t>Harmony Magnet Academy</t>
  </si>
  <si>
    <t>More (Rapid City)</t>
  </si>
  <si>
    <t>Monache High School</t>
  </si>
  <si>
    <t xml:space="preserve"> Rapid City</t>
  </si>
  <si>
    <t>1430 Haines Ave #108, Rapid City, SD 57701, USA</t>
  </si>
  <si>
    <t>Porterville High School</t>
  </si>
  <si>
    <t>Porterville Military Academy</t>
  </si>
  <si>
    <t xml:space="preserve"> Albertville</t>
  </si>
  <si>
    <t>Strathmore High School</t>
  </si>
  <si>
    <t>124 S Broad St, Albertville, AL 35950, USA</t>
  </si>
  <si>
    <t>Portola Junior/Senior High School</t>
  </si>
  <si>
    <t>Portola</t>
  </si>
  <si>
    <t>Potter Valley High School</t>
  </si>
  <si>
    <t>Montpelier</t>
  </si>
  <si>
    <t>Mount Pleasant, IA</t>
  </si>
  <si>
    <t>Potter Valley</t>
  </si>
  <si>
    <t xml:space="preserve"> Montpelier</t>
  </si>
  <si>
    <t>3 E State St, Montpelier, VT 05602, USA</t>
  </si>
  <si>
    <t>Poway High School</t>
  </si>
  <si>
    <t>Princeton Junior-Senior High School</t>
  </si>
  <si>
    <t>Princeton</t>
  </si>
  <si>
    <t>Lakeland (Suffolk)</t>
  </si>
  <si>
    <t>Academyemies Of The Antelope Valley</t>
  </si>
  <si>
    <t>Quartz Hill</t>
  </si>
  <si>
    <t>214 Kenyon Rd, Suffolk, VA 23434, USA</t>
  </si>
  <si>
    <t>Quartz Hill High School</t>
  </si>
  <si>
    <t>Quincy Junior/Senior High School</t>
  </si>
  <si>
    <t>Quincy</t>
  </si>
  <si>
    <t>Brennan (San Antonio)</t>
  </si>
  <si>
    <t>Ramona High School</t>
  </si>
  <si>
    <t>Ramona</t>
  </si>
  <si>
    <t>2400 Cottonwood Way, San Antonio, TX 78253, USA</t>
  </si>
  <si>
    <t>Rancho Cordova</t>
  </si>
  <si>
    <t>Los Osos High School</t>
  </si>
  <si>
    <t>Lake Clifton (Baltimore)</t>
  </si>
  <si>
    <t>2801-2831 St Lo Dr, Baltimore, MD 21213, USA</t>
  </si>
  <si>
    <t>Rancho Cucamonga High School</t>
  </si>
  <si>
    <t>Rancho Mirage High School</t>
  </si>
  <si>
    <t>Rancho Mirage</t>
  </si>
  <si>
    <t>Turpin (Cincinnati)</t>
  </si>
  <si>
    <t>Red Bluff High School</t>
  </si>
  <si>
    <t>Red Bluff</t>
  </si>
  <si>
    <t>6375 Clough Pike, Cincinnati, OH 45244, USA</t>
  </si>
  <si>
    <t>Redding</t>
  </si>
  <si>
    <t>Stewartville</t>
  </si>
  <si>
    <t xml:space="preserve"> Stewartville</t>
  </si>
  <si>
    <t>208 Center Town Plaza North, Stewartville, MN 55976, USA</t>
  </si>
  <si>
    <t>Shasta Charter Academy</t>
  </si>
  <si>
    <t>Shasta County Independent Study Charter</t>
  </si>
  <si>
    <t>Westerville Central (Westerville)</t>
  </si>
  <si>
    <t xml:space="preserve"> Westerville</t>
  </si>
  <si>
    <t>Shasta High School</t>
  </si>
  <si>
    <t>7118 Mt Royal Ave, Westerville, OH 43082, USA</t>
  </si>
  <si>
    <t>University Preparatory</t>
  </si>
  <si>
    <t>Roncalli (Manitowoc)</t>
  </si>
  <si>
    <t xml:space="preserve"> Manitowoc</t>
  </si>
  <si>
    <t>2000 Mirro Dr, Manitowoc, WI 54220, USA</t>
  </si>
  <si>
    <t>Citrus Valley High School</t>
  </si>
  <si>
    <t>Saltillo, MS</t>
  </si>
  <si>
    <t>Redlands</t>
  </si>
  <si>
    <t>Grove</t>
  </si>
  <si>
    <t>Western (Davie)</t>
  </si>
  <si>
    <t xml:space="preserve"> Davie</t>
  </si>
  <si>
    <t>1200 SW 136th Ave, Davie, FL 33325, USA</t>
  </si>
  <si>
    <t>Redlands East Valley High School</t>
  </si>
  <si>
    <t>Redlands Senior High School</t>
  </si>
  <si>
    <t>Rock Island</t>
  </si>
  <si>
    <t>Redondo Union High School</t>
  </si>
  <si>
    <t>Redondo Beach</t>
  </si>
  <si>
    <t xml:space="preserve"> Rock Island</t>
  </si>
  <si>
    <t>217 15th St, Rock Island, IL 61201, USA</t>
  </si>
  <si>
    <t>Design Tech High School</t>
  </si>
  <si>
    <t>Redwood City</t>
  </si>
  <si>
    <t>Everest Public High School</t>
  </si>
  <si>
    <t>First Love Christian Academy (Washington)</t>
  </si>
  <si>
    <t>Sequoia High School</t>
  </si>
  <si>
    <t>150 Sunset Blvd, Washington, PA 15301, USA</t>
  </si>
  <si>
    <t>Summit Preparatory Charter High School</t>
  </si>
  <si>
    <t>Reedley High School</t>
  </si>
  <si>
    <t>Reedley</t>
  </si>
  <si>
    <t>Denmark (Alpharetta)</t>
  </si>
  <si>
    <t>518 Fowler Rd, Alpharetta, GA 30004, USA</t>
  </si>
  <si>
    <t>Reedley Middle College High School</t>
  </si>
  <si>
    <t>Grover Cleveland Charter High School</t>
  </si>
  <si>
    <t>Reseda</t>
  </si>
  <si>
    <t>Tappan Zee (Orangeburg)</t>
  </si>
  <si>
    <t xml:space="preserve"> Orangeburg</t>
  </si>
  <si>
    <t>15 Dutch Hill Rd, Orangeburg, NY 10962, USA</t>
  </si>
  <si>
    <t>Magnolia Science Academy</t>
  </si>
  <si>
    <t>Magnolia Science Academy 5</t>
  </si>
  <si>
    <t>Southern Durham (Durham)</t>
  </si>
  <si>
    <t xml:space="preserve"> Durham</t>
  </si>
  <si>
    <t>Reseda Charter High School</t>
  </si>
  <si>
    <t>800 Clayton Rd, Durham, NC 27703, USA</t>
  </si>
  <si>
    <t>Eisenhower Senior High School</t>
  </si>
  <si>
    <t>Rialto</t>
  </si>
  <si>
    <t>Rialto High School</t>
  </si>
  <si>
    <t>907 9th St, Sacramento, CA 95814, USA</t>
  </si>
  <si>
    <t>Wilmer Amina Carter High School</t>
  </si>
  <si>
    <t>Carver Collegiate Academy (New Orleans)</t>
  </si>
  <si>
    <t>De Anza High School</t>
  </si>
  <si>
    <t>3059 Higgins Blvd, New Orleans, LA 70126, USA</t>
  </si>
  <si>
    <t>Orlando, FL</t>
  </si>
  <si>
    <t>Hillsboro (Nashville)</t>
  </si>
  <si>
    <t>Making Waves Academy</t>
  </si>
  <si>
    <t>2524 Belmont Blvd, Nashville, TN 37212, USA</t>
  </si>
  <si>
    <t>Richmond High School</t>
  </si>
  <si>
    <t>Summit Public School: Tamalpais</t>
  </si>
  <si>
    <t>Mansfield Summit (Arlington)</t>
  </si>
  <si>
    <t>1071 Turner Warnell Rd, Arlington, TX 76001, USA</t>
  </si>
  <si>
    <t>Ridgecrest</t>
  </si>
  <si>
    <t>Rio Linda High School</t>
  </si>
  <si>
    <t>Rio Linda</t>
  </si>
  <si>
    <t>Lake Nona (Orlando)</t>
  </si>
  <si>
    <t>7975 Nemours Pkwy, Orlando, FL 32827, USA</t>
  </si>
  <si>
    <t>Rio Vista High School</t>
  </si>
  <si>
    <t>Rio Vista</t>
  </si>
  <si>
    <t>Johnson City</t>
  </si>
  <si>
    <t>Ripon High School</t>
  </si>
  <si>
    <t>Ripon</t>
  </si>
  <si>
    <t>99 Allen St, Johnson City, NY 13790, USA</t>
  </si>
  <si>
    <t>Riverbank High School</t>
  </si>
  <si>
    <t>Riverbank</t>
  </si>
  <si>
    <t>Riverdale High School</t>
  </si>
  <si>
    <t>St. Charles East (St. Charles)</t>
  </si>
  <si>
    <t>Riverdale</t>
  </si>
  <si>
    <t>1020 Dunham Rd, St. Charles, IL 60174, USA</t>
  </si>
  <si>
    <t>Arlington High School</t>
  </si>
  <si>
    <t>Encore High School For The Arts - Riverside</t>
  </si>
  <si>
    <t>Wahoo</t>
  </si>
  <si>
    <t xml:space="preserve"> Wahoo</t>
  </si>
  <si>
    <t>648 N Maple St, Wahoo, NE 68066, USA</t>
  </si>
  <si>
    <t>Gateway College And Career Academy</t>
  </si>
  <si>
    <t>Durham Academy (Durham)</t>
  </si>
  <si>
    <t>3501 Ridge Rd, Durham, NC 27705, USA</t>
  </si>
  <si>
    <t>John W. North High School</t>
  </si>
  <si>
    <t>La Sierra High School</t>
  </si>
  <si>
    <t>Lincoln (Council Bluffs)</t>
  </si>
  <si>
    <t xml:space="preserve"> Council Bluffs</t>
  </si>
  <si>
    <t>1205 Bonham St, Council Bluffs, IA 51503, USA</t>
  </si>
  <si>
    <t>Martin Luther King Jr. High School</t>
  </si>
  <si>
    <t>Champaign, IL</t>
  </si>
  <si>
    <t>Norte Vista High School</t>
  </si>
  <si>
    <t>Lincoln (San Francisco)</t>
  </si>
  <si>
    <t>Lincoln Way &amp; 25th Ave, San Francisco, CA 94122, USA</t>
  </si>
  <si>
    <t xml:space="preserve"> Pleasant Grove</t>
  </si>
  <si>
    <t>117 E Center St, Pleasant Grove, UT 84062, USA</t>
  </si>
  <si>
    <t>Riverside Stem Academy</t>
  </si>
  <si>
    <t>Rocklin High School</t>
  </si>
  <si>
    <t>East Ascension (Gonzales)</t>
  </si>
  <si>
    <t xml:space="preserve"> Gonzales</t>
  </si>
  <si>
    <t>Western Sierra Collegiate Academy</t>
  </si>
  <si>
    <t>564 S Irma Blvd, Gonzales, LA 70737, USA</t>
  </si>
  <si>
    <t>Whitney High School</t>
  </si>
  <si>
    <t>Trinity (River Forest)</t>
  </si>
  <si>
    <t>Credo High School</t>
  </si>
  <si>
    <t xml:space="preserve"> River Forest</t>
  </si>
  <si>
    <t>Rohnert Park</t>
  </si>
  <si>
    <t>1314 Lathrop Ave, River Forest, IL 60305, USA</t>
  </si>
  <si>
    <t>Rancho Cotate High School</t>
  </si>
  <si>
    <t>Palos Verdes Peninsula High School</t>
  </si>
  <si>
    <t>Montgomery Bell Academy (Nashville)</t>
  </si>
  <si>
    <t>Rolling Hills Estates</t>
  </si>
  <si>
    <t>4001 Harding Pike, Nashville, TN 37205, USA</t>
  </si>
  <si>
    <t>Romoland</t>
  </si>
  <si>
    <t>Mount Michael Benedictine (Elkhorn)</t>
  </si>
  <si>
    <t>Rosamond High School Early College Campus</t>
  </si>
  <si>
    <t xml:space="preserve"> Elkhorn</t>
  </si>
  <si>
    <t>Rosamond</t>
  </si>
  <si>
    <t>22520 Mt Michael Rd, Elkhorn, NE 68022, USA</t>
  </si>
  <si>
    <t>Rosemead High School</t>
  </si>
  <si>
    <t>Rosemead</t>
  </si>
  <si>
    <t>Oakmont High School</t>
  </si>
  <si>
    <t>Shady Spring</t>
  </si>
  <si>
    <t>Roseville</t>
  </si>
  <si>
    <t xml:space="preserve"> Shady Spring</t>
  </si>
  <si>
    <t>108 Hinton Rd, Shady Spring, WV 25918, USA</t>
  </si>
  <si>
    <t>Roseville High School</t>
  </si>
  <si>
    <t>Woodcreek High School</t>
  </si>
  <si>
    <t>Seguin (Arlington)</t>
  </si>
  <si>
    <t>John A. Rowland High School</t>
  </si>
  <si>
    <t>Rowland Heights</t>
  </si>
  <si>
    <t>7001 Silo Rd, Arlington, TX 76002, USA</t>
  </si>
  <si>
    <t>Arthur A. Benjamin Health Professions High School</t>
  </si>
  <si>
    <t>C. K. Mcclatchy High School</t>
  </si>
  <si>
    <t>Hemlock</t>
  </si>
  <si>
    <t xml:space="preserve"> Hemlock</t>
  </si>
  <si>
    <t>134 E Saginaw St, Hemlock, MI 48626, USA</t>
  </si>
  <si>
    <t>El Camino Fundamental High School</t>
  </si>
  <si>
    <t>Encina Preparatory High School</t>
  </si>
  <si>
    <t>Sumner</t>
  </si>
  <si>
    <t xml:space="preserve"> Sumner</t>
  </si>
  <si>
    <t>921 Alder Ave, Sumner, WA 98390, USA</t>
  </si>
  <si>
    <t>Florin High School</t>
  </si>
  <si>
    <t>Roosevelt (Washington)</t>
  </si>
  <si>
    <t>4301 13th St NW, Washington, DC 20011, USA</t>
  </si>
  <si>
    <t>Futures High School</t>
  </si>
  <si>
    <t>George Washington Carver School Of Arts And Science</t>
  </si>
  <si>
    <t>Westwood</t>
  </si>
  <si>
    <t xml:space="preserve"> Westwood</t>
  </si>
  <si>
    <t>Grant Union High School</t>
  </si>
  <si>
    <t>20 Crouse Ave, Westwood, MA 02090, USA</t>
  </si>
  <si>
    <t>Hiram W. Johnson High School</t>
  </si>
  <si>
    <t>Inderkum High School</t>
  </si>
  <si>
    <t>DeKalb</t>
  </si>
  <si>
    <t xml:space="preserve"> DeKalb</t>
  </si>
  <si>
    <t>121 S 4th St, DeKalb, IL 60115, USA</t>
  </si>
  <si>
    <t>Kit Carson International Academy</t>
  </si>
  <si>
    <t>Hamtramck</t>
  </si>
  <si>
    <t xml:space="preserve"> Hamtramck</t>
  </si>
  <si>
    <t>3153 Roosevelt St, Hamtramck, MI 48212, USA</t>
  </si>
  <si>
    <t>Leroy Greene Academy</t>
  </si>
  <si>
    <t>Luther Burbank High School</t>
  </si>
  <si>
    <t>Canyon (Anaheim)</t>
  </si>
  <si>
    <t>Mira Loma High School</t>
  </si>
  <si>
    <t>220 S Imperial Hwy, Anaheim, CA 92807, USA</t>
  </si>
  <si>
    <t>Natomas High School</t>
  </si>
  <si>
    <t>Worland</t>
  </si>
  <si>
    <t xml:space="preserve"> Worland</t>
  </si>
  <si>
    <t>Natomas Pacific Pathways Prep</t>
  </si>
  <si>
    <t>1801 Big Horn Ave, Worland, WY 82401, USA</t>
  </si>
  <si>
    <t>New Technology High School</t>
  </si>
  <si>
    <t>Seymour</t>
  </si>
  <si>
    <t>Rio Americano High School</t>
  </si>
  <si>
    <t xml:space="preserve"> Seymour</t>
  </si>
  <si>
    <t>349 N Main St, Seymour, WI 54165, USA</t>
  </si>
  <si>
    <t>Rosemont High School</t>
  </si>
  <si>
    <t>Sacramento Charter High School</t>
  </si>
  <si>
    <t>63 W Lyon Ave, Lake City, MN 55041, USA</t>
  </si>
  <si>
    <t>San Juan Choices Charter</t>
  </si>
  <si>
    <t>Sava - Sacramento Academyemic And Vocational Academy</t>
  </si>
  <si>
    <t>Christian Brothers (Memphis)</t>
  </si>
  <si>
    <t>5900 Walnut Grove Rd, Memphis, TN 38120, USA</t>
  </si>
  <si>
    <t>Sava - Sacramento Academyemic And Vocational Academy - Scusd</t>
  </si>
  <si>
    <t>Sheldon High School</t>
  </si>
  <si>
    <t>Royal Valley (Hoyt)</t>
  </si>
  <si>
    <t xml:space="preserve"> Hoyt</t>
  </si>
  <si>
    <t>101 E 1st St, Hoyt, KS 66440, USA</t>
  </si>
  <si>
    <t>The Met</t>
  </si>
  <si>
    <t>Monroe City</t>
  </si>
  <si>
    <t xml:space="preserve"> Monroe City</t>
  </si>
  <si>
    <t>213 N Main St, Monroe City, MO 63456, USA</t>
  </si>
  <si>
    <t>West Campus</t>
  </si>
  <si>
    <t>Alisal High School</t>
  </si>
  <si>
    <t>Salinas</t>
  </si>
  <si>
    <t>Wingfield (Jackson)</t>
  </si>
  <si>
    <t>9002 Anna Lisa Ln, Jackson, MS 39204, USA</t>
  </si>
  <si>
    <t>Everett Alvarez High School</t>
  </si>
  <si>
    <t>Millennium Charter High School</t>
  </si>
  <si>
    <t>Raytown</t>
  </si>
  <si>
    <t>North Salinas High School</t>
  </si>
  <si>
    <t>Puyallup, WA</t>
  </si>
  <si>
    <t>6300 Raytown Rd, Kansas City, MO 64133, USA</t>
  </si>
  <si>
    <t>Salinas High School</t>
  </si>
  <si>
    <t>West Shores High School</t>
  </si>
  <si>
    <t>Salton City</t>
  </si>
  <si>
    <t>Liberty</t>
  </si>
  <si>
    <t xml:space="preserve"> Liberty</t>
  </si>
  <si>
    <t>110 E Kansas St, Liberty, MO 64068, USA</t>
  </si>
  <si>
    <t>Calaveras High School</t>
  </si>
  <si>
    <t>San Andreas</t>
  </si>
  <si>
    <t>Sir Francis Drake High School</t>
  </si>
  <si>
    <t>San Anselmo</t>
  </si>
  <si>
    <t>Life Waxahachie (Waxahachie)</t>
  </si>
  <si>
    <t>Arroyo Valley High School</t>
  </si>
  <si>
    <t>170 Butcher Rd, Waxahachie, TX 75165, USA</t>
  </si>
  <si>
    <t>San Bernardino</t>
  </si>
  <si>
    <t>Cajon High School</t>
  </si>
  <si>
    <t>Solon</t>
  </si>
  <si>
    <t xml:space="preserve"> Solon</t>
  </si>
  <si>
    <t>Indian Springs High School</t>
  </si>
  <si>
    <t>33445 Bainbridge Rd, Solon, OH 44139, USA</t>
  </si>
  <si>
    <t>Pacific High School</t>
  </si>
  <si>
    <t>Captain Shreve (Shreveport)</t>
  </si>
  <si>
    <t xml:space="preserve"> Shreveport</t>
  </si>
  <si>
    <t>Provisional Accelerated Learning Academy</t>
  </si>
  <si>
    <t>6115 E Kings Hwy, Shreveport, LA 71105, USA</t>
  </si>
  <si>
    <t>Public Safety Academy</t>
  </si>
  <si>
    <t>Sandusky</t>
  </si>
  <si>
    <t>San Bernardino High School</t>
  </si>
  <si>
    <t xml:space="preserve"> Sandusky</t>
  </si>
  <si>
    <t>101 W Market St, Sandusky, OH 44870, USA</t>
  </si>
  <si>
    <t>San Gorgonio High School</t>
  </si>
  <si>
    <t>Capuchino High School</t>
  </si>
  <si>
    <t>Lodge Grass</t>
  </si>
  <si>
    <t>San Bruno</t>
  </si>
  <si>
    <t xml:space="preserve"> Lodge Grass</t>
  </si>
  <si>
    <t>10 Main St, Lodge Grass, MT 59050, USA</t>
  </si>
  <si>
    <t>San Clemente High School</t>
  </si>
  <si>
    <t>San Clemente</t>
  </si>
  <si>
    <t>Audeo Charter School Iii</t>
  </si>
  <si>
    <t>Del Norte (Crescent City)</t>
  </si>
  <si>
    <t xml:space="preserve"> Crescent City</t>
  </si>
  <si>
    <t>886 G St, Crescent City, CA 95531, USA</t>
  </si>
  <si>
    <t>Charter School Of San Diego</t>
  </si>
  <si>
    <t>City Heights Preparatory Charter</t>
  </si>
  <si>
    <t>Westminster Christian (Miami)</t>
  </si>
  <si>
    <t xml:space="preserve"> Palmetto Bay</t>
  </si>
  <si>
    <t>6855 SW 152nd St, Palmetto Bay, FL 33157, USA</t>
  </si>
  <si>
    <t>Clairemont High School</t>
  </si>
  <si>
    <t>Crawford High School</t>
  </si>
  <si>
    <t>Lynden Christian (Lynden)</t>
  </si>
  <si>
    <t>417 Lyncs Dr, Lynden, WA 98264, USA</t>
  </si>
  <si>
    <t>E3 Civic High School</t>
  </si>
  <si>
    <t>Gompers Preparatory Academy</t>
  </si>
  <si>
    <t>East (Cheyenne)</t>
  </si>
  <si>
    <t xml:space="preserve"> Cheyenne</t>
  </si>
  <si>
    <t>200 W 24th St, Cheyenne, WY 82001, USA</t>
  </si>
  <si>
    <t>Grossmont Secondary</t>
  </si>
  <si>
    <t>Health Sciences High School</t>
  </si>
  <si>
    <t>Greenfield (Wilson)</t>
  </si>
  <si>
    <t xml:space="preserve"> Wilson</t>
  </si>
  <si>
    <t>Henry High School</t>
  </si>
  <si>
    <t>3351 NC-42, Wilson, NC 27893, USA</t>
  </si>
  <si>
    <t>High School Tech High School</t>
  </si>
  <si>
    <t>Hopedale</t>
  </si>
  <si>
    <t xml:space="preserve"> Hopedale</t>
  </si>
  <si>
    <t>High School Tech High School Chula Vista</t>
  </si>
  <si>
    <t>45 Hopedale St, Hopedale, MA 01747, USA</t>
  </si>
  <si>
    <t>High School Tech High School International</t>
  </si>
  <si>
    <t>St. John</t>
  </si>
  <si>
    <t xml:space="preserve"> St John</t>
  </si>
  <si>
    <t>High School Tech High School Media Arts</t>
  </si>
  <si>
    <t>212 E 4th Ave, St John, KS 67576, USA</t>
  </si>
  <si>
    <t>High School Tech High School North County</t>
  </si>
  <si>
    <t>Archbishop Carroll (Radnor)</t>
  </si>
  <si>
    <t xml:space="preserve"> Wayne</t>
  </si>
  <si>
    <t>211 Matsonford Rd, Wayne, PA 19087, USA</t>
  </si>
  <si>
    <t>Ingenuity Charter</t>
  </si>
  <si>
    <t>Zion-Benton (Zion)</t>
  </si>
  <si>
    <t>Kearny College Connections</t>
  </si>
  <si>
    <t xml:space="preserve"> Zion</t>
  </si>
  <si>
    <t>3901 W 21st St, Zion, IL 60099, USA</t>
  </si>
  <si>
    <t>Kearny Digital Media &amp; Design</t>
  </si>
  <si>
    <t>Jackson, MS</t>
  </si>
  <si>
    <t>Kearny Eng Innov &amp; Design</t>
  </si>
  <si>
    <t>Cambridge Rindge &amp; Latin (Cambridge)</t>
  </si>
  <si>
    <t xml:space="preserve"> Cambridge</t>
  </si>
  <si>
    <t>459 Broadway, Cambridge, MA 02138, USA</t>
  </si>
  <si>
    <t>Kearny Sct</t>
  </si>
  <si>
    <t>King-Chavez Community High School</t>
  </si>
  <si>
    <t>Dell Rapids</t>
  </si>
  <si>
    <t xml:space="preserve"> Dell Rapids</t>
  </si>
  <si>
    <t>612 Garfield Ave, Dell Rapids, SD 57022, USA</t>
  </si>
  <si>
    <t>Madison High School</t>
  </si>
  <si>
    <t>Potlatch</t>
  </si>
  <si>
    <t xml:space="preserve"> Potlatch</t>
  </si>
  <si>
    <t>340 6th St, Potlatch, ID 83855, USA</t>
  </si>
  <si>
    <t>Mira Mesa High School</t>
  </si>
  <si>
    <t>Mirus Secondary</t>
  </si>
  <si>
    <t>Jeffersontown (Louisville)</t>
  </si>
  <si>
    <t xml:space="preserve"> Jeffersontown</t>
  </si>
  <si>
    <t>10512 Watterson Trail, Jeffersontown, KY 40299, USA</t>
  </si>
  <si>
    <t>Mission Bay High School</t>
  </si>
  <si>
    <t>Montgomery Senior High School</t>
  </si>
  <si>
    <t>Westfield</t>
  </si>
  <si>
    <t xml:space="preserve"> Westfield</t>
  </si>
  <si>
    <t>Morse High School</t>
  </si>
  <si>
    <t>100 N Union St, Westfield, IN 46074, USA</t>
  </si>
  <si>
    <t>Mt. Carmel High School</t>
  </si>
  <si>
    <t>The Webb School (Bell Buckle)</t>
  </si>
  <si>
    <t xml:space="preserve"> Bell Buckle</t>
  </si>
  <si>
    <t>Point Loma High School</t>
  </si>
  <si>
    <t>319 Webb Rd E, Bell Buckle, TN 37020, USA</t>
  </si>
  <si>
    <t>Rancho Bernardo High School</t>
  </si>
  <si>
    <t>Wildwood</t>
  </si>
  <si>
    <t xml:space="preserve"> Wildwood</t>
  </si>
  <si>
    <t>San Diego Business/Leadership</t>
  </si>
  <si>
    <t>110 Cleveland Ave, Wildwood, FL 34785, USA</t>
  </si>
  <si>
    <t>San Diego International Studies</t>
  </si>
  <si>
    <t>Mount Vernon</t>
  </si>
  <si>
    <t>San Diego Science And Technology</t>
  </si>
  <si>
    <t>Dry Prong, LA</t>
  </si>
  <si>
    <t>12 E Prospect Ave, Mt Vernon, NY 10550, USA</t>
  </si>
  <si>
    <t>San Diego Scpa</t>
  </si>
  <si>
    <t>San Ysidro High School</t>
  </si>
  <si>
    <t>Huntley</t>
  </si>
  <si>
    <t xml:space="preserve"> Huntley</t>
  </si>
  <si>
    <t>11105 IL-47, Huntley, IL 60142, USA</t>
  </si>
  <si>
    <t>School For Entrepreneurship And Technology</t>
  </si>
  <si>
    <t>Scripps Ranch High School</t>
  </si>
  <si>
    <t>New Berlin Eisenhower (New Berlin)</t>
  </si>
  <si>
    <t xml:space="preserve"> New Berlin</t>
  </si>
  <si>
    <t>4333 S Sunny Slope Rd, New Berlin, WI 53151, USA</t>
  </si>
  <si>
    <t>Serra High School</t>
  </si>
  <si>
    <t>Southwest Senior High School</t>
  </si>
  <si>
    <t>La Cueva (Albuquerque)</t>
  </si>
  <si>
    <t>University City High School</t>
  </si>
  <si>
    <t>7801 Wilshire Ave NE, Albuquerque, NM 87122, USA</t>
  </si>
  <si>
    <t>Urban Corps Of San Diego County Charter</t>
  </si>
  <si>
    <t>St. Francis DeSales (Columbus)</t>
  </si>
  <si>
    <t>4212 Karl Rd, Columbus, OH 43224, USA</t>
  </si>
  <si>
    <t>Bonita High School</t>
  </si>
  <si>
    <t>San Dimas</t>
  </si>
  <si>
    <t>San Dimas High School</t>
  </si>
  <si>
    <t>Southwind (Memphis)</t>
  </si>
  <si>
    <t>Cesar E. Chavez Lrng Academys - Arts/Theatre/Entertain Mag</t>
  </si>
  <si>
    <t>1360 Southwind Dr, Memphis, TN 38116, USA</t>
  </si>
  <si>
    <t>San Fernando</t>
  </si>
  <si>
    <t>Cesar E. Chavez Lrng Academys-Academy Of Scientific Explr (Ase)</t>
  </si>
  <si>
    <t>Fox Chapel (Pittsburgh)</t>
  </si>
  <si>
    <t>Cesar E. Chavez Lrng Academys-Soc Just Humanitas Academy</t>
  </si>
  <si>
    <t>399 Fox Chapel Rd, Pittsburgh, PA 15238, USA</t>
  </si>
  <si>
    <t>Cesar E. Chavez Lrng Academys-Tech Prep Academy</t>
  </si>
  <si>
    <t>Ellsworth</t>
  </si>
  <si>
    <t>San Fernando Senior High School</t>
  </si>
  <si>
    <t xml:space="preserve"> Ellsworth</t>
  </si>
  <si>
    <t>234 Main St, Ellsworth, ME 04605, USA</t>
  </si>
  <si>
    <t>Balboa High School</t>
  </si>
  <si>
    <t>Torrance, CA</t>
  </si>
  <si>
    <t>Burton (Phillip And Sala) Academyemic High School</t>
  </si>
  <si>
    <t>Westminster Christian (St. Louis)</t>
  </si>
  <si>
    <t xml:space="preserve"> Chesterfield</t>
  </si>
  <si>
    <t>800 Maryville Centre Dr, Chesterfield, MO 63017, USA</t>
  </si>
  <si>
    <t>City Arts And Tech High School</t>
  </si>
  <si>
    <t>Five Keys Charter (Sf Sheriff'S)</t>
  </si>
  <si>
    <t>Traverse City Central (Traverse City)</t>
  </si>
  <si>
    <t xml:space="preserve"> Traverse City</t>
  </si>
  <si>
    <t>Five Keys Independence High School (Sf Sheriff'S)</t>
  </si>
  <si>
    <t>1150 Milliken Dr, Traverse City, MI 49686, USA</t>
  </si>
  <si>
    <t>Galileo High School</t>
  </si>
  <si>
    <t>Mount Pisgah Christian (Johns Creek)</t>
  </si>
  <si>
    <t>Gateway High School</t>
  </si>
  <si>
    <t>9875 Nesbit Ferry Rd, Alpharetta, GA 30022, USA</t>
  </si>
  <si>
    <t>Kipp San Francisco College Preparatory</t>
  </si>
  <si>
    <t>St. Joseph (Santa Maria)</t>
  </si>
  <si>
    <t>Leadership High School</t>
  </si>
  <si>
    <t xml:space="preserve"> Santa Maria</t>
  </si>
  <si>
    <t>4120 S Bradley Rd, Santa Maria, CA 93455, USA</t>
  </si>
  <si>
    <t>Life Learning Academy Charter</t>
  </si>
  <si>
    <t>Lincoln (Abraham) High School</t>
  </si>
  <si>
    <t xml:space="preserve"> Jonesboro</t>
  </si>
  <si>
    <t>Lowell High School</t>
  </si>
  <si>
    <t>124 S Main St, Jonesboro, AR 72401, USA</t>
  </si>
  <si>
    <t>Marshall (Thurgood) High School</t>
  </si>
  <si>
    <t>Fort Bend Bush (Richmond)</t>
  </si>
  <si>
    <t>Mission High School</t>
  </si>
  <si>
    <t>6707 FM 1464, Richmond, TX 77407, USA</t>
  </si>
  <si>
    <t>O'Connell (John) High School</t>
  </si>
  <si>
    <t>Villa Park</t>
  </si>
  <si>
    <t>Wallenberg (Raoul) Traditional High School</t>
  </si>
  <si>
    <t xml:space="preserve"> Villa Park</t>
  </si>
  <si>
    <t>17583 Santiago Blvd, Villa Park, CA 92861, USA</t>
  </si>
  <si>
    <t>Washington (George) High School</t>
  </si>
  <si>
    <t>Lower Merion (Ardmore)</t>
  </si>
  <si>
    <t xml:space="preserve"> Ardmore</t>
  </si>
  <si>
    <t>120 Sibley Ave, Ardmore, PA 19003, USA</t>
  </si>
  <si>
    <t>Gabrielino High School</t>
  </si>
  <si>
    <t>San Gabriel</t>
  </si>
  <si>
    <t>San Gabriel High School</t>
  </si>
  <si>
    <t>Huron</t>
  </si>
  <si>
    <t xml:space="preserve"> Huron</t>
  </si>
  <si>
    <t>280 Dakota Ave S, Huron, SD 57350, USA</t>
  </si>
  <si>
    <t>San Jacinto High School</t>
  </si>
  <si>
    <t>San Jacinto</t>
  </si>
  <si>
    <t>Tranquillity High School</t>
  </si>
  <si>
    <t>San Joaquin</t>
  </si>
  <si>
    <t>Bishop Manogue (Reno)</t>
  </si>
  <si>
    <t xml:space="preserve"> Reno</t>
  </si>
  <si>
    <t>110 Bishop Manogue Dr, Reno, NV 89511, USA</t>
  </si>
  <si>
    <t>Abraham Lincoln High School</t>
  </si>
  <si>
    <t>Ace Charter High School</t>
  </si>
  <si>
    <t>St. Andrew's Episcopal (Ridgeland)</t>
  </si>
  <si>
    <t xml:space="preserve"> Ridgeland</t>
  </si>
  <si>
    <t>Alpha Cindy Avitia High School</t>
  </si>
  <si>
    <t>370 Old Agency Rd, Ridgeland, MS 39157, USA</t>
  </si>
  <si>
    <t>Andrew P. Hill High School</t>
  </si>
  <si>
    <t>Zionsville</t>
  </si>
  <si>
    <t xml:space="preserve"> Zionsville</t>
  </si>
  <si>
    <t>B. Roberto Cruz Leadership Academy</t>
  </si>
  <si>
    <t>76 S Main St, Zionsville, IN 46077, USA</t>
  </si>
  <si>
    <t>Branham High School</t>
  </si>
  <si>
    <t xml:space="preserve"> Calabasas</t>
  </si>
  <si>
    <t>Del Mar High School</t>
  </si>
  <si>
    <t>3715 Cll Jazmin, Calabasas, CA 91302, USA</t>
  </si>
  <si>
    <t>Downtown College Prep - Alum Rock</t>
  </si>
  <si>
    <t>Downtown College Preparatory</t>
  </si>
  <si>
    <t>Wrightstown</t>
  </si>
  <si>
    <t xml:space="preserve"> Wrightstown</t>
  </si>
  <si>
    <t>531 Washington St, Wrightstown, WI 54180, USA</t>
  </si>
  <si>
    <t>Escuela Popular/Center For Training And Careers Family Lrng</t>
  </si>
  <si>
    <t>Evergreen Valley High School</t>
  </si>
  <si>
    <t>Andale</t>
  </si>
  <si>
    <t xml:space="preserve"> Andale</t>
  </si>
  <si>
    <t>300 Main St, Andale, KS 67001, USA</t>
  </si>
  <si>
    <t>Gunderson High School</t>
  </si>
  <si>
    <t>Apopka, FL</t>
  </si>
  <si>
    <t>O'Gorman (Sioux Falls)</t>
  </si>
  <si>
    <t>3201 S Kiwanis Ave, Sioux Falls, SD 57105, USA</t>
  </si>
  <si>
    <t>James Lick High School</t>
  </si>
  <si>
    <t>Kipp San Jose Collegiate</t>
  </si>
  <si>
    <t>Latino College Preparatory Academy</t>
  </si>
  <si>
    <t>998 Fourth Ave, San Diego, CA 92101, USA</t>
  </si>
  <si>
    <t>Leigh High School</t>
  </si>
  <si>
    <t>Eastwood (El Paso)</t>
  </si>
  <si>
    <t>Leland High School</t>
  </si>
  <si>
    <t>2430 McRae Blvd, El Paso, TX 79925, USA</t>
  </si>
  <si>
    <t>Luis Valdez Leadership Academy</t>
  </si>
  <si>
    <t>Wren (Piedmont)</t>
  </si>
  <si>
    <t>Lynbrook High School</t>
  </si>
  <si>
    <t>1010 Wren School Rd, Piedmont, SC 29673, USA</t>
  </si>
  <si>
    <t>Parsons</t>
  </si>
  <si>
    <t>Mt. Pleasant High School</t>
  </si>
  <si>
    <t xml:space="preserve"> Parsons</t>
  </si>
  <si>
    <t>1700 Main St, Parsons, KS 67357, USA</t>
  </si>
  <si>
    <t>Delta (Muncie)</t>
  </si>
  <si>
    <t xml:space="preserve"> Muncie</t>
  </si>
  <si>
    <t>3400 IN-28, Muncie, IN 47303, USA</t>
  </si>
  <si>
    <t>Opportunity Youth Academy</t>
  </si>
  <si>
    <t>Piedmont Hills High School</t>
  </si>
  <si>
    <t>Greater Beckley Christian (Prosperity)</t>
  </si>
  <si>
    <t xml:space="preserve"> Mt Hope</t>
  </si>
  <si>
    <t>140 Crusader Dr, Mt Hope, WV 25880, USA</t>
  </si>
  <si>
    <t>Pioneer High School</t>
  </si>
  <si>
    <t>San Jose Conservation Corps Charter</t>
  </si>
  <si>
    <t>Hope Christian (Albuquerque)</t>
  </si>
  <si>
    <t>San Jose High School</t>
  </si>
  <si>
    <t>8005 Louisiana Blvd NE, Albuquerque, NM 87109, USA</t>
  </si>
  <si>
    <t>Santa Teresa High School</t>
  </si>
  <si>
    <t>Northwestern (Rock Hill)</t>
  </si>
  <si>
    <t>Silver Creek High School</t>
  </si>
  <si>
    <t xml:space="preserve"> Rock Hill</t>
  </si>
  <si>
    <t>2503 W Main St, Rock Hill, SC 29732, USA</t>
  </si>
  <si>
    <t>Summit Public School: Rainier</t>
  </si>
  <si>
    <t>Summit Public School: Tahoma</t>
  </si>
  <si>
    <t>Central (Cheyenne)</t>
  </si>
  <si>
    <t>University Preparatory Academy Charter</t>
  </si>
  <si>
    <t>William C. Overfelt High School</t>
  </si>
  <si>
    <t>University (San Francisco)</t>
  </si>
  <si>
    <t>Willow Glen High School</t>
  </si>
  <si>
    <t>2130 Fulton St, San Francisco, CA 94117, USA</t>
  </si>
  <si>
    <t>Yerba Buena High School</t>
  </si>
  <si>
    <t>Anzar High School</t>
  </si>
  <si>
    <t>Tesoro (Rancho Santa Margarita)</t>
  </si>
  <si>
    <t>San Juan Bautista</t>
  </si>
  <si>
    <t xml:space="preserve"> Rancho Santa Margarita</t>
  </si>
  <si>
    <t>1 Tesoro Creek Rd, Rancho Santa Margarita, CA 92688, USA</t>
  </si>
  <si>
    <t>San Juan Hills High School</t>
  </si>
  <si>
    <t>San Leandro High School</t>
  </si>
  <si>
    <t>New Haven</t>
  </si>
  <si>
    <t xml:space="preserve"> New Haven</t>
  </si>
  <si>
    <t>1104 Hartzell St, New Haven, IN 46774, USA</t>
  </si>
  <si>
    <t>San Lorenzo</t>
  </si>
  <si>
    <t>Kipp King Collegiate High School</t>
  </si>
  <si>
    <t>Burbank (Sacramento)</t>
  </si>
  <si>
    <t>3500 Florin Rd, Sacramento, CA 95823, USA</t>
  </si>
  <si>
    <t>San Lorenzo High School</t>
  </si>
  <si>
    <t>Grizzly Challenge Charter</t>
  </si>
  <si>
    <t>San Luis Obispo</t>
  </si>
  <si>
    <t>Omaha South (Omaha)</t>
  </si>
  <si>
    <t>San Luis Obispo High School</t>
  </si>
  <si>
    <t>4720 S 42nd St, Omaha, NE 68107, USA</t>
  </si>
  <si>
    <t>Mission Hills High School</t>
  </si>
  <si>
    <t>San Marcos</t>
  </si>
  <si>
    <t>San Marcos High School</t>
  </si>
  <si>
    <t>9008 Macon Rd, Cordova, TN 38018, USA</t>
  </si>
  <si>
    <t>San Marino High School</t>
  </si>
  <si>
    <t>San Marino</t>
  </si>
  <si>
    <t>Greeneville, TN</t>
  </si>
  <si>
    <t>Aragon High School</t>
  </si>
  <si>
    <t>San Mateo</t>
  </si>
  <si>
    <t>Bolivar</t>
  </si>
  <si>
    <t xml:space="preserve"> Bolivar</t>
  </si>
  <si>
    <t>207 E Broadway St, Bolivar, MO 65613, USA</t>
  </si>
  <si>
    <t>Hillsdale High School</t>
  </si>
  <si>
    <t>San Mateo High School</t>
  </si>
  <si>
    <t>Dakota (Macomb)</t>
  </si>
  <si>
    <t>San Pablo</t>
  </si>
  <si>
    <t xml:space="preserve"> Macomb</t>
  </si>
  <si>
    <t>47947 Dakota Dr, Macomb, MI 48044, USA</t>
  </si>
  <si>
    <t>Port Of Los Angeles High School</t>
  </si>
  <si>
    <t>San Pedro</t>
  </si>
  <si>
    <t>San Pedro Senior High School</t>
  </si>
  <si>
    <t>Browning</t>
  </si>
  <si>
    <t xml:space="preserve"> Browning</t>
  </si>
  <si>
    <t>105 1st Ave NW, Browning, MT 59417, USA</t>
  </si>
  <si>
    <t>San Rafael High School</t>
  </si>
  <si>
    <t>San Rafael</t>
  </si>
  <si>
    <t>Terra Linda High School</t>
  </si>
  <si>
    <t>Tri-City Christian Academy (Chandler)</t>
  </si>
  <si>
    <t>California High School</t>
  </si>
  <si>
    <t>2211 W Germann Rd, Chandler, AZ 85286, USA</t>
  </si>
  <si>
    <t>San Ramon</t>
  </si>
  <si>
    <t>Dougherty Valley High School</t>
  </si>
  <si>
    <t>Gonzaga Prep (Spokane)</t>
  </si>
  <si>
    <t xml:space="preserve"> Spokane</t>
  </si>
  <si>
    <t>1224 E Euclid Ave, Spokane, WA 99207, USA</t>
  </si>
  <si>
    <t>Sanger High School</t>
  </si>
  <si>
    <t>Sanger</t>
  </si>
  <si>
    <t>Century High School</t>
  </si>
  <si>
    <t>Skyline (Urbana)</t>
  </si>
  <si>
    <t xml:space="preserve"> Urbana</t>
  </si>
  <si>
    <t>20663 US-65, Urbana, MO 65767, USA</t>
  </si>
  <si>
    <t>Ednovate - Legacy College Prep.</t>
  </si>
  <si>
    <t>Hector G. Godinez</t>
  </si>
  <si>
    <t>Cosumnes Oaks (Elk Grove)</t>
  </si>
  <si>
    <t>8350 Lotz Pkwy, Elk Grove, CA 95757, USA</t>
  </si>
  <si>
    <t>Nova Academy</t>
  </si>
  <si>
    <t>Deerfield Beach</t>
  </si>
  <si>
    <t>Nova Academy - Coachella</t>
  </si>
  <si>
    <t xml:space="preserve"> Deerfield Beach</t>
  </si>
  <si>
    <t>15 SE 2nd Ave, Deerfield Beach, FL 33441, USA</t>
  </si>
  <si>
    <t>Calais, ME</t>
  </si>
  <si>
    <t>Ocsa</t>
  </si>
  <si>
    <t>Saddleback High School</t>
  </si>
  <si>
    <t>Goodrich</t>
  </si>
  <si>
    <t xml:space="preserve"> Goodrich</t>
  </si>
  <si>
    <t>10209 Hegel Rd, Goodrich, MI 48438, USA</t>
  </si>
  <si>
    <t>Samueli Academy</t>
  </si>
  <si>
    <t>Santa Ana High School</t>
  </si>
  <si>
    <t>Lyons (LaGrange)</t>
  </si>
  <si>
    <t>Segerstrom High School</t>
  </si>
  <si>
    <t>La Grange/47th, La Grange, IL 60525, USA</t>
  </si>
  <si>
    <t>Rigby</t>
  </si>
  <si>
    <t xml:space="preserve"> Rigby</t>
  </si>
  <si>
    <t>San Marcos Senior High School</t>
  </si>
  <si>
    <t>Santa Barbara</t>
  </si>
  <si>
    <t>100 W Main St, Rigby, ID 83442, USA</t>
  </si>
  <si>
    <t>Santa Barbara Senior High School</t>
  </si>
  <si>
    <t>Adrian Wilcox High School</t>
  </si>
  <si>
    <t>1727 N Arizona Ave, Chandler, AZ 85225, USA</t>
  </si>
  <si>
    <t>Santa Clara High School</t>
  </si>
  <si>
    <t>Maple Grove</t>
  </si>
  <si>
    <t xml:space="preserve"> Maple Grove</t>
  </si>
  <si>
    <t>Academy Of The Canyons</t>
  </si>
  <si>
    <t>6439 Berkshire Ln N, Maple Grove, MN 55311, USA</t>
  </si>
  <si>
    <t>Vicksburg</t>
  </si>
  <si>
    <t>Sequoia School</t>
  </si>
  <si>
    <t xml:space="preserve"> Vicksburg</t>
  </si>
  <si>
    <t>1001 Jackson St, Vicksburg, MS 39183, USA</t>
  </si>
  <si>
    <t>Cypress Charter High School</t>
  </si>
  <si>
    <t>Santa Cruz</t>
  </si>
  <si>
    <t>United (Laredo)</t>
  </si>
  <si>
    <t>Harbor High School</t>
  </si>
  <si>
    <t xml:space="preserve"> Laredo</t>
  </si>
  <si>
    <t>Unnamed Road, Laredo, TX 78045, USA</t>
  </si>
  <si>
    <t>Pacific Collegiate Charter</t>
  </si>
  <si>
    <t>Wakeland (Frisco)</t>
  </si>
  <si>
    <t>Santa Cruz High School</t>
  </si>
  <si>
    <t>Godwin, NC</t>
  </si>
  <si>
    <t>10700 Legacy Dr, Frisco, TX 75034, USA</t>
  </si>
  <si>
    <t>Santa Fe High School</t>
  </si>
  <si>
    <t>Santa Fe Springs</t>
  </si>
  <si>
    <t>Ernest Righetti High School</t>
  </si>
  <si>
    <t>Santa Maria</t>
  </si>
  <si>
    <t>Silverton</t>
  </si>
  <si>
    <t xml:space="preserve"> Silverton</t>
  </si>
  <si>
    <t>Pioneer Valley High School</t>
  </si>
  <si>
    <t>100 S Water St, Silverton, OR 97381, USA</t>
  </si>
  <si>
    <t>Santa Maria High School</t>
  </si>
  <si>
    <t>Williamson (Mobile)</t>
  </si>
  <si>
    <t>Santa Monica High School</t>
  </si>
  <si>
    <t xml:space="preserve"> Mobile</t>
  </si>
  <si>
    <t>1567 E Dublin St, Mobile, AL 36605, USA</t>
  </si>
  <si>
    <t>Santa Paula High School</t>
  </si>
  <si>
    <t>Santa Paula</t>
  </si>
  <si>
    <t>Elsie Allen High School</t>
  </si>
  <si>
    <t>Santa Rosa</t>
  </si>
  <si>
    <t>200 W Vermilion St, Lafayette, LA 70501, USA</t>
  </si>
  <si>
    <t>Maria Carrillo High School</t>
  </si>
  <si>
    <t>Montgomery High School</t>
  </si>
  <si>
    <t>Spring Creek Academy (Plano)</t>
  </si>
  <si>
    <t>6000 Custer Rd, Plano, TX 75023, USA</t>
  </si>
  <si>
    <t>Northwest Prep Charter</t>
  </si>
  <si>
    <t>Piner High School</t>
  </si>
  <si>
    <t>Santa Rosa High School</t>
  </si>
  <si>
    <t>New Iberia</t>
  </si>
  <si>
    <t xml:space="preserve"> New Iberia</t>
  </si>
  <si>
    <t>Santa Ynez Valley Union High School</t>
  </si>
  <si>
    <t>Santa Ynez</t>
  </si>
  <si>
    <t>215 Julia St, New Iberia, LA 70560, USA</t>
  </si>
  <si>
    <t>Santana High School</t>
  </si>
  <si>
    <t>Santee</t>
  </si>
  <si>
    <t>Naperville Central (Naperville)</t>
  </si>
  <si>
    <t>West Hills High School</t>
  </si>
  <si>
    <t>440 Aurora Ave, Naperville, IL 60540, USA</t>
  </si>
  <si>
    <t>Prospect High School</t>
  </si>
  <si>
    <t>Saratoga</t>
  </si>
  <si>
    <t>Saratoga High School</t>
  </si>
  <si>
    <t>Desert Oasis (Las Vegas)</t>
  </si>
  <si>
    <t>Saugus High School</t>
  </si>
  <si>
    <t>6600 W Erie Ave, Las Vegas, NV 89141, USA</t>
  </si>
  <si>
    <t>Statesboro, GA</t>
  </si>
  <si>
    <t>Scotts Valley High School</t>
  </si>
  <si>
    <t>Scotts Valley</t>
  </si>
  <si>
    <t>Lawrence Free State (Lawrence)</t>
  </si>
  <si>
    <t>Seaside High School</t>
  </si>
  <si>
    <t>Seaside</t>
  </si>
  <si>
    <t>068-28-0-40-03-001.00-0, Lawrence, KS 66049, USA</t>
  </si>
  <si>
    <t>Analy High School</t>
  </si>
  <si>
    <t>Brentwood Academy (Brentwood)</t>
  </si>
  <si>
    <t>219 Granny White Pike, Brentwood, TN 37027, USA</t>
  </si>
  <si>
    <t>Shafter High School</t>
  </si>
  <si>
    <t>Shafter</t>
  </si>
  <si>
    <t>Shandon High School</t>
  </si>
  <si>
    <t>Shandon</t>
  </si>
  <si>
    <t xml:space="preserve"> Greeneville</t>
  </si>
  <si>
    <t>10a E Depot St, Greeneville, TN 37743, USA</t>
  </si>
  <si>
    <t>Shingle Springs</t>
  </si>
  <si>
    <t>Death Valley High School Academy</t>
  </si>
  <si>
    <t>Bishop Walsh (Cumberland)</t>
  </si>
  <si>
    <t>Shoshone</t>
  </si>
  <si>
    <t xml:space="preserve"> Cumberland</t>
  </si>
  <si>
    <t>700 Bishop Walsh Rd, Cumberland, MD 21502, USA</t>
  </si>
  <si>
    <t>Insight School Of California</t>
  </si>
  <si>
    <t>Simi Valley</t>
  </si>
  <si>
    <t>Royal High School</t>
  </si>
  <si>
    <t>Butler (Louisville)</t>
  </si>
  <si>
    <t>2222 Crums Ln, Louisville, KY 40216, USA</t>
  </si>
  <si>
    <t>Santa Susana High School</t>
  </si>
  <si>
    <t>Simi Valley High School</t>
  </si>
  <si>
    <t>Liberty (Frisco)</t>
  </si>
  <si>
    <t>School Of Universal Learning (Soul)</t>
  </si>
  <si>
    <t>15250 Rolater Rd, Frisco, TX 75035, USA</t>
  </si>
  <si>
    <t>Solana Beach</t>
  </si>
  <si>
    <t>Soledad High School</t>
  </si>
  <si>
    <t>Soledad</t>
  </si>
  <si>
    <t>Potomac (Dumfries)</t>
  </si>
  <si>
    <t xml:space="preserve"> Dumfries</t>
  </si>
  <si>
    <t>Sonoma Valley High School</t>
  </si>
  <si>
    <t>Sonoma</t>
  </si>
  <si>
    <t>3873 Fairfax St, Dumfries, VA 22026, USA</t>
  </si>
  <si>
    <t>Soquel High School</t>
  </si>
  <si>
    <t>Soquel</t>
  </si>
  <si>
    <t>Piner (Santa Rosa)</t>
  </si>
  <si>
    <t xml:space="preserve"> Santa Rosa</t>
  </si>
  <si>
    <t>1700 Fulton Rd, Santa Rosa, CA 95403, USA</t>
  </si>
  <si>
    <t>South El Monte High School</t>
  </si>
  <si>
    <t>South El Monte</t>
  </si>
  <si>
    <t>International Studies Lrng Center At Legacy High School Sch Complex</t>
  </si>
  <si>
    <t>South Gate</t>
  </si>
  <si>
    <t>Jamesville-DeWitt (DeWitt)</t>
  </si>
  <si>
    <t>Sci Tech Engr Arts And Math At Legacy High School Sch Complex</t>
  </si>
  <si>
    <t>6845 Edinger Dr, Fayetteville, NY 13066, USA</t>
  </si>
  <si>
    <t>South East High School</t>
  </si>
  <si>
    <t>Hobbs</t>
  </si>
  <si>
    <t xml:space="preserve"> Hobbs</t>
  </si>
  <si>
    <t>South Gate Senior High School</t>
  </si>
  <si>
    <t>208 N Turner St, Hobbs, NM 88240, USA</t>
  </si>
  <si>
    <t>Visual And Performing Arts At Legacy High School Complex</t>
  </si>
  <si>
    <t>South Tahoe High School</t>
  </si>
  <si>
    <t>Woodlawn-Shreveport (Shreveport)</t>
  </si>
  <si>
    <t>South Lake Tahoe</t>
  </si>
  <si>
    <t>7340 Wyngate Blvd, Shreveport, LA 71106, USA</t>
  </si>
  <si>
    <t>South Pasadena Senior High School</t>
  </si>
  <si>
    <t>South Pasadena</t>
  </si>
  <si>
    <t>South San Francisco</t>
  </si>
  <si>
    <t>Santa Margarita (Rancho Santa Margarita)</t>
  </si>
  <si>
    <t>21 Brisa Del Lago, Rancho Santa Margarita, CA 92688, USA</t>
  </si>
  <si>
    <t>South San Francisco High School</t>
  </si>
  <si>
    <t>Spring Valley</t>
  </si>
  <si>
    <t>1508 K Ave, Plano, TX 75074, USA</t>
  </si>
  <si>
    <t>Mount Miguel High School</t>
  </si>
  <si>
    <t>Steele Canyon High School</t>
  </si>
  <si>
    <t>Trinity (Camp Hill)</t>
  </si>
  <si>
    <t xml:space="preserve"> Camp Hill</t>
  </si>
  <si>
    <t>2000 Chestnut St, Camp Hill, PA 17011, USA</t>
  </si>
  <si>
    <t>Saint Helena High School</t>
  </si>
  <si>
    <t>St. Helena</t>
  </si>
  <si>
    <t>Bear Creek High School</t>
  </si>
  <si>
    <t>Stockton</t>
  </si>
  <si>
    <t xml:space="preserve"> Hawthorne</t>
  </si>
  <si>
    <t>6713 SE 220 Terrace, Hawthorne, FL 32640, USA</t>
  </si>
  <si>
    <t>Rainier Beach (Seattle)</t>
  </si>
  <si>
    <t>Killeen, TX</t>
  </si>
  <si>
    <t>9839 Renton Ave S, Seattle, WA 98118, USA</t>
  </si>
  <si>
    <t>Health Careers Academy</t>
  </si>
  <si>
    <t>Madison (Dallas)</t>
  </si>
  <si>
    <t>45a Highland Park Village, Dallas, TX 75205, USA</t>
  </si>
  <si>
    <t>Pacific Law Academy</t>
  </si>
  <si>
    <t>Brewster</t>
  </si>
  <si>
    <t>Ronald E. Mcnair High School</t>
  </si>
  <si>
    <t xml:space="preserve"> Brewster</t>
  </si>
  <si>
    <t>311 Griggs Ave W, Brewster, WA 98812, USA</t>
  </si>
  <si>
    <t>Stagg Senior High School</t>
  </si>
  <si>
    <t>Stockton Collegiate International Secondary</t>
  </si>
  <si>
    <t>Stockton Early College Academy</t>
  </si>
  <si>
    <t>Valdosta</t>
  </si>
  <si>
    <t xml:space="preserve"> Valdosta</t>
  </si>
  <si>
    <t>299201 E Valley St, Valdosta, GA 31601, USA</t>
  </si>
  <si>
    <t>Stockton High School</t>
  </si>
  <si>
    <t>John H. Francis Polytechnic</t>
  </si>
  <si>
    <t>Sun Valley</t>
  </si>
  <si>
    <t>Boyd Anderson (Lauderdale Lakes)</t>
  </si>
  <si>
    <t>3050 NW 41st St, Lauderdale Lakes, FL 33309, USA</t>
  </si>
  <si>
    <t>North Valley Military Institute College Preparatory Academy</t>
  </si>
  <si>
    <t>Houston Math Science &amp; Tech (Houston)</t>
  </si>
  <si>
    <t>Sun Valley Magnet</t>
  </si>
  <si>
    <t>9400 Irvington Blvd, Houston, TX 77076, USA</t>
  </si>
  <si>
    <t>Sunnyvale</t>
  </si>
  <si>
    <t>Lassen High School</t>
  </si>
  <si>
    <t>Susanville</t>
  </si>
  <si>
    <t>Bloomington North (Bloomington)</t>
  </si>
  <si>
    <t>Sutter High School</t>
  </si>
  <si>
    <t>3901 N Kinser Pike, Bloomington, IN 47404, USA</t>
  </si>
  <si>
    <t>Sutter</t>
  </si>
  <si>
    <t>Amador High School</t>
  </si>
  <si>
    <t>Sutter Creek</t>
  </si>
  <si>
    <t>Timothy Christian (Elmhurst)</t>
  </si>
  <si>
    <t>Discovery Charter Preparatory School #2</t>
  </si>
  <si>
    <t>188 W Butterfield Rd, Elmhurst, IL 60126, USA</t>
  </si>
  <si>
    <t>Sylmar Biotech Health Academy</t>
  </si>
  <si>
    <t>Sylmar Charter High School</t>
  </si>
  <si>
    <t xml:space="preserve"> Farmington</t>
  </si>
  <si>
    <t>Harmons, 200 N Station Parkway, Farmington, UT 84025, USA</t>
  </si>
  <si>
    <t>Taft Union High School</t>
  </si>
  <si>
    <t>North Tahoe High School</t>
  </si>
  <si>
    <t>Tahoe City</t>
  </si>
  <si>
    <t>Trinity Catholic (Stamford)</t>
  </si>
  <si>
    <t xml:space="preserve"> Stamford</t>
  </si>
  <si>
    <t>Epic De Cesar Chavez</t>
  </si>
  <si>
    <t>Tehachapi</t>
  </si>
  <si>
    <t>926 Newfield Ave, Stamford, CT 06905, USA</t>
  </si>
  <si>
    <t>Tehachapi High School</t>
  </si>
  <si>
    <t>Nixon (Laredo)</t>
  </si>
  <si>
    <t>2000 E Plum St, Laredo, TX 78043, USA</t>
  </si>
  <si>
    <t>Great Oak High School</t>
  </si>
  <si>
    <t>Temecula Valley High School</t>
  </si>
  <si>
    <t>Cedar Park</t>
  </si>
  <si>
    <t xml:space="preserve"> Cedar Park</t>
  </si>
  <si>
    <t>Temple City High School</t>
  </si>
  <si>
    <t>406 Old Mill Rd, Cedar Park, TX 78613, USA</t>
  </si>
  <si>
    <t>Temple City</t>
  </si>
  <si>
    <t>Templeton High School</t>
  </si>
  <si>
    <t>Templeton</t>
  </si>
  <si>
    <t>St. Anthony's (Melville)</t>
  </si>
  <si>
    <t xml:space="preserve"> Melville</t>
  </si>
  <si>
    <t>Coachella Valley High School</t>
  </si>
  <si>
    <t>Thermal</t>
  </si>
  <si>
    <t>275 Wolf Hill Rd, Melville, NY 11747, USA</t>
  </si>
  <si>
    <t>Desert Mirage High School</t>
  </si>
  <si>
    <t>Thousand Oaks High School</t>
  </si>
  <si>
    <t>Thousand Oaks</t>
  </si>
  <si>
    <t>Burlington-Edison (Burlington)</t>
  </si>
  <si>
    <t xml:space="preserve"> Bow</t>
  </si>
  <si>
    <t>6441 Ershig Rd, Bow, WA 98232, USA</t>
  </si>
  <si>
    <t>Tollhouse</t>
  </si>
  <si>
    <t>Tomales High School</t>
  </si>
  <si>
    <t>Tomales</t>
  </si>
  <si>
    <t>Brother Martin (New Orleans)</t>
  </si>
  <si>
    <t>4401 Elysian Fields Ave, New Orleans, LA 70122, USA</t>
  </si>
  <si>
    <t>Torrance High School</t>
  </si>
  <si>
    <t>Corliss (Chicago)</t>
  </si>
  <si>
    <t>821 E 103rd St, Chicago, IL 60628, USA</t>
  </si>
  <si>
    <t>John C. Kimball High School</t>
  </si>
  <si>
    <t>Tracy</t>
  </si>
  <si>
    <t>Zachary</t>
  </si>
  <si>
    <t xml:space="preserve"> Zachary</t>
  </si>
  <si>
    <t>Merrill F. West High School</t>
  </si>
  <si>
    <t>5 Main St, Zachary, LA 70791, USA</t>
  </si>
  <si>
    <t>Millennium Charter</t>
  </si>
  <si>
    <t>Tracy High School</t>
  </si>
  <si>
    <t>Garfield Heights</t>
  </si>
  <si>
    <t xml:space="preserve"> Garfield Heights</t>
  </si>
  <si>
    <t>Granger Rd &amp; Turney Rd, Garfield Heights, OH 44125, USA</t>
  </si>
  <si>
    <t>Trona High School</t>
  </si>
  <si>
    <t>Trona</t>
  </si>
  <si>
    <t>Tahoe Truckee High School</t>
  </si>
  <si>
    <t>Truckee</t>
  </si>
  <si>
    <t>Muhlenberg (Laureldale)</t>
  </si>
  <si>
    <t xml:space="preserve"> Laureldale</t>
  </si>
  <si>
    <t>Verdugo Hills Senior High School</t>
  </si>
  <si>
    <t>Tujunga</t>
  </si>
  <si>
    <t>1016 Elizabeth Ave, Laureldale, PA 19605, USA</t>
  </si>
  <si>
    <t>Accelerated Charter High School</t>
  </si>
  <si>
    <t>Mission Oak High School</t>
  </si>
  <si>
    <t>Holland Hall (Tulsa)</t>
  </si>
  <si>
    <t>Sierra Vista Charter High School</t>
  </si>
  <si>
    <t>5666 E 81st St, Tulsa, OK 74137, USA</t>
  </si>
  <si>
    <t>Tulare Union High School</t>
  </si>
  <si>
    <t>Tulare Western High School</t>
  </si>
  <si>
    <t>Tulelake High School</t>
  </si>
  <si>
    <t>Tulelake</t>
  </si>
  <si>
    <t>MICDS (St. Louis)</t>
  </si>
  <si>
    <t>Mountain High School</t>
  </si>
  <si>
    <t>101 N Warson Rd, St. Louis, MO 63124, USA</t>
  </si>
  <si>
    <t>Tuolomne</t>
  </si>
  <si>
    <t>Springville, IN</t>
  </si>
  <si>
    <t>Tuolumne</t>
  </si>
  <si>
    <t>Keller</t>
  </si>
  <si>
    <t>Connections Visual And Performing Arts Academy</t>
  </si>
  <si>
    <t xml:space="preserve"> Keller</t>
  </si>
  <si>
    <t>989 Keller Pkwy, Keller, TX 76248, USA</t>
  </si>
  <si>
    <t>South Fork High School</t>
  </si>
  <si>
    <t>Summerville High School</t>
  </si>
  <si>
    <t>Gregori (Modesto)</t>
  </si>
  <si>
    <t xml:space="preserve"> Modesto</t>
  </si>
  <si>
    <t>Fusion Charter</t>
  </si>
  <si>
    <t>Turlock</t>
  </si>
  <si>
    <t>3701 Pirrone Rd, Modesto, CA 95356, USA</t>
  </si>
  <si>
    <t>John H. Pitman High School</t>
  </si>
  <si>
    <t>Turlock High School</t>
  </si>
  <si>
    <t>Paul VI (Haddonfield)</t>
  </si>
  <si>
    <t xml:space="preserve"> Haddonfield</t>
  </si>
  <si>
    <t>901 Hopkins Rd, Haddonfield, NJ 08033, USA</t>
  </si>
  <si>
    <t>Arnold O. Beckman High School</t>
  </si>
  <si>
    <t>Tustin</t>
  </si>
  <si>
    <t xml:space="preserve"> Fountain Valley</t>
  </si>
  <si>
    <t>Brookhurst-Slater, Fountain Valley, CA 92708, USA</t>
  </si>
  <si>
    <t>Tustin High School</t>
  </si>
  <si>
    <t>Twentynine Palms High School</t>
  </si>
  <si>
    <t>Twentynine Palms</t>
  </si>
  <si>
    <t>Glen Lake (Maple City)</t>
  </si>
  <si>
    <t xml:space="preserve"> Maple City</t>
  </si>
  <si>
    <t>Yucca Valley High School</t>
  </si>
  <si>
    <t>8571 S Maple City Rd, Maple City, MI 49664, USA</t>
  </si>
  <si>
    <t>Redwood Academy Of Ukiah</t>
  </si>
  <si>
    <t>Ukiah</t>
  </si>
  <si>
    <t>Rivercrest (Wilson)</t>
  </si>
  <si>
    <t>Ukiah High School</t>
  </si>
  <si>
    <t>State Hwy 14, Wilson, AR 72395, USA</t>
  </si>
  <si>
    <t>James Logan High School</t>
  </si>
  <si>
    <t>Union City</t>
  </si>
  <si>
    <t>Entrepreneur High School</t>
  </si>
  <si>
    <t>Upland</t>
  </si>
  <si>
    <t>Schaumburg</t>
  </si>
  <si>
    <t xml:space="preserve"> Schaumburg</t>
  </si>
  <si>
    <t>314 N Pleasant Dr, Schaumburg, IL 60194, USA</t>
  </si>
  <si>
    <t>Upland High School</t>
  </si>
  <si>
    <t>Wayne, NJ</t>
  </si>
  <si>
    <t>Upper Lake High School</t>
  </si>
  <si>
    <t>Upper Lake</t>
  </si>
  <si>
    <t>Loyola (Detroit)</t>
  </si>
  <si>
    <t>Elise P. Buckingham Charter Magnet High School</t>
  </si>
  <si>
    <t>Vacaville</t>
  </si>
  <si>
    <t>15325 Pinehurst St, Detroit, MI 48238, USA</t>
  </si>
  <si>
    <t>Vacaville High School</t>
  </si>
  <si>
    <t>Will C. Wood High School</t>
  </si>
  <si>
    <t>Chicopee</t>
  </si>
  <si>
    <t xml:space="preserve"> Chicopee</t>
  </si>
  <si>
    <t>2 Springfield St, Chicopee, MA 01013, USA</t>
  </si>
  <si>
    <t>West Ranch High School</t>
  </si>
  <si>
    <t>Jesse M. Bethel High School</t>
  </si>
  <si>
    <t>Ball-Walker, Cypress, CA 90630, USA</t>
  </si>
  <si>
    <t>Mit Academy</t>
  </si>
  <si>
    <t>Vallejo High School</t>
  </si>
  <si>
    <t>All Tribes Charter</t>
  </si>
  <si>
    <t>Valley Center</t>
  </si>
  <si>
    <t>Hillsboro/Central Valley (Buxton)</t>
  </si>
  <si>
    <t xml:space="preserve"> Buxton</t>
  </si>
  <si>
    <t>1556 Co Hwy 81, Buxton, ND 58218, USA</t>
  </si>
  <si>
    <t>Valley Center High School</t>
  </si>
  <si>
    <t>Valley International Preparatory High School</t>
  </si>
  <si>
    <t>Valley Village</t>
  </si>
  <si>
    <t>Summit (Spring Hill)</t>
  </si>
  <si>
    <t xml:space="preserve"> Spring Hill</t>
  </si>
  <si>
    <t>Champs - Charter High School Of Arts-Multimedia &amp; Performing</t>
  </si>
  <si>
    <t>2830 Twin Lakes Dr, Spring Hill, TN 37174, USA</t>
  </si>
  <si>
    <t>Magnolia Science Academy 2</t>
  </si>
  <si>
    <t>Huntington (Shreveport)</t>
  </si>
  <si>
    <t>Robert Fulton College Preparatory</t>
  </si>
  <si>
    <t>6801 Rasberry Ln, Shreveport, LA 71129, USA</t>
  </si>
  <si>
    <t>Ulysses S. Grant Senior High School</t>
  </si>
  <si>
    <t>Carman-Ainsworth (Flint)</t>
  </si>
  <si>
    <t xml:space="preserve"> Flint</t>
  </si>
  <si>
    <t>Van Nuys Senior High School</t>
  </si>
  <si>
    <t>1300 N Linden Rd, Flint, MI 48532, USA</t>
  </si>
  <si>
    <t>Central Point, OR</t>
  </si>
  <si>
    <t>Ventura</t>
  </si>
  <si>
    <t>Cesar Chavez (Laveen)</t>
  </si>
  <si>
    <t xml:space="preserve"> Laveen Village</t>
  </si>
  <si>
    <t>Foothill Technology High School</t>
  </si>
  <si>
    <t>3921 W Baseline Rd, Laveen Village, AZ 85339, USA</t>
  </si>
  <si>
    <t>Ventura High School</t>
  </si>
  <si>
    <t>Cobalt Institute Of Math And Science Academy</t>
  </si>
  <si>
    <t>Upper St. Clair</t>
  </si>
  <si>
    <t>Victorville</t>
  </si>
  <si>
    <t>2480 Old Washington Rd, Pittsburgh, PA 15241, USA</t>
  </si>
  <si>
    <t>Excelsior Charter</t>
  </si>
  <si>
    <t>Excelsior Charter School Corona-Norco</t>
  </si>
  <si>
    <t>Lakeview Leadership Academy</t>
  </si>
  <si>
    <t>Springbrook (Silver Spring)</t>
  </si>
  <si>
    <t xml:space="preserve"> Colesville</t>
  </si>
  <si>
    <t>Silverado High School</t>
  </si>
  <si>
    <t>201 Valley Brook Dr, Colesville, MD 20904, USA</t>
  </si>
  <si>
    <t>Victor Valley High School</t>
  </si>
  <si>
    <t>Barr-Reeve (Montgomery)</t>
  </si>
  <si>
    <t>Villa Park High School</t>
  </si>
  <si>
    <t>298 3rd St, Montgomery, IN 47558, USA</t>
  </si>
  <si>
    <t>Charter Alternatives Academy</t>
  </si>
  <si>
    <t>Visalia</t>
  </si>
  <si>
    <t>El Diamante High School</t>
  </si>
  <si>
    <t>Upperman (Baxter)</t>
  </si>
  <si>
    <t xml:space="preserve"> Baxter</t>
  </si>
  <si>
    <t>Golden West High School</t>
  </si>
  <si>
    <t>6950 Nashville Hwy, Baxter, TN 38544, USA</t>
  </si>
  <si>
    <t>Mt. Whitney High School</t>
  </si>
  <si>
    <t xml:space="preserve"> Evans</t>
  </si>
  <si>
    <t>4385 Hereford Farm Rd, Evans, GA 30809, USA</t>
  </si>
  <si>
    <t>El Cajon, CA</t>
  </si>
  <si>
    <t>University Preparatory High School</t>
  </si>
  <si>
    <t>Carroll (Fort Wayne)</t>
  </si>
  <si>
    <t>3705 Carroll Rd, Fort Wayne, IN 46818, USA</t>
  </si>
  <si>
    <t>Visalia Charter Independent Study</t>
  </si>
  <si>
    <t>Visalia Technical Early College</t>
  </si>
  <si>
    <t>LBJ Austin (Austin)</t>
  </si>
  <si>
    <t>National University Academy 1001 Steam</t>
  </si>
  <si>
    <t>Vista</t>
  </si>
  <si>
    <t>7309 Lazy Creek Dr, Austin, TX 78724, USA</t>
  </si>
  <si>
    <t>North County Trade Tech High School</t>
  </si>
  <si>
    <t>Rancho Buena Vista High School</t>
  </si>
  <si>
    <t>Siegel (Murfreesboro)</t>
  </si>
  <si>
    <t>3300 Siegel Rd, Murfreesboro, TN 37129, USA</t>
  </si>
  <si>
    <t>Vista High School</t>
  </si>
  <si>
    <t>Walnut High School</t>
  </si>
  <si>
    <t>Walnut</t>
  </si>
  <si>
    <t xml:space="preserve"> Waconia</t>
  </si>
  <si>
    <t>145-101 W Main St, Waconia, MN 55387, USA</t>
  </si>
  <si>
    <t>Contra Costa School Of Performing Arts</t>
  </si>
  <si>
    <t>Walnut Creek</t>
  </si>
  <si>
    <t>Las Lomas High School</t>
  </si>
  <si>
    <t>William Penn (New Castle)</t>
  </si>
  <si>
    <t xml:space="preserve"> New Castle</t>
  </si>
  <si>
    <t>Northgate High School</t>
  </si>
  <si>
    <t>713 E Basin Rd, New Castle, DE 19720, USA</t>
  </si>
  <si>
    <t>Warner Junior/Senior High School</t>
  </si>
  <si>
    <t>Warner Springs</t>
  </si>
  <si>
    <t>Wasco High School</t>
  </si>
  <si>
    <t>Wasco</t>
  </si>
  <si>
    <t>Edison (Tulsa)</t>
  </si>
  <si>
    <t>2906 E 41st St, Tulsa, OK 74105, USA</t>
  </si>
  <si>
    <t>Waterford High School</t>
  </si>
  <si>
    <t>Ceiba College Preparatory Academy</t>
  </si>
  <si>
    <t>Watsonville</t>
  </si>
  <si>
    <t>Pulaski Academy (Little Rock)</t>
  </si>
  <si>
    <t>Diamond Technology Institute</t>
  </si>
  <si>
    <t>12601 Hinson Rd, Little Rock, AR 72212, USA</t>
  </si>
  <si>
    <t>Pajaro Valley High School</t>
  </si>
  <si>
    <t>Watsonville High School</t>
  </si>
  <si>
    <t>Clayton Valley Charter (Concord)</t>
  </si>
  <si>
    <t>1101 Alberta Way, Concord, CA 94521, USA</t>
  </si>
  <si>
    <t>Springfield, OR</t>
  </si>
  <si>
    <t>Trinity High School</t>
  </si>
  <si>
    <t>Weaverville</t>
  </si>
  <si>
    <t>Weed High School</t>
  </si>
  <si>
    <t>Weed</t>
  </si>
  <si>
    <t>Martinsburg</t>
  </si>
  <si>
    <t xml:space="preserve"> Martinsburg</t>
  </si>
  <si>
    <t>Edgewood High School</t>
  </si>
  <si>
    <t>204 S Queen St, Martinsburg, WV 25401, USA</t>
  </si>
  <si>
    <t>West Covina</t>
  </si>
  <si>
    <t>South Hills High School</t>
  </si>
  <si>
    <t>Wenonah (Birmingham)</t>
  </si>
  <si>
    <t>West Covina High School</t>
  </si>
  <si>
    <t>4400 Doby Ave SW, Birmingham, AL 35221, USA</t>
  </si>
  <si>
    <t>River City High School</t>
  </si>
  <si>
    <t>West Sacramento</t>
  </si>
  <si>
    <t>Washington Middle College High School</t>
  </si>
  <si>
    <t>John Carroll (Bel Air)</t>
  </si>
  <si>
    <t>Westlake High School</t>
  </si>
  <si>
    <t xml:space="preserve"> Bel Air</t>
  </si>
  <si>
    <t>Westlake Village</t>
  </si>
  <si>
    <t>703 E Churchville Rd, Bel Air, MD 21014, USA</t>
  </si>
  <si>
    <t>Westminster</t>
  </si>
  <si>
    <t>Westminster High School</t>
  </si>
  <si>
    <t>South Brunswick (Monmouth Junction)</t>
  </si>
  <si>
    <t xml:space="preserve"> Monmouth Junction</t>
  </si>
  <si>
    <t>619 Ridge Rd, Monmouth Junction, NJ 08852, USA</t>
  </si>
  <si>
    <t>Wheatland Union High School</t>
  </si>
  <si>
    <t>Wheatland</t>
  </si>
  <si>
    <t>DeForest</t>
  </si>
  <si>
    <t xml:space="preserve"> DeForest</t>
  </si>
  <si>
    <t>100 E Holum St, DeForest, WI 53532, USA</t>
  </si>
  <si>
    <t>Whale Gulch High School</t>
  </si>
  <si>
    <t>Whitethorn</t>
  </si>
  <si>
    <t>Whittier</t>
  </si>
  <si>
    <t>Beverly</t>
  </si>
  <si>
    <t xml:space="preserve"> Beverly</t>
  </si>
  <si>
    <t>La Serna High School</t>
  </si>
  <si>
    <t>6 Sohier Rd, Beverly, MA 01915, USA</t>
  </si>
  <si>
    <t>Whittier High School</t>
  </si>
  <si>
    <t>Frankenmuth</t>
  </si>
  <si>
    <t xml:space="preserve"> Frankenmuth</t>
  </si>
  <si>
    <t>Fairfield, NJ</t>
  </si>
  <si>
    <t>357 S Main St, Frankenmuth, MI 48734, USA</t>
  </si>
  <si>
    <t>Elsinore High School</t>
  </si>
  <si>
    <t>Wildomar</t>
  </si>
  <si>
    <t>Williams Junior/Senior High School</t>
  </si>
  <si>
    <t>Lake Braddock (Burke)</t>
  </si>
  <si>
    <t xml:space="preserve"> Burke</t>
  </si>
  <si>
    <t>5420 Midship Ct, Burke, VA 22015, USA</t>
  </si>
  <si>
    <t>Willits Charter</t>
  </si>
  <si>
    <t>Willits</t>
  </si>
  <si>
    <t>Willits High School</t>
  </si>
  <si>
    <t>Republic</t>
  </si>
  <si>
    <t>Success One!</t>
  </si>
  <si>
    <t xml:space="preserve"> Republic</t>
  </si>
  <si>
    <t>Willows</t>
  </si>
  <si>
    <t>202 N Main St, Republic, MO 65738, USA</t>
  </si>
  <si>
    <t>Willows High School</t>
  </si>
  <si>
    <t>Douglas County (Douglasville)</t>
  </si>
  <si>
    <t>Dr. Richard A. Vladovic Harbor Teacher Preparation Academy</t>
  </si>
  <si>
    <t xml:space="preserve"> Douglasville</t>
  </si>
  <si>
    <t>12333 GA-8, Douglasville, GA 30134, USA</t>
  </si>
  <si>
    <t>Phineas Banning Senior High School</t>
  </si>
  <si>
    <t>Windsor High School</t>
  </si>
  <si>
    <t>Windsor</t>
  </si>
  <si>
    <t>Hastings (Hastings on Hudson)</t>
  </si>
  <si>
    <t xml:space="preserve"> Hastings-On-Hudson</t>
  </si>
  <si>
    <t>216 Broadway, Hastings-On-Hudson, NY 10706, USA</t>
  </si>
  <si>
    <t>San Pasqual Valley High School</t>
  </si>
  <si>
    <t>Winterhaven</t>
  </si>
  <si>
    <t>Winters High School</t>
  </si>
  <si>
    <t>Winters</t>
  </si>
  <si>
    <t>Unionville (Kennett Square)</t>
  </si>
  <si>
    <t xml:space="preserve"> Kennett Square</t>
  </si>
  <si>
    <t>Woodlake High School</t>
  </si>
  <si>
    <t>Woodlake</t>
  </si>
  <si>
    <t>740 Unionville Rd, Kennett Square, PA 19348, USA</t>
  </si>
  <si>
    <t>Evansville Reitz (Evansville)</t>
  </si>
  <si>
    <t>Woodland Senior High School</t>
  </si>
  <si>
    <t xml:space="preserve"> Evansville</t>
  </si>
  <si>
    <t>350 Dreier Blvd, Evansville, IN 47712, USA</t>
  </si>
  <si>
    <t>El Camino Real Charter High School</t>
  </si>
  <si>
    <t>Woodland Hills</t>
  </si>
  <si>
    <t>Taft Charter High School</t>
  </si>
  <si>
    <t>Central Ave &amp; Broadway, Lancaster, NY 14086, USA</t>
  </si>
  <si>
    <t>Woodside High School</t>
  </si>
  <si>
    <t>Woodside</t>
  </si>
  <si>
    <t>Palm Beach Gardens, FL</t>
  </si>
  <si>
    <t>Silver Valley High School</t>
  </si>
  <si>
    <t>Yermo</t>
  </si>
  <si>
    <t>Palo Duro (Amarillo)</t>
  </si>
  <si>
    <t>Yorba Linda High School</t>
  </si>
  <si>
    <t>1400 N Grant St, Amarillo, TX 79107, USA</t>
  </si>
  <si>
    <t>Yreka High School</t>
  </si>
  <si>
    <t>Yreka</t>
  </si>
  <si>
    <t>Brockton</t>
  </si>
  <si>
    <t xml:space="preserve"> Brockton</t>
  </si>
  <si>
    <t>34 School St, Brockton, MA 02301, USA</t>
  </si>
  <si>
    <t>Yuba City</t>
  </si>
  <si>
    <t>Yuba City High School</t>
  </si>
  <si>
    <t>Marin Catholic (Kentfield)</t>
  </si>
  <si>
    <t xml:space="preserve"> Kentfield</t>
  </si>
  <si>
    <t>Yucaipa High School</t>
  </si>
  <si>
    <t>675 Sir Francis Drake Blvd, Kentfield, CA 94904, USA</t>
  </si>
  <si>
    <t>Yucaipa</t>
  </si>
  <si>
    <t>Agate Junior Senior High School</t>
  </si>
  <si>
    <t>Agate</t>
  </si>
  <si>
    <t>Life Christian Academy (Tacoma)</t>
  </si>
  <si>
    <t>Aguilar Junior-Senior High School</t>
  </si>
  <si>
    <t>Aguilar</t>
  </si>
  <si>
    <t>1717 S Union Ave, Tacoma, WA 98405, USA</t>
  </si>
  <si>
    <t>Akron High School</t>
  </si>
  <si>
    <t>Alamosa High School</t>
  </si>
  <si>
    <t>Alamosa</t>
  </si>
  <si>
    <t>West Genesee (Camillus)</t>
  </si>
  <si>
    <t>Camillus</t>
  </si>
  <si>
    <t>Camillus, NY 13031, USA</t>
  </si>
  <si>
    <t>Arickaree Undivided High School</t>
  </si>
  <si>
    <t>Anton</t>
  </si>
  <si>
    <t>Antonito High School</t>
  </si>
  <si>
    <t>Antonito</t>
  </si>
  <si>
    <t>Stoughton</t>
  </si>
  <si>
    <t xml:space="preserve"> Stoughton</t>
  </si>
  <si>
    <t>Arvada High School</t>
  </si>
  <si>
    <t>Arvada</t>
  </si>
  <si>
    <t>308 E Main St, Stoughton, WI 53589, USA</t>
  </si>
  <si>
    <t>Arvada West High School</t>
  </si>
  <si>
    <t>Early College Of Arvada</t>
  </si>
  <si>
    <t>Westerville South (Westerville)</t>
  </si>
  <si>
    <t>303 S Otterbein Ave, Westerville, OH 43081, USA</t>
  </si>
  <si>
    <t>Ralston Valley Senior High School</t>
  </si>
  <si>
    <t>Aspen High School</t>
  </si>
  <si>
    <t>Aspen</t>
  </si>
  <si>
    <t>Glendora, CA</t>
  </si>
  <si>
    <t>Oscar Smith (Chesapeake)</t>
  </si>
  <si>
    <t>1994 Tiger Dr, Chesapeake, VA 23320, USA</t>
  </si>
  <si>
    <t>Ault</t>
  </si>
  <si>
    <t>Aurora Central High School</t>
  </si>
  <si>
    <t>Crescenta Valley (La Crescenta)</t>
  </si>
  <si>
    <t xml:space="preserve"> La Crescenta-Montrose</t>
  </si>
  <si>
    <t>Aurora West College Preparatory Academy</t>
  </si>
  <si>
    <t>2900 Community Ave, La Crescenta-Montrose, CA 91214, USA</t>
  </si>
  <si>
    <t>Cherokee Trail High School</t>
  </si>
  <si>
    <t>Oak Mountain (Birmingham)</t>
  </si>
  <si>
    <t>Colorado Early Colleges Aurora</t>
  </si>
  <si>
    <t xml:space="preserve"> Pelham</t>
  </si>
  <si>
    <t>200 Terrace Dr, Pelham, AL 35124, USA</t>
  </si>
  <si>
    <t>Grandview High School</t>
  </si>
  <si>
    <t>Hinkley High School</t>
  </si>
  <si>
    <t>Foster (Richmond)</t>
  </si>
  <si>
    <t>701 Foster Dr, Richmond, TX 77469, USA</t>
  </si>
  <si>
    <t>Overland High School</t>
  </si>
  <si>
    <t>Rangeview High School</t>
  </si>
  <si>
    <t>424 2nd St, Hudson, WI 54016, USA</t>
  </si>
  <si>
    <t>Smoky Hill High School</t>
  </si>
  <si>
    <t>Vista Peak 9-12 Preparatory</t>
  </si>
  <si>
    <t>Southwest DeKalb (Decatur)</t>
  </si>
  <si>
    <t>William Smith High School</t>
  </si>
  <si>
    <t>2863 Kelley Chapel Rd, Decatur, GA 30034, USA</t>
  </si>
  <si>
    <t>Platte Canyon High School</t>
  </si>
  <si>
    <t>Basalt High School</t>
  </si>
  <si>
    <t>Basalt</t>
  </si>
  <si>
    <t>Lutheran (Parker)</t>
  </si>
  <si>
    <t>Bayfield High School</t>
  </si>
  <si>
    <t>11249 Newlin Gulch Blvd, Parker, CO 80134, USA</t>
  </si>
  <si>
    <t>Bayfield</t>
  </si>
  <si>
    <t>Woodridge, IL</t>
  </si>
  <si>
    <t>Bennett High School</t>
  </si>
  <si>
    <t>Bennett</t>
  </si>
  <si>
    <t>Wood (Vacaville)</t>
  </si>
  <si>
    <t>Berthoud High School</t>
  </si>
  <si>
    <t xml:space="preserve"> Vacaville</t>
  </si>
  <si>
    <t>Berthoud</t>
  </si>
  <si>
    <t>777 Elmira Rd, Vacaville, CA 95687, USA</t>
  </si>
  <si>
    <t>Gilpin County Undivided High School</t>
  </si>
  <si>
    <t>Black Hawk</t>
  </si>
  <si>
    <t>Boulder High School</t>
  </si>
  <si>
    <t>Milwaukee Academy of Science (Milwaukee)</t>
  </si>
  <si>
    <t>Boulder</t>
  </si>
  <si>
    <t>2000 W Kilbourn Ave, Milwaukee, WI 53233, USA</t>
  </si>
  <si>
    <t>New Vista High School</t>
  </si>
  <si>
    <t>please contact, Linden, MI 48451, USA</t>
  </si>
  <si>
    <t>Briggsdale Undivided High School</t>
  </si>
  <si>
    <t>Briggsdale</t>
  </si>
  <si>
    <t>Bolt Academy</t>
  </si>
  <si>
    <t>Brighton</t>
  </si>
  <si>
    <t>Winter Haven</t>
  </si>
  <si>
    <t xml:space="preserve"> Winter Haven</t>
  </si>
  <si>
    <t>Brighton High School</t>
  </si>
  <si>
    <t>561 W Central Ave, Winter Haven, FL 33881, USA</t>
  </si>
  <si>
    <t>Eagle Ridge Academy</t>
  </si>
  <si>
    <t>Hickory Grove Christian (Charlotte)</t>
  </si>
  <si>
    <t>7200 E W.T. Harris Blvd, Charlotte, NC 28215, USA</t>
  </si>
  <si>
    <t>Broomfield High School</t>
  </si>
  <si>
    <t>Broomfield</t>
  </si>
  <si>
    <t>Jefferson Academy High School</t>
  </si>
  <si>
    <t>New Faith Christian Academy (Riverdale)</t>
  </si>
  <si>
    <t>Legacy High School</t>
  </si>
  <si>
    <t xml:space="preserve"> Riverdale</t>
  </si>
  <si>
    <t>6390 Church St, Riverdale, GA 30274, USA</t>
  </si>
  <si>
    <t>Brush High School</t>
  </si>
  <si>
    <t>Brush</t>
  </si>
  <si>
    <t>Buena Vista High School</t>
  </si>
  <si>
    <t>Buena Vista</t>
  </si>
  <si>
    <t>Munster</t>
  </si>
  <si>
    <t xml:space="preserve"> Munster</t>
  </si>
  <si>
    <t>Burlington High School</t>
  </si>
  <si>
    <t>Burlington</t>
  </si>
  <si>
    <t>8205 Monroe Ave, Munster, IN 46321, USA</t>
  </si>
  <si>
    <t>Byers Junior-Senior High School</t>
  </si>
  <si>
    <t>Byers</t>
  </si>
  <si>
    <t>Loveland, OH</t>
  </si>
  <si>
    <t>Calhan High School</t>
  </si>
  <si>
    <t>Calhan</t>
  </si>
  <si>
    <t>Simpson Academy (Mendenhall)</t>
  </si>
  <si>
    <t xml:space="preserve"> Mendenhall</t>
  </si>
  <si>
    <t>124 Zion Hill Rd, Mendenhall, MS 39114, USA</t>
  </si>
  <si>
    <t>Campo Undivided High School</t>
  </si>
  <si>
    <t>Campo</t>
  </si>
  <si>
    <t>Canon City High School</t>
  </si>
  <si>
    <t>Canon City</t>
  </si>
  <si>
    <t>Newark Memorial (Newark)</t>
  </si>
  <si>
    <t>Roaring Fork High School</t>
  </si>
  <si>
    <t>39375 Cedar Blvd, Newark, CA 94560, USA</t>
  </si>
  <si>
    <t>Castle View High School</t>
  </si>
  <si>
    <t>Castle Rock</t>
  </si>
  <si>
    <t>Douglas County High School</t>
  </si>
  <si>
    <t>Cedaredge High School</t>
  </si>
  <si>
    <t xml:space="preserve"> Harrison</t>
  </si>
  <si>
    <t>Cedaredge</t>
  </si>
  <si>
    <t>7349 School St, Harrison, AR 72601, USA</t>
  </si>
  <si>
    <t>Arapahoe High School</t>
  </si>
  <si>
    <t>Centennial</t>
  </si>
  <si>
    <t>Eaglecrest High School</t>
  </si>
  <si>
    <t>Pewamo-Westphalia (Pewamo)</t>
  </si>
  <si>
    <t xml:space="preserve"> Pewamo</t>
  </si>
  <si>
    <t>Hope Online Learning Academy High School</t>
  </si>
  <si>
    <t>120 S State St, Pewamo, MI 48873, USA</t>
  </si>
  <si>
    <t>Center</t>
  </si>
  <si>
    <t>Cheyenne Wells Junior/High School</t>
  </si>
  <si>
    <t>Heritage Academy (Mesa)</t>
  </si>
  <si>
    <t>Cheyenne Wells</t>
  </si>
  <si>
    <t>32 S Center St, Mesa, AZ 85210, USA</t>
  </si>
  <si>
    <t>Plateau Valley High School</t>
  </si>
  <si>
    <t>Collbran</t>
  </si>
  <si>
    <t>Academy Online</t>
  </si>
  <si>
    <t>Boys &amp; Girls (Brooklyn)</t>
  </si>
  <si>
    <t>Atlas Preparatory High School</t>
  </si>
  <si>
    <t>367 Clermont Ave, Brooklyn, NY 11238, USA</t>
  </si>
  <si>
    <t>Cheyenne Mountain High School</t>
  </si>
  <si>
    <t>Civa Charter Academy</t>
  </si>
  <si>
    <t>Colorado Springs Early Colleges</t>
  </si>
  <si>
    <t xml:space="preserve"> Norwich</t>
  </si>
  <si>
    <t>1 S Broad St, Norwich, NY 13815, USA</t>
  </si>
  <si>
    <t>Discovery Canyon Campus High School</t>
  </si>
  <si>
    <t>Lawrenceville, GA</t>
  </si>
  <si>
    <t>Doherty High School</t>
  </si>
  <si>
    <t>Bangor</t>
  </si>
  <si>
    <t xml:space="preserve"> Bangor</t>
  </si>
  <si>
    <t>1 Main St, Bangor, ME 04401, USA</t>
  </si>
  <si>
    <t>Hanover Junior-Senior High School</t>
  </si>
  <si>
    <t>Hanover Online Academy</t>
  </si>
  <si>
    <t>Lake Catholic (Mentor)</t>
  </si>
  <si>
    <t>6733 Reynolds Rd, Mentor, OH 44060, USA</t>
  </si>
  <si>
    <t>James Irwin Charter High School</t>
  </si>
  <si>
    <t>Launch High School</t>
  </si>
  <si>
    <t>Arcadia (Phoenix)</t>
  </si>
  <si>
    <t>5529 E Lafayette Blvd, Phoenix, AZ 85018, USA</t>
  </si>
  <si>
    <t>Mesa Ridge High School</t>
  </si>
  <si>
    <t>Mitchell High School</t>
  </si>
  <si>
    <t>Taravella (Coral Springs)</t>
  </si>
  <si>
    <t xml:space="preserve"> Coral Springs</t>
  </si>
  <si>
    <t>10600 Riverside Dr, Coral Springs, FL 33071, USA</t>
  </si>
  <si>
    <t>Pikes Peak Early College</t>
  </si>
  <si>
    <t>Pine Creek High School</t>
  </si>
  <si>
    <t>Beloit</t>
  </si>
  <si>
    <t xml:space="preserve"> Beloit</t>
  </si>
  <si>
    <t>Rampart High School</t>
  </si>
  <si>
    <t>100-198 E Clinton St, Beloit, KS 67420, USA</t>
  </si>
  <si>
    <t>Sand Creek High School</t>
  </si>
  <si>
    <t>Highlands (Natrona Heights)</t>
  </si>
  <si>
    <t>Tca College Pathways</t>
  </si>
  <si>
    <t xml:space="preserve"> Natrona Heights</t>
  </si>
  <si>
    <t>1500 Pacific Ave, Natrona Heights, PA 15065, USA</t>
  </si>
  <si>
    <t>The Classical Academy High School</t>
  </si>
  <si>
    <t>The Vanguard School (High School)</t>
  </si>
  <si>
    <t>Salisbury, MD</t>
  </si>
  <si>
    <t>Berkeley Prep (Tampa)</t>
  </si>
  <si>
    <t>4811 Kelly Rd, Tampa, FL 33615, USA</t>
  </si>
  <si>
    <t>Vista Ridge High School</t>
  </si>
  <si>
    <t>Broken Arrow</t>
  </si>
  <si>
    <t>Widefield High School</t>
  </si>
  <si>
    <t xml:space="preserve"> Broken Arrow</t>
  </si>
  <si>
    <t>919 N Elm Pl, Broken Arrow, OK 74012, USA</t>
  </si>
  <si>
    <t>Adams City High School</t>
  </si>
  <si>
    <t>Commerce City</t>
  </si>
  <si>
    <t>Victory Preparatory Academy High School State Charter Sch</t>
  </si>
  <si>
    <t>Park Hill South (Riverside)</t>
  </si>
  <si>
    <t>4500 River Park Dr, Riverside, MO 64150, USA</t>
  </si>
  <si>
    <t>Conifer Senior High School</t>
  </si>
  <si>
    <t>Conifer</t>
  </si>
  <si>
    <t>Montezuma-Cortez High School</t>
  </si>
  <si>
    <t>Cortez</t>
  </si>
  <si>
    <t>Cotopaxi Junior-Senior High School</t>
  </si>
  <si>
    <t>Cotopaxi</t>
  </si>
  <si>
    <t>Moffat County High School</t>
  </si>
  <si>
    <t>1515 19th St, Boulder, CO 80302, USA</t>
  </si>
  <si>
    <t>Crested Butte Secondary School</t>
  </si>
  <si>
    <t>Crested Butte</t>
  </si>
  <si>
    <t>Cripple Creek-Victor Junior-Senior High School</t>
  </si>
  <si>
    <t>Cripple Creek</t>
  </si>
  <si>
    <t>Cambridge-Isanti (Cambridge)</t>
  </si>
  <si>
    <t>Deer Trail Junior-Senior High School</t>
  </si>
  <si>
    <t>Deer Trail</t>
  </si>
  <si>
    <t>30175 Norway Dr NW, Cambridge, MN 55008, USA</t>
  </si>
  <si>
    <t>Del Norte High School Jr./Sr. High School</t>
  </si>
  <si>
    <t>Del Norte</t>
  </si>
  <si>
    <t>Achieve Blended Learning Academy</t>
  </si>
  <si>
    <t>Delta</t>
  </si>
  <si>
    <t>Bourbon County (Paris)</t>
  </si>
  <si>
    <t>800 High St, Paris, KY 40361, USA</t>
  </si>
  <si>
    <t>Denver</t>
  </si>
  <si>
    <t>Bishop Ireton (Alexandria)</t>
  </si>
  <si>
    <t>Big Picture College And Career Academy</t>
  </si>
  <si>
    <t>201 Cambridge Rd, Alexandria, VA 22314, USA</t>
  </si>
  <si>
    <t>Bruce Randolph School</t>
  </si>
  <si>
    <t>Collegiate Preparatory Academy</t>
  </si>
  <si>
    <t>Buffalo Grove</t>
  </si>
  <si>
    <t xml:space="preserve"> Buffalo Grove</t>
  </si>
  <si>
    <t>Fults, IL</t>
  </si>
  <si>
    <t>D'Evelyn Junior/Senior High School</t>
  </si>
  <si>
    <t>255 N BUFF ALO GROVE RD SUITE NUMBER 4831 IN POSTAL 60089 hL, Buffalo Grove, IL 60089, USA</t>
  </si>
  <si>
    <t>Dcis At Montbello</t>
  </si>
  <si>
    <t>Denver Center For International Studies</t>
  </si>
  <si>
    <t>Chiawana (Pasco)</t>
  </si>
  <si>
    <t xml:space="preserve"> Pasco</t>
  </si>
  <si>
    <t>Denver Montessori Junior/Senior High School</t>
  </si>
  <si>
    <t>8125 W Argent Rd, Pasco, WA 99301, USA</t>
  </si>
  <si>
    <t>Denver Online High School</t>
  </si>
  <si>
    <t>Lincoln (Stockton)</t>
  </si>
  <si>
    <t>Denver School Of Innovation And Sustainable Design</t>
  </si>
  <si>
    <t>6844 Alexandria Pl, Stockton, CA 95207, USA</t>
  </si>
  <si>
    <t>Denver School Of The Arts</t>
  </si>
  <si>
    <t>Dr. Martin Luther King Jr. Early College</t>
  </si>
  <si>
    <t>Dsst: Cole High School</t>
  </si>
  <si>
    <t>Coahoma Agricultural (Clarksdale)</t>
  </si>
  <si>
    <t xml:space="preserve"> Clarksdale</t>
  </si>
  <si>
    <t>1535 W Lee Dr, Clarksdale, MS 38614, USA</t>
  </si>
  <si>
    <t>Dsst: College View High School</t>
  </si>
  <si>
    <t>Dsst: Green Valley Ranch High School</t>
  </si>
  <si>
    <t>Living Word Christian (O'Fallon)</t>
  </si>
  <si>
    <t xml:space="preserve"> St Peters</t>
  </si>
  <si>
    <t>Dsst: Stapleton High School</t>
  </si>
  <si>
    <t>555 Salt Lick Rd, St Peters, MO 63376, USA</t>
  </si>
  <si>
    <t>Early College Of Denver</t>
  </si>
  <si>
    <t>Needham</t>
  </si>
  <si>
    <t xml:space="preserve"> Needham</t>
  </si>
  <si>
    <t>George Washington High School</t>
  </si>
  <si>
    <t>Needham Center, Great Plain Ave, Eaton Rd, Needham, MA 02492, USA</t>
  </si>
  <si>
    <t>Girls Athletic Leadership School High School</t>
  </si>
  <si>
    <t>Global Leadership Academy</t>
  </si>
  <si>
    <t>High School Tech Early College</t>
  </si>
  <si>
    <t>Notre Dame (West Haven)</t>
  </si>
  <si>
    <t xml:space="preserve"> West Haven</t>
  </si>
  <si>
    <t>John F Kennedy High School</t>
  </si>
  <si>
    <t>1 Notre Dame Way, West Haven, CT 06516, USA</t>
  </si>
  <si>
    <t>San Francisco, CA</t>
  </si>
  <si>
    <t>Kipp Denver Collegiate High School</t>
  </si>
  <si>
    <t xml:space="preserve"> Pottsville</t>
  </si>
  <si>
    <t>Kipp Northeast Denver Leadership Academy</t>
  </si>
  <si>
    <t>18 N Centre St, Pottsville, PA 17901, USA</t>
  </si>
  <si>
    <t>Manual High School</t>
  </si>
  <si>
    <t>Crescent City Christian (Metairie)</t>
  </si>
  <si>
    <t xml:space="preserve"> Metairie</t>
  </si>
  <si>
    <t>4833 Utica St, Metairie, LA 70006, USA</t>
  </si>
  <si>
    <t>Noel Community Arts School</t>
  </si>
  <si>
    <t>South Christian (Grand Rapids)</t>
  </si>
  <si>
    <t xml:space="preserve"> Dutton</t>
  </si>
  <si>
    <t>Northfield High School</t>
  </si>
  <si>
    <t>7895 Kalamazoo Ave SE, Dutton, MI 49316, USA</t>
  </si>
  <si>
    <t>Normal Community (Normal)</t>
  </si>
  <si>
    <t>Strive Prep - Excel</t>
  </si>
  <si>
    <t>3900 E Raab Rd, Normal, IL 61761, USA</t>
  </si>
  <si>
    <t>Strive Prep - Smart Academy</t>
  </si>
  <si>
    <t>Thomas Jefferson High School</t>
  </si>
  <si>
    <t>West Early College</t>
  </si>
  <si>
    <t>Fergus Falls</t>
  </si>
  <si>
    <t xml:space="preserve"> Fergus Falls</t>
  </si>
  <si>
    <t>109 N Union Ave, Fergus Falls, MN 56537, USA</t>
  </si>
  <si>
    <t>West Leadership Academy</t>
  </si>
  <si>
    <t>Dolores Secondary School</t>
  </si>
  <si>
    <t>Dolores</t>
  </si>
  <si>
    <t>Dove Creek High School</t>
  </si>
  <si>
    <t>McCracken County (Paducah)</t>
  </si>
  <si>
    <t>Dove Creek</t>
  </si>
  <si>
    <t xml:space="preserve"> Paducah</t>
  </si>
  <si>
    <t>621 Washington St, Paducah, KY 42003, USA</t>
  </si>
  <si>
    <t>Animas High School</t>
  </si>
  <si>
    <t>Durango</t>
  </si>
  <si>
    <t>Durango High School</t>
  </si>
  <si>
    <t>Southwest Colorado E-School</t>
  </si>
  <si>
    <t>Cactus Shadows (Cave Creek)</t>
  </si>
  <si>
    <t xml:space="preserve"> Cave Creek</t>
  </si>
  <si>
    <t>Eads High School</t>
  </si>
  <si>
    <t>5802 E Dove Valley Rd, Cave Creek, AZ 85331, USA</t>
  </si>
  <si>
    <t>Eaton High School</t>
  </si>
  <si>
    <t>Eaton</t>
  </si>
  <si>
    <t>Jefferson Junior/Senior High School</t>
  </si>
  <si>
    <t>Norwich Free Academy (Norwich)</t>
  </si>
  <si>
    <t>Edgewater</t>
  </si>
  <si>
    <t>305 Broadway, Norwich, CT 06360, USA</t>
  </si>
  <si>
    <t>Battle Mountain Early College High School</t>
  </si>
  <si>
    <t>Battle Mountain High School</t>
  </si>
  <si>
    <t>St. Francis (Traverse City)</t>
  </si>
  <si>
    <t>123 E Eleventh St, Traverse City, MI 49684, USA</t>
  </si>
  <si>
    <t>Elbert Junior-Senior High School</t>
  </si>
  <si>
    <t>Elbert</t>
  </si>
  <si>
    <t>Elizabeth High School</t>
  </si>
  <si>
    <t>Ellicott Senior High School</t>
  </si>
  <si>
    <t>Thompson (Alabaster)</t>
  </si>
  <si>
    <t>Ellicott</t>
  </si>
  <si>
    <t xml:space="preserve"> Alabaster</t>
  </si>
  <si>
    <t>1509 Kent Dairy Rd, Alabaster, AL 35007, USA</t>
  </si>
  <si>
    <t>Englewood High School</t>
  </si>
  <si>
    <t>Englewood</t>
  </si>
  <si>
    <t>Erie High School</t>
  </si>
  <si>
    <t>Southwood (Shreveport)</t>
  </si>
  <si>
    <t>9000 Walker Rd, Shreveport, LA 71118, USA</t>
  </si>
  <si>
    <t>Estes Park High School</t>
  </si>
  <si>
    <t>Estes Park</t>
  </si>
  <si>
    <t>Clear Creek High School</t>
  </si>
  <si>
    <t>Jefferson</t>
  </si>
  <si>
    <t>Evergreen High School</t>
  </si>
  <si>
    <t>36 W Public Square, Jefferson, GA 30549, USA</t>
  </si>
  <si>
    <t>South Park High School</t>
  </si>
  <si>
    <t>Fairplay</t>
  </si>
  <si>
    <t>Fleming High School</t>
  </si>
  <si>
    <t>Fleming</t>
  </si>
  <si>
    <t>Kamiakin (Kennewick)</t>
  </si>
  <si>
    <t xml:space="preserve"> Kennewick</t>
  </si>
  <si>
    <t>600 N Arthur St, Kennewick, WA 99336, USA</t>
  </si>
  <si>
    <t>Colorado Early College Fort Collins</t>
  </si>
  <si>
    <t>Fort Collins</t>
  </si>
  <si>
    <t>Potter's House Christian (Jacksonville)</t>
  </si>
  <si>
    <t>Fort Collins High School</t>
  </si>
  <si>
    <t>1150 Lane Ave S, Jacksonville, FL 32205, USA</t>
  </si>
  <si>
    <t>Fossil Ridge High School</t>
  </si>
  <si>
    <t>Poudre High School</t>
  </si>
  <si>
    <t>Lake Ridge (Mansfield)</t>
  </si>
  <si>
    <t>Rocky Mountain High School</t>
  </si>
  <si>
    <t>101 Day Miar Rd, Mansfield, TX 76063, USA</t>
  </si>
  <si>
    <t>Fort Lupton High School</t>
  </si>
  <si>
    <t>Fort Lupton</t>
  </si>
  <si>
    <t>Fort Morgan High School</t>
  </si>
  <si>
    <t>Fort Morgan</t>
  </si>
  <si>
    <t>Servite (Anaheim)</t>
  </si>
  <si>
    <t>1952 W La Palma Ave, Anaheim, CA 92801, USA</t>
  </si>
  <si>
    <t>Fountain-Fort Carson High School</t>
  </si>
  <si>
    <t>Fountain</t>
  </si>
  <si>
    <t xml:space="preserve"> Clayton</t>
  </si>
  <si>
    <t>Frederick Senior High School</t>
  </si>
  <si>
    <t>Frederick</t>
  </si>
  <si>
    <t>137 N Lombard St, Clayton, NC 27520, USA</t>
  </si>
  <si>
    <t>Frisco</t>
  </si>
  <si>
    <t>Fruita Monument High School</t>
  </si>
  <si>
    <t>Fruita</t>
  </si>
  <si>
    <t xml:space="preserve"> Hoover</t>
  </si>
  <si>
    <t>2 Chase Corporate Center Dr, Hoover, AL 35226, USA</t>
  </si>
  <si>
    <t>Gilcrest</t>
  </si>
  <si>
    <t>Glenwood Springs High School</t>
  </si>
  <si>
    <t>Glenwood Springs</t>
  </si>
  <si>
    <t>Cushing Academy (Ashburnham)</t>
  </si>
  <si>
    <t>Golden High School</t>
  </si>
  <si>
    <t xml:space="preserve"> Ashburnham</t>
  </si>
  <si>
    <t>Golden</t>
  </si>
  <si>
    <t>Granada Undivided High School</t>
  </si>
  <si>
    <t>39 School St, Ashburnham, MA 01430, USA</t>
  </si>
  <si>
    <t>Granada</t>
  </si>
  <si>
    <t>Middle Park High School</t>
  </si>
  <si>
    <t>Granby</t>
  </si>
  <si>
    <t>Heritage (Newnan)</t>
  </si>
  <si>
    <t xml:space="preserve"> Newnan</t>
  </si>
  <si>
    <t>2093 US-29, Newnan, GA 30263, USA</t>
  </si>
  <si>
    <t>Grand Junction High School</t>
  </si>
  <si>
    <t>Montebello, CA</t>
  </si>
  <si>
    <t>Early College Academy</t>
  </si>
  <si>
    <t>Greeley</t>
  </si>
  <si>
    <t>7026 Main St, Frisco, TX 75033, USA</t>
  </si>
  <si>
    <t>Greeley Central High School</t>
  </si>
  <si>
    <t>Greeley West High School</t>
  </si>
  <si>
    <t>Peninsula (Rolling Hills Estates)</t>
  </si>
  <si>
    <t xml:space="preserve"> Rolling Hills Estates</t>
  </si>
  <si>
    <t>728 Deep Valley Dr, Rolling Hills Estates, CA 90274, USA</t>
  </si>
  <si>
    <t>Union Colony Preparatory School</t>
  </si>
  <si>
    <t>Cherry Creek High School</t>
  </si>
  <si>
    <t>Greenwood Village</t>
  </si>
  <si>
    <t>Northridge (Middlebury)</t>
  </si>
  <si>
    <t xml:space="preserve"> Middlebury</t>
  </si>
  <si>
    <t>Gunnison High School</t>
  </si>
  <si>
    <t>Gunnison</t>
  </si>
  <si>
    <t>56779 Northridge Dr, Middlebury, IN 46540, USA</t>
  </si>
  <si>
    <t>Eagle Valley Early College High School</t>
  </si>
  <si>
    <t>Gypsum</t>
  </si>
  <si>
    <t>Eagle Valley High School</t>
  </si>
  <si>
    <t>Wade Hampton (Greenville)</t>
  </si>
  <si>
    <t xml:space="preserve"> Taylors</t>
  </si>
  <si>
    <t>Haxtun High School</t>
  </si>
  <si>
    <t>Haxtun</t>
  </si>
  <si>
    <t>2905 Wade Hampton Blvd, Taylors, SC 29687, USA</t>
  </si>
  <si>
    <t>Prairie View High School</t>
  </si>
  <si>
    <t>Henderson</t>
  </si>
  <si>
    <t>Hooker</t>
  </si>
  <si>
    <t>High Schoollands Ranch High School</t>
  </si>
  <si>
    <t xml:space="preserve"> Hooker</t>
  </si>
  <si>
    <t>Highlands Ranch</t>
  </si>
  <si>
    <t>102 Glaydas St, Hooker, OK 73945, USA</t>
  </si>
  <si>
    <t>Mountain Vista High School</t>
  </si>
  <si>
    <t>Rock Canyon High School</t>
  </si>
  <si>
    <t>Thunderridge High School</t>
  </si>
  <si>
    <t xml:space="preserve"> Laguna Beach</t>
  </si>
  <si>
    <t>100 S Coast Hwy, Laguna Beach, CA 92651, USA</t>
  </si>
  <si>
    <t>Holly High School</t>
  </si>
  <si>
    <t>Holly</t>
  </si>
  <si>
    <t>Holyoke Senior High School</t>
  </si>
  <si>
    <t>Holyoke</t>
  </si>
  <si>
    <t>Brownsville, TX</t>
  </si>
  <si>
    <t>Holy Name (Parma Heights)</t>
  </si>
  <si>
    <t xml:space="preserve"> Parma Heights</t>
  </si>
  <si>
    <t>Hotchkiss High School</t>
  </si>
  <si>
    <t>Hotchkiss</t>
  </si>
  <si>
    <t>6000 Queens Hwy, Parma Heights, OH 44130, USA</t>
  </si>
  <si>
    <t>Idalia Junior-Senior High School</t>
  </si>
  <si>
    <t>Idalia</t>
  </si>
  <si>
    <t>Ignacio High School</t>
  </si>
  <si>
    <t>Ignacio</t>
  </si>
  <si>
    <t>Weddington (Matthews)</t>
  </si>
  <si>
    <t xml:space="preserve"> Weddington</t>
  </si>
  <si>
    <t>1936 Weddington Rd, Weddington, NC 28104, USA</t>
  </si>
  <si>
    <t>Caliche Junior-Senior High School</t>
  </si>
  <si>
    <t>Iliff</t>
  </si>
  <si>
    <t>Johnstown</t>
  </si>
  <si>
    <t>1 West Main Street, Greenwood, IN 46142, USA</t>
  </si>
  <si>
    <t>Julesburg High School</t>
  </si>
  <si>
    <t>Julesburg</t>
  </si>
  <si>
    <t>Karval Junior-Senior High School</t>
  </si>
  <si>
    <t>Karval</t>
  </si>
  <si>
    <t>Chaney (Youngstown)</t>
  </si>
  <si>
    <t>Chaney High School, Youngstown, OH 44509, USA</t>
  </si>
  <si>
    <t>Weld Central Senior High School</t>
  </si>
  <si>
    <t>Keenesburg</t>
  </si>
  <si>
    <t>Platte Valley High School</t>
  </si>
  <si>
    <t>Kersey</t>
  </si>
  <si>
    <t>Holmdel</t>
  </si>
  <si>
    <t xml:space="preserve"> Holmdel</t>
  </si>
  <si>
    <t>45 Newman Springs Rd, Holmdel, NJ 07733, USA</t>
  </si>
  <si>
    <t>Kim Undivided High School</t>
  </si>
  <si>
    <t>Kim</t>
  </si>
  <si>
    <t>Kiowa High School</t>
  </si>
  <si>
    <t>Kiowa</t>
  </si>
  <si>
    <t>East Central (San Antonio)</t>
  </si>
  <si>
    <t xml:space="preserve"> Adkins</t>
  </si>
  <si>
    <t>Kit Carson Junior-Senior High School</t>
  </si>
  <si>
    <t>Kit Carson</t>
  </si>
  <si>
    <t>3048 Rakowitz Rd, Adkins, TX 78101, USA</t>
  </si>
  <si>
    <t>West Grand High School</t>
  </si>
  <si>
    <t>Kremmling</t>
  </si>
  <si>
    <t>Centauri High School</t>
  </si>
  <si>
    <t>La Jara</t>
  </si>
  <si>
    <t>Alexander (Laredo)</t>
  </si>
  <si>
    <t>3600 E Del Mar Blvd, Laredo, TX 78041, USA</t>
  </si>
  <si>
    <t>La Junta Jr/Sr High School</t>
  </si>
  <si>
    <t>La Junta</t>
  </si>
  <si>
    <t>La Veta Junior-Senior High School</t>
  </si>
  <si>
    <t>La Veta</t>
  </si>
  <si>
    <t>Centaurus High School</t>
  </si>
  <si>
    <t>Eisenhower (Goddard)</t>
  </si>
  <si>
    <t xml:space="preserve"> Goddard</t>
  </si>
  <si>
    <t>670 S 167th St W, Goddard, KS 67052, USA</t>
  </si>
  <si>
    <t>Addenbrooke Classical Academy</t>
  </si>
  <si>
    <t>Alameda International Junior/Senior High School</t>
  </si>
  <si>
    <t>Lakeside (Plummer)</t>
  </si>
  <si>
    <t xml:space="preserve"> Plummer</t>
  </si>
  <si>
    <t>1345 E St, Plummer, ID 83851, USA</t>
  </si>
  <si>
    <t>Elevate Academy High School</t>
  </si>
  <si>
    <t>Fairmont Heights (Capitol Heights)</t>
  </si>
  <si>
    <t>Green Mountain High School</t>
  </si>
  <si>
    <t xml:space="preserve"> Fairmount Heights</t>
  </si>
  <si>
    <t>727 59th Ave, Fairmount Heights, MD 20743, USA</t>
  </si>
  <si>
    <t>Jefferson County Open Secondary</t>
  </si>
  <si>
    <t>Aiken</t>
  </si>
  <si>
    <t xml:space="preserve"> Aiken</t>
  </si>
  <si>
    <t>Valiant Academy High School</t>
  </si>
  <si>
    <t>540 beaverdam Rd, Aiken, SC 29801, USA</t>
  </si>
  <si>
    <t>Catholic Memorial (West Roxbury)</t>
  </si>
  <si>
    <t>Las Animas High School</t>
  </si>
  <si>
    <t>Las Animas</t>
  </si>
  <si>
    <t xml:space="preserve"> West Roxbury</t>
  </si>
  <si>
    <t>235 Baker St, West Roxbury, MA 02132, USA</t>
  </si>
  <si>
    <t>Lake County Early College</t>
  </si>
  <si>
    <t>Leadville</t>
  </si>
  <si>
    <t>Lake County High School</t>
  </si>
  <si>
    <t>Billings Central Catholic (Billings)</t>
  </si>
  <si>
    <t>Limon Junior-Senior High School</t>
  </si>
  <si>
    <t>Limon</t>
  </si>
  <si>
    <t>3 Broadwater Ave, Billings, MT 59101, USA</t>
  </si>
  <si>
    <t>Chatfield High School</t>
  </si>
  <si>
    <t>Littleton</t>
  </si>
  <si>
    <t>Columbine High School</t>
  </si>
  <si>
    <t>Berean Academy (Elbing)</t>
  </si>
  <si>
    <t xml:space="preserve"> Elbing</t>
  </si>
  <si>
    <t>Dakota Ridge Senior High School</t>
  </si>
  <si>
    <t>201 Elbing Rd, Elbing, KS 67041, USA</t>
  </si>
  <si>
    <t>Sylmar, CA</t>
  </si>
  <si>
    <t>Littleton High School</t>
  </si>
  <si>
    <t>Manvel</t>
  </si>
  <si>
    <t xml:space="preserve"> Manvel</t>
  </si>
  <si>
    <t>Longmont High School</t>
  </si>
  <si>
    <t>7820 County Rd 67, Manvel, TX 77578, USA</t>
  </si>
  <si>
    <t>Longmont</t>
  </si>
  <si>
    <t>Mead High School</t>
  </si>
  <si>
    <t>Temple</t>
  </si>
  <si>
    <t xml:space="preserve"> Temple</t>
  </si>
  <si>
    <t>204 E Adams Ave, Temple, TX 76501, USA</t>
  </si>
  <si>
    <t>Monarch High School</t>
  </si>
  <si>
    <t>Coral Gables</t>
  </si>
  <si>
    <t>Loveland High School</t>
  </si>
  <si>
    <t>440 Coral Way, Miami, FL 33145, USA</t>
  </si>
  <si>
    <t>Thompson Valley High School</t>
  </si>
  <si>
    <t>1401-1499 Truxtun Ave, Bakersfield, CA 93301, USA</t>
  </si>
  <si>
    <t>Lyons Middle/Senior High School</t>
  </si>
  <si>
    <t>Lyons</t>
  </si>
  <si>
    <t>Southwest Minnesota Christian (Edgerton)</t>
  </si>
  <si>
    <t xml:space="preserve"> Edgerton</t>
  </si>
  <si>
    <t>550 Elizabeth St, Edgerton, MN 56128, USA</t>
  </si>
  <si>
    <t>Mancos High School</t>
  </si>
  <si>
    <t>Mancos</t>
  </si>
  <si>
    <t>Manitou Springs High School</t>
  </si>
  <si>
    <t>Manitou Springs</t>
  </si>
  <si>
    <t>Summit Academy (Brooklyn)</t>
  </si>
  <si>
    <t>Manzanola Junior-Senior High School</t>
  </si>
  <si>
    <t>Manzanola</t>
  </si>
  <si>
    <t>27 Huntington St, Brooklyn, NY 11231, USA</t>
  </si>
  <si>
    <t>Mc Clave Undivided High School</t>
  </si>
  <si>
    <t>Mc Clave</t>
  </si>
  <si>
    <t>Meeker High School</t>
  </si>
  <si>
    <t>Meeker</t>
  </si>
  <si>
    <t>Sharon, WI</t>
  </si>
  <si>
    <t>Merino Junior Senior High School</t>
  </si>
  <si>
    <t>Fair Haven</t>
  </si>
  <si>
    <t>Merino</t>
  </si>
  <si>
    <t xml:space="preserve"> Fair Haven</t>
  </si>
  <si>
    <t>339 Main St, Fair Haven, VT 05743, USA</t>
  </si>
  <si>
    <t>Monte Vista Senior High School</t>
  </si>
  <si>
    <t>Monte Vista</t>
  </si>
  <si>
    <t>Sargent Senior High School</t>
  </si>
  <si>
    <t>Montrose High School</t>
  </si>
  <si>
    <t>McQuaid Jesuit (Rochester)</t>
  </si>
  <si>
    <t>Montrose</t>
  </si>
  <si>
    <t>Lewis-Palmer High School</t>
  </si>
  <si>
    <t>Monument</t>
  </si>
  <si>
    <t>1800 County Rd 100, Rochester, NY 14618, USA</t>
  </si>
  <si>
    <t>Palmer Ridge High School</t>
  </si>
  <si>
    <t>Sangre De Cristo Undivided High School</t>
  </si>
  <si>
    <t>Mosca</t>
  </si>
  <si>
    <t>Three Forks</t>
  </si>
  <si>
    <t xml:space="preserve"> Three Forks</t>
  </si>
  <si>
    <t>Nederland Middle-Senior High School</t>
  </si>
  <si>
    <t>Nederland</t>
  </si>
  <si>
    <t>215 Frontage Rd, Three Forks, MT 59752, USA</t>
  </si>
  <si>
    <t>Coal Ridge High School</t>
  </si>
  <si>
    <t>New Castle</t>
  </si>
  <si>
    <t>Holly Springs</t>
  </si>
  <si>
    <t>Prairie Junior-Senior High School</t>
  </si>
  <si>
    <t xml:space="preserve"> Holly Springs</t>
  </si>
  <si>
    <t>New Raymer</t>
  </si>
  <si>
    <t>73 MS-4, Holly Springs, MS 38635, USA</t>
  </si>
  <si>
    <t>Niwot High School</t>
  </si>
  <si>
    <t>Niwot</t>
  </si>
  <si>
    <t>Northglenn High School</t>
  </si>
  <si>
    <t>Northglenn</t>
  </si>
  <si>
    <t>Sparkman (Harvest)</t>
  </si>
  <si>
    <t>Nucla High School</t>
  </si>
  <si>
    <t xml:space="preserve"> Harvest</t>
  </si>
  <si>
    <t>Nucla</t>
  </si>
  <si>
    <t>2616 Jeff Rd NW, Harvest, AL 35749, USA</t>
  </si>
  <si>
    <t>Soroco High School</t>
  </si>
  <si>
    <t>Oak Creek</t>
  </si>
  <si>
    <t>Olathe High School</t>
  </si>
  <si>
    <t>Olathe</t>
  </si>
  <si>
    <t>DeSmet</t>
  </si>
  <si>
    <t>Crowley County Junior And Senior High School</t>
  </si>
  <si>
    <t>Ordway</t>
  </si>
  <si>
    <t xml:space="preserve"> De Smet</t>
  </si>
  <si>
    <t>112 1st St SW, De Smet, SD 57231, USA</t>
  </si>
  <si>
    <t>Lone Star Undivided High School</t>
  </si>
  <si>
    <t>Otis</t>
  </si>
  <si>
    <t>Otis Junior-Senior High School</t>
  </si>
  <si>
    <t>Ouray Senior High School</t>
  </si>
  <si>
    <t>Ouray</t>
  </si>
  <si>
    <t>New Rochelle</t>
  </si>
  <si>
    <t xml:space="preserve"> New Rochelle</t>
  </si>
  <si>
    <t>276 North Ave, New Rochelle, NY 10801, USA</t>
  </si>
  <si>
    <t>Revere Junior-Senior High School</t>
  </si>
  <si>
    <t>Ovid</t>
  </si>
  <si>
    <t>Summit Point, WV</t>
  </si>
  <si>
    <t>Pagosa Springs High School</t>
  </si>
  <si>
    <t>Pagosa Springs</t>
  </si>
  <si>
    <t>Clear Brook (Friendswood)</t>
  </si>
  <si>
    <t>Palisade High School</t>
  </si>
  <si>
    <t xml:space="preserve"> Friendswood</t>
  </si>
  <si>
    <t>Palisade</t>
  </si>
  <si>
    <t>4607 FM 2351, Friendswood, TX 77546, USA</t>
  </si>
  <si>
    <t>Paonia High School</t>
  </si>
  <si>
    <t>Paonia</t>
  </si>
  <si>
    <t>Grand Valley High School</t>
  </si>
  <si>
    <t>Parachute</t>
  </si>
  <si>
    <t>Ankeny</t>
  </si>
  <si>
    <t>101 S Ankeny Blvd, Ankeny, IA 50023, USA</t>
  </si>
  <si>
    <t>Colorado Early Colleges - Parker</t>
  </si>
  <si>
    <t xml:space="preserve"> Davis</t>
  </si>
  <si>
    <t>615 3rd St, Davis, CA 95616, USA</t>
  </si>
  <si>
    <t>Legend High School</t>
  </si>
  <si>
    <t>Okeechobee</t>
  </si>
  <si>
    <t xml:space="preserve"> Okeechobee</t>
  </si>
  <si>
    <t>Peetz Junior-Senior High School</t>
  </si>
  <si>
    <t>Peetz</t>
  </si>
  <si>
    <t>106 N Parrott Ave, Okeechobee, FL 34972, USA</t>
  </si>
  <si>
    <t>Falcon High School</t>
  </si>
  <si>
    <t>Peyton</t>
  </si>
  <si>
    <t>Turner (Beloit)</t>
  </si>
  <si>
    <t>Peyton Online Academy</t>
  </si>
  <si>
    <t>1231 E Inman Pkwy, Beloit, WI 53511, USA</t>
  </si>
  <si>
    <t>Peyton Senior High School</t>
  </si>
  <si>
    <t>Pritchett High School</t>
  </si>
  <si>
    <t>Pritchett</t>
  </si>
  <si>
    <t>Our Lady of the Sacred Heart (Coraopolis)</t>
  </si>
  <si>
    <t xml:space="preserve"> Moon</t>
  </si>
  <si>
    <t>1504 Woodcrest Ave, Moon, PA 15108, USA</t>
  </si>
  <si>
    <t>Liberty (Bethlehem)</t>
  </si>
  <si>
    <t xml:space="preserve"> Bethlehem</t>
  </si>
  <si>
    <t>1115 Linden St, Bethlehem, PA 18018, USA</t>
  </si>
  <si>
    <t>Immersion Schools Science Technology Arts</t>
  </si>
  <si>
    <t>Pueblo County High School</t>
  </si>
  <si>
    <t>Walsh Jesuit (Cuyahoga Falls)</t>
  </si>
  <si>
    <t>Brookfield, CT</t>
  </si>
  <si>
    <t xml:space="preserve"> Cuyahoga Falls</t>
  </si>
  <si>
    <t>4550 Wyoga Lake Rd, Cuyahoga Falls, OH 44224, USA</t>
  </si>
  <si>
    <t>Pueblo West High School</t>
  </si>
  <si>
    <t>Pueblo West</t>
  </si>
  <si>
    <t>Swallows Charter Academy High School</t>
  </si>
  <si>
    <t>New Hope (Columbus)</t>
  </si>
  <si>
    <t>Rangely Junior/Senior High School</t>
  </si>
  <si>
    <t>Rangely</t>
  </si>
  <si>
    <t>191 Reeves Rd, Columbus, MS 39702, USA</t>
  </si>
  <si>
    <t>Ridgway High School</t>
  </si>
  <si>
    <t>Ridgway</t>
  </si>
  <si>
    <t>Rifle High School</t>
  </si>
  <si>
    <t>Rifle</t>
  </si>
  <si>
    <t xml:space="preserve"> Exeter</t>
  </si>
  <si>
    <t>Rocky Ford Junior/Senior High School</t>
  </si>
  <si>
    <t>Rocky Ford</t>
  </si>
  <si>
    <t>130 Water St, Exeter, NH 03833, USA</t>
  </si>
  <si>
    <t>Miami-Yoder Middle/High School</t>
  </si>
  <si>
    <t>Rush</t>
  </si>
  <si>
    <t>Rye High School</t>
  </si>
  <si>
    <t>Bowne (Flushing)</t>
  </si>
  <si>
    <t xml:space="preserve"> Queens</t>
  </si>
  <si>
    <t>Salida High School</t>
  </si>
  <si>
    <t>Salida</t>
  </si>
  <si>
    <t>Bowne St/Beech Av, Queens, NY 11355, USA</t>
  </si>
  <si>
    <t>Sanford Junior/Senior High School</t>
  </si>
  <si>
    <t>Sanford</t>
  </si>
  <si>
    <t>St. George's (Spokane)</t>
  </si>
  <si>
    <t>Plainview Junior-Senior High School</t>
  </si>
  <si>
    <t>Sheridan Lake</t>
  </si>
  <si>
    <t>2929 W Waikiki Rd, Spokane, WA 99208, USA</t>
  </si>
  <si>
    <t>Silverton High School</t>
  </si>
  <si>
    <t>Simla High School</t>
  </si>
  <si>
    <t>Bishop McDevitt (Harrisburg)</t>
  </si>
  <si>
    <t>Simla</t>
  </si>
  <si>
    <t xml:space="preserve"> Harrisburg</t>
  </si>
  <si>
    <t>1 Crusader Way, Harrisburg, PA 17111, USA</t>
  </si>
  <si>
    <t>Springfield Junior/Senior High School</t>
  </si>
  <si>
    <t>Steamboat Springs High School</t>
  </si>
  <si>
    <t>Steamboat Springs</t>
  </si>
  <si>
    <t>Conner (Hebron)</t>
  </si>
  <si>
    <t xml:space="preserve"> Hebron</t>
  </si>
  <si>
    <t>Sterling High School</t>
  </si>
  <si>
    <t>Honolulu, HI</t>
  </si>
  <si>
    <t>1734 Conner Rd, Hebron, KY 41048, USA</t>
  </si>
  <si>
    <t>Strasburg High School</t>
  </si>
  <si>
    <t>Strasburg</t>
  </si>
  <si>
    <t>Stratton Senior High School</t>
  </si>
  <si>
    <t>Stratton</t>
  </si>
  <si>
    <t>Hays (Buda)</t>
  </si>
  <si>
    <t xml:space="preserve"> Buda</t>
  </si>
  <si>
    <t>16228 Remuda Trail, Buda, TX 78610, USA</t>
  </si>
  <si>
    <t>Swink Junior-Senior High School</t>
  </si>
  <si>
    <t>Swink</t>
  </si>
  <si>
    <t>Telluride High School</t>
  </si>
  <si>
    <t>Telluride</t>
  </si>
  <si>
    <t>Academy High School</t>
  </si>
  <si>
    <t>Thornton</t>
  </si>
  <si>
    <t>Kapaun Mt. Carmel (Wichita)</t>
  </si>
  <si>
    <t>8506 E Central Ave, Wichita, KS 67206, USA</t>
  </si>
  <si>
    <t>Mapleton Early College High School</t>
  </si>
  <si>
    <t>Mapleton Expeditionary School Of The Arts</t>
  </si>
  <si>
    <t>Johnson (Savannah)</t>
  </si>
  <si>
    <t>Thornton High School</t>
  </si>
  <si>
    <t>121 Oglethorpe Ct, Savannah, GA 31406, USA</t>
  </si>
  <si>
    <t>Trinidad High School</t>
  </si>
  <si>
    <t>Trinidad</t>
  </si>
  <si>
    <t>Air Academy High School</t>
  </si>
  <si>
    <t>Usaf Academy</t>
  </si>
  <si>
    <t xml:space="preserve"> Hammond</t>
  </si>
  <si>
    <t>Vilas Undivided High School</t>
  </si>
  <si>
    <t>Vilas</t>
  </si>
  <si>
    <t>7141 Columbia Ave, Hammond, IN 46324, USA</t>
  </si>
  <si>
    <t>John Mall High School</t>
  </si>
  <si>
    <t>Walsenburg</t>
  </si>
  <si>
    <t>Walsh High School</t>
  </si>
  <si>
    <t>Walsh</t>
  </si>
  <si>
    <t>Central Catholic (Modesto)</t>
  </si>
  <si>
    <t>Weldon Valley Jr/Sr High School</t>
  </si>
  <si>
    <t>200 S Carpenter Rd, Modesto, CA 95351, USA</t>
  </si>
  <si>
    <t>Weldona</t>
  </si>
  <si>
    <t>Custer County High School</t>
  </si>
  <si>
    <t>Westcliffe</t>
  </si>
  <si>
    <t>Mt. Spokane (Mead)</t>
  </si>
  <si>
    <t>Colorado Preparatory Academy High School</t>
  </si>
  <si>
    <t xml:space="preserve"> Mead</t>
  </si>
  <si>
    <t>6015 E Mt Spokane Park Dr, Mead, WA 99021, USA</t>
  </si>
  <si>
    <t>Mountain Range High School</t>
  </si>
  <si>
    <t>Standley Lake High School</t>
  </si>
  <si>
    <t>Belleville West (Belleville)</t>
  </si>
  <si>
    <t xml:space="preserve"> Belleville</t>
  </si>
  <si>
    <t>4063 Frank Scott Pkwy W, Belleville, IL 62223, USA</t>
  </si>
  <si>
    <t>Primero Junior-Senior High School</t>
  </si>
  <si>
    <t>Weston</t>
  </si>
  <si>
    <t>Timber Creek (Fort Worth)</t>
  </si>
  <si>
    <t>12350 Timberland Blvd, Fort Worth, TX 76244, USA</t>
  </si>
  <si>
    <t>Wheat Ridge High School</t>
  </si>
  <si>
    <t>Wheat Ridge</t>
  </si>
  <si>
    <t>Wiggins High School</t>
  </si>
  <si>
    <t>Wiggins</t>
  </si>
  <si>
    <t>Aurora Christian (Aurora)</t>
  </si>
  <si>
    <t>Wiley Junior-Senior High School</t>
  </si>
  <si>
    <t>Wiley</t>
  </si>
  <si>
    <t>2255 Sullivan Rd, Aurora, IL 60506, USA</t>
  </si>
  <si>
    <t>Windsor Charter Academy Middle And Early College H</t>
  </si>
  <si>
    <t>Westside (Jonesboro)</t>
  </si>
  <si>
    <t>1630 AR-91, Jonesboro, AR 72404, USA</t>
  </si>
  <si>
    <t>Woodland Park High School</t>
  </si>
  <si>
    <t>Woodland Park</t>
  </si>
  <si>
    <t>Woodlin Undivided High School</t>
  </si>
  <si>
    <t>Woodrow</t>
  </si>
  <si>
    <t>Veterans (Kathleen)</t>
  </si>
  <si>
    <t xml:space="preserve"> Kathleen</t>
  </si>
  <si>
    <t>Wray High School</t>
  </si>
  <si>
    <t>340 Piney Grove Rd, Kathleen, GA 31047, USA</t>
  </si>
  <si>
    <t>Wray</t>
  </si>
  <si>
    <t>Edison Junior-Senior High School</t>
  </si>
  <si>
    <t>Yoder</t>
  </si>
  <si>
    <t>Lumen Christi (Anchorage)</t>
  </si>
  <si>
    <t>Edison Prep</t>
  </si>
  <si>
    <t>8110 Jewel Lake Rd, Anchorage, AK 99502, USA</t>
  </si>
  <si>
    <t>Ansonia High School</t>
  </si>
  <si>
    <t>Memphis Central (Memphis)</t>
  </si>
  <si>
    <t>Ansonia</t>
  </si>
  <si>
    <t>306 S Bellevue Blvd, Memphis, TN 38104, USA</t>
  </si>
  <si>
    <t>Avon High School</t>
  </si>
  <si>
    <t>Avon</t>
  </si>
  <si>
    <t>Woodland Regional High School</t>
  </si>
  <si>
    <t>Beacon Falls</t>
  </si>
  <si>
    <t>New Richmond</t>
  </si>
  <si>
    <t xml:space="preserve"> New Richmond</t>
  </si>
  <si>
    <t>155 E 1st St, New Richmond, WI 54017, USA</t>
  </si>
  <si>
    <t>Berlin High School</t>
  </si>
  <si>
    <t>Berlin</t>
  </si>
  <si>
    <t>Bethel High School</t>
  </si>
  <si>
    <t>George Jenkins (Lakeland)</t>
  </si>
  <si>
    <t>6000 Lakeland Highlands Rd, Lakeland, FL 33813, USA</t>
  </si>
  <si>
    <t>Bloomfield High School</t>
  </si>
  <si>
    <t>Worthington, OH</t>
  </si>
  <si>
    <t>Bloomfield</t>
  </si>
  <si>
    <t>Global Experience Magnet School</t>
  </si>
  <si>
    <t xml:space="preserve"> Franklin</t>
  </si>
  <si>
    <t>Franklin, 75 Depot St, Franklin, MA 02038, USA</t>
  </si>
  <si>
    <t>Metropolitan Learning Center For Global And International S</t>
  </si>
  <si>
    <t>Bolton High School</t>
  </si>
  <si>
    <t>Bolton</t>
  </si>
  <si>
    <t>Monte Vista (Danville)</t>
  </si>
  <si>
    <t>Branford High School</t>
  </si>
  <si>
    <t>Branford</t>
  </si>
  <si>
    <t>3131 Stone Valley Rd, Danville, CA 94526, USA</t>
  </si>
  <si>
    <t>Aerospace/Hydrospace Engineering And Physical Sciences High School</t>
  </si>
  <si>
    <t>Newfield</t>
  </si>
  <si>
    <t>Bassick High School</t>
  </si>
  <si>
    <t xml:space="preserve"> Newfield</t>
  </si>
  <si>
    <t>130 Benjamin Hill Rd, Newfield, NY 14867, USA</t>
  </si>
  <si>
    <t>Biotechnology Research And Zoological Studies High School At The Fa</t>
  </si>
  <si>
    <t>Bridgeport Military Academy</t>
  </si>
  <si>
    <t xml:space="preserve"> Crockett</t>
  </si>
  <si>
    <t>516 E Houston Ave, Crockett, TX 75835, USA</t>
  </si>
  <si>
    <t>Information Technology And Software Engineering High School</t>
  </si>
  <si>
    <t>Randolph (Universal City)</t>
  </si>
  <si>
    <t>The Bridge Academy</t>
  </si>
  <si>
    <t xml:space="preserve"> Universal City</t>
  </si>
  <si>
    <t>5th Street Hangar 7, Universal City, TX 78148, USA</t>
  </si>
  <si>
    <t>Warren Harding High School</t>
  </si>
  <si>
    <t>The Vanguard School (Colorado Springs)</t>
  </si>
  <si>
    <t xml:space="preserve"> Colorado Springs</t>
  </si>
  <si>
    <t>Bristol Central High School</t>
  </si>
  <si>
    <t>1605 S Corona Ave, Colorado Springs, CO 80905, USA</t>
  </si>
  <si>
    <t>Bristol Eastern High School</t>
  </si>
  <si>
    <t>Brookfield High School</t>
  </si>
  <si>
    <t>100 Main St S, Austin, MN 55912, USA</t>
  </si>
  <si>
    <t>Lewis S. Mills High School</t>
  </si>
  <si>
    <t>Canton High School</t>
  </si>
  <si>
    <t>North Charleston, SC</t>
  </si>
  <si>
    <t>Dripping Springs</t>
  </si>
  <si>
    <t xml:space="preserve"> Dripping Springs</t>
  </si>
  <si>
    <t>Plainfield High School</t>
  </si>
  <si>
    <t>Central Village</t>
  </si>
  <si>
    <t>27490 Ranch Rd 12, Dripping Springs, TX 78620, USA</t>
  </si>
  <si>
    <t>Parish Hill High School</t>
  </si>
  <si>
    <t>Chaplin</t>
  </si>
  <si>
    <t>Arbor View (Las Vegas)</t>
  </si>
  <si>
    <t>Cheshire High School</t>
  </si>
  <si>
    <t>Cheshire</t>
  </si>
  <si>
    <t>7500 Whispering Sands Dr, Las Vegas, NV 89131, USA</t>
  </si>
  <si>
    <t>The Morgan School</t>
  </si>
  <si>
    <t>Bacon Academy</t>
  </si>
  <si>
    <t>Colchester</t>
  </si>
  <si>
    <t>Brookside Christian (Stockton)</t>
  </si>
  <si>
    <t>915 Rosemarie Ln, Stockton, CA 95207, USA</t>
  </si>
  <si>
    <t>Coventry High School</t>
  </si>
  <si>
    <t>Coventry</t>
  </si>
  <si>
    <t>Cromwell High School</t>
  </si>
  <si>
    <t>Cromwell</t>
  </si>
  <si>
    <t>Rugby</t>
  </si>
  <si>
    <t xml:space="preserve"> Rugby</t>
  </si>
  <si>
    <t>108 2nd St NE, Rugby, ND 58368, USA</t>
  </si>
  <si>
    <t>Danbury High School</t>
  </si>
  <si>
    <t>Danbury</t>
  </si>
  <si>
    <t>Quinebaug Middle College</t>
  </si>
  <si>
    <t>Danielson</t>
  </si>
  <si>
    <t>Marlboro</t>
  </si>
  <si>
    <t xml:space="preserve"> Morganville</t>
  </si>
  <si>
    <t>Darien High School</t>
  </si>
  <si>
    <t>Darien</t>
  </si>
  <si>
    <t>3 Quoque Ct, Morganville, NJ 07751, USA</t>
  </si>
  <si>
    <t>Killingly High School</t>
  </si>
  <si>
    <t>Dayville</t>
  </si>
  <si>
    <t>Valley Regional High School</t>
  </si>
  <si>
    <t>Apex Friendship (Apex)</t>
  </si>
  <si>
    <t>Deep River</t>
  </si>
  <si>
    <t xml:space="preserve"> Apex</t>
  </si>
  <si>
    <t>7801 Humie Olive Rd, Apex, NC 27502, USA</t>
  </si>
  <si>
    <t>Derby High School</t>
  </si>
  <si>
    <t>Derby</t>
  </si>
  <si>
    <t>Coginchaug Regional High School</t>
  </si>
  <si>
    <t>Riverdale Baptist (Upper Marlboro)</t>
  </si>
  <si>
    <t>East Granby High School</t>
  </si>
  <si>
    <t>1133 Largo Rd, Upper Marlboro, MD 20774, USA</t>
  </si>
  <si>
    <t>East Granby</t>
  </si>
  <si>
    <t>East Hampton High School</t>
  </si>
  <si>
    <t>East Hampton</t>
  </si>
  <si>
    <t>Leedey</t>
  </si>
  <si>
    <t xml:space="preserve"> Leedey</t>
  </si>
  <si>
    <t>Alton, IL</t>
  </si>
  <si>
    <t>8501 OK-34, Leedey, OK 73654, USA</t>
  </si>
  <si>
    <t>Connecticut Ib Academy</t>
  </si>
  <si>
    <t>East Hartford</t>
  </si>
  <si>
    <t>Connecticut River Academy</t>
  </si>
  <si>
    <t>Orem</t>
  </si>
  <si>
    <t xml:space="preserve"> Orem</t>
  </si>
  <si>
    <t>15 US-89, Orem, UT 84058, USA</t>
  </si>
  <si>
    <t>East Hartford High School</t>
  </si>
  <si>
    <t>Pathways Academy Of Technology And Design</t>
  </si>
  <si>
    <t>South Oak Cliff (Dallas)</t>
  </si>
  <si>
    <t>East Haven High School</t>
  </si>
  <si>
    <t>East Haven</t>
  </si>
  <si>
    <t>3601 S Marsalis Ave, Dallas, TX 75216, USA</t>
  </si>
  <si>
    <t>East Lyme High School</t>
  </si>
  <si>
    <t>East Lyme</t>
  </si>
  <si>
    <t>East Windsor High School</t>
  </si>
  <si>
    <t>Hays</t>
  </si>
  <si>
    <t>East Windsor</t>
  </si>
  <si>
    <t xml:space="preserve"> Hays</t>
  </si>
  <si>
    <t>109 W 19th St, Hays, KS 67601, USA</t>
  </si>
  <si>
    <t>Ellington High School</t>
  </si>
  <si>
    <t>Ellington</t>
  </si>
  <si>
    <t>Enfield High School</t>
  </si>
  <si>
    <t>Enfield</t>
  </si>
  <si>
    <t>The Villages Charter (The Villages)</t>
  </si>
  <si>
    <t xml:space="preserve"> The Villages</t>
  </si>
  <si>
    <t>Psa Civic Leadership High School</t>
  </si>
  <si>
    <t>450 Village Campus Cir, The Villages, FL 32162, USA</t>
  </si>
  <si>
    <t>Fairfield Ludlowe High School</t>
  </si>
  <si>
    <t>Hough (Cornelius)</t>
  </si>
  <si>
    <t>Fairfield Warde High School</t>
  </si>
  <si>
    <t xml:space="preserve"> Cornelius</t>
  </si>
  <si>
    <t>12420 Bailey Rd, Cornelius, NC 28031, USA</t>
  </si>
  <si>
    <t>Housatonic Valley Regional High School</t>
  </si>
  <si>
    <t>Falls Village</t>
  </si>
  <si>
    <t>Farmington High School</t>
  </si>
  <si>
    <t>Thornton Academy (Saco)</t>
  </si>
  <si>
    <t xml:space="preserve"> Saco</t>
  </si>
  <si>
    <t>Glastonbury High School</t>
  </si>
  <si>
    <t>Glastonbury</t>
  </si>
  <si>
    <t>438 Main St, Saco, ME 04072, USA</t>
  </si>
  <si>
    <t>Granby Memorial High School</t>
  </si>
  <si>
    <t>St. Anne's-Belfield (Charlottesville)</t>
  </si>
  <si>
    <t>Greenwich High School</t>
  </si>
  <si>
    <t xml:space="preserve"> Charlottesville</t>
  </si>
  <si>
    <t>Greenwich</t>
  </si>
  <si>
    <t>2132 Ivy Rd, Charlottesville, VA 22903, USA</t>
  </si>
  <si>
    <t>Griswold High School</t>
  </si>
  <si>
    <t>Griswold</t>
  </si>
  <si>
    <t>Marine Science Magnet High School Of Southeastern Connectic</t>
  </si>
  <si>
    <t>Groton</t>
  </si>
  <si>
    <t>Hiram</t>
  </si>
  <si>
    <t xml:space="preserve"> Hiram</t>
  </si>
  <si>
    <t>101 Beatty St, Hiram, GA 30141, USA</t>
  </si>
  <si>
    <t>Robert E. Fitch High School</t>
  </si>
  <si>
    <t>Guilford High School</t>
  </si>
  <si>
    <t>Guilford</t>
  </si>
  <si>
    <t>Osceola (Kissimmee)</t>
  </si>
  <si>
    <t>Hamden High School</t>
  </si>
  <si>
    <t>Robards Number Four Heliport, Kissimmee, FL 34746, USA</t>
  </si>
  <si>
    <t>Hamden</t>
  </si>
  <si>
    <t>Bulkeley High School</t>
  </si>
  <si>
    <t>Charlevoix</t>
  </si>
  <si>
    <t>Capital Community College Magnet Academy</t>
  </si>
  <si>
    <t xml:space="preserve"> Charlevoix</t>
  </si>
  <si>
    <t>111 Bridge Park Dr, Charlevoix, MI 49720, USA</t>
  </si>
  <si>
    <t>Classical Magnet School</t>
  </si>
  <si>
    <t>Culinary Arts Academy At Weaver High School</t>
  </si>
  <si>
    <t xml:space="preserve"> Warner Robins</t>
  </si>
  <si>
    <t>Greater Hartford Academy Of  The Arts High School - Full Ti</t>
  </si>
  <si>
    <t>205 S Pleasant Hill Rd, Warner Robins, GA 31088, USA</t>
  </si>
  <si>
    <t>Hartford Magnet Trinity College Academy</t>
  </si>
  <si>
    <t>Creighton Prep (Omaha)</t>
  </si>
  <si>
    <t>High School Inc.</t>
  </si>
  <si>
    <t>7400 Western Ave, Omaha, NE 68114, USA</t>
  </si>
  <si>
    <t>HpHigh School Engineering And Green Technology Academy</t>
  </si>
  <si>
    <t>HpHigh School Law And Government Academy</t>
  </si>
  <si>
    <t>Red Oak</t>
  </si>
  <si>
    <t>HpHigh School Nursing And Health Sciences Academy</t>
  </si>
  <si>
    <t xml:space="preserve"> Red Oak</t>
  </si>
  <si>
    <t>Reese Dr, Red Oak, TX 75154, USA</t>
  </si>
  <si>
    <t>Journalism And Media Academy</t>
  </si>
  <si>
    <t>Sport And Medical Sciences Academy</t>
  </si>
  <si>
    <t>University High School Of Science And Engineering</t>
  </si>
  <si>
    <t>Freedom Christian Academy (Fayetteville)</t>
  </si>
  <si>
    <t>Morris, IL</t>
  </si>
  <si>
    <t>Rham High School</t>
  </si>
  <si>
    <t>3126 Gillespie St, Fayetteville, NC 28306, USA</t>
  </si>
  <si>
    <t>Hebron</t>
  </si>
  <si>
    <t>Haddam-Killingworth High School</t>
  </si>
  <si>
    <t>Higganum</t>
  </si>
  <si>
    <t>Wellington</t>
  </si>
  <si>
    <t xml:space="preserve"> Wellington</t>
  </si>
  <si>
    <t>Lyman Memorial High School</t>
  </si>
  <si>
    <t>Lebanon</t>
  </si>
  <si>
    <t>1397 Greenview Shores Blvd, Wellington, FL 33414, USA</t>
  </si>
  <si>
    <t>Ledyard High School</t>
  </si>
  <si>
    <t>Ledyard</t>
  </si>
  <si>
    <t>Litchfield High School</t>
  </si>
  <si>
    <t>Twin Bridges</t>
  </si>
  <si>
    <t>Litchfield</t>
  </si>
  <si>
    <t xml:space="preserve"> Twin Bridges</t>
  </si>
  <si>
    <t>104 W 4th Ave, Twin Bridges, MT 59754, USA</t>
  </si>
  <si>
    <t>Wamogo Regional High School</t>
  </si>
  <si>
    <t>Daniel Hand High School</t>
  </si>
  <si>
    <t>North Kansas City</t>
  </si>
  <si>
    <t xml:space="preserve"> North Kansas City</t>
  </si>
  <si>
    <t>Great Path Academy At Mcc</t>
  </si>
  <si>
    <t>2010 Howell St, North Kansas City, MO 64116, USA</t>
  </si>
  <si>
    <t>Manchester</t>
  </si>
  <si>
    <t>Manchester High School</t>
  </si>
  <si>
    <t>Wheeling Park (Wheeling)</t>
  </si>
  <si>
    <t>Francis T. Maloney High School</t>
  </si>
  <si>
    <t>Meriden</t>
  </si>
  <si>
    <t xml:space="preserve"> Wheeling</t>
  </si>
  <si>
    <t>Wheeling Park, 1801 National Rd, Wheeling, WV 26003, USA</t>
  </si>
  <si>
    <t>Orville H. Platt High School</t>
  </si>
  <si>
    <t>Gruver</t>
  </si>
  <si>
    <t xml:space="preserve"> Gruver</t>
  </si>
  <si>
    <t>401 Main St, Gruver, TX 79040, USA</t>
  </si>
  <si>
    <t>Jonathan Law High School</t>
  </si>
  <si>
    <t>Milford</t>
  </si>
  <si>
    <t>Joseph A. Foran High School</t>
  </si>
  <si>
    <t>Word of God Christian Academy (Raleigh)</t>
  </si>
  <si>
    <t>Masuk High School</t>
  </si>
  <si>
    <t>3000 Rock Quarry Rd, Raleigh, NC 27610, USA</t>
  </si>
  <si>
    <t>Nathan Hale-Ray High School</t>
  </si>
  <si>
    <t>Moodus</t>
  </si>
  <si>
    <t>Berwyn/Cicero Morton (Cicero)</t>
  </si>
  <si>
    <t xml:space="preserve"> Cicero</t>
  </si>
  <si>
    <t>Naugatuck High School</t>
  </si>
  <si>
    <t>Naugatuck</t>
  </si>
  <si>
    <t>2440 S 59th Ct, Cicero, IL 60804, USA</t>
  </si>
  <si>
    <t>Academy Of Science And Innovation</t>
  </si>
  <si>
    <t>Hamilton, OH</t>
  </si>
  <si>
    <t>New Britain</t>
  </si>
  <si>
    <t>St. Patrick (Chicago)</t>
  </si>
  <si>
    <t>New Britain High School</t>
  </si>
  <si>
    <t>5900 W Belmont Ave, Chicago, IL 60634, USA</t>
  </si>
  <si>
    <t>New Canaan High School</t>
  </si>
  <si>
    <t>New Canaan</t>
  </si>
  <si>
    <t>New Fairfield High School</t>
  </si>
  <si>
    <t>New Fairfield</t>
  </si>
  <si>
    <t>Bountiful</t>
  </si>
  <si>
    <t xml:space="preserve"> Bountiful</t>
  </si>
  <si>
    <t>Main St @ 1 N (Bountiful), Bountiful, UT 84010, USA</t>
  </si>
  <si>
    <t>Common Ground High School</t>
  </si>
  <si>
    <t>Cooperative High School - Inter-District Magnet</t>
  </si>
  <si>
    <t>Spain Park (Hoover)</t>
  </si>
  <si>
    <t>High School In The Community</t>
  </si>
  <si>
    <t>4700 Valleydale Rd, Birmingham, AL 35242, USA</t>
  </si>
  <si>
    <t>Hill Regional Career High School</t>
  </si>
  <si>
    <t>James Hillhouse High School</t>
  </si>
  <si>
    <t>Clint</t>
  </si>
  <si>
    <t xml:space="preserve"> Clint</t>
  </si>
  <si>
    <t>813 FM1110, Clint, TX 79836, USA</t>
  </si>
  <si>
    <t>Metropolitan Business Academy</t>
  </si>
  <si>
    <t>New Haven Academy</t>
  </si>
  <si>
    <t xml:space="preserve"> Prescott</t>
  </si>
  <si>
    <t>Sound School</t>
  </si>
  <si>
    <t>w11598 US-10, Prescott, WI 54021, USA</t>
  </si>
  <si>
    <t>Wilbur Cross High School</t>
  </si>
  <si>
    <t>Choctawhatchee (Fort Walton Beach)</t>
  </si>
  <si>
    <t xml:space="preserve"> Fort Walton Beach</t>
  </si>
  <si>
    <t>New London High School</t>
  </si>
  <si>
    <t>New London</t>
  </si>
  <si>
    <t>110 Racetrack Rd NW, Fort Walton Beach, FL 32547, USA</t>
  </si>
  <si>
    <t>Science And Technology Magnet School Of Southeastern Connec</t>
  </si>
  <si>
    <t>New Milford High School</t>
  </si>
  <si>
    <t>New Milford</t>
  </si>
  <si>
    <t>Hackensack</t>
  </si>
  <si>
    <t xml:space="preserve"> Hackensack</t>
  </si>
  <si>
    <t>Newington High School</t>
  </si>
  <si>
    <t>236 State St, Hackensack, NJ 07601, USA</t>
  </si>
  <si>
    <t>Newington</t>
  </si>
  <si>
    <t>North Branford High School</t>
  </si>
  <si>
    <t>North Branford</t>
  </si>
  <si>
    <t>Tourtellotte Memorial High School</t>
  </si>
  <si>
    <t>Fishkill, NY</t>
  </si>
  <si>
    <t>Brush (Lyndhurst)</t>
  </si>
  <si>
    <t>North Grosvenordale</t>
  </si>
  <si>
    <t xml:space="preserve"> Lyndhurst</t>
  </si>
  <si>
    <t>4875 Glenlyn Rd, Lyndhurst, OH 44124, USA</t>
  </si>
  <si>
    <t>North Haven High School</t>
  </si>
  <si>
    <t>North Haven</t>
  </si>
  <si>
    <t>Wheeler High School</t>
  </si>
  <si>
    <t>North Stonington</t>
  </si>
  <si>
    <t>Brien Mcmahon High School</t>
  </si>
  <si>
    <t xml:space="preserve"> San Marcos</t>
  </si>
  <si>
    <t>298 Pico Ave, San Marcos, CA 92069, USA</t>
  </si>
  <si>
    <t>Center For Global Studies</t>
  </si>
  <si>
    <t>Norwich Free Academy</t>
  </si>
  <si>
    <t>Menchville (Newport News)</t>
  </si>
  <si>
    <t xml:space="preserve"> Newport News</t>
  </si>
  <si>
    <t>Three Rivers Middle College Magnet School</t>
  </si>
  <si>
    <t>364 Old Menchville Rd, Newport News, VA 23602, USA</t>
  </si>
  <si>
    <t>Montville High School</t>
  </si>
  <si>
    <t>Lyme-Old Lyme High School</t>
  </si>
  <si>
    <t>Old Lyme</t>
  </si>
  <si>
    <t>Lincoln Charter (Denver)</t>
  </si>
  <si>
    <t>Old Saybrook Senior High School</t>
  </si>
  <si>
    <t xml:space="preserve"> Denver</t>
  </si>
  <si>
    <t>Old Saybrook</t>
  </si>
  <si>
    <t>7834 Galway Ln, Denver, NC 28037, USA</t>
  </si>
  <si>
    <t>Stonington High School</t>
  </si>
  <si>
    <t>Pawcatuck</t>
  </si>
  <si>
    <t>Beulah</t>
  </si>
  <si>
    <t xml:space="preserve"> Beulah</t>
  </si>
  <si>
    <t>109 Main St W, Beulah, ND 58523, USA</t>
  </si>
  <si>
    <t>Plainville High School</t>
  </si>
  <si>
    <t>Plainville</t>
  </si>
  <si>
    <t>Portland High School</t>
  </si>
  <si>
    <t>Portland</t>
  </si>
  <si>
    <t>Nevada (Rosston)</t>
  </si>
  <si>
    <t>Putnam High School</t>
  </si>
  <si>
    <t>Putnam</t>
  </si>
  <si>
    <t xml:space="preserve"> Rosston</t>
  </si>
  <si>
    <t>5410 US-278, Rosston, AR 71858, USA</t>
  </si>
  <si>
    <t>Joel Barlow High School</t>
  </si>
  <si>
    <t>Ridgefield High School</t>
  </si>
  <si>
    <t>Ridgefield</t>
  </si>
  <si>
    <t>North Bend Central (North Bend)</t>
  </si>
  <si>
    <t xml:space="preserve"> North Bend</t>
  </si>
  <si>
    <t>1320 Walnut St, North Bend, NE 68649, USA</t>
  </si>
  <si>
    <t>Rocky Hill High School</t>
  </si>
  <si>
    <t>Rocky Hill</t>
  </si>
  <si>
    <t>Newtown High School</t>
  </si>
  <si>
    <t>Sandy Hook</t>
  </si>
  <si>
    <t>South Oldham (Crestwood)</t>
  </si>
  <si>
    <t>Seymour High School</t>
  </si>
  <si>
    <t xml:space="preserve"> Crestwood</t>
  </si>
  <si>
    <t>Humble, TX</t>
  </si>
  <si>
    <t>5901 Veterans Memorial Pkwy, Crestwood, KY 40014, USA</t>
  </si>
  <si>
    <t>Shelton High School</t>
  </si>
  <si>
    <t>Shelton</t>
  </si>
  <si>
    <t>Simsbury High School</t>
  </si>
  <si>
    <t>Simsbury</t>
  </si>
  <si>
    <t>Elder (Cincinnati)</t>
  </si>
  <si>
    <t>Somers High School</t>
  </si>
  <si>
    <t>Somers</t>
  </si>
  <si>
    <t>1801 Race St, Cincinnati, OH 45202, USA</t>
  </si>
  <si>
    <t>South Windsor High School</t>
  </si>
  <si>
    <t>South Windsor</t>
  </si>
  <si>
    <t>Pomperaug Regional High School</t>
  </si>
  <si>
    <t>Southbury</t>
  </si>
  <si>
    <t>Southington High School</t>
  </si>
  <si>
    <t>Southington</t>
  </si>
  <si>
    <t>3 N Cass Ave, Springfield, MN 56087, USA</t>
  </si>
  <si>
    <t>Stafford High School</t>
  </si>
  <si>
    <t>Stafford Springs</t>
  </si>
  <si>
    <t>Gilman (Baltimore)</t>
  </si>
  <si>
    <t>Stamford Academy</t>
  </si>
  <si>
    <t>Stamford</t>
  </si>
  <si>
    <t>5407 Roland Ave, Baltimore, MD 21210, USA</t>
  </si>
  <si>
    <t>Stamford High School</t>
  </si>
  <si>
    <t>The Academy Of Information Technology</t>
  </si>
  <si>
    <t>Warren Central (Bowling Green)</t>
  </si>
  <si>
    <t xml:space="preserve"> Bowling Green</t>
  </si>
  <si>
    <t>Westhill High School</t>
  </si>
  <si>
    <t>559 Morgantown Rd, Bowling Green, KY 42101, USA</t>
  </si>
  <si>
    <t>E. O. Smith High School</t>
  </si>
  <si>
    <t>Storrs</t>
  </si>
  <si>
    <t>Norris (Firth)</t>
  </si>
  <si>
    <t>Bunnell High School</t>
  </si>
  <si>
    <t xml:space="preserve"> Firth</t>
  </si>
  <si>
    <t>25211 S 68th St, Firth, NE 68358, USA</t>
  </si>
  <si>
    <t>Stratford High School</t>
  </si>
  <si>
    <t>Terryville High School</t>
  </si>
  <si>
    <t>Terryville</t>
  </si>
  <si>
    <t>Central (Cape Girardeau)</t>
  </si>
  <si>
    <t>Thomaston High School</t>
  </si>
  <si>
    <t>8 S Silver Springs Rd, Cape Girardeau, MO 63703, USA</t>
  </si>
  <si>
    <t>Thomaston</t>
  </si>
  <si>
    <t>Tolland High School</t>
  </si>
  <si>
    <t>Tolland</t>
  </si>
  <si>
    <t>Paraclete (Lancaster)</t>
  </si>
  <si>
    <t>Torrington High School</t>
  </si>
  <si>
    <t>Torrington</t>
  </si>
  <si>
    <t>Montgomery, AL</t>
  </si>
  <si>
    <t>Trumbull High School</t>
  </si>
  <si>
    <t>Trumbull</t>
  </si>
  <si>
    <t>42145 30th St W, Lancaster, CA 93536, USA</t>
  </si>
  <si>
    <t>Rockville High School</t>
  </si>
  <si>
    <t>Vernon</t>
  </si>
  <si>
    <t>Lyman Hall High School</t>
  </si>
  <si>
    <t>Wallingford</t>
  </si>
  <si>
    <t>Mark T. Sheehan High School</t>
  </si>
  <si>
    <t>171 Egan Ave N, Madison, SD 57042, USA</t>
  </si>
  <si>
    <t>Shepaug Valley School</t>
  </si>
  <si>
    <t>Crosby High School</t>
  </si>
  <si>
    <t>Waterbury</t>
  </si>
  <si>
    <t>Northwest Catholic (West Hartford)</t>
  </si>
  <si>
    <t xml:space="preserve"> West Hartford</t>
  </si>
  <si>
    <t>29 Wampanoag Dr, West Hartford, CT 06117, USA</t>
  </si>
  <si>
    <t>Waterbury Arts Magnet School (High School)</t>
  </si>
  <si>
    <t>Choctaw</t>
  </si>
  <si>
    <t>Waterbury Career Academy</t>
  </si>
  <si>
    <t xml:space="preserve"> Choctaw</t>
  </si>
  <si>
    <t>Wal-Mart, 14185 MACK HARRINGTON DRIVE, Choctaw, OK 73020, USA</t>
  </si>
  <si>
    <t>Wilby High School</t>
  </si>
  <si>
    <t xml:space="preserve"> OK 73020</t>
  </si>
  <si>
    <t xml:space="preserve"> USA</t>
  </si>
  <si>
    <t>Bishop Hendricken (Warwick)</t>
  </si>
  <si>
    <t xml:space="preserve"> Warwick</t>
  </si>
  <si>
    <t>2615 Warwick Ave, Warwick, RI 02889, USA</t>
  </si>
  <si>
    <t>Watertown High School</t>
  </si>
  <si>
    <t>Watertown</t>
  </si>
  <si>
    <t>Conard High School</t>
  </si>
  <si>
    <t>West Hartford</t>
  </si>
  <si>
    <t xml:space="preserve"> Windsor</t>
  </si>
  <si>
    <t>148 Broad St, Windsor, CT 06095, USA</t>
  </si>
  <si>
    <t>Engineering - Science University Magnet School</t>
  </si>
  <si>
    <t>West Haven</t>
  </si>
  <si>
    <t>West Haven High School</t>
  </si>
  <si>
    <t>Benjamin Davis (Houston)</t>
  </si>
  <si>
    <t>Suffield High School</t>
  </si>
  <si>
    <t>12525 Ella Blvd, Houston, TX 77067, USA</t>
  </si>
  <si>
    <t>West Suffield</t>
  </si>
  <si>
    <t>Westbrook High School</t>
  </si>
  <si>
    <t>Westbrook</t>
  </si>
  <si>
    <t>Lincoln Christian (Lincoln)</t>
  </si>
  <si>
    <t>Weston High School</t>
  </si>
  <si>
    <t>5801 S 84th St, Lincoln, NE 68516, USA</t>
  </si>
  <si>
    <t>Staples High School</t>
  </si>
  <si>
    <t>Westport</t>
  </si>
  <si>
    <t>Wethersfield High School</t>
  </si>
  <si>
    <t>Cypress Creek (Houston)</t>
  </si>
  <si>
    <t>Wethersfield</t>
  </si>
  <si>
    <t>Morrisville, PA</t>
  </si>
  <si>
    <t>Arts At The Capitol Theater Magnet School (Act)</t>
  </si>
  <si>
    <t>Willimantic</t>
  </si>
  <si>
    <t>Windham High School</t>
  </si>
  <si>
    <t>Menlo School (Atherton)</t>
  </si>
  <si>
    <t>50 Valparaiso Ave, Atherton, CA 94027, USA</t>
  </si>
  <si>
    <t>Wilton High School</t>
  </si>
  <si>
    <t>Wilton</t>
  </si>
  <si>
    <t>Academy Of Aerospace And Engineering</t>
  </si>
  <si>
    <t>Marysville-Pilchuck (Marysville)</t>
  </si>
  <si>
    <t xml:space="preserve"> Marysville</t>
  </si>
  <si>
    <t>5611 108th St NE, Marysville, WA 98271, USA</t>
  </si>
  <si>
    <t>Windsor Locks High School</t>
  </si>
  <si>
    <t>Windsor Locks</t>
  </si>
  <si>
    <t>Explorations</t>
  </si>
  <si>
    <t>Lapwai</t>
  </si>
  <si>
    <t>Winsted</t>
  </si>
  <si>
    <t xml:space="preserve"> Lapwai</t>
  </si>
  <si>
    <t>102 S Main St, Lapwai, ID 83540, USA</t>
  </si>
  <si>
    <t>Northwestern Regional High School</t>
  </si>
  <si>
    <t>The Gilbert School</t>
  </si>
  <si>
    <t>Highland (Gilbert)</t>
  </si>
  <si>
    <t>Wolcott High School</t>
  </si>
  <si>
    <t>Wolcott</t>
  </si>
  <si>
    <t>4301 E Guadalupe Rd, Gilbert, AZ 85234, USA</t>
  </si>
  <si>
    <t>Amity Regional High School</t>
  </si>
  <si>
    <t>Woodbridge</t>
  </si>
  <si>
    <t>Steele (Cibolo)</t>
  </si>
  <si>
    <t xml:space="preserve"> Cibolo</t>
  </si>
  <si>
    <t>Nonnewaug High School</t>
  </si>
  <si>
    <t>Woodbury</t>
  </si>
  <si>
    <t>1300 FM1103, Cibolo, TX 78108, USA</t>
  </si>
  <si>
    <t>The Woodstock Academy</t>
  </si>
  <si>
    <t>Woodstock</t>
  </si>
  <si>
    <t>San Marcos (Santa Barbara)</t>
  </si>
  <si>
    <t xml:space="preserve"> Santa Barbara</t>
  </si>
  <si>
    <t>Caesar Rodney High School</t>
  </si>
  <si>
    <t>4750 Hollister Ave, Santa Barbara, CA 93110, USA</t>
  </si>
  <si>
    <t>Positive Outcomes Charter School</t>
  </si>
  <si>
    <t>Brandywine Site</t>
  </si>
  <si>
    <t>Claymont</t>
  </si>
  <si>
    <t>Asheville Christian Academy (Swannanoa)</t>
  </si>
  <si>
    <t xml:space="preserve"> Swannanoa</t>
  </si>
  <si>
    <t>74 Riverwood Rd, Swannanoa, NC 28778, USA</t>
  </si>
  <si>
    <t>First State Military Academy</t>
  </si>
  <si>
    <t>Indian River High School</t>
  </si>
  <si>
    <t>North Texas United (Mansfield)</t>
  </si>
  <si>
    <t>Dagsboro</t>
  </si>
  <si>
    <t>100 E Broad St, Mansfield, TX 76063, USA</t>
  </si>
  <si>
    <t>Delmar High School</t>
  </si>
  <si>
    <t>Delmar</t>
  </si>
  <si>
    <t>Sault Sainte Marie, MI</t>
  </si>
  <si>
    <t>Centennial (Frisco)</t>
  </si>
  <si>
    <t>Early College High School At Del State</t>
  </si>
  <si>
    <t>6901 Coit Rd, Frisco, TX 75035, USA</t>
  </si>
  <si>
    <t>Lake Forest High School</t>
  </si>
  <si>
    <t>West Stokes (King)</t>
  </si>
  <si>
    <t>Sussex Academy</t>
  </si>
  <si>
    <t xml:space="preserve"> King</t>
  </si>
  <si>
    <t>Georgetown</t>
  </si>
  <si>
    <t>1400 Priddy Rd, King, NC 27021, USA</t>
  </si>
  <si>
    <t>Sussex Central High School</t>
  </si>
  <si>
    <t>Los Altos (Hacienda Heights)</t>
  </si>
  <si>
    <t xml:space="preserve"> Hacienda Heights</t>
  </si>
  <si>
    <t>Laurel Senior High School</t>
  </si>
  <si>
    <t>15325 Los Robles Ave, Hacienda Heights, CA 91745, USA</t>
  </si>
  <si>
    <t>Laurel</t>
  </si>
  <si>
    <t>Cape Henlopen High School</t>
  </si>
  <si>
    <t>Lewes</t>
  </si>
  <si>
    <t>Appoquinimink High School</t>
  </si>
  <si>
    <t xml:space="preserve"> Los Alamitos</t>
  </si>
  <si>
    <t>Katella-Los Alamitos, Los Alamitos, CA 90720, USA</t>
  </si>
  <si>
    <t>Milford Senior High School</t>
  </si>
  <si>
    <t>Penn (William) High School</t>
  </si>
  <si>
    <t>Long Beach Poly (Long Beach)</t>
  </si>
  <si>
    <t>Christiana High School</t>
  </si>
  <si>
    <t>1600 Atlantic Ave, Long Beach, CA 90813, USA</t>
  </si>
  <si>
    <t>Design Thinking Academy</t>
  </si>
  <si>
    <t>Glasgow High School</t>
  </si>
  <si>
    <t>Oakridge (Arlington)</t>
  </si>
  <si>
    <t>5900 W Pioneer Pkwy, Arlington, TX 76013, USA</t>
  </si>
  <si>
    <t>Newark High School</t>
  </si>
  <si>
    <t>Seaford Senior High School</t>
  </si>
  <si>
    <t>Seaford</t>
  </si>
  <si>
    <t>Westbury Christian (Houston)</t>
  </si>
  <si>
    <t>Smyrna High School</t>
  </si>
  <si>
    <t>Smyrna</t>
  </si>
  <si>
    <t>10424 Hillcroft St, Houston, TX 77096, USA</t>
  </si>
  <si>
    <t>Brandywine High School</t>
  </si>
  <si>
    <t>Garber</t>
  </si>
  <si>
    <t xml:space="preserve"> Garber</t>
  </si>
  <si>
    <t>Cochran, GA</t>
  </si>
  <si>
    <t>Calloway (Cab) School Of The Arts</t>
  </si>
  <si>
    <t>501 Cheyenne St, Garber, OK 73738, USA</t>
  </si>
  <si>
    <t>Charter School Of Wilmington</t>
  </si>
  <si>
    <t>Tupelo</t>
  </si>
  <si>
    <t xml:space="preserve"> Tupelo</t>
  </si>
  <si>
    <t>110 MS-6, Tupelo, MS 38801, USA</t>
  </si>
  <si>
    <t>Conrad Schools Of Science</t>
  </si>
  <si>
    <t>Delaware Military Academy</t>
  </si>
  <si>
    <t>Newport Harbor (Newport Beach)</t>
  </si>
  <si>
    <t xml:space="preserve"> Corona Del Mar</t>
  </si>
  <si>
    <t>1901 Bayside Dr, Corona Del Mar, CA 92625, USA</t>
  </si>
  <si>
    <t>Dickinson (John) High School</t>
  </si>
  <si>
    <t>Dupont (Alexis I.) High School</t>
  </si>
  <si>
    <t>Parkersburg South (Parkersburg)</t>
  </si>
  <si>
    <t xml:space="preserve"> Parkersburg</t>
  </si>
  <si>
    <t>2004 Blizzard Dr, Parkersburg, WV 26101, USA</t>
  </si>
  <si>
    <t>Freire Charter School</t>
  </si>
  <si>
    <t>Mckean (Thomas) High School</t>
  </si>
  <si>
    <t>River Falls</t>
  </si>
  <si>
    <t xml:space="preserve"> River Falls</t>
  </si>
  <si>
    <t>Mount Pleasant High School</t>
  </si>
  <si>
    <t>316 N Main St, River Falls, WI 54022, USA</t>
  </si>
  <si>
    <t>Anacostia High School</t>
  </si>
  <si>
    <t>Melrose</t>
  </si>
  <si>
    <t xml:space="preserve"> Melrose</t>
  </si>
  <si>
    <t>Ballou High School</t>
  </si>
  <si>
    <t>420 E Main St, Melrose, MN 56352, USA</t>
  </si>
  <si>
    <t>Basis Dc Pcs</t>
  </si>
  <si>
    <t>Rain (Mobile)</t>
  </si>
  <si>
    <t>Benjamin Banneker High School</t>
  </si>
  <si>
    <t>3125 Dauphin Island Pkwy, Mobile, AL 36605, USA</t>
  </si>
  <si>
    <t>Capital City Pcs - High School</t>
  </si>
  <si>
    <t>Cardozo Education Campus</t>
  </si>
  <si>
    <t>Pope John Paul II (Royersford)</t>
  </si>
  <si>
    <t>Cesar Chavez Pcs For Public Policy - Capitol Hill</t>
  </si>
  <si>
    <t xml:space="preserve"> Royersford</t>
  </si>
  <si>
    <t>181 Rittenhouse Rd, Royersford, PA 19468, USA</t>
  </si>
  <si>
    <t>Cesar Chavez Pcs For Public Policy - Parkside High School</t>
  </si>
  <si>
    <t>Columbia Heights Education Campus</t>
  </si>
  <si>
    <t>Timberville, VA</t>
  </si>
  <si>
    <t>Sacred Heart-Griffin (Springfield)</t>
  </si>
  <si>
    <t>1200 W Washington St, Springfield, IL 62702, USA</t>
  </si>
  <si>
    <t>Duke Ellington School Of The Arts</t>
  </si>
  <si>
    <t>Dunbar High School</t>
  </si>
  <si>
    <t>Western Albemarle (Crozet)</t>
  </si>
  <si>
    <t>E.L. Haynes Pcs - High School</t>
  </si>
  <si>
    <t xml:space="preserve"> Crozet</t>
  </si>
  <si>
    <t>5941 Rockfish Gap Turnpike, Crozet, VA 22932, USA</t>
  </si>
  <si>
    <t>Eastern High School</t>
  </si>
  <si>
    <t>Friendship Pcs - Collegiate Academy</t>
  </si>
  <si>
    <t>Oostburg</t>
  </si>
  <si>
    <t xml:space="preserve"> Oostburg</t>
  </si>
  <si>
    <t>10 S 8th St, Oostburg, WI 53070, USA</t>
  </si>
  <si>
    <t>Friendship Pcs - Technology Preparatory High School</t>
  </si>
  <si>
    <t>Goodwill Excel Center Pcs</t>
  </si>
  <si>
    <t>H.D. Woodson High School</t>
  </si>
  <si>
    <t>Huntingdon</t>
  </si>
  <si>
    <t xml:space="preserve"> Huntingdon</t>
  </si>
  <si>
    <t>Ungindon,madamcash, Huntingdon, PA 16652, USA</t>
  </si>
  <si>
    <t>Idea Pcs</t>
  </si>
  <si>
    <t>Kingsman Academy Pcs</t>
  </si>
  <si>
    <t>Waunakee</t>
  </si>
  <si>
    <t>Kipp Dc - College Preparatory Academy Pcs</t>
  </si>
  <si>
    <t xml:space="preserve"> Waunakee</t>
  </si>
  <si>
    <t>115b W Main St, Waunakee, WI 53597, USA</t>
  </si>
  <si>
    <t>Mckinley Technology High School</t>
  </si>
  <si>
    <t>National Collegiate Preparatory PcHigh School</t>
  </si>
  <si>
    <t>Lakeville North (Lakeville)</t>
  </si>
  <si>
    <t>Paul Pcs - International High School</t>
  </si>
  <si>
    <t>19600 Ipava Ave, Lakeville, MN 55044, USA</t>
  </si>
  <si>
    <t>Phelps Architecture Construction And Engineering High School</t>
  </si>
  <si>
    <t>Richard Wright Pcs For Journalism And Media Arts</t>
  </si>
  <si>
    <t>Mountain Pointe (Phoenix)</t>
  </si>
  <si>
    <t>4201 E Knox Rd, Phoenix, AZ 85044, USA</t>
  </si>
  <si>
    <t>School Without Walls High School</t>
  </si>
  <si>
    <t>Moorestown</t>
  </si>
  <si>
    <t>Seed Pcs Of Washington Dc</t>
  </si>
  <si>
    <t xml:space="preserve"> Moorestown</t>
  </si>
  <si>
    <t>19 E Central Ave, Moorestown, NJ 08057, USA</t>
  </si>
  <si>
    <t>Powder Springs, GA</t>
  </si>
  <si>
    <t>Somerset Preparatory Academy Pcs</t>
  </si>
  <si>
    <t>Thurgood Marshall Academy Pcs</t>
  </si>
  <si>
    <t>1117 State St, Santa Barbara, CA 93101, USA</t>
  </si>
  <si>
    <t>Washington Latin Pcs - Upper School</t>
  </si>
  <si>
    <t>Woodrow Wilson High School</t>
  </si>
  <si>
    <t>Dawson County (Dawsonville)</t>
  </si>
  <si>
    <t>Alachua</t>
  </si>
  <si>
    <t xml:space="preserve"> Dawsonville</t>
  </si>
  <si>
    <t>31 Main St, Dawsonville, GA 30534, USA</t>
  </si>
  <si>
    <t>Lake Brantley High School</t>
  </si>
  <si>
    <t>Altamonte Springs</t>
  </si>
  <si>
    <t>Apopka High School</t>
  </si>
  <si>
    <t>Wekiva High School</t>
  </si>
  <si>
    <t>Desoto County High School</t>
  </si>
  <si>
    <t>Auburndale Senior High School</t>
  </si>
  <si>
    <t>Auburndale</t>
  </si>
  <si>
    <t>Avon Park High School</t>
  </si>
  <si>
    <t>Avon Park</t>
  </si>
  <si>
    <t>Baldwin Middle-Senior High School</t>
  </si>
  <si>
    <t>Baldwin</t>
  </si>
  <si>
    <t>Bartow Senior High School</t>
  </si>
  <si>
    <t>Bell High School</t>
  </si>
  <si>
    <t>State Name [Private School] Latest available year</t>
  </si>
  <si>
    <t>Mailing City [Private School] 2018-19</t>
  </si>
  <si>
    <t>Glades Central High School</t>
  </si>
  <si>
    <t>Belle Glade</t>
  </si>
  <si>
    <t>Acts Academy</t>
  </si>
  <si>
    <t>Cornerstone Charter Academy High School</t>
  </si>
  <si>
    <t>Belle Isle</t>
  </si>
  <si>
    <t>Arlington School</t>
  </si>
  <si>
    <t>Belleview High School</t>
  </si>
  <si>
    <t>Belleview</t>
  </si>
  <si>
    <t>Autauga Academy</t>
  </si>
  <si>
    <t>Blountstown High School</t>
  </si>
  <si>
    <t>Blountstown</t>
  </si>
  <si>
    <t>Bayside Academy</t>
  </si>
  <si>
    <t>Boca Raton Community High School</t>
  </si>
  <si>
    <t>Evans, GA</t>
  </si>
  <si>
    <t>Olympic Heights Community High School</t>
  </si>
  <si>
    <t>Spanish River Community High School</t>
  </si>
  <si>
    <t>Chambers Academy</t>
  </si>
  <si>
    <t>West Boca Raton High School</t>
  </si>
  <si>
    <t>Coosa Valley Academy</t>
  </si>
  <si>
    <t>Harpersville</t>
  </si>
  <si>
    <t>Holmes County High School</t>
  </si>
  <si>
    <t>Bonifay</t>
  </si>
  <si>
    <t>Cornerstone Middle High School</t>
  </si>
  <si>
    <t>Bonita Springs High School</t>
  </si>
  <si>
    <t>Bonita Springs</t>
  </si>
  <si>
    <t>Cornerstone Schools Of Alabama</t>
  </si>
  <si>
    <t>Boynton Beach Community High School</t>
  </si>
  <si>
    <t>Boynton Beach</t>
  </si>
  <si>
    <t>Edgewood Academy</t>
  </si>
  <si>
    <t>Elmore</t>
  </si>
  <si>
    <t>Somerset Academy Canyons High School</t>
  </si>
  <si>
    <t>Fort Dale Academy</t>
  </si>
  <si>
    <t>South Tech Academy</t>
  </si>
  <si>
    <t>Glenwood School</t>
  </si>
  <si>
    <t>Bayshore High School</t>
  </si>
  <si>
    <t>Hooper Academy</t>
  </si>
  <si>
    <t>Hope Hull</t>
  </si>
  <si>
    <t>Braden River High School</t>
  </si>
  <si>
    <t>Houston Academy</t>
  </si>
  <si>
    <t>Lakewood Ranch High School</t>
  </si>
  <si>
    <t>Indian Springs School</t>
  </si>
  <si>
    <t>Indian Springs</t>
  </si>
  <si>
    <t>Manatee High School</t>
  </si>
  <si>
    <t>John T Morgan Academy</t>
  </si>
  <si>
    <t>Southeast High School</t>
  </si>
  <si>
    <t>Lee-Scott Academy</t>
  </si>
  <si>
    <t>State College Of Florida Collegiate School</t>
  </si>
  <si>
    <t>Lowndes Academy</t>
  </si>
  <si>
    <t>Lowndesboro</t>
  </si>
  <si>
    <t>Brandon High School</t>
  </si>
  <si>
    <t>Brandon</t>
  </si>
  <si>
    <t>Macon East Academy</t>
  </si>
  <si>
    <t>Cecil</t>
  </si>
  <si>
    <t>Marengo Academy High School</t>
  </si>
  <si>
    <t>Liberty County High School</t>
  </si>
  <si>
    <t>Marion Academy</t>
  </si>
  <si>
    <t>Monroe Academy</t>
  </si>
  <si>
    <t>Bronson Middle/High School</t>
  </si>
  <si>
    <t>Bronson</t>
  </si>
  <si>
    <t>Rancho Cucamonga, CA</t>
  </si>
  <si>
    <t>Patrician Academy</t>
  </si>
  <si>
    <t>Brooksville</t>
  </si>
  <si>
    <t>Pickens Academy</t>
  </si>
  <si>
    <t>Hernando High School</t>
  </si>
  <si>
    <t>Randolph School</t>
  </si>
  <si>
    <t>Nature Coast Technical High School</t>
  </si>
  <si>
    <t>Restoration Academy</t>
  </si>
  <si>
    <t>South Sumter High School</t>
  </si>
  <si>
    <t>Bushnell</t>
  </si>
  <si>
    <t>West Nassau County High School</t>
  </si>
  <si>
    <t>Callahan</t>
  </si>
  <si>
    <t>South Choctaw Academy</t>
  </si>
  <si>
    <t>Toxey</t>
  </si>
  <si>
    <t>J. M. Tate Senior High School</t>
  </si>
  <si>
    <t>Cantonment</t>
  </si>
  <si>
    <t>Southern Academy</t>
  </si>
  <si>
    <t>Cape Coral High School</t>
  </si>
  <si>
    <t>Cape Coral</t>
  </si>
  <si>
    <t>Sparta Academy</t>
  </si>
  <si>
    <t>Ida S. Baker High School</t>
  </si>
  <si>
    <t>Springwood School</t>
  </si>
  <si>
    <t>Island Coast High School</t>
  </si>
  <si>
    <t>St Bernard Preparatory School</t>
  </si>
  <si>
    <t>Mariner High School</t>
  </si>
  <si>
    <t>St Johns Deliverence School Of Tomorrow</t>
  </si>
  <si>
    <t>Oasis Charter High School</t>
  </si>
  <si>
    <t>The Altamont School</t>
  </si>
  <si>
    <t>Celebration High School</t>
  </si>
  <si>
    <t>Celebration</t>
  </si>
  <si>
    <t>The Capitol School</t>
  </si>
  <si>
    <t>Century</t>
  </si>
  <si>
    <t>The Donoho School</t>
  </si>
  <si>
    <t>Chiefland Middle High School</t>
  </si>
  <si>
    <t>Chiefland</t>
  </si>
  <si>
    <t>The Jackson Academy</t>
  </si>
  <si>
    <t>Chipley High School</t>
  </si>
  <si>
    <t>Chipley</t>
  </si>
  <si>
    <t>The Lakeside School</t>
  </si>
  <si>
    <t>North Marion High School</t>
  </si>
  <si>
    <t>Citra</t>
  </si>
  <si>
    <t>Clearwater High School</t>
  </si>
  <si>
    <t>Tuscaloosa Academy</t>
  </si>
  <si>
    <t>Countryside High School</t>
  </si>
  <si>
    <t>Westminster School At Oak Mountain</t>
  </si>
  <si>
    <t>East Ridge High School</t>
  </si>
  <si>
    <t>Clermont</t>
  </si>
  <si>
    <t>Wilcox Academy</t>
  </si>
  <si>
    <t>North Miami Beach, FL</t>
  </si>
  <si>
    <t>Clewiston High School</t>
  </si>
  <si>
    <t>Clewiston</t>
  </si>
  <si>
    <t>Amazing Grace Academy</t>
  </si>
  <si>
    <t>Cocoa High School</t>
  </si>
  <si>
    <t>Cook Inlet Academy</t>
  </si>
  <si>
    <t>Space Coast Junior/Senior High School</t>
  </si>
  <si>
    <t>Holy Rosary Academy</t>
  </si>
  <si>
    <t>Living Word Academy</t>
  </si>
  <si>
    <t>Cocoa Beach Junior/Senior High School</t>
  </si>
  <si>
    <t>Cocoa Beach</t>
  </si>
  <si>
    <t>Brightmont Academy</t>
  </si>
  <si>
    <t>Coconut Creek High School</t>
  </si>
  <si>
    <t>Coconut Creek</t>
  </si>
  <si>
    <t>Brophy College Preparatory</t>
  </si>
  <si>
    <t>Centennial Academy</t>
  </si>
  <si>
    <t>Cooper City High School</t>
  </si>
  <si>
    <t>Cooper City</t>
  </si>
  <si>
    <t>Green Fields School</t>
  </si>
  <si>
    <t>Coral Gables Senior High School</t>
  </si>
  <si>
    <t>Notre Dame Preparatory</t>
  </si>
  <si>
    <t>Oak Creek Ranch School</t>
  </si>
  <si>
    <t>International Studies Preparatory Academy</t>
  </si>
  <si>
    <t>West Sedona</t>
  </si>
  <si>
    <t>Phoenix Country Day School</t>
  </si>
  <si>
    <t>Coral Glades High School</t>
  </si>
  <si>
    <t>Paradise Valley</t>
  </si>
  <si>
    <t>Coral Springs</t>
  </si>
  <si>
    <t>San Miguel High School</t>
  </si>
  <si>
    <t>Coral Springs Charter School</t>
  </si>
  <si>
    <t>Sedona Sky Academy</t>
  </si>
  <si>
    <t>Rimrock</t>
  </si>
  <si>
    <t>Coral Springs High School</t>
  </si>
  <si>
    <t>Spring Ridge Academy</t>
  </si>
  <si>
    <t>St Marys High School</t>
  </si>
  <si>
    <t>J. P. Taravella High School</t>
  </si>
  <si>
    <t>St Michael Indian School</t>
  </si>
  <si>
    <t>Saint Michaels</t>
  </si>
  <si>
    <t>Cottondale High School</t>
  </si>
  <si>
    <t>The Gregory School</t>
  </si>
  <si>
    <t>Wakulla High School</t>
  </si>
  <si>
    <t>Crawfordville</t>
  </si>
  <si>
    <t>The Orme School</t>
  </si>
  <si>
    <t>Crescent City High School</t>
  </si>
  <si>
    <t>Dothan, AL</t>
  </si>
  <si>
    <t>Verde Valley School</t>
  </si>
  <si>
    <t>Crestview High School</t>
  </si>
  <si>
    <t>Xavier College Preparatory</t>
  </si>
  <si>
    <t>Crestview</t>
  </si>
  <si>
    <t>Abundant Life School</t>
  </si>
  <si>
    <t>Dixie County High School</t>
  </si>
  <si>
    <t>Cross City</t>
  </si>
  <si>
    <t>Calvary Academy</t>
  </si>
  <si>
    <t>Academy Of Environmental Science</t>
  </si>
  <si>
    <t>Crystal River</t>
  </si>
  <si>
    <t>Clear Spring School</t>
  </si>
  <si>
    <t>Crystal River High School</t>
  </si>
  <si>
    <t>Crowley's Ridge Academy</t>
  </si>
  <si>
    <t>Harding Academy</t>
  </si>
  <si>
    <t>Cutler Bay Senior High School</t>
  </si>
  <si>
    <t>Cutler Bay</t>
  </si>
  <si>
    <t>Lee Academy</t>
  </si>
  <si>
    <t>Pasco High School</t>
  </si>
  <si>
    <t>Dade City</t>
  </si>
  <si>
    <t>Marvell Academy</t>
  </si>
  <si>
    <t>Four Corners Upper School</t>
  </si>
  <si>
    <t>Davenport</t>
  </si>
  <si>
    <t>Mt St Mary Academy</t>
  </si>
  <si>
    <t>Ridge Community High School</t>
  </si>
  <si>
    <t>New Horizon Academy</t>
  </si>
  <si>
    <t>Ward</t>
  </si>
  <si>
    <t>College Academy At Broward College</t>
  </si>
  <si>
    <t>Davie</t>
  </si>
  <si>
    <t>Prism Education Center</t>
  </si>
  <si>
    <t>Nova High School</t>
  </si>
  <si>
    <t>Subiaco Academy</t>
  </si>
  <si>
    <t>Subiaco</t>
  </si>
  <si>
    <t>Acaciawood School</t>
  </si>
  <si>
    <t>Academy Of Our Lady Of Peace</t>
  </si>
  <si>
    <t>Mainland High School</t>
  </si>
  <si>
    <t>Daytona Beach</t>
  </si>
  <si>
    <t>Alpha And Omega Academy</t>
  </si>
  <si>
    <t>Seabreeze High School</t>
  </si>
  <si>
    <t>Alverno Heights Academy</t>
  </si>
  <si>
    <t>Sierra Madre</t>
  </si>
  <si>
    <t>Deerfield Beach High School</t>
  </si>
  <si>
    <t>Ambassador High School</t>
  </si>
  <si>
    <t>American University Preparatory School</t>
  </si>
  <si>
    <t>Walton High School</t>
  </si>
  <si>
    <t>East Meadow, NY</t>
  </si>
  <si>
    <t>Defuniak Springs</t>
  </si>
  <si>
    <t>Ananda Living Wisdom School</t>
  </si>
  <si>
    <t>Deland High School</t>
  </si>
  <si>
    <t>Deland</t>
  </si>
  <si>
    <t>Angela's Workshop</t>
  </si>
  <si>
    <t>Atlantic High School</t>
  </si>
  <si>
    <t>Delray Beach</t>
  </si>
  <si>
    <t>Applied Scholastics Online Academy</t>
  </si>
  <si>
    <t>Lake Mathews</t>
  </si>
  <si>
    <t>Deltona High School</t>
  </si>
  <si>
    <t>Deltona</t>
  </si>
  <si>
    <t>Aquinas High School</t>
  </si>
  <si>
    <t>Pine Ridge High School</t>
  </si>
  <si>
    <t>Archbishop Mitty High School</t>
  </si>
  <si>
    <t>Doral Academy Charter High School</t>
  </si>
  <si>
    <t>Doral</t>
  </si>
  <si>
    <t>Archbishop Riordan High School</t>
  </si>
  <si>
    <t>Doral Performing Arts &amp; Entertainment Academy</t>
  </si>
  <si>
    <t>Arete Preparatory Academy</t>
  </si>
  <si>
    <t>Downtown Doral Charter Upper School</t>
  </si>
  <si>
    <t>Armenian Mesrobian School</t>
  </si>
  <si>
    <t>Armona Union Academy</t>
  </si>
  <si>
    <t>Ronald W. Reagan/Doral Senior High School</t>
  </si>
  <si>
    <t>Armona</t>
  </si>
  <si>
    <t>Army &amp; Navy Academy</t>
  </si>
  <si>
    <t>School For Advanced Studies</t>
  </si>
  <si>
    <t>Arroyo Pacific Academy</t>
  </si>
  <si>
    <t>Strawberry Crest High School</t>
  </si>
  <si>
    <t>As-Safa Institute/As-Safa Academy</t>
  </si>
  <si>
    <t>Dunedin High School</t>
  </si>
  <si>
    <t>Dunedin</t>
  </si>
  <si>
    <t>Averroes High School</t>
  </si>
  <si>
    <t>Dunnellon High School</t>
  </si>
  <si>
    <t>Dunnellon</t>
  </si>
  <si>
    <t>Balboa School</t>
  </si>
  <si>
    <t>Lake Region High School</t>
  </si>
  <si>
    <t>Eagle Lake</t>
  </si>
  <si>
    <t>Basis Independent Silicon Valley</t>
  </si>
  <si>
    <t>Lemon Bay High School</t>
  </si>
  <si>
    <t>Bentley School</t>
  </si>
  <si>
    <t>Estero High School</t>
  </si>
  <si>
    <t>Estero</t>
  </si>
  <si>
    <t>Eustis High School</t>
  </si>
  <si>
    <t>Bishop Alemany High School</t>
  </si>
  <si>
    <t>Eustis</t>
  </si>
  <si>
    <t>Mission Hills</t>
  </si>
  <si>
    <t>Sussex, NJ</t>
  </si>
  <si>
    <t>Q.I. Roberts Jr. - Sr. High School</t>
  </si>
  <si>
    <t>Bishop Amat Memorial High School</t>
  </si>
  <si>
    <t>Florahome</t>
  </si>
  <si>
    <t>Bishop Conaty-Our Lady Of Loretto High School</t>
  </si>
  <si>
    <t>Miami Community Charter High School</t>
  </si>
  <si>
    <t>Florida City</t>
  </si>
  <si>
    <t>Bishop Garcia Diego High School</t>
  </si>
  <si>
    <t>Dillard  6-12</t>
  </si>
  <si>
    <t>Fort Lauderdale High School</t>
  </si>
  <si>
    <t>Bishop O Dowd High School</t>
  </si>
  <si>
    <t>Stranahan High School</t>
  </si>
  <si>
    <t>Brentwood School</t>
  </si>
  <si>
    <t>Fort Meade Middle/Senior High School</t>
  </si>
  <si>
    <t>Brethren Heritage School</t>
  </si>
  <si>
    <t>Fort Meade</t>
  </si>
  <si>
    <t>Cypress Lake High School</t>
  </si>
  <si>
    <t>Fort Myers</t>
  </si>
  <si>
    <t>Bright Academy</t>
  </si>
  <si>
    <t>La Habra Heights</t>
  </si>
  <si>
    <t>Brighton Hall</t>
  </si>
  <si>
    <t>Fort Myers High School</t>
  </si>
  <si>
    <t>Brighton Hall School</t>
  </si>
  <si>
    <t>Gateway Charter High School</t>
  </si>
  <si>
    <t>Cal Coast Academy</t>
  </si>
  <si>
    <t>Calexico Mission School</t>
  </si>
  <si>
    <t>South Fort Myers High School</t>
  </si>
  <si>
    <t>Calforina Crosspoint Academy</t>
  </si>
  <si>
    <t>Fort Pierce Central High School</t>
  </si>
  <si>
    <t>California Crosspoint High School</t>
  </si>
  <si>
    <t>Fort Pierce</t>
  </si>
  <si>
    <t>California University Fce</t>
  </si>
  <si>
    <t>Fort Pierce Westwood High School</t>
  </si>
  <si>
    <t>California University Fce High School</t>
  </si>
  <si>
    <t>Lincoln Park Academy</t>
  </si>
  <si>
    <t>Campbell Hall School</t>
  </si>
  <si>
    <t>Choctawhatchee Senior High School</t>
  </si>
  <si>
    <t>Fort Walton Beach</t>
  </si>
  <si>
    <t>Cantwell Sacred Heart Of Mary</t>
  </si>
  <si>
    <t>Fort Walton Beach High School</t>
  </si>
  <si>
    <t>Canyon View School</t>
  </si>
  <si>
    <t>Capital Innovations Academy</t>
  </si>
  <si>
    <t>Salem, OR</t>
  </si>
  <si>
    <t>Fort White High School</t>
  </si>
  <si>
    <t>Fort White</t>
  </si>
  <si>
    <t>Carnegie Schools Riverside</t>
  </si>
  <si>
    <t>Carondelet High School</t>
  </si>
  <si>
    <t>Freeport Senior High School</t>
  </si>
  <si>
    <t>Freeport</t>
  </si>
  <si>
    <t>Cate School</t>
  </si>
  <si>
    <t>Frostproof Middle/Senior High School</t>
  </si>
  <si>
    <t>Frostproof</t>
  </si>
  <si>
    <t>Chadwick School</t>
  </si>
  <si>
    <t>Palos Verdes Peninsula</t>
  </si>
  <si>
    <t>Florida Southwestern Collegiate High School</t>
  </si>
  <si>
    <t>Ft Myers</t>
  </si>
  <si>
    <t>Chaminade College Preparatory - High School</t>
  </si>
  <si>
    <t>Alachua Eschool (Virtual Franchise)</t>
  </si>
  <si>
    <t>Concordia Jr/Sr High School</t>
  </si>
  <si>
    <t>Convent &amp; Stuart Hall</t>
  </si>
  <si>
    <t>F. W. Buchholz High School</t>
  </si>
  <si>
    <t>Convent Of The Sacred Heart High School</t>
  </si>
  <si>
    <t>Gainesville High School</t>
  </si>
  <si>
    <t>Cornelia Connelly School</t>
  </si>
  <si>
    <t>East Bay High School</t>
  </si>
  <si>
    <t>Gibsonton</t>
  </si>
  <si>
    <t>Cornerstone Fellowship Academy</t>
  </si>
  <si>
    <t>Baker County Senior High School</t>
  </si>
  <si>
    <t>Country Day School</t>
  </si>
  <si>
    <t>Glen St Mary</t>
  </si>
  <si>
    <t>Crespi Carmelite High School</t>
  </si>
  <si>
    <t>Encino</t>
  </si>
  <si>
    <t>Arthur And Polly Mays Conservatory Of The Arts</t>
  </si>
  <si>
    <t>Goulds</t>
  </si>
  <si>
    <t>Cristo Rey High School</t>
  </si>
  <si>
    <t>Graceville High School</t>
  </si>
  <si>
    <t>Graceville</t>
  </si>
  <si>
    <t>Crossroads School For Arts &amp; Sciences</t>
  </si>
  <si>
    <t>Clay High School</t>
  </si>
  <si>
    <t>Green Cove Springs</t>
  </si>
  <si>
    <t>Crystal Springs Uplands School</t>
  </si>
  <si>
    <t>Hillsborough</t>
  </si>
  <si>
    <t>John I. Leonard High School</t>
  </si>
  <si>
    <t>Greenacres</t>
  </si>
  <si>
    <t>Damien High School</t>
  </si>
  <si>
    <t>South Lake High School</t>
  </si>
  <si>
    <t>De La Salle High School</t>
  </si>
  <si>
    <t>Gulf Breeze High School</t>
  </si>
  <si>
    <t>Gulf Breeze</t>
  </si>
  <si>
    <t>De Toldeo High School</t>
  </si>
  <si>
    <t>Boca Ciega High School</t>
  </si>
  <si>
    <t>Delphi Academy Of Los Angeles</t>
  </si>
  <si>
    <t>Lake View Terrace</t>
  </si>
  <si>
    <t>Haines City Senior High School</t>
  </si>
  <si>
    <t>Haines City</t>
  </si>
  <si>
    <t>Drew School</t>
  </si>
  <si>
    <t>Hallandale High School</t>
  </si>
  <si>
    <t>Hallandale Beach</t>
  </si>
  <si>
    <t>Dunn School</t>
  </si>
  <si>
    <t>Los Olivos</t>
  </si>
  <si>
    <t>Harmony High School</t>
  </si>
  <si>
    <t>Harmony</t>
  </si>
  <si>
    <t>Livermore, CA</t>
  </si>
  <si>
    <t>Eastside College Preparatory School</t>
  </si>
  <si>
    <t>Gadsden County High School</t>
  </si>
  <si>
    <t>El Dorado Emerson Private School</t>
  </si>
  <si>
    <t>Hawthorne Middle/High School</t>
  </si>
  <si>
    <t>Elite Open School</t>
  </si>
  <si>
    <t>American Senior High School</t>
  </si>
  <si>
    <t>Eureka School Of Santa Barbara</t>
  </si>
  <si>
    <t>City Of Hialeah Education Academy</t>
  </si>
  <si>
    <t>Excellence In Education Academy</t>
  </si>
  <si>
    <t>Hialeah Senior High School</t>
  </si>
  <si>
    <t>Excelsior School</t>
  </si>
  <si>
    <t>Hialeah-Miami Lakes Senior High School</t>
  </si>
  <si>
    <t>Fairmont Preparatory Academy</t>
  </si>
  <si>
    <t>Imater Preparatory Academy High School</t>
  </si>
  <si>
    <t>Fairmont Private Schools-Hac</t>
  </si>
  <si>
    <t>Jose Marti Mast 6-12 Academy</t>
  </si>
  <si>
    <t>Flintridge Preparatory School</t>
  </si>
  <si>
    <t>La Canada Flintridge</t>
  </si>
  <si>
    <t>Foothill Preparatory School</t>
  </si>
  <si>
    <t>Mater Academy Lakes High School</t>
  </si>
  <si>
    <t>Fusion Academy - Mission Viejo</t>
  </si>
  <si>
    <t>Westland Hialeah Senior High School</t>
  </si>
  <si>
    <t>Fusion Academy Hb: Huntington Beach</t>
  </si>
  <si>
    <t>Youth Co-Op Preparatory High School</t>
  </si>
  <si>
    <t>Fusion Academy San Francisco</t>
  </si>
  <si>
    <t>Hialeah Gardens Senior High School</t>
  </si>
  <si>
    <t>Fusion Academy Sb: South Bay</t>
  </si>
  <si>
    <t>Hermosa Beach</t>
  </si>
  <si>
    <t>Latin Builders Association Construction And Business Managem</t>
  </si>
  <si>
    <t>Fusion Academy Sf: San Francisco</t>
  </si>
  <si>
    <t>Mater Academy Charter High School</t>
  </si>
  <si>
    <t>Fusion Academy Slb: Solana Beach</t>
  </si>
  <si>
    <t>Mater Performing Arts &amp; Entertainment Academy</t>
  </si>
  <si>
    <t>Fusion Academy--Walnut Creek</t>
  </si>
  <si>
    <t>Hilliard Middle-Senior High School</t>
  </si>
  <si>
    <t>Anclote High School</t>
  </si>
  <si>
    <t>Garces Memorial High School</t>
  </si>
  <si>
    <t>Holiday</t>
  </si>
  <si>
    <t>Park Hill, OK</t>
  </si>
  <si>
    <t>Avant Garde Academy Of Broward</t>
  </si>
  <si>
    <t>Georgiana Bruce Kirby Preparatory School</t>
  </si>
  <si>
    <t>Hollywood Hills High School</t>
  </si>
  <si>
    <t>Global Learning Academies</t>
  </si>
  <si>
    <t>Newport Beach</t>
  </si>
  <si>
    <t>International School Of Broward</t>
  </si>
  <si>
    <t>Grace Brethren Jr Sr High School</t>
  </si>
  <si>
    <t>Mcarthur High School</t>
  </si>
  <si>
    <t>Halstom Academy</t>
  </si>
  <si>
    <t>Paragon Academy Of Technology</t>
  </si>
  <si>
    <t>Halstrom Academy</t>
  </si>
  <si>
    <t>South Broward High School</t>
  </si>
  <si>
    <t>Halstrom Academy - Walnut Creek</t>
  </si>
  <si>
    <t>Center For International Education A Cambridge Associate Sch</t>
  </si>
  <si>
    <t>Homestead</t>
  </si>
  <si>
    <t>Halstrom Academy - Westlake Village</t>
  </si>
  <si>
    <t>Everglades Preparatory Academy High School</t>
  </si>
  <si>
    <t>Halstrom Academy- Huntington Beach</t>
  </si>
  <si>
    <t>Homestead Senior High School</t>
  </si>
  <si>
    <t>Halstrom Academy-San Diego</t>
  </si>
  <si>
    <t>Keys Gate Charter High School</t>
  </si>
  <si>
    <t>Halstrom Academy-Woodland Hills</t>
  </si>
  <si>
    <t>Medical Academy For Science And Technology (M.A.S.T.) @ Home</t>
  </si>
  <si>
    <t>Halstrom Adademy-Anaheim Hills Campus</t>
  </si>
  <si>
    <t>School For Advanced Studies Homestead</t>
  </si>
  <si>
    <t>Harvard-Westlake</t>
  </si>
  <si>
    <t>Somerset Academy Charter High School</t>
  </si>
  <si>
    <t>Harvard-Westlake School</t>
  </si>
  <si>
    <t>Somerset Academy Charter High School (South Homestead)</t>
  </si>
  <si>
    <t>Head Royce School</t>
  </si>
  <si>
    <t>South Dade Senior High School</t>
  </si>
  <si>
    <t>High Bluff Academy</t>
  </si>
  <si>
    <t>Fivay High School</t>
  </si>
  <si>
    <t>Highland Hall Waldorf School</t>
  </si>
  <si>
    <t>Hudson High School</t>
  </si>
  <si>
    <t>Holden High School</t>
  </si>
  <si>
    <t>Immokalee High School</t>
  </si>
  <si>
    <t>Immokalee</t>
  </si>
  <si>
    <t>Horizon Prep</t>
  </si>
  <si>
    <t>Rancho Santa Fe</t>
  </si>
  <si>
    <t>Teen Parent Indiantown</t>
  </si>
  <si>
    <t>Indiantown</t>
  </si>
  <si>
    <t>Mandeville, LA</t>
  </si>
  <si>
    <t>Judson International School</t>
  </si>
  <si>
    <t>Interlachen High School</t>
  </si>
  <si>
    <t>Junipero Serra High School</t>
  </si>
  <si>
    <t>Interlachen</t>
  </si>
  <si>
    <t>Justin-Siena</t>
  </si>
  <si>
    <t>Citrus High School</t>
  </si>
  <si>
    <t>Inverness</t>
  </si>
  <si>
    <t>Kings Academy</t>
  </si>
  <si>
    <t>A. Philip Randolph Academyemies</t>
  </si>
  <si>
    <t>La Jolla Country Day School</t>
  </si>
  <si>
    <t>Andrew Jackson High School</t>
  </si>
  <si>
    <t>La Reina High School</t>
  </si>
  <si>
    <t>Atlantic Coast High School</t>
  </si>
  <si>
    <t>La Salle High School</t>
  </si>
  <si>
    <t>Darnell Cookman Middle/High School</t>
  </si>
  <si>
    <t>La Sierra Academy</t>
  </si>
  <si>
    <t>Douglas Anderson School Of The Arts</t>
  </si>
  <si>
    <t>Lambo Academy International</t>
  </si>
  <si>
    <t>Duval Charter High School At Baymeadows</t>
  </si>
  <si>
    <t>Legend College Preparatory</t>
  </si>
  <si>
    <t>Edward H. White High School</t>
  </si>
  <si>
    <t>Lick-Wilmerding High School</t>
  </si>
  <si>
    <t>First Coast High School</t>
  </si>
  <si>
    <t>Lindamood Bell Academy</t>
  </si>
  <si>
    <t>Frank H. Peterson Academyemies</t>
  </si>
  <si>
    <t>Lodi Academy</t>
  </si>
  <si>
    <t>Jean Ribault High School</t>
  </si>
  <si>
    <t>Loma Linda Academy</t>
  </si>
  <si>
    <t>Mandarin High School</t>
  </si>
  <si>
    <t>Louisville High School</t>
  </si>
  <si>
    <t>Paxon School/Advanced Studies</t>
  </si>
  <si>
    <t>Loyola High School</t>
  </si>
  <si>
    <t>River City Science Academy</t>
  </si>
  <si>
    <t>Maranatha High School</t>
  </si>
  <si>
    <t>Robert E. Lee High School</t>
  </si>
  <si>
    <t>Marin Academy</t>
  </si>
  <si>
    <t>Samuel W. Wolfson High School</t>
  </si>
  <si>
    <t>Dodge City, KS</t>
  </si>
  <si>
    <t>Marlborough School</t>
  </si>
  <si>
    <t>San Jose Preparatory High School</t>
  </si>
  <si>
    <t>Marymount High School Los Angeles</t>
  </si>
  <si>
    <t>Sandalwood High School</t>
  </si>
  <si>
    <t>Mater Dei High School</t>
  </si>
  <si>
    <t>Stanton College Preparatory</t>
  </si>
  <si>
    <t>Maybeck High School</t>
  </si>
  <si>
    <t>Terry Parker High School</t>
  </si>
  <si>
    <t>Mayfield Senior School</t>
  </si>
  <si>
    <t>William M. Raines High School</t>
  </si>
  <si>
    <t>Menlo School</t>
  </si>
  <si>
    <t>Hamilton County High School</t>
  </si>
  <si>
    <t>Mentoring Academy</t>
  </si>
  <si>
    <t>Jay High School</t>
  </si>
  <si>
    <t>Mercy High School</t>
  </si>
  <si>
    <t>Jay</t>
  </si>
  <si>
    <t>Jensen Beach High School</t>
  </si>
  <si>
    <t>Mercy High School San Francisco</t>
  </si>
  <si>
    <t>Jensen Beach</t>
  </si>
  <si>
    <t>Jupiter High School</t>
  </si>
  <si>
    <t>Jupiter</t>
  </si>
  <si>
    <t>Mesa Grande Academy</t>
  </si>
  <si>
    <t>Calimesa</t>
  </si>
  <si>
    <t>Dixie M. Hollins High School</t>
  </si>
  <si>
    <t>Kenneth City</t>
  </si>
  <si>
    <t>Mid-Peninsula High School</t>
  </si>
  <si>
    <t>Mast Academy</t>
  </si>
  <si>
    <t>Key Biscayne</t>
  </si>
  <si>
    <t>Milken Community  Schools</t>
  </si>
  <si>
    <t>Key West Collegiate School</t>
  </si>
  <si>
    <t>Key West</t>
  </si>
  <si>
    <t>Mission College Prep Hs</t>
  </si>
  <si>
    <t>Key West High School</t>
  </si>
  <si>
    <t>Monterey Bay Academy</t>
  </si>
  <si>
    <t>La Selva Beach</t>
  </si>
  <si>
    <t>Keystone Heights Junior/Senior High School</t>
  </si>
  <si>
    <t>Keystone Heights</t>
  </si>
  <si>
    <t>Mount</t>
  </si>
  <si>
    <t>Avant Garde Academy</t>
  </si>
  <si>
    <t>Mount Madonna School</t>
  </si>
  <si>
    <t>Mt Madonna</t>
  </si>
  <si>
    <t>Pleasant Grove, UT</t>
  </si>
  <si>
    <t>New Life Academy</t>
  </si>
  <si>
    <t>New Song School</t>
  </si>
  <si>
    <t>Neocity Academy</t>
  </si>
  <si>
    <t>Notre Dame High School</t>
  </si>
  <si>
    <t>Sherman Oaks</t>
  </si>
  <si>
    <t>New Dimensions High School</t>
  </si>
  <si>
    <t>Osceola County School For The Arts</t>
  </si>
  <si>
    <t>Poinciana High School</t>
  </si>
  <si>
    <t>Oak Grove School</t>
  </si>
  <si>
    <t>Sports Leadership And Management Academy  (Slam)</t>
  </si>
  <si>
    <t>Oakwood</t>
  </si>
  <si>
    <t>Tohopekaliga</t>
  </si>
  <si>
    <t>Oakwood Secondary School</t>
  </si>
  <si>
    <t>Trade Logistics Aviation Academy</t>
  </si>
  <si>
    <t>Ojai Valley School</t>
  </si>
  <si>
    <t>Labelle High School</t>
  </si>
  <si>
    <t>Labelle</t>
  </si>
  <si>
    <t>Orangewood Academy</t>
  </si>
  <si>
    <t>Orinda Academy</t>
  </si>
  <si>
    <t>Discovery High School</t>
  </si>
  <si>
    <t>Lake Alfred</t>
  </si>
  <si>
    <t>Union County High School</t>
  </si>
  <si>
    <t>Oxford School</t>
  </si>
  <si>
    <t>Lake Butler</t>
  </si>
  <si>
    <t>Pacific Academy</t>
  </si>
  <si>
    <t>North Florida Aviation Academy</t>
  </si>
  <si>
    <t>Lake Mary High School</t>
  </si>
  <si>
    <t>Lake Mary</t>
  </si>
  <si>
    <t>Pacific Ridge School</t>
  </si>
  <si>
    <t>Lake Placid High School</t>
  </si>
  <si>
    <t>Palm Valley School</t>
  </si>
  <si>
    <t>Lake Placid</t>
  </si>
  <si>
    <t>Palma School</t>
  </si>
  <si>
    <t>Lake Wales Senior High School</t>
  </si>
  <si>
    <t>Lake Wales</t>
  </si>
  <si>
    <t>Paraclete High School</t>
  </si>
  <si>
    <t>Lake Worth High School</t>
  </si>
  <si>
    <t>Lake Worth</t>
  </si>
  <si>
    <t>Pasadena Waldorf High School</t>
  </si>
  <si>
    <t>Park Vista Community High School</t>
  </si>
  <si>
    <t>Alta Dena</t>
  </si>
  <si>
    <t>Pilgrim School</t>
  </si>
  <si>
    <t>George W. Jenkins Senior High School</t>
  </si>
  <si>
    <t>Kathleen Senior High School</t>
  </si>
  <si>
    <t>Polytechnic School</t>
  </si>
  <si>
    <t>Lake Gibson Senior High School</t>
  </si>
  <si>
    <t>Principal</t>
  </si>
  <si>
    <t>Stevinson</t>
  </si>
  <si>
    <t>Milwaukee, WI</t>
  </si>
  <si>
    <t>Providence</t>
  </si>
  <si>
    <t>Lakeland Senior High School</t>
  </si>
  <si>
    <t>Mckeel Academy Of Technology</t>
  </si>
  <si>
    <t>Providence High School</t>
  </si>
  <si>
    <t>Polk State College Collegiate High School</t>
  </si>
  <si>
    <t>Ramona Convent Secondary School</t>
  </si>
  <si>
    <t>Tenoroc High School</t>
  </si>
  <si>
    <t>Land O' Lakes High School</t>
  </si>
  <si>
    <t>Renaissance Academy</t>
  </si>
  <si>
    <t>Land O Lakes</t>
  </si>
  <si>
    <t>Rolling Hills Preparatory School</t>
  </si>
  <si>
    <t>Sunlake High School</t>
  </si>
  <si>
    <t>Rosary Academy</t>
  </si>
  <si>
    <t>Palm Beach Maritime Academy High School</t>
  </si>
  <si>
    <t>Lantana</t>
  </si>
  <si>
    <t>Rose &amp; Alex Pilibos Armenian School</t>
  </si>
  <si>
    <t>Santaluces Community High School</t>
  </si>
  <si>
    <t>Sacramento Country Day School</t>
  </si>
  <si>
    <t>Largo High School</t>
  </si>
  <si>
    <t>Largo</t>
  </si>
  <si>
    <t>Sacred Heart High School</t>
  </si>
  <si>
    <t>Pinellas Park High School</t>
  </si>
  <si>
    <t>Sage Hill School</t>
  </si>
  <si>
    <t>Newport Coast</t>
  </si>
  <si>
    <t>Boyd H. Anderson High School</t>
  </si>
  <si>
    <t>Lauderdale Lakes</t>
  </si>
  <si>
    <t>Salesian High School</t>
  </si>
  <si>
    <t>Championship Academy Of Distinction High School</t>
  </si>
  <si>
    <t>San Diego Academy</t>
  </si>
  <si>
    <t>Lauderhill 6-12</t>
  </si>
  <si>
    <t>Lauderhill</t>
  </si>
  <si>
    <t>San Domenico School</t>
  </si>
  <si>
    <t>Piper High School</t>
  </si>
  <si>
    <t>San Francisco High School Of The Arts</t>
  </si>
  <si>
    <t>Lecanto High School</t>
  </si>
  <si>
    <t>Lecanto</t>
  </si>
  <si>
    <t>San Francisco University High School</t>
  </si>
  <si>
    <t>Leesburg High School</t>
  </si>
  <si>
    <t>Leesburg</t>
  </si>
  <si>
    <t>San Francisco Waldorf High School</t>
  </si>
  <si>
    <t>East Lee County High School</t>
  </si>
  <si>
    <t>San Gabriel Academy</t>
  </si>
  <si>
    <t>Lehigh Acres</t>
  </si>
  <si>
    <t>San Gabriel Mission High School</t>
  </si>
  <si>
    <t>LeHigh School Senior High School</t>
  </si>
  <si>
    <t>San Joaquin Memorial High School</t>
  </si>
  <si>
    <t>San Joaquin Memorial H</t>
  </si>
  <si>
    <t>Newsome High School</t>
  </si>
  <si>
    <t>Lithia</t>
  </si>
  <si>
    <t>Santa Catalina School</t>
  </si>
  <si>
    <t>Suwannee High School</t>
  </si>
  <si>
    <t>Semita School</t>
  </si>
  <si>
    <t>Lyman High School</t>
  </si>
  <si>
    <t>Longwood</t>
  </si>
  <si>
    <t>Servite High School</t>
  </si>
  <si>
    <t>Seminole Ridge Community High School</t>
  </si>
  <si>
    <t>Loxahatchee</t>
  </si>
  <si>
    <t>Sierra Elementary &amp; High School</t>
  </si>
  <si>
    <t>Steinbrenner High School</t>
  </si>
  <si>
    <t>Lutz</t>
  </si>
  <si>
    <t>South Hills Academy</t>
  </si>
  <si>
    <t>A. Crawford Mosley High School</t>
  </si>
  <si>
    <t>Lynn Haven</t>
  </si>
  <si>
    <t>Southwestern Academy</t>
  </si>
  <si>
    <t>James Madison Preparatory High School</t>
  </si>
  <si>
    <t>Spring Academy</t>
  </si>
  <si>
    <t>Squaw Valley Academy</t>
  </si>
  <si>
    <t>Olympic Valley</t>
  </si>
  <si>
    <t>Marathon School</t>
  </si>
  <si>
    <t>Marathon</t>
  </si>
  <si>
    <t>St Andrew's Academy</t>
  </si>
  <si>
    <t>Marco Island Academy</t>
  </si>
  <si>
    <t>St Anthony High School</t>
  </si>
  <si>
    <t>Marco Island</t>
  </si>
  <si>
    <t>Mc Connells, SC</t>
  </si>
  <si>
    <t>Marianna High School</t>
  </si>
  <si>
    <t>St Augustine High School</t>
  </si>
  <si>
    <t>Mayo</t>
  </si>
  <si>
    <t>St Bernard High School</t>
  </si>
  <si>
    <t>Playa Del Rey</t>
  </si>
  <si>
    <t>Eau Gallie High School</t>
  </si>
  <si>
    <t>St Bernards Academy</t>
  </si>
  <si>
    <t>Melbourne Senior High School</t>
  </si>
  <si>
    <t>St Francis High School</t>
  </si>
  <si>
    <t>Palm Bay Magnet Senior High School</t>
  </si>
  <si>
    <t>Westshore Junior/Senior High School</t>
  </si>
  <si>
    <t>St Francis High School Salesian College Prep</t>
  </si>
  <si>
    <t>Edgewood Jr/Sr High School</t>
  </si>
  <si>
    <t>Merritt Island</t>
  </si>
  <si>
    <t>St Ignatius College Preparatory</t>
  </si>
  <si>
    <t>Merritt Island High School</t>
  </si>
  <si>
    <t>Alonzo &amp; Tracy Mourning Senior High School</t>
  </si>
  <si>
    <t>St Joseph Academy</t>
  </si>
  <si>
    <t>Archimedean Upper Conservatory</t>
  </si>
  <si>
    <t>St Joseph High School</t>
  </si>
  <si>
    <t>Biotech@Richmond Heights 9-12 High School</t>
  </si>
  <si>
    <t>Booker T. Washington Senior High School</t>
  </si>
  <si>
    <t>St Lucys Priory High School</t>
  </si>
  <si>
    <t>Charter High School Of The Americas</t>
  </si>
  <si>
    <t>St Mary's Academy</t>
  </si>
  <si>
    <t>St Mary's College High School</t>
  </si>
  <si>
    <t>Coral Reef Senior High School</t>
  </si>
  <si>
    <t>St Mary's High School</t>
  </si>
  <si>
    <t>Design &amp; Architecture Senior High School</t>
  </si>
  <si>
    <t>St Michael's Academy</t>
  </si>
  <si>
    <t>Carmichael</t>
  </si>
  <si>
    <t>Dr. Michael M. Krop Senior High School</t>
  </si>
  <si>
    <t>St Michael's Prep School</t>
  </si>
  <si>
    <t>Silverado</t>
  </si>
  <si>
    <t>Felix Varela Senior High School</t>
  </si>
  <si>
    <t>St Monica Academy</t>
  </si>
  <si>
    <t>G. Holmes Braddock Senior High School</t>
  </si>
  <si>
    <t>St Patrick-St Vincent High School</t>
  </si>
  <si>
    <t>International Studies Charter High School</t>
  </si>
  <si>
    <t>St Paul High School</t>
  </si>
  <si>
    <t>Itech@Thomas A Edison Educational Center</t>
  </si>
  <si>
    <t>St Therese Classical Academy</t>
  </si>
  <si>
    <t>Jefferson County High School A Somerset Charter School</t>
  </si>
  <si>
    <t>St Thomas More School</t>
  </si>
  <si>
    <t>John A. Ferguson Senior High School</t>
  </si>
  <si>
    <t>St Vincent De Paul High School</t>
  </si>
  <si>
    <t>Law Enforcement Officers Memorial High School</t>
  </si>
  <si>
    <t>Starting Gate School</t>
  </si>
  <si>
    <t>Mater Academy East Charter High School</t>
  </si>
  <si>
    <t>Sterling West Los Angeles</t>
  </si>
  <si>
    <t>Miami Arts Charter</t>
  </si>
  <si>
    <t>Stevenson School - Pebble Beach Campus</t>
  </si>
  <si>
    <t>Miami Arts Studio 6-12 At Zelda Glazer</t>
  </si>
  <si>
    <t>Pebble Beach</t>
  </si>
  <si>
    <t>Stuart Hall High School</t>
  </si>
  <si>
    <t>Miami Central Senior High School</t>
  </si>
  <si>
    <t>The Athenian School</t>
  </si>
  <si>
    <t>Miami Coral Park Senior High School</t>
  </si>
  <si>
    <t>The Bay School Of San Francisco</t>
  </si>
  <si>
    <t>Miami Edison Senior High School</t>
  </si>
  <si>
    <t>Hostetter, PA</t>
  </si>
  <si>
    <t>The Bishop's School</t>
  </si>
  <si>
    <t>Miami Jackson Senior High School</t>
  </si>
  <si>
    <t>Miami Killian Senior High School</t>
  </si>
  <si>
    <t>The Branson School</t>
  </si>
  <si>
    <t>Ross</t>
  </si>
  <si>
    <t>The Buckley School</t>
  </si>
  <si>
    <t>Miami Norland Senior High School</t>
  </si>
  <si>
    <t>The Cambridge School</t>
  </si>
  <si>
    <t>Miami Northwestern Senior High School</t>
  </si>
  <si>
    <t>The College Preparatory School</t>
  </si>
  <si>
    <t>Miami Palmetto Senior High School</t>
  </si>
  <si>
    <t>The King's Academy</t>
  </si>
  <si>
    <t>Miami Senior High School</t>
  </si>
  <si>
    <t>The Marin School</t>
  </si>
  <si>
    <t>Miami Southridge Senior High School</t>
  </si>
  <si>
    <t>The Rock Academy</t>
  </si>
  <si>
    <t>Miami Sunset Senior High School</t>
  </si>
  <si>
    <t>The Thacher School</t>
  </si>
  <si>
    <t>New World School Of The Arts</t>
  </si>
  <si>
    <t>The University Of  America</t>
  </si>
  <si>
    <t>Palm Glades Preparatory Academy High School</t>
  </si>
  <si>
    <t>The Waverly School</t>
  </si>
  <si>
    <t>Tilden Preparatory School</t>
  </si>
  <si>
    <t>Pinecrest Glades Preparatory Academy Middle High School</t>
  </si>
  <si>
    <t>Urban School Of San Francisco</t>
  </si>
  <si>
    <t>Pinecrest Preparatory Academy Charter High School</t>
  </si>
  <si>
    <t>Valley International Academy</t>
  </si>
  <si>
    <t>Effingham, IL</t>
  </si>
  <si>
    <t>Robert Morgan Educational Center</t>
  </si>
  <si>
    <t>Veritas Classical Academy</t>
  </si>
  <si>
    <t>School For Advanced Studies - South</t>
  </si>
  <si>
    <t>Viewpoint School</t>
  </si>
  <si>
    <t>School For Advanced Studies North</t>
  </si>
  <si>
    <t>Villanova Preparatory School</t>
  </si>
  <si>
    <t>School For Advanced Studies-Wolfson</t>
  </si>
  <si>
    <t>West Hollywood College Preparatory School</t>
  </si>
  <si>
    <t>West Hollywood</t>
  </si>
  <si>
    <t>Slam Boca</t>
  </si>
  <si>
    <t>Western Education Center</t>
  </si>
  <si>
    <t>Somerset Academy Key Charter High School</t>
  </si>
  <si>
    <t>Wildwood School</t>
  </si>
  <si>
    <t>South Miami Senior High School</t>
  </si>
  <si>
    <t>Wisdom Mission School</t>
  </si>
  <si>
    <t>Southwest Miami Senior High School</t>
  </si>
  <si>
    <t>Woodside International School</t>
  </si>
  <si>
    <t>Sports Leadership Of Miami Charter High School</t>
  </si>
  <si>
    <t>Woodside Priory School</t>
  </si>
  <si>
    <t>Portola Valley</t>
  </si>
  <si>
    <t>Terra Environmental Research Institute</t>
  </si>
  <si>
    <t>York School</t>
  </si>
  <si>
    <t>The Ben Gamla Preparatory Academy</t>
  </si>
  <si>
    <t>Alexander Dawson School</t>
  </si>
  <si>
    <t>William H. Turner Technical Arts High School</t>
  </si>
  <si>
    <t>Beth Jacob High School</t>
  </si>
  <si>
    <t>Young Men'S Preparatory Academy</t>
  </si>
  <si>
    <t>Campion Academy</t>
  </si>
  <si>
    <t>Young Womens Preparatory Academy</t>
  </si>
  <si>
    <t>Colorado Academy</t>
  </si>
  <si>
    <t>Emerald Isle, NC</t>
  </si>
  <si>
    <t>Colorado Rocky Mountain School</t>
  </si>
  <si>
    <t>Miami Beach Senior High School</t>
  </si>
  <si>
    <t>Miami Beach</t>
  </si>
  <si>
    <t>Colorado Timberline Academy</t>
  </si>
  <si>
    <t>Miami Carol City Senior High School</t>
  </si>
  <si>
    <t>Miami Gardens</t>
  </si>
  <si>
    <t>Holy Family High School</t>
  </si>
  <si>
    <t>Barbara Goleman Senior High School</t>
  </si>
  <si>
    <t>Miami Lakes</t>
  </si>
  <si>
    <t>Kent Denver School</t>
  </si>
  <si>
    <t>Miami Lakes Educational Center</t>
  </si>
  <si>
    <t>Doctors Charter School Of Miami Shores</t>
  </si>
  <si>
    <t>Miami Shores</t>
  </si>
  <si>
    <t>Mile High Academy</t>
  </si>
  <si>
    <t>Miami Springs Senior High School</t>
  </si>
  <si>
    <t>Miami Springs</t>
  </si>
  <si>
    <t>Mullen High School</t>
  </si>
  <si>
    <t>Middleburg High School</t>
  </si>
  <si>
    <t>Middleburg</t>
  </si>
  <si>
    <t>Pikes Peak Academy</t>
  </si>
  <si>
    <t>Milton High School</t>
  </si>
  <si>
    <t>Rock Solid Chriistian Academyschool</t>
  </si>
  <si>
    <t>Lake Minneola High School</t>
  </si>
  <si>
    <t>Minneola</t>
  </si>
  <si>
    <t>Everglades High School</t>
  </si>
  <si>
    <t>Miramar High School</t>
  </si>
  <si>
    <t>Steamboat Mountain School</t>
  </si>
  <si>
    <t>Somerset Academy Charter High School Miramar Campus</t>
  </si>
  <si>
    <t>The Colorado Springs School</t>
  </si>
  <si>
    <t>Pitman, NJ</t>
  </si>
  <si>
    <t>Moore Haven Middle High School.</t>
  </si>
  <si>
    <t>The Link School</t>
  </si>
  <si>
    <t>Moore Haven</t>
  </si>
  <si>
    <t>Mt. Dora High School</t>
  </si>
  <si>
    <t>The Peak School</t>
  </si>
  <si>
    <t>Mount Dora</t>
  </si>
  <si>
    <t>Mulberry Senior High School</t>
  </si>
  <si>
    <t>The University School</t>
  </si>
  <si>
    <t>Vail Mountain School</t>
  </si>
  <si>
    <t>Barron Collier High School</t>
  </si>
  <si>
    <t>Academy Of The Holy Family</t>
  </si>
  <si>
    <t>Baltic</t>
  </si>
  <si>
    <t>Golden Gate High School</t>
  </si>
  <si>
    <t>Avon Old Farms School</t>
  </si>
  <si>
    <t>Gulf Coast High School</t>
  </si>
  <si>
    <t>Bridgeport International Academy</t>
  </si>
  <si>
    <t>Lely High School</t>
  </si>
  <si>
    <t>Canterbury School</t>
  </si>
  <si>
    <t>Naples High School</t>
  </si>
  <si>
    <t>Choate Rosemary Hall</t>
  </si>
  <si>
    <t>Palmetto Ridge High School</t>
  </si>
  <si>
    <t>Duncan U. Fletcher High School</t>
  </si>
  <si>
    <t>Neptune Beach</t>
  </si>
  <si>
    <t>Easton Country Day School</t>
  </si>
  <si>
    <t>Easton</t>
  </si>
  <si>
    <t>Gulf High School</t>
  </si>
  <si>
    <t>Fairfield College Preparatory</t>
  </si>
  <si>
    <t>River Ridge High School</t>
  </si>
  <si>
    <t>Greenwich Academy</t>
  </si>
  <si>
    <t>Wendell Krinn Technical High School</t>
  </si>
  <si>
    <t>Grove School</t>
  </si>
  <si>
    <t>New Smyrna Beach High School</t>
  </si>
  <si>
    <t>New Smyrna Beach</t>
  </si>
  <si>
    <t>Hamden Hall Country Day School</t>
  </si>
  <si>
    <t>Newberry High School</t>
  </si>
  <si>
    <t>Holy Cross High School</t>
  </si>
  <si>
    <t>Newberry</t>
  </si>
  <si>
    <t>Prescott Valley, AZ</t>
  </si>
  <si>
    <t>Hopkins School</t>
  </si>
  <si>
    <t>Collegiate High School At Northwest Florida State College</t>
  </si>
  <si>
    <t>Niceville</t>
  </si>
  <si>
    <t>Kent School</t>
  </si>
  <si>
    <t>Niceville Senior High School</t>
  </si>
  <si>
    <t>Kingswood-Oxford School</t>
  </si>
  <si>
    <t>North Fort Myers High School</t>
  </si>
  <si>
    <t>North Fort Myers</t>
  </si>
  <si>
    <t>Kolbe Cathedral High School</t>
  </si>
  <si>
    <t>Somerset Preparatory Academy Charter High School At North Lauderdal</t>
  </si>
  <si>
    <t>North Lauderdale</t>
  </si>
  <si>
    <t>Miss Porter's School</t>
  </si>
  <si>
    <t>Mast@Fiu</t>
  </si>
  <si>
    <t>North Miami</t>
  </si>
  <si>
    <t>North Miami Senior High School</t>
  </si>
  <si>
    <t>Pierrepont School</t>
  </si>
  <si>
    <t>North Miami Beach Senior High School</t>
  </si>
  <si>
    <t>Pomfret School</t>
  </si>
  <si>
    <t>Pomfret</t>
  </si>
  <si>
    <t>North Port High School</t>
  </si>
  <si>
    <t>North Port</t>
  </si>
  <si>
    <t>Putnam Science Academy</t>
  </si>
  <si>
    <t>Northeast High School</t>
  </si>
  <si>
    <t>Sacred Heart Academy</t>
  </si>
  <si>
    <t>Forest High School</t>
  </si>
  <si>
    <t>Ocala</t>
  </si>
  <si>
    <t>Sacred Heart H. S.</t>
  </si>
  <si>
    <t>Francis Marion Military Academy</t>
  </si>
  <si>
    <t>South Kent School</t>
  </si>
  <si>
    <t>South Kent</t>
  </si>
  <si>
    <t>Lake Weir High School</t>
  </si>
  <si>
    <t>St Bernard School</t>
  </si>
  <si>
    <t>Uncasville</t>
  </si>
  <si>
    <t>Spartanburg, SC</t>
  </si>
  <si>
    <t>Vanguard High School</t>
  </si>
  <si>
    <t>West Port High School</t>
  </si>
  <si>
    <t>St Lukes School</t>
  </si>
  <si>
    <t>Innovation Montessori High School</t>
  </si>
  <si>
    <t>Legacy High School Charter</t>
  </si>
  <si>
    <t>The Cheshire Academy</t>
  </si>
  <si>
    <t>The Gunnery</t>
  </si>
  <si>
    <t>Ocoee High School</t>
  </si>
  <si>
    <t>The Hotchkiss School</t>
  </si>
  <si>
    <t>Lakeville</t>
  </si>
  <si>
    <t>Okeechobee High School</t>
  </si>
  <si>
    <t>The Marvelwood School</t>
  </si>
  <si>
    <t>The Master's School</t>
  </si>
  <si>
    <t>Arts Academy Of Excellence</t>
  </si>
  <si>
    <t>West Simsbury</t>
  </si>
  <si>
    <t>Opa Locka</t>
  </si>
  <si>
    <t>The Stanwich School</t>
  </si>
  <si>
    <t>Orange City</t>
  </si>
  <si>
    <t>The Taft School</t>
  </si>
  <si>
    <t>Fleming Island High School</t>
  </si>
  <si>
    <t>Orange Park</t>
  </si>
  <si>
    <t>The Williams School</t>
  </si>
  <si>
    <t>Oakleaf High School</t>
  </si>
  <si>
    <t>The Woodhall School</t>
  </si>
  <si>
    <t>Bethlehem</t>
  </si>
  <si>
    <t>Orange Park High School</t>
  </si>
  <si>
    <t>Watkinson School</t>
  </si>
  <si>
    <t>Westover School</t>
  </si>
  <si>
    <t>Middlebury</t>
  </si>
  <si>
    <t>Central Florida Leadership Academy Charter</t>
  </si>
  <si>
    <t>Wooster School</t>
  </si>
  <si>
    <t>Ridgeland, SC</t>
  </si>
  <si>
    <t>Colonial High School</t>
  </si>
  <si>
    <t>Xavier High School</t>
  </si>
  <si>
    <t>Cypress Creek High School</t>
  </si>
  <si>
    <t>Aquinas Academy</t>
  </si>
  <si>
    <t>Bear</t>
  </si>
  <si>
    <t>Dr. Phillips High School</t>
  </si>
  <si>
    <t>Geneva Academy</t>
  </si>
  <si>
    <t>East River High School</t>
  </si>
  <si>
    <t>Greenwood Mennonite School</t>
  </si>
  <si>
    <t>Edgewater High School</t>
  </si>
  <si>
    <t>Padua Academy</t>
  </si>
  <si>
    <t>Ese Transition</t>
  </si>
  <si>
    <t>Salesianum School</t>
  </si>
  <si>
    <t>Flvs Full-Time 9-12</t>
  </si>
  <si>
    <t>St Andrew's School</t>
  </si>
  <si>
    <t>St Mark's High School</t>
  </si>
  <si>
    <t>Jones High School</t>
  </si>
  <si>
    <t>Tower Hill School</t>
  </si>
  <si>
    <t>Lake Nona High School</t>
  </si>
  <si>
    <t>Wilmington Friends School</t>
  </si>
  <si>
    <t>Maynard Evans High School</t>
  </si>
  <si>
    <t>Cornerstone Schools Of Washington Dc</t>
  </si>
  <si>
    <t>Cornerstone Schools-Washington</t>
  </si>
  <si>
    <t>Olympia High School</t>
  </si>
  <si>
    <t>Edmund Burke School</t>
  </si>
  <si>
    <t>Orlando Science Middle High School Charter</t>
  </si>
  <si>
    <t>Emerson Preparatory School</t>
  </si>
  <si>
    <t>Flanders, NJ</t>
  </si>
  <si>
    <t>Timber Creek High School</t>
  </si>
  <si>
    <t>Georgetown Visitation Preparatory School</t>
  </si>
  <si>
    <t>Gonzaga College High School</t>
  </si>
  <si>
    <t>William R Boone High School</t>
  </si>
  <si>
    <t>Maret School</t>
  </si>
  <si>
    <t>Hagerty High School</t>
  </si>
  <si>
    <t>Sidwell Friends School</t>
  </si>
  <si>
    <t>Oviedo High School</t>
  </si>
  <si>
    <t>St Johns College High School</t>
  </si>
  <si>
    <t>Pace High School</t>
  </si>
  <si>
    <t>The Preparatory School Of D.C.</t>
  </si>
  <si>
    <t>Pace</t>
  </si>
  <si>
    <t>Washington International School</t>
  </si>
  <si>
    <t>Pahokee Middle-Senior High School</t>
  </si>
  <si>
    <t>Pahokee</t>
  </si>
  <si>
    <t>A Plus Learning Academy</t>
  </si>
  <si>
    <t>Palatka High School</t>
  </si>
  <si>
    <t>Palatka</t>
  </si>
  <si>
    <t>Academic Alternative Education</t>
  </si>
  <si>
    <t>Putnam Edge High School</t>
  </si>
  <si>
    <t>Academic High School</t>
  </si>
  <si>
    <t>Bayside High School</t>
  </si>
  <si>
    <t>Palm Bay</t>
  </si>
  <si>
    <t>Academy Of The Holy Names</t>
  </si>
  <si>
    <t>Admiral Farragut Academy</t>
  </si>
  <si>
    <t>St Petersburg</t>
  </si>
  <si>
    <t>Allison Academy</t>
  </si>
  <si>
    <t>Palm Beach Gardens High School</t>
  </si>
  <si>
    <t>Flagler-Palm Coast High School</t>
  </si>
  <si>
    <t>Palm Coast</t>
  </si>
  <si>
    <t>Ameribelge Center For Education</t>
  </si>
  <si>
    <t>East Brookfield, MA</t>
  </si>
  <si>
    <t>Matanzas High School</t>
  </si>
  <si>
    <t>American Heritage</t>
  </si>
  <si>
    <t>Plantation</t>
  </si>
  <si>
    <t>American Heritage School - Boca/Delray</t>
  </si>
  <si>
    <t>Palm Harbor University High School</t>
  </si>
  <si>
    <t>Palm Harbor</t>
  </si>
  <si>
    <t>American High School Llc</t>
  </si>
  <si>
    <t>Manatee School For The Arts</t>
  </si>
  <si>
    <t>American School Of Leadership</t>
  </si>
  <si>
    <t>Palmetto High School</t>
  </si>
  <si>
    <t>American Worldwide Academy</t>
  </si>
  <si>
    <t>American Youth Academy</t>
  </si>
  <si>
    <t>Panama City</t>
  </si>
  <si>
    <t>Archbishop Mccarthy High School</t>
  </si>
  <si>
    <t>Southwest Ranches</t>
  </si>
  <si>
    <t>North Bay Haven Career Academy</t>
  </si>
  <si>
    <t>Arlington Academy Of Miami Llc</t>
  </si>
  <si>
    <t>Palm Bay Preparatory Academy 6-12</t>
  </si>
  <si>
    <t>B. Wright Leadership Academy</t>
  </si>
  <si>
    <t>Rutherford High School</t>
  </si>
  <si>
    <t>Bethany School</t>
  </si>
  <si>
    <t>J.R. Arnold High School</t>
  </si>
  <si>
    <t>Panama City Beach</t>
  </si>
  <si>
    <t>Bethel Holiness Academy</t>
  </si>
  <si>
    <t>Marjory Stoneman Douglas High School</t>
  </si>
  <si>
    <t>Betton Hills School</t>
  </si>
  <si>
    <t>Parkland</t>
  </si>
  <si>
    <t>Bishop John J Snyder High School</t>
  </si>
  <si>
    <t>Charles W Flanagan High School</t>
  </si>
  <si>
    <t>Bishop Kenny High School</t>
  </si>
  <si>
    <t>City/Pembroke Pines Charter High School</t>
  </si>
  <si>
    <t>Boca Prep International School</t>
  </si>
  <si>
    <t>Brownsburg, IN</t>
  </si>
  <si>
    <t>Franklin Academy Pembroke Pines High School</t>
  </si>
  <si>
    <t>Brevard Private Academy</t>
  </si>
  <si>
    <t>Brickhouse Academy</t>
  </si>
  <si>
    <t>Sarasota</t>
  </si>
  <si>
    <t>Brito Miami Private School</t>
  </si>
  <si>
    <t>Somerset Arts Conservatory</t>
  </si>
  <si>
    <t>Broach West Elementary School</t>
  </si>
  <si>
    <t>West Broward High School</t>
  </si>
  <si>
    <t>Calusa Preparatory School</t>
  </si>
  <si>
    <t>Escambia High School</t>
  </si>
  <si>
    <t>Pensacola</t>
  </si>
  <si>
    <t>Career Prep Academy Of South Florida</t>
  </si>
  <si>
    <t>Pensacola High School</t>
  </si>
  <si>
    <t>Carrollton School Of The Sacred Heart</t>
  </si>
  <si>
    <t>Coconut Grove</t>
  </si>
  <si>
    <t>Pine Forest High School</t>
  </si>
  <si>
    <t>Center Of Life Academy</t>
  </si>
  <si>
    <t>Washington Senior High School</t>
  </si>
  <si>
    <t>Chaminade Madonna College Preparatory</t>
  </si>
  <si>
    <t>West Florida High School/Technical</t>
  </si>
  <si>
    <t>Citrus Heights Academy</t>
  </si>
  <si>
    <t>Taylor County High School</t>
  </si>
  <si>
    <t>Club Med Academies</t>
  </si>
  <si>
    <t>Perry</t>
  </si>
  <si>
    <t>Port St Lucie</t>
  </si>
  <si>
    <t>Community School Of Naples</t>
  </si>
  <si>
    <t>T. Dewitt Taylor Middle-High School</t>
  </si>
  <si>
    <t>Pierson</t>
  </si>
  <si>
    <t>Continental Academy</t>
  </si>
  <si>
    <t>Durant High School</t>
  </si>
  <si>
    <t>Plant City</t>
  </si>
  <si>
    <t>Cornerstone Academy</t>
  </si>
  <si>
    <t>Plant City High School</t>
  </si>
  <si>
    <t>Delphi Academy Of Florida</t>
  </si>
  <si>
    <t>Dunedin Academy</t>
  </si>
  <si>
    <t>Plantation High School</t>
  </si>
  <si>
    <t>Eagle's View Academy</t>
  </si>
  <si>
    <t>South Plantation High School</t>
  </si>
  <si>
    <t>Edgewood Ranch Academy</t>
  </si>
  <si>
    <t>Blanche Ely High School</t>
  </si>
  <si>
    <t>Edison Academics</t>
  </si>
  <si>
    <t>Pompano Beach Institute Of International Studies</t>
  </si>
  <si>
    <t>Einstein Montessori Academy</t>
  </si>
  <si>
    <t>Ponce De Leon High School</t>
  </si>
  <si>
    <t>Ponce De Leon</t>
  </si>
  <si>
    <t>Elevation Preparatory Academy</t>
  </si>
  <si>
    <t>Allen D Nease Senior High School</t>
  </si>
  <si>
    <t>Ponte Vedra</t>
  </si>
  <si>
    <t>Elite Academy School Of Excellence</t>
  </si>
  <si>
    <t>Ponte Vedra High School</t>
  </si>
  <si>
    <t>Elite Preparatory Academy</t>
  </si>
  <si>
    <t>Etta Mae Anderson Private School</t>
  </si>
  <si>
    <t>Port Charlotte High School</t>
  </si>
  <si>
    <t>Port Charlotte</t>
  </si>
  <si>
    <t>Family Life Academy</t>
  </si>
  <si>
    <t>Archer</t>
  </si>
  <si>
    <t>Port Orange</t>
  </si>
  <si>
    <t>First Academy</t>
  </si>
  <si>
    <t>Lulu</t>
  </si>
  <si>
    <t>Spruce Creek High School</t>
  </si>
  <si>
    <t>First Academy-Leesburg</t>
  </si>
  <si>
    <t>Somerset College Preparatory Academy</t>
  </si>
  <si>
    <t>Port Saint Lucie</t>
  </si>
  <si>
    <t>Forest Lake Academy.</t>
  </si>
  <si>
    <t>Port St. Joe High School</t>
  </si>
  <si>
    <t>Port St Joe</t>
  </si>
  <si>
    <t>Fort Lauderdale Preparatory School</t>
  </si>
  <si>
    <t>Lewisburg, PA</t>
  </si>
  <si>
    <t>Port St. Lucie High School</t>
  </si>
  <si>
    <t>Freedom School</t>
  </si>
  <si>
    <t>Freedomschoolers Academy</t>
  </si>
  <si>
    <t>St. Lucie West Centennial High School</t>
  </si>
  <si>
    <t>Gateway Academy</t>
  </si>
  <si>
    <t>Treasure Coast High School</t>
  </si>
  <si>
    <t>Genesis Preparatory School</t>
  </si>
  <si>
    <t>Charlotte High School</t>
  </si>
  <si>
    <t>Punta Gorda</t>
  </si>
  <si>
    <t>Geneva Classical Academy</t>
  </si>
  <si>
    <t>Glades Day School</t>
  </si>
  <si>
    <t>Golden Rule Academy</t>
  </si>
  <si>
    <t>Bell Creek Academy High School</t>
  </si>
  <si>
    <t>Riverview</t>
  </si>
  <si>
    <t>Grace Community School - Skyline Blvd Campus</t>
  </si>
  <si>
    <t>Kids Community College Charter High School</t>
  </si>
  <si>
    <t>Gracepointe Academy</t>
  </si>
  <si>
    <t>Summerfield</t>
  </si>
  <si>
    <t>Pivot Charter School</t>
  </si>
  <si>
    <t>Grandview Preparatory School</t>
  </si>
  <si>
    <t>Gulliver Preparatory School</t>
  </si>
  <si>
    <t>Pinecrest</t>
  </si>
  <si>
    <t>Spoto High School</t>
  </si>
  <si>
    <t>Halifax Academy</t>
  </si>
  <si>
    <t>Hampden Dubose Academy</t>
  </si>
  <si>
    <t>Inlet Grove Community High School</t>
  </si>
  <si>
    <t>Zellwood</t>
  </si>
  <si>
    <t>Riviera Beach</t>
  </si>
  <si>
    <t>Harvest Community School</t>
  </si>
  <si>
    <t>Suncoast Community High School</t>
  </si>
  <si>
    <t>Huntsville, UT</t>
  </si>
  <si>
    <t>Hillcrest Academy</t>
  </si>
  <si>
    <t>Rockledge Senior High School</t>
  </si>
  <si>
    <t>Ibck Educational Center</t>
  </si>
  <si>
    <t>Inspiration Academy</t>
  </si>
  <si>
    <t>Royal Palm Beach High School</t>
  </si>
  <si>
    <t>Royal Palm Beach</t>
  </si>
  <si>
    <t>International Community School</t>
  </si>
  <si>
    <t>Winter Park</t>
  </si>
  <si>
    <t>Lennard High School</t>
  </si>
  <si>
    <t>Jacklyn Academy</t>
  </si>
  <si>
    <t>Ruskin</t>
  </si>
  <si>
    <t>John Carroll High School</t>
  </si>
  <si>
    <t>Bartram Trail High School</t>
  </si>
  <si>
    <t>Juanita G Hawkins Academy</t>
  </si>
  <si>
    <t>Creekside High School</t>
  </si>
  <si>
    <t>Keystone National High School</t>
  </si>
  <si>
    <t>Crooms Academy Of Information Technology</t>
  </si>
  <si>
    <t>Kingdom Heart Academy</t>
  </si>
  <si>
    <t>Seminole High School</t>
  </si>
  <si>
    <t>La Progresiva  School</t>
  </si>
  <si>
    <t>Seaside Neighborhood School</t>
  </si>
  <si>
    <t>Santa Rosa Beach</t>
  </si>
  <si>
    <t>Lake Highland Preparatory School</t>
  </si>
  <si>
    <t>Lake Mary Preparatory School</t>
  </si>
  <si>
    <t>South Walton High School</t>
  </si>
  <si>
    <t>Laschool Academy</t>
  </si>
  <si>
    <t>Booker High School</t>
  </si>
  <si>
    <t>Leaders Preparatory School</t>
  </si>
  <si>
    <t>Maclay School</t>
  </si>
  <si>
    <t>Palmetto, GA</t>
  </si>
  <si>
    <t>Sarasota High School</t>
  </si>
  <si>
    <t>Master's Academy Of Vero Beach</t>
  </si>
  <si>
    <t>Vero Beach</t>
  </si>
  <si>
    <t>Meadowbrook Academy</t>
  </si>
  <si>
    <t>Sarasota Military Academy</t>
  </si>
  <si>
    <t>Mechina Of South Florida</t>
  </si>
  <si>
    <t>Suncoast Polytechnical High School</t>
  </si>
  <si>
    <t>Miami Country Day School</t>
  </si>
  <si>
    <t>Satellite Senior High School</t>
  </si>
  <si>
    <t>Satellite Beach</t>
  </si>
  <si>
    <t>Mlc Preparatory Academy</t>
  </si>
  <si>
    <t>Sebastian River High School</t>
  </si>
  <si>
    <t>Sebastian</t>
  </si>
  <si>
    <t>Monsignor Edward Pace High School</t>
  </si>
  <si>
    <t>Sebring High School</t>
  </si>
  <si>
    <t>Montealegre Senior High School</t>
  </si>
  <si>
    <t>Montverde Academy</t>
  </si>
  <si>
    <t>Armwood High School</t>
  </si>
  <si>
    <t>Seffner</t>
  </si>
  <si>
    <t>Morningside Academy</t>
  </si>
  <si>
    <t>Osceola Fundamental High School</t>
  </si>
  <si>
    <t>Seminole</t>
  </si>
  <si>
    <t>New Generation School</t>
  </si>
  <si>
    <t>Richard O Jacobson Technical High School At Seminole</t>
  </si>
  <si>
    <t>New Life Preparatory Academy</t>
  </si>
  <si>
    <t>Nicaea Academy</t>
  </si>
  <si>
    <t>Sneads High School</t>
  </si>
  <si>
    <t>Sneads</t>
  </si>
  <si>
    <t>North American Academy</t>
  </si>
  <si>
    <t>Frank W. Springstead High School</t>
  </si>
  <si>
    <t>Spring Hill</t>
  </si>
  <si>
    <t>North Broward Preparatory School</t>
  </si>
  <si>
    <t>Pedro Menendez High School</t>
  </si>
  <si>
    <t>Nsu University School</t>
  </si>
  <si>
    <t>St Augustine</t>
  </si>
  <si>
    <t>Merrill, WI</t>
  </si>
  <si>
    <t>Obridge Academy</t>
  </si>
  <si>
    <t>St. Augustine High School</t>
  </si>
  <si>
    <t>Ohana Institute</t>
  </si>
  <si>
    <t>St. Cloud High School</t>
  </si>
  <si>
    <t>Rosemary Beach</t>
  </si>
  <si>
    <t>St Cloud</t>
  </si>
  <si>
    <t>Orange County Academy</t>
  </si>
  <si>
    <t>Gibbs High School</t>
  </si>
  <si>
    <t>Panama City Advanced School</t>
  </si>
  <si>
    <t>Paolo Prep Academy</t>
  </si>
  <si>
    <t>Pathways Private School</t>
  </si>
  <si>
    <t>St. Petersburg Collegiate High School</t>
  </si>
  <si>
    <t>Pensacola Private School Of Liberal Arts</t>
  </si>
  <si>
    <t>Phyl's Academy</t>
  </si>
  <si>
    <t>St. Petersburg High School</t>
  </si>
  <si>
    <t>Pine Crest School</t>
  </si>
  <si>
    <t>Starke</t>
  </si>
  <si>
    <t>Pleasant Hill Academy</t>
  </si>
  <si>
    <t>Florida Youth Challenge Academy</t>
  </si>
  <si>
    <t>Potter's House Academy</t>
  </si>
  <si>
    <t>Clark Advanced Learning Center</t>
  </si>
  <si>
    <t>Stuart</t>
  </si>
  <si>
    <t>Potter's Wheel Academy</t>
  </si>
  <si>
    <t>Martin County High School</t>
  </si>
  <si>
    <t>Premier Academy School</t>
  </si>
  <si>
    <t>Prew Academy</t>
  </si>
  <si>
    <t>Providence School</t>
  </si>
  <si>
    <t>Amos P. Godby High School</t>
  </si>
  <si>
    <t>Ransom Everglades School</t>
  </si>
  <si>
    <t>James Rickards High School</t>
  </si>
  <si>
    <t>Riverbend Academy</t>
  </si>
  <si>
    <t>Ormond Beach</t>
  </si>
  <si>
    <t>Lawton Chiles High School</t>
  </si>
  <si>
    <t>Riviera Schools</t>
  </si>
  <si>
    <t>Leon High School</t>
  </si>
  <si>
    <t>Robert F Munroe Day School</t>
  </si>
  <si>
    <t>Sagemont Lower School</t>
  </si>
  <si>
    <t>Sail</t>
  </si>
  <si>
    <t>Sain John Paul Ii Academy</t>
  </si>
  <si>
    <t>Alonso High School</t>
  </si>
  <si>
    <t>Saints Academy</t>
  </si>
  <si>
    <t>Blake High School</t>
  </si>
  <si>
    <t>Schoolhouse Academy</t>
  </si>
  <si>
    <t>Brooks Debartolo Collegiate High School</t>
  </si>
  <si>
    <t>Seacrest Country Day School</t>
  </si>
  <si>
    <t>Sharon School Of Excellence</t>
  </si>
  <si>
    <t>Chamberlain High School</t>
  </si>
  <si>
    <t>Shorecrest Preparatory School</t>
  </si>
  <si>
    <t>Solid Rock Community School</t>
  </si>
  <si>
    <t>Tarpon Springs</t>
  </si>
  <si>
    <t>Gaither High School</t>
  </si>
  <si>
    <t>Southeastern High School</t>
  </si>
  <si>
    <t>Hillsborough High School</t>
  </si>
  <si>
    <t>Springville Preparatory Academy</t>
  </si>
  <si>
    <t>St Edward's School</t>
  </si>
  <si>
    <t>St Johns Country Day School</t>
  </si>
  <si>
    <t>King High School</t>
  </si>
  <si>
    <t>St Thomas Aquinas High School</t>
  </si>
  <si>
    <t>Leto High School</t>
  </si>
  <si>
    <t>Sterling Academy</t>
  </si>
  <si>
    <t>Sunrise</t>
  </si>
  <si>
    <t>Middleton High School</t>
  </si>
  <si>
    <t>Sunnyside Mennonite School</t>
  </si>
  <si>
    <t>Sunrise Academy</t>
  </si>
  <si>
    <t>Plant High School</t>
  </si>
  <si>
    <t>Suwannee River Ridge Technical High School</t>
  </si>
  <si>
    <t>Robinson High School</t>
  </si>
  <si>
    <t>Tampa Preparatory School</t>
  </si>
  <si>
    <t>Sickles High School</t>
  </si>
  <si>
    <t>Tdr Learning Academy</t>
  </si>
  <si>
    <t>Sports Leadership And Management Academy (Tampa)</t>
  </si>
  <si>
    <t>The Benjamin School</t>
  </si>
  <si>
    <t>North Palm Beach</t>
  </si>
  <si>
    <t>Tampa Bay Tech High School</t>
  </si>
  <si>
    <t>The Bolles School</t>
  </si>
  <si>
    <t>Wharton High School</t>
  </si>
  <si>
    <t>The Canterbury School Of Florida</t>
  </si>
  <si>
    <t>East Lake High School</t>
  </si>
  <si>
    <t>The Classical Academy Of Sarasota</t>
  </si>
  <si>
    <t>The Crenshaw School</t>
  </si>
  <si>
    <t>Tarpon Springs High School</t>
  </si>
  <si>
    <t>The Geneva School</t>
  </si>
  <si>
    <t>Tavares High School</t>
  </si>
  <si>
    <t>Tavares</t>
  </si>
  <si>
    <t>Aptos, CA</t>
  </si>
  <si>
    <t>Coral Shores High School</t>
  </si>
  <si>
    <t>Tavernier</t>
  </si>
  <si>
    <t>Astronaut High School</t>
  </si>
  <si>
    <t>The Kings Academy</t>
  </si>
  <si>
    <t>Titusville</t>
  </si>
  <si>
    <t>The Life Academy Of Excellence</t>
  </si>
  <si>
    <t>Titusville High School</t>
  </si>
  <si>
    <t>Eatonville</t>
  </si>
  <si>
    <t>The Oaks Private School</t>
  </si>
  <si>
    <t>Trenton High School</t>
  </si>
  <si>
    <t>Trenton</t>
  </si>
  <si>
    <t>The Paideia School Of Tampa Bay</t>
  </si>
  <si>
    <t>James W. Mitchell High School</t>
  </si>
  <si>
    <t>The Pine School</t>
  </si>
  <si>
    <t>Hobe Sound</t>
  </si>
  <si>
    <t>Umatilla High School</t>
  </si>
  <si>
    <t>Umatilla</t>
  </si>
  <si>
    <t>The Rock School</t>
  </si>
  <si>
    <t>Bloomingdale High School</t>
  </si>
  <si>
    <t>Valrico</t>
  </si>
  <si>
    <t>The Sagemont School</t>
  </si>
  <si>
    <t>Venice</t>
  </si>
  <si>
    <t>The Shepherd S School</t>
  </si>
  <si>
    <t>Vernon High School</t>
  </si>
  <si>
    <t>Titan Academy Of Lakeland</t>
  </si>
  <si>
    <t>Indian River Charter High School</t>
  </si>
  <si>
    <t>Touched By Grace Academy</t>
  </si>
  <si>
    <t>Vero Beach High School</t>
  </si>
  <si>
    <t>Treasures Of Life Academy</t>
  </si>
  <si>
    <t>Viera High School</t>
  </si>
  <si>
    <t>Viera</t>
  </si>
  <si>
    <t>Trilogy School</t>
  </si>
  <si>
    <t>Hardee Junior High School</t>
  </si>
  <si>
    <t>Union Point, GA</t>
  </si>
  <si>
    <t>Victory Academy</t>
  </si>
  <si>
    <t>Wauchula</t>
  </si>
  <si>
    <t>Hardee Senior High School</t>
  </si>
  <si>
    <t>Walker Memorial Academy</t>
  </si>
  <si>
    <t>Weeki Wachee High School</t>
  </si>
  <si>
    <t>Weeki Wachee</t>
  </si>
  <si>
    <t>Wellington Preparatory School</t>
  </si>
  <si>
    <t>Wellmont Academy</t>
  </si>
  <si>
    <t>Palm Beach Central High School</t>
  </si>
  <si>
    <t>West Dade Academy</t>
  </si>
  <si>
    <t>Wellington High School</t>
  </si>
  <si>
    <t>West Oaks Academy</t>
  </si>
  <si>
    <t>Cypress Creek Middle/High School</t>
  </si>
  <si>
    <t>Wesley Chapel</t>
  </si>
  <si>
    <t>West Park High School</t>
  </si>
  <si>
    <t>West Park</t>
  </si>
  <si>
    <t>Wesley Chapel High School</t>
  </si>
  <si>
    <t>Westcoast School For Human Development</t>
  </si>
  <si>
    <t>Wiregrass Ranch High School</t>
  </si>
  <si>
    <t>Western General Education</t>
  </si>
  <si>
    <t>Alexander W Dreyfoos Junior School Of The Arts</t>
  </si>
  <si>
    <t>Westlake Preparatory School</t>
  </si>
  <si>
    <t>Forest Hill Community High School</t>
  </si>
  <si>
    <t>Westminster Academy</t>
  </si>
  <si>
    <t>Whitestone Academy</t>
  </si>
  <si>
    <t>G-Star School Of The Arts</t>
  </si>
  <si>
    <t>Windemere Preparatory School</t>
  </si>
  <si>
    <t>Palm Beach Lakes High School</t>
  </si>
  <si>
    <t>Windsor Learning Academy</t>
  </si>
  <si>
    <t>William T. Dwyer High School</t>
  </si>
  <si>
    <t>Cypress Bay High School</t>
  </si>
  <si>
    <t>World Hope Academy</t>
  </si>
  <si>
    <t>Zaraphath Academy</t>
  </si>
  <si>
    <t>Wewahitchka High School</t>
  </si>
  <si>
    <t>Wewahitchka</t>
  </si>
  <si>
    <t>Wildwood Middle/ High School</t>
  </si>
  <si>
    <t>Athens Academy</t>
  </si>
  <si>
    <t>Williston Middle High School</t>
  </si>
  <si>
    <t>Williston</t>
  </si>
  <si>
    <t>Atlanta Country Day School</t>
  </si>
  <si>
    <t>Windermere High School</t>
  </si>
  <si>
    <t>Atlanta International School</t>
  </si>
  <si>
    <t>West Orange High School</t>
  </si>
  <si>
    <t>Winter Garden</t>
  </si>
  <si>
    <t>Atlanta Speech School</t>
  </si>
  <si>
    <t>Chain Of Lakes Collegiate High School</t>
  </si>
  <si>
    <t>Augusta Preparatory Day School</t>
  </si>
  <si>
    <t>Winter Haven Senior High School</t>
  </si>
  <si>
    <t>Barnes Academy</t>
  </si>
  <si>
    <t>Hartwell</t>
  </si>
  <si>
    <t>Lake Howell High School</t>
  </si>
  <si>
    <t>Ben Franklin Academy</t>
  </si>
  <si>
    <t>Winter Park High School</t>
  </si>
  <si>
    <t>Bethesda Academy</t>
  </si>
  <si>
    <t>Savannah</t>
  </si>
  <si>
    <t>Brandon Hall School</t>
  </si>
  <si>
    <t>Winter Springs High School</t>
  </si>
  <si>
    <t>Winter Springs</t>
  </si>
  <si>
    <t>Yulee High School</t>
  </si>
  <si>
    <t>Sandersville</t>
  </si>
  <si>
    <t>Yulee</t>
  </si>
  <si>
    <t>Briarwood Academy</t>
  </si>
  <si>
    <t>Warrenton</t>
  </si>
  <si>
    <t>Zephyrhills High School</t>
  </si>
  <si>
    <t>Zephyrhills</t>
  </si>
  <si>
    <t>Bright Futures Academy</t>
  </si>
  <si>
    <t>Allatoona High School</t>
  </si>
  <si>
    <t>Acworth</t>
  </si>
  <si>
    <t>Brookstone School</t>
  </si>
  <si>
    <t>Adairsville High School</t>
  </si>
  <si>
    <t>Adairsville</t>
  </si>
  <si>
    <t>Bulloch Academy</t>
  </si>
  <si>
    <t>Cook High School</t>
  </si>
  <si>
    <t>Adel</t>
  </si>
  <si>
    <t>Calvary Day School</t>
  </si>
  <si>
    <t>Wheeler County High School</t>
  </si>
  <si>
    <t>Alamo</t>
  </si>
  <si>
    <t>Compass Prep Academy</t>
  </si>
  <si>
    <t>Dougherty Comprehensive High School</t>
  </si>
  <si>
    <t>Cornerstone Preparatory Academy</t>
  </si>
  <si>
    <t>Monroe High School</t>
  </si>
  <si>
    <t>Crisp Academy</t>
  </si>
  <si>
    <t>Cordele</t>
  </si>
  <si>
    <t>Westover High School</t>
  </si>
  <si>
    <t>Darlington School</t>
  </si>
  <si>
    <t>Bacon County High School</t>
  </si>
  <si>
    <t>Martinsville, VA</t>
  </si>
  <si>
    <t>David Emanuel Academy</t>
  </si>
  <si>
    <t>Stillmore</t>
  </si>
  <si>
    <t>Alpharetta High School</t>
  </si>
  <si>
    <t>Eastgate Life Academy</t>
  </si>
  <si>
    <t>Hiawassee</t>
  </si>
  <si>
    <t>Eaton Academy</t>
  </si>
  <si>
    <t>Roswell</t>
  </si>
  <si>
    <t>Chattahoochee High School</t>
  </si>
  <si>
    <t>Edmund Burke Academy</t>
  </si>
  <si>
    <t>Waynesboro</t>
  </si>
  <si>
    <t>Denmark High School</t>
  </si>
  <si>
    <t>Frederica Academy</t>
  </si>
  <si>
    <t>Saint Simons Island</t>
  </si>
  <si>
    <t>Fullington Academy</t>
  </si>
  <si>
    <t>Pinehurst</t>
  </si>
  <si>
    <t>Americus Sumter High School (Old Americus-Sumter High School S)</t>
  </si>
  <si>
    <t>Americus</t>
  </si>
  <si>
    <t>Gatewood Schools</t>
  </si>
  <si>
    <t>Turner County High School</t>
  </si>
  <si>
    <t>Ashburn</t>
  </si>
  <si>
    <t>George Walton Academy</t>
  </si>
  <si>
    <t>Georgia-Cumberland Academy</t>
  </si>
  <si>
    <t>Calhoun</t>
  </si>
  <si>
    <t>Cedar Shoals High School</t>
  </si>
  <si>
    <t>Sale City</t>
  </si>
  <si>
    <t>Clarke Central High School</t>
  </si>
  <si>
    <t>Holy Spirit Prepartory School</t>
  </si>
  <si>
    <t>Classic City High School</t>
  </si>
  <si>
    <t>John Hancock Academy</t>
  </si>
  <si>
    <t>Sparta</t>
  </si>
  <si>
    <t>B.E.S.T Academy</t>
  </si>
  <si>
    <t>Lagrange Academy</t>
  </si>
  <si>
    <t>Lagrange</t>
  </si>
  <si>
    <t>Booker T. Washington High School</t>
  </si>
  <si>
    <t>Lakeview Academy</t>
  </si>
  <si>
    <t>Carver High School</t>
  </si>
  <si>
    <t>Charles Drew Charter School Ja/Sa</t>
  </si>
  <si>
    <t>Lasseter Academy</t>
  </si>
  <si>
    <t>Corretta Scott King Womens' Leadership Academy</t>
  </si>
  <si>
    <t>Emporia, VA</t>
  </si>
  <si>
    <t>Light Of The World Of Atlanta</t>
  </si>
  <si>
    <t>Douglass High School</t>
  </si>
  <si>
    <t>Marist School</t>
  </si>
  <si>
    <t>Druid Hills High School</t>
  </si>
  <si>
    <t>Memorial Day School</t>
  </si>
  <si>
    <t>Early College High School At Carver</t>
  </si>
  <si>
    <t>Midtown International School</t>
  </si>
  <si>
    <t>Grady High School</t>
  </si>
  <si>
    <t>Miller's Military Academy</t>
  </si>
  <si>
    <t>Hapeville Charter Career Academy</t>
  </si>
  <si>
    <t>Nathanael Greene Academy</t>
  </si>
  <si>
    <t>Siloam</t>
  </si>
  <si>
    <t>Kipp Atlanta Collegiate Academy</t>
  </si>
  <si>
    <t>National High School</t>
  </si>
  <si>
    <t>Peachtree Corners</t>
  </si>
  <si>
    <t>Notre Dame Academy</t>
  </si>
  <si>
    <t>Duluth</t>
  </si>
  <si>
    <t>Maynard H. Jackson- Jr. High School</t>
  </si>
  <si>
    <t>Oak Mountain Academy</t>
  </si>
  <si>
    <t>Mays High School</t>
  </si>
  <si>
    <t>Paideia School</t>
  </si>
  <si>
    <t>Mcnair High School</t>
  </si>
  <si>
    <t>Paul Anderson High School</t>
  </si>
  <si>
    <t>Vidalia</t>
  </si>
  <si>
    <t>North Atlanta High School</t>
  </si>
  <si>
    <t>Peachtree Academy</t>
  </si>
  <si>
    <t>Conyers</t>
  </si>
  <si>
    <t>Piedmont Academy</t>
  </si>
  <si>
    <t>North Springs High School</t>
  </si>
  <si>
    <t>Pinecrest Academy</t>
  </si>
  <si>
    <t>Cumming</t>
  </si>
  <si>
    <t>Riverwood International Charter School</t>
  </si>
  <si>
    <t>Ottawa, KS</t>
  </si>
  <si>
    <t>Praise Academy</t>
  </si>
  <si>
    <t>South Atlanta High School</t>
  </si>
  <si>
    <t>Rivers Academy</t>
  </si>
  <si>
    <t>Therrell High School</t>
  </si>
  <si>
    <t>Rivers Academy   Atlanta</t>
  </si>
  <si>
    <t>Savannah Country Day School</t>
  </si>
  <si>
    <t>Academy Of Richmond County High School</t>
  </si>
  <si>
    <t>Southwest Georgia Academy</t>
  </si>
  <si>
    <t>Damascus</t>
  </si>
  <si>
    <t>Southwest Georgia Institute Of Education</t>
  </si>
  <si>
    <t>Alternative Education Center At Lamar</t>
  </si>
  <si>
    <t>Butler High School</t>
  </si>
  <si>
    <t>St Francis Day School</t>
  </si>
  <si>
    <t>Cross Creek High School</t>
  </si>
  <si>
    <t>St Nicholas Orthodox Academy</t>
  </si>
  <si>
    <t>St Vincents Academy</t>
  </si>
  <si>
    <t>Davidson Magnet School</t>
  </si>
  <si>
    <t>Stratford Academy</t>
  </si>
  <si>
    <t>Macon</t>
  </si>
  <si>
    <t>Glenn Hills High School</t>
  </si>
  <si>
    <t>Tattnall Square Academy</t>
  </si>
  <si>
    <t>Johnson Magnet</t>
  </si>
  <si>
    <t>Forest Park</t>
  </si>
  <si>
    <t>Josey High School</t>
  </si>
  <si>
    <t>North Chicago, IL</t>
  </si>
  <si>
    <t>The Campus Schools</t>
  </si>
  <si>
    <t>Peachtree City</t>
  </si>
  <si>
    <t>Laney High School</t>
  </si>
  <si>
    <t>The Galloway School</t>
  </si>
  <si>
    <t>Performance Learning Center</t>
  </si>
  <si>
    <t>The Habersham School</t>
  </si>
  <si>
    <t>Richmond County Technical Career Magnet School</t>
  </si>
  <si>
    <t>The Heritage School</t>
  </si>
  <si>
    <t>Newnan</t>
  </si>
  <si>
    <t>South Cobb High School</t>
  </si>
  <si>
    <t>The Lovett School</t>
  </si>
  <si>
    <t>Austell</t>
  </si>
  <si>
    <t>The Mount Vernon School</t>
  </si>
  <si>
    <t>Dekalb School Of The Arts</t>
  </si>
  <si>
    <t>Avondale Estates</t>
  </si>
  <si>
    <t>The New School</t>
  </si>
  <si>
    <t>Bainbridge High School</t>
  </si>
  <si>
    <t>Bainbridge</t>
  </si>
  <si>
    <t>The Sae School</t>
  </si>
  <si>
    <t>New Beginning Learning Center</t>
  </si>
  <si>
    <t>The Walker School</t>
  </si>
  <si>
    <t>Lamar County High School</t>
  </si>
  <si>
    <t>Barnesville</t>
  </si>
  <si>
    <t>Thomas Jefferson Academy</t>
  </si>
  <si>
    <t>Appling County High School</t>
  </si>
  <si>
    <t>Baxley</t>
  </si>
  <si>
    <t>Pierce County High School</t>
  </si>
  <si>
    <t>Blackshear</t>
  </si>
  <si>
    <t>Valwood School</t>
  </si>
  <si>
    <t>Byfield, MA</t>
  </si>
  <si>
    <t>Hahira</t>
  </si>
  <si>
    <t>Blairsville</t>
  </si>
  <si>
    <t>Early County High School</t>
  </si>
  <si>
    <t>Weber School</t>
  </si>
  <si>
    <t>Blakely</t>
  </si>
  <si>
    <t>Westminster Schools Of Augusta</t>
  </si>
  <si>
    <t>New Hampstead High School</t>
  </si>
  <si>
    <t>Bloomingdale</t>
  </si>
  <si>
    <t>Westwood Schools</t>
  </si>
  <si>
    <t>Camilla</t>
  </si>
  <si>
    <t>Fannin County High School</t>
  </si>
  <si>
    <t>Blue Ridge</t>
  </si>
  <si>
    <t>Whitefield Academy</t>
  </si>
  <si>
    <t>North Oconee High School</t>
  </si>
  <si>
    <t>Bogart</t>
  </si>
  <si>
    <t>Windsor Academy</t>
  </si>
  <si>
    <t>Bowdon High School</t>
  </si>
  <si>
    <t>Akaula School</t>
  </si>
  <si>
    <t>Bowdon</t>
  </si>
  <si>
    <t>Kaunakakai</t>
  </si>
  <si>
    <t>Kidspeace</t>
  </si>
  <si>
    <t>American Renaissance Academy</t>
  </si>
  <si>
    <t>Kapolei</t>
  </si>
  <si>
    <t>Bremen High School</t>
  </si>
  <si>
    <t>Damien Memorial School</t>
  </si>
  <si>
    <t>Cross Keys High School</t>
  </si>
  <si>
    <t>Haleakala Waldorf School</t>
  </si>
  <si>
    <t>Brookhaven</t>
  </si>
  <si>
    <t>Kula</t>
  </si>
  <si>
    <t>Southeast Bulloch High School</t>
  </si>
  <si>
    <t>Brooklet</t>
  </si>
  <si>
    <t>Hanalani Schools</t>
  </si>
  <si>
    <t>Mililani</t>
  </si>
  <si>
    <t>Brunswick High School</t>
  </si>
  <si>
    <t>Brunswick</t>
  </si>
  <si>
    <t>Hawaii Preparatory Academy</t>
  </si>
  <si>
    <t>Kamuela</t>
  </si>
  <si>
    <t>Glynn Academy</t>
  </si>
  <si>
    <t>Hawaiian Mission Academy</t>
  </si>
  <si>
    <t>Morningstar Treatment Services- Inc. Youth Estate</t>
  </si>
  <si>
    <t>Fond Du Lac, WI</t>
  </si>
  <si>
    <t>Ho'Ala School</t>
  </si>
  <si>
    <t>Wahiawa</t>
  </si>
  <si>
    <t>Marion County Middle/High School</t>
  </si>
  <si>
    <t>Honolulu Waldorf School</t>
  </si>
  <si>
    <t>Buford High School</t>
  </si>
  <si>
    <t>Iolani School</t>
  </si>
  <si>
    <t>Le Jardin Academy</t>
  </si>
  <si>
    <t>Kailua</t>
  </si>
  <si>
    <t>Maryknoll School</t>
  </si>
  <si>
    <t>Cairo High School</t>
  </si>
  <si>
    <t>Cairo</t>
  </si>
  <si>
    <t>Maui Preparatory Academy</t>
  </si>
  <si>
    <t>Lahaina</t>
  </si>
  <si>
    <t>Gordon Central High School</t>
  </si>
  <si>
    <t>Mid Pacific Institute</t>
  </si>
  <si>
    <t>Sonoraville High School</t>
  </si>
  <si>
    <t>Parker School</t>
  </si>
  <si>
    <t>Mitchell County High School</t>
  </si>
  <si>
    <t>Punahou School</t>
  </si>
  <si>
    <t>Seabury Hall</t>
  </si>
  <si>
    <t>Makawao</t>
  </si>
  <si>
    <t>Creekview High School</t>
  </si>
  <si>
    <t>St Anthony School</t>
  </si>
  <si>
    <t>Wailuku</t>
  </si>
  <si>
    <t>Sequoyah High School</t>
  </si>
  <si>
    <t>St Joseph School</t>
  </si>
  <si>
    <t>Hilo</t>
  </si>
  <si>
    <t>Franklin County High School</t>
  </si>
  <si>
    <t>Carnesville</t>
  </si>
  <si>
    <t>Bishop Kelly High School</t>
  </si>
  <si>
    <t>Boise</t>
  </si>
  <si>
    <t>Carrollton High School</t>
  </si>
  <si>
    <t>Union, MO</t>
  </si>
  <si>
    <t>Genesis Preparatory Academy</t>
  </si>
  <si>
    <t>Greenleaf Friends Academy</t>
  </si>
  <si>
    <t>Greenleaf</t>
  </si>
  <si>
    <t>Logos School</t>
  </si>
  <si>
    <t>Mt. Zion High School</t>
  </si>
  <si>
    <t>Moscow</t>
  </si>
  <si>
    <t>Project Patch</t>
  </si>
  <si>
    <t>Cartersville High School</t>
  </si>
  <si>
    <t>Cartersville</t>
  </si>
  <si>
    <t>Sequel Tsi Idaho</t>
  </si>
  <si>
    <t>Sheridan Academy</t>
  </si>
  <si>
    <t>Cedartown High School</t>
  </si>
  <si>
    <t>Cedartown</t>
  </si>
  <si>
    <t>St Dominic's</t>
  </si>
  <si>
    <t>Harpst Academy</t>
  </si>
  <si>
    <t>St Joseph Minor Seminary</t>
  </si>
  <si>
    <t>Rathdrum</t>
  </si>
  <si>
    <t>Chamblee Charter High School</t>
  </si>
  <si>
    <t>Chamblee</t>
  </si>
  <si>
    <t>Summit Academy</t>
  </si>
  <si>
    <t>Murray County High School</t>
  </si>
  <si>
    <t>The Ambrose School</t>
  </si>
  <si>
    <t>North Murray High School</t>
  </si>
  <si>
    <t>The Sage School</t>
  </si>
  <si>
    <t>Hailey</t>
  </si>
  <si>
    <t>Gordon Lee High School</t>
  </si>
  <si>
    <t>Chickamauga</t>
  </si>
  <si>
    <t>Watersprings School</t>
  </si>
  <si>
    <t>Idaho Falls</t>
  </si>
  <si>
    <t>Clarkston High School</t>
  </si>
  <si>
    <t>Academy Of Scholastic Achievement</t>
  </si>
  <si>
    <t>Claxton High School</t>
  </si>
  <si>
    <t>Claxton</t>
  </si>
  <si>
    <t>Alleman High School</t>
  </si>
  <si>
    <t>Second Chance</t>
  </si>
  <si>
    <t>American School</t>
  </si>
  <si>
    <t>Mountain Education Charter High School</t>
  </si>
  <si>
    <t>Lansing</t>
  </si>
  <si>
    <t>Woodway, TX</t>
  </si>
  <si>
    <t>Br Rice High School</t>
  </si>
  <si>
    <t>White County High School</t>
  </si>
  <si>
    <t>Bleckley County High School</t>
  </si>
  <si>
    <t>Carra Academy</t>
  </si>
  <si>
    <t>Bleckley County Success Academy</t>
  </si>
  <si>
    <t>Hazel Crest</t>
  </si>
  <si>
    <t>Chesterton Academy Of Holy Family</t>
  </si>
  <si>
    <t>Banneker High School</t>
  </si>
  <si>
    <t>Lisle</t>
  </si>
  <si>
    <t>Chicago Hope Academy</t>
  </si>
  <si>
    <t>North Clayton High School</t>
  </si>
  <si>
    <t>College Preparatory School Of America</t>
  </si>
  <si>
    <t>Lombard</t>
  </si>
  <si>
    <t>Miller County High School</t>
  </si>
  <si>
    <t>Colquitt</t>
  </si>
  <si>
    <t>Cs Academy</t>
  </si>
  <si>
    <t>De La Salle Institute - Institute Campus</t>
  </si>
  <si>
    <t>Columbus High School</t>
  </si>
  <si>
    <t>Depaul College Prep</t>
  </si>
  <si>
    <t>Early College Academy Of Columbus At Waverly Terrace</t>
  </si>
  <si>
    <t>Fenwick High School</t>
  </si>
  <si>
    <t>Hardaway High School</t>
  </si>
  <si>
    <t>Governor French Academy</t>
  </si>
  <si>
    <t>Belleville</t>
  </si>
  <si>
    <t>Jordan Vocational High School</t>
  </si>
  <si>
    <t>Josephinum Academy Of The Sacred Heart</t>
  </si>
  <si>
    <t>Kendrick High School</t>
  </si>
  <si>
    <t>Lake Forest Academy</t>
  </si>
  <si>
    <t>Marmion Academy</t>
  </si>
  <si>
    <t>Shaw High School</t>
  </si>
  <si>
    <t>Breese</t>
  </si>
  <si>
    <t>Spencer High School</t>
  </si>
  <si>
    <t>Mid-America Preparatory School</t>
  </si>
  <si>
    <t>Herrick</t>
  </si>
  <si>
    <t>Commerce High School</t>
  </si>
  <si>
    <t>Morgan Park Academy</t>
  </si>
  <si>
    <t>Commerce</t>
  </si>
  <si>
    <t>Mother Mcauley Liberal Arts High School</t>
  </si>
  <si>
    <t>East Jackson Comprehensive High School</t>
  </si>
  <si>
    <t>Mount Carmel High School</t>
  </si>
  <si>
    <t>Nazareth Academy</t>
  </si>
  <si>
    <t>La Grange Park</t>
  </si>
  <si>
    <t>Rockdale County High School</t>
  </si>
  <si>
    <t>North Shore Country Day School</t>
  </si>
  <si>
    <t>Winnetka</t>
  </si>
  <si>
    <t>Northridge Preparatory School</t>
  </si>
  <si>
    <t>Niles</t>
  </si>
  <si>
    <t>Crisp County High School</t>
  </si>
  <si>
    <t>Notre Dame College Prep</t>
  </si>
  <si>
    <t>Alcovy High School</t>
  </si>
  <si>
    <t>Notre Dame De La Salette Boys Academy</t>
  </si>
  <si>
    <t>Covington</t>
  </si>
  <si>
    <t>Our Lady Of Tepeyac High School</t>
  </si>
  <si>
    <t>Our Lady Sacred Heart Academy</t>
  </si>
  <si>
    <t>Newton High School</t>
  </si>
  <si>
    <t>Peoria Notre Dame High School</t>
  </si>
  <si>
    <t>Forsyth Central High School</t>
  </si>
  <si>
    <t>Dundee, IL</t>
  </si>
  <si>
    <t>Providence St. Mel School</t>
  </si>
  <si>
    <t>North Forsyth High School</t>
  </si>
  <si>
    <t>Quincy Notre Dame High School</t>
  </si>
  <si>
    <t>South Forsyth High School</t>
  </si>
  <si>
    <t>Regina Dominican High School</t>
  </si>
  <si>
    <t>Wilmette</t>
  </si>
  <si>
    <t>West Forsyth High School</t>
  </si>
  <si>
    <t>Resurrection College Prep High School</t>
  </si>
  <si>
    <t>Rockford Iqra' School</t>
  </si>
  <si>
    <t>Chattahoochee County High School</t>
  </si>
  <si>
    <t>Cusseta</t>
  </si>
  <si>
    <t>Rosary High School</t>
  </si>
  <si>
    <t>Randolph Clay High School</t>
  </si>
  <si>
    <t>Cuthbert</t>
  </si>
  <si>
    <t>Roycemore School</t>
  </si>
  <si>
    <t>Dacula High School</t>
  </si>
  <si>
    <t>Dacula</t>
  </si>
  <si>
    <t>Sacred Heart Griffin High School</t>
  </si>
  <si>
    <t>Lumpkin County High School</t>
  </si>
  <si>
    <t>Dahlonega</t>
  </si>
  <si>
    <t>Salem Ranch Jr Sr High School</t>
  </si>
  <si>
    <t>Flanagan</t>
  </si>
  <si>
    <t>East Paulding High School</t>
  </si>
  <si>
    <t>North Paulding High School</t>
  </si>
  <si>
    <t>St Bede Academy</t>
  </si>
  <si>
    <t>Peru</t>
  </si>
  <si>
    <t>St Benedict Preparatory School</t>
  </si>
  <si>
    <t>Paulding County High School</t>
  </si>
  <si>
    <t>Wheaton</t>
  </si>
  <si>
    <t>Coahulla Creek High School</t>
  </si>
  <si>
    <t>St Ignatius College Prep</t>
  </si>
  <si>
    <t>Madison, WI</t>
  </si>
  <si>
    <t>Dalton High School</t>
  </si>
  <si>
    <t>St Laurence H.S.</t>
  </si>
  <si>
    <t>St Rita Of Cascia High School</t>
  </si>
  <si>
    <t>Morris Innovative High School</t>
  </si>
  <si>
    <t>St Viator High School</t>
  </si>
  <si>
    <t>Arlington Heights</t>
  </si>
  <si>
    <t>Phoenix High School</t>
  </si>
  <si>
    <t>Sterling West Chicago Campus</t>
  </si>
  <si>
    <t>Elk Grove Village</t>
  </si>
  <si>
    <t>Southeast Whitfield County High School</t>
  </si>
  <si>
    <t>Telshe High School</t>
  </si>
  <si>
    <t>Foothills Charter High School (Central Office - Madison)</t>
  </si>
  <si>
    <t>Danielsville</t>
  </si>
  <si>
    <t>The High School Of Saint Thomas More</t>
  </si>
  <si>
    <t>Mcintosh Academy</t>
  </si>
  <si>
    <t>The Willows Academy</t>
  </si>
  <si>
    <t>Des Plaines</t>
  </si>
  <si>
    <t>Terrell High School</t>
  </si>
  <si>
    <t>Dawson</t>
  </si>
  <si>
    <t>Treland Academy</t>
  </si>
  <si>
    <t>Dawson County High School</t>
  </si>
  <si>
    <t>Dawsonville</t>
  </si>
  <si>
    <t>Univ Of Chicago Lab School</t>
  </si>
  <si>
    <t>Universal School</t>
  </si>
  <si>
    <t>Bridgeview</t>
  </si>
  <si>
    <t>Yorkville Chrisitan High School</t>
  </si>
  <si>
    <t>Yorkville</t>
  </si>
  <si>
    <t>Southwest Dekalb High School</t>
  </si>
  <si>
    <t>Andrean High School</t>
  </si>
  <si>
    <t>Merrillville</t>
  </si>
  <si>
    <t>Towers High School</t>
  </si>
  <si>
    <t>Bishop Chatard</t>
  </si>
  <si>
    <t>West Laurens High School</t>
  </si>
  <si>
    <t>Dexter</t>
  </si>
  <si>
    <t>Bishop Dwenger High School</t>
  </si>
  <si>
    <t>Myersville, MD</t>
  </si>
  <si>
    <t>Fort Wayne</t>
  </si>
  <si>
    <t>Bishop Luers High School</t>
  </si>
  <si>
    <t>Seminole County Middle/High School</t>
  </si>
  <si>
    <t>Donalsonville</t>
  </si>
  <si>
    <t>Tapestry Public Charter School</t>
  </si>
  <si>
    <t>Doraville</t>
  </si>
  <si>
    <t>Cornerstone Private School</t>
  </si>
  <si>
    <t>Coffee County High School</t>
  </si>
  <si>
    <t>Culver Academics</t>
  </si>
  <si>
    <t>Culver</t>
  </si>
  <si>
    <t>Wiregrass Regional College And Career Academy</t>
  </si>
  <si>
    <t>Eman Schools</t>
  </si>
  <si>
    <t>Evansville Day School</t>
  </si>
  <si>
    <t>Evansville</t>
  </si>
  <si>
    <t>Alexander High School</t>
  </si>
  <si>
    <t>Douglasville</t>
  </si>
  <si>
    <t>Hope Bapist Academy</t>
  </si>
  <si>
    <t>Chapel Hill High School</t>
  </si>
  <si>
    <t>Indiana Academy</t>
  </si>
  <si>
    <t>Cicero</t>
  </si>
  <si>
    <t>International School Of Indiana</t>
  </si>
  <si>
    <t>New Manchester High School</t>
  </si>
  <si>
    <t>King's Academy</t>
  </si>
  <si>
    <t>South Paulding High School</t>
  </si>
  <si>
    <t>La Lumiere School</t>
  </si>
  <si>
    <t>Laporte</t>
  </si>
  <si>
    <t>Marian High School</t>
  </si>
  <si>
    <t>Mishawaka</t>
  </si>
  <si>
    <t>East Laurens High School</t>
  </si>
  <si>
    <t>Johnston, RI</t>
  </si>
  <si>
    <t>New Hope School</t>
  </si>
  <si>
    <t>Rossville</t>
  </si>
  <si>
    <t>Moore Street Facility</t>
  </si>
  <si>
    <t>Oldenburg Academy</t>
  </si>
  <si>
    <t>Oldenburg</t>
  </si>
  <si>
    <t>Duluth High School</t>
  </si>
  <si>
    <t>Our Lady Of Providence Jr-Sr High School</t>
  </si>
  <si>
    <t>Park Tudor School</t>
  </si>
  <si>
    <t>Georgia Connections Academy</t>
  </si>
  <si>
    <t>Reitz Memorial High School</t>
  </si>
  <si>
    <t>Rivet Jr Sr High School</t>
  </si>
  <si>
    <t>Vincennes</t>
  </si>
  <si>
    <t>Dunwoody High School</t>
  </si>
  <si>
    <t>Dunwoody</t>
  </si>
  <si>
    <t>Roncalli High School</t>
  </si>
  <si>
    <t>Fulton Leadership Academy</t>
  </si>
  <si>
    <t>East Point</t>
  </si>
  <si>
    <t>Scecina Memorial High School</t>
  </si>
  <si>
    <t>Tri-Cities High School</t>
  </si>
  <si>
    <t>School Of Knowledge</t>
  </si>
  <si>
    <t>Dac (Dodge County Achievement Center)</t>
  </si>
  <si>
    <t>Eastman</t>
  </si>
  <si>
    <t>Shawe Memorial Jr-Sr High School</t>
  </si>
  <si>
    <t>Dodge County High School</t>
  </si>
  <si>
    <t>Putnam County High School</t>
  </si>
  <si>
    <t>South Bend</t>
  </si>
  <si>
    <t>St Theodore Guerin High School</t>
  </si>
  <si>
    <t>Calhoun County High School</t>
  </si>
  <si>
    <t>Noblesville</t>
  </si>
  <si>
    <t>University High School Of Indiana</t>
  </si>
  <si>
    <t>Elbert County High School</t>
  </si>
  <si>
    <t>Elberton</t>
  </si>
  <si>
    <t>Bishop Garrigan High School</t>
  </si>
  <si>
    <t>Algona</t>
  </si>
  <si>
    <t>Schley Middle High School</t>
  </si>
  <si>
    <t>Ellaville</t>
  </si>
  <si>
    <t>Bridgewood Education</t>
  </si>
  <si>
    <t>Council Bluffs</t>
  </si>
  <si>
    <t>Helena, MT</t>
  </si>
  <si>
    <t>Cedar Grove High School</t>
  </si>
  <si>
    <t>Ellenwood</t>
  </si>
  <si>
    <t>Burlington Notre Dame</t>
  </si>
  <si>
    <t>Gilmer High School</t>
  </si>
  <si>
    <t>Ellijay</t>
  </si>
  <si>
    <t>Burlington Notre Dame Jr/Sr High School</t>
  </si>
  <si>
    <t>Pleasant Valley Innovative School</t>
  </si>
  <si>
    <t>Eton</t>
  </si>
  <si>
    <t>Clarinda Academy</t>
  </si>
  <si>
    <t>Clarinda</t>
  </si>
  <si>
    <t>Evans High School</t>
  </si>
  <si>
    <t>Iowa Mennonite School</t>
  </si>
  <si>
    <t>Kalona</t>
  </si>
  <si>
    <t>Morning Star Academy</t>
  </si>
  <si>
    <t>Bettendorf</t>
  </si>
  <si>
    <t>Rivermont Collegiate</t>
  </si>
  <si>
    <t>St Catherine-St Marys Grade School</t>
  </si>
  <si>
    <t>Fairburn</t>
  </si>
  <si>
    <t>Remsen</t>
  </si>
  <si>
    <t>Langston Hughes High School</t>
  </si>
  <si>
    <t>St Mary S High School</t>
  </si>
  <si>
    <t>Cedar Rapids</t>
  </si>
  <si>
    <t>Berean Academy</t>
  </si>
  <si>
    <t>Starrs Mill High School</t>
  </si>
  <si>
    <t>Elbing</t>
  </si>
  <si>
    <t>Bishop Miege High School</t>
  </si>
  <si>
    <t>Roeland Park</t>
  </si>
  <si>
    <t>Whitewater High School</t>
  </si>
  <si>
    <t>Bishop Seabury Academy</t>
  </si>
  <si>
    <t>Fitzgerald High School</t>
  </si>
  <si>
    <t>Fitzgerald</t>
  </si>
  <si>
    <t>Bishop Ward High School</t>
  </si>
  <si>
    <t>Louisville, CO</t>
  </si>
  <si>
    <t>Cherokee Bluff High School</t>
  </si>
  <si>
    <t>Flowery Branch</t>
  </si>
  <si>
    <t>Classical School Of Wichita</t>
  </si>
  <si>
    <t>Flowery Branch High School</t>
  </si>
  <si>
    <t>Heritage Online Academy</t>
  </si>
  <si>
    <t>Charlton County High School</t>
  </si>
  <si>
    <t>Folkston</t>
  </si>
  <si>
    <t>Life Preparatory Academy</t>
  </si>
  <si>
    <t>Forest Park High School</t>
  </si>
  <si>
    <t>Maur Hill - Mount Academy</t>
  </si>
  <si>
    <t>Atchison</t>
  </si>
  <si>
    <t>St James Academy</t>
  </si>
  <si>
    <t>Lenexa</t>
  </si>
  <si>
    <t>Mary Persons High School</t>
  </si>
  <si>
    <t>Forsyth</t>
  </si>
  <si>
    <t>St John's Grade School</t>
  </si>
  <si>
    <t>Lakeview-Fort Oglethorpe High School</t>
  </si>
  <si>
    <t>Fort Oglethorpe</t>
  </si>
  <si>
    <t>St John's Military School</t>
  </si>
  <si>
    <t>Salina</t>
  </si>
  <si>
    <t>Peach County High School</t>
  </si>
  <si>
    <t>Fort Valley</t>
  </si>
  <si>
    <t>St Marys Colgan Jr/Sr High School</t>
  </si>
  <si>
    <t>Heard County High School</t>
  </si>
  <si>
    <t>St Thomas Aquinas Hs</t>
  </si>
  <si>
    <t>Alternative Learning Center</t>
  </si>
  <si>
    <t>The Independent School</t>
  </si>
  <si>
    <t>Chestatee High School</t>
  </si>
  <si>
    <t>Thomas More Prep-Marian High</t>
  </si>
  <si>
    <t>East Hall High School</t>
  </si>
  <si>
    <t>Wichita Collegiate School</t>
  </si>
  <si>
    <t>Assumption High School</t>
  </si>
  <si>
    <t>Johnson High School</t>
  </si>
  <si>
    <t>Bishop Brossart High School</t>
  </si>
  <si>
    <t>Jacksboro, TN</t>
  </si>
  <si>
    <t>Lanier College And Career Academy</t>
  </si>
  <si>
    <t>De Sales High School</t>
  </si>
  <si>
    <t>North Hall High School</t>
  </si>
  <si>
    <t>Holy Cross District High School</t>
  </si>
  <si>
    <t>Quitman County High School</t>
  </si>
  <si>
    <t>Glascock County Middle/High School</t>
  </si>
  <si>
    <t>Gibson</t>
  </si>
  <si>
    <t>Holy Family School</t>
  </si>
  <si>
    <t>Ashland</t>
  </si>
  <si>
    <t>Jones County High School</t>
  </si>
  <si>
    <t>Gray</t>
  </si>
  <si>
    <t>June Buchanan School</t>
  </si>
  <si>
    <t>Pippa Passes</t>
  </si>
  <si>
    <t>Kentucky Country Day School</t>
  </si>
  <si>
    <t>Mercy Academy</t>
  </si>
  <si>
    <t>Mount Carmel School</t>
  </si>
  <si>
    <t>Az Kelsey Academy</t>
  </si>
  <si>
    <t>Griffin</t>
  </si>
  <si>
    <t>Griffin High School</t>
  </si>
  <si>
    <t>Park Hills</t>
  </si>
  <si>
    <t>Spalding High School</t>
  </si>
  <si>
    <t>Sayre School</t>
  </si>
  <si>
    <t>Grovetown High School</t>
  </si>
  <si>
    <t>Grovetown</t>
  </si>
  <si>
    <t>Sphinx Academy</t>
  </si>
  <si>
    <t>South Effingham High School</t>
  </si>
  <si>
    <t>Guyton</t>
  </si>
  <si>
    <t>St Francis School</t>
  </si>
  <si>
    <t>Fremont, OH</t>
  </si>
  <si>
    <t>Harris County High School</t>
  </si>
  <si>
    <t>St Henry District High School</t>
  </si>
  <si>
    <t>Erlanger</t>
  </si>
  <si>
    <t>St Patrick School</t>
  </si>
  <si>
    <t>Dutchtown High School</t>
  </si>
  <si>
    <t>Maysville</t>
  </si>
  <si>
    <t>St Xavier High School</t>
  </si>
  <si>
    <t>The David School</t>
  </si>
  <si>
    <t>Lovejoy High School</t>
  </si>
  <si>
    <t>David</t>
  </si>
  <si>
    <t>Harlem High School</t>
  </si>
  <si>
    <t>Harlem</t>
  </si>
  <si>
    <t>Walden School Corporation</t>
  </si>
  <si>
    <t>Hart County High School</t>
  </si>
  <si>
    <t>Hawkinsville High School</t>
  </si>
  <si>
    <t>Hawkinsville</t>
  </si>
  <si>
    <t>A Different World Academy</t>
  </si>
  <si>
    <t>Gretna</t>
  </si>
  <si>
    <t>Jeff Davis High School</t>
  </si>
  <si>
    <t>Hazlehurst</t>
  </si>
  <si>
    <t>Academy Of Our Lady</t>
  </si>
  <si>
    <t>Marrero</t>
  </si>
  <si>
    <t>Hephzibah High School</t>
  </si>
  <si>
    <t>Hephzibah</t>
  </si>
  <si>
    <t>Academy Of The Sacred Heart</t>
  </si>
  <si>
    <t>Towns County High School</t>
  </si>
  <si>
    <t>Archbishop Chapelle High School</t>
  </si>
  <si>
    <t>Metairie</t>
  </si>
  <si>
    <t>Archbishop Hannan High School</t>
  </si>
  <si>
    <t>Bradwell Institute</t>
  </si>
  <si>
    <t>Hinesville</t>
  </si>
  <si>
    <t>Archbishop Rummel High School</t>
  </si>
  <si>
    <t>Lenoir, NC</t>
  </si>
  <si>
    <t>Archbishop Shaw High School</t>
  </si>
  <si>
    <t>Hiram High School</t>
  </si>
  <si>
    <t>Briarfield Academy</t>
  </si>
  <si>
    <t>Lake Providence</t>
  </si>
  <si>
    <t>Callaway High School</t>
  </si>
  <si>
    <t>Hogansville</t>
  </si>
  <si>
    <t>Cabrini High School</t>
  </si>
  <si>
    <t>Banks County High School</t>
  </si>
  <si>
    <t>Cedar Creek School</t>
  </si>
  <si>
    <t>Ruston</t>
  </si>
  <si>
    <t>Clinch County High School</t>
  </si>
  <si>
    <t>Central Private School</t>
  </si>
  <si>
    <t>Homerville</t>
  </si>
  <si>
    <t>Mill Creek High School</t>
  </si>
  <si>
    <t>Hoschton</t>
  </si>
  <si>
    <t>Central School Corporation</t>
  </si>
  <si>
    <t>Grand Cane</t>
  </si>
  <si>
    <t>Wilkinson County High School</t>
  </si>
  <si>
    <t>Irwinton</t>
  </si>
  <si>
    <t>Claiborne Academy</t>
  </si>
  <si>
    <t>Haynesville</t>
  </si>
  <si>
    <t>False River Academy</t>
  </si>
  <si>
    <t>New Roads</t>
  </si>
  <si>
    <t>Jackson County Comprehensive High School</t>
  </si>
  <si>
    <t>Franklin Academy</t>
  </si>
  <si>
    <t>Winnsboro</t>
  </si>
  <si>
    <t>Glenbrook School</t>
  </si>
  <si>
    <t>Minden</t>
  </si>
  <si>
    <t>Twiggs County High School</t>
  </si>
  <si>
    <t>Hanson Memorial High School</t>
  </si>
  <si>
    <t>Holy Rosary Academy &amp; High School</t>
  </si>
  <si>
    <t>Wayne County High School</t>
  </si>
  <si>
    <t>Jesup</t>
  </si>
  <si>
    <t>Holy Savior Menard High School</t>
  </si>
  <si>
    <t>Johns Creek High School</t>
  </si>
  <si>
    <t>Johns Creek</t>
  </si>
  <si>
    <t>John Paul The Great Academy</t>
  </si>
  <si>
    <t>Elite Scholars Academy School</t>
  </si>
  <si>
    <t>Newark, DE</t>
  </si>
  <si>
    <t>Knights Academy &amp; High School Llc</t>
  </si>
  <si>
    <t>Jonesboro High School</t>
  </si>
  <si>
    <t>Louise S Mcgehee School</t>
  </si>
  <si>
    <t>Martha Ellen Stilwell School For The Performing Arts</t>
  </si>
  <si>
    <t>Loyola College Preparatory High School</t>
  </si>
  <si>
    <t>Shreveport</t>
  </si>
  <si>
    <t>Mount Zion High School</t>
  </si>
  <si>
    <t>Metairie Park Country Day School</t>
  </si>
  <si>
    <t>Mundy'S Mill High School</t>
  </si>
  <si>
    <t>Mount Carmel Academy</t>
  </si>
  <si>
    <t>Perry Career Academy - Eula Wilburn Ponds Perry Center For</t>
  </si>
  <si>
    <t>Muslim Academy</t>
  </si>
  <si>
    <t>Veterans High School</t>
  </si>
  <si>
    <t>Kathleen</t>
  </si>
  <si>
    <t>New Living Word School</t>
  </si>
  <si>
    <t>Kennesaw</t>
  </si>
  <si>
    <t>Crowley</t>
  </si>
  <si>
    <t>Kennesaw Mountain High School</t>
  </si>
  <si>
    <t>Oak Forest Academy</t>
  </si>
  <si>
    <t>Amite</t>
  </si>
  <si>
    <t>North Cobb High School</t>
  </si>
  <si>
    <t>Odyssey House Academy</t>
  </si>
  <si>
    <t>Camden County High School</t>
  </si>
  <si>
    <t>Kingsland</t>
  </si>
  <si>
    <t>Prairie View Academy</t>
  </si>
  <si>
    <t>Bastrop</t>
  </si>
  <si>
    <t>La Fayette</t>
  </si>
  <si>
    <t>Providence Classical Academy</t>
  </si>
  <si>
    <t>Lagrange High School</t>
  </si>
  <si>
    <t>Ridgewood Preparatory School</t>
  </si>
  <si>
    <t>Troup County High School</t>
  </si>
  <si>
    <t>River Oaks School</t>
  </si>
  <si>
    <t>Middletown, NJ</t>
  </si>
  <si>
    <t>Lanier County High School</t>
  </si>
  <si>
    <t>Riverside Academy</t>
  </si>
  <si>
    <t>Reserve</t>
  </si>
  <si>
    <t>Archer High School</t>
  </si>
  <si>
    <t>Central Gwinnett High School</t>
  </si>
  <si>
    <t>St Frederick High School</t>
  </si>
  <si>
    <t>St John High School</t>
  </si>
  <si>
    <t>Plaquemine</t>
  </si>
  <si>
    <t>Gwinnett School Of Mathematics- Science And Technology</t>
  </si>
  <si>
    <t>St Joseph's Academy</t>
  </si>
  <si>
    <t>Lee County High School</t>
  </si>
  <si>
    <t>St Katharine Drexel Preparotory School</t>
  </si>
  <si>
    <t>St Marys Dominican High School</t>
  </si>
  <si>
    <t>Oglethorpe County High School</t>
  </si>
  <si>
    <t>St Michael The Archangel High School</t>
  </si>
  <si>
    <t>Berkmar High School</t>
  </si>
  <si>
    <t>Lilburn</t>
  </si>
  <si>
    <t>St Pauls School</t>
  </si>
  <si>
    <t>Parkview High School</t>
  </si>
  <si>
    <t>St Scholastica Academy</t>
  </si>
  <si>
    <t>Lincoln County High School</t>
  </si>
  <si>
    <t>St Thomas More High School</t>
  </si>
  <si>
    <t>Pepperell High School</t>
  </si>
  <si>
    <t>Lindale</t>
  </si>
  <si>
    <t>Tallulah Academy</t>
  </si>
  <si>
    <t>Tallulah</t>
  </si>
  <si>
    <t>Lithia Springs Comprehensive High School</t>
  </si>
  <si>
    <t>Lithia Springs</t>
  </si>
  <si>
    <t>Tensas Academy</t>
  </si>
  <si>
    <t>Saint Joseph</t>
  </si>
  <si>
    <t>University Academy</t>
  </si>
  <si>
    <t>Arabia Mountain High School - Academy Of Engineering- Medic</t>
  </si>
  <si>
    <t>Berwyn, IL</t>
  </si>
  <si>
    <t>University Academy Of Central La</t>
  </si>
  <si>
    <t>Lithonia High School</t>
  </si>
  <si>
    <t>Ursuline Academy High School</t>
  </si>
  <si>
    <t>Martin Luther King- Jr. High School</t>
  </si>
  <si>
    <t>Berwick Academy</t>
  </si>
  <si>
    <t>South Berwick</t>
  </si>
  <si>
    <t>Miller Grove High School</t>
  </si>
  <si>
    <t>Blue Hill Harbor School</t>
  </si>
  <si>
    <t>Blue Hill</t>
  </si>
  <si>
    <t>Locust Grove High School</t>
  </si>
  <si>
    <t>Carrabassett Valley Academy</t>
  </si>
  <si>
    <t>Locust Grove</t>
  </si>
  <si>
    <t>Carrabassett Valley</t>
  </si>
  <si>
    <t>Cheverus High School</t>
  </si>
  <si>
    <t>Luella High School</t>
  </si>
  <si>
    <t>Chop Point School</t>
  </si>
  <si>
    <t>Grayson High School</t>
  </si>
  <si>
    <t>Woolwich</t>
  </si>
  <si>
    <t>Erskine Academy</t>
  </si>
  <si>
    <t>South China</t>
  </si>
  <si>
    <t>Loganville High School</t>
  </si>
  <si>
    <t>Foxcroft Academy</t>
  </si>
  <si>
    <t>Dover Foxcroft</t>
  </si>
  <si>
    <t>Walnut Grove High School</t>
  </si>
  <si>
    <t>George Stevens Academy</t>
  </si>
  <si>
    <t>Jefferson County High School</t>
  </si>
  <si>
    <t>Gould Academy</t>
  </si>
  <si>
    <t>Long County High School</t>
  </si>
  <si>
    <t>Ludowici</t>
  </si>
  <si>
    <t>Hebron Academy</t>
  </si>
  <si>
    <t>Stewart County High School</t>
  </si>
  <si>
    <t>Lumpkin</t>
  </si>
  <si>
    <t>John Bapst Memorial High School</t>
  </si>
  <si>
    <t>Toombs County High School</t>
  </si>
  <si>
    <t>Grayslake, IL</t>
  </si>
  <si>
    <t>Kents Hill School</t>
  </si>
  <si>
    <t>Kents Hill</t>
  </si>
  <si>
    <t>Pebblebrook High School</t>
  </si>
  <si>
    <t>Lee</t>
  </si>
  <si>
    <t>Lincoln Academy</t>
  </si>
  <si>
    <t>Newcastle</t>
  </si>
  <si>
    <t>Howard High School</t>
  </si>
  <si>
    <t>Maine Central Institute</t>
  </si>
  <si>
    <t>Pittsfield</t>
  </si>
  <si>
    <t>North Yarmouth Academy</t>
  </si>
  <si>
    <t>Yarmouth</t>
  </si>
  <si>
    <t>Rutland High School</t>
  </si>
  <si>
    <t>Pine Tree Academy</t>
  </si>
  <si>
    <t>Reach School</t>
  </si>
  <si>
    <t>Bucksport</t>
  </si>
  <si>
    <t>St Dominic Academy-Auburn</t>
  </si>
  <si>
    <t>Temple Academy</t>
  </si>
  <si>
    <t>Waterville</t>
  </si>
  <si>
    <t>Morgan County High School</t>
  </si>
  <si>
    <t>The Deck House School</t>
  </si>
  <si>
    <t>Edgecomb</t>
  </si>
  <si>
    <t>Thornton Academy</t>
  </si>
  <si>
    <t>Saco</t>
  </si>
  <si>
    <t>Cobb Horizon High School</t>
  </si>
  <si>
    <t>Washington Academy</t>
  </si>
  <si>
    <t>East Machias</t>
  </si>
  <si>
    <t>George W. Hartmann Center</t>
  </si>
  <si>
    <t>Watershed School</t>
  </si>
  <si>
    <t>Kell High School</t>
  </si>
  <si>
    <t>Waynflete School</t>
  </si>
  <si>
    <t>Milton, FL</t>
  </si>
  <si>
    <t>Academy Of The Holy Cross</t>
  </si>
  <si>
    <t>Kensington</t>
  </si>
  <si>
    <t>Lassiter High School</t>
  </si>
  <si>
    <t>Archbishop Curley High School</t>
  </si>
  <si>
    <t>Marietta High School</t>
  </si>
  <si>
    <t>Archbishop Spalding High School</t>
  </si>
  <si>
    <t>Severn</t>
  </si>
  <si>
    <t>Osborne High School</t>
  </si>
  <si>
    <t>Avalon School</t>
  </si>
  <si>
    <t>Gaithersburg</t>
  </si>
  <si>
    <t>Pope High School</t>
  </si>
  <si>
    <t>Barrie School</t>
  </si>
  <si>
    <t>Silver Spring</t>
  </si>
  <si>
    <t>Sprayberry High School</t>
  </si>
  <si>
    <t>Bishop Mcnamara High School</t>
  </si>
  <si>
    <t>Bishop Walsh School</t>
  </si>
  <si>
    <t>Cumberland</t>
  </si>
  <si>
    <t>Bullis School</t>
  </si>
  <si>
    <t>Potomac</t>
  </si>
  <si>
    <t>Telfair County High School</t>
  </si>
  <si>
    <t>Mc Rae Helena</t>
  </si>
  <si>
    <t>Calvert Hall College High School</t>
  </si>
  <si>
    <t>Eagle'S Landing High School</t>
  </si>
  <si>
    <t>Mcdonough</t>
  </si>
  <si>
    <t>Concordia Preparatory School</t>
  </si>
  <si>
    <t>Towson</t>
  </si>
  <si>
    <t>Excel Academy</t>
  </si>
  <si>
    <t>Connelly School Of The Holy Child</t>
  </si>
  <si>
    <t>Henry County High School</t>
  </si>
  <si>
    <t>Elizabeth Seton High School</t>
  </si>
  <si>
    <t>Bladensburg</t>
  </si>
  <si>
    <t>Ola High School</t>
  </si>
  <si>
    <t>Fairhaven School</t>
  </si>
  <si>
    <t>Union Grove High School</t>
  </si>
  <si>
    <t>Friends Meeting School</t>
  </si>
  <si>
    <t>Ijamsville</t>
  </si>
  <si>
    <t>Coastal Plains Charter High School - Candler Campus</t>
  </si>
  <si>
    <t>Metter</t>
  </si>
  <si>
    <t>Georgetown Preparatory School</t>
  </si>
  <si>
    <t>North Bethesda</t>
  </si>
  <si>
    <t>Metter High School</t>
  </si>
  <si>
    <t>Gerstell Academy</t>
  </si>
  <si>
    <t>Finksburg</t>
  </si>
  <si>
    <t>Baldwin High School</t>
  </si>
  <si>
    <t>Milledgeville</t>
  </si>
  <si>
    <t>Gilman School</t>
  </si>
  <si>
    <t>Glenelg Country School</t>
  </si>
  <si>
    <t>Ellicott City</t>
  </si>
  <si>
    <t>Jenkins County High School</t>
  </si>
  <si>
    <t>Millen</t>
  </si>
  <si>
    <t>Grace Academy</t>
  </si>
  <si>
    <t>Hagerstown</t>
  </si>
  <si>
    <t>Cambridge High School</t>
  </si>
  <si>
    <t>Monroe Area High School</t>
  </si>
  <si>
    <t>High Road Upper School</t>
  </si>
  <si>
    <t>Lanham Md</t>
  </si>
  <si>
    <t>Macon County High School</t>
  </si>
  <si>
    <t>Montezuma</t>
  </si>
  <si>
    <t>Holton-Arms School</t>
  </si>
  <si>
    <t>Bethesda</t>
  </si>
  <si>
    <t>Jasper County High School</t>
  </si>
  <si>
    <t>Huyetts Mennonite School</t>
  </si>
  <si>
    <t>Morrow High School</t>
  </si>
  <si>
    <t>Morrow</t>
  </si>
  <si>
    <t>Indian Creek School</t>
  </si>
  <si>
    <t>Crownsville</t>
  </si>
  <si>
    <t>Colquitt County Achievement Center</t>
  </si>
  <si>
    <t>Moultrie</t>
  </si>
  <si>
    <t>International Connections Academy</t>
  </si>
  <si>
    <t>Habersham Success Academy</t>
  </si>
  <si>
    <t>Mount Airy</t>
  </si>
  <si>
    <t>Jemicy School</t>
  </si>
  <si>
    <t>Owings Mills</t>
  </si>
  <si>
    <t>Montgomery County High School</t>
  </si>
  <si>
    <t>John Carroll School</t>
  </si>
  <si>
    <t>Bel Air</t>
  </si>
  <si>
    <t>Habersham Central High School</t>
  </si>
  <si>
    <t>Mt Airy</t>
  </si>
  <si>
    <t>Key School</t>
  </si>
  <si>
    <t>Annapolis</t>
  </si>
  <si>
    <t>Brantley County High School</t>
  </si>
  <si>
    <t>Nahunta</t>
  </si>
  <si>
    <t>Leonard Hall Jr Naval Academy</t>
  </si>
  <si>
    <t>Leonardtown</t>
  </si>
  <si>
    <t>Pompano Beach, FL</t>
  </si>
  <si>
    <t>Loyola Blakefield</t>
  </si>
  <si>
    <t>Berrien Academy Performance Learning Center</t>
  </si>
  <si>
    <t>Maryvale Preparatory School</t>
  </si>
  <si>
    <t>Lutherville</t>
  </si>
  <si>
    <t>Berrien High School</t>
  </si>
  <si>
    <t>Mc Lean School Of Maryland</t>
  </si>
  <si>
    <t>Newnan High School</t>
  </si>
  <si>
    <t>Mcdonogh School</t>
  </si>
  <si>
    <t>Gwinnett Intervention Education Center (Give) West</t>
  </si>
  <si>
    <t>Mount De Sales Academy</t>
  </si>
  <si>
    <t>Meadowcreek High School</t>
  </si>
  <si>
    <t>Mount Saint Joseph High School</t>
  </si>
  <si>
    <t>Norcross High School</t>
  </si>
  <si>
    <t>New Hope Academy</t>
  </si>
  <si>
    <t>Landover Hills</t>
  </si>
  <si>
    <t>Colquitt County High School</t>
  </si>
  <si>
    <t>Norman Park</t>
  </si>
  <si>
    <t>Notre Dame Preparatory School</t>
  </si>
  <si>
    <t>West Hall High School</t>
  </si>
  <si>
    <t>Oldfields School</t>
  </si>
  <si>
    <t>Sparks Glencoe</t>
  </si>
  <si>
    <t>Irwin County High School</t>
  </si>
  <si>
    <t>Ocilla</t>
  </si>
  <si>
    <t>Our Lady Of Mt Carmel School</t>
  </si>
  <si>
    <t>Essex</t>
  </si>
  <si>
    <t>Roland Park Country School</t>
  </si>
  <si>
    <t>Atkinson County High School</t>
  </si>
  <si>
    <t>Pearson</t>
  </si>
  <si>
    <t>Sandy Springs Friends Middle School</t>
  </si>
  <si>
    <t>Sandy Spring</t>
  </si>
  <si>
    <t>Locke, NY</t>
  </si>
  <si>
    <t>Silver Oak Academy</t>
  </si>
  <si>
    <t>Keymar</t>
  </si>
  <si>
    <t>Bryan County High School</t>
  </si>
  <si>
    <t>Pembroke</t>
  </si>
  <si>
    <t>Smca</t>
  </si>
  <si>
    <t>White Plains</t>
  </si>
  <si>
    <t>Ss Peter &amp; Paul High School</t>
  </si>
  <si>
    <t>Portal Middle/High School</t>
  </si>
  <si>
    <t>Portal</t>
  </si>
  <si>
    <t>St Frances Academy</t>
  </si>
  <si>
    <t>Hillgrove High School</t>
  </si>
  <si>
    <t>St Frances Outreach Center</t>
  </si>
  <si>
    <t>Mceachern High School</t>
  </si>
  <si>
    <t>St James School</t>
  </si>
  <si>
    <t>Webster County High School</t>
  </si>
  <si>
    <t>St Maria Goretti High School</t>
  </si>
  <si>
    <t>Brooks County High School</t>
  </si>
  <si>
    <t>St Mary S Ryken High School</t>
  </si>
  <si>
    <t>Delta Innovative School</t>
  </si>
  <si>
    <t>Tattnall County High School</t>
  </si>
  <si>
    <t>Reidsville</t>
  </si>
  <si>
    <t>St Paul's School</t>
  </si>
  <si>
    <t>Brooklandville</t>
  </si>
  <si>
    <t>Georgia Center</t>
  </si>
  <si>
    <t>Reynolds</t>
  </si>
  <si>
    <t>St Vincent Pallotti High School</t>
  </si>
  <si>
    <t>Richmond Hill High School</t>
  </si>
  <si>
    <t>Richmond Hill</t>
  </si>
  <si>
    <t>Stepping Stones Learning Academy</t>
  </si>
  <si>
    <t>Fruitland</t>
  </si>
  <si>
    <t>Sterling East-Chesapeake Campus</t>
  </si>
  <si>
    <t>Ringgold</t>
  </si>
  <si>
    <t>Joppa</t>
  </si>
  <si>
    <t>Stone Ridge School Of The Sacred Heart</t>
  </si>
  <si>
    <t>Ringgold High School</t>
  </si>
  <si>
    <t>Takoma Academy</t>
  </si>
  <si>
    <t>Charles R. Drew High School</t>
  </si>
  <si>
    <t>Takoma Park</t>
  </si>
  <si>
    <t>Lexington, KY</t>
  </si>
  <si>
    <t>Talmudical Academy-Baltimore</t>
  </si>
  <si>
    <t>The Bryn Mawr School</t>
  </si>
  <si>
    <t>Crawford County High School</t>
  </si>
  <si>
    <t>Roberta</t>
  </si>
  <si>
    <t>The Calverton School</t>
  </si>
  <si>
    <t>Huntingtown</t>
  </si>
  <si>
    <t>Wilcox County High School</t>
  </si>
  <si>
    <t>The Gunston School</t>
  </si>
  <si>
    <t>Rochelle</t>
  </si>
  <si>
    <t>The Heights School</t>
  </si>
  <si>
    <t>Rockmart High School</t>
  </si>
  <si>
    <t>Rockmart</t>
  </si>
  <si>
    <t>The Salisbury School</t>
  </si>
  <si>
    <t>Armuchee High School</t>
  </si>
  <si>
    <t>The Tome School</t>
  </si>
  <si>
    <t>North East</t>
  </si>
  <si>
    <t>Universe Of Future Learning</t>
  </si>
  <si>
    <t>Gwynn Oak</t>
  </si>
  <si>
    <t>Coosa High School</t>
  </si>
  <si>
    <t>West Nottingham Academy</t>
  </si>
  <si>
    <t>Colora</t>
  </si>
  <si>
    <t>Model High School</t>
  </si>
  <si>
    <t>Woodbourne School At Conrad</t>
  </si>
  <si>
    <t>Rome High School</t>
  </si>
  <si>
    <t>Worcester Preparatory School</t>
  </si>
  <si>
    <t>Ridgeland High School</t>
  </si>
  <si>
    <t>Wye River Upper School</t>
  </si>
  <si>
    <t>Academy Of Notre Dame</t>
  </si>
  <si>
    <t>Tyngsboro</t>
  </si>
  <si>
    <t>Roswell High School</t>
  </si>
  <si>
    <t>Archbishop Williams High School</t>
  </si>
  <si>
    <t>Braintree</t>
  </si>
  <si>
    <t>Austin Preparatory School</t>
  </si>
  <si>
    <t>Wheeling, IL</t>
  </si>
  <si>
    <t>Beach High School</t>
  </si>
  <si>
    <t>Bancroft School</t>
  </si>
  <si>
    <t>Beaver Country Day School</t>
  </si>
  <si>
    <t>Groves High School</t>
  </si>
  <si>
    <t>Chestnut Hill</t>
  </si>
  <si>
    <t>Belmont Hill School</t>
  </si>
  <si>
    <t>Islands High School</t>
  </si>
  <si>
    <t>Berkshire School</t>
  </si>
  <si>
    <t>Jenkins High School</t>
  </si>
  <si>
    <t>Bishop Connolly High School</t>
  </si>
  <si>
    <t>Fall River</t>
  </si>
  <si>
    <t>Bishop Feehan</t>
  </si>
  <si>
    <t>Attleboro</t>
  </si>
  <si>
    <t>Savannah Arts Academy</t>
  </si>
  <si>
    <t>Bishop Fenwick High School</t>
  </si>
  <si>
    <t>Peabody</t>
  </si>
  <si>
    <t>Savannah Early College High School</t>
  </si>
  <si>
    <t>Boston College High School</t>
  </si>
  <si>
    <t>Dorchester</t>
  </si>
  <si>
    <t>The School Of Liberal Studies At Savannah High School</t>
  </si>
  <si>
    <t>Brimmer &amp; May School</t>
  </si>
  <si>
    <t>British International School Of Boston</t>
  </si>
  <si>
    <t>Windsor Forest High School</t>
  </si>
  <si>
    <t>Brooks School</t>
  </si>
  <si>
    <t>Woodville-Tompkins Technical And Career High School</t>
  </si>
  <si>
    <t>North Andover</t>
  </si>
  <si>
    <t>Buckingham Browne &amp; Nichols School</t>
  </si>
  <si>
    <t>East Coweta High School</t>
  </si>
  <si>
    <t>Sharpsburg</t>
  </si>
  <si>
    <t>Cambridge</t>
  </si>
  <si>
    <t>Campbell High School</t>
  </si>
  <si>
    <t>Buxton School</t>
  </si>
  <si>
    <t>Williamstown</t>
  </si>
  <si>
    <t>Bailey, CO</t>
  </si>
  <si>
    <t>Calvary Chapel Academy</t>
  </si>
  <si>
    <t>Rockland</t>
  </si>
  <si>
    <t>Cape Cod Academy</t>
  </si>
  <si>
    <t>Osterville</t>
  </si>
  <si>
    <t>Shiloh High School</t>
  </si>
  <si>
    <t>Cathedral High School</t>
  </si>
  <si>
    <t>South Gwinnett High School</t>
  </si>
  <si>
    <t>Cats Academy Boston</t>
  </si>
  <si>
    <t>Social Circle High School</t>
  </si>
  <si>
    <t>Social Circle</t>
  </si>
  <si>
    <t>Chapel Hill Chauncy Hall School</t>
  </si>
  <si>
    <t>Waltham</t>
  </si>
  <si>
    <t>Treutlen Middle/High School</t>
  </si>
  <si>
    <t>Soperton</t>
  </si>
  <si>
    <t>Clark School</t>
  </si>
  <si>
    <t>Rowley</t>
  </si>
  <si>
    <t>Hancock Central High School</t>
  </si>
  <si>
    <t>Coyle &amp; Cassidy High School &amp; Middle School</t>
  </si>
  <si>
    <t>Taunton</t>
  </si>
  <si>
    <t>Effingham County High School</t>
  </si>
  <si>
    <t>Falmouth Academy</t>
  </si>
  <si>
    <t>Falmouth</t>
  </si>
  <si>
    <t>Echols County High School</t>
  </si>
  <si>
    <t>Fontbonne Academy</t>
  </si>
  <si>
    <t>Statenville</t>
  </si>
  <si>
    <t>German International School Boston</t>
  </si>
  <si>
    <t>Statesboro High School</t>
  </si>
  <si>
    <t>Statesboro Steam Academy</t>
  </si>
  <si>
    <t>Greater Boston Academy</t>
  </si>
  <si>
    <t>Stoneham</t>
  </si>
  <si>
    <t>Stockbridge High School</t>
  </si>
  <si>
    <t>Stockbridge</t>
  </si>
  <si>
    <t>Holy Name High School</t>
  </si>
  <si>
    <t>Lawrence Academy</t>
  </si>
  <si>
    <t>Dekalb Early College Academy</t>
  </si>
  <si>
    <t>Stone Mountain</t>
  </si>
  <si>
    <t>Chula Vista, CA</t>
  </si>
  <si>
    <t>Framingham</t>
  </si>
  <si>
    <t>Elizabeth Andrews High School</t>
  </si>
  <si>
    <t>Matignon High School</t>
  </si>
  <si>
    <t>Redan High School</t>
  </si>
  <si>
    <t>Meridian Academy</t>
  </si>
  <si>
    <t>Jamaica Plain</t>
  </si>
  <si>
    <t>Stephenson High School</t>
  </si>
  <si>
    <t>Montrose School</t>
  </si>
  <si>
    <t>Medfield</t>
  </si>
  <si>
    <t>Stone Mountain High School</t>
  </si>
  <si>
    <t>Mt Alvernia High School</t>
  </si>
  <si>
    <t>Newton</t>
  </si>
  <si>
    <t>Lanier High School</t>
  </si>
  <si>
    <t>Sugar Hill</t>
  </si>
  <si>
    <t>Noble And Greenough School</t>
  </si>
  <si>
    <t>Dedham</t>
  </si>
  <si>
    <t>Chattooga High School</t>
  </si>
  <si>
    <t>Summerville</t>
  </si>
  <si>
    <t>Northfield Mount Hermon School</t>
  </si>
  <si>
    <t>Mount Hermon</t>
  </si>
  <si>
    <t>Collins Hill High School</t>
  </si>
  <si>
    <t>Lambert High School</t>
  </si>
  <si>
    <t>Hingham</t>
  </si>
  <si>
    <t>North Gwinnett High School</t>
  </si>
  <si>
    <t>Notre Dame Cristo Rey High School</t>
  </si>
  <si>
    <t>Peachtree Ridge High School</t>
  </si>
  <si>
    <t>Fitchburg</t>
  </si>
  <si>
    <t>Swainsboro High School</t>
  </si>
  <si>
    <t>Phillips Academy</t>
  </si>
  <si>
    <t>Screven County High School</t>
  </si>
  <si>
    <t>Sylvania</t>
  </si>
  <si>
    <t>Pingree School</t>
  </si>
  <si>
    <t>South Hamilton</t>
  </si>
  <si>
    <t>Worth County Achievement Center</t>
  </si>
  <si>
    <t>Sylvester</t>
  </si>
  <si>
    <t>Pope Francis High School</t>
  </si>
  <si>
    <t>Worth County High School</t>
  </si>
  <si>
    <t>Pope John Xxiii High School</t>
  </si>
  <si>
    <t>Everett</t>
  </si>
  <si>
    <t>Haralson County High School</t>
  </si>
  <si>
    <t>Tallapoosa</t>
  </si>
  <si>
    <t>Sacred Heart School</t>
  </si>
  <si>
    <t>Haralson County Rebel Academy</t>
  </si>
  <si>
    <t>South Lancaster Academy</t>
  </si>
  <si>
    <t>South Lancaster</t>
  </si>
  <si>
    <t>Temple High School</t>
  </si>
  <si>
    <t>Springfield Commonwealth Academy</t>
  </si>
  <si>
    <t>Upson-Lee High School</t>
  </si>
  <si>
    <t>St Bernards C.C.H.S.</t>
  </si>
  <si>
    <t>The Renaissance Center For Academyemic And Career Development</t>
  </si>
  <si>
    <t>St John's High School</t>
  </si>
  <si>
    <t>St Johns Preparatory School</t>
  </si>
  <si>
    <t>Thomas County Central High School</t>
  </si>
  <si>
    <t>Danvers</t>
  </si>
  <si>
    <t>Thomson High School</t>
  </si>
  <si>
    <t>Thomson</t>
  </si>
  <si>
    <t>St Joseph Preparatory High School</t>
  </si>
  <si>
    <t>Tift County High School</t>
  </si>
  <si>
    <t>Tifton</t>
  </si>
  <si>
    <t>St Mark's School</t>
  </si>
  <si>
    <t>Southborough</t>
  </si>
  <si>
    <t>Rabun County High School</t>
  </si>
  <si>
    <t>Tiger</t>
  </si>
  <si>
    <t>Stephens County High School</t>
  </si>
  <si>
    <t>Toccoa</t>
  </si>
  <si>
    <t>St Marys Schools</t>
  </si>
  <si>
    <t>Dade County High School</t>
  </si>
  <si>
    <t>Sterling Education-New England-Boston</t>
  </si>
  <si>
    <t>Stoneleigh-Burnham School</t>
  </si>
  <si>
    <t>Trion High School</t>
  </si>
  <si>
    <t>Hawthorne, CA</t>
  </si>
  <si>
    <t>Trion</t>
  </si>
  <si>
    <t>Tabor Academy</t>
  </si>
  <si>
    <t>Tucker High School</t>
  </si>
  <si>
    <t>Thayer Academy</t>
  </si>
  <si>
    <t>Northwest Whitfield County High School</t>
  </si>
  <si>
    <t>Tunnel Hill</t>
  </si>
  <si>
    <t>The Academy At Penguin Hall</t>
  </si>
  <si>
    <t>Wenham</t>
  </si>
  <si>
    <t>Emanuel County Institute</t>
  </si>
  <si>
    <t>Twin City</t>
  </si>
  <si>
    <t>The Cambridge School Of Weston</t>
  </si>
  <si>
    <t>Sandy Creek High School</t>
  </si>
  <si>
    <t>Tyrone</t>
  </si>
  <si>
    <t>The Governors Academy</t>
  </si>
  <si>
    <t>The Macduffie School</t>
  </si>
  <si>
    <t>Lowndes High School</t>
  </si>
  <si>
    <t>The Newman  School</t>
  </si>
  <si>
    <t>Valdosta High School</t>
  </si>
  <si>
    <t>The Newman School</t>
  </si>
  <si>
    <t>The Rivers School</t>
  </si>
  <si>
    <t>Vidalia Comprehensive High School</t>
  </si>
  <si>
    <t>The Tremont School</t>
  </si>
  <si>
    <t>Dooly County High School</t>
  </si>
  <si>
    <t>The Williston Northampton School</t>
  </si>
  <si>
    <t>Vienna</t>
  </si>
  <si>
    <t>Easthampton</t>
  </si>
  <si>
    <t>The Woodward School</t>
  </si>
  <si>
    <t>Dooly County Prep Academy</t>
  </si>
  <si>
    <t>Trivium School</t>
  </si>
  <si>
    <t>Ursuline Academy</t>
  </si>
  <si>
    <t>Villa Rica High School</t>
  </si>
  <si>
    <t>Villa Rica</t>
  </si>
  <si>
    <t>Waring School</t>
  </si>
  <si>
    <t>Houston County Crossroads Center</t>
  </si>
  <si>
    <t>Wilbraham &amp; Monson Academy</t>
  </si>
  <si>
    <t>Wilbraham</t>
  </si>
  <si>
    <t>Winsor School</t>
  </si>
  <si>
    <t>Greendale, WI</t>
  </si>
  <si>
    <t>Worcester Academy</t>
  </si>
  <si>
    <t>Warner Robins High School</t>
  </si>
  <si>
    <t>Xaverian Brothers High School</t>
  </si>
  <si>
    <t>Alderbrook School</t>
  </si>
  <si>
    <t>Bloomfield Township</t>
  </si>
  <si>
    <t>Warren County High School</t>
  </si>
  <si>
    <t>All Saints Central Middle And High School</t>
  </si>
  <si>
    <t>Bay City</t>
  </si>
  <si>
    <t>Washington-Wilkes Comprehensive High School</t>
  </si>
  <si>
    <t>Andrews Academy</t>
  </si>
  <si>
    <t>Berrien Springs</t>
  </si>
  <si>
    <t>Beth Jacob 1-8</t>
  </si>
  <si>
    <t>Brother Rice High School</t>
  </si>
  <si>
    <t>Bloomfield Hills</t>
  </si>
  <si>
    <t>Oconee County High School</t>
  </si>
  <si>
    <t>Watkinsville</t>
  </si>
  <si>
    <t>Allen Park</t>
  </si>
  <si>
    <t>Calvary Schools Of Holland</t>
  </si>
  <si>
    <t>Ware County High School</t>
  </si>
  <si>
    <t>Holland</t>
  </si>
  <si>
    <t>Waycross</t>
  </si>
  <si>
    <t>Caroline Education Community International Psa</t>
  </si>
  <si>
    <t>Dearborn Heights</t>
  </si>
  <si>
    <t>Burke County High School</t>
  </si>
  <si>
    <t>Cranbrook Schools</t>
  </si>
  <si>
    <t>De La Salle Collegiate High School</t>
  </si>
  <si>
    <t>Detroit Country Day School</t>
  </si>
  <si>
    <t>Cass High School</t>
  </si>
  <si>
    <t>White</t>
  </si>
  <si>
    <t>Detroit Cristo Rey High School</t>
  </si>
  <si>
    <t>Apalachee High School</t>
  </si>
  <si>
    <t>Winder</t>
  </si>
  <si>
    <t>Divine Child High School</t>
  </si>
  <si>
    <t>Dearborn</t>
  </si>
  <si>
    <t>Fish Creek School</t>
  </si>
  <si>
    <t>Carson City</t>
  </si>
  <si>
    <t>Winder-Barrow High School</t>
  </si>
  <si>
    <t>Fr Gabriel Richard High School</t>
  </si>
  <si>
    <t>Genesee Academy</t>
  </si>
  <si>
    <t>Swartz Creek</t>
  </si>
  <si>
    <t>Griggs International Academy</t>
  </si>
  <si>
    <t>Woodstock High School</t>
  </si>
  <si>
    <t>Johnson County High School</t>
  </si>
  <si>
    <t>Wrightsville</t>
  </si>
  <si>
    <t>Carrboro, NC</t>
  </si>
  <si>
    <t>Hillsdale Academy</t>
  </si>
  <si>
    <t>Hillsdale</t>
  </si>
  <si>
    <t>Zebulon</t>
  </si>
  <si>
    <t>Zebulon High School</t>
  </si>
  <si>
    <t>Aiea High School</t>
  </si>
  <si>
    <t>Aiea</t>
  </si>
  <si>
    <t>Martin Luther High School</t>
  </si>
  <si>
    <t>Holt</t>
  </si>
  <si>
    <t>James Campbell High School</t>
  </si>
  <si>
    <t>Ewa Beach</t>
  </si>
  <si>
    <t>Farmington Hills</t>
  </si>
  <si>
    <t>Hilo High School</t>
  </si>
  <si>
    <t>Potters House High School</t>
  </si>
  <si>
    <t>Ke Ana Laahana - Pcs</t>
  </si>
  <si>
    <t>Regina High School</t>
  </si>
  <si>
    <t>Waiakea High School</t>
  </si>
  <si>
    <t>Grand Rapids</t>
  </si>
  <si>
    <t>Honokaa High School &amp; Intermediate School</t>
  </si>
  <si>
    <t>Honokaa</t>
  </si>
  <si>
    <t>Admiral Arthur W Radford High School</t>
  </si>
  <si>
    <t>Spring Vale Academy</t>
  </si>
  <si>
    <t>Owosso</t>
  </si>
  <si>
    <t>St Catherine Of Siena Academy</t>
  </si>
  <si>
    <t>Governor Wallace Rider Farrington High School</t>
  </si>
  <si>
    <t>Wixom</t>
  </si>
  <si>
    <t>Henry J Kaiser High School</t>
  </si>
  <si>
    <t>Traverse City</t>
  </si>
  <si>
    <t>Kaimuki High School</t>
  </si>
  <si>
    <t>St Mary Cathedral School</t>
  </si>
  <si>
    <t>Gaylord</t>
  </si>
  <si>
    <t>St Mary School</t>
  </si>
  <si>
    <t>Lake Leelanau</t>
  </si>
  <si>
    <t>Kalani High School</t>
  </si>
  <si>
    <t>Leavittsburg, OH</t>
  </si>
  <si>
    <t>St Mary's Preparatory School</t>
  </si>
  <si>
    <t>Orchard Lake</t>
  </si>
  <si>
    <t>Moanalua High School</t>
  </si>
  <si>
    <t>President Theodore Roosevelt High School</t>
  </si>
  <si>
    <t>St Thomas More Academy</t>
  </si>
  <si>
    <t>Burton</t>
  </si>
  <si>
    <t>President William Mckinley High School</t>
  </si>
  <si>
    <t>Sterling East Oakland Campus</t>
  </si>
  <si>
    <t>Molokai High School</t>
  </si>
  <si>
    <t>The Leelanau School</t>
  </si>
  <si>
    <t>Hoolehua</t>
  </si>
  <si>
    <t>Glen Arbor</t>
  </si>
  <si>
    <t>Kahuku High School &amp; Intermediate School</t>
  </si>
  <si>
    <t>The New Millennium Academy</t>
  </si>
  <si>
    <t>Kahuku</t>
  </si>
  <si>
    <t>The Valley School</t>
  </si>
  <si>
    <t>Maui High School</t>
  </si>
  <si>
    <t>Kahului</t>
  </si>
  <si>
    <t>Traverse Bay Mennonite School</t>
  </si>
  <si>
    <t>Kailua High School</t>
  </si>
  <si>
    <t>Bethany Academy</t>
  </si>
  <si>
    <t>Kalaheo High School</t>
  </si>
  <si>
    <t>Bethlehem Academy</t>
  </si>
  <si>
    <t>Faribault</t>
  </si>
  <si>
    <t>Breck School</t>
  </si>
  <si>
    <t>Kealakehe High School</t>
  </si>
  <si>
    <t>Kailua-Kona</t>
  </si>
  <si>
    <t>Brightmont Academy - Plymouth</t>
  </si>
  <si>
    <t>Plymouth</t>
  </si>
  <si>
    <t>West Hawaii Explorations Academy</t>
  </si>
  <si>
    <t>Cathedral</t>
  </si>
  <si>
    <t>Castle High School</t>
  </si>
  <si>
    <t>Kaneohe</t>
  </si>
  <si>
    <t>New Ulm</t>
  </si>
  <si>
    <t>Kapaa High School</t>
  </si>
  <si>
    <t>Kapaa</t>
  </si>
  <si>
    <t>Chesterton Academy</t>
  </si>
  <si>
    <t>Carlsbad, CA</t>
  </si>
  <si>
    <t>Kohala High School</t>
  </si>
  <si>
    <t>Kapaau</t>
  </si>
  <si>
    <t>Concordia Academy</t>
  </si>
  <si>
    <t>Kapolei High School</t>
  </si>
  <si>
    <t>Cotter Schools</t>
  </si>
  <si>
    <t>Winona</t>
  </si>
  <si>
    <t>Keaau High School</t>
  </si>
  <si>
    <t>Cretin Derham Hall</t>
  </si>
  <si>
    <t>Keaau</t>
  </si>
  <si>
    <t>Konawaena High School</t>
  </si>
  <si>
    <t>Kealakekua</t>
  </si>
  <si>
    <t>Delasalle High School</t>
  </si>
  <si>
    <t>Lahainaluna High School</t>
  </si>
  <si>
    <t>Excel High School</t>
  </si>
  <si>
    <t>Kauai High School</t>
  </si>
  <si>
    <t>Lihue</t>
  </si>
  <si>
    <t>Gentry Academy</t>
  </si>
  <si>
    <t>Arden Hills</t>
  </si>
  <si>
    <t>Mililani High School</t>
  </si>
  <si>
    <t>Hill Murray School</t>
  </si>
  <si>
    <t>Pahoa High School &amp; Intermediate School</t>
  </si>
  <si>
    <t>Pahoa</t>
  </si>
  <si>
    <t>Holy Innocents School</t>
  </si>
  <si>
    <t>Waite Park</t>
  </si>
  <si>
    <t>Pearl City High School</t>
  </si>
  <si>
    <t>Pearl City</t>
  </si>
  <si>
    <t>Holy Spirit Academy</t>
  </si>
  <si>
    <t>King Kekaulike High School</t>
  </si>
  <si>
    <t>Pukalani</t>
  </si>
  <si>
    <t>Hope Academy</t>
  </si>
  <si>
    <t>Leilehua High School</t>
  </si>
  <si>
    <t>International School Of Minnesota</t>
  </si>
  <si>
    <t>Waialua High School &amp; Intermediate School</t>
  </si>
  <si>
    <t>Liberty Classical Academy</t>
  </si>
  <si>
    <t>Waialua</t>
  </si>
  <si>
    <t>White Bear Lake</t>
  </si>
  <si>
    <t>Lourdes High School</t>
  </si>
  <si>
    <t>Nanakuli High School &amp; Intermediate School</t>
  </si>
  <si>
    <t>Rochester</t>
  </si>
  <si>
    <t>Waianae</t>
  </si>
  <si>
    <t>Maplewood Academy</t>
  </si>
  <si>
    <t>Hutchinson</t>
  </si>
  <si>
    <t>Waianae High School</t>
  </si>
  <si>
    <t>Northrop</t>
  </si>
  <si>
    <t>The Colony, TX</t>
  </si>
  <si>
    <t>Henry Perrine Baldwin High School</t>
  </si>
  <si>
    <t>Minnehaha Academy - Upper School</t>
  </si>
  <si>
    <t>Waimea High School</t>
  </si>
  <si>
    <t>Waimea</t>
  </si>
  <si>
    <t>Mounds Park Academy</t>
  </si>
  <si>
    <t>Waipahu High School</t>
  </si>
  <si>
    <t>Waipahu</t>
  </si>
  <si>
    <t>Mount Zion Temple</t>
  </si>
  <si>
    <t>Aberdeen High School</t>
  </si>
  <si>
    <t>Aberdeen</t>
  </si>
  <si>
    <t>American Falls High School</t>
  </si>
  <si>
    <t>Northgate Academy</t>
  </si>
  <si>
    <t>American Falls</t>
  </si>
  <si>
    <t>Providence Academy Upper School</t>
  </si>
  <si>
    <t>Ammon</t>
  </si>
  <si>
    <t>East Grand Forks</t>
  </si>
  <si>
    <t>Butte County Middle/High School</t>
  </si>
  <si>
    <t>Arco</t>
  </si>
  <si>
    <t>Schaeffer Academy</t>
  </si>
  <si>
    <t>Marsh Valley High School</t>
  </si>
  <si>
    <t>Arimo</t>
  </si>
  <si>
    <t>St Agnes School</t>
  </si>
  <si>
    <t>North Fremont Jr/Sr High School</t>
  </si>
  <si>
    <t>Ashton</t>
  </si>
  <si>
    <t>North Gem High School</t>
  </si>
  <si>
    <t>Bancroft</t>
  </si>
  <si>
    <t>St John's Preparatory School</t>
  </si>
  <si>
    <t>Collegeville</t>
  </si>
  <si>
    <t>Bingham Academy</t>
  </si>
  <si>
    <t>Blackfoot</t>
  </si>
  <si>
    <t>St Paul Academy - Summit Lower</t>
  </si>
  <si>
    <t>Blackfoot High School</t>
  </si>
  <si>
    <t>St Paul Preparatory School</t>
  </si>
  <si>
    <t>Snake River High School</t>
  </si>
  <si>
    <t>St Thomas Academy</t>
  </si>
  <si>
    <t>Mendota Heights</t>
  </si>
  <si>
    <t>Boise Senior High School</t>
  </si>
  <si>
    <t>Sterling Education</t>
  </si>
  <si>
    <t>Burnsville</t>
  </si>
  <si>
    <t>Borah Senior High School</t>
  </si>
  <si>
    <t>Sterling West</t>
  </si>
  <si>
    <t>Saint Vincent</t>
  </si>
  <si>
    <t>Capital Senior High School</t>
  </si>
  <si>
    <t>Lake Stevens, WA</t>
  </si>
  <si>
    <t>The Blake School</t>
  </si>
  <si>
    <t>The International School Of Minnesota Llc</t>
  </si>
  <si>
    <t>Timberline High School</t>
  </si>
  <si>
    <t>The Marshall School</t>
  </si>
  <si>
    <t>Bonners Ferry High School</t>
  </si>
  <si>
    <t>Bonners Ferry</t>
  </si>
  <si>
    <t>Rimrock Jr/Sr High School</t>
  </si>
  <si>
    <t>Bruneau</t>
  </si>
  <si>
    <t>Totino-Grace High School</t>
  </si>
  <si>
    <t>Fridley</t>
  </si>
  <si>
    <t>Buhl High School</t>
  </si>
  <si>
    <t>Visitation School</t>
  </si>
  <si>
    <t>Burley Senior High School</t>
  </si>
  <si>
    <t>Burley</t>
  </si>
  <si>
    <t>Amite School Center</t>
  </si>
  <si>
    <t>Caldwell Senior High School</t>
  </si>
  <si>
    <t>Bass Memorial Academy</t>
  </si>
  <si>
    <t>Notus Jr/Sr High School</t>
  </si>
  <si>
    <t>Bayou Academy</t>
  </si>
  <si>
    <t>Vallivue High School</t>
  </si>
  <si>
    <t>Benton Academy</t>
  </si>
  <si>
    <t>Cambridge Middle/High School</t>
  </si>
  <si>
    <t>Brookhaven Academy Educational Foundation</t>
  </si>
  <si>
    <t>Cascade Jr/Sr High School</t>
  </si>
  <si>
    <t>Cascade</t>
  </si>
  <si>
    <t>Calhoun Academy</t>
  </si>
  <si>
    <t>Calhoun City</t>
  </si>
  <si>
    <t>Challis Jr/Sr High School</t>
  </si>
  <si>
    <t>Challis</t>
  </si>
  <si>
    <t>Carroll Academy</t>
  </si>
  <si>
    <t>Clark Fork Jr/Sr High School</t>
  </si>
  <si>
    <t>Clark Fork</t>
  </si>
  <si>
    <t>Central Hinds Academy</t>
  </si>
  <si>
    <t>Coeur D'Alene Charter Academy School</t>
  </si>
  <si>
    <t>Coeur D'Alene</t>
  </si>
  <si>
    <t>Waverly, KS</t>
  </si>
  <si>
    <t>Centreville Academy</t>
  </si>
  <si>
    <t>Coeur D'Alene High School</t>
  </si>
  <si>
    <t>Columbia Academy</t>
  </si>
  <si>
    <t>Lake City High School</t>
  </si>
  <si>
    <t>Copiah Educational Foundation</t>
  </si>
  <si>
    <t>Gallman</t>
  </si>
  <si>
    <t>Prairie Jr/Sr High School</t>
  </si>
  <si>
    <t>D.B.A. Tunica Academy</t>
  </si>
  <si>
    <t>Tunica</t>
  </si>
  <si>
    <t>Council Jr/Sr High School</t>
  </si>
  <si>
    <t>Council</t>
  </si>
  <si>
    <t>Deer Creek School</t>
  </si>
  <si>
    <t>Arcola</t>
  </si>
  <si>
    <t>West Side Senior High School</t>
  </si>
  <si>
    <t>Delta Academy</t>
  </si>
  <si>
    <t>Marks</t>
  </si>
  <si>
    <t>Declo Senior High School</t>
  </si>
  <si>
    <t>Declo</t>
  </si>
  <si>
    <t>Delta Streets Academy</t>
  </si>
  <si>
    <t>Teton High School</t>
  </si>
  <si>
    <t>Driggs</t>
  </si>
  <si>
    <t>French Camp Academy</t>
  </si>
  <si>
    <t>French Camp</t>
  </si>
  <si>
    <t>Clark County Jr/Sr High School</t>
  </si>
  <si>
    <t>Dubois</t>
  </si>
  <si>
    <t>Heidelberg Academy</t>
  </si>
  <si>
    <t>Eagle High School</t>
  </si>
  <si>
    <t>Eagle</t>
  </si>
  <si>
    <t>Idaho Fine Arts Academy</t>
  </si>
  <si>
    <t>Humphreys Academy</t>
  </si>
  <si>
    <t>Belzoni</t>
  </si>
  <si>
    <t>Emmett High School</t>
  </si>
  <si>
    <t>Emmett</t>
  </si>
  <si>
    <t>Jackson Academy</t>
  </si>
  <si>
    <t>Camas County High School</t>
  </si>
  <si>
    <t>Jackson Preparatory School</t>
  </si>
  <si>
    <t>Kirk Academy</t>
  </si>
  <si>
    <t>Filer High School</t>
  </si>
  <si>
    <t>Grenada</t>
  </si>
  <si>
    <t>Filer</t>
  </si>
  <si>
    <t>Lamar School</t>
  </si>
  <si>
    <t>Firth High School</t>
  </si>
  <si>
    <t>Firth</t>
  </si>
  <si>
    <t>Leake Academy</t>
  </si>
  <si>
    <t>Fruitland High School</t>
  </si>
  <si>
    <t>Madden</t>
  </si>
  <si>
    <t>Mosinee, WI</t>
  </si>
  <si>
    <t>Glenns Ferry High School</t>
  </si>
  <si>
    <t>Glenns Ferry</t>
  </si>
  <si>
    <t>Madison Ridgeland Academy</t>
  </si>
  <si>
    <t>Gooding High School</t>
  </si>
  <si>
    <t>Gooding</t>
  </si>
  <si>
    <t>Magnolia Heights School</t>
  </si>
  <si>
    <t>Senatobia</t>
  </si>
  <si>
    <t>Marshall Academy</t>
  </si>
  <si>
    <t>Grace Jr/Sr High School</t>
  </si>
  <si>
    <t>Grace</t>
  </si>
  <si>
    <t>New Summit School</t>
  </si>
  <si>
    <t>Grangeville High School</t>
  </si>
  <si>
    <t>Grangeville</t>
  </si>
  <si>
    <t>Newton County Academy</t>
  </si>
  <si>
    <t>Wood River High School</t>
  </si>
  <si>
    <t>North Delta School</t>
  </si>
  <si>
    <t>North New Summit School</t>
  </si>
  <si>
    <t>Hansen Jr/Sr High School</t>
  </si>
  <si>
    <t>Hansen</t>
  </si>
  <si>
    <t>North Sunflower Academy</t>
  </si>
  <si>
    <t>Drew</t>
  </si>
  <si>
    <t>Kootenai Jr/Sr High School</t>
  </si>
  <si>
    <t>Oak Hill Academy</t>
  </si>
  <si>
    <t>West Point</t>
  </si>
  <si>
    <t>Homedale High School</t>
  </si>
  <si>
    <t>Homedale</t>
  </si>
  <si>
    <t>Our Lady Academy</t>
  </si>
  <si>
    <t>Bay St Louis</t>
  </si>
  <si>
    <t>Horseshoe Bend Middle/Sr High School</t>
  </si>
  <si>
    <t>Horseshoe Bend</t>
  </si>
  <si>
    <t>Parklane Academy</t>
  </si>
  <si>
    <t>Mccomb</t>
  </si>
  <si>
    <t>Idaho City High School</t>
  </si>
  <si>
    <t>Idaho City</t>
  </si>
  <si>
    <t>Pillow Academy</t>
  </si>
  <si>
    <t>Bonneville High School</t>
  </si>
  <si>
    <t>Regents School Of Oxford</t>
  </si>
  <si>
    <t>Bonneville Online School</t>
  </si>
  <si>
    <t>Simpson County Academy</t>
  </si>
  <si>
    <t>Mendenhall</t>
  </si>
  <si>
    <t>Compass Academy</t>
  </si>
  <si>
    <t>Starkville Academy</t>
  </si>
  <si>
    <t>Idaho Falls Senior High School</t>
  </si>
  <si>
    <t>Strider Academy</t>
  </si>
  <si>
    <t>Skyline Senior High School</t>
  </si>
  <si>
    <t>Sylva Bay Academy</t>
  </si>
  <si>
    <t>Bay Springs</t>
  </si>
  <si>
    <t>Tricounty Academy</t>
  </si>
  <si>
    <t>Thunder Ridge High School</t>
  </si>
  <si>
    <t>Flora</t>
  </si>
  <si>
    <t>Vicksburg Community School</t>
  </si>
  <si>
    <t>Jerome High School</t>
  </si>
  <si>
    <t>Jerome</t>
  </si>
  <si>
    <t>Victory Chrisitian Academy</t>
  </si>
  <si>
    <t>Kamiah High School</t>
  </si>
  <si>
    <t>New Albany</t>
  </si>
  <si>
    <t>Kamiah</t>
  </si>
  <si>
    <t>Winston Academy</t>
  </si>
  <si>
    <t>Kellogg High School</t>
  </si>
  <si>
    <t>Kellogg</t>
  </si>
  <si>
    <t>Anchor Academy</t>
  </si>
  <si>
    <t>Kendrick Jr/Sr High School</t>
  </si>
  <si>
    <t>Vanduser</t>
  </si>
  <si>
    <t>Kendrick</t>
  </si>
  <si>
    <t>Apprende Private School</t>
  </si>
  <si>
    <t>Kimberly High School</t>
  </si>
  <si>
    <t>Valley Park</t>
  </si>
  <si>
    <t>Barat Academy</t>
  </si>
  <si>
    <t>Chesterfield</t>
  </si>
  <si>
    <t>Clearwater Valley Jr/Sr</t>
  </si>
  <si>
    <t>Kooskia</t>
  </si>
  <si>
    <t>Kuna High School</t>
  </si>
  <si>
    <t>Kuna</t>
  </si>
  <si>
    <t>Center Place Restoration School</t>
  </si>
  <si>
    <t>Lapwai Middle/High School</t>
  </si>
  <si>
    <t>Chaminade College Prep School</t>
  </si>
  <si>
    <t>Golden Valley, AZ</t>
  </si>
  <si>
    <t>Chaminade College Prepatory School</t>
  </si>
  <si>
    <t>Columbia Independent School</t>
  </si>
  <si>
    <t>Lewiston High School</t>
  </si>
  <si>
    <t>Lewiston</t>
  </si>
  <si>
    <t>Crossroads College Preparatory School</t>
  </si>
  <si>
    <t>Duchesne High School</t>
  </si>
  <si>
    <t>Mackay Jr/Sr High School</t>
  </si>
  <si>
    <t>Saint Charles</t>
  </si>
  <si>
    <t>Mackay</t>
  </si>
  <si>
    <t>Malad Senior High School</t>
  </si>
  <si>
    <t>Malad City</t>
  </si>
  <si>
    <t>Greenways Academy</t>
  </si>
  <si>
    <t>Raft River Jr/Sr High School</t>
  </si>
  <si>
    <t>Greenwood Laboratory School</t>
  </si>
  <si>
    <t>Malta</t>
  </si>
  <si>
    <t>Highlands Academy</t>
  </si>
  <si>
    <t>Marsing High School</t>
  </si>
  <si>
    <t>Marsing</t>
  </si>
  <si>
    <t>John Burroughs School</t>
  </si>
  <si>
    <t>Mccall-Donnelly High School</t>
  </si>
  <si>
    <t>Mccall</t>
  </si>
  <si>
    <t>Kansas City Academy</t>
  </si>
  <si>
    <t>Melba High School</t>
  </si>
  <si>
    <t>Melba</t>
  </si>
  <si>
    <t>Lakeland Regional School</t>
  </si>
  <si>
    <t>Idaho Technical Career Academy</t>
  </si>
  <si>
    <t>Lees Summit Academy</t>
  </si>
  <si>
    <t>Lees Summit</t>
  </si>
  <si>
    <t>Meridian High School</t>
  </si>
  <si>
    <t>Mary Institute &amp; St Louis Country Day School</t>
  </si>
  <si>
    <t>Missouri Military Academy</t>
  </si>
  <si>
    <t>Mexico</t>
  </si>
  <si>
    <t>Bennington, VT</t>
  </si>
  <si>
    <t>Renaissance High School</t>
  </si>
  <si>
    <t>Mizzou K 12 Online/Mu High School</t>
  </si>
  <si>
    <t>Nerinx Hall High School</t>
  </si>
  <si>
    <t>Webster Groves</t>
  </si>
  <si>
    <t>Middleton</t>
  </si>
  <si>
    <t>Gainesville, GA</t>
  </si>
  <si>
    <t>Notre Dame De Sion High School</t>
  </si>
  <si>
    <t>Bear Lake High School</t>
  </si>
  <si>
    <t>Moscow High School</t>
  </si>
  <si>
    <t>Notre Dame Regional High School</t>
  </si>
  <si>
    <t>Cape Girardeau</t>
  </si>
  <si>
    <t>Mountain Home Sr High School</t>
  </si>
  <si>
    <t>Principia School</t>
  </si>
  <si>
    <t>Richard Mckenna Charter School - Online</t>
  </si>
  <si>
    <t>Rockhurst High School</t>
  </si>
  <si>
    <t>Richard Mckenna Charter School - Onsite</t>
  </si>
  <si>
    <t>Rosati-Kain High School</t>
  </si>
  <si>
    <t>Nampa</t>
  </si>
  <si>
    <t>Sacred Heart Elementary &amp; High School</t>
  </si>
  <si>
    <t>Sedalia</t>
  </si>
  <si>
    <t>Idaho Connects Online School</t>
  </si>
  <si>
    <t>School Of The Ozarks</t>
  </si>
  <si>
    <t>Point Lookout</t>
  </si>
  <si>
    <t>Nampa Senior High School</t>
  </si>
  <si>
    <t>Shelterwood Academy</t>
  </si>
  <si>
    <t>St Dominic High School</t>
  </si>
  <si>
    <t>Pathways In Education: Nampa</t>
  </si>
  <si>
    <t>St Francis Borgia Regional High School</t>
  </si>
  <si>
    <t>Ridgevue High School</t>
  </si>
  <si>
    <t>St John Vianney Hs</t>
  </si>
  <si>
    <t>Treasure Valley Leadership Academy</t>
  </si>
  <si>
    <t>St Louis University High School</t>
  </si>
  <si>
    <t>New Plymouth High School</t>
  </si>
  <si>
    <t>New Plymouth</t>
  </si>
  <si>
    <t>Oakley Jr/Sr High School</t>
  </si>
  <si>
    <t>St Pius X High School</t>
  </si>
  <si>
    <t>Festus</t>
  </si>
  <si>
    <t>Orofino High School</t>
  </si>
  <si>
    <t>Orofino</t>
  </si>
  <si>
    <t>Parma High School</t>
  </si>
  <si>
    <t>Parma</t>
  </si>
  <si>
    <t>St Teresa's Academy</t>
  </si>
  <si>
    <t>Payette High School</t>
  </si>
  <si>
    <t>The Daniel Academy</t>
  </si>
  <si>
    <t>Payette</t>
  </si>
  <si>
    <t>The Summit</t>
  </si>
  <si>
    <t>Plummer</t>
  </si>
  <si>
    <t>Thomas Jefferson Independent Day School</t>
  </si>
  <si>
    <t>Joplin</t>
  </si>
  <si>
    <t>Pocatello</t>
  </si>
  <si>
    <t>Thomas Jefferson School</t>
  </si>
  <si>
    <t>Villa Duchesne &amp; Oak Hill School</t>
  </si>
  <si>
    <t>Pocatello High School</t>
  </si>
  <si>
    <t>Visitation Academy High School</t>
  </si>
  <si>
    <t>Post Falls High School</t>
  </si>
  <si>
    <t>Chrysalis School</t>
  </si>
  <si>
    <t>Potlatch Jr/Sr High School</t>
  </si>
  <si>
    <t>Loyola Sacred Heart High School</t>
  </si>
  <si>
    <t>Preston High School</t>
  </si>
  <si>
    <t>Mount Ellis Academy</t>
  </si>
  <si>
    <t>Bozeman</t>
  </si>
  <si>
    <t>Petra Academy</t>
  </si>
  <si>
    <t>Priest River Lamanna High School</t>
  </si>
  <si>
    <t>Priest River</t>
  </si>
  <si>
    <t>St Andrew School</t>
  </si>
  <si>
    <t>Summit Preparatory School</t>
  </si>
  <si>
    <t>Kalispell</t>
  </si>
  <si>
    <t>Madison Senior High School</t>
  </si>
  <si>
    <t>Turning Winds Academic Institute</t>
  </si>
  <si>
    <t>Rexburg</t>
  </si>
  <si>
    <t>Aquinas Middle High School</t>
  </si>
  <si>
    <t>Rigby High School</t>
  </si>
  <si>
    <t>David City</t>
  </si>
  <si>
    <t>Salmon River Jr/Sr High School</t>
  </si>
  <si>
    <t>Bishop Neumann High School</t>
  </si>
  <si>
    <t>Riggins</t>
  </si>
  <si>
    <t>Ririe Jr/Sr High School</t>
  </si>
  <si>
    <t>Brownell Talbot Schools</t>
  </si>
  <si>
    <t>Ririe</t>
  </si>
  <si>
    <t>Minico Senior High School</t>
  </si>
  <si>
    <t>College View Academy</t>
  </si>
  <si>
    <t>Rupert</t>
  </si>
  <si>
    <t>Salmon Jr/Sr High School</t>
  </si>
  <si>
    <t>Concordia Jr/Sr. High School</t>
  </si>
  <si>
    <t>Salmon</t>
  </si>
  <si>
    <t>Forrest M Bird Charter School</t>
  </si>
  <si>
    <t>Creighton Preparatory School</t>
  </si>
  <si>
    <t>Sandpoint</t>
  </si>
  <si>
    <t>Duchesne Academy Of The Sacred Heart</t>
  </si>
  <si>
    <t>Sandpoint High School</t>
  </si>
  <si>
    <t>Guardian Angels Elementary School</t>
  </si>
  <si>
    <t>Shelley Senior High School</t>
  </si>
  <si>
    <t>Shelley</t>
  </si>
  <si>
    <t>Shoshone High School</t>
  </si>
  <si>
    <t>Soda Springs High School</t>
  </si>
  <si>
    <t>Soda Springs</t>
  </si>
  <si>
    <t>Mount Michael Benedictine High School</t>
  </si>
  <si>
    <t>Elkhorn</t>
  </si>
  <si>
    <t>Timberlake Senior High School</t>
  </si>
  <si>
    <t>Spirit Lake</t>
  </si>
  <si>
    <t>Pius X High School</t>
  </si>
  <si>
    <t>South Fremont High School</t>
  </si>
  <si>
    <t>St Anthony</t>
  </si>
  <si>
    <t>Falls City</t>
  </si>
  <si>
    <t>St Maries High School</t>
  </si>
  <si>
    <t>St Cecilia Middle Sch/High School</t>
  </si>
  <si>
    <t>St Maries</t>
  </si>
  <si>
    <t>St Francis Schools</t>
  </si>
  <si>
    <t>Sugar-Salem High School</t>
  </si>
  <si>
    <t>Humphrey</t>
  </si>
  <si>
    <t>Sugar City</t>
  </si>
  <si>
    <t>Drexel Hill, PA</t>
  </si>
  <si>
    <t>O'Neill</t>
  </si>
  <si>
    <t>West Jefferson High School</t>
  </si>
  <si>
    <t>Terreton</t>
  </si>
  <si>
    <t>Troy Jr/Sr High School</t>
  </si>
  <si>
    <t>Canyon Ridge High School</t>
  </si>
  <si>
    <t>Twin Falls</t>
  </si>
  <si>
    <t>Twin Falls High School</t>
  </si>
  <si>
    <t>Wallace Jr/Sr High School</t>
  </si>
  <si>
    <t>Wallace</t>
  </si>
  <si>
    <t>St Patrick High School</t>
  </si>
  <si>
    <t>Weippe</t>
  </si>
  <si>
    <t>St Patrick Jr Sr High School</t>
  </si>
  <si>
    <t>Weiser High School</t>
  </si>
  <si>
    <t>Weiser</t>
  </si>
  <si>
    <t>Sterling West Gothenburg Campus</t>
  </si>
  <si>
    <t>Gothenburg</t>
  </si>
  <si>
    <t>Wendell High School</t>
  </si>
  <si>
    <t>Wendell</t>
  </si>
  <si>
    <t>Academy For Learning</t>
  </si>
  <si>
    <t>Wilder High School</t>
  </si>
  <si>
    <t>Wilder</t>
  </si>
  <si>
    <t>American Heritage Academy</t>
  </si>
  <si>
    <t>Abingdon-Avon High School Sch</t>
  </si>
  <si>
    <t>Abingdon</t>
  </si>
  <si>
    <t>Bishop Gorman High School</t>
  </si>
  <si>
    <t>Addison Trail High School</t>
  </si>
  <si>
    <t>Henderson International School</t>
  </si>
  <si>
    <t>Edwards County High School</t>
  </si>
  <si>
    <t>Albion</t>
  </si>
  <si>
    <t>Lone Mountain Academy</t>
  </si>
  <si>
    <t>Mercer County High School</t>
  </si>
  <si>
    <t>Aledo</t>
  </si>
  <si>
    <t>Sage Ridge School</t>
  </si>
  <si>
    <t>Harry D Jacobs High School</t>
  </si>
  <si>
    <t>Algonquin</t>
  </si>
  <si>
    <t>The Meadows School</t>
  </si>
  <si>
    <t>Altamont High School</t>
  </si>
  <si>
    <t>Altamont</t>
  </si>
  <si>
    <t>Bishop Brady High School</t>
  </si>
  <si>
    <t>Bishop Guertin High School</t>
  </si>
  <si>
    <t>Alton High School</t>
  </si>
  <si>
    <t>Nashua</t>
  </si>
  <si>
    <t>Brewster Academy</t>
  </si>
  <si>
    <t>Wolfeboro</t>
  </si>
  <si>
    <t>Amboy High School</t>
  </si>
  <si>
    <t>Amboy</t>
  </si>
  <si>
    <t>Dublin School</t>
  </si>
  <si>
    <t>Baton Rouge, LA</t>
  </si>
  <si>
    <t>Anna-Jonesboro High School</t>
  </si>
  <si>
    <t>Anna</t>
  </si>
  <si>
    <t>Holy Family Academy</t>
  </si>
  <si>
    <t>Annawan High School</t>
  </si>
  <si>
    <t>Annawan</t>
  </si>
  <si>
    <t>Kimball Union Academy</t>
  </si>
  <si>
    <t>Antioch Comm High School</t>
  </si>
  <si>
    <t>Moundrock Waldolf School</t>
  </si>
  <si>
    <t>Keene</t>
  </si>
  <si>
    <t>Arcola High School</t>
  </si>
  <si>
    <t>Mount Royal Academy</t>
  </si>
  <si>
    <t>Sunapee</t>
  </si>
  <si>
    <t>Phillips Exeter Academy</t>
  </si>
  <si>
    <t>Argenta-Oreana High School</t>
  </si>
  <si>
    <t>Argenta</t>
  </si>
  <si>
    <t>John Hersey High School</t>
  </si>
  <si>
    <t>Proctor Academy</t>
  </si>
  <si>
    <t>Newcomer Center</t>
  </si>
  <si>
    <t>The Academy At Forest View</t>
  </si>
  <si>
    <t>The Derryfield School</t>
  </si>
  <si>
    <t>Vanguard School</t>
  </si>
  <si>
    <t>The New Hampton School</t>
  </si>
  <si>
    <t>New Hampton</t>
  </si>
  <si>
    <t>Tilton School</t>
  </si>
  <si>
    <t>Tilton</t>
  </si>
  <si>
    <t>Armstrong High School</t>
  </si>
  <si>
    <t>Armstrong</t>
  </si>
  <si>
    <t>White Mountain School</t>
  </si>
  <si>
    <t>Arthur-Lovington-Atwood-Hammond</t>
  </si>
  <si>
    <t>Arthur</t>
  </si>
  <si>
    <t>Abundant Life Academy</t>
  </si>
  <si>
    <t>Nutlex</t>
  </si>
  <si>
    <t>A-C Central High School</t>
  </si>
  <si>
    <t>Academy Of Saint Elizabeth</t>
  </si>
  <si>
    <t>Morristown</t>
  </si>
  <si>
    <t>Ashton-Franklin Center High School</t>
  </si>
  <si>
    <t>Holden, MA</t>
  </si>
  <si>
    <t>Academy Of The Holy Angels</t>
  </si>
  <si>
    <t>Demarest</t>
  </si>
  <si>
    <t>Kemmerer Village School</t>
  </si>
  <si>
    <t>Assumption</t>
  </si>
  <si>
    <t>Alif Muhammads N/A School</t>
  </si>
  <si>
    <t>Astoria High School</t>
  </si>
  <si>
    <t>Astoria</t>
  </si>
  <si>
    <t>An-Noor Academy</t>
  </si>
  <si>
    <t>Piscataway</t>
  </si>
  <si>
    <t>Bais Leah High School</t>
  </si>
  <si>
    <t>Athens Sr High School</t>
  </si>
  <si>
    <t>Barnstable Academy</t>
  </si>
  <si>
    <t>Benedictine Academy</t>
  </si>
  <si>
    <t>Southeastern Jr/Sr High School</t>
  </si>
  <si>
    <t>Bishop Eustace Prep School</t>
  </si>
  <si>
    <t>Pennsauken</t>
  </si>
  <si>
    <t>Blair Academy</t>
  </si>
  <si>
    <t>Blairstown</t>
  </si>
  <si>
    <t>Illinois Mathematics And Science</t>
  </si>
  <si>
    <t>Indian Plains Alternative School</t>
  </si>
  <si>
    <t>Collegiate School</t>
  </si>
  <si>
    <t>Passaic</t>
  </si>
  <si>
    <t>Darul Arqam School</t>
  </si>
  <si>
    <t>Metea Valley High School</t>
  </si>
  <si>
    <t>South River</t>
  </si>
  <si>
    <t>Waubonsie Valley High School</t>
  </si>
  <si>
    <t>Delbarton School</t>
  </si>
  <si>
    <t>West Aurora High School</t>
  </si>
  <si>
    <t>Doane Academy</t>
  </si>
  <si>
    <t>Barrington High School</t>
  </si>
  <si>
    <t>Barrington</t>
  </si>
  <si>
    <t>Barry</t>
  </si>
  <si>
    <t>Don Bosco Preparatory High School</t>
  </si>
  <si>
    <t>Batavia Sr High School</t>
  </si>
  <si>
    <t>Batavia</t>
  </si>
  <si>
    <t>Dwight-Englewood School</t>
  </si>
  <si>
    <t>Beardstown Jr/Sr High School</t>
  </si>
  <si>
    <t>Beardstown</t>
  </si>
  <si>
    <t>Beecher High School</t>
  </si>
  <si>
    <t>Beecher</t>
  </si>
  <si>
    <t>Elite Prep</t>
  </si>
  <si>
    <t>Beecher City Jr-Sr High School</t>
  </si>
  <si>
    <t>Beecher City</t>
  </si>
  <si>
    <t>Flex School</t>
  </si>
  <si>
    <t>Berkeley Heights</t>
  </si>
  <si>
    <t>Belleville High School-East</t>
  </si>
  <si>
    <t>Fusion Academy Prn: Princeton</t>
  </si>
  <si>
    <t>Gill St Bernard S School</t>
  </si>
  <si>
    <t>Gladstone</t>
  </si>
  <si>
    <t>Heichal Hatorah</t>
  </si>
  <si>
    <t>Teaneck</t>
  </si>
  <si>
    <t>Belleville High School-West</t>
  </si>
  <si>
    <t>Holy Spirit High School</t>
  </si>
  <si>
    <t>Absecon</t>
  </si>
  <si>
    <t>Belleville Twp High School-Night/Alt Sch</t>
  </si>
  <si>
    <t>Ilan High School</t>
  </si>
  <si>
    <t>Ocean</t>
  </si>
  <si>
    <t>Belvidere High School</t>
  </si>
  <si>
    <t>Belvidere</t>
  </si>
  <si>
    <t>Belvidere North High School Sch</t>
  </si>
  <si>
    <t>Kent Place School</t>
  </si>
  <si>
    <t>Summit</t>
  </si>
  <si>
    <t>Bement High School</t>
  </si>
  <si>
    <t>Bement</t>
  </si>
  <si>
    <t>Lake Nelson Sda School</t>
  </si>
  <si>
    <t>Fenton High School</t>
  </si>
  <si>
    <t>Bensenville</t>
  </si>
  <si>
    <t>Benton Cons High School</t>
  </si>
  <si>
    <t>Life Center Academy</t>
  </si>
  <si>
    <t>J Sterling Morton West High School Sch</t>
  </si>
  <si>
    <t>Marist High School</t>
  </si>
  <si>
    <t>Bayonne</t>
  </si>
  <si>
    <t>Civic Memorial High School</t>
  </si>
  <si>
    <t>Bethalto</t>
  </si>
  <si>
    <t>Mater Dei Prep High School</t>
  </si>
  <si>
    <t>Okaw Valley High School</t>
  </si>
  <si>
    <t>Moorestown Friends School</t>
  </si>
  <si>
    <t>Bethany</t>
  </si>
  <si>
    <t>West Central High School</t>
  </si>
  <si>
    <t>Biggsville</t>
  </si>
  <si>
    <t>Mother Seton Regional High School</t>
  </si>
  <si>
    <t>Clark</t>
  </si>
  <si>
    <t>Coop High School 1</t>
  </si>
  <si>
    <t>Mount Saint Dominic Academy</t>
  </si>
  <si>
    <t>Watchung</t>
  </si>
  <si>
    <t>Dd Eisenhower High School Sch (Campus)</t>
  </si>
  <si>
    <t>Blue Island</t>
  </si>
  <si>
    <t>Noble Leadership Academy</t>
  </si>
  <si>
    <t>Bluffs High School</t>
  </si>
  <si>
    <t>Noor-Ul-Iman School</t>
  </si>
  <si>
    <t>Bluffs</t>
  </si>
  <si>
    <t>Monmouth Junction</t>
  </si>
  <si>
    <t>Franklin, TN</t>
  </si>
  <si>
    <t>Webber High School</t>
  </si>
  <si>
    <t>Bluford</t>
  </si>
  <si>
    <t>Oratory Preparatory School</t>
  </si>
  <si>
    <t>Bolingbrook High School</t>
  </si>
  <si>
    <t>Our Lady Of Mercy Academy</t>
  </si>
  <si>
    <t>Bradley-Bourbonnais C High School</t>
  </si>
  <si>
    <t>Reed-Custer High School</t>
  </si>
  <si>
    <t>Paul Vi High School</t>
  </si>
  <si>
    <t>Braidwood</t>
  </si>
  <si>
    <t>Haddonfield</t>
  </si>
  <si>
    <t>Central Comm High School</t>
  </si>
  <si>
    <t>Peddie School</t>
  </si>
  <si>
    <t>Hightstown</t>
  </si>
  <si>
    <t>Pioneer Academy</t>
  </si>
  <si>
    <t>Red Hill Jr/Sr High School</t>
  </si>
  <si>
    <t>Princeton Day School</t>
  </si>
  <si>
    <t>Brimfield High School</t>
  </si>
  <si>
    <t>Brimfield</t>
  </si>
  <si>
    <t>Purnell School</t>
  </si>
  <si>
    <t>Pottersville</t>
  </si>
  <si>
    <t>Broadlands</t>
  </si>
  <si>
    <t>Ranney School</t>
  </si>
  <si>
    <t>Brownstown High School</t>
  </si>
  <si>
    <t>Brownstown</t>
  </si>
  <si>
    <t>Tinton Falls</t>
  </si>
  <si>
    <t>Brussels High School</t>
  </si>
  <si>
    <t>Brussels</t>
  </si>
  <si>
    <t>Rutgers Preparatory School</t>
  </si>
  <si>
    <t>Tri-City High School</t>
  </si>
  <si>
    <t>Buffalo</t>
  </si>
  <si>
    <t>Buffalo Grove High School</t>
  </si>
  <si>
    <t>Saddle River Day School</t>
  </si>
  <si>
    <t>Saddle River</t>
  </si>
  <si>
    <t>Bunker Hill High School</t>
  </si>
  <si>
    <t>Bunker Hill</t>
  </si>
  <si>
    <t>Reavis High School</t>
  </si>
  <si>
    <t>Seton Hall Preparatory School</t>
  </si>
  <si>
    <t>West Orange</t>
  </si>
  <si>
    <t>St Augustine Preparatory School</t>
  </si>
  <si>
    <t>Richland</t>
  </si>
  <si>
    <t>Bushnell-Prairie City High School Sch</t>
  </si>
  <si>
    <t>Byron High School 9-12</t>
  </si>
  <si>
    <t>Byron</t>
  </si>
  <si>
    <t>St Benedict's Prep</t>
  </si>
  <si>
    <t>Cahokia High School</t>
  </si>
  <si>
    <t>Cahokia</t>
  </si>
  <si>
    <t>St Dominic Academy</t>
  </si>
  <si>
    <t>Jersey City</t>
  </si>
  <si>
    <t>Cairo Jr/Sr High School</t>
  </si>
  <si>
    <t>Andalusia, AL</t>
  </si>
  <si>
    <t>St John Vianney Regional High School</t>
  </si>
  <si>
    <t>Center For Academyemics And Technolo</t>
  </si>
  <si>
    <t>Calumet City</t>
  </si>
  <si>
    <t>Center For Alternative Learning</t>
  </si>
  <si>
    <t>Thornton Fractnl No High School</t>
  </si>
  <si>
    <t>Hammonton</t>
  </si>
  <si>
    <t>Cambridge Jr/Sr High School</t>
  </si>
  <si>
    <t>Metuchen</t>
  </si>
  <si>
    <t>Camp Point</t>
  </si>
  <si>
    <t>St Mary High School</t>
  </si>
  <si>
    <t>Rutherford</t>
  </si>
  <si>
    <t>Trico Senior High School</t>
  </si>
  <si>
    <t>Campbell Hill</t>
  </si>
  <si>
    <t>St Mary Of The Assumption Hs</t>
  </si>
  <si>
    <t>Carbondale Comm H S</t>
  </si>
  <si>
    <t>St Peters Preparatory School</t>
  </si>
  <si>
    <t>Carlinville High School</t>
  </si>
  <si>
    <t>Carlinville</t>
  </si>
  <si>
    <t>St Vincent Academy</t>
  </si>
  <si>
    <t>Carlyle High School</t>
  </si>
  <si>
    <t>Carlyle</t>
  </si>
  <si>
    <t>Carmi-White County High School</t>
  </si>
  <si>
    <t>Carmi</t>
  </si>
  <si>
    <t>The Frisch School</t>
  </si>
  <si>
    <t>Paramus</t>
  </si>
  <si>
    <t>Glenbard North High School</t>
  </si>
  <si>
    <t>Carol Stream</t>
  </si>
  <si>
    <t>The Hudson School</t>
  </si>
  <si>
    <t>Dundee-Crown High School</t>
  </si>
  <si>
    <t>Carpentersville</t>
  </si>
  <si>
    <t>Hoboken</t>
  </si>
  <si>
    <t>Carrier Mills-Stonefort H S</t>
  </si>
  <si>
    <t>Carrier Mills</t>
  </si>
  <si>
    <t>The Hun School Of Princeton</t>
  </si>
  <si>
    <t>Carterville High School</t>
  </si>
  <si>
    <t>The Lawrenceville School</t>
  </si>
  <si>
    <t>Carterville</t>
  </si>
  <si>
    <t>Illini West High School</t>
  </si>
  <si>
    <t>The Montclair Kimberley Academy</t>
  </si>
  <si>
    <t>Carthage</t>
  </si>
  <si>
    <t>Cary-Grove Community High School</t>
  </si>
  <si>
    <t>Cary</t>
  </si>
  <si>
    <t>The Morristown-Beard School</t>
  </si>
  <si>
    <t>Casey-Westfield Jr/Sr High School</t>
  </si>
  <si>
    <t>Casey</t>
  </si>
  <si>
    <t>The Pennington School</t>
  </si>
  <si>
    <t>Pennington</t>
  </si>
  <si>
    <t>Modesto, CA</t>
  </si>
  <si>
    <t>Salt Fork High School</t>
  </si>
  <si>
    <t>Catlin</t>
  </si>
  <si>
    <t>The Pilgrim Academy</t>
  </si>
  <si>
    <t>Egg Harbor City</t>
  </si>
  <si>
    <t>The Pingry School</t>
  </si>
  <si>
    <t>Basking Ridge</t>
  </si>
  <si>
    <t>Centralia High School</t>
  </si>
  <si>
    <t>Centralia</t>
  </si>
  <si>
    <t>Urban Promise Academy</t>
  </si>
  <si>
    <t>Cerro Gordo Jr And Sr High School Sch</t>
  </si>
  <si>
    <t>Cerro Gordo</t>
  </si>
  <si>
    <t>Villa Victoria Academy</t>
  </si>
  <si>
    <t>Ewing</t>
  </si>
  <si>
    <t>Villa Walsh Academy</t>
  </si>
  <si>
    <t>Voyager's Community School</t>
  </si>
  <si>
    <t>Eatontown</t>
  </si>
  <si>
    <t>Novak Academy</t>
  </si>
  <si>
    <t>Wilberforce School</t>
  </si>
  <si>
    <t>Princeton Junction</t>
  </si>
  <si>
    <t>Bosque School</t>
  </si>
  <si>
    <t>Albuquerque</t>
  </si>
  <si>
    <t>Glenwood High School</t>
  </si>
  <si>
    <t>Chatham</t>
  </si>
  <si>
    <t>Eunice Holiness Academy</t>
  </si>
  <si>
    <t>Eunice</t>
  </si>
  <si>
    <t>Chester High School</t>
  </si>
  <si>
    <t>Menaul School</t>
  </si>
  <si>
    <t>Acero Chtr Netrk -  Major Garcia</t>
  </si>
  <si>
    <t>Oak Grove Classical Academy</t>
  </si>
  <si>
    <t>Acero Chtr Sch Netwrk- Victoria</t>
  </si>
  <si>
    <t>Sandia Preparatory School</t>
  </si>
  <si>
    <t>Sandia View Academy</t>
  </si>
  <si>
    <t>Corrales</t>
  </si>
  <si>
    <t>Air Force Academy High School</t>
  </si>
  <si>
    <t>Santa Fe Waldorf School</t>
  </si>
  <si>
    <t>Alcott Humanities High School</t>
  </si>
  <si>
    <t>Long Beach, CA</t>
  </si>
  <si>
    <t>Amandla Charter School</t>
  </si>
  <si>
    <t>Amundsen High School</t>
  </si>
  <si>
    <t>The Armand Hammer United World College</t>
  </si>
  <si>
    <t>Aspira Charter - Bus And Fin</t>
  </si>
  <si>
    <t>Abraham Joshua Heschel School</t>
  </si>
  <si>
    <t>Academy Of Mount St Ursula</t>
  </si>
  <si>
    <t>Aspira Charter - Early College Pr</t>
  </si>
  <si>
    <t>Albany Academies</t>
  </si>
  <si>
    <t>Austin College And Career Academy High School</t>
  </si>
  <si>
    <t>Back Of The Yards Ib High School</t>
  </si>
  <si>
    <t>Albertus Magnus High School</t>
  </si>
  <si>
    <t>Bardonia</t>
  </si>
  <si>
    <t>Bogan High School</t>
  </si>
  <si>
    <t>All Hallows High School</t>
  </si>
  <si>
    <t>Bowen High School</t>
  </si>
  <si>
    <t>Allendale Columbia School</t>
  </si>
  <si>
    <t>Bridgescape Academy Brainerd</t>
  </si>
  <si>
    <t>Andalusia School</t>
  </si>
  <si>
    <t>Bridgescape Academy Humboldt Park</t>
  </si>
  <si>
    <t>Yonkers</t>
  </si>
  <si>
    <t>Bridgescape Academy Roseland</t>
  </si>
  <si>
    <t>Bronzeville Scholastic High School</t>
  </si>
  <si>
    <t>Aquinas Institute</t>
  </si>
  <si>
    <t>Brooks College Prep Academy High School</t>
  </si>
  <si>
    <t>Archbishop Molloy High School</t>
  </si>
  <si>
    <t>Briarwood</t>
  </si>
  <si>
    <t>Carver Military Academy High School</t>
  </si>
  <si>
    <t>Archbishop Stepinac High School</t>
  </si>
  <si>
    <t>Chicago Academy High School</t>
  </si>
  <si>
    <t>Associated Beth Rivkah Schools</t>
  </si>
  <si>
    <t>Chicago Excel Academy High School</t>
  </si>
  <si>
    <t>Augustine Classical Academy</t>
  </si>
  <si>
    <t>Mechanicville</t>
  </si>
  <si>
    <t>Chicago High School For Agricult Sciences</t>
  </si>
  <si>
    <t>Avenues The World School</t>
  </si>
  <si>
    <t>Chicago High School For The Arts</t>
  </si>
  <si>
    <t>Bais Rochel School</t>
  </si>
  <si>
    <t>Chicago Math &amp; Sci Elem Charter</t>
  </si>
  <si>
    <t>Berkeley Carroll Elementary School</t>
  </si>
  <si>
    <t>Chicago Military Academy High School</t>
  </si>
  <si>
    <t>Chicago Technology Academy High School</t>
  </si>
  <si>
    <t>Berkeley Carroll School</t>
  </si>
  <si>
    <t>Chicago Vocational Career Academy High School</t>
  </si>
  <si>
    <t>Beth Jacob Day School</t>
  </si>
  <si>
    <t>Cics - Northtown  Campus</t>
  </si>
  <si>
    <t>Beth Rivka High School</t>
  </si>
  <si>
    <t>Cics - Quest North Campus</t>
  </si>
  <si>
    <t>Birch School</t>
  </si>
  <si>
    <t>Rock Tavern</t>
  </si>
  <si>
    <t>Cics - Ralph Ellison Campus</t>
  </si>
  <si>
    <t>Bishop Grimes Jr-Sr High School</t>
  </si>
  <si>
    <t>East Syracuse</t>
  </si>
  <si>
    <t>Danville, CA</t>
  </si>
  <si>
    <t>Bishop Kearney High School</t>
  </si>
  <si>
    <t>Clark Academy Prep Magnet High School Schl</t>
  </si>
  <si>
    <t>Bishop Loughlin Memorial High School</t>
  </si>
  <si>
    <t>Clemente Community Academy High School</t>
  </si>
  <si>
    <t>Bishop Ludden Junior Senior High School</t>
  </si>
  <si>
    <t>Syracuse</t>
  </si>
  <si>
    <t>Collins Academy High School</t>
  </si>
  <si>
    <t>Bishop Maginn High School</t>
  </si>
  <si>
    <t>Corliss High School</t>
  </si>
  <si>
    <t>Bishop Mcgann-Mercy Diocesan High School</t>
  </si>
  <si>
    <t>Crane Medical Prep High School</t>
  </si>
  <si>
    <t>Bishop Timon-St Jude High School</t>
  </si>
  <si>
    <t>Brooklyn Amity School</t>
  </si>
  <si>
    <t>Curie Metropolitan High School</t>
  </si>
  <si>
    <t>Brooklyn Friends School</t>
  </si>
  <si>
    <t>Devry Advantage Academy High School Schl</t>
  </si>
  <si>
    <t>Buffalo Academy Of Scholars</t>
  </si>
  <si>
    <t>Buffalo Seminary</t>
  </si>
  <si>
    <t>Calhoun School</t>
  </si>
  <si>
    <t>Canisius High School</t>
  </si>
  <si>
    <t>Cascadilla School</t>
  </si>
  <si>
    <t>Ithaca</t>
  </si>
  <si>
    <t>Disney Ii Magnet High School</t>
  </si>
  <si>
    <t>Cathedral Preparatory School And Seminary</t>
  </si>
  <si>
    <t>Elmhurst</t>
  </si>
  <si>
    <t>Charles Finney School (The)</t>
  </si>
  <si>
    <t>Penfield</t>
  </si>
  <si>
    <t>Douglass Academy High School</t>
  </si>
  <si>
    <t>Crescent School</t>
  </si>
  <si>
    <t>Hempstead</t>
  </si>
  <si>
    <t>Dunbar Vocational Career Academy High School</t>
  </si>
  <si>
    <t>Cristo Rey Brooklyn High School</t>
  </si>
  <si>
    <t>Epic Academy High School</t>
  </si>
  <si>
    <t>Dalton School</t>
  </si>
  <si>
    <t>Excel Academy - Englewood High School</t>
  </si>
  <si>
    <t>Darrow School</t>
  </si>
  <si>
    <t>New Lebanon</t>
  </si>
  <si>
    <t>Excel Academy - Southwest High School</t>
  </si>
  <si>
    <t>Doane Stuart School</t>
  </si>
  <si>
    <t>Rensselaer</t>
  </si>
  <si>
    <t>Excel Academy - Woodlawn High School</t>
  </si>
  <si>
    <t>New Port Richey, FL</t>
  </si>
  <si>
    <t>Dominican Academy</t>
  </si>
  <si>
    <t>Farragut Career Academy High School</t>
  </si>
  <si>
    <t>Dwight School</t>
  </si>
  <si>
    <t>Fenger Academy High School</t>
  </si>
  <si>
    <t>East Academy Of Science &amp; Technology</t>
  </si>
  <si>
    <t>Eisek Hatorah D'Rachmistrivka</t>
  </si>
  <si>
    <t>Emma Willard School</t>
  </si>
  <si>
    <t>Gage Park High School</t>
  </si>
  <si>
    <t>Fontbonne Hall Academy</t>
  </si>
  <si>
    <t>Fordham Preparatory School</t>
  </si>
  <si>
    <t>Goode Stem Academy High School</t>
  </si>
  <si>
    <t>Graham  R Training Center</t>
  </si>
  <si>
    <t>Friends Academy</t>
  </si>
  <si>
    <t>Locust Valley</t>
  </si>
  <si>
    <t>Hancock College Preparatory High School</t>
  </si>
  <si>
    <t>Friends Seminary</t>
  </si>
  <si>
    <t>Harlan Community Academy High School</t>
  </si>
  <si>
    <t>Fusion Academy Lc: Manhattan - Lincoln Center</t>
  </si>
  <si>
    <t>Fusion Academy Woodbury Ny</t>
  </si>
  <si>
    <t>Harper High School</t>
  </si>
  <si>
    <t>Fusion Academy/Westchester</t>
  </si>
  <si>
    <t>Hirsch Metropolitan High School</t>
  </si>
  <si>
    <t>Hope College Prep High School</t>
  </si>
  <si>
    <t>Great Tomorrows Usa</t>
  </si>
  <si>
    <t>Hubbard High School</t>
  </si>
  <si>
    <t>Greater New York Academy</t>
  </si>
  <si>
    <t>Hyde Park Academy High School</t>
  </si>
  <si>
    <t>Saint Cloud, FL</t>
  </si>
  <si>
    <t>Hanc - Middle &amp; High School</t>
  </si>
  <si>
    <t>IHigh Schoolca Charter High School</t>
  </si>
  <si>
    <t>Uniondale</t>
  </si>
  <si>
    <t>Ijla Charter High School</t>
  </si>
  <si>
    <t>Hawthorne Valley School</t>
  </si>
  <si>
    <t>Ghent</t>
  </si>
  <si>
    <t>Infinity Math  Science &amp; Tech High School</t>
  </si>
  <si>
    <t>Henrietta G Lewis Campus School</t>
  </si>
  <si>
    <t>Intrinsic Charter High School</t>
  </si>
  <si>
    <t>Lockport</t>
  </si>
  <si>
    <t>Holy Cross Academy</t>
  </si>
  <si>
    <t>Oneida</t>
  </si>
  <si>
    <t>Jones College Prep High School</t>
  </si>
  <si>
    <t>Hoosac School</t>
  </si>
  <si>
    <t>Hoosick</t>
  </si>
  <si>
    <t>Juarez Community Academy High School</t>
  </si>
  <si>
    <t>Hope Hall School</t>
  </si>
  <si>
    <t>Horace Mann School</t>
  </si>
  <si>
    <t>Kelly High School</t>
  </si>
  <si>
    <t>Horace Mann Upper School</t>
  </si>
  <si>
    <t>Kelvyn Park High School</t>
  </si>
  <si>
    <t>Houghton Academy</t>
  </si>
  <si>
    <t>Houghton</t>
  </si>
  <si>
    <t>Kennedy High School</t>
  </si>
  <si>
    <t>Iona Preparatory School</t>
  </si>
  <si>
    <t>Kenwood Academy High School</t>
  </si>
  <si>
    <t>Keio Academy Of New York</t>
  </si>
  <si>
    <t>Purchase</t>
  </si>
  <si>
    <t>King College Prep High School</t>
  </si>
  <si>
    <t>Kellenberg Memorial High School</t>
  </si>
  <si>
    <t>Lake View High School</t>
  </si>
  <si>
    <t>La Salle Institute</t>
  </si>
  <si>
    <t>Lane Technical High School</t>
  </si>
  <si>
    <t>Lakeside Alpha</t>
  </si>
  <si>
    <t>Webster</t>
  </si>
  <si>
    <t>Legal Prep Academy Charter High School</t>
  </si>
  <si>
    <t>Lasalle Academy</t>
  </si>
  <si>
    <t>Woodland, PA</t>
  </si>
  <si>
    <t>Lincoln Park High School</t>
  </si>
  <si>
    <t>Lawrence Woodmere Academy</t>
  </si>
  <si>
    <t>Woodmere</t>
  </si>
  <si>
    <t>Lindblom Math &amp; Science Academy High School</t>
  </si>
  <si>
    <t>Little Black Pearl Arts Academy High School</t>
  </si>
  <si>
    <t>Longview School</t>
  </si>
  <si>
    <t>Manley Career Academy High School</t>
  </si>
  <si>
    <t>Marine Leadership Academy - Ames</t>
  </si>
  <si>
    <t>Manlius Pebble Hill School</t>
  </si>
  <si>
    <t>Marshall Metropolitan High School</t>
  </si>
  <si>
    <t>Mather High School</t>
  </si>
  <si>
    <t>Maria Regina High School</t>
  </si>
  <si>
    <t>Hartsdale</t>
  </si>
  <si>
    <t>Martin Luther School</t>
  </si>
  <si>
    <t>Morgan Park High School</t>
  </si>
  <si>
    <t>Maspeth</t>
  </si>
  <si>
    <t>Multicultural Academy Scholarshp High School</t>
  </si>
  <si>
    <t>Marymount School Of Ny</t>
  </si>
  <si>
    <t>Millbrook School</t>
  </si>
  <si>
    <t>Monsignor Mcclancy Memorial High School</t>
  </si>
  <si>
    <t>East Elmhurst</t>
  </si>
  <si>
    <t>Mount Mercy Academy</t>
  </si>
  <si>
    <t>Mount St Michael Academy</t>
  </si>
  <si>
    <t>Mount St. Mary Academy</t>
  </si>
  <si>
    <t>Mountain Lake Academy</t>
  </si>
  <si>
    <t>Snyder, TX</t>
  </si>
  <si>
    <t>Msgr Scanlan High School</t>
  </si>
  <si>
    <t>Mt Moriah Academy</t>
  </si>
  <si>
    <t>Glenmont</t>
  </si>
  <si>
    <t>Nardin Academy</t>
  </si>
  <si>
    <t>New Vistas Academy</t>
  </si>
  <si>
    <t>Noble St Chtr Rauner College Prep</t>
  </si>
  <si>
    <t>Nichols School</t>
  </si>
  <si>
    <t>Noble St Chtr-Baker Campus</t>
  </si>
  <si>
    <t>Nightingale-Bamford School</t>
  </si>
  <si>
    <t>Noble St Chtr-Butler - Crimson</t>
  </si>
  <si>
    <t>Northeastern Academy</t>
  </si>
  <si>
    <t>Noble St Chtr-Chicago Bulls Prep</t>
  </si>
  <si>
    <t>Northwood School</t>
  </si>
  <si>
    <t>Noble St Chtr-Comer College Prep</t>
  </si>
  <si>
    <t>Notre Dame Academy High School</t>
  </si>
  <si>
    <t>Staten Island</t>
  </si>
  <si>
    <t>Noble St Chtr-Drw Trading Col</t>
  </si>
  <si>
    <t>Noble St Chtr-Golder College Prep</t>
  </si>
  <si>
    <t>Oakwood Friends School</t>
  </si>
  <si>
    <t>Noble St Chtr-Hansberry Prep Slvr</t>
  </si>
  <si>
    <t>Poughkeepsie</t>
  </si>
  <si>
    <t>Noble St Chtr-Itw Speer Academy</t>
  </si>
  <si>
    <t>Syosset</t>
  </si>
  <si>
    <t>Packer Collegiate Institute</t>
  </si>
  <si>
    <t>Noble St Chtr-Johnson Colg Prep</t>
  </si>
  <si>
    <t>Pascack Valley Learing Center</t>
  </si>
  <si>
    <t>Airmont</t>
  </si>
  <si>
    <t>Noble St Chtr-Muchin College Prep</t>
  </si>
  <si>
    <t>Poly Prep Country Day School</t>
  </si>
  <si>
    <t>Noble St Chtr-Noble Campus</t>
  </si>
  <si>
    <t>Portledge School</t>
  </si>
  <si>
    <t>Poughkeepsie Day School</t>
  </si>
  <si>
    <t>Noble St Chtr-Pritzker Col Prep</t>
  </si>
  <si>
    <t>Ramaz Upper School</t>
  </si>
  <si>
    <t>Noble St Chtr-Rowe-Clark Ms Academy</t>
  </si>
  <si>
    <t>Razi School</t>
  </si>
  <si>
    <t>Noble St Chtr-The Noble Academy</t>
  </si>
  <si>
    <t>River Valley Mennonite School</t>
  </si>
  <si>
    <t>Castorland</t>
  </si>
  <si>
    <t>Riverdale Country School</t>
  </si>
  <si>
    <t>Noble St Chtr-Uic College Prep</t>
  </si>
  <si>
    <t>Ross School</t>
  </si>
  <si>
    <t>North Lawndale Prep Chtr - Christ</t>
  </si>
  <si>
    <t>Bridgehampton</t>
  </si>
  <si>
    <t>North Lawndale Prep Chtr-Collins</t>
  </si>
  <si>
    <t>Rye Country Day School</t>
  </si>
  <si>
    <t>North-Grand High School</t>
  </si>
  <si>
    <t>NortHigh Schoolide College Preparatory High School</t>
  </si>
  <si>
    <t>Saints Tabernacle School Of Excellence</t>
  </si>
  <si>
    <t>NortHigh Schoolide Learning Center</t>
  </si>
  <si>
    <t>Ogden Int High School</t>
  </si>
  <si>
    <t>St Agnes Academic School</t>
  </si>
  <si>
    <t>College Point</t>
  </si>
  <si>
    <t>St Anthony's High School</t>
  </si>
  <si>
    <t>Huntington Station</t>
  </si>
  <si>
    <t>Ombudsman Chicago Northwest</t>
  </si>
  <si>
    <t>St Barnabas High School</t>
  </si>
  <si>
    <t>Ombudsman Chicago South</t>
  </si>
  <si>
    <t>Tafton, PA</t>
  </si>
  <si>
    <t>St Catharine Academy</t>
  </si>
  <si>
    <t>Ombudsman Chicago West</t>
  </si>
  <si>
    <t>St Demetrios School</t>
  </si>
  <si>
    <t>Orr Academy High School</t>
  </si>
  <si>
    <t>St Edmund Preparatory High School</t>
  </si>
  <si>
    <t>Pathways In Education Ashburn</t>
  </si>
  <si>
    <t>Pathways In Education Avondale</t>
  </si>
  <si>
    <t>St Francis Prep</t>
  </si>
  <si>
    <t>Fresh Meadows</t>
  </si>
  <si>
    <t>Pathways In Education Brighton Pa</t>
  </si>
  <si>
    <t>St George Academy</t>
  </si>
  <si>
    <t>Payton College Preparatory High School</t>
  </si>
  <si>
    <t>St John Bosco School</t>
  </si>
  <si>
    <t>East Rochester</t>
  </si>
  <si>
    <t>Peace And Education Coalition High School</t>
  </si>
  <si>
    <t>Perspectives Chtr -  Iit Campus</t>
  </si>
  <si>
    <t>St John Villa Academy - High School</t>
  </si>
  <si>
    <t>Perspectives Chtr - High School Of Tech</t>
  </si>
  <si>
    <t>Perspectives Chtr - Joslin Campus</t>
  </si>
  <si>
    <t>Perspectives Chtr - Leadership Ac</t>
  </si>
  <si>
    <t>Phillips Academy High School</t>
  </si>
  <si>
    <t>St Joseph Hill Academy</t>
  </si>
  <si>
    <t>Phoenix Military Academy High School</t>
  </si>
  <si>
    <t>St Joseph's Collegiate Institute</t>
  </si>
  <si>
    <t>Rome, NY</t>
  </si>
  <si>
    <t>Prosser Career Academy High School</t>
  </si>
  <si>
    <t>Raby High School</t>
  </si>
  <si>
    <t>St Peters Boys High School</t>
  </si>
  <si>
    <t>Richards Career Academy High School</t>
  </si>
  <si>
    <t>St Raymond High School For Boys</t>
  </si>
  <si>
    <t>Rickover Naval Academy High School Schl</t>
  </si>
  <si>
    <t>St Saviour High School</t>
  </si>
  <si>
    <t>St Vincent Ferrer High School</t>
  </si>
  <si>
    <t>Tag High School</t>
  </si>
  <si>
    <t>Far Rockaway</t>
  </si>
  <si>
    <t>School Of Social Justice High School</t>
  </si>
  <si>
    <t>Talmudical Institute Of Upstate Ny</t>
  </si>
  <si>
    <t>Schurz High School</t>
  </si>
  <si>
    <t>The Beekman School</t>
  </si>
  <si>
    <t>The Birch Wathen Lenox School</t>
  </si>
  <si>
    <t>Hydes, MD</t>
  </si>
  <si>
    <t>Senn High School</t>
  </si>
  <si>
    <t>The Brearley School</t>
  </si>
  <si>
    <t>Simeon Career Academy High School</t>
  </si>
  <si>
    <t>The Chapin School Ltd</t>
  </si>
  <si>
    <t>Simpson Academy High School For Young Women</t>
  </si>
  <si>
    <t>The Harley School</t>
  </si>
  <si>
    <t>Solorio Academy High School</t>
  </si>
  <si>
    <t>The Harvey School</t>
  </si>
  <si>
    <t>Katonah</t>
  </si>
  <si>
    <t>The Hewitt School</t>
  </si>
  <si>
    <t>South Shore Intl Col Prep High School</t>
  </si>
  <si>
    <t>The Knox School</t>
  </si>
  <si>
    <t>Saint James</t>
  </si>
  <si>
    <t>The Mary Louis Academy</t>
  </si>
  <si>
    <t>Jamaica</t>
  </si>
  <si>
    <t>SoutHigh Schoolide Occupational Academy High School</t>
  </si>
  <si>
    <t>The Masters School</t>
  </si>
  <si>
    <t>Dobbs Ferry</t>
  </si>
  <si>
    <t>Spry Community Links High School</t>
  </si>
  <si>
    <t>The Park School Of Buffalo</t>
  </si>
  <si>
    <t>Steinmetz College Prep High School</t>
  </si>
  <si>
    <t>The Solomon Schechter School Of Westchester</t>
  </si>
  <si>
    <t>The Spence School</t>
  </si>
  <si>
    <t>Sullivan High School</t>
  </si>
  <si>
    <t>Taft High School</t>
  </si>
  <si>
    <t>The Stony Brook School</t>
  </si>
  <si>
    <t>Stony Brook</t>
  </si>
  <si>
    <t>Team Englewood Comm Academy High School</t>
  </si>
  <si>
    <t>The Storm King School</t>
  </si>
  <si>
    <t>Cornwall On Hudson</t>
  </si>
  <si>
    <t>Tilden Career Communty Academy High School</t>
  </si>
  <si>
    <t>The Ursuline School</t>
  </si>
  <si>
    <t>Univ Of Chicago Chtr-Woodlawn</t>
  </si>
  <si>
    <t>Tomer Devorah High School</t>
  </si>
  <si>
    <t>Harvey, LA</t>
  </si>
  <si>
    <t>Uplift Community High School</t>
  </si>
  <si>
    <t>Trevor Day School</t>
  </si>
  <si>
    <t>Urban Prep Chtr  Bronzeville High School</t>
  </si>
  <si>
    <t>United Nations International School</t>
  </si>
  <si>
    <t>Urban Prep Chtr Academy Englewood High School</t>
  </si>
  <si>
    <t>United Talmudical Academy Of Borough Park</t>
  </si>
  <si>
    <t>Urban Prep Chtr West Campus High School</t>
  </si>
  <si>
    <t>Whitestone</t>
  </si>
  <si>
    <t>Vaughn Occupational High School</t>
  </si>
  <si>
    <t>Windsor School</t>
  </si>
  <si>
    <t>Von Steuben Metro Science High School</t>
  </si>
  <si>
    <t>Woodstock Day School</t>
  </si>
  <si>
    <t>Washington G High School</t>
  </si>
  <si>
    <t>Xaverian High School</t>
  </si>
  <si>
    <t>Wells Community Academy High School</t>
  </si>
  <si>
    <t>Westinghouse High School</t>
  </si>
  <si>
    <t>York Prep School</t>
  </si>
  <si>
    <t>Academy Of Coastal Carolina</t>
  </si>
  <si>
    <t>Williams Medical Prep High School Sch</t>
  </si>
  <si>
    <t>Shallotte</t>
  </si>
  <si>
    <t>Academy Of Excellence</t>
  </si>
  <si>
    <t>Statesville</t>
  </si>
  <si>
    <t>World Language High School</t>
  </si>
  <si>
    <t>Arendell Parrott Academy</t>
  </si>
  <si>
    <t>Yccs-Albizu Campos Puerto Rican</t>
  </si>
  <si>
    <t>Asheville School</t>
  </si>
  <si>
    <t>Asheville</t>
  </si>
  <si>
    <t>Yccs-Aspira Pantoja Alt High School</t>
  </si>
  <si>
    <t>Brittain Academy</t>
  </si>
  <si>
    <t>High Point</t>
  </si>
  <si>
    <t>Caldwell Academy</t>
  </si>
  <si>
    <t>Winston Salem</t>
  </si>
  <si>
    <t>Yccs-Austin Career Ed Cntr High School</t>
  </si>
  <si>
    <t>Calvary Education Center</t>
  </si>
  <si>
    <t>Lemon Springs</t>
  </si>
  <si>
    <t>Cannon School</t>
  </si>
  <si>
    <t>Yccs-Cca Academy High School</t>
  </si>
  <si>
    <t>Cape Fear Academy</t>
  </si>
  <si>
    <t>Yccs-Community Youth Dev Inst High School</t>
  </si>
  <si>
    <t>Carolina Day School</t>
  </si>
  <si>
    <t>Yccs-Innovations Of Arts Integr</t>
  </si>
  <si>
    <t>Spanish Fork, UT</t>
  </si>
  <si>
    <t>Cary Academy</t>
  </si>
  <si>
    <t>Yccs-Latino Youth Alternative High School</t>
  </si>
  <si>
    <t>Cfa Academy</t>
  </si>
  <si>
    <t>Yccs-Mckinley-Lakeside Leadership</t>
  </si>
  <si>
    <t>Champion Educational Center</t>
  </si>
  <si>
    <t>Yccs-Progressive Leadership Academy</t>
  </si>
  <si>
    <t>Beulaville</t>
  </si>
  <si>
    <t>Yccs-Scholastic Achievement High School</t>
  </si>
  <si>
    <t>Charlotte Country Day School</t>
  </si>
  <si>
    <t>Yccs-Sullivan House Alt High School</t>
  </si>
  <si>
    <t>Charlotte Leadership Academy</t>
  </si>
  <si>
    <t>Daniel Academy</t>
  </si>
  <si>
    <t>Yccs-Truman Middle College High School</t>
  </si>
  <si>
    <t>Davidson Day School</t>
  </si>
  <si>
    <t>Yccs-West Town Academy Alt High School</t>
  </si>
  <si>
    <t>Yccs-Westside Holistic Ldr Academy</t>
  </si>
  <si>
    <t>Durham Academy</t>
  </si>
  <si>
    <t>Yccs-Youth Connection Leadership</t>
  </si>
  <si>
    <t>Fayetteville Academy</t>
  </si>
  <si>
    <t>Young Magnet High School</t>
  </si>
  <si>
    <t>Fletcher Academy</t>
  </si>
  <si>
    <t>Fletcher</t>
  </si>
  <si>
    <t>Young Womens Leadership Chartr High School</t>
  </si>
  <si>
    <t>Foreshadow Academy</t>
  </si>
  <si>
    <t>Elizabeth City</t>
  </si>
  <si>
    <t>Bloom High School</t>
  </si>
  <si>
    <t>Gaston Day School</t>
  </si>
  <si>
    <t>Gastonia</t>
  </si>
  <si>
    <t>Bloom Trail High School</t>
  </si>
  <si>
    <t>Greater Vision Academy</t>
  </si>
  <si>
    <t>Gibsonville</t>
  </si>
  <si>
    <t>Dist 206 Alternative High School</t>
  </si>
  <si>
    <t>Greenfield School</t>
  </si>
  <si>
    <t>Greensboro Day School</t>
  </si>
  <si>
    <t>Greyfriars Classical Academy</t>
  </si>
  <si>
    <t>Matthews</t>
  </si>
  <si>
    <t>Il Valley Central High School</t>
  </si>
  <si>
    <t>Ivc Learning Center</t>
  </si>
  <si>
    <t>Roanoke Rapids</t>
  </si>
  <si>
    <t>Chrisman High School</t>
  </si>
  <si>
    <t>Chrisman</t>
  </si>
  <si>
    <t>Highlander Academy</t>
  </si>
  <si>
    <t>Red Springs</t>
  </si>
  <si>
    <t>Christopher</t>
  </si>
  <si>
    <t>Hobgood Academy</t>
  </si>
  <si>
    <t>Hobgood</t>
  </si>
  <si>
    <t>Hopewell Academy</t>
  </si>
  <si>
    <t>Kerr-Vance Academy</t>
  </si>
  <si>
    <t>King Family Ministries School</t>
  </si>
  <si>
    <t>Laurinburg Normal &amp; Industrial Institute</t>
  </si>
  <si>
    <t>Laurinburg</t>
  </si>
  <si>
    <t>Merry Hill</t>
  </si>
  <si>
    <t>J Sterling Morton Alternative Sch</t>
  </si>
  <si>
    <t>Lwcs</t>
  </si>
  <si>
    <t>Mount Pisqah Academy</t>
  </si>
  <si>
    <t>Candler</t>
  </si>
  <si>
    <t>J Sterling Morton East High School Sch</t>
  </si>
  <si>
    <t>Nc Boys Academy</t>
  </si>
  <si>
    <t>West Palm Beach, FL</t>
  </si>
  <si>
    <t>Convoer</t>
  </si>
  <si>
    <t>Cisne High School</t>
  </si>
  <si>
    <t>Cisne</t>
  </si>
  <si>
    <t>Northeast Academy</t>
  </si>
  <si>
    <t>Lasker</t>
  </si>
  <si>
    <t>Cissna Park Sr High School</t>
  </si>
  <si>
    <t>Cissna Park</t>
  </si>
  <si>
    <t>Northwood Temple Academy</t>
  </si>
  <si>
    <t>Clifton</t>
  </si>
  <si>
    <t>Oak Ridge Military Academy</t>
  </si>
  <si>
    <t>Odyssey Community School</t>
  </si>
  <si>
    <t>Pathways Middle And High</t>
  </si>
  <si>
    <t>Providence Day School</t>
  </si>
  <si>
    <t>Ravenscroft School</t>
  </si>
  <si>
    <t>Raleigh</t>
  </si>
  <si>
    <t>Ridgecroft School</t>
  </si>
  <si>
    <t>Ahoskie</t>
  </si>
  <si>
    <t>Rocky Mount Academy</t>
  </si>
  <si>
    <t>Rocky Mount</t>
  </si>
  <si>
    <t>Salem Academy</t>
  </si>
  <si>
    <t>St David's School</t>
  </si>
  <si>
    <t>Maggie Valley</t>
  </si>
  <si>
    <t>St Mary's School</t>
  </si>
  <si>
    <t>Strategic Academy</t>
  </si>
  <si>
    <t>Garner</t>
  </si>
  <si>
    <t>Thales Academy</t>
  </si>
  <si>
    <t>Rolesville</t>
  </si>
  <si>
    <t>The Burlington School</t>
  </si>
  <si>
    <t>The Epiphany School Of Global Studies</t>
  </si>
  <si>
    <t>New Bern</t>
  </si>
  <si>
    <t>Coal City High School</t>
  </si>
  <si>
    <t>Coal City</t>
  </si>
  <si>
    <t>The O'Neal School</t>
  </si>
  <si>
    <t>Southern Pines</t>
  </si>
  <si>
    <t>Cobden High School</t>
  </si>
  <si>
    <t>Cobden</t>
  </si>
  <si>
    <t>The Oakwood School</t>
  </si>
  <si>
    <t>Timbersong Academy</t>
  </si>
  <si>
    <t>Collinsville High School</t>
  </si>
  <si>
    <t>True Light Shines Academy</t>
  </si>
  <si>
    <t>Wake Forest</t>
  </si>
  <si>
    <t>Waterview Learning Academy</t>
  </si>
  <si>
    <t>Triopia Jr-Sr High School</t>
  </si>
  <si>
    <t>Wayne Country Day School</t>
  </si>
  <si>
    <t>Goldsboro</t>
  </si>
  <si>
    <t>Westchester Country Day School</t>
  </si>
  <si>
    <t>Country Club Hill</t>
  </si>
  <si>
    <t>Wolf Creek Academy</t>
  </si>
  <si>
    <t>Mars Hill</t>
  </si>
  <si>
    <t>Cowden-Herrick Jr/Sr High School</t>
  </si>
  <si>
    <t>Woodlawn School</t>
  </si>
  <si>
    <t>Cowden</t>
  </si>
  <si>
    <t>Dakota Memorial School- Bismarck</t>
  </si>
  <si>
    <t>Crete-Monee High School</t>
  </si>
  <si>
    <t>Crete</t>
  </si>
  <si>
    <t>St Mary Central High School</t>
  </si>
  <si>
    <t>Crystal Lake Central High School</t>
  </si>
  <si>
    <t>Crystal Lake</t>
  </si>
  <si>
    <t>Standing Rock High School</t>
  </si>
  <si>
    <t>Fort Yates</t>
  </si>
  <si>
    <t>Crystal Lake South High School</t>
  </si>
  <si>
    <t>Antrim Mennonite School</t>
  </si>
  <si>
    <t>Prairie Ridge High School</t>
  </si>
  <si>
    <t>Arch Bishop Moeller High School</t>
  </si>
  <si>
    <t>Archbishop Alter High School</t>
  </si>
  <si>
    <t>Kettering</t>
  </si>
  <si>
    <t>Cocoa, FL</t>
  </si>
  <si>
    <t>Archbishop Hoban High School</t>
  </si>
  <si>
    <t>Cuba Sr High School</t>
  </si>
  <si>
    <t>Cuba</t>
  </si>
  <si>
    <t>Archbishop Mcnicholas High School</t>
  </si>
  <si>
    <t>Tri-Point High School</t>
  </si>
  <si>
    <t>Cullom</t>
  </si>
  <si>
    <t>Benedictine High School</t>
  </si>
  <si>
    <t>Dakota Jr Sr High School</t>
  </si>
  <si>
    <t>Dakota</t>
  </si>
  <si>
    <t>Bishop Hartley High School</t>
  </si>
  <si>
    <t>Kenneth D Bailey Academy</t>
  </si>
  <si>
    <t>Bishop Ready High School</t>
  </si>
  <si>
    <t>Bishop Rosecrans High School</t>
  </si>
  <si>
    <t>Zanesville</t>
  </si>
  <si>
    <t>Hinsdale South High School</t>
  </si>
  <si>
    <t>Bishop Watterson High School</t>
  </si>
  <si>
    <t>Bremen Holiness School</t>
  </si>
  <si>
    <t>Deland-Weldon High School</t>
  </si>
  <si>
    <t>The Calvary Academy</t>
  </si>
  <si>
    <t>De Land</t>
  </si>
  <si>
    <t>Eisenhower High School</t>
  </si>
  <si>
    <t>Macarthur High School</t>
  </si>
  <si>
    <t>Chaminade Julienne High School</t>
  </si>
  <si>
    <t>Deerfield High School</t>
  </si>
  <si>
    <t>Deerfield</t>
  </si>
  <si>
    <t>Dominion Academy</t>
  </si>
  <si>
    <t>Dekalb High School</t>
  </si>
  <si>
    <t>Elder High School</t>
  </si>
  <si>
    <t>Dekalb</t>
  </si>
  <si>
    <t>Delavan High School</t>
  </si>
  <si>
    <t>Delavan</t>
  </si>
  <si>
    <t>Fuchs Mizrachi School</t>
  </si>
  <si>
    <t>Beachwood</t>
  </si>
  <si>
    <t>Depue High School</t>
  </si>
  <si>
    <t>Depue</t>
  </si>
  <si>
    <t>Gilmour Academy</t>
  </si>
  <si>
    <t>Gates Mills</t>
  </si>
  <si>
    <t>Maine West High School</t>
  </si>
  <si>
    <t>Grand River Academy</t>
  </si>
  <si>
    <t>Austinburg</t>
  </si>
  <si>
    <t>Harvest Preparatory School</t>
  </si>
  <si>
    <t>Dieterich Jr/Sr High School</t>
  </si>
  <si>
    <t>Canal Winchester</t>
  </si>
  <si>
    <t>Dieterich</t>
  </si>
  <si>
    <t>Hathaway Brown School</t>
  </si>
  <si>
    <t>Hawken School</t>
  </si>
  <si>
    <t>Peace Center</t>
  </si>
  <si>
    <t>Dolton</t>
  </si>
  <si>
    <t>Thornridge High School</t>
  </si>
  <si>
    <t>Parma Heights</t>
  </si>
  <si>
    <t>Dongola High School</t>
  </si>
  <si>
    <t>Dongola</t>
  </si>
  <si>
    <t>Lake Ridge Academy</t>
  </si>
  <si>
    <t>North Ridgeville</t>
  </si>
  <si>
    <t>Donovan Sr High School</t>
  </si>
  <si>
    <t>Donovan</t>
  </si>
  <si>
    <t>Laurel School</t>
  </si>
  <si>
    <t>Comm H S Dist 99 - North H S</t>
  </si>
  <si>
    <t>Downers Grove</t>
  </si>
  <si>
    <t>Lyceum- The</t>
  </si>
  <si>
    <t>South Euclid</t>
  </si>
  <si>
    <t>Comm H S Dist 99 - South High School Sch</t>
  </si>
  <si>
    <t>Magnificat High School</t>
  </si>
  <si>
    <t>Rocky River</t>
  </si>
  <si>
    <t>Tri-Valley High School</t>
  </si>
  <si>
    <t>Mars Hill Academy</t>
  </si>
  <si>
    <t>Downs</t>
  </si>
  <si>
    <t>Mason</t>
  </si>
  <si>
    <t>Du Quoin High School</t>
  </si>
  <si>
    <t>Du Quoin</t>
  </si>
  <si>
    <t>Maumee Valley Country Day School</t>
  </si>
  <si>
    <t>Dunlap High School</t>
  </si>
  <si>
    <t>Mcauley High School</t>
  </si>
  <si>
    <t>Dupo High School</t>
  </si>
  <si>
    <t>Mount Notre Dame High School</t>
  </si>
  <si>
    <t>Dupo</t>
  </si>
  <si>
    <t>Durand High School</t>
  </si>
  <si>
    <t>Durand</t>
  </si>
  <si>
    <t>Dwight High School</t>
  </si>
  <si>
    <t>Notre Dame Jr/Sr High</t>
  </si>
  <si>
    <t>Dwight</t>
  </si>
  <si>
    <t>Portsmouth</t>
  </si>
  <si>
    <t>Earlville Jr/Sr High School</t>
  </si>
  <si>
    <t>Earlville</t>
  </si>
  <si>
    <t>Olney Friends School</t>
  </si>
  <si>
    <t>East Dubuque High School</t>
  </si>
  <si>
    <t>Our Lady Of The Elms School</t>
  </si>
  <si>
    <t>East Dubuque</t>
  </si>
  <si>
    <t>United Twp High School</t>
  </si>
  <si>
    <t>East Moline</t>
  </si>
  <si>
    <t>Padua Franciscan High School</t>
  </si>
  <si>
    <t>East Peoria High School</t>
  </si>
  <si>
    <t>East Peoria</t>
  </si>
  <si>
    <t>Paint Creek Academy</t>
  </si>
  <si>
    <t>East St Louis Senior High School</t>
  </si>
  <si>
    <t>East Saint Louis</t>
  </si>
  <si>
    <t>Portsmouth Stem Academy</t>
  </si>
  <si>
    <t>Purcell Marian High School</t>
  </si>
  <si>
    <t>Siu Charter Sch Of East St Louis</t>
  </si>
  <si>
    <t>Roger Bacon High School</t>
  </si>
  <si>
    <t>Wyvetter Younge Altrntv Cntr</t>
  </si>
  <si>
    <t>Royalmont Academy</t>
  </si>
  <si>
    <t>Edinburg High School</t>
  </si>
  <si>
    <t>Edinburg</t>
  </si>
  <si>
    <t>Spring Valley Academy</t>
  </si>
  <si>
    <t>Centerville</t>
  </si>
  <si>
    <t>District 7 Alternative School</t>
  </si>
  <si>
    <t>St Edmund Campion Academy</t>
  </si>
  <si>
    <t>Edwardsville</t>
  </si>
  <si>
    <t>Edwardsville High School</t>
  </si>
  <si>
    <t>St Edward High School</t>
  </si>
  <si>
    <t>Effingham High School</t>
  </si>
  <si>
    <t>St Francis De Sales High School</t>
  </si>
  <si>
    <t>Lakeside, AZ</t>
  </si>
  <si>
    <t>El Paso-Gridley High School</t>
  </si>
  <si>
    <t>El Paso</t>
  </si>
  <si>
    <t>St Francis De Sales School</t>
  </si>
  <si>
    <t>Eldorado High School</t>
  </si>
  <si>
    <t>Eldorado</t>
  </si>
  <si>
    <t>St Ignatius High School</t>
  </si>
  <si>
    <t>Central School Program</t>
  </si>
  <si>
    <t>Elgin</t>
  </si>
  <si>
    <t>St John Central High School</t>
  </si>
  <si>
    <t>Elgin High School</t>
  </si>
  <si>
    <t>Delphos</t>
  </si>
  <si>
    <t>Larkin High School</t>
  </si>
  <si>
    <t>St Johns School</t>
  </si>
  <si>
    <t>Ashtabula</t>
  </si>
  <si>
    <t>Hardin County High School</t>
  </si>
  <si>
    <t>Ironton</t>
  </si>
  <si>
    <t>St Martin De Porres High School</t>
  </si>
  <si>
    <t>Elverado High School</t>
  </si>
  <si>
    <t>Elkville</t>
  </si>
  <si>
    <t>St Peregrine Academy</t>
  </si>
  <si>
    <t>Richfield</t>
  </si>
  <si>
    <t>York Comm High School</t>
  </si>
  <si>
    <t>Elmwood High School</t>
  </si>
  <si>
    <t>Elmwood</t>
  </si>
  <si>
    <t>St Ursula Academy</t>
  </si>
  <si>
    <t>Elmwood Park High School</t>
  </si>
  <si>
    <t>Elmwood Park</t>
  </si>
  <si>
    <t>Carmel, IN</t>
  </si>
  <si>
    <t>Eureka High School</t>
  </si>
  <si>
    <t>St Vincent-St Mary High School</t>
  </si>
  <si>
    <t>Evanston Twp High School</t>
  </si>
  <si>
    <t>Evergreen Park High School</t>
  </si>
  <si>
    <t>Evergreen Park</t>
  </si>
  <si>
    <t>St. Peter's School</t>
  </si>
  <si>
    <t>Prairie Central High School</t>
  </si>
  <si>
    <t>Fairbury</t>
  </si>
  <si>
    <t>Stephen T Badin High School</t>
  </si>
  <si>
    <t>Fairfield Comm High School</t>
  </si>
  <si>
    <t>Wickliffe</t>
  </si>
  <si>
    <t>South Central High School</t>
  </si>
  <si>
    <t>Farina</t>
  </si>
  <si>
    <t>The Cinday Academy</t>
  </si>
  <si>
    <t>Springboro</t>
  </si>
  <si>
    <t>Farmer City</t>
  </si>
  <si>
    <t>The Summit Country Day School</t>
  </si>
  <si>
    <t>Farmington Central High School Sch</t>
  </si>
  <si>
    <t>The Wellington School</t>
  </si>
  <si>
    <t>Fisher Jr/Sr High School</t>
  </si>
  <si>
    <t>Fisher</t>
  </si>
  <si>
    <t>University School</t>
  </si>
  <si>
    <t>Chagrin Falls</t>
  </si>
  <si>
    <t>Oakwood High School</t>
  </si>
  <si>
    <t>Fithian</t>
  </si>
  <si>
    <t>Ursuline Academy Of Cincinnati</t>
  </si>
  <si>
    <t>Flanagan-Cornell High School</t>
  </si>
  <si>
    <t>Ursuline High School</t>
  </si>
  <si>
    <t>Youngstown</t>
  </si>
  <si>
    <t>Flora High School</t>
  </si>
  <si>
    <t>Village Academy Schools</t>
  </si>
  <si>
    <t>Powell</t>
  </si>
  <si>
    <t>North Las Vegas, NV</t>
  </si>
  <si>
    <t>Homewood-Flossmoor High School</t>
  </si>
  <si>
    <t>Flossmoor</t>
  </si>
  <si>
    <t>Western Reserve Academy</t>
  </si>
  <si>
    <t>Proviso Math And Science Academy</t>
  </si>
  <si>
    <t>Casady School</t>
  </si>
  <si>
    <t>Oklahoma City</t>
  </si>
  <si>
    <t>Forreston Jr/Sr High School Sch</t>
  </si>
  <si>
    <t>Forreston</t>
  </si>
  <si>
    <t>Heritage Hall</t>
  </si>
  <si>
    <t>Grant Community High School</t>
  </si>
  <si>
    <t>Fox Lake</t>
  </si>
  <si>
    <t>Holland Hall</t>
  </si>
  <si>
    <t>Lincoln-Way East High School</t>
  </si>
  <si>
    <t>Frankfort</t>
  </si>
  <si>
    <t>Liberty Academy</t>
  </si>
  <si>
    <t>East Leyden High School</t>
  </si>
  <si>
    <t>Shawnee</t>
  </si>
  <si>
    <t>Franklin Park</t>
  </si>
  <si>
    <t>Mercy School Institute</t>
  </si>
  <si>
    <t>Edmond</t>
  </si>
  <si>
    <t>Freeburg Community High School Sch</t>
  </si>
  <si>
    <t>Freeburg</t>
  </si>
  <si>
    <t>Mount Saint Mary High School</t>
  </si>
  <si>
    <t>Freeport High School</t>
  </si>
  <si>
    <t>Peace Academy</t>
  </si>
  <si>
    <t>Fulton High School</t>
  </si>
  <si>
    <t>Fulton</t>
  </si>
  <si>
    <t>Riverfield Country Day School</t>
  </si>
  <si>
    <t>Galatia High School</t>
  </si>
  <si>
    <t>Galatia</t>
  </si>
  <si>
    <t>Cascades Academy</t>
  </si>
  <si>
    <t>Bend</t>
  </si>
  <si>
    <t>Galena High School</t>
  </si>
  <si>
    <t>Cs Lewis Academy</t>
  </si>
  <si>
    <t>Newberg</t>
  </si>
  <si>
    <t>Galesburg High School</t>
  </si>
  <si>
    <t>Delphian School</t>
  </si>
  <si>
    <t>Knox Co Mary Davis Detention Home</t>
  </si>
  <si>
    <t>Weare, NH</t>
  </si>
  <si>
    <t>Lighthouse Apostolic Academy</t>
  </si>
  <si>
    <t>La Grande</t>
  </si>
  <si>
    <t>Galva Jr-Sr High School</t>
  </si>
  <si>
    <t>Galva</t>
  </si>
  <si>
    <t>Naya Early College Academy</t>
  </si>
  <si>
    <t>Gardner-South Wilmington Twp H S</t>
  </si>
  <si>
    <t>Gardner</t>
  </si>
  <si>
    <t>Geneseo High School</t>
  </si>
  <si>
    <t>Northwest Academy</t>
  </si>
  <si>
    <t>Geneseo</t>
  </si>
  <si>
    <t>Geneva Community High School</t>
  </si>
  <si>
    <t>Oak Hill School</t>
  </si>
  <si>
    <t>Pacific Crest Community School</t>
  </si>
  <si>
    <t>Genoa-Kingston High School</t>
  </si>
  <si>
    <t>Genoa</t>
  </si>
  <si>
    <t>Georgetown-Ridge Farm High School</t>
  </si>
  <si>
    <t>Gcms High School</t>
  </si>
  <si>
    <t>Gibson City</t>
  </si>
  <si>
    <t>Gillespie High School</t>
  </si>
  <si>
    <t>Gillespie</t>
  </si>
  <si>
    <t>Iroquois West High School</t>
  </si>
  <si>
    <t>Gilman</t>
  </si>
  <si>
    <t>Illini Bluffs High School</t>
  </si>
  <si>
    <t>Glasford</t>
  </si>
  <si>
    <t>Glenbard South High School</t>
  </si>
  <si>
    <t>Glen Ellyn</t>
  </si>
  <si>
    <t>Glenbard West High School</t>
  </si>
  <si>
    <t>Sonrise Academy</t>
  </si>
  <si>
    <t>The Dalles</t>
  </si>
  <si>
    <t>Glenbrook Evening High School</t>
  </si>
  <si>
    <t>Glenview</t>
  </si>
  <si>
    <t>Glenbrook Off-Campus Center</t>
  </si>
  <si>
    <t>St Mary's Of Medford</t>
  </si>
  <si>
    <t>Glenbrook South High School</t>
  </si>
  <si>
    <t>Pope Co High School</t>
  </si>
  <si>
    <t>St Marys Academy</t>
  </si>
  <si>
    <t>Golconda</t>
  </si>
  <si>
    <t>The Triad School</t>
  </si>
  <si>
    <t>Goreville High School</t>
  </si>
  <si>
    <t>Klamath Falls</t>
  </si>
  <si>
    <t>Goreville</t>
  </si>
  <si>
    <t>Tulare, CA</t>
  </si>
  <si>
    <t>Veritas School</t>
  </si>
  <si>
    <t>Granite City High School</t>
  </si>
  <si>
    <t>Granite City</t>
  </si>
  <si>
    <t>Wellsprings Friends School</t>
  </si>
  <si>
    <t>Grant Park High School</t>
  </si>
  <si>
    <t>Grant Park</t>
  </si>
  <si>
    <t>Western Mennonite School</t>
  </si>
  <si>
    <t>Granville</t>
  </si>
  <si>
    <t>Abington Friends School</t>
  </si>
  <si>
    <t>Grayslake Central High School</t>
  </si>
  <si>
    <t>Jenkintown</t>
  </si>
  <si>
    <t>Grayslake North High School</t>
  </si>
  <si>
    <t>Academy-Notre Dame De Namur</t>
  </si>
  <si>
    <t>Villanova</t>
  </si>
  <si>
    <t>Grayville Jr Sr High School</t>
  </si>
  <si>
    <t>Grayville</t>
  </si>
  <si>
    <t>Archbishop Ryan High School</t>
  </si>
  <si>
    <t>Greenview Jr/Sr High School</t>
  </si>
  <si>
    <t>Greenview</t>
  </si>
  <si>
    <t>Belleville Mennonite School</t>
  </si>
  <si>
    <t>Bond Cty Comm Unit 2 High School</t>
  </si>
  <si>
    <t>Bishop Canevin High School</t>
  </si>
  <si>
    <t>Griggsville-Perry High School</t>
  </si>
  <si>
    <t>Griggsville</t>
  </si>
  <si>
    <t>Bishop Mcdevitt High School</t>
  </si>
  <si>
    <t>Wyncote</t>
  </si>
  <si>
    <t>Warren Township High School</t>
  </si>
  <si>
    <t>Gurnee</t>
  </si>
  <si>
    <t>Bishop Shanahan High School</t>
  </si>
  <si>
    <t>Downingtown</t>
  </si>
  <si>
    <t>Hamilton Jr/Sr High School Sch</t>
  </si>
  <si>
    <t>Blue Mountain Academy</t>
  </si>
  <si>
    <t>Buxmont Academy</t>
  </si>
  <si>
    <t>Hampshire High School</t>
  </si>
  <si>
    <t>Hampshire</t>
  </si>
  <si>
    <t>Pipersville</t>
  </si>
  <si>
    <t>Carson Long Military Academy</t>
  </si>
  <si>
    <t>New Bloomfield</t>
  </si>
  <si>
    <t>Hanover</t>
  </si>
  <si>
    <t>Cathedral Preparatory School</t>
  </si>
  <si>
    <t>Community Country Day School</t>
  </si>
  <si>
    <t>Kirkwood, IL</t>
  </si>
  <si>
    <t>Harrisburg High School</t>
  </si>
  <si>
    <t>Cornerstone Mennonite School</t>
  </si>
  <si>
    <t>Burgettstown</t>
  </si>
  <si>
    <t>Hartsburg-Emden Jr-Sr High School</t>
  </si>
  <si>
    <t>Cristo Rey Philadelphia High School</t>
  </si>
  <si>
    <t>Hartsburg</t>
  </si>
  <si>
    <t>Crossroads Private Academic School</t>
  </si>
  <si>
    <t>Harvard High School</t>
  </si>
  <si>
    <t>Farrell</t>
  </si>
  <si>
    <t>Harvard</t>
  </si>
  <si>
    <t>Dalet School</t>
  </si>
  <si>
    <t>Thornton Township High School</t>
  </si>
  <si>
    <t>Devon Preparatory School</t>
  </si>
  <si>
    <t>Devon</t>
  </si>
  <si>
    <t>Havana High School</t>
  </si>
  <si>
    <t>Dock Mennonite Academy</t>
  </si>
  <si>
    <t>Lansdale</t>
  </si>
  <si>
    <t>Alden-Hebron High School</t>
  </si>
  <si>
    <t>Eihab School</t>
  </si>
  <si>
    <t>Tunkhannock</t>
  </si>
  <si>
    <t>Ephrata Mennonite School</t>
  </si>
  <si>
    <t>Ephrata</t>
  </si>
  <si>
    <t>Henry-Senachwine High School</t>
  </si>
  <si>
    <t>Henry</t>
  </si>
  <si>
    <t>Father Judge High School</t>
  </si>
  <si>
    <t>Herrin High School</t>
  </si>
  <si>
    <t>Herrin</t>
  </si>
  <si>
    <t>Friends Central School</t>
  </si>
  <si>
    <t>Wynnewood</t>
  </si>
  <si>
    <t>Herscher High School</t>
  </si>
  <si>
    <t>Friends Select School</t>
  </si>
  <si>
    <t>Herscher</t>
  </si>
  <si>
    <t>Garbens Mennonite School</t>
  </si>
  <si>
    <t>Spring Grove</t>
  </si>
  <si>
    <t>Heyworth Jr-Sr High School</t>
  </si>
  <si>
    <t>Heyworth</t>
  </si>
  <si>
    <t>George School</t>
  </si>
  <si>
    <t>Newtown</t>
  </si>
  <si>
    <t>Germantown Academy</t>
  </si>
  <si>
    <t>Fort Washington</t>
  </si>
  <si>
    <t>Girard College</t>
  </si>
  <si>
    <t>High Schoolland Park High School</t>
  </si>
  <si>
    <t>Highland Park</t>
  </si>
  <si>
    <t>Fullerton, CA</t>
  </si>
  <si>
    <t>Great Commission Schools</t>
  </si>
  <si>
    <t>Hillsboro High School</t>
  </si>
  <si>
    <t>Altoona</t>
  </si>
  <si>
    <t>Hillsboro</t>
  </si>
  <si>
    <t>Greene Street Friends School</t>
  </si>
  <si>
    <t>Proviso West High School</t>
  </si>
  <si>
    <t>Gregory The Great Academy</t>
  </si>
  <si>
    <t>Elmhurst Township</t>
  </si>
  <si>
    <t>Hinckley-Big Rock High School</t>
  </si>
  <si>
    <t>Hinckley</t>
  </si>
  <si>
    <t>Gwynedd Mercy Academy High School</t>
  </si>
  <si>
    <t>Gwynedd Valley</t>
  </si>
  <si>
    <t>Hinsdale Central High School</t>
  </si>
  <si>
    <t>Hinsdale</t>
  </si>
  <si>
    <t>Higgins Education Center</t>
  </si>
  <si>
    <t>Hoffman Estates</t>
  </si>
  <si>
    <t>Harrisburg Academy</t>
  </si>
  <si>
    <t>Wormleysburg</t>
  </si>
  <si>
    <t>Hoffman Estates High School</t>
  </si>
  <si>
    <t>Hillel Academy Pittsburgh</t>
  </si>
  <si>
    <t>J B Conant High School</t>
  </si>
  <si>
    <t>Dunmore</t>
  </si>
  <si>
    <t>Holy Ghost Prep</t>
  </si>
  <si>
    <t>Bensalem</t>
  </si>
  <si>
    <t>Hoopeston Area High School</t>
  </si>
  <si>
    <t>Hoopeston</t>
  </si>
  <si>
    <t>Holy Redeemer H.S.</t>
  </si>
  <si>
    <t>Wilkes Barre</t>
  </si>
  <si>
    <t>Hume</t>
  </si>
  <si>
    <t>Independent Holiness Academy</t>
  </si>
  <si>
    <t>Harrisonville</t>
  </si>
  <si>
    <t>Juniata Mennonite School</t>
  </si>
  <si>
    <t>Mc Alisterville</t>
  </si>
  <si>
    <t>Huntley High School</t>
  </si>
  <si>
    <t>Korman Hyman High School-Talmu</t>
  </si>
  <si>
    <t>Hutsonville High School</t>
  </si>
  <si>
    <t>Hutsonville</t>
  </si>
  <si>
    <t>La Salle College High School</t>
  </si>
  <si>
    <t>Wyndmoor</t>
  </si>
  <si>
    <t>Lancaster Mennonite School-Lancaster Campus</t>
  </si>
  <si>
    <t>Medford, MA</t>
  </si>
  <si>
    <t>Jersey Comm High School</t>
  </si>
  <si>
    <t>Jerseyville</t>
  </si>
  <si>
    <t>Johnsburg High School</t>
  </si>
  <si>
    <t>Liguori Academy</t>
  </si>
  <si>
    <t>Johnsburg</t>
  </si>
  <si>
    <t>Johnston City High School</t>
  </si>
  <si>
    <t>Johnston City</t>
  </si>
  <si>
    <t>Linden Hall</t>
  </si>
  <si>
    <t>Joliet Central High School</t>
  </si>
  <si>
    <t>Lititz</t>
  </si>
  <si>
    <t>Joliet</t>
  </si>
  <si>
    <t>Longmore Academy</t>
  </si>
  <si>
    <t>Joliet Twp High School Sch - Alternate</t>
  </si>
  <si>
    <t>Mars</t>
  </si>
  <si>
    <t>Malvern Preparatory School</t>
  </si>
  <si>
    <t>Joliet West High School</t>
  </si>
  <si>
    <t>Mercersburg Academy</t>
  </si>
  <si>
    <t>Mercersburg</t>
  </si>
  <si>
    <t>Will Co Detention Center 9-12</t>
  </si>
  <si>
    <t>Mercyhurst Preparatory School</t>
  </si>
  <si>
    <t>Joppa Jr &amp; Sr High School</t>
  </si>
  <si>
    <t>Merion Mercy Academy</t>
  </si>
  <si>
    <t>Merion Station</t>
  </si>
  <si>
    <t>Milestone Academy</t>
  </si>
  <si>
    <t>Gallatin High School</t>
  </si>
  <si>
    <t>Junction</t>
  </si>
  <si>
    <t>Avis Huff Student Support Service</t>
  </si>
  <si>
    <t>Milton Hershey School</t>
  </si>
  <si>
    <t>Hershey</t>
  </si>
  <si>
    <t>Monsignor Bonner &amp; Archbishop Prendergast Hs</t>
  </si>
  <si>
    <t>Kankakee High School</t>
  </si>
  <si>
    <t>Mount St Joseph Academy</t>
  </si>
  <si>
    <t>Flourtown</t>
  </si>
  <si>
    <t>Kansas High School</t>
  </si>
  <si>
    <t>Nazareth Academy High School</t>
  </si>
  <si>
    <t>Kewanee High School</t>
  </si>
  <si>
    <t>Kewanee</t>
  </si>
  <si>
    <t>Wethersfield Jr/Sr High School</t>
  </si>
  <si>
    <t>Yardley</t>
  </si>
  <si>
    <t>South Fork Jr Sr High School</t>
  </si>
  <si>
    <t>Kincaid</t>
  </si>
  <si>
    <t>Chefornak, AK</t>
  </si>
  <si>
    <t>Hiawatha Jr/Sr High School</t>
  </si>
  <si>
    <t>Kirkland</t>
  </si>
  <si>
    <t>Notre Dame Jr/Sr High School</t>
  </si>
  <si>
    <t>East Stroudsburg</t>
  </si>
  <si>
    <t>Knoxville Sr High School</t>
  </si>
  <si>
    <t>Knoxville</t>
  </si>
  <si>
    <t>Our Lady Of The Sacred Heart High School</t>
  </si>
  <si>
    <t>Coraopolis</t>
  </si>
  <si>
    <t>Lyons Twp High School Sch</t>
  </si>
  <si>
    <t>Pa Treatment &amp; Healing - Lehigton</t>
  </si>
  <si>
    <t>Lehighton</t>
  </si>
  <si>
    <t>La Moille High School</t>
  </si>
  <si>
    <t>La Moille</t>
  </si>
  <si>
    <t>Perkiomen School</t>
  </si>
  <si>
    <t>Pennsburg</t>
  </si>
  <si>
    <t>La Salle-Peru Twp High School</t>
  </si>
  <si>
    <t>La Salle</t>
  </si>
  <si>
    <t>Pine Forge Academy</t>
  </si>
  <si>
    <t>Pine Forge</t>
  </si>
  <si>
    <t>Lakes Community High School</t>
  </si>
  <si>
    <t>Pleasant Valley Mennonite School</t>
  </si>
  <si>
    <t>Lake Villa</t>
  </si>
  <si>
    <t>Pope John Paul Ii High School</t>
  </si>
  <si>
    <t>Lake Zurich High School</t>
  </si>
  <si>
    <t>Royersford</t>
  </si>
  <si>
    <t>Lake Zurich</t>
  </si>
  <si>
    <t>Rock Solid Academy</t>
  </si>
  <si>
    <t>Larksville</t>
  </si>
  <si>
    <t>Eastland Jr/Sr High School</t>
  </si>
  <si>
    <t>Lanark</t>
  </si>
  <si>
    <t>Sacred Heart Academy Bryn Mawr</t>
  </si>
  <si>
    <t>Thornton Fractnl So High School</t>
  </si>
  <si>
    <t>Bryn Mawr</t>
  </si>
  <si>
    <t>Schaefferstown Mennonite High School</t>
  </si>
  <si>
    <t>Schaefferstown</t>
  </si>
  <si>
    <t>Lawrenceville High School</t>
  </si>
  <si>
    <t>Scranton Preparatory School</t>
  </si>
  <si>
    <t>Leroy High School</t>
  </si>
  <si>
    <t>Le Roy</t>
  </si>
  <si>
    <t>Seton-La Salle High School</t>
  </si>
  <si>
    <t>Bridgeville</t>
  </si>
  <si>
    <t>Lebanon High School</t>
  </si>
  <si>
    <t>Sewickley Academy</t>
  </si>
  <si>
    <t>Sewickley</t>
  </si>
  <si>
    <t>Valley Cottage, NY</t>
  </si>
  <si>
    <t>Leland</t>
  </si>
  <si>
    <t>Shady Side Academy</t>
  </si>
  <si>
    <t>Lemont Twp High School</t>
  </si>
  <si>
    <t>Lemont</t>
  </si>
  <si>
    <t>Solebury School</t>
  </si>
  <si>
    <t>Sonlight River Brethren School</t>
  </si>
  <si>
    <t>Lena-Winslow High School</t>
  </si>
  <si>
    <t>Mount Joy</t>
  </si>
  <si>
    <t>Lena</t>
  </si>
  <si>
    <t>Springside Chestnut Hill Academy</t>
  </si>
  <si>
    <t>Lewistown Jr/Sr High School</t>
  </si>
  <si>
    <t>Lewistown</t>
  </si>
  <si>
    <t>St Basil Academy</t>
  </si>
  <si>
    <t>Lexington High School</t>
  </si>
  <si>
    <t>St Gregorys Academy</t>
  </si>
  <si>
    <t>St John Neumann High School</t>
  </si>
  <si>
    <t>Williamsport</t>
  </si>
  <si>
    <t>Libertyville High School</t>
  </si>
  <si>
    <t>Libertyville</t>
  </si>
  <si>
    <t>Natrona Heights</t>
  </si>
  <si>
    <t>Lincoln Comm High School</t>
  </si>
  <si>
    <t>St Joseph's Preparatory School</t>
  </si>
  <si>
    <t>Adlai E Stevenson High School</t>
  </si>
  <si>
    <t>Terre Hill Mennonite High School</t>
  </si>
  <si>
    <t>Terre Hill</t>
  </si>
  <si>
    <t>Lisle High School</t>
  </si>
  <si>
    <t>The Agnes Irwin School</t>
  </si>
  <si>
    <t>Litchfield Senior High School</t>
  </si>
  <si>
    <t>The Baldwin School</t>
  </si>
  <si>
    <t>The Bridge</t>
  </si>
  <si>
    <t>Lockport Township High School Sch East</t>
  </si>
  <si>
    <t>The Circle School</t>
  </si>
  <si>
    <t>Glenbard East High School</t>
  </si>
  <si>
    <t>The City School- Spruce Hill</t>
  </si>
  <si>
    <t>Bronx, NY</t>
  </si>
  <si>
    <t>Spoon River Valley Sr High School Sch</t>
  </si>
  <si>
    <t>London Mills</t>
  </si>
  <si>
    <t>The Crefeld School</t>
  </si>
  <si>
    <t>North Clay Community High School</t>
  </si>
  <si>
    <t>The Haverford School</t>
  </si>
  <si>
    <t>Haverford</t>
  </si>
  <si>
    <t>The Hill School</t>
  </si>
  <si>
    <t>Lovejoy Technology Academy</t>
  </si>
  <si>
    <t>Pottstown</t>
  </si>
  <si>
    <t>Lovejoy</t>
  </si>
  <si>
    <t>Mohrsville</t>
  </si>
  <si>
    <t>Machesney Park</t>
  </si>
  <si>
    <t>The Kiski School</t>
  </si>
  <si>
    <t>Saltsburg</t>
  </si>
  <si>
    <t>Dee-Mack High School</t>
  </si>
  <si>
    <t>Mackinaw</t>
  </si>
  <si>
    <t>The Neighborhood Academy</t>
  </si>
  <si>
    <t>Macomb Senior High School</t>
  </si>
  <si>
    <t>The Phelps School</t>
  </si>
  <si>
    <t>Macomb</t>
  </si>
  <si>
    <t>The Shipley School</t>
  </si>
  <si>
    <t>Valley Forge Military Academy</t>
  </si>
  <si>
    <t>Mahomet-Seymour High School</t>
  </si>
  <si>
    <t>Mahomet</t>
  </si>
  <si>
    <t>Veritas Academy</t>
  </si>
  <si>
    <t>Leola</t>
  </si>
  <si>
    <t>Villa Joseph Marie High School</t>
  </si>
  <si>
    <t>Midwest Central High School</t>
  </si>
  <si>
    <t>Manito</t>
  </si>
  <si>
    <t>Villa Maria Academy</t>
  </si>
  <si>
    <t>Bureau Valley High School</t>
  </si>
  <si>
    <t>Manlius</t>
  </si>
  <si>
    <t>Visionquest-Big Lodge</t>
  </si>
  <si>
    <t>Manteno High School</t>
  </si>
  <si>
    <t>Manteno</t>
  </si>
  <si>
    <t>Westtown School</t>
  </si>
  <si>
    <t>Kaneland Senior High School</t>
  </si>
  <si>
    <t>Maple Park</t>
  </si>
  <si>
    <t>York Country Day School</t>
  </si>
  <si>
    <t>Marengo High School</t>
  </si>
  <si>
    <t>Marengo</t>
  </si>
  <si>
    <t>Bishop Hendricken High School</t>
  </si>
  <si>
    <t>Fayetteville, NC</t>
  </si>
  <si>
    <t>Warwick</t>
  </si>
  <si>
    <t>Crab Orchard High School</t>
  </si>
  <si>
    <t>La Salle Academy</t>
  </si>
  <si>
    <t>Lincoln School</t>
  </si>
  <si>
    <t>Marissa Jr &amp; Sr High School</t>
  </si>
  <si>
    <t>Marissa</t>
  </si>
  <si>
    <t>Mount St Charles Academy</t>
  </si>
  <si>
    <t>Woonsocket</t>
  </si>
  <si>
    <t>Maroa-Forsyth Senior High School Sch</t>
  </si>
  <si>
    <t>Maroa</t>
  </si>
  <si>
    <t>Providence Country Day School</t>
  </si>
  <si>
    <t>East Providence</t>
  </si>
  <si>
    <t>St Andrews School</t>
  </si>
  <si>
    <t>Martinsville Jr- Sr High School</t>
  </si>
  <si>
    <t>St Mary Academy-Bay View</t>
  </si>
  <si>
    <t>Mascoutah High School</t>
  </si>
  <si>
    <t>Mascoutah</t>
  </si>
  <si>
    <t>St Patrick Academy</t>
  </si>
  <si>
    <t>Illini Central High School</t>
  </si>
  <si>
    <t>Mason City</t>
  </si>
  <si>
    <t>St Raphael Academy</t>
  </si>
  <si>
    <t>Pawtucket</t>
  </si>
  <si>
    <t>Mattoon High School</t>
  </si>
  <si>
    <t>Mattoon</t>
  </si>
  <si>
    <t>Wheeler School</t>
  </si>
  <si>
    <t>Proviso East High School</t>
  </si>
  <si>
    <t>Andrew Jackson Academy</t>
  </si>
  <si>
    <t>Ehrhardt</t>
  </si>
  <si>
    <t>Ashley Hall School</t>
  </si>
  <si>
    <t>Hamilton County Jr/Sr High School</t>
  </si>
  <si>
    <t>Mc Leansboro</t>
  </si>
  <si>
    <t>Beaufort Academy</t>
  </si>
  <si>
    <t>Beaufort</t>
  </si>
  <si>
    <t>Mchenry  East High School</t>
  </si>
  <si>
    <t>Mchenry</t>
  </si>
  <si>
    <t>Ben Lippen School</t>
  </si>
  <si>
    <t>Mchenry High School-West Campus</t>
  </si>
  <si>
    <t>Bob Jones Academy</t>
  </si>
  <si>
    <t>Unity High School</t>
  </si>
  <si>
    <t>Saint Matthews</t>
  </si>
  <si>
    <t>Cambridge Academy</t>
  </si>
  <si>
    <t>Mendota Twp High School</t>
  </si>
  <si>
    <t>Camden Military Academy</t>
  </si>
  <si>
    <t>Meredosia-Chambersburg High School Sch</t>
  </si>
  <si>
    <t>Meredosia</t>
  </si>
  <si>
    <t>Cathedral Academy</t>
  </si>
  <si>
    <t>Charleston Collegiate School</t>
  </si>
  <si>
    <t>Johns Island</t>
  </si>
  <si>
    <t>Metamora High School</t>
  </si>
  <si>
    <t>Metamora</t>
  </si>
  <si>
    <t>Clarendon Hall School</t>
  </si>
  <si>
    <t>Summerton</t>
  </si>
  <si>
    <t>Massac County High School</t>
  </si>
  <si>
    <t>Metropolis</t>
  </si>
  <si>
    <t>Cold Springs Mennonite School</t>
  </si>
  <si>
    <t>Colleton Preparatory Academy</t>
  </si>
  <si>
    <t>Midlothian</t>
  </si>
  <si>
    <t>Walterboro</t>
  </si>
  <si>
    <t>Milford High School Campus</t>
  </si>
  <si>
    <t>Dorchester Academy</t>
  </si>
  <si>
    <t>Saint George</t>
  </si>
  <si>
    <t>Milledgeville High School</t>
  </si>
  <si>
    <t>Francis Hugh Wardlaw Academy</t>
  </si>
  <si>
    <t>Fieldcrest High School</t>
  </si>
  <si>
    <t>Minonk</t>
  </si>
  <si>
    <t>Minooka Community High School</t>
  </si>
  <si>
    <t>Greenville Classical Academy</t>
  </si>
  <si>
    <t>Minooka</t>
  </si>
  <si>
    <t>Simpsonville</t>
  </si>
  <si>
    <t>Moline High School At Coolidge Campus</t>
  </si>
  <si>
    <t>Harvest Time International Academy</t>
  </si>
  <si>
    <t>Moline</t>
  </si>
  <si>
    <t>Hilton Head Island</t>
  </si>
  <si>
    <t>Moline Sr High School</t>
  </si>
  <si>
    <t>Hilton Head Preparatory School</t>
  </si>
  <si>
    <t>Momence High School</t>
  </si>
  <si>
    <t>Jefferson Davis Academy</t>
  </si>
  <si>
    <t>Blackville</t>
  </si>
  <si>
    <t>Momence</t>
  </si>
  <si>
    <t>Lake Pointe Academy</t>
  </si>
  <si>
    <t>Lake Wylie</t>
  </si>
  <si>
    <t>Monee Education Center</t>
  </si>
  <si>
    <t>Monee</t>
  </si>
  <si>
    <t>Wesson, MS</t>
  </si>
  <si>
    <t>Laurence Manning Academy</t>
  </si>
  <si>
    <t>Manning</t>
  </si>
  <si>
    <t>Monmouth-Roseville High School Sch</t>
  </si>
  <si>
    <t>Monmouth</t>
  </si>
  <si>
    <t>Marlboro Academy</t>
  </si>
  <si>
    <t>Bennettsville</t>
  </si>
  <si>
    <t>United High School</t>
  </si>
  <si>
    <t>New Holland Mennonite School</t>
  </si>
  <si>
    <t>Batesburg</t>
  </si>
  <si>
    <t>Newberry Academy</t>
  </si>
  <si>
    <t>Northwood Academy</t>
  </si>
  <si>
    <t>Morris Community High School</t>
  </si>
  <si>
    <t>Patrick Henry Academy</t>
  </si>
  <si>
    <t>Estill</t>
  </si>
  <si>
    <t>Morrison High School</t>
  </si>
  <si>
    <t>Morrison</t>
  </si>
  <si>
    <t>Morrisonville High School</t>
  </si>
  <si>
    <t>Pee Dee Academy</t>
  </si>
  <si>
    <t>Morrisonville</t>
  </si>
  <si>
    <t>Mullins</t>
  </si>
  <si>
    <t>Morton High School</t>
  </si>
  <si>
    <t>Morton</t>
  </si>
  <si>
    <t>Pinewood Preparatory School</t>
  </si>
  <si>
    <t>Mounds</t>
  </si>
  <si>
    <t>Porter-Gaud School</t>
  </si>
  <si>
    <t>Mount Carmel</t>
  </si>
  <si>
    <t>Richard Wirn Academy</t>
  </si>
  <si>
    <t>Mt Olive High School</t>
  </si>
  <si>
    <t>Mount Olive</t>
  </si>
  <si>
    <t>Robert E Lee Academy</t>
  </si>
  <si>
    <t>Bishopville</t>
  </si>
  <si>
    <t>Mount Pulaski High School</t>
  </si>
  <si>
    <t>Mount Pulaski</t>
  </si>
  <si>
    <t>Spartanburg Day School</t>
  </si>
  <si>
    <t>Brown County High School</t>
  </si>
  <si>
    <t>St Anne School</t>
  </si>
  <si>
    <t>Mount Sterling</t>
  </si>
  <si>
    <t>Rock Hill</t>
  </si>
  <si>
    <t>Mount Vernon High School</t>
  </si>
  <si>
    <t>St Francis Xavier High School</t>
  </si>
  <si>
    <t>Sumter</t>
  </si>
  <si>
    <t>Mt Zion High School</t>
  </si>
  <si>
    <t>The Carolina Academy</t>
  </si>
  <si>
    <t>Mount Zion</t>
  </si>
  <si>
    <t>Central A &amp; M High School</t>
  </si>
  <si>
    <t>The Hammond School</t>
  </si>
  <si>
    <t>Moweaqua</t>
  </si>
  <si>
    <t>Mt Prospect</t>
  </si>
  <si>
    <t>Thomas Heyward Academy</t>
  </si>
  <si>
    <t>Mulberry Grove Sr High School</t>
  </si>
  <si>
    <t>Mulberry Grove</t>
  </si>
  <si>
    <t>Thomas Sumter Academy</t>
  </si>
  <si>
    <t>Rembert</t>
  </si>
  <si>
    <t>Mundelein Cons High School</t>
  </si>
  <si>
    <t>University School Of The Lowcountry</t>
  </si>
  <si>
    <t>Murphysboro High School</t>
  </si>
  <si>
    <t>Murphysboro</t>
  </si>
  <si>
    <t>Naperville Central High School</t>
  </si>
  <si>
    <t>W Wyman King Academy</t>
  </si>
  <si>
    <t>Naperville</t>
  </si>
  <si>
    <t>Williamsburg Academy</t>
  </si>
  <si>
    <t>Kingstree</t>
  </si>
  <si>
    <t>Naperville North High School</t>
  </si>
  <si>
    <t>Wilson Hall</t>
  </si>
  <si>
    <t>Neuqua Valley High School</t>
  </si>
  <si>
    <t>Freeman Academy</t>
  </si>
  <si>
    <t>Freeman</t>
  </si>
  <si>
    <t>Nashville Comm High School</t>
  </si>
  <si>
    <t>Hutterville Colony Elementary - 01</t>
  </si>
  <si>
    <t>O'Gorman High School</t>
  </si>
  <si>
    <t>Sioux Falls</t>
  </si>
  <si>
    <t>Neoga Jr/Sr High School</t>
  </si>
  <si>
    <t>Neoga</t>
  </si>
  <si>
    <t>Red Cloud Indian School</t>
  </si>
  <si>
    <t>Pine Ridge</t>
  </si>
  <si>
    <t>New Athens High School</t>
  </si>
  <si>
    <t>New Athens</t>
  </si>
  <si>
    <t>Roncalli Jr &amp; Sr High School</t>
  </si>
  <si>
    <t>New Berlin High School</t>
  </si>
  <si>
    <t>New Berlin</t>
  </si>
  <si>
    <t>Rapid City</t>
  </si>
  <si>
    <t>Lincoln Way West</t>
  </si>
  <si>
    <t>New Lenox</t>
  </si>
  <si>
    <t>Academy For Academic Excellence</t>
  </si>
  <si>
    <t>Lincoln-Way Central High School</t>
  </si>
  <si>
    <t>Billings, MT</t>
  </si>
  <si>
    <t>Newark Comm High School</t>
  </si>
  <si>
    <t>Agathos Classical School</t>
  </si>
  <si>
    <t>Newton Comm High School</t>
  </si>
  <si>
    <t>Sangamon Valley High School</t>
  </si>
  <si>
    <t>Augustine School</t>
  </si>
  <si>
    <t>Niantic</t>
  </si>
  <si>
    <t>Nokomis Jr/Sr High School Sch</t>
  </si>
  <si>
    <t>Nokomis</t>
  </si>
  <si>
    <t>Battle Ground Academy</t>
  </si>
  <si>
    <t>Eugene Field School</t>
  </si>
  <si>
    <t>Normal</t>
  </si>
  <si>
    <t>Mcclean Co Detention Center</t>
  </si>
  <si>
    <t>Baylor School</t>
  </si>
  <si>
    <t>Normal Community High School</t>
  </si>
  <si>
    <t>Normal Community West High School</t>
  </si>
  <si>
    <t>Hixson</t>
  </si>
  <si>
    <t>Ybmc Charter Sch</t>
  </si>
  <si>
    <t>Boyd Buchanan School</t>
  </si>
  <si>
    <t>Ridgewood Comm High School</t>
  </si>
  <si>
    <t>Norridge</t>
  </si>
  <si>
    <t>Brinkley Heights Urban Academy</t>
  </si>
  <si>
    <t>Norris City-Omaha-Enfield H S</t>
  </si>
  <si>
    <t>Norris City</t>
  </si>
  <si>
    <t>Cedarcreek Schoolhouse Academy</t>
  </si>
  <si>
    <t>North Chicago Community High School Sch</t>
  </si>
  <si>
    <t>Cleveland Academy</t>
  </si>
  <si>
    <t>Glenbrook North High School</t>
  </si>
  <si>
    <t>Northbrook</t>
  </si>
  <si>
    <t>Collegedale Academy</t>
  </si>
  <si>
    <t>West Leyden High School</t>
  </si>
  <si>
    <t>Collegedale</t>
  </si>
  <si>
    <t>Collegiate School Of Memphis</t>
  </si>
  <si>
    <t>O Fallon High School</t>
  </si>
  <si>
    <t>O Fallon</t>
  </si>
  <si>
    <t>Oak Forest High School</t>
  </si>
  <si>
    <t>H L Richards High School Sch(Campus)</t>
  </si>
  <si>
    <t>Oak Lawn</t>
  </si>
  <si>
    <t>Davidson Academy</t>
  </si>
  <si>
    <t>Dayspring Academy</t>
  </si>
  <si>
    <t>White House</t>
  </si>
  <si>
    <t>Oak Lawn Comm High School</t>
  </si>
  <si>
    <t>Duncan Academy</t>
  </si>
  <si>
    <t>Williamsburg, VA</t>
  </si>
  <si>
    <t>Oak Park &amp; River Forest High School Sch</t>
  </si>
  <si>
    <t>Father Ryan High School</t>
  </si>
  <si>
    <t>Fayette Academy</t>
  </si>
  <si>
    <t>Franklin Classical School</t>
  </si>
  <si>
    <t>Oblong High School</t>
  </si>
  <si>
    <t>Oblong</t>
  </si>
  <si>
    <t>Franklin Road Academy</t>
  </si>
  <si>
    <t>Odin Attendance Center 9-12</t>
  </si>
  <si>
    <t>Odin</t>
  </si>
  <si>
    <t>Gateway Center</t>
  </si>
  <si>
    <t>General Assembly Academy</t>
  </si>
  <si>
    <t>Hohenwald</t>
  </si>
  <si>
    <t>Ohio Community High School</t>
  </si>
  <si>
    <t>George Thomas Jr Academy</t>
  </si>
  <si>
    <t>Golden Mountain Academy</t>
  </si>
  <si>
    <t>Okawville Jr/Sr High School</t>
  </si>
  <si>
    <t>Okawville</t>
  </si>
  <si>
    <t>Harpeth Hall School</t>
  </si>
  <si>
    <t>Richland County High School</t>
  </si>
  <si>
    <t>Olney</t>
  </si>
  <si>
    <t>Rich Central Campus High School</t>
  </si>
  <si>
    <t>Olympia Fields</t>
  </si>
  <si>
    <t>Highland Academy</t>
  </si>
  <si>
    <t>R O W V A Jr And  Sr High School</t>
  </si>
  <si>
    <t>Orangeville High School</t>
  </si>
  <si>
    <t>Orangeville</t>
  </si>
  <si>
    <t>Highland Rim Academy</t>
  </si>
  <si>
    <t>Cookeville</t>
  </si>
  <si>
    <t>J Frank White Academy</t>
  </si>
  <si>
    <t>Oregon High School</t>
  </si>
  <si>
    <t>Harrogate</t>
  </si>
  <si>
    <t>Lake Brook Academy</t>
  </si>
  <si>
    <t>Orion High School</t>
  </si>
  <si>
    <t>Orion</t>
  </si>
  <si>
    <t>Madison Academy</t>
  </si>
  <si>
    <t>Victor J Andrew High School</t>
  </si>
  <si>
    <t>Orland Hills</t>
  </si>
  <si>
    <t>Magnolia Academy</t>
  </si>
  <si>
    <t>Carl Sandburg High School</t>
  </si>
  <si>
    <t>Orland Park</t>
  </si>
  <si>
    <t>Mccallie School</t>
  </si>
  <si>
    <t>Oswego East High School</t>
  </si>
  <si>
    <t>Oswego</t>
  </si>
  <si>
    <t>Memphis University School</t>
  </si>
  <si>
    <t>Springfield, MA</t>
  </si>
  <si>
    <t>Oswego High School</t>
  </si>
  <si>
    <t>Montgomery Bell Academy</t>
  </si>
  <si>
    <t>Lasalle Co Detention Center 9-12</t>
  </si>
  <si>
    <t>Morris Wilson-Youth Villages</t>
  </si>
  <si>
    <t>Ottawa Township High School</t>
  </si>
  <si>
    <t>Mountain Youth Academy</t>
  </si>
  <si>
    <t>North Campus</t>
  </si>
  <si>
    <t>Mountain City</t>
  </si>
  <si>
    <t>Palatine</t>
  </si>
  <si>
    <t>Palatine High School</t>
  </si>
  <si>
    <t>New Pathways Academy</t>
  </si>
  <si>
    <t>Wm Fremd High School</t>
  </si>
  <si>
    <t>Palestine High School</t>
  </si>
  <si>
    <t>Paideia Academy</t>
  </si>
  <si>
    <t>Hendersonville</t>
  </si>
  <si>
    <t>Northwestern High School</t>
  </si>
  <si>
    <t>Palmyra</t>
  </si>
  <si>
    <t>Redeemer Classical Academy</t>
  </si>
  <si>
    <t>A B Shepard High School Sch (Campus)</t>
  </si>
  <si>
    <t>Palos Heights</t>
  </si>
  <si>
    <t>Rhea County Academy</t>
  </si>
  <si>
    <t>Amos Alonzo Stagg High School</t>
  </si>
  <si>
    <t>Palos Hills</t>
  </si>
  <si>
    <t>Self School</t>
  </si>
  <si>
    <t>Mount Juliet</t>
  </si>
  <si>
    <t>Pana Sr High School</t>
  </si>
  <si>
    <t>Shenandoah Ranch Academy</t>
  </si>
  <si>
    <t>Pana</t>
  </si>
  <si>
    <t>St Andrew's-Sewanee School</t>
  </si>
  <si>
    <t>Sewanee</t>
  </si>
  <si>
    <t>Paris Cooperative High School 4</t>
  </si>
  <si>
    <t>St Cecilia Academy</t>
  </si>
  <si>
    <t>Paris Cooperative High School 95</t>
  </si>
  <si>
    <t>St George's Independent School</t>
  </si>
  <si>
    <t>Collierville</t>
  </si>
  <si>
    <t>Rich East Campus High School</t>
  </si>
  <si>
    <t>Park Forest</t>
  </si>
  <si>
    <t>Steppen Stone Academy</t>
  </si>
  <si>
    <t>Limestone</t>
  </si>
  <si>
    <t>Maine East High School</t>
  </si>
  <si>
    <t>Park Ridge</t>
  </si>
  <si>
    <t>Sterling Education East Region</t>
  </si>
  <si>
    <t>Maine South High School</t>
  </si>
  <si>
    <t>The Ensworth School</t>
  </si>
  <si>
    <t>Ralph J Frost Academy</t>
  </si>
  <si>
    <t>Patoka Sr High School</t>
  </si>
  <si>
    <t>Patoka</t>
  </si>
  <si>
    <t>Paw Paw Jr/Sr High School</t>
  </si>
  <si>
    <t>Paw Paw</t>
  </si>
  <si>
    <t>The Village Academy</t>
  </si>
  <si>
    <t>Pawnee Jr/Sr High School Sch</t>
  </si>
  <si>
    <t>Pawnee</t>
  </si>
  <si>
    <t>The Webb School</t>
  </si>
  <si>
    <t>Bell Buckle</t>
  </si>
  <si>
    <t>Paxton-Buckley-Loda High School</t>
  </si>
  <si>
    <t>Paxton</t>
  </si>
  <si>
    <t>Tipton-Rosemark Academy</t>
  </si>
  <si>
    <t>Millington</t>
  </si>
  <si>
    <t>University School Of Jackson</t>
  </si>
  <si>
    <t>University School Of Nashville</t>
  </si>
  <si>
    <t>Pecatonica High School</t>
  </si>
  <si>
    <t>Wayne Academy</t>
  </si>
  <si>
    <t>Pecatonica</t>
  </si>
  <si>
    <t>Webb School Of Knoxville</t>
  </si>
  <si>
    <t>Pekin Community High School</t>
  </si>
  <si>
    <t>Pekin</t>
  </si>
  <si>
    <t>West End Academy</t>
  </si>
  <si>
    <t>Knoxville Cntr Student Success</t>
  </si>
  <si>
    <t>Acton Academy</t>
  </si>
  <si>
    <t>Limestone Community High School</t>
  </si>
  <si>
    <t>Advanced Preparatory International</t>
  </si>
  <si>
    <t>Manual Academy</t>
  </si>
  <si>
    <t>Aesa Prep Academy</t>
  </si>
  <si>
    <t>Peoria Cty Jvnl Det Ctr 9-12</t>
  </si>
  <si>
    <t>Alexander-Smith Academy</t>
  </si>
  <si>
    <t>Allen Academy</t>
  </si>
  <si>
    <t>Bryan</t>
  </si>
  <si>
    <t>Quest Charter School Academy</t>
  </si>
  <si>
    <t>Alpha Omega Academy</t>
  </si>
  <si>
    <t>Richwoods High School</t>
  </si>
  <si>
    <t>Ambleside School Of Fredericksburg</t>
  </si>
  <si>
    <t>Fredericksburg</t>
  </si>
  <si>
    <t>Woodruff Career &amp; Tech Center</t>
  </si>
  <si>
    <t>Atonement Academy</t>
  </si>
  <si>
    <t>Austin Peace Academy</t>
  </si>
  <si>
    <t>Peoria Heights High School</t>
  </si>
  <si>
    <t>Peoria Heights</t>
  </si>
  <si>
    <t>Brighter Horizons Academy</t>
  </si>
  <si>
    <t>Garland</t>
  </si>
  <si>
    <t>Peotone High School</t>
  </si>
  <si>
    <t>Peotone</t>
  </si>
  <si>
    <t>Porta High School</t>
  </si>
  <si>
    <t>British School Of Houston</t>
  </si>
  <si>
    <t>Southwestern High School</t>
  </si>
  <si>
    <t>Piasa</t>
  </si>
  <si>
    <t>Pinckneyville Comm High School</t>
  </si>
  <si>
    <t>Pinckneyville</t>
  </si>
  <si>
    <t>Chinquapin Preparatory Schoo</t>
  </si>
  <si>
    <t>Highlands</t>
  </si>
  <si>
    <t>Pittsfield High School</t>
  </si>
  <si>
    <t>Chisholm Trail Academy</t>
  </si>
  <si>
    <t>Plainfield Academy</t>
  </si>
  <si>
    <t>Concordia High School</t>
  </si>
  <si>
    <t>Round Rock</t>
  </si>
  <si>
    <t>Plainfield East High School</t>
  </si>
  <si>
    <t>Father Yermo High School</t>
  </si>
  <si>
    <t>Plainfield North High School</t>
  </si>
  <si>
    <t>Fellowship Academy</t>
  </si>
  <si>
    <t>Kennedale</t>
  </si>
  <si>
    <t>Plainfield South High School</t>
  </si>
  <si>
    <t>Fort Worth Country Day School</t>
  </si>
  <si>
    <t>Fort Worth</t>
  </si>
  <si>
    <t>Plano High School</t>
  </si>
  <si>
    <t>Fusion Academy - Dallas</t>
  </si>
  <si>
    <t>Pleasant Hill High School</t>
  </si>
  <si>
    <t>Fusion Academy Sug: Sugar Land</t>
  </si>
  <si>
    <t>Sugar Land</t>
  </si>
  <si>
    <t>Pleasant Plains High School</t>
  </si>
  <si>
    <t>Geneva School Of Boerne</t>
  </si>
  <si>
    <t>Polo Comm High School</t>
  </si>
  <si>
    <t>Boerne</t>
  </si>
  <si>
    <t>Polo</t>
  </si>
  <si>
    <t>Grace Community School</t>
  </si>
  <si>
    <t>Pontiac High School</t>
  </si>
  <si>
    <t>Tyler</t>
  </si>
  <si>
    <t>Pontiac</t>
  </si>
  <si>
    <t>Grace Preparatory Academy</t>
  </si>
  <si>
    <t>North Boone High School</t>
  </si>
  <si>
    <t>Poplar Grove</t>
  </si>
  <si>
    <t>Saint Petersburg, FL</t>
  </si>
  <si>
    <t>Riverdale Sr High School</t>
  </si>
  <si>
    <t>Greenhill School</t>
  </si>
  <si>
    <t>Port Byron</t>
  </si>
  <si>
    <t>Heritage School</t>
  </si>
  <si>
    <t>Princeton High School</t>
  </si>
  <si>
    <t>Princeville High School</t>
  </si>
  <si>
    <t>Princeville</t>
  </si>
  <si>
    <t>Huntington-Surrey High School</t>
  </si>
  <si>
    <t>Prophetstown High School</t>
  </si>
  <si>
    <t>Prophetstown</t>
  </si>
  <si>
    <t>Hyde Park High School</t>
  </si>
  <si>
    <t>Quincy Sr High School</t>
  </si>
  <si>
    <t>Hyde Park School</t>
  </si>
  <si>
    <t>Ramsey High School</t>
  </si>
  <si>
    <t>Iman Academy - Southwest</t>
  </si>
  <si>
    <t>Rantoul Twp High School</t>
  </si>
  <si>
    <t>Rantoul</t>
  </si>
  <si>
    <t>Itec Preparatory Academy</t>
  </si>
  <si>
    <t>Lincolnwood High School</t>
  </si>
  <si>
    <t>Jefferson Academy</t>
  </si>
  <si>
    <t>Red Bud High School</t>
  </si>
  <si>
    <t>Red Bud</t>
  </si>
  <si>
    <t>John Paul Ii High School</t>
  </si>
  <si>
    <t>Richmond-Burton High School</t>
  </si>
  <si>
    <t>Juan Diego Academy</t>
  </si>
  <si>
    <t>Mission</t>
  </si>
  <si>
    <t>Rich South Campus High School</t>
  </si>
  <si>
    <t>Richton Park</t>
  </si>
  <si>
    <t>Southland College Prep Chtr High School</t>
  </si>
  <si>
    <t>Kingdom Preparatory Academy</t>
  </si>
  <si>
    <t>Riverside Brookfield Twp High School</t>
  </si>
  <si>
    <t>Knowledge-First Empowerment Academy</t>
  </si>
  <si>
    <t>Lakehill Preparatory</t>
  </si>
  <si>
    <t>Riverton High School</t>
  </si>
  <si>
    <t>Riverton</t>
  </si>
  <si>
    <t>Lakehill Preparatory School</t>
  </si>
  <si>
    <t>Roanoke-Benson High School</t>
  </si>
  <si>
    <t>Live Oak Classical School</t>
  </si>
  <si>
    <t>Waco</t>
  </si>
  <si>
    <t>Delta Learning Center</t>
  </si>
  <si>
    <t>Robbins</t>
  </si>
  <si>
    <t>Living Rock Academy</t>
  </si>
  <si>
    <t>Robinson</t>
  </si>
  <si>
    <t>Bulverde</t>
  </si>
  <si>
    <t>Rochelle Twp High School</t>
  </si>
  <si>
    <t>Marble Falls</t>
  </si>
  <si>
    <t>Rochester High School</t>
  </si>
  <si>
    <t>Loretto Academy</t>
  </si>
  <si>
    <t>Rock Falls Township High School</t>
  </si>
  <si>
    <t>Rock Falls</t>
  </si>
  <si>
    <t>Marine Military Academy</t>
  </si>
  <si>
    <t>Harlingen</t>
  </si>
  <si>
    <t>Rock Island High School</t>
  </si>
  <si>
    <t>Memorial Hall School</t>
  </si>
  <si>
    <t>Thurgood Marshall Learning Ctr</t>
  </si>
  <si>
    <t>Mirus Academy</t>
  </si>
  <si>
    <t>New Beginners Preparatory</t>
  </si>
  <si>
    <t>North Central Texas Academy</t>
  </si>
  <si>
    <t>Granbury</t>
  </si>
  <si>
    <t>Northstar School</t>
  </si>
  <si>
    <t>Rockford East High School</t>
  </si>
  <si>
    <t>O'Connell College Preparatory School</t>
  </si>
  <si>
    <t>Galveston</t>
  </si>
  <si>
    <t>Roosevelt Center</t>
  </si>
  <si>
    <t>Oratory Athenaeum For University Prep</t>
  </si>
  <si>
    <t>Pharr</t>
  </si>
  <si>
    <t>Wilson Aspire</t>
  </si>
  <si>
    <t>Qalam Collegiate Academy</t>
  </si>
  <si>
    <t>Hononegah Chd High School</t>
  </si>
  <si>
    <t>Rockton</t>
  </si>
  <si>
    <t>Radford School</t>
  </si>
  <si>
    <t>Rolling Meadows High School</t>
  </si>
  <si>
    <t>Rolling Meadows</t>
  </si>
  <si>
    <t>Regents Academy</t>
  </si>
  <si>
    <t>Nacogdoches</t>
  </si>
  <si>
    <t>Glendale, CA</t>
  </si>
  <si>
    <t>Romeoville High School</t>
  </si>
  <si>
    <t>Romeoville</t>
  </si>
  <si>
    <t>Regents School Of Austin</t>
  </si>
  <si>
    <t>Lake Park High School</t>
  </si>
  <si>
    <t>Resolution Ranch Academy</t>
  </si>
  <si>
    <t>Cameron</t>
  </si>
  <si>
    <t>Coop High School 7</t>
  </si>
  <si>
    <t>River City Believers Academy</t>
  </si>
  <si>
    <t>Round Lake Senior High School</t>
  </si>
  <si>
    <t>Robert M Beren Academy</t>
  </si>
  <si>
    <t>Round Lake</t>
  </si>
  <si>
    <t>Salam Academy</t>
  </si>
  <si>
    <t>Round Lake Transition Center</t>
  </si>
  <si>
    <t>Second Chance Technology Edge</t>
  </si>
  <si>
    <t>Roxana Sr High School</t>
  </si>
  <si>
    <t>Roxana</t>
  </si>
  <si>
    <t>Selwyn College Preparatory School</t>
  </si>
  <si>
    <t>Rushville-Industry High School</t>
  </si>
  <si>
    <t>Rushville</t>
  </si>
  <si>
    <t>Seminole Mennonite School</t>
  </si>
  <si>
    <t>St Anne Comm High School</t>
  </si>
  <si>
    <t>Saint Anne</t>
  </si>
  <si>
    <t>St Elmo Sr High School</t>
  </si>
  <si>
    <t>Saint Elmo</t>
  </si>
  <si>
    <t>Space City Preparatory</t>
  </si>
  <si>
    <t>St Joseph-Ogden High School</t>
  </si>
  <si>
    <t>Spring Creek Academy</t>
  </si>
  <si>
    <t>Salem Community High School</t>
  </si>
  <si>
    <t>Springboard Academics</t>
  </si>
  <si>
    <t>Sandoval Sr High School</t>
  </si>
  <si>
    <t>Sandoval</t>
  </si>
  <si>
    <t>St Agnes Academy School</t>
  </si>
  <si>
    <t>Sandwich Community High School</t>
  </si>
  <si>
    <t>Sandwich</t>
  </si>
  <si>
    <t>St John Paul Ii High School</t>
  </si>
  <si>
    <t>West Carroll High School</t>
  </si>
  <si>
    <t>Corpus Christi</t>
  </si>
  <si>
    <t>Savanna</t>
  </si>
  <si>
    <t>St John Xxiii College Prreparatory</t>
  </si>
  <si>
    <t>Scales Mound High School</t>
  </si>
  <si>
    <t>Scales Mound</t>
  </si>
  <si>
    <t>Moses Lake, WA</t>
  </si>
  <si>
    <t>Schaumburg High School</t>
  </si>
  <si>
    <t>Victoria</t>
  </si>
  <si>
    <t>St Mark's School Of Texas</t>
  </si>
  <si>
    <t>West Prairie High School</t>
  </si>
  <si>
    <t>Sciota</t>
  </si>
  <si>
    <t>St Mary's Hall</t>
  </si>
  <si>
    <t>Seneca High School</t>
  </si>
  <si>
    <t>St Michael's Learning Academy</t>
  </si>
  <si>
    <t>Seneca</t>
  </si>
  <si>
    <t>St Paul's Preparatory Academy</t>
  </si>
  <si>
    <t>Serena High School</t>
  </si>
  <si>
    <t>Serena</t>
  </si>
  <si>
    <t>St Peter's Classical School</t>
  </si>
  <si>
    <t>Sesser-Valier High School</t>
  </si>
  <si>
    <t>Sesser</t>
  </si>
  <si>
    <t>Indian Creek High School</t>
  </si>
  <si>
    <t>Shabbona</t>
  </si>
  <si>
    <t>St Thomas High School</t>
  </si>
  <si>
    <t>Shelbyville High School</t>
  </si>
  <si>
    <t>Sycamore Academy</t>
  </si>
  <si>
    <t>Sherrard High School</t>
  </si>
  <si>
    <t>Sherrard</t>
  </si>
  <si>
    <t>Texas Success Academy</t>
  </si>
  <si>
    <t>Niles Central</t>
  </si>
  <si>
    <t>Skokie</t>
  </si>
  <si>
    <t>Niles North High School</t>
  </si>
  <si>
    <t>The Banff School</t>
  </si>
  <si>
    <t>Niles West High School</t>
  </si>
  <si>
    <t>The Brook Hill School</t>
  </si>
  <si>
    <t>Bullard</t>
  </si>
  <si>
    <t>Somonauk High School</t>
  </si>
  <si>
    <t>Somonauk</t>
  </si>
  <si>
    <t>South Beloit Sr High School</t>
  </si>
  <si>
    <t>The Cambridge School Of Dallas</t>
  </si>
  <si>
    <t>South Beloit</t>
  </si>
  <si>
    <t>South Elgin High School</t>
  </si>
  <si>
    <t>South Elgin</t>
  </si>
  <si>
    <t>The Clariden School</t>
  </si>
  <si>
    <t>Southlake</t>
  </si>
  <si>
    <t>Outlook Academy</t>
  </si>
  <si>
    <t>South Holland</t>
  </si>
  <si>
    <t>The Connection School Of Houston</t>
  </si>
  <si>
    <t>Thornwood High School</t>
  </si>
  <si>
    <t>The Emery/Weiner School</t>
  </si>
  <si>
    <t>Bristol, CT</t>
  </si>
  <si>
    <t>Sparta High School</t>
  </si>
  <si>
    <t>The Fulton School</t>
  </si>
  <si>
    <t>Heath</t>
  </si>
  <si>
    <t>The Kinkaid School</t>
  </si>
  <si>
    <t>Lanphier High School</t>
  </si>
  <si>
    <t>Springfield High School</t>
  </si>
  <si>
    <t>The Pharr Oratory Of St Philip Neri School System</t>
  </si>
  <si>
    <t>Springfield Learning Academy</t>
  </si>
  <si>
    <t>The Tenney School</t>
  </si>
  <si>
    <t>Springfield Southeast High School Sch</t>
  </si>
  <si>
    <t>Kane Co Detention Center</t>
  </si>
  <si>
    <t>St Charles</t>
  </si>
  <si>
    <t>The Woodlands Preporatory School</t>
  </si>
  <si>
    <t>Tomball</t>
  </si>
  <si>
    <t>St Charles East High School</t>
  </si>
  <si>
    <t>Torchlight Preparatory Academy</t>
  </si>
  <si>
    <t>St Charles North High School</t>
  </si>
  <si>
    <t>Trent International School</t>
  </si>
  <si>
    <t>Stanford</t>
  </si>
  <si>
    <t>University Park Academy</t>
  </si>
  <si>
    <t>Staunton High School</t>
  </si>
  <si>
    <t>Staunton</t>
  </si>
  <si>
    <t>Ursuline Academy Of Dallas</t>
  </si>
  <si>
    <t>Steeleville High School</t>
  </si>
  <si>
    <t>Steeleville</t>
  </si>
  <si>
    <t>Vanguard College Preparatory School</t>
  </si>
  <si>
    <t>Victory Life Academy</t>
  </si>
  <si>
    <t>Brownwood</t>
  </si>
  <si>
    <t>Xavier Educational Academy</t>
  </si>
  <si>
    <t>Stillman Valley High School</t>
  </si>
  <si>
    <t>Stillman Valley</t>
  </si>
  <si>
    <t>Yavneh Academy Of Dallas</t>
  </si>
  <si>
    <t>Stockton Sr High School</t>
  </si>
  <si>
    <t>Yorktown Education</t>
  </si>
  <si>
    <t>Taylorville Alternative School</t>
  </si>
  <si>
    <t>Stonington</t>
  </si>
  <si>
    <t>Alpine Academy</t>
  </si>
  <si>
    <t>Erda</t>
  </si>
  <si>
    <t>Stewardson-Strasburg High School</t>
  </si>
  <si>
    <t>Alta Independent</t>
  </si>
  <si>
    <t>Lehi</t>
  </si>
  <si>
    <t>Streamwood High School</t>
  </si>
  <si>
    <t>Streamwood</t>
  </si>
  <si>
    <t>American Heritage Of South Jordan</t>
  </si>
  <si>
    <t>South Jordan</t>
  </si>
  <si>
    <t>Streator Twp High School</t>
  </si>
  <si>
    <t>Streator</t>
  </si>
  <si>
    <t>American Heritage School</t>
  </si>
  <si>
    <t>Little Suamico, WI</t>
  </si>
  <si>
    <t>American Fork</t>
  </si>
  <si>
    <t>Ashcreek Ranch Academy</t>
  </si>
  <si>
    <t>Toquerville</t>
  </si>
  <si>
    <t>Sullivan</t>
  </si>
  <si>
    <t>Field Stone Academy</t>
  </si>
  <si>
    <t>Argo Community High School</t>
  </si>
  <si>
    <t>Meridian School</t>
  </si>
  <si>
    <t>Mount Vernon Academy</t>
  </si>
  <si>
    <t>Sycamore High School</t>
  </si>
  <si>
    <t>Murray</t>
  </si>
  <si>
    <t>Sycamore</t>
  </si>
  <si>
    <t>Mountain Springs Preparatory Academy</t>
  </si>
  <si>
    <t>Cedar City</t>
  </si>
  <si>
    <t>V I T Sr High School</t>
  </si>
  <si>
    <t>Table Grove</t>
  </si>
  <si>
    <t>Egyptian Sr High School</t>
  </si>
  <si>
    <t>Rowland Hall</t>
  </si>
  <si>
    <t>Tamms</t>
  </si>
  <si>
    <t>Salt Lake City</t>
  </si>
  <si>
    <t>Rockridge High School</t>
  </si>
  <si>
    <t>The Waterford School</t>
  </si>
  <si>
    <t>Taylor Ridge</t>
  </si>
  <si>
    <t>Sandy</t>
  </si>
  <si>
    <t>Taylorville Sr High School</t>
  </si>
  <si>
    <t>Wasatch Academy</t>
  </si>
  <si>
    <t>Taylorville</t>
  </si>
  <si>
    <t>Waypoint Academy</t>
  </si>
  <si>
    <t>Teutopolis High School</t>
  </si>
  <si>
    <t>Teutopolis</t>
  </si>
  <si>
    <t>White River Academy</t>
  </si>
  <si>
    <t>Thompsonville High School</t>
  </si>
  <si>
    <t>Thompsonville</t>
  </si>
  <si>
    <t>St George</t>
  </si>
  <si>
    <t>Tinley Park High School</t>
  </si>
  <si>
    <t>Tinley Park</t>
  </si>
  <si>
    <t>Burr &amp; Burton Academy</t>
  </si>
  <si>
    <t>Cumberland High School</t>
  </si>
  <si>
    <t>Compass School</t>
  </si>
  <si>
    <t>Westminster Station</t>
  </si>
  <si>
    <t>Tolono</t>
  </si>
  <si>
    <t>East Burke School</t>
  </si>
  <si>
    <t>East Burke</t>
  </si>
  <si>
    <t>Stark County High School</t>
  </si>
  <si>
    <t>Toulon</t>
  </si>
  <si>
    <t>Lyndon Institute</t>
  </si>
  <si>
    <t>Lyndon Center</t>
  </si>
  <si>
    <t>Tremont High School</t>
  </si>
  <si>
    <t>Tremont</t>
  </si>
  <si>
    <t>Vernal, UT</t>
  </si>
  <si>
    <t>Rutland</t>
  </si>
  <si>
    <t>Wesclin Sr High School</t>
  </si>
  <si>
    <t>Rice Memorial High School</t>
  </si>
  <si>
    <t>Triad High School</t>
  </si>
  <si>
    <t>Sharon Academy</t>
  </si>
  <si>
    <t>Tuscola High School</t>
  </si>
  <si>
    <t>Tuscola</t>
  </si>
  <si>
    <t>Turning Points School</t>
  </si>
  <si>
    <t>Morgan</t>
  </si>
  <si>
    <t>Century Jr/Sr High School</t>
  </si>
  <si>
    <t>Amelia Academy</t>
  </si>
  <si>
    <t>Ullin</t>
  </si>
  <si>
    <t>Amelia Court House</t>
  </si>
  <si>
    <t>Urbana High School</t>
  </si>
  <si>
    <t>Urbana</t>
  </si>
  <si>
    <t>Benedictine College Preparatory</t>
  </si>
  <si>
    <t>Valmeyer High School</t>
  </si>
  <si>
    <t>Bethel Mennonite School</t>
  </si>
  <si>
    <t>Gladys</t>
  </si>
  <si>
    <t>Valmeyer</t>
  </si>
  <si>
    <t>Bina High School</t>
  </si>
  <si>
    <t>Vandalia Community High School</t>
  </si>
  <si>
    <t>Vandalia</t>
  </si>
  <si>
    <t>Bishop Ireton High School</t>
  </si>
  <si>
    <t>Varna</t>
  </si>
  <si>
    <t>Blue Ridge School</t>
  </si>
  <si>
    <t>Vernon Hills High School</t>
  </si>
  <si>
    <t>Vernon Hills</t>
  </si>
  <si>
    <t>Broadwater Academy</t>
  </si>
  <si>
    <t>Exmore</t>
  </si>
  <si>
    <t>Vienna High School</t>
  </si>
  <si>
    <t>Brunswick Academy</t>
  </si>
  <si>
    <t>Villa Grove High School</t>
  </si>
  <si>
    <t>Cape Henry Collegiate School</t>
  </si>
  <si>
    <t>Villa Grove</t>
  </si>
  <si>
    <t>Carlisle School</t>
  </si>
  <si>
    <t>Willowbrook High School</t>
  </si>
  <si>
    <t>Chatham Hall</t>
  </si>
  <si>
    <t>North Mac High School</t>
  </si>
  <si>
    <t>Virden</t>
  </si>
  <si>
    <t>Starbuck, MN</t>
  </si>
  <si>
    <t>Virginia Jr/ Sr High School</t>
  </si>
  <si>
    <t>Community High School</t>
  </si>
  <si>
    <t>Waltonville High School</t>
  </si>
  <si>
    <t>Waltonville</t>
  </si>
  <si>
    <t>Eastern Mennonite School</t>
  </si>
  <si>
    <t>Harrisonburg</t>
  </si>
  <si>
    <t>Warren Jr/Sr High School</t>
  </si>
  <si>
    <t>Fishburne Military School</t>
  </si>
  <si>
    <t>Fork Union Military Academy</t>
  </si>
  <si>
    <t>Fork Union</t>
  </si>
  <si>
    <t>Fredericksburg Academy</t>
  </si>
  <si>
    <t>Warrensburg-Latham High School</t>
  </si>
  <si>
    <t>Warrensburg</t>
  </si>
  <si>
    <t>Fuqua School</t>
  </si>
  <si>
    <t>Farmville</t>
  </si>
  <si>
    <t>Warsaw Sr High School</t>
  </si>
  <si>
    <t>Warsaw</t>
  </si>
  <si>
    <t>Fusion Academy   Alexandria</t>
  </si>
  <si>
    <t>Lowpoint-Washburn Jr Sr High School Sch</t>
  </si>
  <si>
    <t>Grace Preparatory School</t>
  </si>
  <si>
    <t>Washburn</t>
  </si>
  <si>
    <t>Stafford</t>
  </si>
  <si>
    <t>Washington Comm High School</t>
  </si>
  <si>
    <t>Grafton Integrated Health Network - Berryville</t>
  </si>
  <si>
    <t>Hampton Roads Academy</t>
  </si>
  <si>
    <t>Waterloo High School</t>
  </si>
  <si>
    <t>Newport News</t>
  </si>
  <si>
    <t>Waterloo</t>
  </si>
  <si>
    <t>Hargrave Military Academy</t>
  </si>
  <si>
    <t>Watseka Comm High School</t>
  </si>
  <si>
    <t>Watseka</t>
  </si>
  <si>
    <t>Highland School</t>
  </si>
  <si>
    <t>Wauconda High School</t>
  </si>
  <si>
    <t>Wauconda</t>
  </si>
  <si>
    <t>Hopetree Academy</t>
  </si>
  <si>
    <t>Waukegan High School</t>
  </si>
  <si>
    <t>K12 International Academy</t>
  </si>
  <si>
    <t>Waukegan</t>
  </si>
  <si>
    <t>Herndon</t>
  </si>
  <si>
    <t>Kempsville Center For Behavioral Health</t>
  </si>
  <si>
    <t>Waverly Jr/Sr  High School</t>
  </si>
  <si>
    <t>Liberty University Online Academy</t>
  </si>
  <si>
    <t>Lynchburg</t>
  </si>
  <si>
    <t>Wayne City High School</t>
  </si>
  <si>
    <t>Wayne City</t>
  </si>
  <si>
    <t>Southgate, MI</t>
  </si>
  <si>
    <t>Loudoun School For The Gifted</t>
  </si>
  <si>
    <t>West Chicago</t>
  </si>
  <si>
    <t>Massanutten Military Academy</t>
  </si>
  <si>
    <t>Frankfort Comm High School</t>
  </si>
  <si>
    <t>West Frankfort</t>
  </si>
  <si>
    <t>Middleton Academy</t>
  </si>
  <si>
    <t>Westmont</t>
  </si>
  <si>
    <t>Miller School Of Albemarle</t>
  </si>
  <si>
    <t>Charlottesville</t>
  </si>
  <si>
    <t>Westville High School</t>
  </si>
  <si>
    <t>Westville</t>
  </si>
  <si>
    <t>Millwood School</t>
  </si>
  <si>
    <t>Wheaton North High School</t>
  </si>
  <si>
    <t>Mountain Mission School</t>
  </si>
  <si>
    <t>Grundy</t>
  </si>
  <si>
    <t>Wheaton Warrenville South H S</t>
  </si>
  <si>
    <t>Nansemond-Suffolk Academy</t>
  </si>
  <si>
    <t>Wheeling High School</t>
  </si>
  <si>
    <t>New Bridge Academy</t>
  </si>
  <si>
    <t>Sandston</t>
  </si>
  <si>
    <t>Norfolk Academy</t>
  </si>
  <si>
    <t>North Greene Jr/Sr High School Sch</t>
  </si>
  <si>
    <t>Norfolk Collegiate School</t>
  </si>
  <si>
    <t>Williamsfield High School</t>
  </si>
  <si>
    <t>Williamsfield</t>
  </si>
  <si>
    <t>North Cross School</t>
  </si>
  <si>
    <t>Williamsville High School</t>
  </si>
  <si>
    <t>Williamsville</t>
  </si>
  <si>
    <t>Wilmington High School</t>
  </si>
  <si>
    <t>Oak Grove Mennonite School</t>
  </si>
  <si>
    <t>Aroda</t>
  </si>
  <si>
    <t>Mouth Of Wilson</t>
  </si>
  <si>
    <t>Winchester High School</t>
  </si>
  <si>
    <t>Winchester</t>
  </si>
  <si>
    <t>Pinnacle Academy</t>
  </si>
  <si>
    <t>Oakton</t>
  </si>
  <si>
    <t>Windsor Jr &amp; Sr High School</t>
  </si>
  <si>
    <t>Providence Classical School</t>
  </si>
  <si>
    <t>Kernersville, NC</t>
  </si>
  <si>
    <t>Renaissance School</t>
  </si>
  <si>
    <t>Winnebago High School</t>
  </si>
  <si>
    <t>Winnebago</t>
  </si>
  <si>
    <t>Richmond Academy</t>
  </si>
  <si>
    <t>New Trier Township H S Winnetka</t>
  </si>
  <si>
    <t>Ronald Reagan Secondary School</t>
  </si>
  <si>
    <t>Shawnee High School</t>
  </si>
  <si>
    <t>Wolf Lake</t>
  </si>
  <si>
    <t>Seton School</t>
  </si>
  <si>
    <t>Manassas</t>
  </si>
  <si>
    <t>East Alton-Wood River High School Sch</t>
  </si>
  <si>
    <t>Wood River</t>
  </si>
  <si>
    <t>Shenandoah Valley Academy</t>
  </si>
  <si>
    <t>Alwood  Middle/High School</t>
  </si>
  <si>
    <t>Woodhull</t>
  </si>
  <si>
    <t>Southampton Academy</t>
  </si>
  <si>
    <t>Woodlawn</t>
  </si>
  <si>
    <t>St Anne's-Belfield School</t>
  </si>
  <si>
    <t>St Anthony Academy</t>
  </si>
  <si>
    <t>Woodstock North High School</t>
  </si>
  <si>
    <t>Regl Inst Scholastic Excellence</t>
  </si>
  <si>
    <t>St Catherines School</t>
  </si>
  <si>
    <t>Worth</t>
  </si>
  <si>
    <t>Yorkville High School</t>
  </si>
  <si>
    <t>St Gertrude High School</t>
  </si>
  <si>
    <t>St Margaret's School</t>
  </si>
  <si>
    <t>Tappahannock</t>
  </si>
  <si>
    <t>Zeigler-Royalton High School</t>
  </si>
  <si>
    <t>Zeigler</t>
  </si>
  <si>
    <t>New Tech High School - Zion-Benton East</t>
  </si>
  <si>
    <t>Zion</t>
  </si>
  <si>
    <t>Stone Bridge School</t>
  </si>
  <si>
    <t>Chesapeake</t>
  </si>
  <si>
    <t>Zion-Benton Twnshp Hi Sch</t>
  </si>
  <si>
    <t>Tandem Friends School</t>
  </si>
  <si>
    <t>Tippecanoe Valley High School</t>
  </si>
  <si>
    <t>York, PA</t>
  </si>
  <si>
    <t>Central Noble Junior Senior High School</t>
  </si>
  <si>
    <t>The Carmel School</t>
  </si>
  <si>
    <t>Ruther Glen</t>
  </si>
  <si>
    <t>Alexandria-Monroe High School</t>
  </si>
  <si>
    <t>The Madeira School</t>
  </si>
  <si>
    <t>Mclean</t>
  </si>
  <si>
    <t>The New School Of Northern Virginia</t>
  </si>
  <si>
    <t>The Steward School</t>
  </si>
  <si>
    <t>Angola High School</t>
  </si>
  <si>
    <t>Angola</t>
  </si>
  <si>
    <t>Tidewater Academy</t>
  </si>
  <si>
    <t>Wakefield</t>
  </si>
  <si>
    <t>Veritas Collegiate  Academy</t>
  </si>
  <si>
    <t>Hamilton Heights High School</t>
  </si>
  <si>
    <t>Virginia Academy</t>
  </si>
  <si>
    <t>Virginia Beach Friends School</t>
  </si>
  <si>
    <t>Argos Comm Jr-Sr High School</t>
  </si>
  <si>
    <t>Argos</t>
  </si>
  <si>
    <t>Wakefield County Day School</t>
  </si>
  <si>
    <t>Flint Hill</t>
  </si>
  <si>
    <t>Attica High School</t>
  </si>
  <si>
    <t>Attica</t>
  </si>
  <si>
    <t>Wakefield School</t>
  </si>
  <si>
    <t>The Plains</t>
  </si>
  <si>
    <t>Walsingham Academy</t>
  </si>
  <si>
    <t>South Dearborn High School</t>
  </si>
  <si>
    <t>Woodberry Forest School</t>
  </si>
  <si>
    <t>Woodberry Forest</t>
  </si>
  <si>
    <t>Academy Northwest</t>
  </si>
  <si>
    <t>Woodinville</t>
  </si>
  <si>
    <t>Academy Schools</t>
  </si>
  <si>
    <t>Tukwila</t>
  </si>
  <si>
    <t>Annie Wright Schools</t>
  </si>
  <si>
    <t>Bedford-North Lawrence High School</t>
  </si>
  <si>
    <t>Bedford</t>
  </si>
  <si>
    <t>Archbishop Murphy High School</t>
  </si>
  <si>
    <t>Bellarmine Preparatory School</t>
  </si>
  <si>
    <t>Beech Grove Sr High School</t>
  </si>
  <si>
    <t>Beech Grove</t>
  </si>
  <si>
    <t>Dayton, OH</t>
  </si>
  <si>
    <t>South Adams High School</t>
  </si>
  <si>
    <t>Bishop Blanchet High School</t>
  </si>
  <si>
    <t>Berne</t>
  </si>
  <si>
    <t>North Knox Jr-Sr High School</t>
  </si>
  <si>
    <t>Bicknell</t>
  </si>
  <si>
    <t>Brightmont Academy - Sammamish</t>
  </si>
  <si>
    <t>Issaquah</t>
  </si>
  <si>
    <t>Bloomfield Jr-Sr High School</t>
  </si>
  <si>
    <t>Crosspoint</t>
  </si>
  <si>
    <t>Bremerton</t>
  </si>
  <si>
    <t>Eastern Greene High School</t>
  </si>
  <si>
    <t>Dartmoor School</t>
  </si>
  <si>
    <t>Bloomington Graduation School</t>
  </si>
  <si>
    <t>Bloomington High School North</t>
  </si>
  <si>
    <t>Deep Creek Hutterite School</t>
  </si>
  <si>
    <t>Bloomington High School South</t>
  </si>
  <si>
    <t>Reardon</t>
  </si>
  <si>
    <t>The Academy Of Sci &amp; Entrepreneurship</t>
  </si>
  <si>
    <t>Derech Emunah</t>
  </si>
  <si>
    <t>Bluffton High School</t>
  </si>
  <si>
    <t>Bluffton</t>
  </si>
  <si>
    <t>Eastside Preparatory School</t>
  </si>
  <si>
    <t>Boonville High School</t>
  </si>
  <si>
    <t>Enlightium Academy</t>
  </si>
  <si>
    <t>Spokane</t>
  </si>
  <si>
    <t>William W Borden High School</t>
  </si>
  <si>
    <t>Borden</t>
  </si>
  <si>
    <t>Explorations Academy</t>
  </si>
  <si>
    <t>Bellingham</t>
  </si>
  <si>
    <t>Triton Jr-Sr High School</t>
  </si>
  <si>
    <t>Bourbon</t>
  </si>
  <si>
    <t>Family Academy</t>
  </si>
  <si>
    <t>Brazil</t>
  </si>
  <si>
    <t>Forest Ridge School Of The Sacred Heart</t>
  </si>
  <si>
    <t>Bellevue</t>
  </si>
  <si>
    <t>Bremen Senior High School</t>
  </si>
  <si>
    <t>Gonzaga Preparatory School</t>
  </si>
  <si>
    <t>Brookville</t>
  </si>
  <si>
    <t>Brownsburg High School</t>
  </si>
  <si>
    <t>Hillside Student Community School</t>
  </si>
  <si>
    <t>Brownstown Central High School</t>
  </si>
  <si>
    <t>King's Schools</t>
  </si>
  <si>
    <t>Shoreline</t>
  </si>
  <si>
    <t>Maconaquah High School</t>
  </si>
  <si>
    <t>Scotch Plains, NJ</t>
  </si>
  <si>
    <t>Union Gap</t>
  </si>
  <si>
    <t>Eastside Junior-Senior High School</t>
  </si>
  <si>
    <t>Life Prep Academy</t>
  </si>
  <si>
    <t>Lincoln Sr High School</t>
  </si>
  <si>
    <t>Cambridge City</t>
  </si>
  <si>
    <t>Marlin Hutterite School</t>
  </si>
  <si>
    <t>West Washington Jr-Sr High School</t>
  </si>
  <si>
    <t>Marlin</t>
  </si>
  <si>
    <t>Campbellsburg</t>
  </si>
  <si>
    <t>Northwest Liberty School</t>
  </si>
  <si>
    <t>O'Dea High School</t>
  </si>
  <si>
    <t>Indiana Agriculture And Technology</t>
  </si>
  <si>
    <t>Lacey</t>
  </si>
  <si>
    <t>Seattle Preparatory School</t>
  </si>
  <si>
    <t>Options Charter School - Carmel</t>
  </si>
  <si>
    <t>St Francis Preparatory School</t>
  </si>
  <si>
    <t>North Vermillion High School</t>
  </si>
  <si>
    <t>Prosser</t>
  </si>
  <si>
    <t>Cayuga</t>
  </si>
  <si>
    <t>St George's School</t>
  </si>
  <si>
    <t>Hanover Central High School</t>
  </si>
  <si>
    <t>Cedar Lake</t>
  </si>
  <si>
    <t>Centerville Sr High School</t>
  </si>
  <si>
    <t>Sterling West Seattle Campus</t>
  </si>
  <si>
    <t>Frontier Jr-Sr High School</t>
  </si>
  <si>
    <t>Chalmers</t>
  </si>
  <si>
    <t>The Bear Creek School</t>
  </si>
  <si>
    <t>Redmond</t>
  </si>
  <si>
    <t>Charlestown Senior High School</t>
  </si>
  <si>
    <t>Charlestown</t>
  </si>
  <si>
    <t>The Bush School</t>
  </si>
  <si>
    <t>Eastern Hancock High School</t>
  </si>
  <si>
    <t>The Northwest School</t>
  </si>
  <si>
    <t>Chesterton Senior High School</t>
  </si>
  <si>
    <t>The Oaks Academy</t>
  </si>
  <si>
    <t>Spokane Valley</t>
  </si>
  <si>
    <t>Churubusco Jr-Sr High School</t>
  </si>
  <si>
    <t>Churubusco</t>
  </si>
  <si>
    <t>The Overlake School</t>
  </si>
  <si>
    <t>Clarksville Senior High School</t>
  </si>
  <si>
    <t>The River Academy</t>
  </si>
  <si>
    <t>Clay City Jr-Sr High School</t>
  </si>
  <si>
    <t>Wenatchee</t>
  </si>
  <si>
    <t>Clay City</t>
  </si>
  <si>
    <t>Tri-Cities Prep</t>
  </si>
  <si>
    <t>Cascade Senior High School</t>
  </si>
  <si>
    <t>Pasco</t>
  </si>
  <si>
    <t>University Prep</t>
  </si>
  <si>
    <t>South Vermillion High School</t>
  </si>
  <si>
    <t>Upper Columbia Academy - High School</t>
  </si>
  <si>
    <t>Spangle</t>
  </si>
  <si>
    <t>Walla Walla Valley Academy</t>
  </si>
  <si>
    <t>Columbia City High School</t>
  </si>
  <si>
    <t>Columbia City</t>
  </si>
  <si>
    <t>College Place</t>
  </si>
  <si>
    <t>Columbus East High School</t>
  </si>
  <si>
    <t>The Linsly School</t>
  </si>
  <si>
    <t>Columbus North High School</t>
  </si>
  <si>
    <t>Weirton Madonna High School</t>
  </si>
  <si>
    <t>Weirton</t>
  </si>
  <si>
    <t>Connersville Sr High School</t>
  </si>
  <si>
    <t>Connersville</t>
  </si>
  <si>
    <t>Oak Hill High School</t>
  </si>
  <si>
    <t>Converse</t>
  </si>
  <si>
    <t>La Crosse</t>
  </si>
  <si>
    <t>Corydon Central High School</t>
  </si>
  <si>
    <t>Corydon</t>
  </si>
  <si>
    <t>Wisconsin Rapids</t>
  </si>
  <si>
    <t>Destiny High School</t>
  </si>
  <si>
    <t>Covington Community High School</t>
  </si>
  <si>
    <t>Dominican High School</t>
  </si>
  <si>
    <t>Crawfordsville Sr High School</t>
  </si>
  <si>
    <t>Crawfordsville</t>
  </si>
  <si>
    <t>Early View Academy Of Excellence</t>
  </si>
  <si>
    <t>Eastbrook Academy</t>
  </si>
  <si>
    <t>North Montgomery High School</t>
  </si>
  <si>
    <t>Edgewood High School Of The Sacred Heart</t>
  </si>
  <si>
    <t>Southmont Sr High School</t>
  </si>
  <si>
    <t>Lourdes Academy High School</t>
  </si>
  <si>
    <t>Crothersville Jr-Sr High School</t>
  </si>
  <si>
    <t>Oshkosh</t>
  </si>
  <si>
    <t>Crothersville</t>
  </si>
  <si>
    <t>Luther High School</t>
  </si>
  <si>
    <t>Crown Point</t>
  </si>
  <si>
    <t>Luther Prep</t>
  </si>
  <si>
    <t>Culver Community Middle/High School Sch</t>
  </si>
  <si>
    <t>Madison Country Day School</t>
  </si>
  <si>
    <t>Daleville Jr-Sr High School</t>
  </si>
  <si>
    <t>Maranatha Academy</t>
  </si>
  <si>
    <t>Danville Community High School</t>
  </si>
  <si>
    <t>Bedias, TX</t>
  </si>
  <si>
    <t>North Cedar Academy</t>
  </si>
  <si>
    <t>Bellmont Senior High School</t>
  </si>
  <si>
    <t>Ladysmith</t>
  </si>
  <si>
    <t>Notre Dame De La Baie Academy</t>
  </si>
  <si>
    <t>Delphi Community High School</t>
  </si>
  <si>
    <t>Green Bay</t>
  </si>
  <si>
    <t>Delphi</t>
  </si>
  <si>
    <t>Providence Academy</t>
  </si>
  <si>
    <t>North Miami Middle/High School</t>
  </si>
  <si>
    <t>Regis High &amp; Middle School</t>
  </si>
  <si>
    <t>Eau Claire</t>
  </si>
  <si>
    <t>Northeast Dubois High School</t>
  </si>
  <si>
    <t>Manitowoc</t>
  </si>
  <si>
    <t>East Chicago Central High School</t>
  </si>
  <si>
    <t>East Chicago</t>
  </si>
  <si>
    <t>Salam School</t>
  </si>
  <si>
    <t>Edinburgh Community High School</t>
  </si>
  <si>
    <t>Edinburgh</t>
  </si>
  <si>
    <t>St Ambrose Academy</t>
  </si>
  <si>
    <t>South Central Jr &amp; Sr High School</t>
  </si>
  <si>
    <t>St Anthomy High School</t>
  </si>
  <si>
    <t>Concord Community High School</t>
  </si>
  <si>
    <t>Elkhart</t>
  </si>
  <si>
    <t>St Augustine School</t>
  </si>
  <si>
    <t>Elkhart Central High School</t>
  </si>
  <si>
    <t>St Joan Antida High School</t>
  </si>
  <si>
    <t>Elkhart Memorial High School</t>
  </si>
  <si>
    <t>St John's Northwestern Military Academy</t>
  </si>
  <si>
    <t>Delafield</t>
  </si>
  <si>
    <t>Jimtown High School</t>
  </si>
  <si>
    <t>St Lawrence Seminary High School</t>
  </si>
  <si>
    <t>Mount Calvary</t>
  </si>
  <si>
    <t>Ellettsville</t>
  </si>
  <si>
    <t>St Marys Springs Academy</t>
  </si>
  <si>
    <t>North Daviess Jr-Sr High School</t>
  </si>
  <si>
    <t>Elnora</t>
  </si>
  <si>
    <t>St Thomas Aquinas Academy</t>
  </si>
  <si>
    <t>Marinette</t>
  </si>
  <si>
    <t>Elwood Jr-Sr High School</t>
  </si>
  <si>
    <t>Elwood</t>
  </si>
  <si>
    <t>Peshtigo</t>
  </si>
  <si>
    <t>Eminence Jr-Sr High School</t>
  </si>
  <si>
    <t>Eminence</t>
  </si>
  <si>
    <t>Transcenter For Youth/El Puente High</t>
  </si>
  <si>
    <t>Benjamin Bosse High School</t>
  </si>
  <si>
    <t>University Lake School</t>
  </si>
  <si>
    <t>Hartland</t>
  </si>
  <si>
    <t>University School-Milwaukee</t>
  </si>
  <si>
    <t>Francis Joseph Reitz High School</t>
  </si>
  <si>
    <t>Wisconsin Academy</t>
  </si>
  <si>
    <t>New Tech Institute</t>
  </si>
  <si>
    <t>Jackson Hole Community School</t>
  </si>
  <si>
    <t>Signature School Inc</t>
  </si>
  <si>
    <t>Red Top Meadows</t>
  </si>
  <si>
    <t>William Henry Harrison High School</t>
  </si>
  <si>
    <t>Triton Central High School</t>
  </si>
  <si>
    <t>Fairland</t>
  </si>
  <si>
    <t>Madison-Grant Jr./Sr. High School</t>
  </si>
  <si>
    <t>Fairmount</t>
  </si>
  <si>
    <t>North Central High School</t>
  </si>
  <si>
    <t>Farmersburg</t>
  </si>
  <si>
    <t>Forest Park Jr-Sr High School</t>
  </si>
  <si>
    <t>Ferdinand</t>
  </si>
  <si>
    <t>Fishers High School</t>
  </si>
  <si>
    <t>Hamilton Southeastern High School</t>
  </si>
  <si>
    <t>Carroll Senior High School</t>
  </si>
  <si>
    <t>Floyd Central High School</t>
  </si>
  <si>
    <t>Floyd Knobs</t>
  </si>
  <si>
    <t>Gibson Southern High School</t>
  </si>
  <si>
    <t>Fort Branch</t>
  </si>
  <si>
    <t>East Allen University</t>
  </si>
  <si>
    <t>North Side High School</t>
  </si>
  <si>
    <t>Northrop High School</t>
  </si>
  <si>
    <t>R Nelson Snider High School</t>
  </si>
  <si>
    <t>Wayne High School</t>
  </si>
  <si>
    <t>Mt Vernon High School</t>
  </si>
  <si>
    <t>Fortville</t>
  </si>
  <si>
    <t>Northeastern High School</t>
  </si>
  <si>
    <t>Stow, OH</t>
  </si>
  <si>
    <t>Fountain City</t>
  </si>
  <si>
    <t>West Central Senior High School</t>
  </si>
  <si>
    <t>Francesville</t>
  </si>
  <si>
    <t>Clinton Prairie Jr-Sr High School</t>
  </si>
  <si>
    <t>Frankfort High School</t>
  </si>
  <si>
    <t>Franklin Community High School</t>
  </si>
  <si>
    <t>Frankton Jr-Sr High School</t>
  </si>
  <si>
    <t>Frankton</t>
  </si>
  <si>
    <t>Springs Valley Comm High School</t>
  </si>
  <si>
    <t>French Lick</t>
  </si>
  <si>
    <t>Caston Jr-Sr High School</t>
  </si>
  <si>
    <t>Garrett High School</t>
  </si>
  <si>
    <t>Garrett</t>
  </si>
  <si>
    <t>Calumet New Tech High School</t>
  </si>
  <si>
    <t>Gary</t>
  </si>
  <si>
    <t>Gary Middle College</t>
  </si>
  <si>
    <t>Gary Middle College West</t>
  </si>
  <si>
    <t>Theodore Roosevelt Car &amp; Tech Academy</t>
  </si>
  <si>
    <t>West Side Leadership Academy</t>
  </si>
  <si>
    <t>Mississinewa High School</t>
  </si>
  <si>
    <t>Gas City</t>
  </si>
  <si>
    <t>Wes-Del Middle/Senior High School</t>
  </si>
  <si>
    <t>Gaston</t>
  </si>
  <si>
    <t>Fairfield Jr-Sr High School</t>
  </si>
  <si>
    <t>Goshen Middle School</t>
  </si>
  <si>
    <t>Greencastle Senior High School</t>
  </si>
  <si>
    <t>Greencastle</t>
  </si>
  <si>
    <t>South Putnam High School</t>
  </si>
  <si>
    <t>Greenfield-Central High School</t>
  </si>
  <si>
    <t>Greensburg Community High School</t>
  </si>
  <si>
    <t>North Decatur Jr-Sr High School</t>
  </si>
  <si>
    <t>South Decatur Jr-Sr High School</t>
  </si>
  <si>
    <t>Greentown</t>
  </si>
  <si>
    <t>Amityville, NY</t>
  </si>
  <si>
    <t>Center Grove High School</t>
  </si>
  <si>
    <t>Greenwood Community High School Sch</t>
  </si>
  <si>
    <t>Griffith Senior High School</t>
  </si>
  <si>
    <t>Griffith</t>
  </si>
  <si>
    <t>Hagerstown Jr-Sr High School</t>
  </si>
  <si>
    <t>Hamilton Community High School</t>
  </si>
  <si>
    <t>Oregon-Davis Jr-Sr High School</t>
  </si>
  <si>
    <t>Hamlet</t>
  </si>
  <si>
    <t>Donald E Gavit Middle/High School</t>
  </si>
  <si>
    <t>Hammond Academy Of Science &amp; Tech</t>
  </si>
  <si>
    <t>Hammond High School</t>
  </si>
  <si>
    <t>Morton Senior High School</t>
  </si>
  <si>
    <t>Blackford High School</t>
  </si>
  <si>
    <t>Hartford City</t>
  </si>
  <si>
    <t>Hebron High School</t>
  </si>
  <si>
    <t>Vian, OK</t>
  </si>
  <si>
    <t>Henryville Jr &amp; Sr High School</t>
  </si>
  <si>
    <t>Henryville</t>
  </si>
  <si>
    <t>Hobart High School</t>
  </si>
  <si>
    <t>Hobart</t>
  </si>
  <si>
    <t>River Forest High School</t>
  </si>
  <si>
    <t>Hauser Jr-Sr High School</t>
  </si>
  <si>
    <t>Southridge High School</t>
  </si>
  <si>
    <t>Huntingburg</t>
  </si>
  <si>
    <t>Huntington North High School</t>
  </si>
  <si>
    <t>Arsenal Technical High School</t>
  </si>
  <si>
    <t>Ben Davis High School</t>
  </si>
  <si>
    <t>Ben Davis University High School</t>
  </si>
  <si>
    <t>Charles A Tindley Accelerated Sch</t>
  </si>
  <si>
    <t>Christel House Dors</t>
  </si>
  <si>
    <t>Austin, TX</t>
  </si>
  <si>
    <t>Crispus Attucks High School</t>
  </si>
  <si>
    <t>Decatur Central High School</t>
  </si>
  <si>
    <t>Decatur Twp School For Excellence</t>
  </si>
  <si>
    <t>Emmerich Manual High School</t>
  </si>
  <si>
    <t>Franklin Central High School</t>
  </si>
  <si>
    <t>Herron High School</t>
  </si>
  <si>
    <t>Indiana Connections Career Academy</t>
  </si>
  <si>
    <t>Indianapolis Lighthouse East</t>
  </si>
  <si>
    <t>Indianapolis Metropolitan High School Sch</t>
  </si>
  <si>
    <t>Insight School Of Indiana</t>
  </si>
  <si>
    <t>Lawrence Central High School</t>
  </si>
  <si>
    <t>Lawrence North High School</t>
  </si>
  <si>
    <t>Pueblo, CO</t>
  </si>
  <si>
    <t>Perry Meridian High School</t>
  </si>
  <si>
    <t>Pike High School</t>
  </si>
  <si>
    <t>Shortridge High School</t>
  </si>
  <si>
    <t>South Bend Adams High School</t>
  </si>
  <si>
    <t>Southport High School</t>
  </si>
  <si>
    <t>Thomas Carr Howe Comm High School</t>
  </si>
  <si>
    <t>Warren Central High School</t>
  </si>
  <si>
    <t>Shakamak Jr-Sr High School</t>
  </si>
  <si>
    <t>Jasonville</t>
  </si>
  <si>
    <t>Jeffersonville High School</t>
  </si>
  <si>
    <t>East Noble High School</t>
  </si>
  <si>
    <t>Kendallville</t>
  </si>
  <si>
    <t>Edgerton, KS</t>
  </si>
  <si>
    <t>South Newton Senior High School</t>
  </si>
  <si>
    <t>Kentland</t>
  </si>
  <si>
    <t>Knightstown High School</t>
  </si>
  <si>
    <t>Knightstown</t>
  </si>
  <si>
    <t>Knox Community High School</t>
  </si>
  <si>
    <t>Knox</t>
  </si>
  <si>
    <t>Kokomo High School</t>
  </si>
  <si>
    <t>Kokomo</t>
  </si>
  <si>
    <t>Northwestern Senior High School</t>
  </si>
  <si>
    <t>Kouts Middle/High School</t>
  </si>
  <si>
    <t>Kouts</t>
  </si>
  <si>
    <t>Lacrosse School</t>
  </si>
  <si>
    <t>Lacrosse</t>
  </si>
  <si>
    <t>Mccutcheon High School</t>
  </si>
  <si>
    <t>Lakeland High School</t>
  </si>
  <si>
    <t>Prairie Heights Sr High School</t>
  </si>
  <si>
    <t>Thomas A Edison Jr-Sr High School</t>
  </si>
  <si>
    <t>Lake Station</t>
  </si>
  <si>
    <t>Laville Jr-Sr High School</t>
  </si>
  <si>
    <t>Lanesville Jr-Sr High School</t>
  </si>
  <si>
    <t>Lanesville</t>
  </si>
  <si>
    <t>Grantham, PA</t>
  </si>
  <si>
    <t>Lapel Sr High School</t>
  </si>
  <si>
    <t>Lapel</t>
  </si>
  <si>
    <t>Laporte High School</t>
  </si>
  <si>
    <t>Lawrenceburg High School</t>
  </si>
  <si>
    <t>Lawrenceburg</t>
  </si>
  <si>
    <t>Lebanon Senior High School</t>
  </si>
  <si>
    <t>Leo Junior/Senior High School</t>
  </si>
  <si>
    <t>Leo</t>
  </si>
  <si>
    <t>Perry Central Jr-Sr High School</t>
  </si>
  <si>
    <t>Leopold</t>
  </si>
  <si>
    <t>West Noble High School</t>
  </si>
  <si>
    <t>Ligonier</t>
  </si>
  <si>
    <t>Heritage Hills High School</t>
  </si>
  <si>
    <t>Lincoln City</t>
  </si>
  <si>
    <t>Linton-Stockton High School</t>
  </si>
  <si>
    <t>Linton</t>
  </si>
  <si>
    <t>Tri-West Senior High School</t>
  </si>
  <si>
    <t>Lizton</t>
  </si>
  <si>
    <t>Logansport Community High School</t>
  </si>
  <si>
    <t>Logansport</t>
  </si>
  <si>
    <t>Reno, NV</t>
  </si>
  <si>
    <t>Loogootee High School</t>
  </si>
  <si>
    <t>Loogootee</t>
  </si>
  <si>
    <t>Lowell Senior High School</t>
  </si>
  <si>
    <t>Randolph Southern Jr-Sr High School Sch</t>
  </si>
  <si>
    <t>Tecumseh High School</t>
  </si>
  <si>
    <t>Lynnville</t>
  </si>
  <si>
    <t>Madison Consolidated High School</t>
  </si>
  <si>
    <t>Eastbrook High School</t>
  </si>
  <si>
    <t>Martinsville High School</t>
  </si>
  <si>
    <t>Medora Jr &amp; Sr High School</t>
  </si>
  <si>
    <t>Medora</t>
  </si>
  <si>
    <t>Merrillville High School</t>
  </si>
  <si>
    <t>Michigan City High School</t>
  </si>
  <si>
    <t>Michigan City</t>
  </si>
  <si>
    <t>Clinton Central Junior-Senior High School</t>
  </si>
  <si>
    <t>Riverhead, NY</t>
  </si>
  <si>
    <t>Michigantown</t>
  </si>
  <si>
    <t>Shenandoah High School</t>
  </si>
  <si>
    <t>Milan High School</t>
  </si>
  <si>
    <t>Milan</t>
  </si>
  <si>
    <t>Mishawaka High School</t>
  </si>
  <si>
    <t>Penn High School</t>
  </si>
  <si>
    <t>Mitchell</t>
  </si>
  <si>
    <t>Indiana Digital Alternative School</t>
  </si>
  <si>
    <t>Modoc</t>
  </si>
  <si>
    <t>Union Junior &amp; High School</t>
  </si>
  <si>
    <t>North White High School</t>
  </si>
  <si>
    <t>Monon</t>
  </si>
  <si>
    <t>Adams Central High School</t>
  </si>
  <si>
    <t>Heritage Jr/Sr High School</t>
  </si>
  <si>
    <t>Riverton Parke Jr-Sr High School</t>
  </si>
  <si>
    <t>Midvale, UT</t>
  </si>
  <si>
    <t>Barr Reeve Middle/High School</t>
  </si>
  <si>
    <t>Twin Lakes Senior High School</t>
  </si>
  <si>
    <t>Mooresville High School</t>
  </si>
  <si>
    <t>Mooresville</t>
  </si>
  <si>
    <t>North Newton Jr-Sr High School</t>
  </si>
  <si>
    <t>Morocco</t>
  </si>
  <si>
    <t>Morristown Jr-Sr High School</t>
  </si>
  <si>
    <t>Cowan High School</t>
  </si>
  <si>
    <t>Muncie</t>
  </si>
  <si>
    <t>Indiana Academy For Sci Math Hmn</t>
  </si>
  <si>
    <t>Muncie Central High School</t>
  </si>
  <si>
    <t>Munster High School</t>
  </si>
  <si>
    <t>Manchester Jr-Sr High School</t>
  </si>
  <si>
    <t>N Manchester</t>
  </si>
  <si>
    <t>North Wood High School</t>
  </si>
  <si>
    <t>Nappanee</t>
  </si>
  <si>
    <t>Mableton, GA</t>
  </si>
  <si>
    <t>New Albany Senior High School</t>
  </si>
  <si>
    <t>New Prairie High School</t>
  </si>
  <si>
    <t>New Carlisle</t>
  </si>
  <si>
    <t>Blue River Valley Jr-Sr High School Sch</t>
  </si>
  <si>
    <t>New Castle High School</t>
  </si>
  <si>
    <t>New Haven High School</t>
  </si>
  <si>
    <t>New Palestine High School</t>
  </si>
  <si>
    <t>New Palestine</t>
  </si>
  <si>
    <t>New Washington Middle/High School</t>
  </si>
  <si>
    <t>New Washington</t>
  </si>
  <si>
    <t>Newburgh</t>
  </si>
  <si>
    <t>Noblesville High School</t>
  </si>
  <si>
    <t>Options Charter School Noblesville</t>
  </si>
  <si>
    <t>N Judson-San Pierre Jr Sr High School Sch</t>
  </si>
  <si>
    <t>North Judson</t>
  </si>
  <si>
    <t>Jennings County High School</t>
  </si>
  <si>
    <t>North Vernon</t>
  </si>
  <si>
    <t>Waldo J Wood Memorial High School</t>
  </si>
  <si>
    <t>Oakland City</t>
  </si>
  <si>
    <t>Orleans Jr-Sr High School</t>
  </si>
  <si>
    <t>Orleans</t>
  </si>
  <si>
    <t>King City, CA</t>
  </si>
  <si>
    <t>Jac-Cen-Del Ms/High School</t>
  </si>
  <si>
    <t>Osgood</t>
  </si>
  <si>
    <t>Norwell High School</t>
  </si>
  <si>
    <t>Ossian</t>
  </si>
  <si>
    <t>Benton Central Jr-Sr High School</t>
  </si>
  <si>
    <t>Paoli Jr &amp; Sr High School</t>
  </si>
  <si>
    <t>Paoli</t>
  </si>
  <si>
    <t>Monroe Central Jr-Sr High School</t>
  </si>
  <si>
    <t>Parker City</t>
  </si>
  <si>
    <t>Pendleton Heights High School</t>
  </si>
  <si>
    <t>Pendleton</t>
  </si>
  <si>
    <t>Peru High School</t>
  </si>
  <si>
    <t>Pike Central High School</t>
  </si>
  <si>
    <t>Plymouth High School</t>
  </si>
  <si>
    <t>Southern Wells Jr-Sr High School</t>
  </si>
  <si>
    <t>Gorham, ME</t>
  </si>
  <si>
    <t>Poneto</t>
  </si>
  <si>
    <t>Neighbors' New Vistas High School</t>
  </si>
  <si>
    <t>Portage</t>
  </si>
  <si>
    <t>Portage High School</t>
  </si>
  <si>
    <t>Jay County High School</t>
  </si>
  <si>
    <t>North Posey High School</t>
  </si>
  <si>
    <t>Poseyville</t>
  </si>
  <si>
    <t>Princeton Community High School</t>
  </si>
  <si>
    <t>North Harrison High School</t>
  </si>
  <si>
    <t>Rensselaer Central High School</t>
  </si>
  <si>
    <t>Rising Sun High School</t>
  </si>
  <si>
    <t>Rising Sun</t>
  </si>
  <si>
    <t>North Putnam Sr High School</t>
  </si>
  <si>
    <t>Roachdale</t>
  </si>
  <si>
    <t>Rochester Community High School</t>
  </si>
  <si>
    <t>South Spencer High School</t>
  </si>
  <si>
    <t>Rockport</t>
  </si>
  <si>
    <t>Parke Heritage High School</t>
  </si>
  <si>
    <t>Rockville</t>
  </si>
  <si>
    <t>Rossville Middle/Senior High School Sch</t>
  </si>
  <si>
    <t>Pioneer Jr-Sr High School</t>
  </si>
  <si>
    <t>Royal Center</t>
  </si>
  <si>
    <t>Rushville Consolidated High School</t>
  </si>
  <si>
    <t>Russiaville</t>
  </si>
  <si>
    <t>Lake Central High School</t>
  </si>
  <si>
    <t>Saint John</t>
  </si>
  <si>
    <t>Scottsburg Senior High School</t>
  </si>
  <si>
    <t>Scottsburg</t>
  </si>
  <si>
    <t>Sellersburg</t>
  </si>
  <si>
    <t>Wapahani High School</t>
  </si>
  <si>
    <t>Seymour Senior High School</t>
  </si>
  <si>
    <t>Tri Central Middle-High School</t>
  </si>
  <si>
    <t>Sharpsville</t>
  </si>
  <si>
    <t>Shelbyville Sr High School</t>
  </si>
  <si>
    <t>Shoals Community High School</t>
  </si>
  <si>
    <t>Shoals</t>
  </si>
  <si>
    <t>Adams High School</t>
  </si>
  <si>
    <t>Career Academy High School</t>
  </si>
  <si>
    <t>Riley High School</t>
  </si>
  <si>
    <t>Rise Up Academy At Eggleston</t>
  </si>
  <si>
    <t>Whitko Jr/Sr High School</t>
  </si>
  <si>
    <t>South Whitley</t>
  </si>
  <si>
    <t>Speedway Senior High School</t>
  </si>
  <si>
    <t>Speedway</t>
  </si>
  <si>
    <t>Owen Valley Community High School</t>
  </si>
  <si>
    <t>Spencer</t>
  </si>
  <si>
    <t>Miller, MO</t>
  </si>
  <si>
    <t>East Central High School</t>
  </si>
  <si>
    <t>St Leon</t>
  </si>
  <si>
    <t>Tri Junior-Senior High School</t>
  </si>
  <si>
    <t>Straughn</t>
  </si>
  <si>
    <t>White River Valley High School</t>
  </si>
  <si>
    <t>Switz City</t>
  </si>
  <si>
    <t>Wawasee High School</t>
  </si>
  <si>
    <t>Tell City Jr-Sr High School</t>
  </si>
  <si>
    <t>Tell City</t>
  </si>
  <si>
    <t>Mclean Education Center (Alt)</t>
  </si>
  <si>
    <t>Santa Clara, CA</t>
  </si>
  <si>
    <t>Terre Haute North Vigo High School</t>
  </si>
  <si>
    <t>Terre Haute South Vigo High School</t>
  </si>
  <si>
    <t>Western Boone Jr-Sr High School</t>
  </si>
  <si>
    <t>Thorntown</t>
  </si>
  <si>
    <t>Tipton High School</t>
  </si>
  <si>
    <t>Tipton</t>
  </si>
  <si>
    <t>Westview Jr-Sr High School</t>
  </si>
  <si>
    <t>Topeka</t>
  </si>
  <si>
    <t>Indian Creek Sr High School</t>
  </si>
  <si>
    <t>Trafalgar</t>
  </si>
  <si>
    <t>Union City Community Jr/Sr High School</t>
  </si>
  <si>
    <t>South Central Jr-Sr High School</t>
  </si>
  <si>
    <t>Union Mills</t>
  </si>
  <si>
    <t>Boone Grove High School</t>
  </si>
  <si>
    <t>Valparaiso</t>
  </si>
  <si>
    <t>Morgan Township Middle/High School</t>
  </si>
  <si>
    <t>Valparaiso High School</t>
  </si>
  <si>
    <t>Washington Twp Middle/High School</t>
  </si>
  <si>
    <t>Fountain Central High School</t>
  </si>
  <si>
    <t>Veedersburg</t>
  </si>
  <si>
    <t>South Ripley High School</t>
  </si>
  <si>
    <t>Versailles</t>
  </si>
  <si>
    <t>San Andreas, CA</t>
  </si>
  <si>
    <t>Switzerland Co Senior High School</t>
  </si>
  <si>
    <t>Vevay</t>
  </si>
  <si>
    <t>South Knox Middle-High School</t>
  </si>
  <si>
    <t>Northfield Jr-Sr High School</t>
  </si>
  <si>
    <t>Wabash</t>
  </si>
  <si>
    <t>Southwood Jr-Sr High School</t>
  </si>
  <si>
    <t>Wabash High School</t>
  </si>
  <si>
    <t>White'S Jr-Sr High School</t>
  </si>
  <si>
    <t>Waldron Jr-Sr High School</t>
  </si>
  <si>
    <t>John Glenn High School</t>
  </si>
  <si>
    <t>Walkerton</t>
  </si>
  <si>
    <t>Lewis Cass High School</t>
  </si>
  <si>
    <t>Walton</t>
  </si>
  <si>
    <t>Warsaw Community High School</t>
  </si>
  <si>
    <t>West Lafayette Jr/Sr High School</t>
  </si>
  <si>
    <t>West Lafayette</t>
  </si>
  <si>
    <t>Seeger Memorial Jr-Sr High School</t>
  </si>
  <si>
    <t>West Lebanon</t>
  </si>
  <si>
    <t>West Vigo High School</t>
  </si>
  <si>
    <t>West Terre Haute</t>
  </si>
  <si>
    <t>Westfield High School</t>
  </si>
  <si>
    <t>Kankakee Valley High School</t>
  </si>
  <si>
    <t>Wheatfield</t>
  </si>
  <si>
    <t>Whiteland Community High School</t>
  </si>
  <si>
    <t>Whiteland</t>
  </si>
  <si>
    <t>George Rogers Clark Md/High School</t>
  </si>
  <si>
    <t>Whiting</t>
  </si>
  <si>
    <t>Whiting High School</t>
  </si>
  <si>
    <t>Winamac Community High School</t>
  </si>
  <si>
    <t>Winamac</t>
  </si>
  <si>
    <t>Winchester Community High School</t>
  </si>
  <si>
    <t>Tri-County Jr/Sr High School</t>
  </si>
  <si>
    <t>Woodlan Jr/Sr High School</t>
  </si>
  <si>
    <t>Woodburn</t>
  </si>
  <si>
    <t>Yorktown High School</t>
  </si>
  <si>
    <t>Yorktown</t>
  </si>
  <si>
    <t>Zionsville Community High School</t>
  </si>
  <si>
    <t>Agwsr High School</t>
  </si>
  <si>
    <t>Ackley</t>
  </si>
  <si>
    <t>Adm Senior High School</t>
  </si>
  <si>
    <t>East Union Middle-High School</t>
  </si>
  <si>
    <t>Afton</t>
  </si>
  <si>
    <t>Akron Westfield Senior High School</t>
  </si>
  <si>
    <t>Albia High School</t>
  </si>
  <si>
    <t>Albia</t>
  </si>
  <si>
    <t>Alburnett Senior High School</t>
  </si>
  <si>
    <t>Alburnett</t>
  </si>
  <si>
    <t>Algona High School</t>
  </si>
  <si>
    <t>North Polk High School</t>
  </si>
  <si>
    <t>Alleman</t>
  </si>
  <si>
    <t>Alta-Aurelia High School School</t>
  </si>
  <si>
    <t>Alta</t>
  </si>
  <si>
    <t>Ames High School</t>
  </si>
  <si>
    <t>Ames</t>
  </si>
  <si>
    <t>Anamosa High School</t>
  </si>
  <si>
    <t>Anamosa</t>
  </si>
  <si>
    <t>Cam High School</t>
  </si>
  <si>
    <t>Anita</t>
  </si>
  <si>
    <t>Iowa Connections Academy High School</t>
  </si>
  <si>
    <t>Ankeny Centennial High School</t>
  </si>
  <si>
    <t>Ankeny High School</t>
  </si>
  <si>
    <t>Starmont High School</t>
  </si>
  <si>
    <t>North Union High School</t>
  </si>
  <si>
    <t>Atlantic</t>
  </si>
  <si>
    <t>Audubon Middle-High School</t>
  </si>
  <si>
    <t>Audubon</t>
  </si>
  <si>
    <t>AHigh Schooltw High School</t>
  </si>
  <si>
    <t>Avoca</t>
  </si>
  <si>
    <t>Baxter High School</t>
  </si>
  <si>
    <t>Baxter</t>
  </si>
  <si>
    <t>Bedford High School</t>
  </si>
  <si>
    <t>Belle Plaine Jr/Sr High School</t>
  </si>
  <si>
    <t>Belle Plaine</t>
  </si>
  <si>
    <t>Bellevue High School</t>
  </si>
  <si>
    <t>Belmond-Klemme Community Jr-Sr High School</t>
  </si>
  <si>
    <t>Belmond</t>
  </si>
  <si>
    <t>Bettendorf High School</t>
  </si>
  <si>
    <t>Davis County Community High School</t>
  </si>
  <si>
    <t>Bondurant-Farrar High School</t>
  </si>
  <si>
    <t>Bondurant</t>
  </si>
  <si>
    <t>Boone High School</t>
  </si>
  <si>
    <t>Boone</t>
  </si>
  <si>
    <t>West Hancock High School</t>
  </si>
  <si>
    <t>Britt</t>
  </si>
  <si>
    <t>Brooklyn-Guernsey-Malcom Jr-Sr High School</t>
  </si>
  <si>
    <t>North Iowa High School</t>
  </si>
  <si>
    <t>Buffalo Center</t>
  </si>
  <si>
    <t>Burlington Community High School</t>
  </si>
  <si>
    <t>Twin Cedars Jr-Sr High School</t>
  </si>
  <si>
    <t>Bussey</t>
  </si>
  <si>
    <t>South Winneshiek High School</t>
  </si>
  <si>
    <t>Calmar</t>
  </si>
  <si>
    <t>Camanche High School</t>
  </si>
  <si>
    <t>Camanche</t>
  </si>
  <si>
    <t>Carroll</t>
  </si>
  <si>
    <t>Cascade Junior-Senior High School</t>
  </si>
  <si>
    <t>Cedar Falls High School</t>
  </si>
  <si>
    <t>Prairie High School</t>
  </si>
  <si>
    <t>Center Point-Urbana High School</t>
  </si>
  <si>
    <t>Centerville High School</t>
  </si>
  <si>
    <t>Central City High School</t>
  </si>
  <si>
    <t>Central City</t>
  </si>
  <si>
    <t>Chariton High School</t>
  </si>
  <si>
    <t>Chariton</t>
  </si>
  <si>
    <t>Charles City High School</t>
  </si>
  <si>
    <t>Charles City</t>
  </si>
  <si>
    <t>Paton-Churdan Jr-Sr High School</t>
  </si>
  <si>
    <t>Churdan</t>
  </si>
  <si>
    <t>North Cedar Jr/Sr High School</t>
  </si>
  <si>
    <t>Clarence</t>
  </si>
  <si>
    <t>Clarinda High School</t>
  </si>
  <si>
    <t>Clarion-Goldfield-Dows High School</t>
  </si>
  <si>
    <t>Clarion</t>
  </si>
  <si>
    <t>Clear Lake</t>
  </si>
  <si>
    <t>Colfax-Mingo High School</t>
  </si>
  <si>
    <t>South Page Senior High School</t>
  </si>
  <si>
    <t>College Springs</t>
  </si>
  <si>
    <t>Colo-Nesco  Middle/High School</t>
  </si>
  <si>
    <t>Colo</t>
  </si>
  <si>
    <t>Columbus Community High School</t>
  </si>
  <si>
    <t>Columbus Junction</t>
  </si>
  <si>
    <t>Bcluw High School</t>
  </si>
  <si>
    <t>Conrad</t>
  </si>
  <si>
    <t>Coon Rapids-Bayard 5-12 Attendance Center</t>
  </si>
  <si>
    <t>Coon Rapids</t>
  </si>
  <si>
    <t>River Valley Junior- Senior High School</t>
  </si>
  <si>
    <t>Correctionville</t>
  </si>
  <si>
    <t>Wayne Community Jr-Sr High School</t>
  </si>
  <si>
    <t>Lewis Central Senior High School</t>
  </si>
  <si>
    <t>Crestwood High School</t>
  </si>
  <si>
    <t>Cresco</t>
  </si>
  <si>
    <t>Creston High School</t>
  </si>
  <si>
    <t>Creston</t>
  </si>
  <si>
    <t>Danville Junior-Senior High School</t>
  </si>
  <si>
    <t>Central Dewitt High School</t>
  </si>
  <si>
    <t>De Witt</t>
  </si>
  <si>
    <t>Decorah High School</t>
  </si>
  <si>
    <t>Decorah</t>
  </si>
  <si>
    <t>Maquoketa Valley Senior High School</t>
  </si>
  <si>
    <t>Denison High School</t>
  </si>
  <si>
    <t>Denison</t>
  </si>
  <si>
    <t>Denver Senior High School</t>
  </si>
  <si>
    <t>Des Moines</t>
  </si>
  <si>
    <t>Saydel High School</t>
  </si>
  <si>
    <t>Diagonal Junior-Senior High School</t>
  </si>
  <si>
    <t>Diagonal</t>
  </si>
  <si>
    <t>Dike-New Hartford High School</t>
  </si>
  <si>
    <t>Dike</t>
  </si>
  <si>
    <t>Central Lee High School</t>
  </si>
  <si>
    <t>Donnellson</t>
  </si>
  <si>
    <t>Dubuque Senior High School</t>
  </si>
  <si>
    <t>Dubuque</t>
  </si>
  <si>
    <t>Hempstead High School</t>
  </si>
  <si>
    <t>Dunkerton High School</t>
  </si>
  <si>
    <t>Dunkerton</t>
  </si>
  <si>
    <t>Boyer Valley Middle/High School</t>
  </si>
  <si>
    <t>Durant</t>
  </si>
  <si>
    <t>Eagle Grove High School</t>
  </si>
  <si>
    <t>Eagle Grove</t>
  </si>
  <si>
    <t>Earlham Senior High School</t>
  </si>
  <si>
    <t>Earlham</t>
  </si>
  <si>
    <t>Eddyville-Blakesburg- Fremont Jr/Sr High School</t>
  </si>
  <si>
    <t>Eddyville</t>
  </si>
  <si>
    <t>Edgewood-Colesburg High School</t>
  </si>
  <si>
    <t>Cardinal High School High School</t>
  </si>
  <si>
    <t>Eldon</t>
  </si>
  <si>
    <t>South Hardin High School</t>
  </si>
  <si>
    <t>Eldora</t>
  </si>
  <si>
    <t>North Scott High School</t>
  </si>
  <si>
    <t>Eldridge</t>
  </si>
  <si>
    <t>Exiraelk Horn-Kimballton High School</t>
  </si>
  <si>
    <t>Elk Horn</t>
  </si>
  <si>
    <t>Central Middle School/High School</t>
  </si>
  <si>
    <t>Elkader</t>
  </si>
  <si>
    <t>Emmetsburg High School</t>
  </si>
  <si>
    <t>Emmetsburg</t>
  </si>
  <si>
    <t>Western Dubuque High School</t>
  </si>
  <si>
    <t>Epworth</t>
  </si>
  <si>
    <t>Essex Junior-Senior High School</t>
  </si>
  <si>
    <t>Estherville Lincoln Central High School</t>
  </si>
  <si>
    <t>Estherville</t>
  </si>
  <si>
    <t>Clay Central-Everly Jr. Sr. High School</t>
  </si>
  <si>
    <t>Everly</t>
  </si>
  <si>
    <t>Wapsie Valley High School</t>
  </si>
  <si>
    <t>Fairbank</t>
  </si>
  <si>
    <t>Forest City High School</t>
  </si>
  <si>
    <t>Forest City</t>
  </si>
  <si>
    <t>Fort Dodge High School</t>
  </si>
  <si>
    <t>Fort Dodge</t>
  </si>
  <si>
    <t>Fort Madison High School</t>
  </si>
  <si>
    <t>Fort Madison</t>
  </si>
  <si>
    <t>Mormon Trail Jr-Sr High School</t>
  </si>
  <si>
    <t>Garner-Hayfield-Ventura High School</t>
  </si>
  <si>
    <t>Gmg Secondary School</t>
  </si>
  <si>
    <t>Garwin</t>
  </si>
  <si>
    <t>George-Little Rock Senior High School</t>
  </si>
  <si>
    <t>George</t>
  </si>
  <si>
    <t>Glenwood Senior High School</t>
  </si>
  <si>
    <t>Glenwood</t>
  </si>
  <si>
    <t>Glidden-Ralston Jr-Sr High School</t>
  </si>
  <si>
    <t>Glidden</t>
  </si>
  <si>
    <t>Northeast Middle-High School</t>
  </si>
  <si>
    <t>Goose Lake</t>
  </si>
  <si>
    <t>Southeast Valley High School</t>
  </si>
  <si>
    <t>Gowrie</t>
  </si>
  <si>
    <t>Graettinger-Terril High School</t>
  </si>
  <si>
    <t>Graettinger</t>
  </si>
  <si>
    <t>North Butler Jr/Sr High School</t>
  </si>
  <si>
    <t>Greene</t>
  </si>
  <si>
    <t>Nodaway Valley High School</t>
  </si>
  <si>
    <t>Dallas Center-Grimes High School</t>
  </si>
  <si>
    <t>Grimes</t>
  </si>
  <si>
    <t>Grinnell Community Senior High School</t>
  </si>
  <si>
    <t>Grinnell</t>
  </si>
  <si>
    <t>Griswold Middle/High School</t>
  </si>
  <si>
    <t>Grundy Center High School</t>
  </si>
  <si>
    <t>Grundy Center</t>
  </si>
  <si>
    <t>Guthrie Center High School</t>
  </si>
  <si>
    <t>Guthrie Center</t>
  </si>
  <si>
    <t>Clayton Ridge High School</t>
  </si>
  <si>
    <t>Guttenberg</t>
  </si>
  <si>
    <t>Hampton-Dumont High School</t>
  </si>
  <si>
    <t>Harlan High School</t>
  </si>
  <si>
    <t>Harlan</t>
  </si>
  <si>
    <t>Hartley-Melvin-Sanborn High School</t>
  </si>
  <si>
    <t>Hartley</t>
  </si>
  <si>
    <t>East Mills Jr/Sr High School</t>
  </si>
  <si>
    <t>West Sioux High School</t>
  </si>
  <si>
    <t>Hawarden</t>
  </si>
  <si>
    <t>Hinton High School</t>
  </si>
  <si>
    <t>Hinton</t>
  </si>
  <si>
    <t>Ridge View High School</t>
  </si>
  <si>
    <t>Holstein</t>
  </si>
  <si>
    <t>Boyden-Hull High School</t>
  </si>
  <si>
    <t>Hull</t>
  </si>
  <si>
    <t>Humboldt High School</t>
  </si>
  <si>
    <t>Humboldt</t>
  </si>
  <si>
    <t>Ballard High School</t>
  </si>
  <si>
    <t>Huxley</t>
  </si>
  <si>
    <t>Odebolt Arthur Battle Creek Ida Grove High School</t>
  </si>
  <si>
    <t>Ida Grove</t>
  </si>
  <si>
    <t>Independence Junior Senior High School</t>
  </si>
  <si>
    <t>Indianola High School</t>
  </si>
  <si>
    <t>Indianola</t>
  </si>
  <si>
    <t>West Lyon High School</t>
  </si>
  <si>
    <t>Inwood</t>
  </si>
  <si>
    <t>Iowa City High School</t>
  </si>
  <si>
    <t>Iowa City</t>
  </si>
  <si>
    <t>West Senior High School</t>
  </si>
  <si>
    <t>Iowa Falls - Alden High School</t>
  </si>
  <si>
    <t>Iowa Falls</t>
  </si>
  <si>
    <t>Turkey Valley Jr-Sr High School</t>
  </si>
  <si>
    <t>Jackson Junction</t>
  </si>
  <si>
    <t>Janesville Junior-Senior High School</t>
  </si>
  <si>
    <t>Janesville</t>
  </si>
  <si>
    <t>Jesup High School</t>
  </si>
  <si>
    <t>South Hamilton Middle And High School</t>
  </si>
  <si>
    <t>Jewell</t>
  </si>
  <si>
    <t>Johnston Senior High School</t>
  </si>
  <si>
    <t>Keokuk High School</t>
  </si>
  <si>
    <t>Keokuk</t>
  </si>
  <si>
    <t>Keosauqua</t>
  </si>
  <si>
    <t>Keota High School</t>
  </si>
  <si>
    <t>Keota</t>
  </si>
  <si>
    <t>Kingsley-Pierson High School</t>
  </si>
  <si>
    <t>Kingsley</t>
  </si>
  <si>
    <t>Knoxville High School</t>
  </si>
  <si>
    <t>Union High School</t>
  </si>
  <si>
    <t>La Porte City</t>
  </si>
  <si>
    <t>South Central Calhoun High School</t>
  </si>
  <si>
    <t>Lake Mills Senior High School</t>
  </si>
  <si>
    <t>Lake Mills</t>
  </si>
  <si>
    <t>Harris-Lake Park High School</t>
  </si>
  <si>
    <t>Lake Park</t>
  </si>
  <si>
    <t>East Sac County High School</t>
  </si>
  <si>
    <t>Lake View</t>
  </si>
  <si>
    <t>Lamoni High School</t>
  </si>
  <si>
    <t>Lamoni</t>
  </si>
  <si>
    <t>Kee High School</t>
  </si>
  <si>
    <t>Lawton-Bronson Junior-Senior High School</t>
  </si>
  <si>
    <t>East Marshall Senior High School</t>
  </si>
  <si>
    <t>Le Mars High School</t>
  </si>
  <si>
    <t>Le Mars</t>
  </si>
  <si>
    <t>Lenox High School</t>
  </si>
  <si>
    <t>Lenox</t>
  </si>
  <si>
    <t>Central Decatur Ms/High School High School</t>
  </si>
  <si>
    <t>Leon</t>
  </si>
  <si>
    <t>Louisa-Muscatine High School</t>
  </si>
  <si>
    <t>Letts</t>
  </si>
  <si>
    <t>Southeast Warren Jr-Sr High School</t>
  </si>
  <si>
    <t>Liberty Center</t>
  </si>
  <si>
    <t>Lisbon High School</t>
  </si>
  <si>
    <t>Lisbon</t>
  </si>
  <si>
    <t>Logan-Magnolia Jr-Sr High School</t>
  </si>
  <si>
    <t>Logan</t>
  </si>
  <si>
    <t>Lone Tree Junior-Senior High School</t>
  </si>
  <si>
    <t>Lone Tree</t>
  </si>
  <si>
    <t>Madrid High School</t>
  </si>
  <si>
    <t>Madrid</t>
  </si>
  <si>
    <t>West Delaware High School</t>
  </si>
  <si>
    <t>Central Springs High School</t>
  </si>
  <si>
    <t>Manly</t>
  </si>
  <si>
    <t>Ikm-Manning High School</t>
  </si>
  <si>
    <t>Manson Northwest Webster Junior High School/High School</t>
  </si>
  <si>
    <t>Manson</t>
  </si>
  <si>
    <t>Maple Valley-Anthon Oto High School</t>
  </si>
  <si>
    <t>Mapleton</t>
  </si>
  <si>
    <t>Maquoketa Community High School</t>
  </si>
  <si>
    <t>Maquoketa</t>
  </si>
  <si>
    <t>Mmcru  High School</t>
  </si>
  <si>
    <t>Marcus</t>
  </si>
  <si>
    <t>Iowa Valley Jr-Sr High School</t>
  </si>
  <si>
    <t>Linn-Mar High School</t>
  </si>
  <si>
    <t>Marshalltown High School</t>
  </si>
  <si>
    <t>Marshalltown</t>
  </si>
  <si>
    <t>Martensdale-St Marys Jr-Sr High School</t>
  </si>
  <si>
    <t>Martensdale</t>
  </si>
  <si>
    <t>Mason City High School</t>
  </si>
  <si>
    <t>Collins-Maxwell Middle/High School</t>
  </si>
  <si>
    <t>West Central Charter High School</t>
  </si>
  <si>
    <t>Mediapolis High School</t>
  </si>
  <si>
    <t>Mediapolis</t>
  </si>
  <si>
    <t>Melcher-Dallas High School</t>
  </si>
  <si>
    <t>Melcher</t>
  </si>
  <si>
    <t>Okoboji High School</t>
  </si>
  <si>
    <t>Missouri Valley High School</t>
  </si>
  <si>
    <t>Missouri Valley</t>
  </si>
  <si>
    <t>West Harrison High School</t>
  </si>
  <si>
    <t>Mondamin</t>
  </si>
  <si>
    <t>Mfl Marmac High School</t>
  </si>
  <si>
    <t>Monona</t>
  </si>
  <si>
    <t>Pcm High School</t>
  </si>
  <si>
    <t>Montezuma High School</t>
  </si>
  <si>
    <t>Moravia High School</t>
  </si>
  <si>
    <t>Moravia</t>
  </si>
  <si>
    <t>Moulton-Udell High School</t>
  </si>
  <si>
    <t>Mount Ayr High School</t>
  </si>
  <si>
    <t>Mount Ayr</t>
  </si>
  <si>
    <t>Woodbury Central High School</t>
  </si>
  <si>
    <t>Moville</t>
  </si>
  <si>
    <t>Murray Jr/Sr High School</t>
  </si>
  <si>
    <t>Muscatine High School</t>
  </si>
  <si>
    <t>Muscatine</t>
  </si>
  <si>
    <t>Nashua-Plainfield Junior-SeniorHigh School</t>
  </si>
  <si>
    <t>Tri-Center High School</t>
  </si>
  <si>
    <t>Neola</t>
  </si>
  <si>
    <t>Nevada High School</t>
  </si>
  <si>
    <t>New Hampton High School</t>
  </si>
  <si>
    <t>New London Jr-Sr High School</t>
  </si>
  <si>
    <t>North Mahaska Jr-Sr High School</t>
  </si>
  <si>
    <t>New Sharon</t>
  </si>
  <si>
    <t>Newell-Fonda High School</t>
  </si>
  <si>
    <t>Newell</t>
  </si>
  <si>
    <t>Newton Senior High School</t>
  </si>
  <si>
    <t>English Valleys Jr-Sr High School</t>
  </si>
  <si>
    <t>North English</t>
  </si>
  <si>
    <t>North Liberty</t>
  </si>
  <si>
    <t>Northwood-Kensett Jr-Sr High School</t>
  </si>
  <si>
    <t>Northwood</t>
  </si>
  <si>
    <t>Norwalk Senior High School</t>
  </si>
  <si>
    <t>Riverside Community High School</t>
  </si>
  <si>
    <t>Oelwein High School</t>
  </si>
  <si>
    <t>Oelwein</t>
  </si>
  <si>
    <t>Ogden High School</t>
  </si>
  <si>
    <t>West Monona High School</t>
  </si>
  <si>
    <t>Onawa</t>
  </si>
  <si>
    <t>Moc-Floyd Valley High School</t>
  </si>
  <si>
    <t>Orient-Macksburg Senior High School</t>
  </si>
  <si>
    <t>Orient</t>
  </si>
  <si>
    <t>Osage High School</t>
  </si>
  <si>
    <t>Osage</t>
  </si>
  <si>
    <t>Clarke Community High School</t>
  </si>
  <si>
    <t>Oskaloosa High School</t>
  </si>
  <si>
    <t>Oskaloosa</t>
  </si>
  <si>
    <t>Ottumwa High School</t>
  </si>
  <si>
    <t>Packwood</t>
  </si>
  <si>
    <t>Panora</t>
  </si>
  <si>
    <t>Aplington Parkersburg High School</t>
  </si>
  <si>
    <t>Parkersburg</t>
  </si>
  <si>
    <t>South O'Brien Secondary School</t>
  </si>
  <si>
    <t>Paullina</t>
  </si>
  <si>
    <t>Pella High School</t>
  </si>
  <si>
    <t>Pella</t>
  </si>
  <si>
    <t>Southeast Polk High School</t>
  </si>
  <si>
    <t>Pleasantville High School</t>
  </si>
  <si>
    <t>Pleasantville</t>
  </si>
  <si>
    <t>Pocahontas Area Middle/ High School</t>
  </si>
  <si>
    <t>John R Mott Jr/Hi School</t>
  </si>
  <si>
    <t>Postville</t>
  </si>
  <si>
    <t>Easton Valley High School</t>
  </si>
  <si>
    <t>Red Oak High School</t>
  </si>
  <si>
    <t>Gladbrook-Reinbeck Jr. High School &amp; High School</t>
  </si>
  <si>
    <t>Reinbeck</t>
  </si>
  <si>
    <t>Riceville High School</t>
  </si>
  <si>
    <t>Riceville</t>
  </si>
  <si>
    <t>Central Lyon Senior High School</t>
  </si>
  <si>
    <t>Rock Rapids</t>
  </si>
  <si>
    <t>Rock Valley High School High School</t>
  </si>
  <si>
    <t>Rock Valley</t>
  </si>
  <si>
    <t>Rockford Junior-Senior Rockford Senior High School</t>
  </si>
  <si>
    <t>Ruthven-Ayrshire High School</t>
  </si>
  <si>
    <t>Ruthven</t>
  </si>
  <si>
    <t>Sergeant Bluff-Luton Senior High School</t>
  </si>
  <si>
    <t>Sergeant Bluff</t>
  </si>
  <si>
    <t>Sheldon</t>
  </si>
  <si>
    <t>Shenandoah</t>
  </si>
  <si>
    <t>Sibley-Ocheyedan High School</t>
  </si>
  <si>
    <t>Sibley</t>
  </si>
  <si>
    <t>Sidney High School</t>
  </si>
  <si>
    <t>Sidney</t>
  </si>
  <si>
    <t>Sigourney Jr-Sr High School Sch</t>
  </si>
  <si>
    <t>Sigourney</t>
  </si>
  <si>
    <t>Sioux Center High School</t>
  </si>
  <si>
    <t>Sioux Center</t>
  </si>
  <si>
    <t>Sioux City</t>
  </si>
  <si>
    <t>Sioux Central High School</t>
  </si>
  <si>
    <t>Sioux Rapids</t>
  </si>
  <si>
    <t>Sloan</t>
  </si>
  <si>
    <t>Solon High School</t>
  </si>
  <si>
    <t>Spirit Lake High School</t>
  </si>
  <si>
    <t>Springville Secondary School</t>
  </si>
  <si>
    <t>St Ansgar High School</t>
  </si>
  <si>
    <t>St Ansgar</t>
  </si>
  <si>
    <t>Stanton High School</t>
  </si>
  <si>
    <t>Stanton</t>
  </si>
  <si>
    <t>West Marshall High School</t>
  </si>
  <si>
    <t>State Center</t>
  </si>
  <si>
    <t>St Lake/Ia Cntrl/Buena Vista Early College High School</t>
  </si>
  <si>
    <t>Storm Lake</t>
  </si>
  <si>
    <t>Storm Lake High School</t>
  </si>
  <si>
    <t>Roland-Story High School</t>
  </si>
  <si>
    <t>Story City</t>
  </si>
  <si>
    <t>West Central Valley High School</t>
  </si>
  <si>
    <t>Lynnville-Sully High School</t>
  </si>
  <si>
    <t>Sully</t>
  </si>
  <si>
    <t>Sumner-Fredericksburg High School</t>
  </si>
  <si>
    <t>Fremont-Mills Middle And Senior High School</t>
  </si>
  <si>
    <t>Tabor</t>
  </si>
  <si>
    <t>South Tama County High School</t>
  </si>
  <si>
    <t>Tama</t>
  </si>
  <si>
    <t>Tri-County High School</t>
  </si>
  <si>
    <t>Thornburg</t>
  </si>
  <si>
    <t>Clear Creek Amana High School</t>
  </si>
  <si>
    <t>Tiffin</t>
  </si>
  <si>
    <t>North Tama High School</t>
  </si>
  <si>
    <t>Traer</t>
  </si>
  <si>
    <t>Treynor High School</t>
  </si>
  <si>
    <t>Treynor</t>
  </si>
  <si>
    <t>Tripoli Middle/Sr High School</t>
  </si>
  <si>
    <t>Tripoli</t>
  </si>
  <si>
    <t>North-Linn Senior High School</t>
  </si>
  <si>
    <t>Troy Mills</t>
  </si>
  <si>
    <t>Interstate 35 Secondary School</t>
  </si>
  <si>
    <t>Truro</t>
  </si>
  <si>
    <t>Underwood High School</t>
  </si>
  <si>
    <t>Underwood</t>
  </si>
  <si>
    <t>Urbandale High School</t>
  </si>
  <si>
    <t>Urbandale</t>
  </si>
  <si>
    <t>Benton Community Senior High School</t>
  </si>
  <si>
    <t>Van Horne</t>
  </si>
  <si>
    <t>Van Meter High School School</t>
  </si>
  <si>
    <t>Van Meter</t>
  </si>
  <si>
    <t>H-L-V Junior-Senior High School</t>
  </si>
  <si>
    <t>Vinton-Shellsburg High School</t>
  </si>
  <si>
    <t>Vinton</t>
  </si>
  <si>
    <t>Wapello Senior High School</t>
  </si>
  <si>
    <t>Wapello</t>
  </si>
  <si>
    <t>Waukee Senior High School</t>
  </si>
  <si>
    <t>Waukon High School</t>
  </si>
  <si>
    <t>Waukon</t>
  </si>
  <si>
    <t>Waverly-Shell Rock Senior High School</t>
  </si>
  <si>
    <t>Waco High School</t>
  </si>
  <si>
    <t>Wayland</t>
  </si>
  <si>
    <t>Webster City High School</t>
  </si>
  <si>
    <t>Webster City</t>
  </si>
  <si>
    <t>Mid-Prairie High School</t>
  </si>
  <si>
    <t>Wellman</t>
  </si>
  <si>
    <t>West Bend-Mallard High School</t>
  </si>
  <si>
    <t>West Bend</t>
  </si>
  <si>
    <t>West Branch High School</t>
  </si>
  <si>
    <t>West Branch</t>
  </si>
  <si>
    <t>West Burlington High School</t>
  </si>
  <si>
    <t>West Burlington</t>
  </si>
  <si>
    <t>West Des Moines</t>
  </si>
  <si>
    <t>West Liberty High School</t>
  </si>
  <si>
    <t>West Liberty</t>
  </si>
  <si>
    <t>North Fayette Valley High School</t>
  </si>
  <si>
    <t>West Union</t>
  </si>
  <si>
    <t>Westside Junior-Senior High School</t>
  </si>
  <si>
    <t>Westside</t>
  </si>
  <si>
    <t>Calamus-Wheatland Sec Attendance Center</t>
  </si>
  <si>
    <t>Whiting Senior High School</t>
  </si>
  <si>
    <t>Williamsburg Jr-Sr High School</t>
  </si>
  <si>
    <t>Wilton Jr-Sr High School</t>
  </si>
  <si>
    <t>Winfield-Mt Union Jr-Sr High School</t>
  </si>
  <si>
    <t>Winterset Senior High School</t>
  </si>
  <si>
    <t>Winterset</t>
  </si>
  <si>
    <t>East Buchanan High School</t>
  </si>
  <si>
    <t>Winthrop</t>
  </si>
  <si>
    <t>Woodbine High School</t>
  </si>
  <si>
    <t>Woodbine</t>
  </si>
  <si>
    <t>Woodward-Granger High School</t>
  </si>
  <si>
    <t>Woodward</t>
  </si>
  <si>
    <t>Midland Middle/High School</t>
  </si>
  <si>
    <t>Abilene High School</t>
  </si>
  <si>
    <t>Abilene</t>
  </si>
  <si>
    <t>Northern Heights</t>
  </si>
  <si>
    <t>Wabaunsee Sr High School</t>
  </si>
  <si>
    <t>Northern Valley High School</t>
  </si>
  <si>
    <t>Almena</t>
  </si>
  <si>
    <t>Labette County High School</t>
  </si>
  <si>
    <t>Andale High School</t>
  </si>
  <si>
    <t>Andover Central High School</t>
  </si>
  <si>
    <t>Andover High School</t>
  </si>
  <si>
    <t>Chaparral Jr/Sr High School</t>
  </si>
  <si>
    <t>Anthony</t>
  </si>
  <si>
    <t>Argonia High School</t>
  </si>
  <si>
    <t>Argonia</t>
  </si>
  <si>
    <t>Arkansas City High School</t>
  </si>
  <si>
    <t>Arkansas City</t>
  </si>
  <si>
    <t>North East High School</t>
  </si>
  <si>
    <t>Arma</t>
  </si>
  <si>
    <t>Ashland High School</t>
  </si>
  <si>
    <t>Atchison High School  School</t>
  </si>
  <si>
    <t>Rawlins County Jr/Sr High School</t>
  </si>
  <si>
    <t>Atwood</t>
  </si>
  <si>
    <t>Augusta Sr High School</t>
  </si>
  <si>
    <t>Axtell High School</t>
  </si>
  <si>
    <t>Axtell</t>
  </si>
  <si>
    <t>Baldwin City</t>
  </si>
  <si>
    <t>Basehor-Linwood High School</t>
  </si>
  <si>
    <t>Basehor</t>
  </si>
  <si>
    <t>Baxter Springs High School</t>
  </si>
  <si>
    <t>Baxter Springs</t>
  </si>
  <si>
    <t>Northeast Magnet High School</t>
  </si>
  <si>
    <t>Belle Plaine High School</t>
  </si>
  <si>
    <t>Republic County Jr./Sr. High School</t>
  </si>
  <si>
    <t>Beloit Jr-Sr High School</t>
  </si>
  <si>
    <t>Bennington Junior High School/High School</t>
  </si>
  <si>
    <t>Cheylin Jr/Sr High School</t>
  </si>
  <si>
    <t>Bird City</t>
  </si>
  <si>
    <t>Valley Heights Jr/Sr High School</t>
  </si>
  <si>
    <t>Blue Rapids</t>
  </si>
  <si>
    <t>Bonner Springs High School</t>
  </si>
  <si>
    <t>Bonner Springs</t>
  </si>
  <si>
    <t>Brewster High School</t>
  </si>
  <si>
    <t>Ell-Saline Middle/High School</t>
  </si>
  <si>
    <t>Bucklin High School</t>
  </si>
  <si>
    <t>Bucklin</t>
  </si>
  <si>
    <t>Altoona-Midway Middle/High School</t>
  </si>
  <si>
    <t>Buhler High School</t>
  </si>
  <si>
    <t>Buhler</t>
  </si>
  <si>
    <t>Central Jr-Sr High School</t>
  </si>
  <si>
    <t>Burden</t>
  </si>
  <si>
    <t>Burlingame Junior/Senior High School</t>
  </si>
  <si>
    <t>Burrton Ms/High School</t>
  </si>
  <si>
    <t>Burrton</t>
  </si>
  <si>
    <t>Caldwell Secondary School</t>
  </si>
  <si>
    <t>Caney Valley Charter Academy</t>
  </si>
  <si>
    <t>Caney</t>
  </si>
  <si>
    <t>Caney Valley High School</t>
  </si>
  <si>
    <t>Canton-Galva Jr./Sr. High School</t>
  </si>
  <si>
    <t>Santa Fe Trail High School</t>
  </si>
  <si>
    <t>Cedar Vale High School</t>
  </si>
  <si>
    <t>Cedar Vale</t>
  </si>
  <si>
    <t>Chanute High School</t>
  </si>
  <si>
    <t>Chanute</t>
  </si>
  <si>
    <t>Chapman High School</t>
  </si>
  <si>
    <t>Chapman</t>
  </si>
  <si>
    <t>Chase High School</t>
  </si>
  <si>
    <t>Chase</t>
  </si>
  <si>
    <t>Cheney High School</t>
  </si>
  <si>
    <t>Cheney</t>
  </si>
  <si>
    <t>Cherryvale Sr / Middle School</t>
  </si>
  <si>
    <t>Cherryvale</t>
  </si>
  <si>
    <t>Chetopa High School</t>
  </si>
  <si>
    <t>Chetopa</t>
  </si>
  <si>
    <t>Cimarron High School</t>
  </si>
  <si>
    <t>Cimarron</t>
  </si>
  <si>
    <t>Central Plains High School - Claflin</t>
  </si>
  <si>
    <t>Claflin</t>
  </si>
  <si>
    <t>Clay Center Community High School</t>
  </si>
  <si>
    <t>Clay Center</t>
  </si>
  <si>
    <t>Clifton-Clyde Sr High School</t>
  </si>
  <si>
    <t>Clyde</t>
  </si>
  <si>
    <t>Field Kindley High School</t>
  </si>
  <si>
    <t>Coffeyville</t>
  </si>
  <si>
    <t>Colby Senior High School</t>
  </si>
  <si>
    <t>Colby</t>
  </si>
  <si>
    <t>Coldwater</t>
  </si>
  <si>
    <t>Crest High School</t>
  </si>
  <si>
    <t>Colony</t>
  </si>
  <si>
    <t>Concordia Jr-Sr High School</t>
  </si>
  <si>
    <t>Concordia</t>
  </si>
  <si>
    <t>Conway Springs High School</t>
  </si>
  <si>
    <t>Conway Springs</t>
  </si>
  <si>
    <t>Chase County Junior Senior High School</t>
  </si>
  <si>
    <t>Cottonwood Falls</t>
  </si>
  <si>
    <t>Council Grove Junior Senior High School</t>
  </si>
  <si>
    <t>Council Grove</t>
  </si>
  <si>
    <t>Cunningham High School</t>
  </si>
  <si>
    <t>Cunningham</t>
  </si>
  <si>
    <t>De Soto  High School  School</t>
  </si>
  <si>
    <t>De Soto</t>
  </si>
  <si>
    <t>Dexter High School</t>
  </si>
  <si>
    <t>Dighton High School</t>
  </si>
  <si>
    <t>Dighton</t>
  </si>
  <si>
    <t>Dodge City High School</t>
  </si>
  <si>
    <t>Douglass</t>
  </si>
  <si>
    <t>Lakeside Junior/Senior High School</t>
  </si>
  <si>
    <t>Pleasant Ridge High School</t>
  </si>
  <si>
    <t>Atchison County Community Jr/Sr High School</t>
  </si>
  <si>
    <t>Elkhart High School</t>
  </si>
  <si>
    <t>Ellinwood High School</t>
  </si>
  <si>
    <t>Ellinwood</t>
  </si>
  <si>
    <t>Ellis Jr/Sr High School</t>
  </si>
  <si>
    <t>Ellis</t>
  </si>
  <si>
    <t>Ellsworth High School</t>
  </si>
  <si>
    <t>Emporia High School</t>
  </si>
  <si>
    <t>Mission Valley Junior And Senior High School</t>
  </si>
  <si>
    <t>Eskridge</t>
  </si>
  <si>
    <t>Eudora High School  School</t>
  </si>
  <si>
    <t>Eudora</t>
  </si>
  <si>
    <t>Eureka Jr/Sr High School</t>
  </si>
  <si>
    <t>Fort Scott Sr High School</t>
  </si>
  <si>
    <t>Fort Scott</t>
  </si>
  <si>
    <t>Fredonia Jr./Sr. High School</t>
  </si>
  <si>
    <t>Frontenac Sr. High School</t>
  </si>
  <si>
    <t>Frontenac</t>
  </si>
  <si>
    <t>Garden City High School</t>
  </si>
  <si>
    <t>Garden City</t>
  </si>
  <si>
    <t>Garden Plain High School</t>
  </si>
  <si>
    <t>Garden Plain</t>
  </si>
  <si>
    <t>Gardner Edgerton High School</t>
  </si>
  <si>
    <t>Anderson County Jr/Sr High School</t>
  </si>
  <si>
    <t>Garnett</t>
  </si>
  <si>
    <t>Girard High School</t>
  </si>
  <si>
    <t>Girard</t>
  </si>
  <si>
    <t>Glasco High School</t>
  </si>
  <si>
    <t>Glasco</t>
  </si>
  <si>
    <t>Goddard</t>
  </si>
  <si>
    <t>Goddard High School</t>
  </si>
  <si>
    <t>Goessel High School</t>
  </si>
  <si>
    <t>Goessel</t>
  </si>
  <si>
    <t>Goodland Jr-Sr. High School</t>
  </si>
  <si>
    <t>Goodland</t>
  </si>
  <si>
    <t>Wheatland High School</t>
  </si>
  <si>
    <t>Grainfield</t>
  </si>
  <si>
    <t>Great Bend High School</t>
  </si>
  <si>
    <t>Great Bend</t>
  </si>
  <si>
    <t>Kiowa County High School</t>
  </si>
  <si>
    <t>Southeast Saline High School</t>
  </si>
  <si>
    <t>Halstead High School</t>
  </si>
  <si>
    <t>Halstead</t>
  </si>
  <si>
    <t>Hanover High School</t>
  </si>
  <si>
    <t>Hartford Jr./Sr. High School</t>
  </si>
  <si>
    <t>Haven High School</t>
  </si>
  <si>
    <t>Hays High School</t>
  </si>
  <si>
    <t>Healy High School</t>
  </si>
  <si>
    <t>Healy</t>
  </si>
  <si>
    <t>Herington High School</t>
  </si>
  <si>
    <t>Herington</t>
  </si>
  <si>
    <t>Hesston High School</t>
  </si>
  <si>
    <t>Hiawatha Sr High School</t>
  </si>
  <si>
    <t>Hiawatha</t>
  </si>
  <si>
    <t>Doniphan West Jr/Sr High School</t>
  </si>
  <si>
    <t>Hill City Junior-Senior High School</t>
  </si>
  <si>
    <t>Hill City</t>
  </si>
  <si>
    <t>Hillsboro Middle/High School</t>
  </si>
  <si>
    <t>Hoisington High School</t>
  </si>
  <si>
    <t>Hoisington</t>
  </si>
  <si>
    <t>Holcomb High School</t>
  </si>
  <si>
    <t>Holcomb</t>
  </si>
  <si>
    <t>Holton High School</t>
  </si>
  <si>
    <t>Holton</t>
  </si>
  <si>
    <t>Jackson Heights High School And Middle School</t>
  </si>
  <si>
    <t>Horton High School</t>
  </si>
  <si>
    <t>Horton</t>
  </si>
  <si>
    <t>Royal Valley High School</t>
  </si>
  <si>
    <t>Hoyt</t>
  </si>
  <si>
    <t>Hugoton High School</t>
  </si>
  <si>
    <t>Hugoton</t>
  </si>
  <si>
    <t>Hugoton Learning Academy</t>
  </si>
  <si>
    <t>Hutchinson High School</t>
  </si>
  <si>
    <t>Ingalls High School/Junior High School</t>
  </si>
  <si>
    <t>Ingalls</t>
  </si>
  <si>
    <t>Inman Jr/Sr High School</t>
  </si>
  <si>
    <t>Inman</t>
  </si>
  <si>
    <t>Iola Sr High School</t>
  </si>
  <si>
    <t>Iola</t>
  </si>
  <si>
    <t>Hodgeman County High School</t>
  </si>
  <si>
    <t>Jetmore</t>
  </si>
  <si>
    <t>Stanton County Jr./Sr. High School</t>
  </si>
  <si>
    <t>Johnson</t>
  </si>
  <si>
    <t>Junction City Sr High School</t>
  </si>
  <si>
    <t>F L Schlagle High School</t>
  </si>
  <si>
    <t>Fairfax Learning Center</t>
  </si>
  <si>
    <t>Gateway To College</t>
  </si>
  <si>
    <t>J C Harmon High School</t>
  </si>
  <si>
    <t>Sumner Academy Of Arts &amp; Science</t>
  </si>
  <si>
    <t>Turner High School</t>
  </si>
  <si>
    <t>Wyandotte High School</t>
  </si>
  <si>
    <t>Kinsley Jr/Sr High School</t>
  </si>
  <si>
    <t>Kinsley</t>
  </si>
  <si>
    <t>South Barber 7-12</t>
  </si>
  <si>
    <t>Southwestern Heights Jr/Sr High School</t>
  </si>
  <si>
    <t>Kismet</t>
  </si>
  <si>
    <t>La Crosse High School</t>
  </si>
  <si>
    <t>Lacygne</t>
  </si>
  <si>
    <t>Lakin High School</t>
  </si>
  <si>
    <t>Lakin</t>
  </si>
  <si>
    <t>Lansing High School 9-12</t>
  </si>
  <si>
    <t>Larned Sr High School</t>
  </si>
  <si>
    <t>Larned</t>
  </si>
  <si>
    <t>Lawrence Free State High School</t>
  </si>
  <si>
    <t>Lawrence High School</t>
  </si>
  <si>
    <t>Leavenworth Sr High School</t>
  </si>
  <si>
    <t>Leavenworth</t>
  </si>
  <si>
    <t>Lebo High School</t>
  </si>
  <si>
    <t>Lebo</t>
  </si>
  <si>
    <t>Bluestem Jr/Sr High School</t>
  </si>
  <si>
    <t>Wichita County Junior-Senior High School</t>
  </si>
  <si>
    <t>Leoti</t>
  </si>
  <si>
    <t>Southern Coffey County High School</t>
  </si>
  <si>
    <t>Leroy</t>
  </si>
  <si>
    <t>Liberal Sr High School</t>
  </si>
  <si>
    <t>Liberal</t>
  </si>
  <si>
    <t>Lincoln Jr/Sr High School</t>
  </si>
  <si>
    <t>Smoky Valley High School</t>
  </si>
  <si>
    <t>Lindsborg</t>
  </si>
  <si>
    <t>Linn High School</t>
  </si>
  <si>
    <t>Linn</t>
  </si>
  <si>
    <t>Little River High School</t>
  </si>
  <si>
    <t>Little River</t>
  </si>
  <si>
    <t>Logan High School</t>
  </si>
  <si>
    <t>Elk Valley High School</t>
  </si>
  <si>
    <t>Longton</t>
  </si>
  <si>
    <t>Louisburg High School</t>
  </si>
  <si>
    <t>Louisburg</t>
  </si>
  <si>
    <t>Lyndon High School</t>
  </si>
  <si>
    <t>Lyons High School</t>
  </si>
  <si>
    <t>Macksville High School</t>
  </si>
  <si>
    <t>Macksville</t>
  </si>
  <si>
    <t>Maize Sr High School</t>
  </si>
  <si>
    <t>Maize</t>
  </si>
  <si>
    <t>Manhattan High School West/East Campus</t>
  </si>
  <si>
    <t>Manhattan</t>
  </si>
  <si>
    <t>Rock Hills Jr/Sr High School</t>
  </si>
  <si>
    <t>Mankato</t>
  </si>
  <si>
    <t>Marysville Jr/Sr High School</t>
  </si>
  <si>
    <t>Mclouth High School</t>
  </si>
  <si>
    <t>Mclouth</t>
  </si>
  <si>
    <t>Mcpherson High School</t>
  </si>
  <si>
    <t>Mcpherson</t>
  </si>
  <si>
    <t>Meade High School</t>
  </si>
  <si>
    <t>Meade</t>
  </si>
  <si>
    <t>Medicine Lodge Jr/Sr High School</t>
  </si>
  <si>
    <t>Medicine Lodge</t>
  </si>
  <si>
    <t>Marais Des Cygnes Valley High School</t>
  </si>
  <si>
    <t>Melvern</t>
  </si>
  <si>
    <t>Jefferson West High School</t>
  </si>
  <si>
    <t>Miltonvale High School</t>
  </si>
  <si>
    <t>Miltonvale</t>
  </si>
  <si>
    <t>Minneapolis High School</t>
  </si>
  <si>
    <t>Minneola High School</t>
  </si>
  <si>
    <t>South Gray High School</t>
  </si>
  <si>
    <t>Marmaton Valley High School</t>
  </si>
  <si>
    <t>Moran</t>
  </si>
  <si>
    <t>Jayhawk-Linn High School</t>
  </si>
  <si>
    <t>Mound City</t>
  </si>
  <si>
    <t>Moundridge High School</t>
  </si>
  <si>
    <t>Moundridge</t>
  </si>
  <si>
    <t>Mulvane High School</t>
  </si>
  <si>
    <t>Mulvane</t>
  </si>
  <si>
    <t>Natoma High School (7-12)</t>
  </si>
  <si>
    <t>Natoma</t>
  </si>
  <si>
    <t>Neodesha High School</t>
  </si>
  <si>
    <t>Neodesha</t>
  </si>
  <si>
    <t>Ness City High School</t>
  </si>
  <si>
    <t>Ness City</t>
  </si>
  <si>
    <t>Newton Sr High School</t>
  </si>
  <si>
    <t>Opportunity Academy</t>
  </si>
  <si>
    <t>Nickerson High School</t>
  </si>
  <si>
    <t>Nickerson</t>
  </si>
  <si>
    <t>Norton High School</t>
  </si>
  <si>
    <t>Norton</t>
  </si>
  <si>
    <t>Norwich High School</t>
  </si>
  <si>
    <t>Oakley Sr High School</t>
  </si>
  <si>
    <t>Decatur Community Jr/Sr High School</t>
  </si>
  <si>
    <t>Oberlin</t>
  </si>
  <si>
    <t>Insight School Of Ks At Hilltop Ed Center</t>
  </si>
  <si>
    <t>Olathe East Sr High School</t>
  </si>
  <si>
    <t>Olathe North Sr High School</t>
  </si>
  <si>
    <t>Olathe Northwest High School</t>
  </si>
  <si>
    <t>Olathe South Sr High School</t>
  </si>
  <si>
    <t>Olathe West High School</t>
  </si>
  <si>
    <t>Olpe Jr./Sr. High School</t>
  </si>
  <si>
    <t>Olpe</t>
  </si>
  <si>
    <t>Onaga Senior High School</t>
  </si>
  <si>
    <t>Onaga</t>
  </si>
  <si>
    <t>Osage City High School</t>
  </si>
  <si>
    <t>Osage City</t>
  </si>
  <si>
    <t>Osawatomie High School</t>
  </si>
  <si>
    <t>Osawatomie</t>
  </si>
  <si>
    <t>Osborne Junior/Senior High School</t>
  </si>
  <si>
    <t>Osborne</t>
  </si>
  <si>
    <t>Oskaloosa Jr-Sr High School</t>
  </si>
  <si>
    <t>Oswego Junior-Senior High School</t>
  </si>
  <si>
    <t>Otis-Bison Junior/Senior High School</t>
  </si>
  <si>
    <t>Ottawa Sr High School</t>
  </si>
  <si>
    <t>Blue Valley North High School</t>
  </si>
  <si>
    <t>Blue Valley Northwest High School</t>
  </si>
  <si>
    <t>Blue Valley Southwest High School</t>
  </si>
  <si>
    <t>Blue Valley West High School</t>
  </si>
  <si>
    <t>Oxford Jr/Sr High School</t>
  </si>
  <si>
    <t>Palco High School</t>
  </si>
  <si>
    <t>Palco</t>
  </si>
  <si>
    <t>Paola High School</t>
  </si>
  <si>
    <t>Paola</t>
  </si>
  <si>
    <t>Parsons Sr High School</t>
  </si>
  <si>
    <t>Peabody-Burns Jr/Sr High School</t>
  </si>
  <si>
    <t>Perry Lecompton High School</t>
  </si>
  <si>
    <t>Phillipsburg High School</t>
  </si>
  <si>
    <t>Phillipsburg</t>
  </si>
  <si>
    <t>Pittsburg High School</t>
  </si>
  <si>
    <t>Pleasanton High School</t>
  </si>
  <si>
    <t>West Franklin High School</t>
  </si>
  <si>
    <t>Pratt Sr High School</t>
  </si>
  <si>
    <t>Pratt</t>
  </si>
  <si>
    <t>Pretty Prairie High School</t>
  </si>
  <si>
    <t>Pretty Prairie</t>
  </si>
  <si>
    <t>Quinter Jr-Sr High School</t>
  </si>
  <si>
    <t>Quinter</t>
  </si>
  <si>
    <t>Blue Valley High School</t>
  </si>
  <si>
    <t>Randolph</t>
  </si>
  <si>
    <t>Western Plains High School</t>
  </si>
  <si>
    <t>Ransom</t>
  </si>
  <si>
    <t>Golden Plains High School</t>
  </si>
  <si>
    <t>Rexford</t>
  </si>
  <si>
    <t>Central Heights High School</t>
  </si>
  <si>
    <t>Riley County High School</t>
  </si>
  <si>
    <t>Riley</t>
  </si>
  <si>
    <t>Rolla Jh/High School (6-12)</t>
  </si>
  <si>
    <t>Rolla</t>
  </si>
  <si>
    <t>Flinthills High School</t>
  </si>
  <si>
    <t>Rosalia</t>
  </si>
  <si>
    <t>Rose Hill High School</t>
  </si>
  <si>
    <t>Rose Hill</t>
  </si>
  <si>
    <t>Rossville Jr.-Sr. High School</t>
  </si>
  <si>
    <t>Russell High School</t>
  </si>
  <si>
    <t>Russell</t>
  </si>
  <si>
    <t>Sabetha High School</t>
  </si>
  <si>
    <t>Sabetha</t>
  </si>
  <si>
    <t>Salina High School Central</t>
  </si>
  <si>
    <t>Salina High School South</t>
  </si>
  <si>
    <t>Satanta Jr-Sr High School</t>
  </si>
  <si>
    <t>Satanta</t>
  </si>
  <si>
    <t>Pike Valley High School</t>
  </si>
  <si>
    <t>Scandia</t>
  </si>
  <si>
    <t>Scott City High School</t>
  </si>
  <si>
    <t>Scott City</t>
  </si>
  <si>
    <t>Sedan High School</t>
  </si>
  <si>
    <t>Sedan</t>
  </si>
  <si>
    <t>Sedgwick High School</t>
  </si>
  <si>
    <t>Sedgwick</t>
  </si>
  <si>
    <t>Nemaha Central High School</t>
  </si>
  <si>
    <t>Wallace County High School</t>
  </si>
  <si>
    <t>Sharon Springs</t>
  </si>
  <si>
    <t>Mill Valley High School</t>
  </si>
  <si>
    <t>Shawnee Mission East High School</t>
  </si>
  <si>
    <t>Shawnee Mission</t>
  </si>
  <si>
    <t>Shawnee Mission North High School</t>
  </si>
  <si>
    <t>Shawnee Mission Northwest High School</t>
  </si>
  <si>
    <t>Shawnee Mission South High School</t>
  </si>
  <si>
    <t>Shawnee Mission West High School</t>
  </si>
  <si>
    <t>Silver Lake Jr-Sr High School</t>
  </si>
  <si>
    <t>Silver Lake</t>
  </si>
  <si>
    <t>Smith Center Jr Sr High School</t>
  </si>
  <si>
    <t>Smith Center</t>
  </si>
  <si>
    <t>Solomon High School</t>
  </si>
  <si>
    <t>Solomon</t>
  </si>
  <si>
    <t>South Haven High School</t>
  </si>
  <si>
    <t>South Haven</t>
  </si>
  <si>
    <t>Spearville Jr/Sr High School</t>
  </si>
  <si>
    <t>Spearville</t>
  </si>
  <si>
    <t>St Francis</t>
  </si>
  <si>
    <t>Rock Creek Jr/Sr High School</t>
  </si>
  <si>
    <t>St. Marys Junior Senior High School</t>
  </si>
  <si>
    <t>St Marys</t>
  </si>
  <si>
    <t>St. Paul</t>
  </si>
  <si>
    <t>Stafford Middle School/High School</t>
  </si>
  <si>
    <t>Sterling Junior High School/Senior High School</t>
  </si>
  <si>
    <t>Stilwell</t>
  </si>
  <si>
    <t>Sublette High School</t>
  </si>
  <si>
    <t>Sublette</t>
  </si>
  <si>
    <t>Sylvan-Lucas Unified Jr. Sr</t>
  </si>
  <si>
    <t>Sylvan Grove</t>
  </si>
  <si>
    <t>Syracuse High School</t>
  </si>
  <si>
    <t>Shawnee Heights High School</t>
  </si>
  <si>
    <t>Tecumseh</t>
  </si>
  <si>
    <t>Tescott Junior High School/High School</t>
  </si>
  <si>
    <t>Tescott</t>
  </si>
  <si>
    <t>Tonganoxie High School</t>
  </si>
  <si>
    <t>Tonganoxie</t>
  </si>
  <si>
    <t>Avondale West</t>
  </si>
  <si>
    <t>Capital City</t>
  </si>
  <si>
    <t>Hope Street Charter Academy</t>
  </si>
  <si>
    <t>Lawrence Gardner High School</t>
  </si>
  <si>
    <t>Seaman High School</t>
  </si>
  <si>
    <t>Topeka High School</t>
  </si>
  <si>
    <t>Topeka West High School</t>
  </si>
  <si>
    <t>Washburn Rural High School</t>
  </si>
  <si>
    <t>Circle High School</t>
  </si>
  <si>
    <t>Towanda</t>
  </si>
  <si>
    <t>Greeley County Jr./Sr. High School</t>
  </si>
  <si>
    <t>Tribune</t>
  </si>
  <si>
    <t>Troy High School And Middle School</t>
  </si>
  <si>
    <t>Udall High School</t>
  </si>
  <si>
    <t>Udall</t>
  </si>
  <si>
    <t>Ulysses High School</t>
  </si>
  <si>
    <t>Ulysses</t>
  </si>
  <si>
    <t>Uniontown High School</t>
  </si>
  <si>
    <t>Uniontown</t>
  </si>
  <si>
    <t>The Learning Center</t>
  </si>
  <si>
    <t>Valley Falls High School</t>
  </si>
  <si>
    <t>Valley Falls</t>
  </si>
  <si>
    <t>Victoria Junior-Senior High School</t>
  </si>
  <si>
    <t>Trego Community High School</t>
  </si>
  <si>
    <t>Wakeeney</t>
  </si>
  <si>
    <t>Wakefield High School</t>
  </si>
  <si>
    <t>Wamego High School</t>
  </si>
  <si>
    <t>Wamego</t>
  </si>
  <si>
    <t>Wathena</t>
  </si>
  <si>
    <t>Waverly High School</t>
  </si>
  <si>
    <t>Wellsville High School</t>
  </si>
  <si>
    <t>Wellsville</t>
  </si>
  <si>
    <t>Weskan High School</t>
  </si>
  <si>
    <t>Weskan</t>
  </si>
  <si>
    <t>Wetmore High School</t>
  </si>
  <si>
    <t>Wetmore</t>
  </si>
  <si>
    <t>White City High School</t>
  </si>
  <si>
    <t>White City</t>
  </si>
  <si>
    <t>Frederic Remington High School</t>
  </si>
  <si>
    <t>Whitewater</t>
  </si>
  <si>
    <t>Campus High School Haysville</t>
  </si>
  <si>
    <t>Chisholm Life Skills Center</t>
  </si>
  <si>
    <t>Heights High School</t>
  </si>
  <si>
    <t>Maize South High School</t>
  </si>
  <si>
    <t>Northwest High School</t>
  </si>
  <si>
    <t>Sowers Alternative High School</t>
  </si>
  <si>
    <t>Wichita Alternative High School</t>
  </si>
  <si>
    <t>Wichita Learning Center</t>
  </si>
  <si>
    <t>Wilson Junior/Senior High School</t>
  </si>
  <si>
    <t>Jefferson Co North High School</t>
  </si>
  <si>
    <t>Winona High School</t>
  </si>
  <si>
    <t>Yates Center High School</t>
  </si>
  <si>
    <t>Yates Center</t>
  </si>
  <si>
    <t>Clinton County High School</t>
  </si>
  <si>
    <t>Campbell County High School</t>
  </si>
  <si>
    <t>Boyd County High School</t>
  </si>
  <si>
    <t>Paul G. Blazer High School</t>
  </si>
  <si>
    <t>Knox Central High School</t>
  </si>
  <si>
    <t>Barbourville</t>
  </si>
  <si>
    <t>Bardstown High School</t>
  </si>
  <si>
    <t>Bardstown</t>
  </si>
  <si>
    <t>Nelson County High School</t>
  </si>
  <si>
    <t>Thomas Nelson High School</t>
  </si>
  <si>
    <t>Carlisle County High School</t>
  </si>
  <si>
    <t>Bardwell</t>
  </si>
  <si>
    <t>Ballard Memorial High School</t>
  </si>
  <si>
    <t>Barlow</t>
  </si>
  <si>
    <t>Harlan County High School</t>
  </si>
  <si>
    <t>Lee County Middle High School</t>
  </si>
  <si>
    <t>Beattyville</t>
  </si>
  <si>
    <t>Trimble County Jr/Sr High School</t>
  </si>
  <si>
    <t>Belfry High School</t>
  </si>
  <si>
    <t>Belfry</t>
  </si>
  <si>
    <t>Marshall County High School</t>
  </si>
  <si>
    <t>Berea Community High School</t>
  </si>
  <si>
    <t>Berea</t>
  </si>
  <si>
    <t>Madison Southern High School</t>
  </si>
  <si>
    <t>Betsy Layne High School</t>
  </si>
  <si>
    <t>Betsy Layne</t>
  </si>
  <si>
    <t>Owsley County High School</t>
  </si>
  <si>
    <t>Bowling Green High School</t>
  </si>
  <si>
    <t>Bowling Green</t>
  </si>
  <si>
    <t>South Warren High School</t>
  </si>
  <si>
    <t>Warren East High School</t>
  </si>
  <si>
    <t>Meade County High School</t>
  </si>
  <si>
    <t>Brandenburg</t>
  </si>
  <si>
    <t>Bracken County High School</t>
  </si>
  <si>
    <t>Edmonson County High School</t>
  </si>
  <si>
    <t>Oldham County High School</t>
  </si>
  <si>
    <t>Buckner</t>
  </si>
  <si>
    <t>Cumberland County High School</t>
  </si>
  <si>
    <t>Burkesville</t>
  </si>
  <si>
    <t>Trigg County High School</t>
  </si>
  <si>
    <t>Cadiz</t>
  </si>
  <si>
    <t>Mclean County High School</t>
  </si>
  <si>
    <t>Campbellsville High School</t>
  </si>
  <si>
    <t>Campbellsville</t>
  </si>
  <si>
    <t>Wolfe County High School</t>
  </si>
  <si>
    <t>Campton</t>
  </si>
  <si>
    <t>Nicholas County High School</t>
  </si>
  <si>
    <t>Carroll County High School</t>
  </si>
  <si>
    <t>Central Hardin High School</t>
  </si>
  <si>
    <t>Cecilia</t>
  </si>
  <si>
    <t>Hickman County High School</t>
  </si>
  <si>
    <t>Frederick Fraize High School</t>
  </si>
  <si>
    <t>Cloverport</t>
  </si>
  <si>
    <t>Adair County High School</t>
  </si>
  <si>
    <t>Corbin High School</t>
  </si>
  <si>
    <t>Corbin</t>
  </si>
  <si>
    <t>High School Homebound</t>
  </si>
  <si>
    <t>Holmes High School</t>
  </si>
  <si>
    <t>South Oldham High School</t>
  </si>
  <si>
    <t>Crestwood</t>
  </si>
  <si>
    <t>Harrison County High School</t>
  </si>
  <si>
    <t>Cynthiana</t>
  </si>
  <si>
    <t>Boyle County High School</t>
  </si>
  <si>
    <t>Dawson Springs Jr/Sr High School</t>
  </si>
  <si>
    <t>Dawson Springs</t>
  </si>
  <si>
    <t>Dayton High School</t>
  </si>
  <si>
    <t>Grant County High School</t>
  </si>
  <si>
    <t>Dry Ridge</t>
  </si>
  <si>
    <t>Eastern</t>
  </si>
  <si>
    <t>Lyon County High School</t>
  </si>
  <si>
    <t>Metcalfe County High School</t>
  </si>
  <si>
    <t>Edmonton</t>
  </si>
  <si>
    <t>Elizabethtown High School</t>
  </si>
  <si>
    <t>John Hardin High School</t>
  </si>
  <si>
    <t>Todd County Central High School</t>
  </si>
  <si>
    <t>Elkton</t>
  </si>
  <si>
    <t>Eminence High School</t>
  </si>
  <si>
    <t>Lloyd High School</t>
  </si>
  <si>
    <t>Fairdale High School</t>
  </si>
  <si>
    <t>Fairdale</t>
  </si>
  <si>
    <t>Pendleton County High School</t>
  </si>
  <si>
    <t>Fleming County High School</t>
  </si>
  <si>
    <t>Flemingsburg</t>
  </si>
  <si>
    <t>Boone County High School</t>
  </si>
  <si>
    <t>Beechwood High School</t>
  </si>
  <si>
    <t>Fort Mitchell</t>
  </si>
  <si>
    <t>Dixie Heights High School</t>
  </si>
  <si>
    <t>Western Hills High School</t>
  </si>
  <si>
    <t>Franklin-Simpson High School</t>
  </si>
  <si>
    <t>Menifee County High School</t>
  </si>
  <si>
    <t>Frenchburg</t>
  </si>
  <si>
    <t>Scott County High School</t>
  </si>
  <si>
    <t>Barren County High School</t>
  </si>
  <si>
    <t>Glasgow</t>
  </si>
  <si>
    <t>North Oldham High School</t>
  </si>
  <si>
    <t>East Carter County High School</t>
  </si>
  <si>
    <t>Grayson</t>
  </si>
  <si>
    <t>Green County High School</t>
  </si>
  <si>
    <t>Greenup County High School</t>
  </si>
  <si>
    <t>Greenup</t>
  </si>
  <si>
    <t>Muhlenberg County High School</t>
  </si>
  <si>
    <t>Breckinridge County High School</t>
  </si>
  <si>
    <t>Harned</t>
  </si>
  <si>
    <t>Mercer County Senior High School</t>
  </si>
  <si>
    <t>Harrodsburg</t>
  </si>
  <si>
    <t>Ohio County High School</t>
  </si>
  <si>
    <t>Hazard High School</t>
  </si>
  <si>
    <t>Hazard</t>
  </si>
  <si>
    <t>Perry County Central High School</t>
  </si>
  <si>
    <t>Conner High School</t>
  </si>
  <si>
    <t>Henderson County High School</t>
  </si>
  <si>
    <t>Fulton County High School</t>
  </si>
  <si>
    <t>Hickman</t>
  </si>
  <si>
    <t>Knott County Central High School</t>
  </si>
  <si>
    <t>Hindman</t>
  </si>
  <si>
    <t>Larue County High School</t>
  </si>
  <si>
    <t>Hodgenville</t>
  </si>
  <si>
    <t>Christian County High School</t>
  </si>
  <si>
    <t>Hopkinsville</t>
  </si>
  <si>
    <t>Hopkinsville High School</t>
  </si>
  <si>
    <t>Caverna High School</t>
  </si>
  <si>
    <t>Horse Cave</t>
  </si>
  <si>
    <t>Leslie County High School</t>
  </si>
  <si>
    <t>Hyden</t>
  </si>
  <si>
    <t>Simon Kenton High School</t>
  </si>
  <si>
    <t>Sheldon Clark High School</t>
  </si>
  <si>
    <t>Inez</t>
  </si>
  <si>
    <t>Estill County High School</t>
  </si>
  <si>
    <t>Breathitt County High School</t>
  </si>
  <si>
    <t>Garrard County High School</t>
  </si>
  <si>
    <t>Anderson County High School</t>
  </si>
  <si>
    <t>Grayson County High School</t>
  </si>
  <si>
    <t>Leitchfield</t>
  </si>
  <si>
    <t>Hancock County High School</t>
  </si>
  <si>
    <t>Lewisport</t>
  </si>
  <si>
    <t>Bryan Station High School</t>
  </si>
  <si>
    <t>Frederick Douglass High School</t>
  </si>
  <si>
    <t>Henry Clay High School</t>
  </si>
  <si>
    <t>Paul Laurence Dunbar High School</t>
  </si>
  <si>
    <t>Ridge Hospital Alt. High School</t>
  </si>
  <si>
    <t>Tates Creek High School</t>
  </si>
  <si>
    <t>Casey County High School</t>
  </si>
  <si>
    <t>Lick Creek</t>
  </si>
  <si>
    <t>North Laurel High School</t>
  </si>
  <si>
    <t>South Laurel High School</t>
  </si>
  <si>
    <t>Louisa</t>
  </si>
  <si>
    <t>Atherton High School</t>
  </si>
  <si>
    <t>Butler Traditional High School</t>
  </si>
  <si>
    <t>Central High School Magnet Career Academy</t>
  </si>
  <si>
    <t>Doss High School</t>
  </si>
  <si>
    <t>Dupont Manual High School</t>
  </si>
  <si>
    <t>Fern Creek High School</t>
  </si>
  <si>
    <t>Home/Hospital</t>
  </si>
  <si>
    <t>Iroquois High School</t>
  </si>
  <si>
    <t>Jeffersontown High School</t>
  </si>
  <si>
    <t>Louisville Male High School</t>
  </si>
  <si>
    <t>Marion C. Moore School</t>
  </si>
  <si>
    <t>Pleasure Ridge Park High School</t>
  </si>
  <si>
    <t>Southern High School</t>
  </si>
  <si>
    <t>The Academy @ Shawnee</t>
  </si>
  <si>
    <t>Waggener High School</t>
  </si>
  <si>
    <t>Ludlow High School</t>
  </si>
  <si>
    <t>Ludlow</t>
  </si>
  <si>
    <t>Hopkins County Central High School</t>
  </si>
  <si>
    <t>Madisonville</t>
  </si>
  <si>
    <t>Madisonville North Hopkins High School</t>
  </si>
  <si>
    <t>Clay County High School</t>
  </si>
  <si>
    <t>Crittenden County High School</t>
  </si>
  <si>
    <t>Graves County High School</t>
  </si>
  <si>
    <t>Mayfield</t>
  </si>
  <si>
    <t>Mayfield High School</t>
  </si>
  <si>
    <t>Mason County High School</t>
  </si>
  <si>
    <t>Jackson County High School</t>
  </si>
  <si>
    <t>Mckee</t>
  </si>
  <si>
    <t>Middlesboro High School</t>
  </si>
  <si>
    <t>Middlesboro</t>
  </si>
  <si>
    <t>Rowan County Senior High School</t>
  </si>
  <si>
    <t>Morehead</t>
  </si>
  <si>
    <t>Morganfield</t>
  </si>
  <si>
    <t>Butler County High School</t>
  </si>
  <si>
    <t>Rockcastle County High School</t>
  </si>
  <si>
    <t>Bullitt East High School</t>
  </si>
  <si>
    <t>Mount Washington</t>
  </si>
  <si>
    <t>Mt Sterling</t>
  </si>
  <si>
    <t>Munfordville</t>
  </si>
  <si>
    <t>Calloway County High School</t>
  </si>
  <si>
    <t>Murray High School</t>
  </si>
  <si>
    <t>East Jessamine High School</t>
  </si>
  <si>
    <t>Nicholasville</t>
  </si>
  <si>
    <t>West Jessamine High School</t>
  </si>
  <si>
    <t>West Carter County High School</t>
  </si>
  <si>
    <t>Olive Hill</t>
  </si>
  <si>
    <t>Owensboro</t>
  </si>
  <si>
    <t>Daviess County High School</t>
  </si>
  <si>
    <t>Owensboro High School</t>
  </si>
  <si>
    <t>Owen County High School</t>
  </si>
  <si>
    <t>Owenton</t>
  </si>
  <si>
    <t>Bath County High School</t>
  </si>
  <si>
    <t>Owingsville</t>
  </si>
  <si>
    <t>Mccracken County High School</t>
  </si>
  <si>
    <t>Paducah</t>
  </si>
  <si>
    <t>Paducah Tilghman High School</t>
  </si>
  <si>
    <t>Johnson Central High School</t>
  </si>
  <si>
    <t>Paintsville</t>
  </si>
  <si>
    <t>Paintsville High School</t>
  </si>
  <si>
    <t>Bourbon County High School</t>
  </si>
  <si>
    <t>Phelps High School</t>
  </si>
  <si>
    <t>Phelps</t>
  </si>
  <si>
    <t>Pike County Central High School</t>
  </si>
  <si>
    <t>Pikeville</t>
  </si>
  <si>
    <t>Pikeville High School</t>
  </si>
  <si>
    <t>Shelby Valley High School</t>
  </si>
  <si>
    <t>Bell County High School</t>
  </si>
  <si>
    <t>Pineville</t>
  </si>
  <si>
    <t>Home Instruction H.S.</t>
  </si>
  <si>
    <t>Prestonsburg</t>
  </si>
  <si>
    <t>Prestonsburg High School</t>
  </si>
  <si>
    <t>Caldwell County High School</t>
  </si>
  <si>
    <t>Raceland-Worthington High School</t>
  </si>
  <si>
    <t>Raceland</t>
  </si>
  <si>
    <t>North Hardin High School</t>
  </si>
  <si>
    <t>Radcliff</t>
  </si>
  <si>
    <t>Madison Central High School</t>
  </si>
  <si>
    <t>Model Laboratory High School</t>
  </si>
  <si>
    <t>Russell Springs</t>
  </si>
  <si>
    <t>Logan County High School</t>
  </si>
  <si>
    <t>Russellville Junior/Senior High School</t>
  </si>
  <si>
    <t>Magoffin County High School</t>
  </si>
  <si>
    <t>Salyersville</t>
  </si>
  <si>
    <t>Elliott County High School</t>
  </si>
  <si>
    <t>Allen County-Scottsville High School</t>
  </si>
  <si>
    <t>Scottsville</t>
  </si>
  <si>
    <t>Martha Layne Collins High School</t>
  </si>
  <si>
    <t>Bullitt Central High School</t>
  </si>
  <si>
    <t>Shepherdsville</t>
  </si>
  <si>
    <t>North Bullitt High School</t>
  </si>
  <si>
    <t>Livingston Central High School</t>
  </si>
  <si>
    <t>Smithland</t>
  </si>
  <si>
    <t>Pulaski County High School</t>
  </si>
  <si>
    <t>Somerset High School</t>
  </si>
  <si>
    <t>Powell County High School</t>
  </si>
  <si>
    <t>Mccreary Central High School</t>
  </si>
  <si>
    <t>Stearns</t>
  </si>
  <si>
    <t>Scott High School</t>
  </si>
  <si>
    <t>Taylor Mill</t>
  </si>
  <si>
    <t>Spencer County High School</t>
  </si>
  <si>
    <t>Taylorsville</t>
  </si>
  <si>
    <t>Monroe Co High School</t>
  </si>
  <si>
    <t>Tompkinsville</t>
  </si>
  <si>
    <t>Larry A. Ryle High School</t>
  </si>
  <si>
    <t>Randall K. Cooper High School</t>
  </si>
  <si>
    <t>Lewis County High School</t>
  </si>
  <si>
    <t>Vanceburg</t>
  </si>
  <si>
    <t>Woodford County High School</t>
  </si>
  <si>
    <t>Walton-Verona High School</t>
  </si>
  <si>
    <t>Gallatin County High School</t>
  </si>
  <si>
    <t>Letcher County Central High School</t>
  </si>
  <si>
    <t>Whitesburg</t>
  </si>
  <si>
    <t>Whitley County High School</t>
  </si>
  <si>
    <t>Williamstown Sr. High School</t>
  </si>
  <si>
    <t>George Rogers Clark High School</t>
  </si>
  <si>
    <t>Alexandria Senior High School</t>
  </si>
  <si>
    <t>Buckeye High School</t>
  </si>
  <si>
    <t>Peabody Magnet High School</t>
  </si>
  <si>
    <t>Amite High School Magnet</t>
  </si>
  <si>
    <t>Anacoco High School</t>
  </si>
  <si>
    <t>Anacoco</t>
  </si>
  <si>
    <t>Beau Chene High School</t>
  </si>
  <si>
    <t>Arnaudville</t>
  </si>
  <si>
    <t>Patrick F. Taylor Science &amp; Technology Academy</t>
  </si>
  <si>
    <t>West St. Mary High School</t>
  </si>
  <si>
    <t>Bastrop High School</t>
  </si>
  <si>
    <t>Arlington Preparatory Academy</t>
  </si>
  <si>
    <t>Baton Rouge Magnet High School</t>
  </si>
  <si>
    <t>Belaire High School</t>
  </si>
  <si>
    <t>Broadmoor Senior High School</t>
  </si>
  <si>
    <t>Capitol High School</t>
  </si>
  <si>
    <t>Ebr Readiness Superintendent Academy</t>
  </si>
  <si>
    <t>Glen Oaks Senior High School</t>
  </si>
  <si>
    <t>Istrouma High School</t>
  </si>
  <si>
    <t>Madison Preparatory Academy</t>
  </si>
  <si>
    <t>Mckinley Senior High School</t>
  </si>
  <si>
    <t>Mentorship Steam Academy</t>
  </si>
  <si>
    <t>Northdale Superintendent'S Academy</t>
  </si>
  <si>
    <t>Scotlandville Magnet High School</t>
  </si>
  <si>
    <t>Tara High School</t>
  </si>
  <si>
    <t>Belle Chasse High School</t>
  </si>
  <si>
    <t>Belle Chasse</t>
  </si>
  <si>
    <t>Berwick High School</t>
  </si>
  <si>
    <t>Berwick</t>
  </si>
  <si>
    <t>Bogalusa High School</t>
  </si>
  <si>
    <t>Bogalusa</t>
  </si>
  <si>
    <t>Airline High School</t>
  </si>
  <si>
    <t>Bossier High School</t>
  </si>
  <si>
    <t>Parkway High School</t>
  </si>
  <si>
    <t>South Terrebonne High School</t>
  </si>
  <si>
    <t>Bourg</t>
  </si>
  <si>
    <t>Hahnville High School</t>
  </si>
  <si>
    <t>Boutte</t>
  </si>
  <si>
    <t>Breaux Bridge High School</t>
  </si>
  <si>
    <t>Brusly High School</t>
  </si>
  <si>
    <t>Bunkie Magnet High School</t>
  </si>
  <si>
    <t>Bunkie</t>
  </si>
  <si>
    <t>South Plaquemines High School</t>
  </si>
  <si>
    <t>Buras</t>
  </si>
  <si>
    <t>Lakeview Jr./Sr. High School</t>
  </si>
  <si>
    <t>Campti</t>
  </si>
  <si>
    <t>Cecilia High School</t>
  </si>
  <si>
    <t>C.F. Rowley Alternative School</t>
  </si>
  <si>
    <t>Chalmette</t>
  </si>
  <si>
    <t>Chalmette High School</t>
  </si>
  <si>
    <t>Choudrant High School</t>
  </si>
  <si>
    <t>Choudrant</t>
  </si>
  <si>
    <t>Church Point High School</t>
  </si>
  <si>
    <t>Church Point</t>
  </si>
  <si>
    <t>Caldwell Parish High School</t>
  </si>
  <si>
    <t>Red River High School</t>
  </si>
  <si>
    <t>Coushatta</t>
  </si>
  <si>
    <t>Covington High School</t>
  </si>
  <si>
    <t>Crowley High School</t>
  </si>
  <si>
    <t>South Lafourche High School</t>
  </si>
  <si>
    <t>Cutoff</t>
  </si>
  <si>
    <t>Delcambre High School</t>
  </si>
  <si>
    <t>Delcambre</t>
  </si>
  <si>
    <t>Denham Springs High School</t>
  </si>
  <si>
    <t>Dequincy High School</t>
  </si>
  <si>
    <t>Dequincy</t>
  </si>
  <si>
    <t>Deridder High School</t>
  </si>
  <si>
    <t>Deridder</t>
  </si>
  <si>
    <t>East Beauregard High School</t>
  </si>
  <si>
    <t>Destrehan High School</t>
  </si>
  <si>
    <t>Destrehan</t>
  </si>
  <si>
    <t>Donaldsonville High School</t>
  </si>
  <si>
    <t>Donaldsonville</t>
  </si>
  <si>
    <t>Grant High School</t>
  </si>
  <si>
    <t>West St. John High School</t>
  </si>
  <si>
    <t>Edgard</t>
  </si>
  <si>
    <t>Elton High School</t>
  </si>
  <si>
    <t>Elton</t>
  </si>
  <si>
    <t>Erath High School</t>
  </si>
  <si>
    <t>Erath</t>
  </si>
  <si>
    <t>Eunice High School</t>
  </si>
  <si>
    <t>Union Parish Alternative Center</t>
  </si>
  <si>
    <t>Farmerville</t>
  </si>
  <si>
    <t>Union Parish High School</t>
  </si>
  <si>
    <t>Ferriday High School</t>
  </si>
  <si>
    <t>Ferriday</t>
  </si>
  <si>
    <t>Franklin Senior High School</t>
  </si>
  <si>
    <t>Franklinton High School</t>
  </si>
  <si>
    <t>Franklinton</t>
  </si>
  <si>
    <t>Pine School</t>
  </si>
  <si>
    <t>French Settlement High School</t>
  </si>
  <si>
    <t>French Settlement</t>
  </si>
  <si>
    <t>Geismar</t>
  </si>
  <si>
    <t>East Ascension High School</t>
  </si>
  <si>
    <t>H. L. Bourgeois High School</t>
  </si>
  <si>
    <t>St. Helena College And Career Academy</t>
  </si>
  <si>
    <t>Jcfa</t>
  </si>
  <si>
    <t>Thomas Jefferson High School For Advanced Studies</t>
  </si>
  <si>
    <t>Gueydan High School</t>
  </si>
  <si>
    <t>Gueydan</t>
  </si>
  <si>
    <t>Hammond High School Magnet School</t>
  </si>
  <si>
    <t>Tangipahoa Alternative Solutions Program</t>
  </si>
  <si>
    <t>Helen Cox High School</t>
  </si>
  <si>
    <t>Haughton High School</t>
  </si>
  <si>
    <t>Haughton</t>
  </si>
  <si>
    <t>Haynesville Jr./Sr. High School</t>
  </si>
  <si>
    <t>Ellender Memorial High School</t>
  </si>
  <si>
    <t>Houma</t>
  </si>
  <si>
    <t>Terrebonne High School</t>
  </si>
  <si>
    <t>Independence High School Magnet</t>
  </si>
  <si>
    <t>Iota High School</t>
  </si>
  <si>
    <t>Iota</t>
  </si>
  <si>
    <t>Iowa High School</t>
  </si>
  <si>
    <t>East Feliciana High School</t>
  </si>
  <si>
    <t>Jeanerette Senior High School</t>
  </si>
  <si>
    <t>Jeanerette</t>
  </si>
  <si>
    <t>Jcfa-East</t>
  </si>
  <si>
    <t>Jena High School</t>
  </si>
  <si>
    <t>Jena</t>
  </si>
  <si>
    <t>Jennings High School</t>
  </si>
  <si>
    <t>Jennings</t>
  </si>
  <si>
    <t>Jonesboro-Hodge High School</t>
  </si>
  <si>
    <t>Block High School</t>
  </si>
  <si>
    <t>Jonesville</t>
  </si>
  <si>
    <t>Kaplan High School</t>
  </si>
  <si>
    <t>Kaplan</t>
  </si>
  <si>
    <t>Bonnabel Magnet Academy High School</t>
  </si>
  <si>
    <t>Kenner</t>
  </si>
  <si>
    <t>Jewel M. Sumner High School</t>
  </si>
  <si>
    <t>Kentwood</t>
  </si>
  <si>
    <t>Kentwood High School Magnet School</t>
  </si>
  <si>
    <t>Kinder High School</t>
  </si>
  <si>
    <t>Kinder</t>
  </si>
  <si>
    <t>Academyiana High School</t>
  </si>
  <si>
    <t>Carencro High School</t>
  </si>
  <si>
    <t>Edward J Sam Accelerated School Of Lafayette</t>
  </si>
  <si>
    <t>Jcfa Lafayette</t>
  </si>
  <si>
    <t>O. Comeaux High School</t>
  </si>
  <si>
    <t>Fisher Middle/High School</t>
  </si>
  <si>
    <t>Lafitte</t>
  </si>
  <si>
    <t>Lake Arthur High School</t>
  </si>
  <si>
    <t>Lake Arthur</t>
  </si>
  <si>
    <t>Alfred M. Barbe High School</t>
  </si>
  <si>
    <t>Lake Charles</t>
  </si>
  <si>
    <t>Lake Charles College Prep</t>
  </si>
  <si>
    <t>Sam Houston High School</t>
  </si>
  <si>
    <t>Washington/Marion Magnet High School</t>
  </si>
  <si>
    <t>General Trass High School</t>
  </si>
  <si>
    <t>Lebeau</t>
  </si>
  <si>
    <t>Rapides High School</t>
  </si>
  <si>
    <t>Lecompte</t>
  </si>
  <si>
    <t>Leesville High School</t>
  </si>
  <si>
    <t>Leesville</t>
  </si>
  <si>
    <t>Pickering High School</t>
  </si>
  <si>
    <t>Doyle High School</t>
  </si>
  <si>
    <t>Livonia High School</t>
  </si>
  <si>
    <t>Livonia</t>
  </si>
  <si>
    <t>South Beauregard High School</t>
  </si>
  <si>
    <t>Longville</t>
  </si>
  <si>
    <t>Loranger High School</t>
  </si>
  <si>
    <t>Loranger</t>
  </si>
  <si>
    <t>Loreauville High School</t>
  </si>
  <si>
    <t>Loreauville</t>
  </si>
  <si>
    <t>Lutcher High School</t>
  </si>
  <si>
    <t>Lutcher</t>
  </si>
  <si>
    <t>Fontainebleau High School</t>
  </si>
  <si>
    <t>Lakeshore High School</t>
  </si>
  <si>
    <t>Mandeville High School</t>
  </si>
  <si>
    <t>Mangham High School</t>
  </si>
  <si>
    <t>Mangham</t>
  </si>
  <si>
    <t>Many High School</t>
  </si>
  <si>
    <t>Many</t>
  </si>
  <si>
    <t>Marksville High School</t>
  </si>
  <si>
    <t>Marksville</t>
  </si>
  <si>
    <t>John Ehret High School</t>
  </si>
  <si>
    <t>L.W. Higgins High School</t>
  </si>
  <si>
    <t>North Vermilion High School</t>
  </si>
  <si>
    <t>Maurice</t>
  </si>
  <si>
    <t>East Jefferson High School</t>
  </si>
  <si>
    <t>Grace King High School</t>
  </si>
  <si>
    <t>Haynes Academy School For Advanced Studies</t>
  </si>
  <si>
    <t>Midland</t>
  </si>
  <si>
    <t>Minden High School</t>
  </si>
  <si>
    <t>Neville High School</t>
  </si>
  <si>
    <t>Ouachita Parish High School</t>
  </si>
  <si>
    <t>Richwood High School</t>
  </si>
  <si>
    <t>Sterlington High School</t>
  </si>
  <si>
    <t>Vision Academy</t>
  </si>
  <si>
    <t>Wossman High School</t>
  </si>
  <si>
    <t>Avoyelles High School</t>
  </si>
  <si>
    <t>Moreauville</t>
  </si>
  <si>
    <t>Morgan City High School</t>
  </si>
  <si>
    <t>Morgan City</t>
  </si>
  <si>
    <t>Napoleonville</t>
  </si>
  <si>
    <t>Natchitoches Central High School</t>
  </si>
  <si>
    <t>Natchitoches</t>
  </si>
  <si>
    <t>New Iberia Senior High School</t>
  </si>
  <si>
    <t>Westgate High School</t>
  </si>
  <si>
    <t>Abramson Sci Academy</t>
  </si>
  <si>
    <t>Algiers Technology Academy</t>
  </si>
  <si>
    <t>Crescent Leadership Academy</t>
  </si>
  <si>
    <t>Edna Karr High School</t>
  </si>
  <si>
    <t>Eleanor Mcmain Secondary School</t>
  </si>
  <si>
    <t>G W Carver High School</t>
  </si>
  <si>
    <t>International High School Of New Orleans</t>
  </si>
  <si>
    <t>Joseph S. Clark Preparatory High School</t>
  </si>
  <si>
    <t>Kipp Renaissance</t>
  </si>
  <si>
    <t>Lord Beaconsfield Landry-Oliver Perry Walker High School</t>
  </si>
  <si>
    <t>Mcdonogh #35 College Preparatory School</t>
  </si>
  <si>
    <t>New Harmony High School Institute</t>
  </si>
  <si>
    <t>New Orleans Charter Science And Mathematics High School</t>
  </si>
  <si>
    <t>New Orleans Military &amp; Maritime Academy</t>
  </si>
  <si>
    <t>Renew Accelerated High School</t>
  </si>
  <si>
    <t>Sophie B. Wright Institute Of Academyemic Excellence</t>
  </si>
  <si>
    <t>The Net 2 Charter High School</t>
  </si>
  <si>
    <t>The Net Charter High School</t>
  </si>
  <si>
    <t>Walter L. Cohen College Prep</t>
  </si>
  <si>
    <t>Warren Easton Senior High School</t>
  </si>
  <si>
    <t>Oak Grove</t>
  </si>
  <si>
    <t>Oberlin High School</t>
  </si>
  <si>
    <t>Lasalle High School</t>
  </si>
  <si>
    <t>Olla</t>
  </si>
  <si>
    <t>Js Clark Leadership Academy</t>
  </si>
  <si>
    <t>Opelousas</t>
  </si>
  <si>
    <t>Magnet Academy For Cultural Arts</t>
  </si>
  <si>
    <t>Opelousas Senior High School</t>
  </si>
  <si>
    <t>Pearl River High School</t>
  </si>
  <si>
    <t>Pearl River</t>
  </si>
  <si>
    <t>Pineville High School</t>
  </si>
  <si>
    <t>Plaquemine Senior High School</t>
  </si>
  <si>
    <t>Ponchatoula High School</t>
  </si>
  <si>
    <t>Ponchatoula</t>
  </si>
  <si>
    <t>Port Allen High School</t>
  </si>
  <si>
    <t>Port Barre High School</t>
  </si>
  <si>
    <t>Port Barre</t>
  </si>
  <si>
    <t>Pride</t>
  </si>
  <si>
    <t>Central Lafourche High School</t>
  </si>
  <si>
    <t>Rayne High School</t>
  </si>
  <si>
    <t>Rayne</t>
  </si>
  <si>
    <t>East St. John High School</t>
  </si>
  <si>
    <t>Rosepine High School</t>
  </si>
  <si>
    <t>Rosepine</t>
  </si>
  <si>
    <t>Ruston High School</t>
  </si>
  <si>
    <t>Academyemic Recovery Ombudsman</t>
  </si>
  <si>
    <t>Booker T. Washington New Technology High School</t>
  </si>
  <si>
    <t>C.E. Byrd High School</t>
  </si>
  <si>
    <t>Caddo Parish Magnet High School</t>
  </si>
  <si>
    <t>Captain Shreve High School</t>
  </si>
  <si>
    <t>Green Oaks Performing Arts Academy</t>
  </si>
  <si>
    <t>Huntington High School</t>
  </si>
  <si>
    <t>Pathways In Education - North Market</t>
  </si>
  <si>
    <t>Pathways In Education-Louisiana Inc.</t>
  </si>
  <si>
    <t>Southwood High School</t>
  </si>
  <si>
    <t>Woodlawn Leadership Academy</t>
  </si>
  <si>
    <t>Lakeside Junior-Senior High School</t>
  </si>
  <si>
    <t>Slaughter Community Charter School</t>
  </si>
  <si>
    <t>Slaughter</t>
  </si>
  <si>
    <t>NortHigh Schoolhore High School</t>
  </si>
  <si>
    <t>Slidell</t>
  </si>
  <si>
    <t>Salmen High School</t>
  </si>
  <si>
    <t>Slidell High School</t>
  </si>
  <si>
    <t>North Webster High School</t>
  </si>
  <si>
    <t>Springhill</t>
  </si>
  <si>
    <t>St. Amant High School</t>
  </si>
  <si>
    <t>St. Amant</t>
  </si>
  <si>
    <t>West Feliciana High School</t>
  </si>
  <si>
    <t>St. Francisville</t>
  </si>
  <si>
    <t>Tensas High School</t>
  </si>
  <si>
    <t>St. Joseph</t>
  </si>
  <si>
    <t>St. Martinville Senior High School</t>
  </si>
  <si>
    <t>St. Martinville</t>
  </si>
  <si>
    <t>North Desoto High School</t>
  </si>
  <si>
    <t>Stonewall</t>
  </si>
  <si>
    <t>Sulphur High School</t>
  </si>
  <si>
    <t>Sulphur</t>
  </si>
  <si>
    <t>Christian Acres Alternative School</t>
  </si>
  <si>
    <t>Thibodaux High School</t>
  </si>
  <si>
    <t>Thibodaux</t>
  </si>
  <si>
    <t>Tioga</t>
  </si>
  <si>
    <t>St. James High School</t>
  </si>
  <si>
    <t>Vacherie</t>
  </si>
  <si>
    <t>Varnado High School</t>
  </si>
  <si>
    <t>Varnado</t>
  </si>
  <si>
    <t>Vidalia High School</t>
  </si>
  <si>
    <t>Ville Platte High School</t>
  </si>
  <si>
    <t>Ville Platte</t>
  </si>
  <si>
    <t>Vinton High School</t>
  </si>
  <si>
    <t>North Caddo High School</t>
  </si>
  <si>
    <t>Vivian</t>
  </si>
  <si>
    <t>Walker High School</t>
  </si>
  <si>
    <t>Watson</t>
  </si>
  <si>
    <t>Welsh High School</t>
  </si>
  <si>
    <t>Welsh</t>
  </si>
  <si>
    <t>West Monroe High School</t>
  </si>
  <si>
    <t>West Ouachita High School</t>
  </si>
  <si>
    <t>Westlake</t>
  </si>
  <si>
    <t>White Castle High School</t>
  </si>
  <si>
    <t>White Castle</t>
  </si>
  <si>
    <t>Winnfield High School</t>
  </si>
  <si>
    <t>Winnfield</t>
  </si>
  <si>
    <t>Franklin Parish High School</t>
  </si>
  <si>
    <t>Youngsville</t>
  </si>
  <si>
    <t>Zachary High School</t>
  </si>
  <si>
    <t>Zwolle High School</t>
  </si>
  <si>
    <t>Zwolle</t>
  </si>
  <si>
    <t>Edward Little High School</t>
  </si>
  <si>
    <t>Cony</t>
  </si>
  <si>
    <t>Woodland Jr-Sr High School</t>
  </si>
  <si>
    <t>Baileyville</t>
  </si>
  <si>
    <t>Bangor High School</t>
  </si>
  <si>
    <t>Bath</t>
  </si>
  <si>
    <t>Belfast Area High School</t>
  </si>
  <si>
    <t>Belfast</t>
  </si>
  <si>
    <t>Telstar High School</t>
  </si>
  <si>
    <t>Biddeford High School</t>
  </si>
  <si>
    <t>Biddeford</t>
  </si>
  <si>
    <t>Upper Kennebec Valley Middle/Senior High School</t>
  </si>
  <si>
    <t>Bingham</t>
  </si>
  <si>
    <t>Boothbay Region High School</t>
  </si>
  <si>
    <t>Boothbay Harbor</t>
  </si>
  <si>
    <t>Brewer High School</t>
  </si>
  <si>
    <t>Brewer</t>
  </si>
  <si>
    <t>Harpswell Coastal Academy Divisions 2 And 3</t>
  </si>
  <si>
    <t>Buckfield Jr-Sr High School</t>
  </si>
  <si>
    <t>Buckfield</t>
  </si>
  <si>
    <t>Bucksport High School</t>
  </si>
  <si>
    <t>Calais Middle/High School</t>
  </si>
  <si>
    <t>Cape Elizabeth High School</t>
  </si>
  <si>
    <t>Cape Elizabeth</t>
  </si>
  <si>
    <t>Caribou High School</t>
  </si>
  <si>
    <t>Corinth</t>
  </si>
  <si>
    <t>Greely High School</t>
  </si>
  <si>
    <t>Deer Isle-Stonington High School Sch</t>
  </si>
  <si>
    <t>Deer Isle</t>
  </si>
  <si>
    <t>Dexter Regional High School</t>
  </si>
  <si>
    <t>Dirigo High School</t>
  </si>
  <si>
    <t>Dixfield</t>
  </si>
  <si>
    <t>Schenck High School</t>
  </si>
  <si>
    <t>East Millinocket</t>
  </si>
  <si>
    <t>Easton Junior-Senior High School Sch</t>
  </si>
  <si>
    <t>Shead High School</t>
  </si>
  <si>
    <t>Eastport</t>
  </si>
  <si>
    <t>Falmouth High School</t>
  </si>
  <si>
    <t>Hall-Dale Middle And High School</t>
  </si>
  <si>
    <t>Farmingdale</t>
  </si>
  <si>
    <t>Mt Blue High School</t>
  </si>
  <si>
    <t>Fort Fairfield Middle/High School</t>
  </si>
  <si>
    <t>Fort Fairfield</t>
  </si>
  <si>
    <t>Fort Kent Community High School</t>
  </si>
  <si>
    <t>Fort Kent</t>
  </si>
  <si>
    <t>Gardiner Area High School</t>
  </si>
  <si>
    <t>Gardiner</t>
  </si>
  <si>
    <t>Gorham High School</t>
  </si>
  <si>
    <t>Gray-New Gloucester High School</t>
  </si>
  <si>
    <t>Piscataquis Community Secondary School</t>
  </si>
  <si>
    <t>Hampden Academy</t>
  </si>
  <si>
    <t>Narraguagus High School</t>
  </si>
  <si>
    <t>Harrington</t>
  </si>
  <si>
    <t>Hermon High School</t>
  </si>
  <si>
    <t>Hermon</t>
  </si>
  <si>
    <t>Maine Academy Of Natural Sciences</t>
  </si>
  <si>
    <t>Sacopee Valley High School Sch</t>
  </si>
  <si>
    <t>Hodgdon Middle/High School</t>
  </si>
  <si>
    <t>Hodgdon</t>
  </si>
  <si>
    <t>Houlton High School</t>
  </si>
  <si>
    <t>Houlton</t>
  </si>
  <si>
    <t>Penobscot Valley High School</t>
  </si>
  <si>
    <t>Howland</t>
  </si>
  <si>
    <t>Spruce Mountain High School</t>
  </si>
  <si>
    <t>Jonesport-Beals High School</t>
  </si>
  <si>
    <t>Jonesport</t>
  </si>
  <si>
    <t>Kennebunk High School</t>
  </si>
  <si>
    <t>Kennebunk</t>
  </si>
  <si>
    <t>Robert W Traip Academy</t>
  </si>
  <si>
    <t>Kittery</t>
  </si>
  <si>
    <t>Me Sch Of Science &amp; Mathematics</t>
  </si>
  <si>
    <t>Mattanawcook Academy</t>
  </si>
  <si>
    <t>Lisbon Falls</t>
  </si>
  <si>
    <t>Machias Memorial High School</t>
  </si>
  <si>
    <t>Machias</t>
  </si>
  <si>
    <t>Madawaska Middle/High School</t>
  </si>
  <si>
    <t>Madawaska</t>
  </si>
  <si>
    <t>Madison Area Memorial H S</t>
  </si>
  <si>
    <t>Central Aroostook Jr-Sr H S</t>
  </si>
  <si>
    <t>Stearns Jr-Sr High School</t>
  </si>
  <si>
    <t>Millinocket</t>
  </si>
  <si>
    <t>Penquis Valley Middle/High School</t>
  </si>
  <si>
    <t>Milo</t>
  </si>
  <si>
    <t>Monmouth Academy</t>
  </si>
  <si>
    <t>Mt Desert Island High School</t>
  </si>
  <si>
    <t>Mount Desert</t>
  </si>
  <si>
    <t>Nokomis Regional High School</t>
  </si>
  <si>
    <t>Carrabec High School</t>
  </si>
  <si>
    <t>North Anson</t>
  </si>
  <si>
    <t>Noble High School</t>
  </si>
  <si>
    <t>North Berwick</t>
  </si>
  <si>
    <t>Messalonskee High School</t>
  </si>
  <si>
    <t>Old Orchard Beach High School</t>
  </si>
  <si>
    <t>Old Orchard Beach</t>
  </si>
  <si>
    <t>Old Town High School</t>
  </si>
  <si>
    <t>Old Town</t>
  </si>
  <si>
    <t>Orono High School</t>
  </si>
  <si>
    <t>Orono</t>
  </si>
  <si>
    <t>Oxford Hills Comprehensive H S</t>
  </si>
  <si>
    <t>Poland Regional H S</t>
  </si>
  <si>
    <t>Poland</t>
  </si>
  <si>
    <t>Baxter Academy For Tech &amp; Sciences</t>
  </si>
  <si>
    <t>Casco Bay High School</t>
  </si>
  <si>
    <t>Deering High School</t>
  </si>
  <si>
    <t>Presque Isle High School</t>
  </si>
  <si>
    <t>Presque Isle</t>
  </si>
  <si>
    <t>Maranacook Community High School Sch</t>
  </si>
  <si>
    <t>Readfield</t>
  </si>
  <si>
    <t>Camden Hills Regional H S</t>
  </si>
  <si>
    <t>Mountain Valley High School</t>
  </si>
  <si>
    <t>Rumford</t>
  </si>
  <si>
    <t>Wisdom Middle High School</t>
  </si>
  <si>
    <t>Saint Agatha</t>
  </si>
  <si>
    <t>Mt Abram Regional High School</t>
  </si>
  <si>
    <t>Sanford High School</t>
  </si>
  <si>
    <t>Scarborough High School</t>
  </si>
  <si>
    <t>Scarborough</t>
  </si>
  <si>
    <t>Maine Ocean School</t>
  </si>
  <si>
    <t>Searsport</t>
  </si>
  <si>
    <t>Searsport District High School</t>
  </si>
  <si>
    <t>Snow Pond Arts Academy School</t>
  </si>
  <si>
    <t>Cornville Downtown Campus</t>
  </si>
  <si>
    <t>Skowhegan</t>
  </si>
  <si>
    <t>Skowhegan Area High School</t>
  </si>
  <si>
    <t>Marshwood High School</t>
  </si>
  <si>
    <t>Arthur R. Gould Sch--Lcydc</t>
  </si>
  <si>
    <t>Maine Connections Academy</t>
  </si>
  <si>
    <t>South Portland High School</t>
  </si>
  <si>
    <t>Katahdin Middle/High School</t>
  </si>
  <si>
    <t>Stacyville</t>
  </si>
  <si>
    <t>Bonny Eagle High School</t>
  </si>
  <si>
    <t>Standish</t>
  </si>
  <si>
    <t>Sumner Memorial High School</t>
  </si>
  <si>
    <t>Mt View High School</t>
  </si>
  <si>
    <t>Thorndike</t>
  </si>
  <si>
    <t>Mt Ararat High School</t>
  </si>
  <si>
    <t>Topsham</t>
  </si>
  <si>
    <t>Leavitt Area High School</t>
  </si>
  <si>
    <t>Turner</t>
  </si>
  <si>
    <t>Van Buren District Secondary Sch</t>
  </si>
  <si>
    <t>Medomak Valley High School</t>
  </si>
  <si>
    <t>Waldoboro</t>
  </si>
  <si>
    <t>Wales</t>
  </si>
  <si>
    <t>Washburn District High School</t>
  </si>
  <si>
    <t>Massabesic High School</t>
  </si>
  <si>
    <t>Waterboro</t>
  </si>
  <si>
    <t>Waterville Senior High School</t>
  </si>
  <si>
    <t>Wells High School</t>
  </si>
  <si>
    <t>Wells</t>
  </si>
  <si>
    <t>Windham</t>
  </si>
  <si>
    <t>Winthrop High School</t>
  </si>
  <si>
    <t>Wiscasset Middle/High School</t>
  </si>
  <si>
    <t>Wiscasset</t>
  </si>
  <si>
    <t>Yarmouth High School</t>
  </si>
  <si>
    <t>York High School</t>
  </si>
  <si>
    <t>Northern Garrett High School</t>
  </si>
  <si>
    <t>Accident</t>
  </si>
  <si>
    <t>Annapolis High School</t>
  </si>
  <si>
    <t>Broadneck High School</t>
  </si>
  <si>
    <t>Academy For College And Career Exploration</t>
  </si>
  <si>
    <t>Augusta Fells Savage Institute Of Visual Arts</t>
  </si>
  <si>
    <t>Baltimore City College</t>
  </si>
  <si>
    <t>Baltimore Design School</t>
  </si>
  <si>
    <t>Baltimore Leadership School For Young Women</t>
  </si>
  <si>
    <t>Baltimore Polytechnic Institute</t>
  </si>
  <si>
    <t>Baltimore School For The Arts</t>
  </si>
  <si>
    <t>Bard High School Early College</t>
  </si>
  <si>
    <t>Benjamin Franklin High School At Masonville Cove</t>
  </si>
  <si>
    <t>Bluford Drew Jemison Stem Academy West</t>
  </si>
  <si>
    <t>Catonsville High School</t>
  </si>
  <si>
    <t>Chesapeake High School</t>
  </si>
  <si>
    <t>City Neighbors High School</t>
  </si>
  <si>
    <t>Connexions: A  Community Based Arts School</t>
  </si>
  <si>
    <t>Coppin Academy</t>
  </si>
  <si>
    <t>Dundalk High School</t>
  </si>
  <si>
    <t>Green Street Academy</t>
  </si>
  <si>
    <t>Independence School Local I</t>
  </si>
  <si>
    <t>Kenwood High School Ib And Sports Science</t>
  </si>
  <si>
    <t>Lansdowne High School &amp; Academy Of Finance</t>
  </si>
  <si>
    <t>Loch Raven High School</t>
  </si>
  <si>
    <t>Milford Mill Academy</t>
  </si>
  <si>
    <t>N.A.C.A. Freedom And Democracy Academy Ii</t>
  </si>
  <si>
    <t>National Academy Foundation</t>
  </si>
  <si>
    <t>New Era Academy</t>
  </si>
  <si>
    <t>Overlea High School &amp; Academy Of Finance</t>
  </si>
  <si>
    <t>Parkville High School &amp; Center For Math/Science</t>
  </si>
  <si>
    <t>Patapsco High School &amp; Center For Arts</t>
  </si>
  <si>
    <t>Perry Hall High School</t>
  </si>
  <si>
    <t>Pikesville High School</t>
  </si>
  <si>
    <t>Reginald F. Lewis High School</t>
  </si>
  <si>
    <t>The Reach! Partnership School</t>
  </si>
  <si>
    <t>The Seed School Of Maryland</t>
  </si>
  <si>
    <t>Woodlawn High School Center For Pre-Eng. Res.</t>
  </si>
  <si>
    <t>Bel Air High School</t>
  </si>
  <si>
    <t>C. Milton Wright High School</t>
  </si>
  <si>
    <t>Patterson Mill High School</t>
  </si>
  <si>
    <t>High School Point High School</t>
  </si>
  <si>
    <t>Beltsville</t>
  </si>
  <si>
    <t>Stephen Decatur High School</t>
  </si>
  <si>
    <t>Bethesda-Chevy Chase High School</t>
  </si>
  <si>
    <t>Walt Whitman High School</t>
  </si>
  <si>
    <t>Walter Johnson High School</t>
  </si>
  <si>
    <t>Bladensburg High School</t>
  </si>
  <si>
    <t>International High School @ Langley Park</t>
  </si>
  <si>
    <t>Boonsboro High School</t>
  </si>
  <si>
    <t>Boonsboro</t>
  </si>
  <si>
    <t>Gwynn Park High School</t>
  </si>
  <si>
    <t>Brandywine</t>
  </si>
  <si>
    <t>Paint Branch High School</t>
  </si>
  <si>
    <t>Burtonsville</t>
  </si>
  <si>
    <t>Cambridge-South Dorchester High School</t>
  </si>
  <si>
    <t>Capitol Heights</t>
  </si>
  <si>
    <t>Queen Anne'S County High School</t>
  </si>
  <si>
    <t>Bohemia Manor High School</t>
  </si>
  <si>
    <t>Chesapeake City</t>
  </si>
  <si>
    <t>Clarksburg High School</t>
  </si>
  <si>
    <t>River Hill High School</t>
  </si>
  <si>
    <t>Clear Spring High School</t>
  </si>
  <si>
    <t>Clear Spring</t>
  </si>
  <si>
    <t>Surrattsville High School</t>
  </si>
  <si>
    <t>Atholton High School</t>
  </si>
  <si>
    <t>Long Reach High School</t>
  </si>
  <si>
    <t>Oakland Mills High School</t>
  </si>
  <si>
    <t>Wilde Lake High School</t>
  </si>
  <si>
    <t>Crisfield Academy And High School</t>
  </si>
  <si>
    <t>Crisfield</t>
  </si>
  <si>
    <t>Allegany High School</t>
  </si>
  <si>
    <t>Fort Hill High School</t>
  </si>
  <si>
    <t>Damascus High School</t>
  </si>
  <si>
    <t>Easton High School</t>
  </si>
  <si>
    <t>South River High School</t>
  </si>
  <si>
    <t>Elkton High School</t>
  </si>
  <si>
    <t>Mount Hebron High School</t>
  </si>
  <si>
    <t>Fallston High School</t>
  </si>
  <si>
    <t>Fallston</t>
  </si>
  <si>
    <t>Colonel Richardson High School</t>
  </si>
  <si>
    <t>Federalsburg</t>
  </si>
  <si>
    <t>Suitland High School</t>
  </si>
  <si>
    <t>Friendly High School</t>
  </si>
  <si>
    <t>Frederick High School</t>
  </si>
  <si>
    <t>Gov. Thomas Johnson High School</t>
  </si>
  <si>
    <t>Linganore High School</t>
  </si>
  <si>
    <t>Tuscarora High School</t>
  </si>
  <si>
    <t>Frostburg</t>
  </si>
  <si>
    <t>Ft Meade</t>
  </si>
  <si>
    <t>Reservoir High School</t>
  </si>
  <si>
    <t>Gaithersburg High School</t>
  </si>
  <si>
    <t>Quince Orchard High School</t>
  </si>
  <si>
    <t>Watkins Mill High School</t>
  </si>
  <si>
    <t>Arundel High School</t>
  </si>
  <si>
    <t>Gambrills</t>
  </si>
  <si>
    <t>Seneca Valley High School</t>
  </si>
  <si>
    <t>Glen Burnie High School</t>
  </si>
  <si>
    <t>Glen Burnie</t>
  </si>
  <si>
    <t>North County High School</t>
  </si>
  <si>
    <t>Glenelg High School</t>
  </si>
  <si>
    <t>Glenelg</t>
  </si>
  <si>
    <t>Great Mills High School</t>
  </si>
  <si>
    <t>Great Mills</t>
  </si>
  <si>
    <t>Greenbelt</t>
  </si>
  <si>
    <t>Barbara Ingram School For The Arts</t>
  </si>
  <si>
    <t>North Hagerstown High School</t>
  </si>
  <si>
    <t>South Hagerstown High School</t>
  </si>
  <si>
    <t>Hancock Middle Senior High School</t>
  </si>
  <si>
    <t>Hancock</t>
  </si>
  <si>
    <t>Chesapeake Science Point</t>
  </si>
  <si>
    <t>Harwood</t>
  </si>
  <si>
    <t>Havre De Grace High School</t>
  </si>
  <si>
    <t>Havre De Grace</t>
  </si>
  <si>
    <t>Huntingtown High School</t>
  </si>
  <si>
    <t>North Dorchester High School</t>
  </si>
  <si>
    <t>Hurlock</t>
  </si>
  <si>
    <t>Henry E. Lackey High School</t>
  </si>
  <si>
    <t>Indian Head</t>
  </si>
  <si>
    <t>Joppatowne High School</t>
  </si>
  <si>
    <t>Albert Einstein High School</t>
  </si>
  <si>
    <t>La Plata High School</t>
  </si>
  <si>
    <t>La Plata</t>
  </si>
  <si>
    <t>Fairmont Heights High School</t>
  </si>
  <si>
    <t>Landover</t>
  </si>
  <si>
    <t>Duval High School</t>
  </si>
  <si>
    <t>Lanham</t>
  </si>
  <si>
    <t>Academy Of Health Sciences At Pgcc</t>
  </si>
  <si>
    <t>Laurel High School</t>
  </si>
  <si>
    <t>Leonardtown High School</t>
  </si>
  <si>
    <t>Patuxent High School</t>
  </si>
  <si>
    <t>Lusby</t>
  </si>
  <si>
    <t>Manchester Valley High School</t>
  </si>
  <si>
    <t>Mardela Middle &amp; High School</t>
  </si>
  <si>
    <t>Mardela Springs</t>
  </si>
  <si>
    <t>Marriotts Ridge High School</t>
  </si>
  <si>
    <t>Marriottsville</t>
  </si>
  <si>
    <t>Old Mill High School</t>
  </si>
  <si>
    <t>Millersville</t>
  </si>
  <si>
    <t>Chopticon High School</t>
  </si>
  <si>
    <t>Morganza</t>
  </si>
  <si>
    <t>Southern Garrett High School</t>
  </si>
  <si>
    <t>Northern High School</t>
  </si>
  <si>
    <t>Owings</t>
  </si>
  <si>
    <t>New Town High School</t>
  </si>
  <si>
    <t>Owings Mills High School</t>
  </si>
  <si>
    <t>Oxon Hill High School</t>
  </si>
  <si>
    <t>Potomac High School</t>
  </si>
  <si>
    <t>Hereford High School</t>
  </si>
  <si>
    <t>Parkton</t>
  </si>
  <si>
    <t>Pocomoke High School</t>
  </si>
  <si>
    <t>Pocomoke City</t>
  </si>
  <si>
    <t>Maurice J. Mcdonough High School</t>
  </si>
  <si>
    <t>Poolesville High School</t>
  </si>
  <si>
    <t>Poolesville</t>
  </si>
  <si>
    <t>Winston Churchill High School</t>
  </si>
  <si>
    <t>Calvert High School</t>
  </si>
  <si>
    <t>Prince Frederick</t>
  </si>
  <si>
    <t>Washington Academy And High School</t>
  </si>
  <si>
    <t>North Harford High School</t>
  </si>
  <si>
    <t>Pylesville</t>
  </si>
  <si>
    <t>Randallstown High School</t>
  </si>
  <si>
    <t>Randallstown</t>
  </si>
  <si>
    <t>Reisterstown</t>
  </si>
  <si>
    <t>North Caroline High School</t>
  </si>
  <si>
    <t>Ridgely</t>
  </si>
  <si>
    <t>College Park Academy</t>
  </si>
  <si>
    <t>Parkdale High School</t>
  </si>
  <si>
    <t>Col. Zadok Magruder High School</t>
  </si>
  <si>
    <t>Richard Montgomery High School</t>
  </si>
  <si>
    <t>Thomas S. Wootton High School</t>
  </si>
  <si>
    <t>James M. Bennett High School</t>
  </si>
  <si>
    <t>Parkside High School</t>
  </si>
  <si>
    <t>Wicomico High School</t>
  </si>
  <si>
    <t>Sherwood High School</t>
  </si>
  <si>
    <t>Severna Park High School</t>
  </si>
  <si>
    <t>Severna Park</t>
  </si>
  <si>
    <t>James Hubert Blake High School</t>
  </si>
  <si>
    <t>Montgomery Blair High School</t>
  </si>
  <si>
    <t>Springbrook High School</t>
  </si>
  <si>
    <t>Wheaton High School</t>
  </si>
  <si>
    <t>SmitHigh Schoolburg High School</t>
  </si>
  <si>
    <t>Smithsburg</t>
  </si>
  <si>
    <t>Snow Hill High School</t>
  </si>
  <si>
    <t>Snow Hill</t>
  </si>
  <si>
    <t>Sparrows Point High School</t>
  </si>
  <si>
    <t>Sparrows Point</t>
  </si>
  <si>
    <t>Charles Herbert Flowers High School</t>
  </si>
  <si>
    <t>St. Michaels Middle/High School</t>
  </si>
  <si>
    <t>St Michaels</t>
  </si>
  <si>
    <t>Kent Island High School</t>
  </si>
  <si>
    <t>Stevensville</t>
  </si>
  <si>
    <t>Sykesville</t>
  </si>
  <si>
    <t>South Carroll High School</t>
  </si>
  <si>
    <t>Crossland High School</t>
  </si>
  <si>
    <t>Temple Hills</t>
  </si>
  <si>
    <t>Catoctin High School</t>
  </si>
  <si>
    <t>Thurmont</t>
  </si>
  <si>
    <t>Dulaney High School</t>
  </si>
  <si>
    <t>Timonium</t>
  </si>
  <si>
    <t>Towson High School Law &amp; Public Policy</t>
  </si>
  <si>
    <t>Francis Scott Key High School</t>
  </si>
  <si>
    <t>Union Bridge</t>
  </si>
  <si>
    <t>Dr. Henry A. Wise Jr. High School</t>
  </si>
  <si>
    <t>International High School @ Largo</t>
  </si>
  <si>
    <t>North Point High School</t>
  </si>
  <si>
    <t>Waldorf</t>
  </si>
  <si>
    <t>St. Charles High School</t>
  </si>
  <si>
    <t>Thomas Stone High School</t>
  </si>
  <si>
    <t>Walkersville High School</t>
  </si>
  <si>
    <t>Walkersville</t>
  </si>
  <si>
    <t>Winters Mill High School</t>
  </si>
  <si>
    <t>Williamsport High School</t>
  </si>
  <si>
    <t>Kent County High School</t>
  </si>
  <si>
    <t>Worton</t>
  </si>
  <si>
    <t>Abington High School</t>
  </si>
  <si>
    <t>Abington</t>
  </si>
  <si>
    <t>Acton-Boxborough Regional High School</t>
  </si>
  <si>
    <t>Berkshire Arts And Technology Charter Public School</t>
  </si>
  <si>
    <t>Adams</t>
  </si>
  <si>
    <t>Agawam High School</t>
  </si>
  <si>
    <t>Agawam</t>
  </si>
  <si>
    <t>Amesbury High School</t>
  </si>
  <si>
    <t>Amesbury</t>
  </si>
  <si>
    <t>Amesbury Innovation High School</t>
  </si>
  <si>
    <t>Amherst Regional High School</t>
  </si>
  <si>
    <t>Amherst</t>
  </si>
  <si>
    <t>Oakmont Regional High School</t>
  </si>
  <si>
    <t>Ashburnham</t>
  </si>
  <si>
    <t>Athol High School</t>
  </si>
  <si>
    <t>Athol</t>
  </si>
  <si>
    <t>Attleboro High School</t>
  </si>
  <si>
    <t>Auburn Senior High School</t>
  </si>
  <si>
    <t>Avon Middle High School</t>
  </si>
  <si>
    <t>Ayer Shirley Regional High School</t>
  </si>
  <si>
    <t>Ayer</t>
  </si>
  <si>
    <t>Narragansett Regional High School</t>
  </si>
  <si>
    <t>Baldwinville</t>
  </si>
  <si>
    <t>Quabbin Regional High School</t>
  </si>
  <si>
    <t>Barre</t>
  </si>
  <si>
    <t>Belchertown High School</t>
  </si>
  <si>
    <t>Belchertown</t>
  </si>
  <si>
    <t>Bellingham High School</t>
  </si>
  <si>
    <t>Belmont High School</t>
  </si>
  <si>
    <t>Beverly High School</t>
  </si>
  <si>
    <t>Billerica Memorial High School</t>
  </si>
  <si>
    <t>Billerica</t>
  </si>
  <si>
    <t>Blackstone Millville RHigh School</t>
  </si>
  <si>
    <t>Blackstone</t>
  </si>
  <si>
    <t>Nashoba Regional</t>
  </si>
  <si>
    <t>Boston Latin</t>
  </si>
  <si>
    <t>Carter Developmental Center</t>
  </si>
  <si>
    <t>Edward M. Kennedy Academy For Health Careers (Horace Mann Ch</t>
  </si>
  <si>
    <t>Margarita Muniz Academy</t>
  </si>
  <si>
    <t>Quincy Upper School</t>
  </si>
  <si>
    <t>Snowden International School At Copley</t>
  </si>
  <si>
    <t>Bourne High School</t>
  </si>
  <si>
    <t>Bourne</t>
  </si>
  <si>
    <t>Masconomet Regional High School</t>
  </si>
  <si>
    <t>Boxford</t>
  </si>
  <si>
    <t>Tahanto Regional High School</t>
  </si>
  <si>
    <t>Boylston</t>
  </si>
  <si>
    <t>Braintree High School</t>
  </si>
  <si>
    <t>Bridgewater-Raynham Regional</t>
  </si>
  <si>
    <t>Bridgewater</t>
  </si>
  <si>
    <t>Boston Green Academy Horace Mann Charter School</t>
  </si>
  <si>
    <t>Lyon Upper 9-12</t>
  </si>
  <si>
    <t>Brockton High School</t>
  </si>
  <si>
    <t>Edison Academy</t>
  </si>
  <si>
    <t>Brookline High School</t>
  </si>
  <si>
    <t>Brookline</t>
  </si>
  <si>
    <t>Triton Regional High School</t>
  </si>
  <si>
    <t>Cambridge Rindge And Latin</t>
  </si>
  <si>
    <t>Community Charter School Of Cambridge</t>
  </si>
  <si>
    <t>Carver Middle/High School</t>
  </si>
  <si>
    <t>Carver</t>
  </si>
  <si>
    <t>Charlestown High School</t>
  </si>
  <si>
    <t>Phoenix Charter Academy</t>
  </si>
  <si>
    <t>Hoosac Valley High School</t>
  </si>
  <si>
    <t>Chicopee Comprehensive High School</t>
  </si>
  <si>
    <t>Chicopee High School</t>
  </si>
  <si>
    <t>Hampden Charter School Of Science East</t>
  </si>
  <si>
    <t>Clinton Senior High School</t>
  </si>
  <si>
    <t>Cohasset Middle/High School</t>
  </si>
  <si>
    <t>Cohasset</t>
  </si>
  <si>
    <t>Concord Carlisle High School</t>
  </si>
  <si>
    <t>Wahconah Regional High School</t>
  </si>
  <si>
    <t>Danvers High School</t>
  </si>
  <si>
    <t>Dartmouth High School</t>
  </si>
  <si>
    <t>Dartmouth</t>
  </si>
  <si>
    <t>Dedham High School</t>
  </si>
  <si>
    <t>Francis W. Parker Charter Essential School</t>
  </si>
  <si>
    <t>Devens</t>
  </si>
  <si>
    <t>Boston Collegiate Charter School</t>
  </si>
  <si>
    <t>Boston International High School</t>
  </si>
  <si>
    <t>Boston Latin Academy</t>
  </si>
  <si>
    <t>Community Academy Of Science And Health</t>
  </si>
  <si>
    <t>Jeremiah E Burke High School</t>
  </si>
  <si>
    <t>Techboston Academy</t>
  </si>
  <si>
    <t>Dover-Sherborn Regional High School</t>
  </si>
  <si>
    <t>Dracut Senior High School</t>
  </si>
  <si>
    <t>Dracut</t>
  </si>
  <si>
    <t>Shepherd Hill Regional High School</t>
  </si>
  <si>
    <t>Dudley</t>
  </si>
  <si>
    <t>Duxbury High School</t>
  </si>
  <si>
    <t>Duxbury</t>
  </si>
  <si>
    <t>East Boston High School</t>
  </si>
  <si>
    <t>East Boston</t>
  </si>
  <si>
    <t>Excel Academy Charter School</t>
  </si>
  <si>
    <t>East Bridgewater Jr./Sr. High School</t>
  </si>
  <si>
    <t>East Bridgewater</t>
  </si>
  <si>
    <t>East Longmeadow High School</t>
  </si>
  <si>
    <t>East Longmeadow</t>
  </si>
  <si>
    <t>Sandwich High School</t>
  </si>
  <si>
    <t>East Sandwich</t>
  </si>
  <si>
    <t>Easthampton High School</t>
  </si>
  <si>
    <t>Everett High School</t>
  </si>
  <si>
    <t>Fairhaven High School</t>
  </si>
  <si>
    <t>Fairhaven</t>
  </si>
  <si>
    <t>B M C Durfee High School</t>
  </si>
  <si>
    <t>Tantasqua Regional Sr High School</t>
  </si>
  <si>
    <t>Fiskdale</t>
  </si>
  <si>
    <t>Fitchburg High School</t>
  </si>
  <si>
    <t>Goodrich Academy</t>
  </si>
  <si>
    <t>Sizer School: A North Central Charter Essential School</t>
  </si>
  <si>
    <t>Foxborough High School</t>
  </si>
  <si>
    <t>Foxborough</t>
  </si>
  <si>
    <t>Framingham High School</t>
  </si>
  <si>
    <t>Gardner High School</t>
  </si>
  <si>
    <t>Pathways Early College Innovation School</t>
  </si>
  <si>
    <t>The Gateway To College</t>
  </si>
  <si>
    <t>Georgetown High School</t>
  </si>
  <si>
    <t>Gloucester High School</t>
  </si>
  <si>
    <t>Gloucester</t>
  </si>
  <si>
    <t>Grafton High School</t>
  </si>
  <si>
    <t>Grafton</t>
  </si>
  <si>
    <t>Granby Jr Sr High School</t>
  </si>
  <si>
    <t>Monument Mt Regional High School</t>
  </si>
  <si>
    <t>Great Barrington</t>
  </si>
  <si>
    <t>Four Rivers Charter Public School</t>
  </si>
  <si>
    <t>Groton Dunstable Regional</t>
  </si>
  <si>
    <t>Hopkins Academy</t>
  </si>
  <si>
    <t>Hadley</t>
  </si>
  <si>
    <t>Bromfield</t>
  </si>
  <si>
    <t>Monomoy Regional High School</t>
  </si>
  <si>
    <t>Harwich</t>
  </si>
  <si>
    <t>Smith Academy</t>
  </si>
  <si>
    <t>Hatfield</t>
  </si>
  <si>
    <t>Haverhill Alternative School</t>
  </si>
  <si>
    <t>Haverhill</t>
  </si>
  <si>
    <t>Haverhill High School</t>
  </si>
  <si>
    <t>Hingham High School</t>
  </si>
  <si>
    <t>Holbrook Middle High School</t>
  </si>
  <si>
    <t>Wachusett Regional High School</t>
  </si>
  <si>
    <t>Holliston High School</t>
  </si>
  <si>
    <t>Holliston</t>
  </si>
  <si>
    <t>Gateway To College At Holyoke Community College</t>
  </si>
  <si>
    <t>Holyoke High School</t>
  </si>
  <si>
    <t>Paulo Freire Social Justice Charter School</t>
  </si>
  <si>
    <t>Hopedale Jr Sr High School</t>
  </si>
  <si>
    <t>Hopkinton High School</t>
  </si>
  <si>
    <t>Hopkinton</t>
  </si>
  <si>
    <t>Hull High School</t>
  </si>
  <si>
    <t>Gateway Regional High School</t>
  </si>
  <si>
    <t>Barnstable High School</t>
  </si>
  <si>
    <t>Hyannis</t>
  </si>
  <si>
    <t>Sturgis Charter Public School</t>
  </si>
  <si>
    <t>Academy Of The Pacific Rim Charter Public School</t>
  </si>
  <si>
    <t>Hyde Park</t>
  </si>
  <si>
    <t>Boston Community Leadership Academy</t>
  </si>
  <si>
    <t>Boston Preparatory Charter Public School</t>
  </si>
  <si>
    <t>Ipswich High School</t>
  </si>
  <si>
    <t>Ipswich</t>
  </si>
  <si>
    <t>Community Academy</t>
  </si>
  <si>
    <t>The English High School</t>
  </si>
  <si>
    <t>Silver Lake Regional High School</t>
  </si>
  <si>
    <t>Apponequet Regional High School</t>
  </si>
  <si>
    <t>High School Learning Center</t>
  </si>
  <si>
    <t>Phoenix Academy Public Charter High School Lawrence</t>
  </si>
  <si>
    <t>Lee Middle/High School</t>
  </si>
  <si>
    <t>Leicester High School</t>
  </si>
  <si>
    <t>Leicester</t>
  </si>
  <si>
    <t>Lenox Memorial High School</t>
  </si>
  <si>
    <t>Leominster Center For Excellence</t>
  </si>
  <si>
    <t>Leominster</t>
  </si>
  <si>
    <t>Leominster High School</t>
  </si>
  <si>
    <t>Longmeadow High School</t>
  </si>
  <si>
    <t>Longmeadow</t>
  </si>
  <si>
    <t>Leblanc Therapeutic Day School</t>
  </si>
  <si>
    <t>Lowell Middlesex Academy Charter School</t>
  </si>
  <si>
    <t>The Career Academy</t>
  </si>
  <si>
    <t>Ludlow Senior High School</t>
  </si>
  <si>
    <t>Lunenburg High School</t>
  </si>
  <si>
    <t>Lunenburg</t>
  </si>
  <si>
    <t>Classical High School</t>
  </si>
  <si>
    <t>Fecteau-Leary Junior/Senior High School</t>
  </si>
  <si>
    <t>Lynn English High School</t>
  </si>
  <si>
    <t>Lynnfield High School</t>
  </si>
  <si>
    <t>Lynnfield</t>
  </si>
  <si>
    <t>Malden High School</t>
  </si>
  <si>
    <t>Malden</t>
  </si>
  <si>
    <t>Manchester Essex Regional High School</t>
  </si>
  <si>
    <t>Marblehead High School</t>
  </si>
  <si>
    <t>Marblehead</t>
  </si>
  <si>
    <t>Advanced Math And Science Academy Charter School</t>
  </si>
  <si>
    <t>Marlborough</t>
  </si>
  <si>
    <t>Marlborough High School</t>
  </si>
  <si>
    <t>Marshfield High School</t>
  </si>
  <si>
    <t>Marshfield</t>
  </si>
  <si>
    <t>Mashpee High School</t>
  </si>
  <si>
    <t>Mashpee</t>
  </si>
  <si>
    <t>Old Rochester Regional High School</t>
  </si>
  <si>
    <t>Mattapoisett</t>
  </si>
  <si>
    <t>Medfield Senior High School</t>
  </si>
  <si>
    <t>Curtis-Tufts</t>
  </si>
  <si>
    <t>Medford High School</t>
  </si>
  <si>
    <t>Medway High School</t>
  </si>
  <si>
    <t>Medway</t>
  </si>
  <si>
    <t>Melrose High School</t>
  </si>
  <si>
    <t>Methuen High School</t>
  </si>
  <si>
    <t>Methuen</t>
  </si>
  <si>
    <t>Middleborough High School</t>
  </si>
  <si>
    <t>Middleborough</t>
  </si>
  <si>
    <t>Milford High School</t>
  </si>
  <si>
    <t>Millbury Junior/Senior High School</t>
  </si>
  <si>
    <t>Millbury</t>
  </si>
  <si>
    <t>Millis High School</t>
  </si>
  <si>
    <t>Millis</t>
  </si>
  <si>
    <t>Monson High School</t>
  </si>
  <si>
    <t>Monson</t>
  </si>
  <si>
    <t>Turners Fall High School</t>
  </si>
  <si>
    <t>Montague</t>
  </si>
  <si>
    <t>Nantucket High School</t>
  </si>
  <si>
    <t>Nantucket</t>
  </si>
  <si>
    <t>Natick High School</t>
  </si>
  <si>
    <t>Natick</t>
  </si>
  <si>
    <t>Needham High School</t>
  </si>
  <si>
    <t>City On A Hill Charter Public School New Bedford</t>
  </si>
  <si>
    <t>New Bedford</t>
  </si>
  <si>
    <t>Global Learning Charter Public School</t>
  </si>
  <si>
    <t>New Bedford High School</t>
  </si>
  <si>
    <t>Whaling City Junior/Senior High School</t>
  </si>
  <si>
    <t>Newburyport High School</t>
  </si>
  <si>
    <t>Newburyport</t>
  </si>
  <si>
    <t>Newton South High School</t>
  </si>
  <si>
    <t>Newton Centre</t>
  </si>
  <si>
    <t>Newton North High School</t>
  </si>
  <si>
    <t>Newtonville</t>
  </si>
  <si>
    <t>Drury High School</t>
  </si>
  <si>
    <t>North Adams</t>
  </si>
  <si>
    <t>North Andover High School</t>
  </si>
  <si>
    <t>North Attleboro High School</t>
  </si>
  <si>
    <t>North Attleborough</t>
  </si>
  <si>
    <t>North Brookfield High School</t>
  </si>
  <si>
    <t>North Brookfield</t>
  </si>
  <si>
    <t>Chelmsford High School</t>
  </si>
  <si>
    <t>North Chelmsford</t>
  </si>
  <si>
    <t>Dighton-Rehoboth Regional High School</t>
  </si>
  <si>
    <t>North Dighton</t>
  </si>
  <si>
    <t>Nauset Regional High School</t>
  </si>
  <si>
    <t>North Eastham</t>
  </si>
  <si>
    <t>Oliver Ames High School</t>
  </si>
  <si>
    <t>North Easton</t>
  </si>
  <si>
    <t>North Reading High School</t>
  </si>
  <si>
    <t>North Reading</t>
  </si>
  <si>
    <t>Northampton High School</t>
  </si>
  <si>
    <t>Northampton</t>
  </si>
  <si>
    <t>Algonquin Regional High School</t>
  </si>
  <si>
    <t>Northborough</t>
  </si>
  <si>
    <t>Pioneer Valley Regional</t>
  </si>
  <si>
    <t>Norwell</t>
  </si>
  <si>
    <t>Norwood High School</t>
  </si>
  <si>
    <t>Norwood</t>
  </si>
  <si>
    <t>Martha'S Vineyard Regional High School</t>
  </si>
  <si>
    <t>Oak Bluffs</t>
  </si>
  <si>
    <t>Ralph C Mahar Regional</t>
  </si>
  <si>
    <t>Peabody Veterans Memorial High School</t>
  </si>
  <si>
    <t>Pembroke High School</t>
  </si>
  <si>
    <t>Taconic High School</t>
  </si>
  <si>
    <t>Map Academy Charter School</t>
  </si>
  <si>
    <t>Plymouth North High School</t>
  </si>
  <si>
    <t>Plymouth South High School</t>
  </si>
  <si>
    <t>Rising Tide Charter Public School</t>
  </si>
  <si>
    <t>North Quincy High School</t>
  </si>
  <si>
    <t>Quincy High School</t>
  </si>
  <si>
    <t>Randolph High School</t>
  </si>
  <si>
    <t>Reading Memorial High School</t>
  </si>
  <si>
    <t>Revere High School</t>
  </si>
  <si>
    <t>Revere</t>
  </si>
  <si>
    <t>Seacoast School</t>
  </si>
  <si>
    <t>Rockland Senior High School</t>
  </si>
  <si>
    <t>Rockport High School</t>
  </si>
  <si>
    <t>Boston Day And Evening Academy Charter School</t>
  </si>
  <si>
    <t>Roxbury</t>
  </si>
  <si>
    <t>City On A Hill Charter Public School Circuit Street</t>
  </si>
  <si>
    <t>City On A Hill Charter Public School Dudley Square</t>
  </si>
  <si>
    <t>Greater Egleston Community High School</t>
  </si>
  <si>
    <t>O'Bryant School Math/Science</t>
  </si>
  <si>
    <t>Roxbury Preparatory Charter School</t>
  </si>
  <si>
    <t>New Liberty Innovation School</t>
  </si>
  <si>
    <t>Salem Academy Charter School</t>
  </si>
  <si>
    <t>Salem Prep High School</t>
  </si>
  <si>
    <t>Pioneer Charter School Of Science Ii (Pcss-Ii)</t>
  </si>
  <si>
    <t>Scituate High School</t>
  </si>
  <si>
    <t>Seekonk High School</t>
  </si>
  <si>
    <t>Seekonk</t>
  </si>
  <si>
    <t>Sharon High School</t>
  </si>
  <si>
    <t>Mt Everett Regional</t>
  </si>
  <si>
    <t>Mohawk Trail Regional High School</t>
  </si>
  <si>
    <t>Shelburne Falls</t>
  </si>
  <si>
    <t>Shrewsbury Sr High School</t>
  </si>
  <si>
    <t>Somerset Berkley Regional High School</t>
  </si>
  <si>
    <t>Somerville High School</t>
  </si>
  <si>
    <t>South Boston</t>
  </si>
  <si>
    <t>Frontier Regional</t>
  </si>
  <si>
    <t>South Deerfield</t>
  </si>
  <si>
    <t>Pioneer Valley Performing Arts Charter Public School</t>
  </si>
  <si>
    <t>South Hadley</t>
  </si>
  <si>
    <t>South Hadley High School</t>
  </si>
  <si>
    <t>Hamilton-Wenham Regional High School</t>
  </si>
  <si>
    <t>Dennis-Yarmouth Regional High School</t>
  </si>
  <si>
    <t>South Yarmouth</t>
  </si>
  <si>
    <t>Southbridge High School</t>
  </si>
  <si>
    <t>Southbridge</t>
  </si>
  <si>
    <t>Southwick Regional School</t>
  </si>
  <si>
    <t>Southwick</t>
  </si>
  <si>
    <t>David Prouty High School</t>
  </si>
  <si>
    <t>Baystate Academy Charter Public School</t>
  </si>
  <si>
    <t>Conservatory Of The Arts</t>
  </si>
  <si>
    <t>High School Of Commerce</t>
  </si>
  <si>
    <t>John J Duggan Middle</t>
  </si>
  <si>
    <t>Liberty Preparatory Academy</t>
  </si>
  <si>
    <t>Phoenix Academy Public Charter High School Springfield</t>
  </si>
  <si>
    <t>Springfield Central High School</t>
  </si>
  <si>
    <t>Springfield High School Of Science And Technology</t>
  </si>
  <si>
    <t>Springfield Public Day High School</t>
  </si>
  <si>
    <t>The Springfield Renaissance School An Expeditionary Learning</t>
  </si>
  <si>
    <t>Stoneham High School</t>
  </si>
  <si>
    <t>Stoughton High School</t>
  </si>
  <si>
    <t>Lincoln-Sudbury Regional High School</t>
  </si>
  <si>
    <t>Sudbury</t>
  </si>
  <si>
    <t>Sutton High School</t>
  </si>
  <si>
    <t>Swampscott High School</t>
  </si>
  <si>
    <t>Swampscott</t>
  </si>
  <si>
    <t>Joseph Case High School</t>
  </si>
  <si>
    <t>Swansea</t>
  </si>
  <si>
    <t>Taunton High School</t>
  </si>
  <si>
    <t>Tewksbury Memorial High School</t>
  </si>
  <si>
    <t>Tewksbury</t>
  </si>
  <si>
    <t>North Middlesex Regional</t>
  </si>
  <si>
    <t>Townsend</t>
  </si>
  <si>
    <t>Innovation Academy Charter School</t>
  </si>
  <si>
    <t>Tyngsborough High School</t>
  </si>
  <si>
    <t>Tyngsborough</t>
  </si>
  <si>
    <t>Nipmuc Regional High School</t>
  </si>
  <si>
    <t>Upton</t>
  </si>
  <si>
    <t>Uxbridge High School</t>
  </si>
  <si>
    <t>Uxbridge</t>
  </si>
  <si>
    <t>Wakefield Memorial High School</t>
  </si>
  <si>
    <t>Walpole High School</t>
  </si>
  <si>
    <t>Walpole</t>
  </si>
  <si>
    <t>Waltham Sr High School</t>
  </si>
  <si>
    <t>Ware Junior/Senior High School</t>
  </si>
  <si>
    <t>Ware</t>
  </si>
  <si>
    <t>Wareham Cooperative Alternative School</t>
  </si>
  <si>
    <t>Wareham</t>
  </si>
  <si>
    <t>Wareham Senior High School</t>
  </si>
  <si>
    <t>Quaboag Regional High School</t>
  </si>
  <si>
    <t>Wayland High School</t>
  </si>
  <si>
    <t>Wellesley Sr High School</t>
  </si>
  <si>
    <t>Wellesley</t>
  </si>
  <si>
    <t>West Boylston Junior/Senior High School</t>
  </si>
  <si>
    <t>West Boylston</t>
  </si>
  <si>
    <t>West Bridgewater Junior/Senior</t>
  </si>
  <si>
    <t>West Bridgewater</t>
  </si>
  <si>
    <t>Pentucket Regional Sr High School</t>
  </si>
  <si>
    <t>West Newbury</t>
  </si>
  <si>
    <t>Urban Science Academy</t>
  </si>
  <si>
    <t>West Roxbury</t>
  </si>
  <si>
    <t>West Roxbury Academy</t>
  </si>
  <si>
    <t>West Springfield High School</t>
  </si>
  <si>
    <t>West Springfield</t>
  </si>
  <si>
    <t>Westborough High School</t>
  </si>
  <si>
    <t>Westborough</t>
  </si>
  <si>
    <t>Westford Academy</t>
  </si>
  <si>
    <t>Westford</t>
  </si>
  <si>
    <t>Hampshire Regional High School</t>
  </si>
  <si>
    <t>Westhampton</t>
  </si>
  <si>
    <t>Westport Junior/Senior High School</t>
  </si>
  <si>
    <t>Weymouth High School</t>
  </si>
  <si>
    <t>Weymouth</t>
  </si>
  <si>
    <t>Northbridge High School</t>
  </si>
  <si>
    <t>Whitinsville</t>
  </si>
  <si>
    <t>Whitman Hanson Regional</t>
  </si>
  <si>
    <t>Whitman</t>
  </si>
  <si>
    <t>Minnechaug Regional High School</t>
  </si>
  <si>
    <t>Mt Greylock Regional High School</t>
  </si>
  <si>
    <t>Murdock High School</t>
  </si>
  <si>
    <t>Winchendon</t>
  </si>
  <si>
    <t>Woburn High School</t>
  </si>
  <si>
    <t>Woburn</t>
  </si>
  <si>
    <t>Burncoat Senior High School</t>
  </si>
  <si>
    <t>Claremont Academy</t>
  </si>
  <si>
    <t>Doherty Memorial High School</t>
  </si>
  <si>
    <t>Ma Academy For Math And Science School</t>
  </si>
  <si>
    <t>South High School Community</t>
  </si>
  <si>
    <t>University Pk Campus School</t>
  </si>
  <si>
    <t>King Philip Regional High School</t>
  </si>
  <si>
    <t>Wrentham</t>
  </si>
  <si>
    <t>Ada</t>
  </si>
  <si>
    <t>Adrian High School</t>
  </si>
  <si>
    <t>Adrian</t>
  </si>
  <si>
    <t>Jcclisd Academy  A Regional Middle College</t>
  </si>
  <si>
    <t>Allegan High School</t>
  </si>
  <si>
    <t>Allegan</t>
  </si>
  <si>
    <t>Outlook Academy  Youth Home Campus</t>
  </si>
  <si>
    <t>Allen Park High School</t>
  </si>
  <si>
    <t>Allendale High School</t>
  </si>
  <si>
    <t>Allendale</t>
  </si>
  <si>
    <t>Alma Senior High School</t>
  </si>
  <si>
    <t>Almont High School</t>
  </si>
  <si>
    <t>Almont</t>
  </si>
  <si>
    <t>Huron High School</t>
  </si>
  <si>
    <t>Washtenaw Technical Middle College</t>
  </si>
  <si>
    <t>Armada High School</t>
  </si>
  <si>
    <t>Armada</t>
  </si>
  <si>
    <t>Macomb Academy Of Arts  Sciences</t>
  </si>
  <si>
    <t>Ashley High School</t>
  </si>
  <si>
    <t>Ashley</t>
  </si>
  <si>
    <t>Athens Juniorsenor High School</t>
  </si>
  <si>
    <t>Au Gressims High School</t>
  </si>
  <si>
    <t>Au Gres</t>
  </si>
  <si>
    <t>Bay City Western High School</t>
  </si>
  <si>
    <t>Avondale High School</t>
  </si>
  <si>
    <t>Auburn Hills</t>
  </si>
  <si>
    <t>Bad Axe High School</t>
  </si>
  <si>
    <t>Bad Axe</t>
  </si>
  <si>
    <t>Baldwin Senior High School</t>
  </si>
  <si>
    <t>Bath High School</t>
  </si>
  <si>
    <t>Battle Creek Central High School</t>
  </si>
  <si>
    <t>Battle Creek</t>
  </si>
  <si>
    <t>Battle Creek MatHigh Schoolci Center</t>
  </si>
  <si>
    <t>Harper Creek High School</t>
  </si>
  <si>
    <t>Lakeview High School</t>
  </si>
  <si>
    <t>Pennfield Senior High School</t>
  </si>
  <si>
    <t>Bay City Central High School</t>
  </si>
  <si>
    <t>Bear Lake</t>
  </si>
  <si>
    <t>Beaverton Juniorsenior High School</t>
  </si>
  <si>
    <t>Beaverton</t>
  </si>
  <si>
    <t>Belding High School</t>
  </si>
  <si>
    <t>Belding</t>
  </si>
  <si>
    <t>Bellaire MiddleHigh School</t>
  </si>
  <si>
    <t>Belleville High School</t>
  </si>
  <si>
    <t>Bellevue Jrsr High School</t>
  </si>
  <si>
    <t>Benton Harbor High School</t>
  </si>
  <si>
    <t>Countryside Academy  MiddleHigh School</t>
  </si>
  <si>
    <t>Benzie Central Sr High School</t>
  </si>
  <si>
    <t>Benzonia</t>
  </si>
  <si>
    <t>Berkley High School</t>
  </si>
  <si>
    <t>Berkley</t>
  </si>
  <si>
    <t>Berrien Springs High School</t>
  </si>
  <si>
    <t>Ad Johnston Jrsr High School</t>
  </si>
  <si>
    <t>Wylie E Groves High School</t>
  </si>
  <si>
    <t>Big Rapids High School</t>
  </si>
  <si>
    <t>Big Rapids</t>
  </si>
  <si>
    <t>Crossroads Charter Academy 712</t>
  </si>
  <si>
    <t>Birch Run High School</t>
  </si>
  <si>
    <t>Birch Run</t>
  </si>
  <si>
    <t>Birch Run Progressive High School</t>
  </si>
  <si>
    <t>Ernest W Seaholm High School</t>
  </si>
  <si>
    <t>Montabella Juniorsenior High School</t>
  </si>
  <si>
    <t>Blanchard</t>
  </si>
  <si>
    <t>Blissfield High School</t>
  </si>
  <si>
    <t>Blissfield</t>
  </si>
  <si>
    <t>International Academy</t>
  </si>
  <si>
    <t>Bloomfield Hills High School</t>
  </si>
  <si>
    <t>Bloomingdale Middle And High School</t>
  </si>
  <si>
    <t>Boyne City High School</t>
  </si>
  <si>
    <t>Boyne City</t>
  </si>
  <si>
    <t>Breckenridge High School</t>
  </si>
  <si>
    <t>Breckenridge</t>
  </si>
  <si>
    <t>Brethren High School</t>
  </si>
  <si>
    <t>Brethren</t>
  </si>
  <si>
    <t>Bridgeport High School</t>
  </si>
  <si>
    <t>Bridgman High School</t>
  </si>
  <si>
    <t>Bridgman</t>
  </si>
  <si>
    <t>Charyl Stockwell Academy  High School</t>
  </si>
  <si>
    <t>Flextech High School</t>
  </si>
  <si>
    <t>Bronson Jrsr High School</t>
  </si>
  <si>
    <t>Columbia Central High School</t>
  </si>
  <si>
    <t>Brown City High School</t>
  </si>
  <si>
    <t>Brown City</t>
  </si>
  <si>
    <t>Buchanan</t>
  </si>
  <si>
    <t>Burr Oak High School</t>
  </si>
  <si>
    <t>Burr Oak</t>
  </si>
  <si>
    <t>Atherton Jr  Sr High School</t>
  </si>
  <si>
    <t>Bendle High School</t>
  </si>
  <si>
    <t>Bentley Senior High School</t>
  </si>
  <si>
    <t>Madison Academy  High School</t>
  </si>
  <si>
    <t>Byron Area High School</t>
  </si>
  <si>
    <t>Byron Center High School</t>
  </si>
  <si>
    <t>Byron Center</t>
  </si>
  <si>
    <t>Cadillac Senior High School</t>
  </si>
  <si>
    <t>Cadillac</t>
  </si>
  <si>
    <t>Caledonia High School</t>
  </si>
  <si>
    <t>Calumet High School</t>
  </si>
  <si>
    <t>Calumet</t>
  </si>
  <si>
    <t>Camdenfrontier High School</t>
  </si>
  <si>
    <t>Canton Preparatory High School</t>
  </si>
  <si>
    <t>Capac High School</t>
  </si>
  <si>
    <t>Capac</t>
  </si>
  <si>
    <t>Airport Middle College</t>
  </si>
  <si>
    <t>Carleton</t>
  </si>
  <si>
    <t>Airport Senior High School</t>
  </si>
  <si>
    <t>Caro High School</t>
  </si>
  <si>
    <t>Caro</t>
  </si>
  <si>
    <t>Carson Citycrystal High School</t>
  </si>
  <si>
    <t>Carsonvilleport Sanilac High School</t>
  </si>
  <si>
    <t>Carsonville</t>
  </si>
  <si>
    <t>Cass City Jr And Sr High School</t>
  </si>
  <si>
    <t>Cass City</t>
  </si>
  <si>
    <t>Ross Beatty High School</t>
  </si>
  <si>
    <t>Cassopolis</t>
  </si>
  <si>
    <t>Cedar Springs High School</t>
  </si>
  <si>
    <t>Cedar Springs</t>
  </si>
  <si>
    <t>Academy 21</t>
  </si>
  <si>
    <t>Center Line</t>
  </si>
  <si>
    <t>Center Line High School</t>
  </si>
  <si>
    <t>Centreville Jr Sr High School</t>
  </si>
  <si>
    <t>Charlevoix Middle High School</t>
  </si>
  <si>
    <t>Charlotte Early Middle College</t>
  </si>
  <si>
    <t>Charlotte Senior High School</t>
  </si>
  <si>
    <t>Cheboygan Area High School</t>
  </si>
  <si>
    <t>Cheboygan</t>
  </si>
  <si>
    <t>Chesaning Union High School</t>
  </si>
  <si>
    <t>Chesaning</t>
  </si>
  <si>
    <t>Clare High School</t>
  </si>
  <si>
    <t>Clare</t>
  </si>
  <si>
    <t>Clawson High School</t>
  </si>
  <si>
    <t>Clawson</t>
  </si>
  <si>
    <t>Algonac Juniorsenior High School</t>
  </si>
  <si>
    <t>Clay</t>
  </si>
  <si>
    <t>Pte Tremble Elementary School</t>
  </si>
  <si>
    <t>Climaxscotts High School</t>
  </si>
  <si>
    <t>Climax</t>
  </si>
  <si>
    <t>Clintondale High School</t>
  </si>
  <si>
    <t>Clinton Township</t>
  </si>
  <si>
    <t>Chippewa Valley High School</t>
  </si>
  <si>
    <t>Clinton Twp</t>
  </si>
  <si>
    <t>International Academy Of Macomb</t>
  </si>
  <si>
    <t>Clio Area High School</t>
  </si>
  <si>
    <t>Clio</t>
  </si>
  <si>
    <t>Coldwater High School</t>
  </si>
  <si>
    <t>Coleman Juniorsenior High School</t>
  </si>
  <si>
    <t>Coleman</t>
  </si>
  <si>
    <t>Coloma High School</t>
  </si>
  <si>
    <t>Coloma</t>
  </si>
  <si>
    <t>Colon High School</t>
  </si>
  <si>
    <t>Colon</t>
  </si>
  <si>
    <t>Walled Lake Central High School</t>
  </si>
  <si>
    <t>Commerce Township</t>
  </si>
  <si>
    <t>Walled Lake Western High School</t>
  </si>
  <si>
    <t>Walled Lake Northern High School</t>
  </si>
  <si>
    <t>Commerce Twp</t>
  </si>
  <si>
    <t>Comstock Park High School</t>
  </si>
  <si>
    <t>Comstock Park</t>
  </si>
  <si>
    <t>Constantine High School</t>
  </si>
  <si>
    <t>Constantine</t>
  </si>
  <si>
    <t>Coopersville High School</t>
  </si>
  <si>
    <t>Coopersville</t>
  </si>
  <si>
    <t>Corunna High School</t>
  </si>
  <si>
    <t>Corunna</t>
  </si>
  <si>
    <t>Covert High School</t>
  </si>
  <si>
    <t>Covert</t>
  </si>
  <si>
    <t>Croswelllexington High School</t>
  </si>
  <si>
    <t>Croswell</t>
  </si>
  <si>
    <t>Mason County Eastern Junior High SchoolHigh School</t>
  </si>
  <si>
    <t>Custer</t>
  </si>
  <si>
    <t>Dansville High School</t>
  </si>
  <si>
    <t>Dansville</t>
  </si>
  <si>
    <t>Davison High School</t>
  </si>
  <si>
    <t>Davison</t>
  </si>
  <si>
    <t>Dearborn High School</t>
  </si>
  <si>
    <t>Edsel Ford High School</t>
  </si>
  <si>
    <t>Fordson High School</t>
  </si>
  <si>
    <t>Henry Ford Academy</t>
  </si>
  <si>
    <t>Henry Ford Early College</t>
  </si>
  <si>
    <t>Henry Ford Early Collegeadvanced Manufacturing</t>
  </si>
  <si>
    <t>Riverside Academy  West Campus</t>
  </si>
  <si>
    <t>Robichaud Senior High School</t>
  </si>
  <si>
    <t>Decatur Jr Sr High School</t>
  </si>
  <si>
    <t>Deckerville Community High School</t>
  </si>
  <si>
    <t>Deckerville</t>
  </si>
  <si>
    <t>Deltonkellogg High School</t>
  </si>
  <si>
    <t>Delton</t>
  </si>
  <si>
    <t>Dk Academy</t>
  </si>
  <si>
    <t>Detour High School</t>
  </si>
  <si>
    <t>Detour Village</t>
  </si>
  <si>
    <t>Academy Of The Americas High School</t>
  </si>
  <si>
    <t>Benjamin Carson High School Of Science And Medicine</t>
  </si>
  <si>
    <t>Cass Technical High School</t>
  </si>
  <si>
    <t>Cody Academy Of Public Leadership</t>
  </si>
  <si>
    <t>Cody High School</t>
  </si>
  <si>
    <t>Communication And Media Arts High School</t>
  </si>
  <si>
    <t>Cornerstone Health And Technology School</t>
  </si>
  <si>
    <t>Davis Aerospace Technical High School At Golightly</t>
  </si>
  <si>
    <t>Denby High School</t>
  </si>
  <si>
    <t>Detroit Collegiate High School</t>
  </si>
  <si>
    <t>Detroit Collegiate Preparatory High School At Northwestern</t>
  </si>
  <si>
    <t>Detroit Community Schools  High School</t>
  </si>
  <si>
    <t>Detroit Delta Preparatory Academy For Social Justice</t>
  </si>
  <si>
    <t>Detroit Edison Public School Academy  High School</t>
  </si>
  <si>
    <t>Detroit Institute Of Technology At Cody</t>
  </si>
  <si>
    <t>Detroit Leadership Academy MiddleHigh School</t>
  </si>
  <si>
    <t>Detroit Public Safety Academy</t>
  </si>
  <si>
    <t>Detroit School Of Arts</t>
  </si>
  <si>
    <t>East English Village Preparatory Academy</t>
  </si>
  <si>
    <t>Frederick Douglass Academy For Young Men</t>
  </si>
  <si>
    <t>Frontier International Academy</t>
  </si>
  <si>
    <t>Henry Ford Academy School For Creative Studies Psad</t>
  </si>
  <si>
    <t>Henry Ford High School</t>
  </si>
  <si>
    <t>Jalen Rose Leadership Academy</t>
  </si>
  <si>
    <t>Martin Luther King Jr Senior High School</t>
  </si>
  <si>
    <t>Mumford High School</t>
  </si>
  <si>
    <t>Old Redford Academy  High School</t>
  </si>
  <si>
    <t>Osborn High School</t>
  </si>
  <si>
    <t>Pershing High School</t>
  </si>
  <si>
    <t>University Preparatory Academy Psad  High School</t>
  </si>
  <si>
    <t>University Preparatory Science And Math Psad High School</t>
  </si>
  <si>
    <t>Voyageur College Prep</t>
  </si>
  <si>
    <t>Western International High School</t>
  </si>
  <si>
    <t>Dowagiac</t>
  </si>
  <si>
    <t>Dryden High School</t>
  </si>
  <si>
    <t>Dryden</t>
  </si>
  <si>
    <t>Dundee Community High School</t>
  </si>
  <si>
    <t>Durand Area High School</t>
  </si>
  <si>
    <t>East Jordan MiddleHigh School</t>
  </si>
  <si>
    <t>East Jordan</t>
  </si>
  <si>
    <t>East Lansing High School</t>
  </si>
  <si>
    <t>Great Lakes Cyber Academy-Ms/High School</t>
  </si>
  <si>
    <t>Eastpointe Alternative Center</t>
  </si>
  <si>
    <t>Eastpointe</t>
  </si>
  <si>
    <t>Eaton Rapids High School</t>
  </si>
  <si>
    <t>Eaton Rapids</t>
  </si>
  <si>
    <t>Eau Claire High School</t>
  </si>
  <si>
    <t>Ecorse Community High School</t>
  </si>
  <si>
    <t>Ecorse</t>
  </si>
  <si>
    <t>Hope Academyemic Academy</t>
  </si>
  <si>
    <t>Edwardsburg High School</t>
  </si>
  <si>
    <t>Edwardsburg</t>
  </si>
  <si>
    <t>Elk Rapids High School</t>
  </si>
  <si>
    <t>Elk Rapids</t>
  </si>
  <si>
    <t>Ovidelsie High School</t>
  </si>
  <si>
    <t>Elsie</t>
  </si>
  <si>
    <t>Mason Senior High School</t>
  </si>
  <si>
    <t>Escanaba Area Public High School</t>
  </si>
  <si>
    <t>Escanaba</t>
  </si>
  <si>
    <t>Garber High School</t>
  </si>
  <si>
    <t>Essexville</t>
  </si>
  <si>
    <t>Evart High School</t>
  </si>
  <si>
    <t>Evart</t>
  </si>
  <si>
    <t>Akronfairgrove Jrsr High School</t>
  </si>
  <si>
    <t>Fairgrove</t>
  </si>
  <si>
    <t>North Farmington High School</t>
  </si>
  <si>
    <t>Oakland Early College</t>
  </si>
  <si>
    <t>Farwell High School</t>
  </si>
  <si>
    <t>Farwell</t>
  </si>
  <si>
    <t>Fennville Public High School</t>
  </si>
  <si>
    <t>Fennville</t>
  </si>
  <si>
    <t>Fenton Senior High School</t>
  </si>
  <si>
    <t>Fenton</t>
  </si>
  <si>
    <t>Forest Area High School</t>
  </si>
  <si>
    <t>Fife Lake</t>
  </si>
  <si>
    <t>Flat Rock Community High School</t>
  </si>
  <si>
    <t>Flat Rock</t>
  </si>
  <si>
    <t>Summit Academy North High School</t>
  </si>
  <si>
    <t>Woodhaven High School</t>
  </si>
  <si>
    <t>Flint</t>
  </si>
  <si>
    <t>Carmanainsworth Baker Career Academy</t>
  </si>
  <si>
    <t>Carmanainsworth High School</t>
  </si>
  <si>
    <t>Genesee Early College</t>
  </si>
  <si>
    <t>Hamady Community High School</t>
  </si>
  <si>
    <t>Kearsley High School</t>
  </si>
  <si>
    <t>Mott Middle College High School</t>
  </si>
  <si>
    <t>Southwestern Classical Academy</t>
  </si>
  <si>
    <t>Flushing High School</t>
  </si>
  <si>
    <t>Fowlerville High School</t>
  </si>
  <si>
    <t>Fowlerville</t>
  </si>
  <si>
    <t>Frankenmuth High School</t>
  </si>
  <si>
    <t>Arts Academy In The Woods</t>
  </si>
  <si>
    <t>Fraser</t>
  </si>
  <si>
    <t>Fraser High School</t>
  </si>
  <si>
    <t>Freeland Middle SchoolHigh School</t>
  </si>
  <si>
    <t>Freeland</t>
  </si>
  <si>
    <t>Fruitport Alternative High School</t>
  </si>
  <si>
    <t>Fruitport</t>
  </si>
  <si>
    <t>Fruitport High School</t>
  </si>
  <si>
    <t>Galesburgaugusta High School</t>
  </si>
  <si>
    <t>Gaylord High Schoolvoc Bldg</t>
  </si>
  <si>
    <t>Genesee High School</t>
  </si>
  <si>
    <t>Genesee</t>
  </si>
  <si>
    <t>Gladstone Area High School</t>
  </si>
  <si>
    <t>Gladwin High School</t>
  </si>
  <si>
    <t>Gladwin</t>
  </si>
  <si>
    <t>Gobles High School</t>
  </si>
  <si>
    <t>Gobles</t>
  </si>
  <si>
    <t>Michigan Online School</t>
  </si>
  <si>
    <t>Goodrich High School</t>
  </si>
  <si>
    <t>Grand Blanc Community High School</t>
  </si>
  <si>
    <t>Grand Haven High School</t>
  </si>
  <si>
    <t>Grand Haven</t>
  </si>
  <si>
    <t>Grand Ledge High School</t>
  </si>
  <si>
    <t>Grand Ledge</t>
  </si>
  <si>
    <t>Ca Frost Environmental Science Academy Middle High School</t>
  </si>
  <si>
    <t>City MiddleHigh School</t>
  </si>
  <si>
    <t>East Grand Rapids High School</t>
  </si>
  <si>
    <t>East Kentwood High School</t>
  </si>
  <si>
    <t>Godwin Heights Senior High School</t>
  </si>
  <si>
    <t>Grand Rapids Montessori MiddleHigh School</t>
  </si>
  <si>
    <t>Grand Rapids Public Museum High School</t>
  </si>
  <si>
    <t>Grand Rapids University Preparatory Academy</t>
  </si>
  <si>
    <t>Grand River Preparatory High School  School</t>
  </si>
  <si>
    <t>Innovation Central High School</t>
  </si>
  <si>
    <t>Kenowa Hills High School</t>
  </si>
  <si>
    <t>Kent Innovation High School</t>
  </si>
  <si>
    <t>Myschoolkent</t>
  </si>
  <si>
    <t>Nextech High School</t>
  </si>
  <si>
    <t>Ottawa Hills High School</t>
  </si>
  <si>
    <t>Wellspring Preparatory High School</t>
  </si>
  <si>
    <t>Grandville High School</t>
  </si>
  <si>
    <t>Grandville</t>
  </si>
  <si>
    <t>Grass Lake High School</t>
  </si>
  <si>
    <t>Grass Lake</t>
  </si>
  <si>
    <t>Grayling High School</t>
  </si>
  <si>
    <t>Grayling</t>
  </si>
  <si>
    <t>Shawono Center</t>
  </si>
  <si>
    <t>Flat River Academy  MiddleHigh School</t>
  </si>
  <si>
    <t>Greenville Senior High School</t>
  </si>
  <si>
    <t>Grosse Ile High School</t>
  </si>
  <si>
    <t>Grosse Ile</t>
  </si>
  <si>
    <t>Grosse Pointe South High School</t>
  </si>
  <si>
    <t>Grosse Pointe Farms</t>
  </si>
  <si>
    <t>Grosse Pointe North High School</t>
  </si>
  <si>
    <t>Grosse Pointe Woods</t>
  </si>
  <si>
    <t>Gwinn MiddleHigh School</t>
  </si>
  <si>
    <t>Gwinn</t>
  </si>
  <si>
    <t>Hale High School</t>
  </si>
  <si>
    <t>Hale</t>
  </si>
  <si>
    <t>Hamtramck High School</t>
  </si>
  <si>
    <t>Oakland International Academy  High School</t>
  </si>
  <si>
    <t>Hancock MiddleHigh School</t>
  </si>
  <si>
    <t>Harbor Beach Community High School</t>
  </si>
  <si>
    <t>Harbor Beach</t>
  </si>
  <si>
    <t>Harbor Springs High School</t>
  </si>
  <si>
    <t>Harbor Spgs</t>
  </si>
  <si>
    <t>Chandler Park Academy  High School</t>
  </si>
  <si>
    <t>Harper Woods</t>
  </si>
  <si>
    <t>Harper Woods High School</t>
  </si>
  <si>
    <t>Bark Riverharris Jrsr High School</t>
  </si>
  <si>
    <t>Harris</t>
  </si>
  <si>
    <t>Harrison Community High School</t>
  </si>
  <si>
    <t>Lanse Creuse High School</t>
  </si>
  <si>
    <t>Harrison Township</t>
  </si>
  <si>
    <t>Hart High School</t>
  </si>
  <si>
    <t>Hart</t>
  </si>
  <si>
    <t>Hartford High School</t>
  </si>
  <si>
    <t>Hartland High School</t>
  </si>
  <si>
    <t>Haslett High School</t>
  </si>
  <si>
    <t>Haslett</t>
  </si>
  <si>
    <t>Hastings High School</t>
  </si>
  <si>
    <t>Hazel Park High School</t>
  </si>
  <si>
    <t>Hazel Park</t>
  </si>
  <si>
    <t>Hemlock High School</t>
  </si>
  <si>
    <t>Hesperia Community Education</t>
  </si>
  <si>
    <t>Hillman Community Jrsr High School</t>
  </si>
  <si>
    <t>Hillman</t>
  </si>
  <si>
    <t>Horizon Alternative School</t>
  </si>
  <si>
    <t>Black River Public School MiddleHigh School</t>
  </si>
  <si>
    <t>Holland High School</t>
  </si>
  <si>
    <t>West Ottawa High School Campus</t>
  </si>
  <si>
    <t>Holt Senior High School</t>
  </si>
  <si>
    <t>Homer Community High School</t>
  </si>
  <si>
    <t>Hopkins High School</t>
  </si>
  <si>
    <t>Hanoverhorton High School</t>
  </si>
  <si>
    <t>Houghton Central High School</t>
  </si>
  <si>
    <t>Houghton Lake High School</t>
  </si>
  <si>
    <t>Howell High School</t>
  </si>
  <si>
    <t>Hudson Area High School</t>
  </si>
  <si>
    <t>Hudsonville High School</t>
  </si>
  <si>
    <t>Ida High School</t>
  </si>
  <si>
    <t>Ida</t>
  </si>
  <si>
    <t>Imlay City High School</t>
  </si>
  <si>
    <t>Imlay City</t>
  </si>
  <si>
    <t>Inland Lakes Secondary School</t>
  </si>
  <si>
    <t>Indian River</t>
  </si>
  <si>
    <t>American International Academy High School</t>
  </si>
  <si>
    <t>Inkster</t>
  </si>
  <si>
    <t>Anchor Bay High School</t>
  </si>
  <si>
    <t>Ira</t>
  </si>
  <si>
    <t>Iron Mountain High School</t>
  </si>
  <si>
    <t>Iron Mountain</t>
  </si>
  <si>
    <t>West Iron County High School</t>
  </si>
  <si>
    <t>Iron River</t>
  </si>
  <si>
    <t>Ishpeming High School</t>
  </si>
  <si>
    <t>Ishpeming</t>
  </si>
  <si>
    <t>Ithaca High School</t>
  </si>
  <si>
    <t>East Jackson Secondary School</t>
  </si>
  <si>
    <t>Jackson Preparatory  Early College</t>
  </si>
  <si>
    <t>Vandercook Lake High School</t>
  </si>
  <si>
    <t>Jenison High School</t>
  </si>
  <si>
    <t>Jenison</t>
  </si>
  <si>
    <t>Johannesburglewiston High School</t>
  </si>
  <si>
    <t>Johannesburg</t>
  </si>
  <si>
    <t>Jonesville High School</t>
  </si>
  <si>
    <t>Comstock High School</t>
  </si>
  <si>
    <t>Kalamazoo</t>
  </si>
  <si>
    <t>Kalamazoo Area Math And Science Center</t>
  </si>
  <si>
    <t>Kalamazoo Central High School</t>
  </si>
  <si>
    <t>Kalamazoo Covenant Academy</t>
  </si>
  <si>
    <t>Loy Norrix High School</t>
  </si>
  <si>
    <t>Parchment High School</t>
  </si>
  <si>
    <t>Youth Advancement Academy</t>
  </si>
  <si>
    <t>Kalkaska High School</t>
  </si>
  <si>
    <t>Kalkaska</t>
  </si>
  <si>
    <t>Kent City Alternative High School</t>
  </si>
  <si>
    <t>Kent City</t>
  </si>
  <si>
    <t>Kent City High School</t>
  </si>
  <si>
    <t>Kingsford High School</t>
  </si>
  <si>
    <t>Kingsford</t>
  </si>
  <si>
    <t>Kingsley Area High School</t>
  </si>
  <si>
    <t>Laingsburg High School</t>
  </si>
  <si>
    <t>Laingsburg</t>
  </si>
  <si>
    <t>Lake Odessa</t>
  </si>
  <si>
    <t>Lake Orion Community High School</t>
  </si>
  <si>
    <t>Lake Orion</t>
  </si>
  <si>
    <t>Kensington Woods Schools</t>
  </si>
  <si>
    <t>Lakeview</t>
  </si>
  <si>
    <t>Jw Sexton High School</t>
  </si>
  <si>
    <t>Waverly Senior High School</t>
  </si>
  <si>
    <t>Lapeer High School</t>
  </si>
  <si>
    <t>Lapeer</t>
  </si>
  <si>
    <t>University High School Academy</t>
  </si>
  <si>
    <t>Lathrup Village</t>
  </si>
  <si>
    <t>Lawrence Jrsr High School</t>
  </si>
  <si>
    <t>Lawton High School</t>
  </si>
  <si>
    <t>Pine River Area MiddleHigh School</t>
  </si>
  <si>
    <t>Leslie High School</t>
  </si>
  <si>
    <t>Leslie</t>
  </si>
  <si>
    <t>Alcona Community High School</t>
  </si>
  <si>
    <t>Lincoln Park</t>
  </si>
  <si>
    <t>Lake Fenton High School</t>
  </si>
  <si>
    <t>Churchill High School</t>
  </si>
  <si>
    <t>Clarenceville High School</t>
  </si>
  <si>
    <t>Stevenson High School</t>
  </si>
  <si>
    <t>Academy Of Science Math And Technology Early College High School Sc</t>
  </si>
  <si>
    <t>Ludington</t>
  </si>
  <si>
    <t>Ludington High School</t>
  </si>
  <si>
    <t>Dakota High School</t>
  </si>
  <si>
    <t>Lanse Creuse High School  North</t>
  </si>
  <si>
    <t>Lamphere High School</t>
  </si>
  <si>
    <t>Madison Heights</t>
  </si>
  <si>
    <t>Manchester Juniorsenior High School</t>
  </si>
  <si>
    <t>Manistee Middle High School</t>
  </si>
  <si>
    <t>Manistee</t>
  </si>
  <si>
    <t>Manistique Middle And High School</t>
  </si>
  <si>
    <t>Manistique</t>
  </si>
  <si>
    <t>Manton Consolidated High School</t>
  </si>
  <si>
    <t>Manton</t>
  </si>
  <si>
    <t>Marcellus High School</t>
  </si>
  <si>
    <t>Marcellus</t>
  </si>
  <si>
    <t>Marine City High School</t>
  </si>
  <si>
    <t>Marine City</t>
  </si>
  <si>
    <t>Marlette Jrsr High School</t>
  </si>
  <si>
    <t>Marlette</t>
  </si>
  <si>
    <t>Marquette Senior High School</t>
  </si>
  <si>
    <t>Marquette</t>
  </si>
  <si>
    <t>Martin High School</t>
  </si>
  <si>
    <t>Martin</t>
  </si>
  <si>
    <t>Mason High School</t>
  </si>
  <si>
    <t>The Early College  Lansing Community College</t>
  </si>
  <si>
    <t>Mattawan High School</t>
  </si>
  <si>
    <t>Mattawan</t>
  </si>
  <si>
    <t>Mayville High School</t>
  </si>
  <si>
    <t>Mayville</t>
  </si>
  <si>
    <t>Academy For Business And Technology High School</t>
  </si>
  <si>
    <t>Melvindale</t>
  </si>
  <si>
    <t>Melvindale High School</t>
  </si>
  <si>
    <t>Memphis Juniorsenior High School</t>
  </si>
  <si>
    <t>Mendon MiddleHigh School</t>
  </si>
  <si>
    <t>Menominee High School</t>
  </si>
  <si>
    <t>Menominee</t>
  </si>
  <si>
    <t>Merrill High School</t>
  </si>
  <si>
    <t>Mesick Consolidated Jrsr High School</t>
  </si>
  <si>
    <t>Mesick</t>
  </si>
  <si>
    <t>Michigan Center Jrsr High School</t>
  </si>
  <si>
    <t>Michigan Center</t>
  </si>
  <si>
    <t>Thornapple Kellogg High School</t>
  </si>
  <si>
    <t>Middleville</t>
  </si>
  <si>
    <t>Bullock Creek High School</t>
  </si>
  <si>
    <t>Hh Dow High School</t>
  </si>
  <si>
    <t>Windover High School</t>
  </si>
  <si>
    <t>Millington High School</t>
  </si>
  <si>
    <t>Mioausable High School</t>
  </si>
  <si>
    <t>Mio</t>
  </si>
  <si>
    <t>Monroe County Middle College</t>
  </si>
  <si>
    <t>Monroe County Youth Center</t>
  </si>
  <si>
    <t>Montague High School</t>
  </si>
  <si>
    <t>Hillmccloy High School</t>
  </si>
  <si>
    <t>Morenci Middle And High School</t>
  </si>
  <si>
    <t>Morley Stanwood High School</t>
  </si>
  <si>
    <t>Morley</t>
  </si>
  <si>
    <t>Morrice Area High School</t>
  </si>
  <si>
    <t>Morrice</t>
  </si>
  <si>
    <t>Mount Clemens High School</t>
  </si>
  <si>
    <t>Mount Clemens</t>
  </si>
  <si>
    <t>Ea Johnson Memorial High School</t>
  </si>
  <si>
    <t>Mount Morris</t>
  </si>
  <si>
    <t>Beal City High School</t>
  </si>
  <si>
    <t>Isabella Day Treatment</t>
  </si>
  <si>
    <t>Mt Pleasant Senior High School</t>
  </si>
  <si>
    <t>Way  Oasis</t>
  </si>
  <si>
    <t>Munising High School And Middle School</t>
  </si>
  <si>
    <t>Munising</t>
  </si>
  <si>
    <t>Mona Shores High School</t>
  </si>
  <si>
    <t>Muskegon Heights Academy</t>
  </si>
  <si>
    <t>Muskegon High School</t>
  </si>
  <si>
    <t>North Muskegon High School</t>
  </si>
  <si>
    <t>Oakridge High School</t>
  </si>
  <si>
    <t>Orchard View Community Education</t>
  </si>
  <si>
    <t>Orchard View High School</t>
  </si>
  <si>
    <t>ReetHigh Schoolpuffer High School</t>
  </si>
  <si>
    <t>Napoleon High School</t>
  </si>
  <si>
    <t>Napoleon</t>
  </si>
  <si>
    <t>Negaunee High School</t>
  </si>
  <si>
    <t>Negaunee</t>
  </si>
  <si>
    <t>New Boston</t>
  </si>
  <si>
    <t>New Buffalo Senior High School</t>
  </si>
  <si>
    <t>New Buffalo</t>
  </si>
  <si>
    <t>New Lothrop High School</t>
  </si>
  <si>
    <t>New Lothrop</t>
  </si>
  <si>
    <t>Newaygo High School</t>
  </si>
  <si>
    <t>Newaygo</t>
  </si>
  <si>
    <t>Brandywine Senior High School</t>
  </si>
  <si>
    <t>Niles Senior High School</t>
  </si>
  <si>
    <t>North Adamsjerome MiddleHigh School</t>
  </si>
  <si>
    <t>North Branch High School</t>
  </si>
  <si>
    <t>North Branch</t>
  </si>
  <si>
    <t>Northville High School</t>
  </si>
  <si>
    <t>Northville</t>
  </si>
  <si>
    <t>Norway High School</t>
  </si>
  <si>
    <t>Norway</t>
  </si>
  <si>
    <t>Flextech High School  Novi</t>
  </si>
  <si>
    <t>Novi</t>
  </si>
  <si>
    <t>Novi High School</t>
  </si>
  <si>
    <t>Casa</t>
  </si>
  <si>
    <t>Nextech High School Of Lansing</t>
  </si>
  <si>
    <t>Okemos High School</t>
  </si>
  <si>
    <t>Olivet High School</t>
  </si>
  <si>
    <t>Olivet</t>
  </si>
  <si>
    <t>Onaway Senior High School</t>
  </si>
  <si>
    <t>Onaway</t>
  </si>
  <si>
    <t>Onsted Community High School</t>
  </si>
  <si>
    <t>Onsted</t>
  </si>
  <si>
    <t>Ortonville</t>
  </si>
  <si>
    <t>Oscoda Area High School</t>
  </si>
  <si>
    <t>Oscoda</t>
  </si>
  <si>
    <t>Lakeville High School</t>
  </si>
  <si>
    <t>Otisville</t>
  </si>
  <si>
    <t>Otsego High School</t>
  </si>
  <si>
    <t>Otsego</t>
  </si>
  <si>
    <t>Whiteford High School</t>
  </si>
  <si>
    <t>Ottawa Lake</t>
  </si>
  <si>
    <t>Owendalegagetown Jrsr High School</t>
  </si>
  <si>
    <t>Owendale</t>
  </si>
  <si>
    <t>Owosso High School</t>
  </si>
  <si>
    <t>Oxford Schools Early College</t>
  </si>
  <si>
    <t>Paw Paw High School</t>
  </si>
  <si>
    <t>Peck Jrsr High School</t>
  </si>
  <si>
    <t>Peck</t>
  </si>
  <si>
    <t>Pellston MiddleHigh School</t>
  </si>
  <si>
    <t>Pellston</t>
  </si>
  <si>
    <t>Summerfield Juniorsenior High School</t>
  </si>
  <si>
    <t>Petoskey High School</t>
  </si>
  <si>
    <t>Petoskey</t>
  </si>
  <si>
    <t>Laker High School</t>
  </si>
  <si>
    <t>Pigeon</t>
  </si>
  <si>
    <t>Pinckney  Community High School</t>
  </si>
  <si>
    <t>Pinckney</t>
  </si>
  <si>
    <t>Pinconning High School</t>
  </si>
  <si>
    <t>Pinconning</t>
  </si>
  <si>
    <t>Pittsford Area High School</t>
  </si>
  <si>
    <t>Pittsford</t>
  </si>
  <si>
    <t>Plainwell High School</t>
  </si>
  <si>
    <t>Plainwell</t>
  </si>
  <si>
    <t>New School High School</t>
  </si>
  <si>
    <t>Pontiac Academy For Excellence  High School</t>
  </si>
  <si>
    <t>Blue Water Middle College Academy</t>
  </si>
  <si>
    <t>Port Huron</t>
  </si>
  <si>
    <t>Port Huron High School</t>
  </si>
  <si>
    <t>Port Huron Northern High School</t>
  </si>
  <si>
    <t>Portage Central High School</t>
  </si>
  <si>
    <t>Portage Northern High School</t>
  </si>
  <si>
    <t>Posen Consolidated High School</t>
  </si>
  <si>
    <t>Posen</t>
  </si>
  <si>
    <t>Potterville High School</t>
  </si>
  <si>
    <t>Potterville</t>
  </si>
  <si>
    <t>North Central Area Senior High School</t>
  </si>
  <si>
    <t>Powers</t>
  </si>
  <si>
    <t>Ravenna High School</t>
  </si>
  <si>
    <t>Ravenna</t>
  </si>
  <si>
    <t>Reading High School</t>
  </si>
  <si>
    <t>Lee M Thurston High School</t>
  </si>
  <si>
    <t>Redford</t>
  </si>
  <si>
    <t>Redford Union High School</t>
  </si>
  <si>
    <t>Reed City High School</t>
  </si>
  <si>
    <t>Reed City</t>
  </si>
  <si>
    <t>Reese High School</t>
  </si>
  <si>
    <t>Reese</t>
  </si>
  <si>
    <t>Chippewa Hills High School</t>
  </si>
  <si>
    <t>Remus</t>
  </si>
  <si>
    <t>Gull Lake High School</t>
  </si>
  <si>
    <t>Richmond Community High School</t>
  </si>
  <si>
    <t>River Rouge High School</t>
  </si>
  <si>
    <t>Riverview Community High School</t>
  </si>
  <si>
    <t>Reuther Middle School</t>
  </si>
  <si>
    <t>Rochester Hills</t>
  </si>
  <si>
    <t>Rochester Adams High School</t>
  </si>
  <si>
    <t>Stoney Creek High School</t>
  </si>
  <si>
    <t>Rockford High School</t>
  </si>
  <si>
    <t>Rockford High School Freshman Center</t>
  </si>
  <si>
    <t>Oscar A Carlson High School</t>
  </si>
  <si>
    <t>Rockwood</t>
  </si>
  <si>
    <t>Rogers City High School</t>
  </si>
  <si>
    <t>Rogers City</t>
  </si>
  <si>
    <t>Romeo High School</t>
  </si>
  <si>
    <t>Romeo</t>
  </si>
  <si>
    <t>Romulus Senior High School</t>
  </si>
  <si>
    <t>Romulus</t>
  </si>
  <si>
    <t>Roscommon High School</t>
  </si>
  <si>
    <t>Roscommon</t>
  </si>
  <si>
    <t>Royal Oak High School</t>
  </si>
  <si>
    <t>Royal Oak</t>
  </si>
  <si>
    <t>Arthur Hill High School</t>
  </si>
  <si>
    <t>Great Lakes Bay Early College</t>
  </si>
  <si>
    <t>Saginaw Arts And Sciences Academy</t>
  </si>
  <si>
    <t>Saginaw Covenant Academy</t>
  </si>
  <si>
    <t>Saginaw High School</t>
  </si>
  <si>
    <t>Swan Valley High School</t>
  </si>
  <si>
    <t>St Charles Community MiddleHigh School</t>
  </si>
  <si>
    <t>St Clair High School</t>
  </si>
  <si>
    <t>Saint Clair</t>
  </si>
  <si>
    <t>Lake Shore High School</t>
  </si>
  <si>
    <t>Saint Clair Shores</t>
  </si>
  <si>
    <t>Saint Ignace</t>
  </si>
  <si>
    <t>St Louis High School</t>
  </si>
  <si>
    <t>Saline High School</t>
  </si>
  <si>
    <t>Saline</t>
  </si>
  <si>
    <t>Sand Creek</t>
  </si>
  <si>
    <t>Tri County Senior High School</t>
  </si>
  <si>
    <t>Sand Lake</t>
  </si>
  <si>
    <t>Sandusky Juniorsenior High School</t>
  </si>
  <si>
    <t>Meridian Early College High School</t>
  </si>
  <si>
    <t>Saranac Jrsr High School</t>
  </si>
  <si>
    <t>Saranac</t>
  </si>
  <si>
    <t>Saugatuck High School</t>
  </si>
  <si>
    <t>Saugatuck</t>
  </si>
  <si>
    <t>Sault Area High School</t>
  </si>
  <si>
    <t>Schoolcraft High School</t>
  </si>
  <si>
    <t>Schoolcraft</t>
  </si>
  <si>
    <t>Mason County Central High School</t>
  </si>
  <si>
    <t>Scottville</t>
  </si>
  <si>
    <t>Unionvillesebewaing High School</t>
  </si>
  <si>
    <t>Sebewaing</t>
  </si>
  <si>
    <t>Shelby High School</t>
  </si>
  <si>
    <t>Shelby Township</t>
  </si>
  <si>
    <t>Flextech High School Shepherd</t>
  </si>
  <si>
    <t>Shepherd</t>
  </si>
  <si>
    <t>Shepherd  High School</t>
  </si>
  <si>
    <t>Early College At Montcalm Community College</t>
  </si>
  <si>
    <t>South Haven Alliance Campus</t>
  </si>
  <si>
    <t>South Lyon East High School</t>
  </si>
  <si>
    <t>South Lyon</t>
  </si>
  <si>
    <t>South Lyon High School</t>
  </si>
  <si>
    <t>Southfield High School For The Arts And Technology</t>
  </si>
  <si>
    <t>Southfield</t>
  </si>
  <si>
    <t>Southgate Anderson High School</t>
  </si>
  <si>
    <t>Sparta Senior High School</t>
  </si>
  <si>
    <t>Spring Lake High School</t>
  </si>
  <si>
    <t>Spring Lake</t>
  </si>
  <si>
    <t>Springport High School</t>
  </si>
  <si>
    <t>Springport</t>
  </si>
  <si>
    <t>StandisHigh Schoolterling Central Jrsr High School</t>
  </si>
  <si>
    <t>Central Montcalm High School</t>
  </si>
  <si>
    <t>Stephenson MiddleHigh School</t>
  </si>
  <si>
    <t>Stephenson</t>
  </si>
  <si>
    <t>Adlai Stevenson High School</t>
  </si>
  <si>
    <t>Sterling Heights</t>
  </si>
  <si>
    <t>Henry Ford Ii High School</t>
  </si>
  <si>
    <t>Joan C Sergent Instructional Resource Center</t>
  </si>
  <si>
    <t>Stockbridge Jrsr High School</t>
  </si>
  <si>
    <t>Sturgis High School</t>
  </si>
  <si>
    <t>Sturgis</t>
  </si>
  <si>
    <t>Suttons Bay Senior High School</t>
  </si>
  <si>
    <t>Suttons Bay</t>
  </si>
  <si>
    <t>Swartz Creek High School</t>
  </si>
  <si>
    <t>Tawas Area High School</t>
  </si>
  <si>
    <t>Tawas City</t>
  </si>
  <si>
    <t>Taylor Preparatory High School</t>
  </si>
  <si>
    <t>Bedford Senior High School</t>
  </si>
  <si>
    <t>Temperance</t>
  </si>
  <si>
    <t>River Valley MiddleHigh School</t>
  </si>
  <si>
    <t>Three Oaks</t>
  </si>
  <si>
    <t>Three Rivers High School</t>
  </si>
  <si>
    <t>Three Rivers</t>
  </si>
  <si>
    <t>Traverse City High School</t>
  </si>
  <si>
    <t>Ubly Community High School</t>
  </si>
  <si>
    <t>Ubly</t>
  </si>
  <si>
    <t>Union City High School</t>
  </si>
  <si>
    <t>Union City High School Early College</t>
  </si>
  <si>
    <t>Utica High School</t>
  </si>
  <si>
    <t>Pioneer Work And Learn Center</t>
  </si>
  <si>
    <t>Vassar</t>
  </si>
  <si>
    <t>Vassar Senior High School</t>
  </si>
  <si>
    <t>Maple Valley Jrsr High School</t>
  </si>
  <si>
    <t>Vermontville</t>
  </si>
  <si>
    <t>Vestaburg Community High School</t>
  </si>
  <si>
    <t>Vestaburg</t>
  </si>
  <si>
    <t>Vicksburg High School</t>
  </si>
  <si>
    <t>Conner Creek Academy East  Michigan Collegiate</t>
  </si>
  <si>
    <t>Fitzgerald Senior High School</t>
  </si>
  <si>
    <t>Macomb Math Science Technology Center</t>
  </si>
  <si>
    <t>Success Academy</t>
  </si>
  <si>
    <t>Warren Woods Tower High School</t>
  </si>
  <si>
    <t>Waterford Kettering High School</t>
  </si>
  <si>
    <t>Waterford Mott High School</t>
  </si>
  <si>
    <t>Watervliet Senior High School</t>
  </si>
  <si>
    <t>Watervliet</t>
  </si>
  <si>
    <t>Wayne Memorial High School</t>
  </si>
  <si>
    <t>Webberville High School</t>
  </si>
  <si>
    <t>Webberville</t>
  </si>
  <si>
    <t>West Bloomfield High School</t>
  </si>
  <si>
    <t>West Bloomfield</t>
  </si>
  <si>
    <t>Ogemaw Heights High School</t>
  </si>
  <si>
    <t>Westland</t>
  </si>
  <si>
    <t>Pewamowestphalia MiddleHigh School</t>
  </si>
  <si>
    <t>Westphalia</t>
  </si>
  <si>
    <t>White Cloud High School</t>
  </si>
  <si>
    <t>White Cloud</t>
  </si>
  <si>
    <t>White Lake</t>
  </si>
  <si>
    <t>White Pigeon Jrsr High School</t>
  </si>
  <si>
    <t>White Pigeon</t>
  </si>
  <si>
    <t>Whitehall Senior High School</t>
  </si>
  <si>
    <t>Whitehall</t>
  </si>
  <si>
    <t>Whitmore Lake High School</t>
  </si>
  <si>
    <t>Whitmore Lake</t>
  </si>
  <si>
    <t>Whittemoreprescott Jrsr High School</t>
  </si>
  <si>
    <t>Whittemore</t>
  </si>
  <si>
    <t>Williamston High School</t>
  </si>
  <si>
    <t>Wolverine MiddleHigh School</t>
  </si>
  <si>
    <t>Wolverine</t>
  </si>
  <si>
    <t>Wyandotte</t>
  </si>
  <si>
    <t>Godfreylee Ed Station</t>
  </si>
  <si>
    <t>Kelloggsville High School</t>
  </si>
  <si>
    <t>Wyoming High School</t>
  </si>
  <si>
    <t>Yale Senior High School</t>
  </si>
  <si>
    <t>Yale</t>
  </si>
  <si>
    <t>Actech High School</t>
  </si>
  <si>
    <t>Ypsilanti</t>
  </si>
  <si>
    <t>Arbor Preparatory High School</t>
  </si>
  <si>
    <t>Early College Alliance</t>
  </si>
  <si>
    <t>Lincoln Senior High School</t>
  </si>
  <si>
    <t>Washtenaw International High School</t>
  </si>
  <si>
    <t>Ypsilanti Stemm Middle College</t>
  </si>
  <si>
    <t>Venture Academy</t>
  </si>
  <si>
    <t>Zeeland</t>
  </si>
  <si>
    <t>Zeeland East High School</t>
  </si>
  <si>
    <t>Zeeland West High School</t>
  </si>
  <si>
    <t>Ada-Borup Secondary</t>
  </si>
  <si>
    <t>Southland Senior High School</t>
  </si>
  <si>
    <t>Adrian Secondary</t>
  </si>
  <si>
    <t>Aitkin Secondary School</t>
  </si>
  <si>
    <t>Aitkin</t>
  </si>
  <si>
    <t>Albany Area High School</t>
  </si>
  <si>
    <t>Albert Lea Senior High School</t>
  </si>
  <si>
    <t>Albert Lea</t>
  </si>
  <si>
    <t>Alden-Conger Secondary</t>
  </si>
  <si>
    <t>Alden</t>
  </si>
  <si>
    <t>Alexandria Area High School</t>
  </si>
  <si>
    <t>Annandale Senior High School</t>
  </si>
  <si>
    <t>Annandale</t>
  </si>
  <si>
    <t>Anoka High School</t>
  </si>
  <si>
    <t>Anoka</t>
  </si>
  <si>
    <t>Step Ahead High School</t>
  </si>
  <si>
    <t>Apple Valley Senior High School</t>
  </si>
  <si>
    <t>Eastview Senior High School</t>
  </si>
  <si>
    <t>Fit Academy High School</t>
  </si>
  <si>
    <t>School Of Environmental Studies</t>
  </si>
  <si>
    <t>Mounds View Senior High School</t>
  </si>
  <si>
    <t>Sibley East-Arlington Senior High School</t>
  </si>
  <si>
    <t>Ashby Secondary</t>
  </si>
  <si>
    <t>Ashby</t>
  </si>
  <si>
    <t>Mesabi East Secondary</t>
  </si>
  <si>
    <t>Austin Senior High School</t>
  </si>
  <si>
    <t>Northeast Range Secondary</t>
  </si>
  <si>
    <t>Babbitt</t>
  </si>
  <si>
    <t>Badger Secondary</t>
  </si>
  <si>
    <t>Badger</t>
  </si>
  <si>
    <t>Bagley Secondary</t>
  </si>
  <si>
    <t>Bagley</t>
  </si>
  <si>
    <t>Barnesville Secondary</t>
  </si>
  <si>
    <t>Barnum Secondary</t>
  </si>
  <si>
    <t>Barnum</t>
  </si>
  <si>
    <t>West Central Area Secondary</t>
  </si>
  <si>
    <t>Barrett</t>
  </si>
  <si>
    <t>Battle Lake Secondary</t>
  </si>
  <si>
    <t>Battle Lake</t>
  </si>
  <si>
    <t>Lake Of The Woods Secondary</t>
  </si>
  <si>
    <t>Baudette</t>
  </si>
  <si>
    <t>Becker Senior High School</t>
  </si>
  <si>
    <t>Becker</t>
  </si>
  <si>
    <t>Belgrade-Brooten-Elrosa Sec.</t>
  </si>
  <si>
    <t>Belgrade</t>
  </si>
  <si>
    <t>Belle Plaine Senior High School</t>
  </si>
  <si>
    <t>Bemidji Senior High School</t>
  </si>
  <si>
    <t>Bemidji</t>
  </si>
  <si>
    <t>Treknorth High School</t>
  </si>
  <si>
    <t>Voyageurs Expeditionary School</t>
  </si>
  <si>
    <t>Benson Secondary</t>
  </si>
  <si>
    <t>Bertha Secondary</t>
  </si>
  <si>
    <t>Bertha</t>
  </si>
  <si>
    <t>Big Lake Senior High School</t>
  </si>
  <si>
    <t>Big Lake</t>
  </si>
  <si>
    <t>Bigfork Secondary</t>
  </si>
  <si>
    <t>Bigfork</t>
  </si>
  <si>
    <t>Indus Secondary</t>
  </si>
  <si>
    <t>Birchdale</t>
  </si>
  <si>
    <t>Blackduck Secondary</t>
  </si>
  <si>
    <t>Blackduck</t>
  </si>
  <si>
    <t>Blaine High School</t>
  </si>
  <si>
    <t>Blaine</t>
  </si>
  <si>
    <t>Paladin Career And Tech High School</t>
  </si>
  <si>
    <t>Blooming Prairie Secondary</t>
  </si>
  <si>
    <t>Blooming Prairie</t>
  </si>
  <si>
    <t>Bloomington Career And College Academy</t>
  </si>
  <si>
    <t>Jefferson Senior High School</t>
  </si>
  <si>
    <t>Kennedy Senior High School</t>
  </si>
  <si>
    <t>Blue Earth Area Secondary</t>
  </si>
  <si>
    <t>Blue Earth</t>
  </si>
  <si>
    <t>Braham Area Secondary</t>
  </si>
  <si>
    <t>Braham</t>
  </si>
  <si>
    <t>Brainerd Senior High School</t>
  </si>
  <si>
    <t>Brainerd</t>
  </si>
  <si>
    <t>Brandon-Evansville High School</t>
  </si>
  <si>
    <t>Breckenridge Senior High School</t>
  </si>
  <si>
    <t>Brooklyn Center High School</t>
  </si>
  <si>
    <t>Brooklyn Center</t>
  </si>
  <si>
    <t>Insight School Of Minnesota</t>
  </si>
  <si>
    <t>Park Center Ib World School</t>
  </si>
  <si>
    <t>Brooklyn Park</t>
  </si>
  <si>
    <t>Prairie Seeds High School Academy</t>
  </si>
  <si>
    <t>Sage Academy Charter School</t>
  </si>
  <si>
    <t>Browerville Secondary</t>
  </si>
  <si>
    <t>Browerville</t>
  </si>
  <si>
    <t>Buffalo Senior High School</t>
  </si>
  <si>
    <t>Burnsville High School</t>
  </si>
  <si>
    <t>Butterfield Secondary</t>
  </si>
  <si>
    <t>Butterfield</t>
  </si>
  <si>
    <t>Byron Senior High School</t>
  </si>
  <si>
    <t>Caledonia Senior High School</t>
  </si>
  <si>
    <t>Cambridge-Isanti High School</t>
  </si>
  <si>
    <t>Campbell-Tintah Secondary</t>
  </si>
  <si>
    <t>Canby Secondary</t>
  </si>
  <si>
    <t>Canby</t>
  </si>
  <si>
    <t>Cannon Falls Secondary</t>
  </si>
  <si>
    <t>Cannon Falls</t>
  </si>
  <si>
    <t>Carlton Secondary</t>
  </si>
  <si>
    <t>Carlton</t>
  </si>
  <si>
    <t>Cass Lake-Bena Secondary</t>
  </si>
  <si>
    <t>Cass Lake</t>
  </si>
  <si>
    <t>Champlin Park High School</t>
  </si>
  <si>
    <t>Champlin</t>
  </si>
  <si>
    <t>Chanhassen High School</t>
  </si>
  <si>
    <t>Chanhassen</t>
  </si>
  <si>
    <t>Chaska High School</t>
  </si>
  <si>
    <t>Chatfield Secondary</t>
  </si>
  <si>
    <t>Chatfield</t>
  </si>
  <si>
    <t>Chisholm Secondary</t>
  </si>
  <si>
    <t>Chisholm</t>
  </si>
  <si>
    <t>Chokio-Alberta Secondary</t>
  </si>
  <si>
    <t>Chokio</t>
  </si>
  <si>
    <t>Circle Pines</t>
  </si>
  <si>
    <t>Maccray Senior High School</t>
  </si>
  <si>
    <t>Clara City</t>
  </si>
  <si>
    <t>Clearbrook-Gonvick Secondary</t>
  </si>
  <si>
    <t>Clearbrook</t>
  </si>
  <si>
    <t>Cleveland Secondary</t>
  </si>
  <si>
    <t>Climax Secondary</t>
  </si>
  <si>
    <t>Cloquet Senior</t>
  </si>
  <si>
    <t>Cloquet</t>
  </si>
  <si>
    <t>Dassel-Cokato Senior High School</t>
  </si>
  <si>
    <t>Cokato</t>
  </si>
  <si>
    <t>Rocori Senior High School</t>
  </si>
  <si>
    <t>Cold Spring</t>
  </si>
  <si>
    <t>Greenway Senior High School</t>
  </si>
  <si>
    <t>Coleraine</t>
  </si>
  <si>
    <t>Columbia Heights Senior High School</t>
  </si>
  <si>
    <t>Columbia Heights</t>
  </si>
  <si>
    <t>Comfrey Secondary</t>
  </si>
  <si>
    <t>Comfrey</t>
  </si>
  <si>
    <t>North Woods Secondary</t>
  </si>
  <si>
    <t>Cook</t>
  </si>
  <si>
    <t>Coon Rapids High School</t>
  </si>
  <si>
    <t>Northwest Passage High School</t>
  </si>
  <si>
    <t>Park High School</t>
  </si>
  <si>
    <t>Cottage Grove</t>
  </si>
  <si>
    <t>Lakeview Secondary</t>
  </si>
  <si>
    <t>Cromwell-Wright Secondary</t>
  </si>
  <si>
    <t>Crookston Secondary</t>
  </si>
  <si>
    <t>Crookston</t>
  </si>
  <si>
    <t>Crosby-Ironton Secondary</t>
  </si>
  <si>
    <t>Crosby</t>
  </si>
  <si>
    <t>Crosslake Community High School</t>
  </si>
  <si>
    <t>Crosslake</t>
  </si>
  <si>
    <t>South Ridge Secondary</t>
  </si>
  <si>
    <t>Dawson-Boyd Secondary</t>
  </si>
  <si>
    <t>Deer River Secondary</t>
  </si>
  <si>
    <t>Deer River</t>
  </si>
  <si>
    <t>Detroit Lakes Senior High School</t>
  </si>
  <si>
    <t>Detroit Lakes</t>
  </si>
  <si>
    <t>Triton High School</t>
  </si>
  <si>
    <t>Dodge Center</t>
  </si>
  <si>
    <t>Academyemic Excellence Online</t>
  </si>
  <si>
    <t>Denfeld High School</t>
  </si>
  <si>
    <t>Harbor City International Charter</t>
  </si>
  <si>
    <t>Eagan Senior High School</t>
  </si>
  <si>
    <t>Eagan</t>
  </si>
  <si>
    <t>East Grand Forks Senior High School</t>
  </si>
  <si>
    <t>Eagle Ridge Academy Charter School</t>
  </si>
  <si>
    <t>Eden Prairie Online</t>
  </si>
  <si>
    <t>Eden Prairie Senior High School</t>
  </si>
  <si>
    <t>Eden Valley Secondary</t>
  </si>
  <si>
    <t>Eden Valley</t>
  </si>
  <si>
    <t>Edgerton Secondary</t>
  </si>
  <si>
    <t>Edina Senior High School</t>
  </si>
  <si>
    <t>Edina</t>
  </si>
  <si>
    <t>Elk River Senior High School</t>
  </si>
  <si>
    <t>Elk River</t>
  </si>
  <si>
    <t>Online 728</t>
  </si>
  <si>
    <t>Spectrum High School</t>
  </si>
  <si>
    <t>Ellsworth Secondary</t>
  </si>
  <si>
    <t>Memorial High School</t>
  </si>
  <si>
    <t>Ely</t>
  </si>
  <si>
    <t>Win-E-Mac Secondary</t>
  </si>
  <si>
    <t>Erskine</t>
  </si>
  <si>
    <t>Lincoln Secondary</t>
  </si>
  <si>
    <t>Esko</t>
  </si>
  <si>
    <t>East Range Academy Of Tech-Science</t>
  </si>
  <si>
    <t>Eveleth</t>
  </si>
  <si>
    <t>Eveleth-Gilbert Senior High School</t>
  </si>
  <si>
    <t>Dover-Eyota High School</t>
  </si>
  <si>
    <t>Eyota</t>
  </si>
  <si>
    <t>Fairmont Jr./Sr. High School</t>
  </si>
  <si>
    <t>Fairmont</t>
  </si>
  <si>
    <t>Discovery Public School Faribault</t>
  </si>
  <si>
    <t>Faribault Senior High School</t>
  </si>
  <si>
    <t>Fertile-Beltrami Secondary</t>
  </si>
  <si>
    <t>Fertile</t>
  </si>
  <si>
    <t>East Central Senior Secondary</t>
  </si>
  <si>
    <t>Finlayson</t>
  </si>
  <si>
    <t>Fisher Secondary</t>
  </si>
  <si>
    <t>Floodwood Secondary</t>
  </si>
  <si>
    <t>Floodwood</t>
  </si>
  <si>
    <t>Foley Senior High School</t>
  </si>
  <si>
    <t>Forest Lake Area High School</t>
  </si>
  <si>
    <t>Forest Lake</t>
  </si>
  <si>
    <t>Lakes Intl Language Academy-Headwaters</t>
  </si>
  <si>
    <t>North Lakes Academy 56</t>
  </si>
  <si>
    <t>Fosston Secondary</t>
  </si>
  <si>
    <t>Fosston</t>
  </si>
  <si>
    <t>Frazee Secondary</t>
  </si>
  <si>
    <t>Frazee</t>
  </si>
  <si>
    <t>Fridley Senior High School</t>
  </si>
  <si>
    <t>Fulda Secondary</t>
  </si>
  <si>
    <t>Fulda</t>
  </si>
  <si>
    <t>Glencoe-Silver Lake Senior High School</t>
  </si>
  <si>
    <t>Glenville-Emmons Secondary</t>
  </si>
  <si>
    <t>Glenville</t>
  </si>
  <si>
    <t>Minnewaska Secondary</t>
  </si>
  <si>
    <t>Dilworth-Glyndon-Felton Senior High School</t>
  </si>
  <si>
    <t>Glyndon</t>
  </si>
  <si>
    <t>Perpich Center For Arts Education</t>
  </si>
  <si>
    <t>Goodhue Secondary</t>
  </si>
  <si>
    <t>Goodhue</t>
  </si>
  <si>
    <t>Goodridge Secondary</t>
  </si>
  <si>
    <t>Goodridge</t>
  </si>
  <si>
    <t>Clinton-Graceville-Beardsley Sr.</t>
  </si>
  <si>
    <t>Granada Huntley East Chain High School Sch</t>
  </si>
  <si>
    <t>Cook County Senior High School</t>
  </si>
  <si>
    <t>Grand Marais</t>
  </si>
  <si>
    <t>Grand Meadow Senior High School</t>
  </si>
  <si>
    <t>Grand Meadow</t>
  </si>
  <si>
    <t>Grand Rapids Senior High School</t>
  </si>
  <si>
    <t>Infinity:Minnesota  Digital Academy</t>
  </si>
  <si>
    <t>Yellow Medicine East High School</t>
  </si>
  <si>
    <t>Granite Falls</t>
  </si>
  <si>
    <t>Greenbush-Middle River Secondary</t>
  </si>
  <si>
    <t>Greenbush</t>
  </si>
  <si>
    <t>A.C.G.C. Secondary</t>
  </si>
  <si>
    <t>Grove City</t>
  </si>
  <si>
    <t>Grygla Secondary</t>
  </si>
  <si>
    <t>Grygla</t>
  </si>
  <si>
    <t>Kittson Central Secondary</t>
  </si>
  <si>
    <t>Hallock</t>
  </si>
  <si>
    <t>Hancock Sec.</t>
  </si>
  <si>
    <t>Fillmore Central Senior High School</t>
  </si>
  <si>
    <t>Hawley Secondary</t>
  </si>
  <si>
    <t>Hawley</t>
  </si>
  <si>
    <t>Hayfield Secondary</t>
  </si>
  <si>
    <t>Hayfield</t>
  </si>
  <si>
    <t>Buffalo Lake-Hector Secondary</t>
  </si>
  <si>
    <t>Edvisions Off Campus School</t>
  </si>
  <si>
    <t>Minnesota New Country School</t>
  </si>
  <si>
    <t>Hendricks Senior High School</t>
  </si>
  <si>
    <t>Hendricks</t>
  </si>
  <si>
    <t>Mnvss</t>
  </si>
  <si>
    <t>Henning Secondary</t>
  </si>
  <si>
    <t>Henning</t>
  </si>
  <si>
    <t>Herman Secondary</t>
  </si>
  <si>
    <t>Herman</t>
  </si>
  <si>
    <t>Hermantown Senior High School</t>
  </si>
  <si>
    <t>Hermantown</t>
  </si>
  <si>
    <t>Hibbing High School</t>
  </si>
  <si>
    <t>Hibbing</t>
  </si>
  <si>
    <t>Hill City Senior High School</t>
  </si>
  <si>
    <t>Hills-Beaver Creek Secondary</t>
  </si>
  <si>
    <t>Hills</t>
  </si>
  <si>
    <t>Hinckley-Finlayson Secondary</t>
  </si>
  <si>
    <t>Holdingford Secondary</t>
  </si>
  <si>
    <t>Holdingford</t>
  </si>
  <si>
    <t>Ubah Medical Academy Charter School</t>
  </si>
  <si>
    <t>Houston Secondary</t>
  </si>
  <si>
    <t>Howard Lake-Waverly-Winsted Sec.</t>
  </si>
  <si>
    <t>Howard Lake</t>
  </si>
  <si>
    <t>Aware</t>
  </si>
  <si>
    <t>Hugo</t>
  </si>
  <si>
    <t>Hutchinson Senior High School</t>
  </si>
  <si>
    <t>New Century Academy</t>
  </si>
  <si>
    <t>Falls Secondary</t>
  </si>
  <si>
    <t>International Falls</t>
  </si>
  <si>
    <t>Simley Senior High School</t>
  </si>
  <si>
    <t>Inver Grove Heights</t>
  </si>
  <si>
    <t>Cherry Secondary</t>
  </si>
  <si>
    <t>Iron</t>
  </si>
  <si>
    <t>Isle Secondary</t>
  </si>
  <si>
    <t>Isle</t>
  </si>
  <si>
    <t>Jackson County Central Senior High School</t>
  </si>
  <si>
    <t>Janesville-Waldorf-Pemberton Sec</t>
  </si>
  <si>
    <t>Jordan</t>
  </si>
  <si>
    <t>Tri-County Secondary</t>
  </si>
  <si>
    <t>Karlstad</t>
  </si>
  <si>
    <t>Kasson-Mantorville Senior High School</t>
  </si>
  <si>
    <t>Kasson</t>
  </si>
  <si>
    <t>Kelliher Secondary</t>
  </si>
  <si>
    <t>Kelliher</t>
  </si>
  <si>
    <t>Kenyon-Wanamingo Senior High School</t>
  </si>
  <si>
    <t>Kenyon</t>
  </si>
  <si>
    <t>Kerkhoven Secondary</t>
  </si>
  <si>
    <t>Kerkhoven</t>
  </si>
  <si>
    <t>Kimball Secondary</t>
  </si>
  <si>
    <t>Kimball</t>
  </si>
  <si>
    <t>La Crescent Sec Montessori/Stem</t>
  </si>
  <si>
    <t>La Crescent</t>
  </si>
  <si>
    <t>La Crescent Senior High School</t>
  </si>
  <si>
    <t>Lake Benton Secondary</t>
  </si>
  <si>
    <t>Lake Benton</t>
  </si>
  <si>
    <t>Lk Crystal-Wellcome Memorial Sec.</t>
  </si>
  <si>
    <t>Lake Crystal</t>
  </si>
  <si>
    <t>Lake Park Audubon Secondary</t>
  </si>
  <si>
    <t>Lakeville North High School</t>
  </si>
  <si>
    <t>Lakeville South High School</t>
  </si>
  <si>
    <t>Red Rock Central Secondary</t>
  </si>
  <si>
    <t>Lamberton</t>
  </si>
  <si>
    <t>Lancaster Secondary</t>
  </si>
  <si>
    <t>Lanesboro Secondary</t>
  </si>
  <si>
    <t>Lanesboro</t>
  </si>
  <si>
    <t>Laporte Secondary</t>
  </si>
  <si>
    <t>Le Sueur-Henderson High School</t>
  </si>
  <si>
    <t>Le Sueur</t>
  </si>
  <si>
    <t>Leroy Secondary</t>
  </si>
  <si>
    <t>Lester Prairie Secondary</t>
  </si>
  <si>
    <t>Lester Prairie</t>
  </si>
  <si>
    <t>Lewiston-Altura Secondary</t>
  </si>
  <si>
    <t>Chisago Lakes Senior High School</t>
  </si>
  <si>
    <t>Lindstrom</t>
  </si>
  <si>
    <t>Trio Wolf Creek Distance Learning</t>
  </si>
  <si>
    <t>Little Falls Senior High School</t>
  </si>
  <si>
    <t>Little Falls</t>
  </si>
  <si>
    <t>Littlefork-Big Falls Secondary</t>
  </si>
  <si>
    <t>Littlefork</t>
  </si>
  <si>
    <t>Orono Senior High School</t>
  </si>
  <si>
    <t>Long Lake</t>
  </si>
  <si>
    <t>Long Prairie-Grey Secondary School</t>
  </si>
  <si>
    <t>Long Prairie</t>
  </si>
  <si>
    <t>Luverne Senior High School</t>
  </si>
  <si>
    <t>Luverne</t>
  </si>
  <si>
    <t>Lyle Secondary</t>
  </si>
  <si>
    <t>Lyle</t>
  </si>
  <si>
    <t>Mabel-Canton Secondary</t>
  </si>
  <si>
    <t>Mabel</t>
  </si>
  <si>
    <t>Eminnesota Online Academy</t>
  </si>
  <si>
    <t>Madelia</t>
  </si>
  <si>
    <t>Madelia Secondary</t>
  </si>
  <si>
    <t>Lac Qui Parle Valley Secondary</t>
  </si>
  <si>
    <t>Mahnomen Secondary</t>
  </si>
  <si>
    <t>Mahnomen</t>
  </si>
  <si>
    <t>Mahtomedi Senior High School</t>
  </si>
  <si>
    <t>Mahtomedi</t>
  </si>
  <si>
    <t>Kato Public Charter School</t>
  </si>
  <si>
    <t>Mankato East Senior High School</t>
  </si>
  <si>
    <t>Mankato West Senior High School</t>
  </si>
  <si>
    <t>Maple Grove Senior High School</t>
  </si>
  <si>
    <t>Parnassus Prep School-Rhetoric</t>
  </si>
  <si>
    <t>Jane Goodall Environmental Science</t>
  </si>
  <si>
    <t>Maple Lake</t>
  </si>
  <si>
    <t>Maple Lake Secondary</t>
  </si>
  <si>
    <t>Maple River Secondary</t>
  </si>
  <si>
    <t>Mcgregor Secondary</t>
  </si>
  <si>
    <t>Mcgregor</t>
  </si>
  <si>
    <t>Medford Secondary</t>
  </si>
  <si>
    <t>Melrose Secondary</t>
  </si>
  <si>
    <t>Menahga High School</t>
  </si>
  <si>
    <t>Menahga</t>
  </si>
  <si>
    <t>Milaca Secondary High School</t>
  </si>
  <si>
    <t>Milaca</t>
  </si>
  <si>
    <t>Augsburg Fairview Academy</t>
  </si>
  <si>
    <t>Downtown Campus</t>
  </si>
  <si>
    <t>Edison Senior High School</t>
  </si>
  <si>
    <t>El Colegio Charter School</t>
  </si>
  <si>
    <t>Fair Senior High School</t>
  </si>
  <si>
    <t>Henry Senior High School</t>
  </si>
  <si>
    <t>Heritage Stem Academy</t>
  </si>
  <si>
    <t>Hiawatha Collegiate High School</t>
  </si>
  <si>
    <t>Lincoln International School</t>
  </si>
  <si>
    <t>Metro Schools Charter</t>
  </si>
  <si>
    <t>Minneapolis On Line Learning</t>
  </si>
  <si>
    <t>Mts High School</t>
  </si>
  <si>
    <t>Mts Pease Academy</t>
  </si>
  <si>
    <t>North Academy Senior High School</t>
  </si>
  <si>
    <t>Rondo Campus</t>
  </si>
  <si>
    <t>Roosevelt Senior High School</t>
  </si>
  <si>
    <t>Sabathani Campus</t>
  </si>
  <si>
    <t>South Senior High School</t>
  </si>
  <si>
    <t>Unity Campus</t>
  </si>
  <si>
    <t>Washburn Senior High School</t>
  </si>
  <si>
    <t>Wellstone International High School</t>
  </si>
  <si>
    <t>Minneota Secondary</t>
  </si>
  <si>
    <t>Minneota</t>
  </si>
  <si>
    <t>Hopkins Senior High School</t>
  </si>
  <si>
    <t>Minnetonka</t>
  </si>
  <si>
    <t>Lionsgate Academy</t>
  </si>
  <si>
    <t>Minnetonka Senior High School</t>
  </si>
  <si>
    <t>Tonka Online</t>
  </si>
  <si>
    <t>Mound Westonka High School</t>
  </si>
  <si>
    <t>Minnetrista</t>
  </si>
  <si>
    <t>Mn River Valley Ed-Online Learning</t>
  </si>
  <si>
    <t>Montevideo</t>
  </si>
  <si>
    <t>Montevideo Senior High School</t>
  </si>
  <si>
    <t>Tri-City United High School</t>
  </si>
  <si>
    <t>Monticello Senior High School</t>
  </si>
  <si>
    <t>Moorhead High School</t>
  </si>
  <si>
    <t>Moorhead</t>
  </si>
  <si>
    <t>Moose Lake Secondary</t>
  </si>
  <si>
    <t>Moose Lake</t>
  </si>
  <si>
    <t>Mora Secondary</t>
  </si>
  <si>
    <t>Mora</t>
  </si>
  <si>
    <t>Cedar Mountain Secondary</t>
  </si>
  <si>
    <t>Morris Area Secondary</t>
  </si>
  <si>
    <t>Mountain Iron-Buhl Secondary</t>
  </si>
  <si>
    <t>Mountain Iron</t>
  </si>
  <si>
    <t>Northeast Service Cooperative Oll</t>
  </si>
  <si>
    <t>Mountain Lake Secondary</t>
  </si>
  <si>
    <t>Mountain Lake</t>
  </si>
  <si>
    <t>Nashwauk Secondary</t>
  </si>
  <si>
    <t>Nashwauk</t>
  </si>
  <si>
    <t>Nevis Secondary</t>
  </si>
  <si>
    <t>Nevis</t>
  </si>
  <si>
    <t>Irondale Senior High School</t>
  </si>
  <si>
    <t>New Brighton</t>
  </si>
  <si>
    <t>Robbinsdale Cooper Senior High School</t>
  </si>
  <si>
    <t>New London-Spicer Sr.</t>
  </si>
  <si>
    <t>New Prague Senior High School</t>
  </si>
  <si>
    <t>New Prague</t>
  </si>
  <si>
    <t>Nrheg Secondary</t>
  </si>
  <si>
    <t>New Richland</t>
  </si>
  <si>
    <t>New Ulm High School</t>
  </si>
  <si>
    <t>New York Mills Secondary</t>
  </si>
  <si>
    <t>New York Mills</t>
  </si>
  <si>
    <t>Marshall County Central High School</t>
  </si>
  <si>
    <t>Newfolden</t>
  </si>
  <si>
    <t>Nicollet Senior High School</t>
  </si>
  <si>
    <t>Nicollet</t>
  </si>
  <si>
    <t>North Branch Senior High School</t>
  </si>
  <si>
    <t>North Senior High School</t>
  </si>
  <si>
    <t>North Saint Paul</t>
  </si>
  <si>
    <t>Arcadia Charter School</t>
  </si>
  <si>
    <t>Northfield Senior High School</t>
  </si>
  <si>
    <t>Northome Secondary</t>
  </si>
  <si>
    <t>Northome</t>
  </si>
  <si>
    <t>Central Senior High School</t>
  </si>
  <si>
    <t>Norwood Young America</t>
  </si>
  <si>
    <t>Tartan Senior High School</t>
  </si>
  <si>
    <t>Ogilvie Secondary</t>
  </si>
  <si>
    <t>Ogilvie</t>
  </si>
  <si>
    <t>Heron Lake-Okabena Secondary</t>
  </si>
  <si>
    <t>Okabena</t>
  </si>
  <si>
    <t>Red Lake County Central High School</t>
  </si>
  <si>
    <t>Oklee</t>
  </si>
  <si>
    <t>Bold Senior High School</t>
  </si>
  <si>
    <t>Olivia</t>
  </si>
  <si>
    <t>Onamia High School</t>
  </si>
  <si>
    <t>Onamia</t>
  </si>
  <si>
    <t>Ortonville Secondary</t>
  </si>
  <si>
    <t>Osakis Secondary</t>
  </si>
  <si>
    <t>Osakis</t>
  </si>
  <si>
    <t>Osseo Senior High School</t>
  </si>
  <si>
    <t>Kaleidoscope Charter High School</t>
  </si>
  <si>
    <t>Choice Technical Academy</t>
  </si>
  <si>
    <t>Owatonna</t>
  </si>
  <si>
    <t>Owatonna Senior High School</t>
  </si>
  <si>
    <t>Park Rapids Senior High School</t>
  </si>
  <si>
    <t>Park Rapids</t>
  </si>
  <si>
    <t>Parkers Prairie Secondary</t>
  </si>
  <si>
    <t>Parkers Prairie</t>
  </si>
  <si>
    <t>Paynesville Area High School</t>
  </si>
  <si>
    <t>Paynesville</t>
  </si>
  <si>
    <t>Pelican Rapids Secondary</t>
  </si>
  <si>
    <t>Pelican Rapids</t>
  </si>
  <si>
    <t>Pequot Lakes Senior High School</t>
  </si>
  <si>
    <t>Pequot Lakes</t>
  </si>
  <si>
    <t>Perham Senior High School</t>
  </si>
  <si>
    <t>Healy Secondary</t>
  </si>
  <si>
    <t>Pierz</t>
  </si>
  <si>
    <t>Pillager Area Charter School</t>
  </si>
  <si>
    <t>Pillager</t>
  </si>
  <si>
    <t>Pillager Senior High School</t>
  </si>
  <si>
    <t>Pine City Secondary</t>
  </si>
  <si>
    <t>Pine City</t>
  </si>
  <si>
    <t>Pine Island Secondary</t>
  </si>
  <si>
    <t>Pine Island</t>
  </si>
  <si>
    <t>Pine River-Backus High School</t>
  </si>
  <si>
    <t>Pine River</t>
  </si>
  <si>
    <t>Pipestone Senior High School</t>
  </si>
  <si>
    <t>Pipestone</t>
  </si>
  <si>
    <t>Plainview-Elgin-Millville High School</t>
  </si>
  <si>
    <t>Plainview</t>
  </si>
  <si>
    <t>Northern Star Online</t>
  </si>
  <si>
    <t>Off Campus Cte</t>
  </si>
  <si>
    <t>Robbinsdale Armstrong Senior High School</t>
  </si>
  <si>
    <t>Wayzata High School</t>
  </si>
  <si>
    <t>Princeton Online Academy</t>
  </si>
  <si>
    <t>Proctor Senior High School</t>
  </si>
  <si>
    <t>Proctor</t>
  </si>
  <si>
    <t>Pact Charter Secondary</t>
  </si>
  <si>
    <t>Randolph Secondary</t>
  </si>
  <si>
    <t>Red Lake Secondary</t>
  </si>
  <si>
    <t>Red Lake</t>
  </si>
  <si>
    <t>Lafayette Secondary</t>
  </si>
  <si>
    <t>Red Lake Falls</t>
  </si>
  <si>
    <t>Red Wing Senior High School</t>
  </si>
  <si>
    <t>Red Wing</t>
  </si>
  <si>
    <t>Redwood Valley Senior High School</t>
  </si>
  <si>
    <t>Redwood Falls</t>
  </si>
  <si>
    <t>Northland Secondary</t>
  </si>
  <si>
    <t>Remer</t>
  </si>
  <si>
    <t>Renville County West Senior High School</t>
  </si>
  <si>
    <t>Renville</t>
  </si>
  <si>
    <t>Richfield Senior High School</t>
  </si>
  <si>
    <t>Watershed High School</t>
  </si>
  <si>
    <t>Century Senior High School</t>
  </si>
  <si>
    <t>Mayo Senior High School</t>
  </si>
  <si>
    <t>Rochester Beacon Academy</t>
  </si>
  <si>
    <t>Rochester Stem Academy</t>
  </si>
  <si>
    <t>Rosa Parks Charter High School</t>
  </si>
  <si>
    <t>Rockford Secondary</t>
  </si>
  <si>
    <t>Rogers Senior High School</t>
  </si>
  <si>
    <t>Roseau Secondary</t>
  </si>
  <si>
    <t>Roseau</t>
  </si>
  <si>
    <t>Rosemount Senior High School</t>
  </si>
  <si>
    <t>Rosemount</t>
  </si>
  <si>
    <t>Roseville Area Senior High School</t>
  </si>
  <si>
    <t>RotHigh Schoolay Secondary</t>
  </si>
  <si>
    <t>Rothsay</t>
  </si>
  <si>
    <t>Royalton High School</t>
  </si>
  <si>
    <t>Royalton</t>
  </si>
  <si>
    <t>Rush City Secondary</t>
  </si>
  <si>
    <t>Rush City</t>
  </si>
  <si>
    <t>Rushford-Peterson Senior High School</t>
  </si>
  <si>
    <t>Rushford</t>
  </si>
  <si>
    <t>St. Anthony Village Senior High School</t>
  </si>
  <si>
    <t>Saint Anthony</t>
  </si>
  <si>
    <t>St. Charles Secondary</t>
  </si>
  <si>
    <t>St. Clair Secondary</t>
  </si>
  <si>
    <t>Apollo Senior High School</t>
  </si>
  <si>
    <t>Technical Senior High School</t>
  </si>
  <si>
    <t>St. Francis High School</t>
  </si>
  <si>
    <t>Saint Francis</t>
  </si>
  <si>
    <t>St. James Middle/High School</t>
  </si>
  <si>
    <t>St. Louis Park Senior High School</t>
  </si>
  <si>
    <t>Saint Louis Park</t>
  </si>
  <si>
    <t>St. Michael-Albertville Senior High School</t>
  </si>
  <si>
    <t>Saint Michael</t>
  </si>
  <si>
    <t>Career Pathways</t>
  </si>
  <si>
    <t>City Academy</t>
  </si>
  <si>
    <t>Community Of Peace Academy High School Sch</t>
  </si>
  <si>
    <t>Como Park Senior High School</t>
  </si>
  <si>
    <t>Creative Arts Secondary School</t>
  </si>
  <si>
    <t>Face To Face Academy</t>
  </si>
  <si>
    <t>Great River School</t>
  </si>
  <si>
    <t>Harding Senior High School</t>
  </si>
  <si>
    <t>High School For Recording Arts</t>
  </si>
  <si>
    <t>High Schooler Ground Secondary Academy</t>
  </si>
  <si>
    <t>High Schoolland Park Senior High School</t>
  </si>
  <si>
    <t>Hmong College Prep Academy High School</t>
  </si>
  <si>
    <t>Jennings Experiential High School</t>
  </si>
  <si>
    <t>Johnson Senior High School</t>
  </si>
  <si>
    <t>Minnesota Online High School</t>
  </si>
  <si>
    <t>Mmsa High School</t>
  </si>
  <si>
    <t>Nova Classical Academy Upper School</t>
  </si>
  <si>
    <t>Open World Learning Secondary</t>
  </si>
  <si>
    <t>Rivers Edge Academy</t>
  </si>
  <si>
    <t>St Paul Conservatory Performing Art</t>
  </si>
  <si>
    <t>Step Academy Charter School</t>
  </si>
  <si>
    <t>Twin Cities Academy</t>
  </si>
  <si>
    <t>Washington Tech Secondary Magnet</t>
  </si>
  <si>
    <t>St. Peter High School</t>
  </si>
  <si>
    <t>Saint Peter</t>
  </si>
  <si>
    <t>Sartell Senior High School</t>
  </si>
  <si>
    <t>Sartell</t>
  </si>
  <si>
    <t>Sauk Centre Secondary</t>
  </si>
  <si>
    <t>Sauk Centre</t>
  </si>
  <si>
    <t>Sauk Rapids-Rice Senior High School</t>
  </si>
  <si>
    <t>Sauk Rapids</t>
  </si>
  <si>
    <t>Prior Lake High School</t>
  </si>
  <si>
    <t>Savage</t>
  </si>
  <si>
    <t>Sebeka Secondary</t>
  </si>
  <si>
    <t>Sebeka</t>
  </si>
  <si>
    <t>Sw Metro Online Learning</t>
  </si>
  <si>
    <t>Shakope</t>
  </si>
  <si>
    <t>Shakopee High School</t>
  </si>
  <si>
    <t>Martin County West Senior High School</t>
  </si>
  <si>
    <t>Sherburn</t>
  </si>
  <si>
    <t>Wm. M. Kelley Secondary</t>
  </si>
  <si>
    <t>Silver Bay</t>
  </si>
  <si>
    <t>Murray County Central Secondary</t>
  </si>
  <si>
    <t>Slayton</t>
  </si>
  <si>
    <t>Sleepy Eye Sec.</t>
  </si>
  <si>
    <t>Sleepy Eye</t>
  </si>
  <si>
    <t>South St. Paul Secondary</t>
  </si>
  <si>
    <t>South Saint Paul</t>
  </si>
  <si>
    <t>Spring Grove Secondary</t>
  </si>
  <si>
    <t>Distance Learning Indep Study</t>
  </si>
  <si>
    <t>Secondary Lighthouse</t>
  </si>
  <si>
    <t>Spring Lake Park Senior High School</t>
  </si>
  <si>
    <t>Kingsland Junior/Senior High School</t>
  </si>
  <si>
    <t>Springfield Secondary</t>
  </si>
  <si>
    <t>Upper Mississippi High School Academy</t>
  </si>
  <si>
    <t>Staples-Motley Senior High School</t>
  </si>
  <si>
    <t>Staples</t>
  </si>
  <si>
    <t>Stephen Senior High School</t>
  </si>
  <si>
    <t>Stephen</t>
  </si>
  <si>
    <t>Stewartville Senior High School</t>
  </si>
  <si>
    <t>St. Croix Preparatory Academy Upper</t>
  </si>
  <si>
    <t>Stillwater</t>
  </si>
  <si>
    <t>Stillwater Area High School</t>
  </si>
  <si>
    <t>Swanville Secondary</t>
  </si>
  <si>
    <t>Swanville</t>
  </si>
  <si>
    <t>Thief River Falls</t>
  </si>
  <si>
    <t>Vermilion Country School</t>
  </si>
  <si>
    <t>Tower</t>
  </si>
  <si>
    <t>Tracy Secondary</t>
  </si>
  <si>
    <t>Truman Secondary</t>
  </si>
  <si>
    <t>Truman</t>
  </si>
  <si>
    <t>Norman County East Secondary</t>
  </si>
  <si>
    <t>Twin Valley</t>
  </si>
  <si>
    <t>Two Harbors Secondary</t>
  </si>
  <si>
    <t>Two Harbors</t>
  </si>
  <si>
    <t>Rtr High School</t>
  </si>
  <si>
    <t>Ulen-Hitterdal Secondary</t>
  </si>
  <si>
    <t>Ulen</t>
  </si>
  <si>
    <t>Underwood Secondary</t>
  </si>
  <si>
    <t>Upsala Secondary</t>
  </si>
  <si>
    <t>Upsala</t>
  </si>
  <si>
    <t>Afsa High School</t>
  </si>
  <si>
    <t>Vadnais Heights</t>
  </si>
  <si>
    <t>Verndale Secondary</t>
  </si>
  <si>
    <t>Verndale</t>
  </si>
  <si>
    <t>Virginia Secondary</t>
  </si>
  <si>
    <t>Wabasha-Kellogg Secondary</t>
  </si>
  <si>
    <t>Wabasha</t>
  </si>
  <si>
    <t>Wabasso Secondary</t>
  </si>
  <si>
    <t>Wabasso</t>
  </si>
  <si>
    <t>Waconia High School</t>
  </si>
  <si>
    <t>Wadena-Deer Creek Senior High School</t>
  </si>
  <si>
    <t>Wadena</t>
  </si>
  <si>
    <t>Pim Arts High School</t>
  </si>
  <si>
    <t>Walker-Hackensack-Akeley Sec.</t>
  </si>
  <si>
    <t>Northern Lights Community School</t>
  </si>
  <si>
    <t>Warba</t>
  </si>
  <si>
    <t>Warren-Alvarado-Oslo Secondary</t>
  </si>
  <si>
    <t>Warroad High School</t>
  </si>
  <si>
    <t>Warroad</t>
  </si>
  <si>
    <t>Waseca Senior High School</t>
  </si>
  <si>
    <t>Watertown Mayer High School</t>
  </si>
  <si>
    <t>Waterville-Elysian-Morristown Sr.</t>
  </si>
  <si>
    <t>Waubun Secondary</t>
  </si>
  <si>
    <t>Waubun</t>
  </si>
  <si>
    <t>United South Central High School</t>
  </si>
  <si>
    <t>Academyemic Arts High School</t>
  </si>
  <si>
    <t>West Saint Paul</t>
  </si>
  <si>
    <t>Bluesky Charter School</t>
  </si>
  <si>
    <t>Henry Sibley High School</t>
  </si>
  <si>
    <t>Westbrook-Walnut Grove Secondary</t>
  </si>
  <si>
    <t>Wheaton Secondary</t>
  </si>
  <si>
    <t>White Bear South Campus Senior</t>
  </si>
  <si>
    <t>Dream Technical Academy</t>
  </si>
  <si>
    <t>Willmar</t>
  </si>
  <si>
    <t>Willmar Senior High School</t>
  </si>
  <si>
    <t>Willow River Secondary</t>
  </si>
  <si>
    <t>Willow River</t>
  </si>
  <si>
    <t>Starrs Online Academy</t>
  </si>
  <si>
    <t>Windom</t>
  </si>
  <si>
    <t>Windom Senior High School</t>
  </si>
  <si>
    <t>Riverway Secondary</t>
  </si>
  <si>
    <t>Winona Senior High School</t>
  </si>
  <si>
    <t>G.F.W. High School</t>
  </si>
  <si>
    <t>Math And Science Academy</t>
  </si>
  <si>
    <t>Woodbury High School</t>
  </si>
  <si>
    <t>Worthington Senior High School</t>
  </si>
  <si>
    <t>Wrenshall Secondary</t>
  </si>
  <si>
    <t>Wrenshall</t>
  </si>
  <si>
    <t>Zimmerman High School</t>
  </si>
  <si>
    <t>Zimmerman</t>
  </si>
  <si>
    <t>Zumbrota-Mazeppa Senior High School</t>
  </si>
  <si>
    <t>Zumbrota</t>
  </si>
  <si>
    <t>Ackerman</t>
  </si>
  <si>
    <t>Amory High School</t>
  </si>
  <si>
    <t>Amory</t>
  </si>
  <si>
    <t>Ashland Middle-High School</t>
  </si>
  <si>
    <t>Baldwyn High School</t>
  </si>
  <si>
    <t>Baldwyn</t>
  </si>
  <si>
    <t>Jdc High School</t>
  </si>
  <si>
    <t>Bassfield</t>
  </si>
  <si>
    <t>South Panola High School</t>
  </si>
  <si>
    <t>Bay Springs High School</t>
  </si>
  <si>
    <t>Humphreys County High School</t>
  </si>
  <si>
    <t>Biloxi High School</t>
  </si>
  <si>
    <t>Diberville Senior High School Sch</t>
  </si>
  <si>
    <t>Brookhaven High School</t>
  </si>
  <si>
    <t>Ms School For The Arts</t>
  </si>
  <si>
    <t>Forrest County Agricultural Hi Sch</t>
  </si>
  <si>
    <t>Bruce High School</t>
  </si>
  <si>
    <t>Bruce</t>
  </si>
  <si>
    <t>Byhalia High School (9-12)</t>
  </si>
  <si>
    <t>Byhalia</t>
  </si>
  <si>
    <t>Calhoun City High School</t>
  </si>
  <si>
    <t>Velma Jackson High School</t>
  </si>
  <si>
    <t>Canton Public High School</t>
  </si>
  <si>
    <t>Pearl River Central High School</t>
  </si>
  <si>
    <t>Carriere</t>
  </si>
  <si>
    <t>Leake Central High School</t>
  </si>
  <si>
    <t>Clarksdale High School</t>
  </si>
  <si>
    <t>Coahoma County Jr/Sr High School</t>
  </si>
  <si>
    <t>Coahoma Early College High School</t>
  </si>
  <si>
    <t>Cleveland Central High School</t>
  </si>
  <si>
    <t>Coffeeville High School</t>
  </si>
  <si>
    <t>Coffeeville</t>
  </si>
  <si>
    <t>Collins High School</t>
  </si>
  <si>
    <t>Collins</t>
  </si>
  <si>
    <t>West Lauderdale High School</t>
  </si>
  <si>
    <t>East Marion High School</t>
  </si>
  <si>
    <t>Ms School For Math And Science</t>
  </si>
  <si>
    <t>West Lowndes High School</t>
  </si>
  <si>
    <t>Biggersville High School</t>
  </si>
  <si>
    <t>Corinth High School</t>
  </si>
  <si>
    <t>Kossuth High School</t>
  </si>
  <si>
    <t>Crystal Springs High School</t>
  </si>
  <si>
    <t>Crystal Springs</t>
  </si>
  <si>
    <t>Newton County High School</t>
  </si>
  <si>
    <t>Kemper County High School</t>
  </si>
  <si>
    <t>North Pontotoc High School</t>
  </si>
  <si>
    <t>Ecru</t>
  </si>
  <si>
    <t>South Jones High School</t>
  </si>
  <si>
    <t>Ellisville</t>
  </si>
  <si>
    <t>Ethel Attendance Center</t>
  </si>
  <si>
    <t>Ethel</t>
  </si>
  <si>
    <t>Eupora High School</t>
  </si>
  <si>
    <t>Eupora</t>
  </si>
  <si>
    <t>Falkner High School</t>
  </si>
  <si>
    <t>Falkner</t>
  </si>
  <si>
    <t>Jefferson Co High School</t>
  </si>
  <si>
    <t>Mclaurin Attendance Center</t>
  </si>
  <si>
    <t>Northwest Rankin High School</t>
  </si>
  <si>
    <t>Flowood</t>
  </si>
  <si>
    <t>Forest</t>
  </si>
  <si>
    <t>West Marion High School</t>
  </si>
  <si>
    <t>Foxworth</t>
  </si>
  <si>
    <t>Itawamba Agricultural High School</t>
  </si>
  <si>
    <t>Gautier High School</t>
  </si>
  <si>
    <t>Gautier</t>
  </si>
  <si>
    <t>Alcorn Central High School</t>
  </si>
  <si>
    <t>Glen</t>
  </si>
  <si>
    <t>O'Bannon High School</t>
  </si>
  <si>
    <t>Amanda Elzy High School</t>
  </si>
  <si>
    <t>Grenada High School</t>
  </si>
  <si>
    <t>Gulfport High School</t>
  </si>
  <si>
    <t>Harrison Central High School</t>
  </si>
  <si>
    <t>Roger Amos Mcmurtry School</t>
  </si>
  <si>
    <t>Hattiesburg High School</t>
  </si>
  <si>
    <t>North Forrest High School</t>
  </si>
  <si>
    <t>Hazlehurst High School</t>
  </si>
  <si>
    <t>Heidelberg High School</t>
  </si>
  <si>
    <t>Heidelberg</t>
  </si>
  <si>
    <t>Hernando</t>
  </si>
  <si>
    <t>Simmons High School</t>
  </si>
  <si>
    <t>Hollandale</t>
  </si>
  <si>
    <t>H. W. Byers High School (7-12)</t>
  </si>
  <si>
    <t>Holly Springs High School</t>
  </si>
  <si>
    <t>Horn Lake High School</t>
  </si>
  <si>
    <t>Horn Lake</t>
  </si>
  <si>
    <t>Hurley</t>
  </si>
  <si>
    <t>Gentry High School</t>
  </si>
  <si>
    <t>Leflore County High School</t>
  </si>
  <si>
    <t>Itta Bena</t>
  </si>
  <si>
    <t>Tishomingo County High School</t>
  </si>
  <si>
    <t>Iuka</t>
  </si>
  <si>
    <t>Forest Hill High School</t>
  </si>
  <si>
    <t>Jim Hill High School</t>
  </si>
  <si>
    <t>Murrah High School</t>
  </si>
  <si>
    <t>Provine High School</t>
  </si>
  <si>
    <t>Wingfield High School</t>
  </si>
  <si>
    <t>Hancock High School</t>
  </si>
  <si>
    <t>Kiln</t>
  </si>
  <si>
    <t>Kosciusko Senior High School</t>
  </si>
  <si>
    <t>Kosciusko</t>
  </si>
  <si>
    <t>Lake High School</t>
  </si>
  <si>
    <t>Lake</t>
  </si>
  <si>
    <t>Lake Cormorant High School</t>
  </si>
  <si>
    <t>Lake Cormorant</t>
  </si>
  <si>
    <t>Northeast Jones High School</t>
  </si>
  <si>
    <t>West Jones High School</t>
  </si>
  <si>
    <t>Leakesville</t>
  </si>
  <si>
    <t>Holmes County Central High School</t>
  </si>
  <si>
    <t>Amite County High School</t>
  </si>
  <si>
    <t>Long Beach Senior High School</t>
  </si>
  <si>
    <t>George County High School</t>
  </si>
  <si>
    <t>Lucedale</t>
  </si>
  <si>
    <t>Lumberton High School</t>
  </si>
  <si>
    <t>East Webster High School</t>
  </si>
  <si>
    <t>Maben</t>
  </si>
  <si>
    <t>Noxubee County High School</t>
  </si>
  <si>
    <t>Germantown High School</t>
  </si>
  <si>
    <t>Magee High School</t>
  </si>
  <si>
    <t>Magee</t>
  </si>
  <si>
    <t>South Pike Senior High School</t>
  </si>
  <si>
    <t>M. S. Palmer High School</t>
  </si>
  <si>
    <t>Golden Triangle Early College</t>
  </si>
  <si>
    <t>Mayhew</t>
  </si>
  <si>
    <t>Mccomb High School</t>
  </si>
  <si>
    <t>Meadville</t>
  </si>
  <si>
    <t>Mendenhall High School</t>
  </si>
  <si>
    <t>Clarkdale High School</t>
  </si>
  <si>
    <t>Northeast Lauderdale High School</t>
  </si>
  <si>
    <t>Southeast Lauderdale High School</t>
  </si>
  <si>
    <t>Mooreville High School</t>
  </si>
  <si>
    <t>Mooreville</t>
  </si>
  <si>
    <t>Moss Point High School</t>
  </si>
  <si>
    <t>Moss Point</t>
  </si>
  <si>
    <t>Natchez Early College@Co-Lin</t>
  </si>
  <si>
    <t>Natchez</t>
  </si>
  <si>
    <t>Natchez High School</t>
  </si>
  <si>
    <t>Nettleton</t>
  </si>
  <si>
    <t>New Albany High School</t>
  </si>
  <si>
    <t>Perry Central High School</t>
  </si>
  <si>
    <t>New Augusta</t>
  </si>
  <si>
    <t>New Site High School</t>
  </si>
  <si>
    <t>New Site</t>
  </si>
  <si>
    <t>J Z George High School</t>
  </si>
  <si>
    <t>North Carrollton</t>
  </si>
  <si>
    <t>Ocean Springs High School</t>
  </si>
  <si>
    <t>Ocean Springs</t>
  </si>
  <si>
    <t>St Martin High School</t>
  </si>
  <si>
    <t>Okolona High School</t>
  </si>
  <si>
    <t>Okolona</t>
  </si>
  <si>
    <t>Center Hill High School</t>
  </si>
  <si>
    <t>Lewisburg High School</t>
  </si>
  <si>
    <t>Olive Branch High School</t>
  </si>
  <si>
    <t>Pascagoula High School</t>
  </si>
  <si>
    <t>Pascagoula</t>
  </si>
  <si>
    <t>Pass Christian High School</t>
  </si>
  <si>
    <t>Pass Christian</t>
  </si>
  <si>
    <t>Pearl High School</t>
  </si>
  <si>
    <t>Pearl</t>
  </si>
  <si>
    <t>Pelahatchie Attendance Center</t>
  </si>
  <si>
    <t>Pelahatchie</t>
  </si>
  <si>
    <t>Petal High School</t>
  </si>
  <si>
    <t>Neshoba Central High School</t>
  </si>
  <si>
    <t>Philadelphia High School</t>
  </si>
  <si>
    <t>Picayune Memorial High School</t>
  </si>
  <si>
    <t>Picayune</t>
  </si>
  <si>
    <t>Pontotoc High School</t>
  </si>
  <si>
    <t>Pontotoc</t>
  </si>
  <si>
    <t>South Pontotoc High School</t>
  </si>
  <si>
    <t>Poplarville Jr Sr High School</t>
  </si>
  <si>
    <t>Poplarville</t>
  </si>
  <si>
    <t>Port Gibson High School</t>
  </si>
  <si>
    <t>Port Gibson</t>
  </si>
  <si>
    <t>Potts Camp High School (7-12)</t>
  </si>
  <si>
    <t>Potts Camp</t>
  </si>
  <si>
    <t>Puckett Attendance Center</t>
  </si>
  <si>
    <t>Puckett</t>
  </si>
  <si>
    <t>Purvis High School</t>
  </si>
  <si>
    <t>Purvis</t>
  </si>
  <si>
    <t>Raleigh High School</t>
  </si>
  <si>
    <t>Raymond High School</t>
  </si>
  <si>
    <t>Richland High School</t>
  </si>
  <si>
    <t>Richton High School</t>
  </si>
  <si>
    <t>Richton</t>
  </si>
  <si>
    <t>Ripley High School</t>
  </si>
  <si>
    <t>South Delta High School</t>
  </si>
  <si>
    <t>Rolling Fork</t>
  </si>
  <si>
    <t>West Bolivar Dist High School</t>
  </si>
  <si>
    <t>Rosedale</t>
  </si>
  <si>
    <t>Ruleville Central High School</t>
  </si>
  <si>
    <t>Ruleville</t>
  </si>
  <si>
    <t>Mcadams Attendance Center</t>
  </si>
  <si>
    <t>Sallis</t>
  </si>
  <si>
    <t>Saltillo High School</t>
  </si>
  <si>
    <t>Pisgah High School</t>
  </si>
  <si>
    <t>Sandhill</t>
  </si>
  <si>
    <t>Strayhorn High School</t>
  </si>
  <si>
    <t>Sarah</t>
  </si>
  <si>
    <t>North Panola High School</t>
  </si>
  <si>
    <t>Sardis</t>
  </si>
  <si>
    <t>Seminary High School</t>
  </si>
  <si>
    <t>Seminary</t>
  </si>
  <si>
    <t>Senatobia High School</t>
  </si>
  <si>
    <t>Shannon High School</t>
  </si>
  <si>
    <t>Shannon</t>
  </si>
  <si>
    <t>Shaw</t>
  </si>
  <si>
    <t>Desoto Central High School</t>
  </si>
  <si>
    <t>Southaven</t>
  </si>
  <si>
    <t>Southaven High School</t>
  </si>
  <si>
    <t>Starkville High School</t>
  </si>
  <si>
    <t>North Pike Senior High School</t>
  </si>
  <si>
    <t>Sumrall  High School</t>
  </si>
  <si>
    <t>Sumrall</t>
  </si>
  <si>
    <t>Terry High School</t>
  </si>
  <si>
    <t>Terry</t>
  </si>
  <si>
    <t>Rosa Fort High School</t>
  </si>
  <si>
    <t>Tupelo High School</t>
  </si>
  <si>
    <t>Tylertown High School</t>
  </si>
  <si>
    <t>Tylertown</t>
  </si>
  <si>
    <t>Vancleave High School</t>
  </si>
  <si>
    <t>Vancleave</t>
  </si>
  <si>
    <t>Vardaman High School</t>
  </si>
  <si>
    <t>Vardaman</t>
  </si>
  <si>
    <t>Leake County High School</t>
  </si>
  <si>
    <t>Water Valley High School</t>
  </si>
  <si>
    <t>Water Valley</t>
  </si>
  <si>
    <t>West Tallahatchie High School</t>
  </si>
  <si>
    <t>Webb</t>
  </si>
  <si>
    <t>Stone High School</t>
  </si>
  <si>
    <t>Winona Secondary School</t>
  </si>
  <si>
    <t>Woodville</t>
  </si>
  <si>
    <t>Yazoo City High School</t>
  </si>
  <si>
    <t>Yazoo City</t>
  </si>
  <si>
    <t>Yazoo County High School</t>
  </si>
  <si>
    <t>Adrian Sr. High School</t>
  </si>
  <si>
    <t>Advance High School</t>
  </si>
  <si>
    <t>Advance</t>
  </si>
  <si>
    <t>Miami High School</t>
  </si>
  <si>
    <t>Amoret</t>
  </si>
  <si>
    <t>Mcdonald County High School</t>
  </si>
  <si>
    <t>South Iron High School</t>
  </si>
  <si>
    <t>Appleton City High School</t>
  </si>
  <si>
    <t>Appleton City</t>
  </si>
  <si>
    <t>Archie High School</t>
  </si>
  <si>
    <t>Archie</t>
  </si>
  <si>
    <t>Fox Sr. High School</t>
  </si>
  <si>
    <t>Arnold</t>
  </si>
  <si>
    <t>Ash Grove High School</t>
  </si>
  <si>
    <t>Ash Grove</t>
  </si>
  <si>
    <t>Southern Boone High School</t>
  </si>
  <si>
    <t>Atlanta High School</t>
  </si>
  <si>
    <t>Aurora High School</t>
  </si>
  <si>
    <t>Ava High School</t>
  </si>
  <si>
    <t>Ava</t>
  </si>
  <si>
    <t>Ballwin</t>
  </si>
  <si>
    <t>South Nodaway High School</t>
  </si>
  <si>
    <t>Barnard</t>
  </si>
  <si>
    <t>Bell City High School</t>
  </si>
  <si>
    <t>Bell City</t>
  </si>
  <si>
    <t>Belle High School</t>
  </si>
  <si>
    <t>Belle</t>
  </si>
  <si>
    <t>Belton High School</t>
  </si>
  <si>
    <t>Thomas W. Kelly High School</t>
  </si>
  <si>
    <t>Bernie High School</t>
  </si>
  <si>
    <t>Bernie</t>
  </si>
  <si>
    <t>South Harrison High School</t>
  </si>
  <si>
    <t>Bevier High School</t>
  </si>
  <si>
    <t>Bevier</t>
  </si>
  <si>
    <t>Billings Sr. High School</t>
  </si>
  <si>
    <t>Bismarck R-V High School</t>
  </si>
  <si>
    <t>Blue Eye High School</t>
  </si>
  <si>
    <t>Blue Eye</t>
  </si>
  <si>
    <t>Blue Springs High School</t>
  </si>
  <si>
    <t>Blue Springs</t>
  </si>
  <si>
    <t>Blue Springs South High School</t>
  </si>
  <si>
    <t>Bolivar High School</t>
  </si>
  <si>
    <t>North Co. Sr. High School</t>
  </si>
  <si>
    <t>Bonne Terre</t>
  </si>
  <si>
    <t>Bosworth High School</t>
  </si>
  <si>
    <t>Bosworth</t>
  </si>
  <si>
    <t>Bourbon High School</t>
  </si>
  <si>
    <t>Bradleyville High School</t>
  </si>
  <si>
    <t>Bradleyville</t>
  </si>
  <si>
    <t>Branson High School</t>
  </si>
  <si>
    <t>Branson</t>
  </si>
  <si>
    <t>Adair Co. High School</t>
  </si>
  <si>
    <t>Brashear</t>
  </si>
  <si>
    <t>Braymer High School</t>
  </si>
  <si>
    <t>Braymer</t>
  </si>
  <si>
    <t>Brentwood High School</t>
  </si>
  <si>
    <t>Bronaugh High School</t>
  </si>
  <si>
    <t>Bronaugh</t>
  </si>
  <si>
    <t>Twin Rivers High School</t>
  </si>
  <si>
    <t>Broseley</t>
  </si>
  <si>
    <t>Buffalo High School</t>
  </si>
  <si>
    <t>Bunceton High School</t>
  </si>
  <si>
    <t>Bunceton</t>
  </si>
  <si>
    <t>Bunker High School</t>
  </si>
  <si>
    <t>Bunker</t>
  </si>
  <si>
    <t>West Nodaway High School</t>
  </si>
  <si>
    <t>Burlington Jct</t>
  </si>
  <si>
    <t>Cabool High School</t>
  </si>
  <si>
    <t>Cabool</t>
  </si>
  <si>
    <t>Gentry Residential Treat. Fac.</t>
  </si>
  <si>
    <t>Cadet</t>
  </si>
  <si>
    <t>Cainsville High School</t>
  </si>
  <si>
    <t>Cainsville</t>
  </si>
  <si>
    <t>Camdenton High School</t>
  </si>
  <si>
    <t>Camdenton</t>
  </si>
  <si>
    <t>Cameron High School</t>
  </si>
  <si>
    <t>Echo Day Treatment Ctr.</t>
  </si>
  <si>
    <t>Girardot Center For Youth</t>
  </si>
  <si>
    <t>Southland High School</t>
  </si>
  <si>
    <t>Cardwell</t>
  </si>
  <si>
    <t>Carl Junction High School</t>
  </si>
  <si>
    <t>Carl Junction</t>
  </si>
  <si>
    <t>Carrollton Senior High School</t>
  </si>
  <si>
    <t>Carthage High School</t>
  </si>
  <si>
    <t>Caruthersville High School</t>
  </si>
  <si>
    <t>Caruthersville</t>
  </si>
  <si>
    <t>Cassville High School</t>
  </si>
  <si>
    <t>Cassville</t>
  </si>
  <si>
    <t>Mark Twain Sr. High School</t>
  </si>
  <si>
    <t>Crest Ridge High School</t>
  </si>
  <si>
    <t>Centerview</t>
  </si>
  <si>
    <t>Chadwick High School</t>
  </si>
  <si>
    <t>Chadwick</t>
  </si>
  <si>
    <t>Chaffee Jr.-Sr. High School</t>
  </si>
  <si>
    <t>Chaffee</t>
  </si>
  <si>
    <t>Chamois High School</t>
  </si>
  <si>
    <t>Chamois</t>
  </si>
  <si>
    <t>Babler Lodge</t>
  </si>
  <si>
    <t>Marquette Sr. High School</t>
  </si>
  <si>
    <t>Chilhowee High School</t>
  </si>
  <si>
    <t>Chilhowee</t>
  </si>
  <si>
    <t>Chillicothe High School</t>
  </si>
  <si>
    <t>Clopton High School</t>
  </si>
  <si>
    <t>Clarkton High School</t>
  </si>
  <si>
    <t>Clarkton</t>
  </si>
  <si>
    <t>Clayton High School</t>
  </si>
  <si>
    <t>Midway High School</t>
  </si>
  <si>
    <t>Clever High School</t>
  </si>
  <si>
    <t>Clever</t>
  </si>
  <si>
    <t>Climax Springs High School</t>
  </si>
  <si>
    <t>Climax Springs</t>
  </si>
  <si>
    <t>Clinton Sr. High School</t>
  </si>
  <si>
    <t>Cole Camp High School</t>
  </si>
  <si>
    <t>Cole Camp</t>
  </si>
  <si>
    <t>Cornerstone</t>
  </si>
  <si>
    <t>David H. Hickman High School</t>
  </si>
  <si>
    <t>Muriel W. Battle High School</t>
  </si>
  <si>
    <t>Rock Bridge Sr. High School</t>
  </si>
  <si>
    <t>Conception Jct</t>
  </si>
  <si>
    <t>Conway High Schools</t>
  </si>
  <si>
    <t>Cooter High School</t>
  </si>
  <si>
    <t>Cooter</t>
  </si>
  <si>
    <t>Crane High School</t>
  </si>
  <si>
    <t>Crane</t>
  </si>
  <si>
    <t>Creighton</t>
  </si>
  <si>
    <t>Southview High School</t>
  </si>
  <si>
    <t>Crocker High School</t>
  </si>
  <si>
    <t>Crocker</t>
  </si>
  <si>
    <t>Crystal City High School</t>
  </si>
  <si>
    <t>Crystal City</t>
  </si>
  <si>
    <t>Cuba High School</t>
  </si>
  <si>
    <t>Dadeville Sr. High School</t>
  </si>
  <si>
    <t>North Platte High School</t>
  </si>
  <si>
    <t>Deepwater</t>
  </si>
  <si>
    <t>Delta C-7 High School</t>
  </si>
  <si>
    <t>Deering</t>
  </si>
  <si>
    <t>Dekalb Jr.-Sr. High School</t>
  </si>
  <si>
    <t>Desoto Sr. High School</t>
  </si>
  <si>
    <t>Desoto</t>
  </si>
  <si>
    <t>Diamond High School</t>
  </si>
  <si>
    <t>Diamond</t>
  </si>
  <si>
    <t>Doniphan High School</t>
  </si>
  <si>
    <t>Doniphan</t>
  </si>
  <si>
    <t>Drexel High School</t>
  </si>
  <si>
    <t>Drexel</t>
  </si>
  <si>
    <t>East Prairie High School</t>
  </si>
  <si>
    <t>East Prairie</t>
  </si>
  <si>
    <t>Knox Co. High School</t>
  </si>
  <si>
    <t>El Dorado Springs High School</t>
  </si>
  <si>
    <t>El Dorado Springs</t>
  </si>
  <si>
    <t>Eldon High School</t>
  </si>
  <si>
    <t>East Carter Co. R-Ii High School</t>
  </si>
  <si>
    <t>Ellsinore</t>
  </si>
  <si>
    <t>Elsberry High School</t>
  </si>
  <si>
    <t>Elsberry</t>
  </si>
  <si>
    <t>Eugene High School</t>
  </si>
  <si>
    <t>Eureka Sr. High School</t>
  </si>
  <si>
    <t>Everton High School</t>
  </si>
  <si>
    <t>Everton</t>
  </si>
  <si>
    <t>Excelsior Springs High School</t>
  </si>
  <si>
    <t>Excelsior Springs</t>
  </si>
  <si>
    <t>Exeter High School</t>
  </si>
  <si>
    <t>Fair Grove High School</t>
  </si>
  <si>
    <t>Fair Grove</t>
  </si>
  <si>
    <t>Fair Play High School</t>
  </si>
  <si>
    <t>Fair Play</t>
  </si>
  <si>
    <t>Fairfax High School</t>
  </si>
  <si>
    <t>Farmington Sr. High School</t>
  </si>
  <si>
    <t>Mid-Buchanan Sr. High School</t>
  </si>
  <si>
    <t>Faucett</t>
  </si>
  <si>
    <t>Fayette High School</t>
  </si>
  <si>
    <t>Rockwood Summit Sr. High School</t>
  </si>
  <si>
    <t>Mccluer South-Berkeley High School</t>
  </si>
  <si>
    <t>Ferguson</t>
  </si>
  <si>
    <t>Festus Sr. High School</t>
  </si>
  <si>
    <t>Hazelwood Central High School</t>
  </si>
  <si>
    <t>Florissant</t>
  </si>
  <si>
    <t>Mccluer High School</t>
  </si>
  <si>
    <t>Mccluer North High School</t>
  </si>
  <si>
    <t>Northview</t>
  </si>
  <si>
    <t>Fordland High School</t>
  </si>
  <si>
    <t>Fordland</t>
  </si>
  <si>
    <t>Delmina Woods Youth Facility</t>
  </si>
  <si>
    <t>Forsyth High School</t>
  </si>
  <si>
    <t>Fredericktown High School</t>
  </si>
  <si>
    <t>Fredericktown</t>
  </si>
  <si>
    <t>Fulton Sr. High School</t>
  </si>
  <si>
    <t>Fulton Treatment Ctr.</t>
  </si>
  <si>
    <t>Rosa Parks Center</t>
  </si>
  <si>
    <t>Gallatin</t>
  </si>
  <si>
    <t>Grundy Co. High School</t>
  </si>
  <si>
    <t>Gideon High School</t>
  </si>
  <si>
    <t>Gideon</t>
  </si>
  <si>
    <t>Gilman City High School</t>
  </si>
  <si>
    <t>Gilman City</t>
  </si>
  <si>
    <t>S.T.A.R. Day Treatment Ctr.</t>
  </si>
  <si>
    <t>Golden City High School</t>
  </si>
  <si>
    <t>Golden City</t>
  </si>
  <si>
    <t>Gower</t>
  </si>
  <si>
    <t>Nodaway-Holt Ms/High School</t>
  </si>
  <si>
    <t>Graham</t>
  </si>
  <si>
    <t>Grain Valley High School</t>
  </si>
  <si>
    <t>Grain Valley</t>
  </si>
  <si>
    <t>East Newton High School</t>
  </si>
  <si>
    <t>Grandview Sr. High School</t>
  </si>
  <si>
    <t>Worth Co. High School</t>
  </si>
  <si>
    <t>Grant City</t>
  </si>
  <si>
    <t>Green City High School</t>
  </si>
  <si>
    <t>Green City</t>
  </si>
  <si>
    <t>Green Ridge High School</t>
  </si>
  <si>
    <t>Green Ridge</t>
  </si>
  <si>
    <t>Halfway Secondary</t>
  </si>
  <si>
    <t>Halfway</t>
  </si>
  <si>
    <t>Hallsville High School</t>
  </si>
  <si>
    <t>Hallsville</t>
  </si>
  <si>
    <t>Penney High School</t>
  </si>
  <si>
    <t>Hannibal Sr. High School</t>
  </si>
  <si>
    <t>Hannibal</t>
  </si>
  <si>
    <t>Hardin-Central High School</t>
  </si>
  <si>
    <t>Harrisonville High School</t>
  </si>
  <si>
    <t>Hartville High School</t>
  </si>
  <si>
    <t>Hayti High School</t>
  </si>
  <si>
    <t>Hayti</t>
  </si>
  <si>
    <t>Hazelwood West High School</t>
  </si>
  <si>
    <t>Hazelwood</t>
  </si>
  <si>
    <t>Herculaneum High School</t>
  </si>
  <si>
    <t>Herculaneum</t>
  </si>
  <si>
    <t>Hermann High School</t>
  </si>
  <si>
    <t>Hermann</t>
  </si>
  <si>
    <t>Higbee High School</t>
  </si>
  <si>
    <t>Higbee</t>
  </si>
  <si>
    <t>Lafayette Co. High School</t>
  </si>
  <si>
    <t>Higginsville</t>
  </si>
  <si>
    <t>Hillsboro Treatment Ctr.</t>
  </si>
  <si>
    <t>New Day - Day Treatment</t>
  </si>
  <si>
    <t>Hollister High School</t>
  </si>
  <si>
    <t>North Nodaway Jr.-Sr. High School</t>
  </si>
  <si>
    <t>Hughesville</t>
  </si>
  <si>
    <t>Humansville High School</t>
  </si>
  <si>
    <t>Humansville</t>
  </si>
  <si>
    <t>Hume High School</t>
  </si>
  <si>
    <t>Westran High School</t>
  </si>
  <si>
    <t>Hurley High School</t>
  </si>
  <si>
    <t>Iberia High School</t>
  </si>
  <si>
    <t>Iberia</t>
  </si>
  <si>
    <t>Seckman Sr. High School</t>
  </si>
  <si>
    <t>Fort Osage High School</t>
  </si>
  <si>
    <t>Truman High School</t>
  </si>
  <si>
    <t>William Chrisman High School</t>
  </si>
  <si>
    <t>Van Horn High School</t>
  </si>
  <si>
    <t>Independnce</t>
  </si>
  <si>
    <t>Arcadia Valley High School</t>
  </si>
  <si>
    <t>Jackson Sr. High School</t>
  </si>
  <si>
    <t>North Daviess High School</t>
  </si>
  <si>
    <t>Jameson</t>
  </si>
  <si>
    <t>Jamesport</t>
  </si>
  <si>
    <t>Jamestown C-I High School</t>
  </si>
  <si>
    <t>Jamestown</t>
  </si>
  <si>
    <t>Blair Oaks High School</t>
  </si>
  <si>
    <t>Jefferson City</t>
  </si>
  <si>
    <t>Jefferson City High School</t>
  </si>
  <si>
    <t>Gateway School</t>
  </si>
  <si>
    <t>Joplin High School</t>
  </si>
  <si>
    <t>Clark Co. High School</t>
  </si>
  <si>
    <t>Kahoka</t>
  </si>
  <si>
    <t>Allen Village High School</t>
  </si>
  <si>
    <t>Center Sr. High School</t>
  </si>
  <si>
    <t>Delasalle Charter High School</t>
  </si>
  <si>
    <t>Ewing Marion Kauffman High School</t>
  </si>
  <si>
    <t>Frontier Schl Of Excellence-U</t>
  </si>
  <si>
    <t>Frontier Stem High School</t>
  </si>
  <si>
    <t>Guadalupe Centers High School</t>
  </si>
  <si>
    <t>Hogan Preparatory Academy</t>
  </si>
  <si>
    <t>Lincoln College Prep.</t>
  </si>
  <si>
    <t>North Kansas City High School</t>
  </si>
  <si>
    <t>Northwest Reg. Youth Ctr.</t>
  </si>
  <si>
    <t>Park Hill High School</t>
  </si>
  <si>
    <t>Paseo Academy. Of Performing Arts</t>
  </si>
  <si>
    <t>Ruskin High School</t>
  </si>
  <si>
    <t>Staley High School</t>
  </si>
  <si>
    <t>University Academy-Upper</t>
  </si>
  <si>
    <t>Winnetonka High School</t>
  </si>
  <si>
    <t>Kearney High School</t>
  </si>
  <si>
    <t>Kearney</t>
  </si>
  <si>
    <t>Kennett High School</t>
  </si>
  <si>
    <t>Kennett</t>
  </si>
  <si>
    <t>Keytesville High School</t>
  </si>
  <si>
    <t>Keytesville</t>
  </si>
  <si>
    <t>North Callaway High School</t>
  </si>
  <si>
    <t>Kingdom City</t>
  </si>
  <si>
    <t>Kingsville High School</t>
  </si>
  <si>
    <t>Kingsville</t>
  </si>
  <si>
    <t>Kirksville Sr. High School</t>
  </si>
  <si>
    <t>Kirksville</t>
  </si>
  <si>
    <t>Kirkwood Sr. High School</t>
  </si>
  <si>
    <t>Knob Noster High School</t>
  </si>
  <si>
    <t>Knob Noster</t>
  </si>
  <si>
    <t>Koshkonong High School</t>
  </si>
  <si>
    <t>Koshkonong</t>
  </si>
  <si>
    <t>La Monte High School</t>
  </si>
  <si>
    <t>La Monte</t>
  </si>
  <si>
    <t>Laddonia</t>
  </si>
  <si>
    <t>Lake St. Louis</t>
  </si>
  <si>
    <t>Laquey R-V High School</t>
  </si>
  <si>
    <t>Laquey</t>
  </si>
  <si>
    <t>Lathrop</t>
  </si>
  <si>
    <t>Lawson High School</t>
  </si>
  <si>
    <t>Lawson</t>
  </si>
  <si>
    <t>Watkins Mill Park Camp</t>
  </si>
  <si>
    <t>Lebanon Sr. High School</t>
  </si>
  <si>
    <t>Langsford House</t>
  </si>
  <si>
    <t>Lee'S Summit</t>
  </si>
  <si>
    <t>Lee'S Summit North High School</t>
  </si>
  <si>
    <t>Lee'S Summit Sr. High School</t>
  </si>
  <si>
    <t>Lee'S Summit West High School</t>
  </si>
  <si>
    <t>Leeton High School</t>
  </si>
  <si>
    <t>Leeton</t>
  </si>
  <si>
    <t>Leopold High School</t>
  </si>
  <si>
    <t>Lesterville High School</t>
  </si>
  <si>
    <t>Lesterville</t>
  </si>
  <si>
    <t>High Schoolland Jr.-Sr. High School</t>
  </si>
  <si>
    <t>Liberal High School</t>
  </si>
  <si>
    <t>Liberty North High School</t>
  </si>
  <si>
    <t>Licking High School</t>
  </si>
  <si>
    <t>Licking</t>
  </si>
  <si>
    <t>Lockwood High School</t>
  </si>
  <si>
    <t>Lockwood</t>
  </si>
  <si>
    <t>Lone Jack High School</t>
  </si>
  <si>
    <t>Lone Jack</t>
  </si>
  <si>
    <t>Louisiana High School</t>
  </si>
  <si>
    <t>Southwest Livingston Co R-1 High School</t>
  </si>
  <si>
    <t>Macks Creek High School</t>
  </si>
  <si>
    <t>Macks Creek</t>
  </si>
  <si>
    <t>Macon Sr. High School</t>
  </si>
  <si>
    <t>Malta Bend High School</t>
  </si>
  <si>
    <t>Malta Bend</t>
  </si>
  <si>
    <t>Maplewood-Richmond Hgts. High School</t>
  </si>
  <si>
    <t>Maplewood</t>
  </si>
  <si>
    <t>Marble Hill</t>
  </si>
  <si>
    <t>Marceline High School</t>
  </si>
  <si>
    <t>Marceline</t>
  </si>
  <si>
    <t>Marionville High School</t>
  </si>
  <si>
    <t>Marionville</t>
  </si>
  <si>
    <t>Marquand-Zion High School</t>
  </si>
  <si>
    <t>Marquand</t>
  </si>
  <si>
    <t>Marshall Sr. High School</t>
  </si>
  <si>
    <t>Pattonville Sr. High School</t>
  </si>
  <si>
    <t>Maryland Heights</t>
  </si>
  <si>
    <t>Maryville High School</t>
  </si>
  <si>
    <t>Maysville Jr.-Sr. High School</t>
  </si>
  <si>
    <t>Meadville High School</t>
  </si>
  <si>
    <t>Scotland Co. High School</t>
  </si>
  <si>
    <t>Mercer High School</t>
  </si>
  <si>
    <t>Mercer</t>
  </si>
  <si>
    <t>Mexico High School</t>
  </si>
  <si>
    <t>N.E. Community Treatment Ctr.</t>
  </si>
  <si>
    <t>Miller High School</t>
  </si>
  <si>
    <t>Moberly Sr. High School</t>
  </si>
  <si>
    <t>Moberly</t>
  </si>
  <si>
    <t>South Callaway High School</t>
  </si>
  <si>
    <t>Mokane</t>
  </si>
  <si>
    <t>Monett High School</t>
  </si>
  <si>
    <t>Monett</t>
  </si>
  <si>
    <t>Monroe City R-I High School</t>
  </si>
  <si>
    <t>Montgomery Co. High School</t>
  </si>
  <si>
    <t>Montgomery City</t>
  </si>
  <si>
    <t>Marion C. Early High School</t>
  </si>
  <si>
    <t>Mound City High School</t>
  </si>
  <si>
    <t>Mountain Grove High School</t>
  </si>
  <si>
    <t>Mountain Grove</t>
  </si>
  <si>
    <t>Liberty Sr. High School</t>
  </si>
  <si>
    <t>Mt. Vernon High School</t>
  </si>
  <si>
    <t>Mt. Vernon Treatment Ctr.</t>
  </si>
  <si>
    <t>Couch High School</t>
  </si>
  <si>
    <t>Myrtle</t>
  </si>
  <si>
    <t>Naylor High School</t>
  </si>
  <si>
    <t>Naylor</t>
  </si>
  <si>
    <t>Neelyville High School</t>
  </si>
  <si>
    <t>Neelyville</t>
  </si>
  <si>
    <t>Neosho High School</t>
  </si>
  <si>
    <t>Neosho</t>
  </si>
  <si>
    <t>New Bloomfield High School</t>
  </si>
  <si>
    <t>Macon Co. High School</t>
  </si>
  <si>
    <t>New Cambria</t>
  </si>
  <si>
    <t>New Franklin Middle-High School</t>
  </si>
  <si>
    <t>New Franklin</t>
  </si>
  <si>
    <t>New Madrid</t>
  </si>
  <si>
    <t>New Madrid Bend Youth Ctr.</t>
  </si>
  <si>
    <t>Newburg High School</t>
  </si>
  <si>
    <t>Newburg</t>
  </si>
  <si>
    <t>Newtown-Harris High School</t>
  </si>
  <si>
    <t>Niangua High School</t>
  </si>
  <si>
    <t>Niangua</t>
  </si>
  <si>
    <t>Nixa High School</t>
  </si>
  <si>
    <t>Norborne High School</t>
  </si>
  <si>
    <t>Norborne</t>
  </si>
  <si>
    <t>Novinger</t>
  </si>
  <si>
    <t>Ft. Zumwalt North High School</t>
  </si>
  <si>
    <t>Ft. Zumwalt West High School</t>
  </si>
  <si>
    <t>Odessa High School</t>
  </si>
  <si>
    <t>Oran High School</t>
  </si>
  <si>
    <t>Oran</t>
  </si>
  <si>
    <t>South Holt High School</t>
  </si>
  <si>
    <t>Orrick High School</t>
  </si>
  <si>
    <t>Orrick</t>
  </si>
  <si>
    <t>Osage Beach</t>
  </si>
  <si>
    <t>Osborn</t>
  </si>
  <si>
    <t>Osceola Jr.-Sr. High School</t>
  </si>
  <si>
    <t>Otterville High School</t>
  </si>
  <si>
    <t>Otterville</t>
  </si>
  <si>
    <t>Owensville High School</t>
  </si>
  <si>
    <t>Owensville</t>
  </si>
  <si>
    <t>Pacific</t>
  </si>
  <si>
    <t>Palmyra High School</t>
  </si>
  <si>
    <t>West County High School</t>
  </si>
  <si>
    <t>Meadow Heights High School</t>
  </si>
  <si>
    <t>Patton</t>
  </si>
  <si>
    <t>Pattonsburg High School</t>
  </si>
  <si>
    <t>Pattonsburg</t>
  </si>
  <si>
    <t>Raymore-Peculiar Sr. High School</t>
  </si>
  <si>
    <t>Peculiar</t>
  </si>
  <si>
    <t>Perryville Sr. High School</t>
  </si>
  <si>
    <t>Marion Co. High School</t>
  </si>
  <si>
    <t>Pierce City High School</t>
  </si>
  <si>
    <t>Pierce City</t>
  </si>
  <si>
    <t>Pilot Grove High School</t>
  </si>
  <si>
    <t>Pilot Grove</t>
  </si>
  <si>
    <t>Plato High School</t>
  </si>
  <si>
    <t>Plato</t>
  </si>
  <si>
    <t>Platte County High School</t>
  </si>
  <si>
    <t>Platte City</t>
  </si>
  <si>
    <t>Plattsburg High School</t>
  </si>
  <si>
    <t>Plattsburg</t>
  </si>
  <si>
    <t>Pleasant Hope High School</t>
  </si>
  <si>
    <t>Pleasant Hope</t>
  </si>
  <si>
    <t>Polo High School</t>
  </si>
  <si>
    <t>Poplar Bluff High School</t>
  </si>
  <si>
    <t>Poplar Bluff</t>
  </si>
  <si>
    <t>Sierra-Osage Treatment Ctr.</t>
  </si>
  <si>
    <t>W. E. Sears Youth Ctr.</t>
  </si>
  <si>
    <t>Portageville High School</t>
  </si>
  <si>
    <t>Portageville</t>
  </si>
  <si>
    <t>Potosi High School</t>
  </si>
  <si>
    <t>Potosi</t>
  </si>
  <si>
    <t>Prairie Home High School</t>
  </si>
  <si>
    <t>Prairie Home</t>
  </si>
  <si>
    <t>Princeton R-V Jr.-Sr. High School</t>
  </si>
  <si>
    <t>Linn Co. High School</t>
  </si>
  <si>
    <t>Purdin</t>
  </si>
  <si>
    <t>Purdy High School</t>
  </si>
  <si>
    <t>Purdy</t>
  </si>
  <si>
    <t>Puxico High School</t>
  </si>
  <si>
    <t>Puxico</t>
  </si>
  <si>
    <t>Schuyler Co. High School</t>
  </si>
  <si>
    <t>Queen City</t>
  </si>
  <si>
    <t>Northeast Nodaway High School</t>
  </si>
  <si>
    <t>Ravenwood</t>
  </si>
  <si>
    <t>Raytown South Sr. High School</t>
  </si>
  <si>
    <t>Raytown Sr. High School</t>
  </si>
  <si>
    <t>Reeds Spring High School</t>
  </si>
  <si>
    <t>Reeds Spring</t>
  </si>
  <si>
    <t>Republic High School</t>
  </si>
  <si>
    <t>Rich Hill High School</t>
  </si>
  <si>
    <t>Rich Hill</t>
  </si>
  <si>
    <t>Rich Hill Youth Dev. Ctr.</t>
  </si>
  <si>
    <t>Ridgeway High School</t>
  </si>
  <si>
    <t>Ridgeway</t>
  </si>
  <si>
    <t>Risco High School</t>
  </si>
  <si>
    <t>Risco</t>
  </si>
  <si>
    <t>Park Hill South High School</t>
  </si>
  <si>
    <t>Rock Port High School</t>
  </si>
  <si>
    <t>Rock Port</t>
  </si>
  <si>
    <t>Logan-Rogersville High School</t>
  </si>
  <si>
    <t>Rogersville</t>
  </si>
  <si>
    <t>Rolla Sr. High School</t>
  </si>
  <si>
    <t>North Andrew High School</t>
  </si>
  <si>
    <t>Rosendale</t>
  </si>
  <si>
    <t>Salem Sr. High School</t>
  </si>
  <si>
    <t>Salisbury High School</t>
  </si>
  <si>
    <t>Sarcoxie High School</t>
  </si>
  <si>
    <t>Sarcoxie</t>
  </si>
  <si>
    <t>Savannah High School</t>
  </si>
  <si>
    <t>Smith-Cotton High School</t>
  </si>
  <si>
    <t>Senath-Hornersville High School Schoo</t>
  </si>
  <si>
    <t>Senath</t>
  </si>
  <si>
    <t>South Shelby High School</t>
  </si>
  <si>
    <t>Shelbina</t>
  </si>
  <si>
    <t>North Shelby High School</t>
  </si>
  <si>
    <t>Scott Co. Central High School</t>
  </si>
  <si>
    <t>Sikeston</t>
  </si>
  <si>
    <t>Sikeston Hope Ctr.</t>
  </si>
  <si>
    <t>Sikeston Sr. High School</t>
  </si>
  <si>
    <t>Silex High School</t>
  </si>
  <si>
    <t>Silex</t>
  </si>
  <si>
    <t>Slater High School</t>
  </si>
  <si>
    <t>Slater</t>
  </si>
  <si>
    <t>Smithton High School</t>
  </si>
  <si>
    <t>Smithton</t>
  </si>
  <si>
    <t>Smithville High School</t>
  </si>
  <si>
    <t>Smithville</t>
  </si>
  <si>
    <t>Spokane High School</t>
  </si>
  <si>
    <t>Community Learning Ctr.</t>
  </si>
  <si>
    <t>Datema House</t>
  </si>
  <si>
    <t>Excel School</t>
  </si>
  <si>
    <t>Kickapoo High School</t>
  </si>
  <si>
    <t>Wilson Creek Group Home</t>
  </si>
  <si>
    <t>Francis Howell Central High School</t>
  </si>
  <si>
    <t>Francis Howell High School</t>
  </si>
  <si>
    <t>Francis Howell North High School</t>
  </si>
  <si>
    <t>Heritage Landing</t>
  </si>
  <si>
    <t>Quest Day Treatment</t>
  </si>
  <si>
    <t>St. Charles West High School</t>
  </si>
  <si>
    <t>St. Clair High School</t>
  </si>
  <si>
    <t>St Clair</t>
  </si>
  <si>
    <t>St. Elizabeth High School</t>
  </si>
  <si>
    <t>St Elizabeth</t>
  </si>
  <si>
    <t>St James</t>
  </si>
  <si>
    <t>St Joseph</t>
  </si>
  <si>
    <t>Riverbend Treatment Ctr.</t>
  </si>
  <si>
    <t>Affton High School</t>
  </si>
  <si>
    <t>St Louis</t>
  </si>
  <si>
    <t>Bayless Senior High School</t>
  </si>
  <si>
    <t>Beaumont Cte High School</t>
  </si>
  <si>
    <t>Bissell Hall</t>
  </si>
  <si>
    <t>Carnahan Sch. Of The Future</t>
  </si>
  <si>
    <t>Central Visual/Perf. Arts High School</t>
  </si>
  <si>
    <t>Cleveland Njrotc Academy</t>
  </si>
  <si>
    <t>Community Access Job Training</t>
  </si>
  <si>
    <t>Confluence Preparatory Academy</t>
  </si>
  <si>
    <t>Discovery Hall</t>
  </si>
  <si>
    <t>Fort Bellefontaine Campus</t>
  </si>
  <si>
    <t>Hancock Sr. High School</t>
  </si>
  <si>
    <t>Hazelwood East High School</t>
  </si>
  <si>
    <t>Hogan St Regional Youth Ctr.</t>
  </si>
  <si>
    <t>Ladue Horton Watkins High School</t>
  </si>
  <si>
    <t>Lewis And Clark Hall</t>
  </si>
  <si>
    <t>Lift For Life Academy High School Sch</t>
  </si>
  <si>
    <t>Mckinley Class. Leadership Ac.</t>
  </si>
  <si>
    <t>Mehlville High School</t>
  </si>
  <si>
    <t>Metro High School</t>
  </si>
  <si>
    <t>Normandy High School</t>
  </si>
  <si>
    <t>Oakville Sr. High School</t>
  </si>
  <si>
    <t>Reach St. Louis Day Treatment</t>
  </si>
  <si>
    <t>Ritenour Sr. High School</t>
  </si>
  <si>
    <t>Riverview Gardens Sr. High School</t>
  </si>
  <si>
    <t>Soldan International Studies</t>
  </si>
  <si>
    <t>Spanish Lake Campus</t>
  </si>
  <si>
    <t>Sumner High School</t>
  </si>
  <si>
    <t>Transportation And Law</t>
  </si>
  <si>
    <t>Twin Rivers</t>
  </si>
  <si>
    <t>Vashon High School</t>
  </si>
  <si>
    <t>Webster Groves High School</t>
  </si>
  <si>
    <t>Ft. Zumwalt East High School</t>
  </si>
  <si>
    <t>St Peters</t>
  </si>
  <si>
    <t>Ft. Zumwalt South High School</t>
  </si>
  <si>
    <t>Orchard Farm High School</t>
  </si>
  <si>
    <t>St. Charles</t>
  </si>
  <si>
    <t>Collegiate School Of Med/Bio</t>
  </si>
  <si>
    <t>Gateway Science Academy High School</t>
  </si>
  <si>
    <t>Grand Center Arts Academy High School</t>
  </si>
  <si>
    <t>Lindbergh Sr. High School</t>
  </si>
  <si>
    <t>St. Louis College Prep High School</t>
  </si>
  <si>
    <t>Stanberry High School</t>
  </si>
  <si>
    <t>Stanberry</t>
  </si>
  <si>
    <t>Ste. Genevieve Sr. High School</t>
  </si>
  <si>
    <t>Ste Genevieve</t>
  </si>
  <si>
    <t>South Pemiscot High School</t>
  </si>
  <si>
    <t>Steele</t>
  </si>
  <si>
    <t>Steelville High School</t>
  </si>
  <si>
    <t>Steelville</t>
  </si>
  <si>
    <t>Stewartsville High School</t>
  </si>
  <si>
    <t>Stewartsville</t>
  </si>
  <si>
    <t>Stoutland High School</t>
  </si>
  <si>
    <t>Stoutland</t>
  </si>
  <si>
    <t>Morgan Co. R-I High School</t>
  </si>
  <si>
    <t>Stover</t>
  </si>
  <si>
    <t>Strafford High School</t>
  </si>
  <si>
    <t>Strafford</t>
  </si>
  <si>
    <t>Sturgeon High School</t>
  </si>
  <si>
    <t>Sturgeon</t>
  </si>
  <si>
    <t>Sullivan Sr. High School</t>
  </si>
  <si>
    <t>Summersville High School</t>
  </si>
  <si>
    <t>Summersville</t>
  </si>
  <si>
    <t>Sweet Springs High School</t>
  </si>
  <si>
    <t>Sweet Springs</t>
  </si>
  <si>
    <t>Tarkio High School</t>
  </si>
  <si>
    <t>Tarkio</t>
  </si>
  <si>
    <t>Thayer Sr. High School</t>
  </si>
  <si>
    <t>Thayer</t>
  </si>
  <si>
    <t>Lutie High School</t>
  </si>
  <si>
    <t>Theodosia</t>
  </si>
  <si>
    <t>Tina-Avalon High School</t>
  </si>
  <si>
    <t>Tina</t>
  </si>
  <si>
    <t>Hiram Neuwoehner</t>
  </si>
  <si>
    <t>Town And Country</t>
  </si>
  <si>
    <t>Trenton Sr. High School</t>
  </si>
  <si>
    <t>Camp Avery Park Camp</t>
  </si>
  <si>
    <t>Troy Buchanan High School</t>
  </si>
  <si>
    <t>Tuscumbia High School</t>
  </si>
  <si>
    <t>Union Star High School</t>
  </si>
  <si>
    <t>Union Star</t>
  </si>
  <si>
    <t>Putnam Co. High School</t>
  </si>
  <si>
    <t>Unionville</t>
  </si>
  <si>
    <t>University City Sr. High School</t>
  </si>
  <si>
    <t>University City</t>
  </si>
  <si>
    <t>Valley Park Sr. High School</t>
  </si>
  <si>
    <t>Van-Far Jr./Sr. High School</t>
  </si>
  <si>
    <t>Verona High School</t>
  </si>
  <si>
    <t>Verona</t>
  </si>
  <si>
    <t>Morgan Co. High School</t>
  </si>
  <si>
    <t>Viburnum High School</t>
  </si>
  <si>
    <t>Viburnum</t>
  </si>
  <si>
    <t>Northeast Vernon Co. R-I High School</t>
  </si>
  <si>
    <t>North Pemiscot Sr. High School</t>
  </si>
  <si>
    <t>Wardell</t>
  </si>
  <si>
    <t>Warrensburg High School</t>
  </si>
  <si>
    <t>Warrenton High School</t>
  </si>
  <si>
    <t>Warsaw High School</t>
  </si>
  <si>
    <t>Waverly Regional Youth Ctr.</t>
  </si>
  <si>
    <t>Waynesville Sr. High School</t>
  </si>
  <si>
    <t>Waynesville</t>
  </si>
  <si>
    <t>Weaubleau High School</t>
  </si>
  <si>
    <t>Weaubleau</t>
  </si>
  <si>
    <t>Webb City High School</t>
  </si>
  <si>
    <t>Webb City</t>
  </si>
  <si>
    <t>Wellington-Napoleon High School</t>
  </si>
  <si>
    <t>Met Day Treatment Center</t>
  </si>
  <si>
    <t>Wellston</t>
  </si>
  <si>
    <t>Wellsville-Middletown High School</t>
  </si>
  <si>
    <t>Emil E. Holt Sr. High School</t>
  </si>
  <si>
    <t>Wentzville</t>
  </si>
  <si>
    <t>Timberland High School</t>
  </si>
  <si>
    <t>West Plains Sr. High School</t>
  </si>
  <si>
    <t>West Plains</t>
  </si>
  <si>
    <t>West Platte High School</t>
  </si>
  <si>
    <t>Fatima High School</t>
  </si>
  <si>
    <t>Lafayette Sr. High School</t>
  </si>
  <si>
    <t>Willard High School</t>
  </si>
  <si>
    <t>Willard</t>
  </si>
  <si>
    <t>Willow Springs High School</t>
  </si>
  <si>
    <t>Willow Springs</t>
  </si>
  <si>
    <t>Winston High School</t>
  </si>
  <si>
    <t>Winston</t>
  </si>
  <si>
    <t>Wright City High School</t>
  </si>
  <si>
    <t>Wright City</t>
  </si>
  <si>
    <t>Zalma High School</t>
  </si>
  <si>
    <t>Zalma</t>
  </si>
  <si>
    <t>Absarokee High School</t>
  </si>
  <si>
    <t>Absarokee</t>
  </si>
  <si>
    <t>Alberton High School</t>
  </si>
  <si>
    <t>Alberton</t>
  </si>
  <si>
    <t>Anaconda Sr High School</t>
  </si>
  <si>
    <t>Anaconda</t>
  </si>
  <si>
    <t>Arlee High School</t>
  </si>
  <si>
    <t>Arlee</t>
  </si>
  <si>
    <t>Bainville High School</t>
  </si>
  <si>
    <t>Bainville</t>
  </si>
  <si>
    <t>Belgrade High School</t>
  </si>
  <si>
    <t>Belt High School</t>
  </si>
  <si>
    <t>Big Sandy High School</t>
  </si>
  <si>
    <t>Big Sandy</t>
  </si>
  <si>
    <t>Lone Peak High School</t>
  </si>
  <si>
    <t>Big Sky</t>
  </si>
  <si>
    <t>Sweet Grass Co High School Schl</t>
  </si>
  <si>
    <t>Big Timber</t>
  </si>
  <si>
    <t>Bigfork High School</t>
  </si>
  <si>
    <t>Billings Sr High School</t>
  </si>
  <si>
    <t>Billings West High School</t>
  </si>
  <si>
    <t>Box Elder High School</t>
  </si>
  <si>
    <t>Box Elder</t>
  </si>
  <si>
    <t>Rocky Boy High School</t>
  </si>
  <si>
    <t>Bozeman High School</t>
  </si>
  <si>
    <t>Bridger High School</t>
  </si>
  <si>
    <t>Bridger</t>
  </si>
  <si>
    <t>Powder River Co Dist High School</t>
  </si>
  <si>
    <t>Broadus</t>
  </si>
  <si>
    <t>Broadview High School</t>
  </si>
  <si>
    <t>Broadview</t>
  </si>
  <si>
    <t>Browning High School</t>
  </si>
  <si>
    <t>Butte High School</t>
  </si>
  <si>
    <t>Butte</t>
  </si>
  <si>
    <t>Cascade High School</t>
  </si>
  <si>
    <t>Charlo High School</t>
  </si>
  <si>
    <t>Charlo</t>
  </si>
  <si>
    <t>Chester-Joplin-Inverness High School</t>
  </si>
  <si>
    <t>Chinook High School</t>
  </si>
  <si>
    <t>Chinook</t>
  </si>
  <si>
    <t>Choteau High School</t>
  </si>
  <si>
    <t>Choteau</t>
  </si>
  <si>
    <t>Circle</t>
  </si>
  <si>
    <t>Shields Valley High School Schl</t>
  </si>
  <si>
    <t>Clyde Park</t>
  </si>
  <si>
    <t>Colstrip High School</t>
  </si>
  <si>
    <t>Colstrip</t>
  </si>
  <si>
    <t>Columbia Falls High School Schl</t>
  </si>
  <si>
    <t>Columbia Falls</t>
  </si>
  <si>
    <t>Conrad High School</t>
  </si>
  <si>
    <t>Corvallis High School</t>
  </si>
  <si>
    <t>Culbertson High School</t>
  </si>
  <si>
    <t>Culbertson</t>
  </si>
  <si>
    <t>Custer High School</t>
  </si>
  <si>
    <t>Cut Bank High School</t>
  </si>
  <si>
    <t>Cut Bank</t>
  </si>
  <si>
    <t>Darby High School</t>
  </si>
  <si>
    <t>Darby</t>
  </si>
  <si>
    <t>Deer Lodge</t>
  </si>
  <si>
    <t>Denton High School</t>
  </si>
  <si>
    <t>Beaverhead Co High School</t>
  </si>
  <si>
    <t>Dillon</t>
  </si>
  <si>
    <t>Dodson High School</t>
  </si>
  <si>
    <t>Dodson</t>
  </si>
  <si>
    <t>Drummond High School</t>
  </si>
  <si>
    <t>Drummond</t>
  </si>
  <si>
    <t>Dutton/Brady High School</t>
  </si>
  <si>
    <t>Dutton</t>
  </si>
  <si>
    <t>Carter County High School</t>
  </si>
  <si>
    <t>Ekalaka</t>
  </si>
  <si>
    <t>Ennis High School</t>
  </si>
  <si>
    <t>Ennis</t>
  </si>
  <si>
    <t>Lincoln Co High School</t>
  </si>
  <si>
    <t>Florence-Carlton High School</t>
  </si>
  <si>
    <t>Fort Benton High School</t>
  </si>
  <si>
    <t>Frazer High School</t>
  </si>
  <si>
    <t>Frazer</t>
  </si>
  <si>
    <t>Frenchtown High School</t>
  </si>
  <si>
    <t>Frenchtown</t>
  </si>
  <si>
    <t>Froid High School</t>
  </si>
  <si>
    <t>Froid</t>
  </si>
  <si>
    <t>Fromberg High School</t>
  </si>
  <si>
    <t>Fromberg</t>
  </si>
  <si>
    <t>Gardiner High School</t>
  </si>
  <si>
    <t>Geraldine High School</t>
  </si>
  <si>
    <t>Geraldine</t>
  </si>
  <si>
    <t>Geyser High School</t>
  </si>
  <si>
    <t>Geyser</t>
  </si>
  <si>
    <t>Dawson High School</t>
  </si>
  <si>
    <t>Glendive</t>
  </si>
  <si>
    <t>Grass Range High School</t>
  </si>
  <si>
    <t>Grass Range</t>
  </si>
  <si>
    <t>C M Russell High School</t>
  </si>
  <si>
    <t>Great Falls High School</t>
  </si>
  <si>
    <t>Hardin High School</t>
  </si>
  <si>
    <t>Harlowton High School</t>
  </si>
  <si>
    <t>Harlowton</t>
  </si>
  <si>
    <t>Havre High School</t>
  </si>
  <si>
    <t>Havre</t>
  </si>
  <si>
    <t>Hays-Lodge Pole High School Sch</t>
  </si>
  <si>
    <t>Heart Butte High School</t>
  </si>
  <si>
    <t>Heart Butte</t>
  </si>
  <si>
    <t>Capital High School</t>
  </si>
  <si>
    <t>High Schoolwood High School</t>
  </si>
  <si>
    <t>Highwood</t>
  </si>
  <si>
    <t>Hinsdale High School</t>
  </si>
  <si>
    <t>Hobson High School</t>
  </si>
  <si>
    <t>Hobson</t>
  </si>
  <si>
    <t>Hot Springs High School</t>
  </si>
  <si>
    <t>Hysham High School</t>
  </si>
  <si>
    <t>Hysham</t>
  </si>
  <si>
    <t>Joliet High School</t>
  </si>
  <si>
    <t>Garfield Co Dist High School</t>
  </si>
  <si>
    <t>Judith Gap High School</t>
  </si>
  <si>
    <t>Judith Gap</t>
  </si>
  <si>
    <t>Flathead High School</t>
  </si>
  <si>
    <t>Glacier High School</t>
  </si>
  <si>
    <t>Lambert</t>
  </si>
  <si>
    <t>Lame Deer High School</t>
  </si>
  <si>
    <t>Lame Deer</t>
  </si>
  <si>
    <t>Lavina High School</t>
  </si>
  <si>
    <t>Lavina</t>
  </si>
  <si>
    <t>Fergus High School</t>
  </si>
  <si>
    <t>Libby High School</t>
  </si>
  <si>
    <t>Libby</t>
  </si>
  <si>
    <t>Lima High School</t>
  </si>
  <si>
    <t>Lima</t>
  </si>
  <si>
    <t>Lodge Grass High School</t>
  </si>
  <si>
    <t>Malta High School</t>
  </si>
  <si>
    <t>Manhattan H S</t>
  </si>
  <si>
    <t>Medicine Lake High School</t>
  </si>
  <si>
    <t>Medicine Lake</t>
  </si>
  <si>
    <t>Melstone High School</t>
  </si>
  <si>
    <t>Melstone</t>
  </si>
  <si>
    <t>Custer Co District High School</t>
  </si>
  <si>
    <t>Miles City</t>
  </si>
  <si>
    <t>Big Sky High School</t>
  </si>
  <si>
    <t>Hellgate High School</t>
  </si>
  <si>
    <t>Seeley-Swan High School</t>
  </si>
  <si>
    <t>Sentinel High School</t>
  </si>
  <si>
    <t>Moore High School</t>
  </si>
  <si>
    <t>Moore</t>
  </si>
  <si>
    <t>Nashua High School</t>
  </si>
  <si>
    <t>Noxon High School</t>
  </si>
  <si>
    <t>Noxon</t>
  </si>
  <si>
    <t>Opheim High School</t>
  </si>
  <si>
    <t>Opheim</t>
  </si>
  <si>
    <t>Park City High School</t>
  </si>
  <si>
    <t>Park City</t>
  </si>
  <si>
    <t>Granite High School</t>
  </si>
  <si>
    <t>Philipsburg</t>
  </si>
  <si>
    <t>Plains High School</t>
  </si>
  <si>
    <t>Plains</t>
  </si>
  <si>
    <t>Plentywood High School</t>
  </si>
  <si>
    <t>Plentywood</t>
  </si>
  <si>
    <t>Plevna High School</t>
  </si>
  <si>
    <t>Plevna</t>
  </si>
  <si>
    <t>Polson High School</t>
  </si>
  <si>
    <t>Polson</t>
  </si>
  <si>
    <t>Poplar High School</t>
  </si>
  <si>
    <t>Poplar</t>
  </si>
  <si>
    <t>Power High School</t>
  </si>
  <si>
    <t>Power</t>
  </si>
  <si>
    <t>Plenty Coups High School</t>
  </si>
  <si>
    <t>Pryor</t>
  </si>
  <si>
    <t>Rapelje High School</t>
  </si>
  <si>
    <t>Rapelje</t>
  </si>
  <si>
    <t>Red Lodge High School</t>
  </si>
  <si>
    <t>Red Lodge</t>
  </si>
  <si>
    <t>Reed Point High School</t>
  </si>
  <si>
    <t>Reed Point</t>
  </si>
  <si>
    <t>Richey High School</t>
  </si>
  <si>
    <t>Richey</t>
  </si>
  <si>
    <t>Roberts High School</t>
  </si>
  <si>
    <t>Roberts</t>
  </si>
  <si>
    <t>Ronan High School</t>
  </si>
  <si>
    <t>Ronan</t>
  </si>
  <si>
    <t>Rosebud High School</t>
  </si>
  <si>
    <t>Rosebud</t>
  </si>
  <si>
    <t>Roundup H S</t>
  </si>
  <si>
    <t>Roundup</t>
  </si>
  <si>
    <t>Roy High School</t>
  </si>
  <si>
    <t>Roy</t>
  </si>
  <si>
    <t>North Star High School</t>
  </si>
  <si>
    <t>Rudyard</t>
  </si>
  <si>
    <t>Ryegate High School</t>
  </si>
  <si>
    <t>Ryegate</t>
  </si>
  <si>
    <t>Saco High School</t>
  </si>
  <si>
    <t>Sand Coulee</t>
  </si>
  <si>
    <t>Savage High School</t>
  </si>
  <si>
    <t>Scobey High School</t>
  </si>
  <si>
    <t>Shepherd High School</t>
  </si>
  <si>
    <t>Simms High School</t>
  </si>
  <si>
    <t>Simms</t>
  </si>
  <si>
    <t>St Ignatius</t>
  </si>
  <si>
    <t>St Regis High School</t>
  </si>
  <si>
    <t>St Regis</t>
  </si>
  <si>
    <t>Stanford High School</t>
  </si>
  <si>
    <t>Stevensville High School</t>
  </si>
  <si>
    <t>Sunburst High School</t>
  </si>
  <si>
    <t>Sunburst</t>
  </si>
  <si>
    <t>Superior High School</t>
  </si>
  <si>
    <t>Thompson Falls High School Schl</t>
  </si>
  <si>
    <t>Thompson Falls</t>
  </si>
  <si>
    <t>Three Forks High School</t>
  </si>
  <si>
    <t>Broadwater High School</t>
  </si>
  <si>
    <t>Twin Bridges High School</t>
  </si>
  <si>
    <t>Valier High School</t>
  </si>
  <si>
    <t>Valier</t>
  </si>
  <si>
    <t>Victor High School</t>
  </si>
  <si>
    <t>West Yellowstone High School</t>
  </si>
  <si>
    <t>West Yellowstone</t>
  </si>
  <si>
    <t>Westby High School</t>
  </si>
  <si>
    <t>Westby</t>
  </si>
  <si>
    <t>White Sulphur Springs High School</t>
  </si>
  <si>
    <t>White Sulphur Springs</t>
  </si>
  <si>
    <t>Whitefish High School</t>
  </si>
  <si>
    <t>Whitefish</t>
  </si>
  <si>
    <t>Whitehall High School</t>
  </si>
  <si>
    <t>Wibaux High School</t>
  </si>
  <si>
    <t>Wibaux</t>
  </si>
  <si>
    <t>Willow Creek High School</t>
  </si>
  <si>
    <t>Willow Creek</t>
  </si>
  <si>
    <t>Winifred High School</t>
  </si>
  <si>
    <t>Winifred</t>
  </si>
  <si>
    <t>Winnett High School</t>
  </si>
  <si>
    <t>Winnett</t>
  </si>
  <si>
    <t>Wolf Point High School</t>
  </si>
  <si>
    <t>Wolf Point</t>
  </si>
  <si>
    <t>Huntley Project High School Schl</t>
  </si>
  <si>
    <t>Worden</t>
  </si>
  <si>
    <t>Freeman High School</t>
  </si>
  <si>
    <t>Ainsworth High School</t>
  </si>
  <si>
    <t>Ainsworth</t>
  </si>
  <si>
    <t>Boone Central High School</t>
  </si>
  <si>
    <t>Allen High School</t>
  </si>
  <si>
    <t>Alliance High School</t>
  </si>
  <si>
    <t>Alliance</t>
  </si>
  <si>
    <t>Amherst High School</t>
  </si>
  <si>
    <t>Ansley High School</t>
  </si>
  <si>
    <t>Ansley</t>
  </si>
  <si>
    <t>Arapahoe</t>
  </si>
  <si>
    <t>Arnold High School</t>
  </si>
  <si>
    <t>Arthur County High School</t>
  </si>
  <si>
    <t>Ashland-Greenwood High School</t>
  </si>
  <si>
    <t>West Holt High School</t>
  </si>
  <si>
    <t>Atkinson</t>
  </si>
  <si>
    <t>Bancroft-Rosalie Jr/Sr High School</t>
  </si>
  <si>
    <t>Wheeler Central High School</t>
  </si>
  <si>
    <t>Southwest Jr/Sr High School</t>
  </si>
  <si>
    <t>Bartley</t>
  </si>
  <si>
    <t>Rock County High School</t>
  </si>
  <si>
    <t>Bassett</t>
  </si>
  <si>
    <t>Battle Creek High School</t>
  </si>
  <si>
    <t>Bayard Secondary School</t>
  </si>
  <si>
    <t>Bayard</t>
  </si>
  <si>
    <t>Beatrice High School</t>
  </si>
  <si>
    <t>Beatrice</t>
  </si>
  <si>
    <t>Bellevue East Sr High School</t>
  </si>
  <si>
    <t>Bellevue West Sr High School</t>
  </si>
  <si>
    <t>Dundy Co Stratton High School</t>
  </si>
  <si>
    <t>Benkelman</t>
  </si>
  <si>
    <t>Bennington High School</t>
  </si>
  <si>
    <t>Bertrand High School</t>
  </si>
  <si>
    <t>Bertrand</t>
  </si>
  <si>
    <t>South Platte High School</t>
  </si>
  <si>
    <t>Big Springs</t>
  </si>
  <si>
    <t>Blair</t>
  </si>
  <si>
    <t>Blue Hill High School</t>
  </si>
  <si>
    <t>Brady High School</t>
  </si>
  <si>
    <t>Brady</t>
  </si>
  <si>
    <t>High School At Brainard</t>
  </si>
  <si>
    <t>Brainard</t>
  </si>
  <si>
    <t>Broken Bow High School</t>
  </si>
  <si>
    <t>Broken Bow</t>
  </si>
  <si>
    <t>Bruning-Davenport High School</t>
  </si>
  <si>
    <t>Bruning</t>
  </si>
  <si>
    <t>Burwell Jr-Sr High School</t>
  </si>
  <si>
    <t>Burwell</t>
  </si>
  <si>
    <t>Centura Secondary School</t>
  </si>
  <si>
    <t>Callaway</t>
  </si>
  <si>
    <t>Cedar Bluffs Secondary School</t>
  </si>
  <si>
    <t>Cedar Bluffs</t>
  </si>
  <si>
    <t>Chadron Senior High School</t>
  </si>
  <si>
    <t>Chadron</t>
  </si>
  <si>
    <t>Pine Ridge Job Corps</t>
  </si>
  <si>
    <t>Chambers High School</t>
  </si>
  <si>
    <t>Chambers</t>
  </si>
  <si>
    <t>Creek Valley High School</t>
  </si>
  <si>
    <t>Chappell</t>
  </si>
  <si>
    <t>Clarkson Jr-Sr High School</t>
  </si>
  <si>
    <t>Clarkson</t>
  </si>
  <si>
    <t>Cody-Kilgore High School</t>
  </si>
  <si>
    <t>Cody</t>
  </si>
  <si>
    <t>Cozad High School</t>
  </si>
  <si>
    <t>Cozad</t>
  </si>
  <si>
    <t>Crawford</t>
  </si>
  <si>
    <t>Creighton Community High School Sch</t>
  </si>
  <si>
    <t>Crete High School</t>
  </si>
  <si>
    <t>Crofton High School</t>
  </si>
  <si>
    <t>Crofton</t>
  </si>
  <si>
    <t>Medicine Valley Jr-Sr High School</t>
  </si>
  <si>
    <t>Curtis</t>
  </si>
  <si>
    <t>Leyton High School</t>
  </si>
  <si>
    <t>David City Secondary School</t>
  </si>
  <si>
    <t>Daykin</t>
  </si>
  <si>
    <t>Deshler</t>
  </si>
  <si>
    <t>Tri County Jr-Sr High School</t>
  </si>
  <si>
    <t>Doniphan-Trumbull Secondary</t>
  </si>
  <si>
    <t>Dorchester High School</t>
  </si>
  <si>
    <t>High School At Dunning</t>
  </si>
  <si>
    <t>Dunning</t>
  </si>
  <si>
    <t>Elba Secondary School</t>
  </si>
  <si>
    <t>Elkhorn High School</t>
  </si>
  <si>
    <t>Elm Creek High School</t>
  </si>
  <si>
    <t>Elm Creek</t>
  </si>
  <si>
    <t>Elwood High School</t>
  </si>
  <si>
    <t>Emerson-Hubbard High School</t>
  </si>
  <si>
    <t>Eustis-Farnam High School</t>
  </si>
  <si>
    <t>Ewing High School</t>
  </si>
  <si>
    <t>Exeter-Milligan High School</t>
  </si>
  <si>
    <t>Fairbury Jr-Sr High School</t>
  </si>
  <si>
    <t>Falls City Senior High School</t>
  </si>
  <si>
    <t>Norris High School</t>
  </si>
  <si>
    <t>Fort Calhoun High School</t>
  </si>
  <si>
    <t>Fort Calhoun</t>
  </si>
  <si>
    <t>Franklin Secondary School</t>
  </si>
  <si>
    <t>Fremont Senior High School</t>
  </si>
  <si>
    <t>Friend High Schools</t>
  </si>
  <si>
    <t>Friend</t>
  </si>
  <si>
    <t>Fullerton High School</t>
  </si>
  <si>
    <t>Fillmore Central High School</t>
  </si>
  <si>
    <t>Geneva North High School</t>
  </si>
  <si>
    <t>Twin River Sr High School</t>
  </si>
  <si>
    <t>Gering High School</t>
  </si>
  <si>
    <t>Gering</t>
  </si>
  <si>
    <t>Gibbon High School</t>
  </si>
  <si>
    <t>Gibbon</t>
  </si>
  <si>
    <t>Giltner High School</t>
  </si>
  <si>
    <t>Giltner</t>
  </si>
  <si>
    <t>Gordon-Rushville High School</t>
  </si>
  <si>
    <t>Gordon</t>
  </si>
  <si>
    <t>Gothenburg Secondary School</t>
  </si>
  <si>
    <t>Grand Island Senior High School</t>
  </si>
  <si>
    <t>Grand Island</t>
  </si>
  <si>
    <t>Perkins County Junior- Senior High School</t>
  </si>
  <si>
    <t>Gretna High School</t>
  </si>
  <si>
    <t>Banner County High School</t>
  </si>
  <si>
    <t>Sioux County High School</t>
  </si>
  <si>
    <t>Hartington Newcastle High School</t>
  </si>
  <si>
    <t>Hartington</t>
  </si>
  <si>
    <t>Adams Central Jr-Sr High School Sch</t>
  </si>
  <si>
    <t>Hastings Senior High School</t>
  </si>
  <si>
    <t>Hay Springs High School</t>
  </si>
  <si>
    <t>Hay Springs</t>
  </si>
  <si>
    <t>Hayes Center Secondary School</t>
  </si>
  <si>
    <t>Hayes Center</t>
  </si>
  <si>
    <t>Thayer Central High School</t>
  </si>
  <si>
    <t>Hemingford High School</t>
  </si>
  <si>
    <t>Hemingford</t>
  </si>
  <si>
    <t>Heartland Community High School Sch</t>
  </si>
  <si>
    <t>Hershey High School</t>
  </si>
  <si>
    <t>Holdrege High School</t>
  </si>
  <si>
    <t>Holdrege</t>
  </si>
  <si>
    <t>Logan View Jr/Sr High School</t>
  </si>
  <si>
    <t>Hooper</t>
  </si>
  <si>
    <t>Howells Senior High School</t>
  </si>
  <si>
    <t>Howells</t>
  </si>
  <si>
    <t>Htrs High School</t>
  </si>
  <si>
    <t>Humphrey Jr-Sr High School</t>
  </si>
  <si>
    <t>Hyannis High School</t>
  </si>
  <si>
    <t>Chase County High School</t>
  </si>
  <si>
    <t>High School At Johnson</t>
  </si>
  <si>
    <t>West Kearney High School</t>
  </si>
  <si>
    <t>Kenesaw Secondary School</t>
  </si>
  <si>
    <t>Kenesaw</t>
  </si>
  <si>
    <t>Kimball Jr/Sr High School</t>
  </si>
  <si>
    <t>Laurel-Concord-Coleridge High School</t>
  </si>
  <si>
    <t>Leigh</t>
  </si>
  <si>
    <t>Lincoln East High School</t>
  </si>
  <si>
    <t>Lincoln Northeast High School</t>
  </si>
  <si>
    <t>Lincoln Southeast High School</t>
  </si>
  <si>
    <t>University Of Nebraska High School</t>
  </si>
  <si>
    <t>Loomis Secondary School</t>
  </si>
  <si>
    <t>Loup City High School</t>
  </si>
  <si>
    <t>Loup City</t>
  </si>
  <si>
    <t>Northeast Secondary School</t>
  </si>
  <si>
    <t>Umo N Ho N Nation High School</t>
  </si>
  <si>
    <t>Macy</t>
  </si>
  <si>
    <t>Malcolm Jr/Sr High School</t>
  </si>
  <si>
    <t>Malcolm</t>
  </si>
  <si>
    <t>Maxwell High School</t>
  </si>
  <si>
    <t>Maywood High School</t>
  </si>
  <si>
    <t>Mc Cook Senior High School</t>
  </si>
  <si>
    <t>Mc Cook</t>
  </si>
  <si>
    <t>Mccool Junction Jr-Sr High School Sch</t>
  </si>
  <si>
    <t>Mccool Junction</t>
  </si>
  <si>
    <t>Mead</t>
  </si>
  <si>
    <t>Anselmo-Merna High School</t>
  </si>
  <si>
    <t>Merna</t>
  </si>
  <si>
    <t>Minatare High School</t>
  </si>
  <si>
    <t>Minatare</t>
  </si>
  <si>
    <t>Mitchell Secondary School</t>
  </si>
  <si>
    <t>Morrill High School</t>
  </si>
  <si>
    <t>Morrill</t>
  </si>
  <si>
    <t>Mullen</t>
  </si>
  <si>
    <t>Elmwood-Murdock Jr/Sr High School Sch</t>
  </si>
  <si>
    <t>Murdock</t>
  </si>
  <si>
    <t>Conestoga Jr/Sr High School</t>
  </si>
  <si>
    <t>Nebraska City High School</t>
  </si>
  <si>
    <t>Nebraska City</t>
  </si>
  <si>
    <t>Neligh-Oakdale High School</t>
  </si>
  <si>
    <t>Neligh</t>
  </si>
  <si>
    <t>Lawrence/Nelson High School Sch</t>
  </si>
  <si>
    <t>Nelson</t>
  </si>
  <si>
    <t>Newman Grove High School</t>
  </si>
  <si>
    <t>Newman Grove</t>
  </si>
  <si>
    <t>Niobrara Secondary School</t>
  </si>
  <si>
    <t>Niobrara</t>
  </si>
  <si>
    <t>Santee High School</t>
  </si>
  <si>
    <t>Norfolk Senior High School</t>
  </si>
  <si>
    <t>North Bend Central High School</t>
  </si>
  <si>
    <t>North Bend</t>
  </si>
  <si>
    <t>O'Neill High School</t>
  </si>
  <si>
    <t>Oakland Craig Junior-Senior High School</t>
  </si>
  <si>
    <t>Diller-Odell Secondary School</t>
  </si>
  <si>
    <t>Odell</t>
  </si>
  <si>
    <t>Ogallala High School</t>
  </si>
  <si>
    <t>Ogallala</t>
  </si>
  <si>
    <t>Benson Magnet High School</t>
  </si>
  <si>
    <t>Bryan High School</t>
  </si>
  <si>
    <t>Burke High School</t>
  </si>
  <si>
    <t>Elkhorn South High School</t>
  </si>
  <si>
    <t>Millard North High School</t>
  </si>
  <si>
    <t>Millard South High School</t>
  </si>
  <si>
    <t>Millard West High School</t>
  </si>
  <si>
    <t>Ncyf Community High School</t>
  </si>
  <si>
    <t>Omaha North Magnet High School</t>
  </si>
  <si>
    <t>Omaha Northwest High School Magnet School</t>
  </si>
  <si>
    <t>Omaha South Magnet High School</t>
  </si>
  <si>
    <t>Orchard High School</t>
  </si>
  <si>
    <t>Orchard</t>
  </si>
  <si>
    <t>Ord Jr-Sr High School</t>
  </si>
  <si>
    <t>Ord</t>
  </si>
  <si>
    <t>Garden County Junior/Senior High School</t>
  </si>
  <si>
    <t>Osmond High School</t>
  </si>
  <si>
    <t>Osmond</t>
  </si>
  <si>
    <t>Overton High School</t>
  </si>
  <si>
    <t>Overton</t>
  </si>
  <si>
    <t>Southern Valley Jr/Sr High School</t>
  </si>
  <si>
    <t>Palmer Junior-Senior High School</t>
  </si>
  <si>
    <t>Jr-Sr High School At Palmyra</t>
  </si>
  <si>
    <t>Papillion La Vista Senior High School</t>
  </si>
  <si>
    <t>Papillion</t>
  </si>
  <si>
    <t>Papillion La Vista South High School</t>
  </si>
  <si>
    <t>Pawnee City Secondary School</t>
  </si>
  <si>
    <t>Pawnee City</t>
  </si>
  <si>
    <t>Paxton High School</t>
  </si>
  <si>
    <t>Pender High School</t>
  </si>
  <si>
    <t>Pender</t>
  </si>
  <si>
    <t>Pierce Jr/Sr High School</t>
  </si>
  <si>
    <t>Pierce</t>
  </si>
  <si>
    <t>Plainview Secondary School</t>
  </si>
  <si>
    <t>Plattsmouth High School</t>
  </si>
  <si>
    <t>Plattsmouth</t>
  </si>
  <si>
    <t>High School Plains Community High School Sch</t>
  </si>
  <si>
    <t>Polk</t>
  </si>
  <si>
    <t>Ponca High School</t>
  </si>
  <si>
    <t>Ponca</t>
  </si>
  <si>
    <t>Potter-Dix Jr/Sr High School</t>
  </si>
  <si>
    <t>Potter</t>
  </si>
  <si>
    <t>Ralston High School</t>
  </si>
  <si>
    <t>Ralston</t>
  </si>
  <si>
    <t>Ravenna Senior High School</t>
  </si>
  <si>
    <t>Secondary Sch At Raymond</t>
  </si>
  <si>
    <t>Red Cloud High School</t>
  </si>
  <si>
    <t>Red Cloud</t>
  </si>
  <si>
    <t>Silver Lake High School</t>
  </si>
  <si>
    <t>Roseland</t>
  </si>
  <si>
    <t>Sargent High School</t>
  </si>
  <si>
    <t>Sargent</t>
  </si>
  <si>
    <t>Schuyler Central High School</t>
  </si>
  <si>
    <t>Schuyler</t>
  </si>
  <si>
    <t>Scottsbluff Senior High School</t>
  </si>
  <si>
    <t>Scribner-Snyder Secondary Sch</t>
  </si>
  <si>
    <t>Scribner</t>
  </si>
  <si>
    <t>Shelby - Rising City  High School</t>
  </si>
  <si>
    <t>Shickley High School</t>
  </si>
  <si>
    <t>Shickley</t>
  </si>
  <si>
    <t>South Sioux High School</t>
  </si>
  <si>
    <t>So Sioux City</t>
  </si>
  <si>
    <t>Boyd County High School (Spencer)</t>
  </si>
  <si>
    <t>Platteview Senior High School</t>
  </si>
  <si>
    <t>Keya Paha County High School</t>
  </si>
  <si>
    <t>Springview</t>
  </si>
  <si>
    <t>St Edward</t>
  </si>
  <si>
    <t>St Paul Jr/Sr High School</t>
  </si>
  <si>
    <t>Stapleton High School</t>
  </si>
  <si>
    <t>Stapleton</t>
  </si>
  <si>
    <t>Cross County High School</t>
  </si>
  <si>
    <t>Stromsburg</t>
  </si>
  <si>
    <t>Stuart High School</t>
  </si>
  <si>
    <t>Junior-Senior High School At Sumner</t>
  </si>
  <si>
    <t>Superior Jr/Sr High School</t>
  </si>
  <si>
    <t>Sutherland High School</t>
  </si>
  <si>
    <t>Sutherland</t>
  </si>
  <si>
    <t>Sutton Secondary School</t>
  </si>
  <si>
    <t>High School At Syracuse</t>
  </si>
  <si>
    <t>Loup County High School</t>
  </si>
  <si>
    <t>Johnson Co Central High School</t>
  </si>
  <si>
    <t>High School At Tekamah</t>
  </si>
  <si>
    <t>Tekamah</t>
  </si>
  <si>
    <t>Thedford High School</t>
  </si>
  <si>
    <t>Thedford</t>
  </si>
  <si>
    <t>Elkhorn Valley High School</t>
  </si>
  <si>
    <t>Tilden</t>
  </si>
  <si>
    <t>Hitchcock Co Jr/Sr High School</t>
  </si>
  <si>
    <t>Mc Pherson County Secondary School</t>
  </si>
  <si>
    <t>Tryon</t>
  </si>
  <si>
    <t>Centennial Jr-Sr High School</t>
  </si>
  <si>
    <t>Valentine High School</t>
  </si>
  <si>
    <t>Valentine</t>
  </si>
  <si>
    <t>Douglas Co West High School</t>
  </si>
  <si>
    <t>Verdigre High School</t>
  </si>
  <si>
    <t>Verdigre</t>
  </si>
  <si>
    <t>Wahoo High School</t>
  </si>
  <si>
    <t>Wallace High School</t>
  </si>
  <si>
    <t>Walthill High School</t>
  </si>
  <si>
    <t>Walthill</t>
  </si>
  <si>
    <t>Wauneta-Palisade High School</t>
  </si>
  <si>
    <t>Wauneta</t>
  </si>
  <si>
    <t>Wausa High School</t>
  </si>
  <si>
    <t>Wausa</t>
  </si>
  <si>
    <t>Weeping Water High School</t>
  </si>
  <si>
    <t>Weeping Water</t>
  </si>
  <si>
    <t>West Point-Beemer High School</t>
  </si>
  <si>
    <t>Wilber-Clatonia High School</t>
  </si>
  <si>
    <t>Wilber</t>
  </si>
  <si>
    <t>Wilcox-Hildreth High School</t>
  </si>
  <si>
    <t>Wilcox</t>
  </si>
  <si>
    <t>Winside High School</t>
  </si>
  <si>
    <t>Winside</t>
  </si>
  <si>
    <t>Wisner-Pilger High School</t>
  </si>
  <si>
    <t>Wisner</t>
  </si>
  <si>
    <t>Wood River Rural High School</t>
  </si>
  <si>
    <t>Wymore</t>
  </si>
  <si>
    <t>Wynot High School</t>
  </si>
  <si>
    <t>Wynot</t>
  </si>
  <si>
    <t>Yutan High School</t>
  </si>
  <si>
    <t>Pahranagat Valley High School</t>
  </si>
  <si>
    <t>Battle Mountain</t>
  </si>
  <si>
    <t>Beatty High School</t>
  </si>
  <si>
    <t>Beatty</t>
  </si>
  <si>
    <t>Boulder City High School</t>
  </si>
  <si>
    <t>Boulder City</t>
  </si>
  <si>
    <t>Carlin High School</t>
  </si>
  <si>
    <t>Carlin</t>
  </si>
  <si>
    <t>Carson High School</t>
  </si>
  <si>
    <t>Elko High School</t>
  </si>
  <si>
    <t>Elko</t>
  </si>
  <si>
    <t>White Pine High School</t>
  </si>
  <si>
    <t>Eureka County High School</t>
  </si>
  <si>
    <t>Churchill County High School</t>
  </si>
  <si>
    <t>Fallon</t>
  </si>
  <si>
    <t>Fernley High School</t>
  </si>
  <si>
    <t>Fernley</t>
  </si>
  <si>
    <t>Gabbs High School</t>
  </si>
  <si>
    <t>Gabbs</t>
  </si>
  <si>
    <t>Mineral County High School</t>
  </si>
  <si>
    <t>Basic Academy Of Int'L Studies High School</t>
  </si>
  <si>
    <t>College Of So. Nv High School South</t>
  </si>
  <si>
    <t>Coral Academy Of Science Las Vegas Sandy Ridge</t>
  </si>
  <si>
    <t>Green Valley High School</t>
  </si>
  <si>
    <t>Nevada State High School Henderson</t>
  </si>
  <si>
    <t>Incline High School</t>
  </si>
  <si>
    <t>Incline Village</t>
  </si>
  <si>
    <t>Jackpot High School</t>
  </si>
  <si>
    <t>Jackpot</t>
  </si>
  <si>
    <t>Advanced Technologies Academy</t>
  </si>
  <si>
    <t>Arbor View High School</t>
  </si>
  <si>
    <t>Beacon Academy Of Nevada</t>
  </si>
  <si>
    <t>Bonanza High School</t>
  </si>
  <si>
    <t>Cimarron Memorial High School</t>
  </si>
  <si>
    <t>College Of So. Nv High School West</t>
  </si>
  <si>
    <t>Del Sol Academy Of The Performing Arts</t>
  </si>
  <si>
    <t>Democracy Prep At Agassi High School</t>
  </si>
  <si>
    <t>Desert Oasis High School</t>
  </si>
  <si>
    <t>Desert Pines High School</t>
  </si>
  <si>
    <t>East Career Technical Academy</t>
  </si>
  <si>
    <t>Ed W Clark High School</t>
  </si>
  <si>
    <t>Equipo Academy</t>
  </si>
  <si>
    <t>Explore Knowledge Academy Charter Secondary</t>
  </si>
  <si>
    <t>Innovations International Charter School Of Nv</t>
  </si>
  <si>
    <t>Las Vegas Academy Of Arts</t>
  </si>
  <si>
    <t>Las Vegas High School</t>
  </si>
  <si>
    <t>Leadership Academy Of Nevada</t>
  </si>
  <si>
    <t>Nevada Learning Academy At Ccsd</t>
  </si>
  <si>
    <t>Nevada State High School Downtown</t>
  </si>
  <si>
    <t>Nevada State High School Summerlin</t>
  </si>
  <si>
    <t>Northwest Career And Technical Academy</t>
  </si>
  <si>
    <t>Nv Prep</t>
  </si>
  <si>
    <t>Nv State High School Sunrise</t>
  </si>
  <si>
    <t>Odyssey Charter High School</t>
  </si>
  <si>
    <t>Rancho High School</t>
  </si>
  <si>
    <t>Southeast Career Technical Academy</t>
  </si>
  <si>
    <t>Southwest Career And Technical Academy</t>
  </si>
  <si>
    <t>Spring Valley High School</t>
  </si>
  <si>
    <t>Veterans Tribute Career Techincal Academy</t>
  </si>
  <si>
    <t>West Career &amp; Technical Academy</t>
  </si>
  <si>
    <t>West Prepatory Academy At Charlles I West Hall Sec</t>
  </si>
  <si>
    <t>Laughlin Jr/Sr High School</t>
  </si>
  <si>
    <t>Laughlin</t>
  </si>
  <si>
    <t>Pershing County High School (And Alternative Ed)</t>
  </si>
  <si>
    <t>Lovelock</t>
  </si>
  <si>
    <t>Lund High School</t>
  </si>
  <si>
    <t>Lund</t>
  </si>
  <si>
    <t>Mc Dermitt High School</t>
  </si>
  <si>
    <t>Mcdermitt</t>
  </si>
  <si>
    <t>Virgin Valley High School</t>
  </si>
  <si>
    <t>Mesquite</t>
  </si>
  <si>
    <t>Canyon Springs High School And The Leadership And Law Prepar</t>
  </si>
  <si>
    <t>Cheyenne High School</t>
  </si>
  <si>
    <t>College Of So. Nv High School East</t>
  </si>
  <si>
    <t>Mojave High School</t>
  </si>
  <si>
    <t>Moapa Valley High School</t>
  </si>
  <si>
    <t>Owyhee High School (All Nv &amp; Idaho Only)</t>
  </si>
  <si>
    <t>Owyhee</t>
  </si>
  <si>
    <t>Pahrump Valley High School</t>
  </si>
  <si>
    <t>Pahrump</t>
  </si>
  <si>
    <t>Panaca</t>
  </si>
  <si>
    <t>Academy Of Art  Careers And Technology</t>
  </si>
  <si>
    <t>Academy Of Career Education Charter School</t>
  </si>
  <si>
    <t>Coral Academy High School</t>
  </si>
  <si>
    <t>Damonte Ranch High School</t>
  </si>
  <si>
    <t>Earl Wooster High School</t>
  </si>
  <si>
    <t>Encompass Academy</t>
  </si>
  <si>
    <t>I Can Do Anything Charter High School</t>
  </si>
  <si>
    <t>North Valleys High School</t>
  </si>
  <si>
    <t>Nv State High School Meadowood</t>
  </si>
  <si>
    <t>Procter R Hug High School</t>
  </si>
  <si>
    <t>Reno High School</t>
  </si>
  <si>
    <t>Robert Mc Queen High School</t>
  </si>
  <si>
    <t>The Davidson Academy Of Nevada</t>
  </si>
  <si>
    <t>Tmcc Magnet High School</t>
  </si>
  <si>
    <t>Round Mountain High School</t>
  </si>
  <si>
    <t>Round Mountain</t>
  </si>
  <si>
    <t>Sandy Valley Jr/Sr High School</t>
  </si>
  <si>
    <t>Sandy Valley</t>
  </si>
  <si>
    <t>Silver Stage High School</t>
  </si>
  <si>
    <t>Silver Springs</t>
  </si>
  <si>
    <t>Alpine Academy High School</t>
  </si>
  <si>
    <t>Sparks</t>
  </si>
  <si>
    <t>Edward C Reed High School</t>
  </si>
  <si>
    <t>Spanish Springs High School</t>
  </si>
  <si>
    <t>Sparks High School</t>
  </si>
  <si>
    <t>Spring Creek High School</t>
  </si>
  <si>
    <t>Spring Creek</t>
  </si>
  <si>
    <t>Tonopah High School</t>
  </si>
  <si>
    <t>Virginia City High School</t>
  </si>
  <si>
    <t>Virginia City</t>
  </si>
  <si>
    <t>West Wendover High School</t>
  </si>
  <si>
    <t>Wendover</t>
  </si>
  <si>
    <t>Albert M Lowry High School</t>
  </si>
  <si>
    <t>Winnemucca</t>
  </si>
  <si>
    <t>Yerington High School</t>
  </si>
  <si>
    <t>Yerington</t>
  </si>
  <si>
    <t>George Whittell High School</t>
  </si>
  <si>
    <t>Zephyr Cove</t>
  </si>
  <si>
    <t>Pace Career Academy Charter School</t>
  </si>
  <si>
    <t>Allenstown</t>
  </si>
  <si>
    <t>Leaf Charter School</t>
  </si>
  <si>
    <t>Alstead</t>
  </si>
  <si>
    <t>Prospect Mountain High School</t>
  </si>
  <si>
    <t>Souhegan Coop High School</t>
  </si>
  <si>
    <t>Berlin Senior High School</t>
  </si>
  <si>
    <t>Profile Senior High School</t>
  </si>
  <si>
    <t>Bow High School</t>
  </si>
  <si>
    <t>Bow</t>
  </si>
  <si>
    <t>Newfound Regional High School</t>
  </si>
  <si>
    <t>Mascoma Valley Regional High School</t>
  </si>
  <si>
    <t>Canaan</t>
  </si>
  <si>
    <t>Stevens High School</t>
  </si>
  <si>
    <t>Colebrook Academy</t>
  </si>
  <si>
    <t>Colebrook</t>
  </si>
  <si>
    <t>Capital City Public Charter School (H)</t>
  </si>
  <si>
    <t>Contoocook</t>
  </si>
  <si>
    <t>Next Charter School</t>
  </si>
  <si>
    <t>Derry</t>
  </si>
  <si>
    <t>Pinkerton Academy</t>
  </si>
  <si>
    <t>Cocheco Academy For The Arts</t>
  </si>
  <si>
    <t>Dover Senior High School</t>
  </si>
  <si>
    <t>Oyster River High School</t>
  </si>
  <si>
    <t>Monadnock Regional High School</t>
  </si>
  <si>
    <t>E. Swanzey</t>
  </si>
  <si>
    <t>Epping High School</t>
  </si>
  <si>
    <t>Epping</t>
  </si>
  <si>
    <t>Great Bay Charter School (H)</t>
  </si>
  <si>
    <t>Farmington Senior High School</t>
  </si>
  <si>
    <t>Gilford High School</t>
  </si>
  <si>
    <t>Gilford</t>
  </si>
  <si>
    <t>Goffstown High School</t>
  </si>
  <si>
    <t>Goffstown</t>
  </si>
  <si>
    <t>Groveton High School</t>
  </si>
  <si>
    <t>Groveton</t>
  </si>
  <si>
    <t>Winnacunnet High School</t>
  </si>
  <si>
    <t>Hillsboro-Deering High School</t>
  </si>
  <si>
    <t>Hollis-Brookline High School</t>
  </si>
  <si>
    <t>Hollis</t>
  </si>
  <si>
    <t>Alvirne High School</t>
  </si>
  <si>
    <t>Conant High School</t>
  </si>
  <si>
    <t>Jaffrey</t>
  </si>
  <si>
    <t>Keene High School</t>
  </si>
  <si>
    <t>Making Community Connections Charter School - Monadnock</t>
  </si>
  <si>
    <t>Sanborn Regional High School</t>
  </si>
  <si>
    <t>Laconia High School</t>
  </si>
  <si>
    <t>Laconia</t>
  </si>
  <si>
    <t>Fall Mountain Regional High School</t>
  </si>
  <si>
    <t>Langdon</t>
  </si>
  <si>
    <t>Ledyard Charter School</t>
  </si>
  <si>
    <t>Lin-Wood Public School (High School)</t>
  </si>
  <si>
    <t>Lisbon Regional School (High School)</t>
  </si>
  <si>
    <t>North Country Charter Academy (H)</t>
  </si>
  <si>
    <t>Londonderry Senior High School</t>
  </si>
  <si>
    <t>Londonderry</t>
  </si>
  <si>
    <t>Kreiva Academy Public Charter School (H)</t>
  </si>
  <si>
    <t>Making Community Connections Charter School (H)</t>
  </si>
  <si>
    <t>Manchester Central High School</t>
  </si>
  <si>
    <t>Manchester Memorial High School</t>
  </si>
  <si>
    <t>Manchester School Of Technology (High School)</t>
  </si>
  <si>
    <t>Manchester West High School</t>
  </si>
  <si>
    <t>The Founders Academy Charter School (H)</t>
  </si>
  <si>
    <t>Inter-Lakes High School</t>
  </si>
  <si>
    <t>Meredith</t>
  </si>
  <si>
    <t>Merrimack High School</t>
  </si>
  <si>
    <t>Merrimack</t>
  </si>
  <si>
    <t>Nute High School</t>
  </si>
  <si>
    <t>Moultonborough Academy</t>
  </si>
  <si>
    <t>Moultonborough</t>
  </si>
  <si>
    <t>Academy For Science And Design Charter (H)</t>
  </si>
  <si>
    <t>Nashua High School North</t>
  </si>
  <si>
    <t>Nashua High School South</t>
  </si>
  <si>
    <t>Mascenic Regional High School</t>
  </si>
  <si>
    <t>New Ipswich</t>
  </si>
  <si>
    <t>Newmarket Jr.-Sr. High School</t>
  </si>
  <si>
    <t>Newmarket</t>
  </si>
  <si>
    <t>Newport Middle High School (High School)</t>
  </si>
  <si>
    <t>North Conway</t>
  </si>
  <si>
    <t>Kearsarge Regional High School</t>
  </si>
  <si>
    <t>North Sutton</t>
  </si>
  <si>
    <t>Coe-Brown Northwood Academy</t>
  </si>
  <si>
    <t>Pembroke Academy</t>
  </si>
  <si>
    <t>Csi Charter School</t>
  </si>
  <si>
    <t>Penacook</t>
  </si>
  <si>
    <t>Merrimack Valley High School</t>
  </si>
  <si>
    <t>Conval Regional High School</t>
  </si>
  <si>
    <t>Peterborough</t>
  </si>
  <si>
    <t>Pittsburg School (High School)</t>
  </si>
  <si>
    <t>Timberlane Regional High School</t>
  </si>
  <si>
    <t>Plaistow</t>
  </si>
  <si>
    <t>Plymouth Regional High School</t>
  </si>
  <si>
    <t>Portsmouth High School</t>
  </si>
  <si>
    <t>Bud Carlson Academy</t>
  </si>
  <si>
    <t>Spaulding High School</t>
  </si>
  <si>
    <t>Granite State Arts Academy Charter School</t>
  </si>
  <si>
    <t>Somersworth High School</t>
  </si>
  <si>
    <t>Somersworth</t>
  </si>
  <si>
    <t>Sunapee Sr. High School</t>
  </si>
  <si>
    <t>Winnisquam Regional High School</t>
  </si>
  <si>
    <t>John Stark Regional High School</t>
  </si>
  <si>
    <t>White Mountains Regional High School</t>
  </si>
  <si>
    <t>Whitefield</t>
  </si>
  <si>
    <t>Wilton-Lyndeboro Senior High School</t>
  </si>
  <si>
    <t>Kingswood Regional High School</t>
  </si>
  <si>
    <t>Woodsville High School</t>
  </si>
  <si>
    <t>Woodsville</t>
  </si>
  <si>
    <t>Matawan Regional High School</t>
  </si>
  <si>
    <t>Northern High Schoollands Regional High School</t>
  </si>
  <si>
    <t>Allentown High School</t>
  </si>
  <si>
    <t>North Hunterdon High School</t>
  </si>
  <si>
    <t>Asbury Park High School</t>
  </si>
  <si>
    <t>Asbury Park</t>
  </si>
  <si>
    <t>Winslow Township High School</t>
  </si>
  <si>
    <t>Atco</t>
  </si>
  <si>
    <t>Atlantic City High School</t>
  </si>
  <si>
    <t>Atlantic City</t>
  </si>
  <si>
    <t>Audubon Junior/Senior High School</t>
  </si>
  <si>
    <t>Barnegat High School</t>
  </si>
  <si>
    <t>Barnegat</t>
  </si>
  <si>
    <t>Ridge High School</t>
  </si>
  <si>
    <t>Bayonne Alternative High School</t>
  </si>
  <si>
    <t>Bayonne High School</t>
  </si>
  <si>
    <t>Central Regional High School</t>
  </si>
  <si>
    <t>Bayville</t>
  </si>
  <si>
    <t>Bergenfield High School</t>
  </si>
  <si>
    <t>Bergenfield</t>
  </si>
  <si>
    <t>Governor Livingston High School</t>
  </si>
  <si>
    <t>Bernards High School</t>
  </si>
  <si>
    <t>Bernardsville</t>
  </si>
  <si>
    <t>High Schoolland Regional High School</t>
  </si>
  <si>
    <t>Blackwood</t>
  </si>
  <si>
    <t>North Warren Regional School</t>
  </si>
  <si>
    <t>Bogota Jr./Sr. High School</t>
  </si>
  <si>
    <t>Bogota</t>
  </si>
  <si>
    <t>Boonton High School</t>
  </si>
  <si>
    <t>Boonton</t>
  </si>
  <si>
    <t>Bordentown Regional High School</t>
  </si>
  <si>
    <t>Bordentown</t>
  </si>
  <si>
    <t>Bound Brook High School</t>
  </si>
  <si>
    <t>Bound Brook</t>
  </si>
  <si>
    <t>Brick Township Memorial High School</t>
  </si>
  <si>
    <t>Brick</t>
  </si>
  <si>
    <t>Brick Township High School</t>
  </si>
  <si>
    <t>Brick Town</t>
  </si>
  <si>
    <t>Bridgeton High School</t>
  </si>
  <si>
    <t>Bridgeton</t>
  </si>
  <si>
    <t>Cumberland Regional High School</t>
  </si>
  <si>
    <t>Bridgewater-Raritan High School</t>
  </si>
  <si>
    <t>Buena Regional High School</t>
  </si>
  <si>
    <t>Buena</t>
  </si>
  <si>
    <t>Burlington City High School</t>
  </si>
  <si>
    <t>Burlington Township High School</t>
  </si>
  <si>
    <t>Florence Township Memorial High School</t>
  </si>
  <si>
    <t>Camden Big Picture Learning Academy</t>
  </si>
  <si>
    <t>Camden High School</t>
  </si>
  <si>
    <t>Creative Arts Morgan Village Academy</t>
  </si>
  <si>
    <t>Dr. Charles E. Brimm Medical Arts High School</t>
  </si>
  <si>
    <t>Lower Cape May Regional High School</t>
  </si>
  <si>
    <t>Cape May</t>
  </si>
  <si>
    <t>Middle Township High School</t>
  </si>
  <si>
    <t>Cape May Court House</t>
  </si>
  <si>
    <t>Penns Grove High School</t>
  </si>
  <si>
    <t>Carneys Point</t>
  </si>
  <si>
    <t>Carteret High School</t>
  </si>
  <si>
    <t>Carteret</t>
  </si>
  <si>
    <t>Cedar Grove</t>
  </si>
  <si>
    <t>Chatham High School</t>
  </si>
  <si>
    <t>Alternative High School</t>
  </si>
  <si>
    <t>Cherry Hill</t>
  </si>
  <si>
    <t>Cherry Hill High School East</t>
  </si>
  <si>
    <t>Cherry Hill High School West</t>
  </si>
  <si>
    <t>West Morris Central High School</t>
  </si>
  <si>
    <t>Cinnaminson High School</t>
  </si>
  <si>
    <t>Cinnaminson</t>
  </si>
  <si>
    <t>Arthur L. Johnson High School</t>
  </si>
  <si>
    <t>Cliffside Park High School</t>
  </si>
  <si>
    <t>Cliffside Park</t>
  </si>
  <si>
    <t>Clifton High School</t>
  </si>
  <si>
    <t>Collingswood High School</t>
  </si>
  <si>
    <t>Collingswood</t>
  </si>
  <si>
    <t>Colonia High School</t>
  </si>
  <si>
    <t>Colonia</t>
  </si>
  <si>
    <t>Colts Neck High School</t>
  </si>
  <si>
    <t>Colts Neck</t>
  </si>
  <si>
    <t>Northern Burlington County Regional High School</t>
  </si>
  <si>
    <t>Cranford High School</t>
  </si>
  <si>
    <t>Cranford</t>
  </si>
  <si>
    <t>Cresskill High School</t>
  </si>
  <si>
    <t>Cresskill</t>
  </si>
  <si>
    <t>Delran High School</t>
  </si>
  <si>
    <t>Delran</t>
  </si>
  <si>
    <t>Northern Valley Regional High School At Demarest</t>
  </si>
  <si>
    <t>Deptford Township High School</t>
  </si>
  <si>
    <t>Deptford</t>
  </si>
  <si>
    <t>Dumont High School</t>
  </si>
  <si>
    <t>Dumont</t>
  </si>
  <si>
    <t>Dunellen High School</t>
  </si>
  <si>
    <t>Dunellen</t>
  </si>
  <si>
    <t>East Brunswick High School</t>
  </si>
  <si>
    <t>E Brunswick</t>
  </si>
  <si>
    <t>Hanover Park High School</t>
  </si>
  <si>
    <t>East Hanover</t>
  </si>
  <si>
    <t>Cicely L. Tyson Community Middle/High School</t>
  </si>
  <si>
    <t>East Orange</t>
  </si>
  <si>
    <t>East Orange Campus High School</t>
  </si>
  <si>
    <t>East Orange Stem Academy High School</t>
  </si>
  <si>
    <t>Henry P. Becton Regional High School</t>
  </si>
  <si>
    <t>East Rutherford</t>
  </si>
  <si>
    <t>John P. Stevens High School</t>
  </si>
  <si>
    <t>Cedar Creek High School</t>
  </si>
  <si>
    <t>Egg Harbor Township High School</t>
  </si>
  <si>
    <t>Egg Harbor Township</t>
  </si>
  <si>
    <t>Admiral William F. Halsey Jr. Health &amp; Public Safety Academy</t>
  </si>
  <si>
    <t>Alexander Hamilton Preparatory Academy</t>
  </si>
  <si>
    <t>Elizabeth High School - Frank J Cicarell Academy</t>
  </si>
  <si>
    <t>J. Christian Bollwage Finance Academy</t>
  </si>
  <si>
    <t>John E. Dwyer Technology Academy</t>
  </si>
  <si>
    <t>Thomas A. Edison Career And Technical Academy</t>
  </si>
  <si>
    <t>Thomas Jefferson Arts Academy</t>
  </si>
  <si>
    <t>Memorial Senior High School</t>
  </si>
  <si>
    <t>Emerson Jr Sr High School</t>
  </si>
  <si>
    <t>Dwight Morrow High School/Academyemies@Englewood</t>
  </si>
  <si>
    <t>Manalapan High School</t>
  </si>
  <si>
    <t>Englishtown</t>
  </si>
  <si>
    <t>Timber Creek Regional High School</t>
  </si>
  <si>
    <t>Erial</t>
  </si>
  <si>
    <t>Trenton Stem-To-Civics Charter School</t>
  </si>
  <si>
    <t>Fair Lawn High School</t>
  </si>
  <si>
    <t>Fair Lawn</t>
  </si>
  <si>
    <t>Mount Olive High School</t>
  </si>
  <si>
    <t>Hunterdon Central Regional High School District</t>
  </si>
  <si>
    <t>Flemington</t>
  </si>
  <si>
    <t>Fort Lee High School</t>
  </si>
  <si>
    <t>Fort Lee</t>
  </si>
  <si>
    <t>Ramapo High School</t>
  </si>
  <si>
    <t>Franklin Lakes</t>
  </si>
  <si>
    <t>Delsea Regional High School</t>
  </si>
  <si>
    <t>Franklinville</t>
  </si>
  <si>
    <t>Freehold Borough High School</t>
  </si>
  <si>
    <t>Freehold</t>
  </si>
  <si>
    <t>Freehold Township High School</t>
  </si>
  <si>
    <t>Freehold Twp.</t>
  </si>
  <si>
    <t>Delaware Valley Regional High School</t>
  </si>
  <si>
    <t>Absegami High School</t>
  </si>
  <si>
    <t>Galloway</t>
  </si>
  <si>
    <t>Garfield High School</t>
  </si>
  <si>
    <t>Garfield</t>
  </si>
  <si>
    <t>Glassboro High School</t>
  </si>
  <si>
    <t>Glassboro</t>
  </si>
  <si>
    <t>Voorhees High School</t>
  </si>
  <si>
    <t>Glen Gardner</t>
  </si>
  <si>
    <t>Glen Ridge High School</t>
  </si>
  <si>
    <t>Glen Ridge</t>
  </si>
  <si>
    <t>Glen Rock High School</t>
  </si>
  <si>
    <t>Glen Rock</t>
  </si>
  <si>
    <t>Gloucester City Jr. Sr. High School</t>
  </si>
  <si>
    <t>Gloucester City</t>
  </si>
  <si>
    <t>Hackensack High School</t>
  </si>
  <si>
    <t>Hackettstown High School</t>
  </si>
  <si>
    <t>Hackettstown</t>
  </si>
  <si>
    <t>Haddon Heights Jr./Sr. High School</t>
  </si>
  <si>
    <t>Haddon Heights</t>
  </si>
  <si>
    <t>Haddonfield Memorial High School</t>
  </si>
  <si>
    <t>Passaic County-Manchester Regional High School</t>
  </si>
  <si>
    <t>Haledon</t>
  </si>
  <si>
    <t>Hamilton East - Steinert</t>
  </si>
  <si>
    <t>Hamilton North - Nottingham</t>
  </si>
  <si>
    <t>Hamilton West-Watson</t>
  </si>
  <si>
    <t>Hammonton High School</t>
  </si>
  <si>
    <t>Wallkill Valley Regional High School</t>
  </si>
  <si>
    <t>Hardyston Township</t>
  </si>
  <si>
    <t>Hasbrouck Heights High School</t>
  </si>
  <si>
    <t>Hasbrouck Heights</t>
  </si>
  <si>
    <t>Raritan High School</t>
  </si>
  <si>
    <t>Hazlet</t>
  </si>
  <si>
    <t>Henry Hudson Regional School</t>
  </si>
  <si>
    <t>High Schooltstown High School</t>
  </si>
  <si>
    <t>Pascack Valley High School</t>
  </si>
  <si>
    <t>Hillside High School</t>
  </si>
  <si>
    <t>Hoboken High School</t>
  </si>
  <si>
    <t>Holmdel High School</t>
  </si>
  <si>
    <t>Hopatcong High School</t>
  </si>
  <si>
    <t>Hopatcong</t>
  </si>
  <si>
    <t>John F. Kennedy Memorial High School</t>
  </si>
  <si>
    <t>Iselin</t>
  </si>
  <si>
    <t>Jackson Liberty High School</t>
  </si>
  <si>
    <t>Jackson Memorial High School</t>
  </si>
  <si>
    <t>Dr Ronald Mcnair High School</t>
  </si>
  <si>
    <t>Henry Snyder High School</t>
  </si>
  <si>
    <t>Infinity Institute</t>
  </si>
  <si>
    <t>Innovation High School</t>
  </si>
  <si>
    <t>James J Ferris High School</t>
  </si>
  <si>
    <t>University Academy Charter High School</t>
  </si>
  <si>
    <t>William L Dickinson High School</t>
  </si>
  <si>
    <t>Keansburg High School</t>
  </si>
  <si>
    <t>Kearny High School</t>
  </si>
  <si>
    <t>David Brearley Middle/High School</t>
  </si>
  <si>
    <t>Kenilworth</t>
  </si>
  <si>
    <t>Keyport High School</t>
  </si>
  <si>
    <t>Keyport</t>
  </si>
  <si>
    <t>Kinnelon High School</t>
  </si>
  <si>
    <t>Kinnelon</t>
  </si>
  <si>
    <t>Academy Charter High School</t>
  </si>
  <si>
    <t>Lake Como</t>
  </si>
  <si>
    <t>South Hunterdon Regional High School</t>
  </si>
  <si>
    <t>Lambertville</t>
  </si>
  <si>
    <t>Lacey Township High School</t>
  </si>
  <si>
    <t>Lanoka Harbor</t>
  </si>
  <si>
    <t>Leonia High School</t>
  </si>
  <si>
    <t>Leonia</t>
  </si>
  <si>
    <t>Lindenwold High School</t>
  </si>
  <si>
    <t>Lindenwold</t>
  </si>
  <si>
    <t>Mainland Regional High School</t>
  </si>
  <si>
    <t>Linwood</t>
  </si>
  <si>
    <t>Pinelands Regional High School</t>
  </si>
  <si>
    <t>Little Egg Harbor</t>
  </si>
  <si>
    <t>Passaic Valley Regional High School</t>
  </si>
  <si>
    <t>Red Bank Regional High School</t>
  </si>
  <si>
    <t>Little Silver</t>
  </si>
  <si>
    <t>Long Branch High School</t>
  </si>
  <si>
    <t>Long Branch</t>
  </si>
  <si>
    <t>Lyndhurst High School</t>
  </si>
  <si>
    <t>Mahwah High School</t>
  </si>
  <si>
    <t>Mahwah</t>
  </si>
  <si>
    <t>Southern Regional High School</t>
  </si>
  <si>
    <t>Manahawkin</t>
  </si>
  <si>
    <t>Manasquan High School</t>
  </si>
  <si>
    <t>Manchester Township High School</t>
  </si>
  <si>
    <t>Manville High School</t>
  </si>
  <si>
    <t>Manville</t>
  </si>
  <si>
    <t>Maple Shade High School</t>
  </si>
  <si>
    <t>Maple Shade</t>
  </si>
  <si>
    <t>Marlboro High School</t>
  </si>
  <si>
    <t>Marlton</t>
  </si>
  <si>
    <t>Old Bridge High School</t>
  </si>
  <si>
    <t>Matawan</t>
  </si>
  <si>
    <t>Oakcrest High School</t>
  </si>
  <si>
    <t>Mays Landing</t>
  </si>
  <si>
    <t>Lenape High School</t>
  </si>
  <si>
    <t>West Morris Mendham High School</t>
  </si>
  <si>
    <t>Mendham</t>
  </si>
  <si>
    <t>Metuchen High School</t>
  </si>
  <si>
    <t>Middlesex High School</t>
  </si>
  <si>
    <t>Middlesex</t>
  </si>
  <si>
    <t>Middletown High School North</t>
  </si>
  <si>
    <t>Middletown High School South</t>
  </si>
  <si>
    <t>Midland Park Jr./Sr. High School</t>
  </si>
  <si>
    <t>Midland Park</t>
  </si>
  <si>
    <t>Millburn High School</t>
  </si>
  <si>
    <t>Millburn</t>
  </si>
  <si>
    <t>Millville</t>
  </si>
  <si>
    <t>Millville Senior High School</t>
  </si>
  <si>
    <t>South Brunswick High School</t>
  </si>
  <si>
    <t>Monroe Township High School</t>
  </si>
  <si>
    <t>Monroe Township</t>
  </si>
  <si>
    <t>Pascack Hills High School</t>
  </si>
  <si>
    <t>Montvale</t>
  </si>
  <si>
    <t>Montville Township High School</t>
  </si>
  <si>
    <t>Montville</t>
  </si>
  <si>
    <t>Moorestown High School</t>
  </si>
  <si>
    <t>Morristown High School</t>
  </si>
  <si>
    <t>Rancocas Valley Regional High School</t>
  </si>
  <si>
    <t>Mount Holly</t>
  </si>
  <si>
    <t>Mountain Lakes High School</t>
  </si>
  <si>
    <t>Mountain Lakes</t>
  </si>
  <si>
    <t>Clearview Regional High School</t>
  </si>
  <si>
    <t>Mullica Hill</t>
  </si>
  <si>
    <t>North Bergen High School</t>
  </si>
  <si>
    <t>N Bergen</t>
  </si>
  <si>
    <t>Neptune High School</t>
  </si>
  <si>
    <t>Neptune</t>
  </si>
  <si>
    <t>New Brunswick High School</t>
  </si>
  <si>
    <t>New Brunswick</t>
  </si>
  <si>
    <t>New Egypt High School</t>
  </si>
  <si>
    <t>New Egypt</t>
  </si>
  <si>
    <t>New Providence High School</t>
  </si>
  <si>
    <t>New Providence</t>
  </si>
  <si>
    <t>American History High School</t>
  </si>
  <si>
    <t>Arts High School</t>
  </si>
  <si>
    <t>Bard Early College High School</t>
  </si>
  <si>
    <t>Barringer Academy Of S.T.E.A.M.</t>
  </si>
  <si>
    <t>Barringer Arts High School</t>
  </si>
  <si>
    <t>Eagle Academy For Young Men Of Newark</t>
  </si>
  <si>
    <t>East Side High School</t>
  </si>
  <si>
    <t>Lead Charter School</t>
  </si>
  <si>
    <t>M.E.T.S. Charter School</t>
  </si>
  <si>
    <t>Malcolm X Shabazz High School</t>
  </si>
  <si>
    <t>Peoples Preparatory Charter School</t>
  </si>
  <si>
    <t>Science Park High School</t>
  </si>
  <si>
    <t>Technology High School</t>
  </si>
  <si>
    <t>Weequahic High School</t>
  </si>
  <si>
    <t>Kittatinny Regional High School</t>
  </si>
  <si>
    <t>North Arlington High School</t>
  </si>
  <si>
    <t>North Arlington</t>
  </si>
  <si>
    <t>North Brunswick Township High School</t>
  </si>
  <si>
    <t>North Brunswick</t>
  </si>
  <si>
    <t>West Essex High School</t>
  </si>
  <si>
    <t>North Caldwell</t>
  </si>
  <si>
    <t>North Plainfield Middle School</t>
  </si>
  <si>
    <t>North Plainfield</t>
  </si>
  <si>
    <t>Nutley High School</t>
  </si>
  <si>
    <t>Nutley</t>
  </si>
  <si>
    <t>Jefferson Township High School</t>
  </si>
  <si>
    <t>Ocean Township High School</t>
  </si>
  <si>
    <t>Indian Hills High School</t>
  </si>
  <si>
    <t>Ocean City High School</t>
  </si>
  <si>
    <t>Northern Valley Regional High School At Old Tappan</t>
  </si>
  <si>
    <t>Old Tappan</t>
  </si>
  <si>
    <t>River Dell Regional High School</t>
  </si>
  <si>
    <t>Palisades Park Jr-Sr High School</t>
  </si>
  <si>
    <t>Palisades Park</t>
  </si>
  <si>
    <t>Paramus High School</t>
  </si>
  <si>
    <t>Park Ridge High School</t>
  </si>
  <si>
    <t>Sayreville War Memorial High School</t>
  </si>
  <si>
    <t>Parlin</t>
  </si>
  <si>
    <t>Parsippany High School</t>
  </si>
  <si>
    <t>Parsippany</t>
  </si>
  <si>
    <t>Parsippany Hills High School</t>
  </si>
  <si>
    <t>Passaic High School No. 12</t>
  </si>
  <si>
    <t>Garrett Morgan Academy</t>
  </si>
  <si>
    <t>Paterson</t>
  </si>
  <si>
    <t>International High School</t>
  </si>
  <si>
    <t>Rosa L. Parks School Of Fine And Performing Arts</t>
  </si>
  <si>
    <t>School Of Architecture And Construction Trades</t>
  </si>
  <si>
    <t>School Of Business Technology Marketing And Finance</t>
  </si>
  <si>
    <t>School Of Earth And Space Science</t>
  </si>
  <si>
    <t>School Of Education And Training</t>
  </si>
  <si>
    <t>School Of Science Technology Engineering And Mathematics</t>
  </si>
  <si>
    <t>Paulsboro High School</t>
  </si>
  <si>
    <t>Paulsboro</t>
  </si>
  <si>
    <t>Pemberton Township High School</t>
  </si>
  <si>
    <t>Pemberton</t>
  </si>
  <si>
    <t>Hopewell Valley Central High School</t>
  </si>
  <si>
    <t>Pennsauken High School</t>
  </si>
  <si>
    <t>Pennsville Memorial High School</t>
  </si>
  <si>
    <t>Pennsville</t>
  </si>
  <si>
    <t>Academy For Urban Leadership Charter School</t>
  </si>
  <si>
    <t>Perth Amboy</t>
  </si>
  <si>
    <t>Perth Amboy High School</t>
  </si>
  <si>
    <t>Overbrook Senior High School</t>
  </si>
  <si>
    <t>Pine Hill</t>
  </si>
  <si>
    <t>Piscataway Township High School</t>
  </si>
  <si>
    <t>Pitman High School</t>
  </si>
  <si>
    <t>Arthur P. Schalick High School</t>
  </si>
  <si>
    <t>Pittsgrove</t>
  </si>
  <si>
    <t>Plainfield Academy  For The Arts &amp; Advanced Studies</t>
  </si>
  <si>
    <t>The Barack Obama Green Charter High School</t>
  </si>
  <si>
    <t>West Windsor-Plainsboro High School North</t>
  </si>
  <si>
    <t>Plainsboro</t>
  </si>
  <si>
    <t>Decatur Avenue Early Childhood Center</t>
  </si>
  <si>
    <t>Point Pleasant Borough High School</t>
  </si>
  <si>
    <t>Point Pleasant</t>
  </si>
  <si>
    <t>Point Pleasant Beach High School</t>
  </si>
  <si>
    <t>Point Pleasant Beach</t>
  </si>
  <si>
    <t>Pompton Lakes High School</t>
  </si>
  <si>
    <t>Pequannock Township High School</t>
  </si>
  <si>
    <t>Pompton Plains</t>
  </si>
  <si>
    <t>Rahway High School</t>
  </si>
  <si>
    <t>Rahway</t>
  </si>
  <si>
    <t>Ridgefield Memorial High School</t>
  </si>
  <si>
    <t>Ridgefield Park Jr Sr High School</t>
  </si>
  <si>
    <t>Ridgefield Park</t>
  </si>
  <si>
    <t>Ridgewood High School</t>
  </si>
  <si>
    <t>Ridgewood</t>
  </si>
  <si>
    <t>Robbinsville High School</t>
  </si>
  <si>
    <t>Robbinsville</t>
  </si>
  <si>
    <t>Morris Hills High School</t>
  </si>
  <si>
    <t>Rockaway</t>
  </si>
  <si>
    <t>Morris Knolls High School</t>
  </si>
  <si>
    <t>Abraham Clark High School</t>
  </si>
  <si>
    <t>Roselle Park High School</t>
  </si>
  <si>
    <t>Roselle Park</t>
  </si>
  <si>
    <t>Rumson-Fair Haven Regional High School</t>
  </si>
  <si>
    <t>Rumson</t>
  </si>
  <si>
    <t>Runnemede</t>
  </si>
  <si>
    <t>Saddle Brook Middle/High School</t>
  </si>
  <si>
    <t>Saddle Brook</t>
  </si>
  <si>
    <t>Scotch Plains-Fanwood High School</t>
  </si>
  <si>
    <t>Secaucus High School</t>
  </si>
  <si>
    <t>Secaucus</t>
  </si>
  <si>
    <t>Washington Township High School</t>
  </si>
  <si>
    <t>Sewell</t>
  </si>
  <si>
    <t>Skillman</t>
  </si>
  <si>
    <t>Somerdale</t>
  </si>
  <si>
    <t>Chartertech High School For The Performing Arts</t>
  </si>
  <si>
    <t>Somers Point</t>
  </si>
  <si>
    <t>South Amboy Middle/High School</t>
  </si>
  <si>
    <t>South Amboy</t>
  </si>
  <si>
    <t>South Plainfield High School</t>
  </si>
  <si>
    <t>South Plainfield</t>
  </si>
  <si>
    <t>Spotswood High School</t>
  </si>
  <si>
    <t>Spotswood</t>
  </si>
  <si>
    <t>Jonathan Dayton High School</t>
  </si>
  <si>
    <t>Lenape Valley Regional High School</t>
  </si>
  <si>
    <t>Stanhope</t>
  </si>
  <si>
    <t>Roxbury High School</t>
  </si>
  <si>
    <t>Succasunna</t>
  </si>
  <si>
    <t>High School Point Regional High School District</t>
  </si>
  <si>
    <t>Tabernacle</t>
  </si>
  <si>
    <t>Teaneck High School</t>
  </si>
  <si>
    <t>Tenafly High School</t>
  </si>
  <si>
    <t>Tenafly</t>
  </si>
  <si>
    <t>Monmouth Regional High School</t>
  </si>
  <si>
    <t>Toms River High School East</t>
  </si>
  <si>
    <t>Toms River</t>
  </si>
  <si>
    <t>Toms River High School North</t>
  </si>
  <si>
    <t>Toms River High School South</t>
  </si>
  <si>
    <t>Westwood Junior/Senior High School</t>
  </si>
  <si>
    <t>Township Of Washington</t>
  </si>
  <si>
    <t>Daylight/Twilight High School</t>
  </si>
  <si>
    <t>Trenton Central High School - Main Campus</t>
  </si>
  <si>
    <t>Vernon Township High School</t>
  </si>
  <si>
    <t>Vineland Senior High School</t>
  </si>
  <si>
    <t>Vineland</t>
  </si>
  <si>
    <t>Eastern Regional High School</t>
  </si>
  <si>
    <t>Voorhees</t>
  </si>
  <si>
    <t>Waldwick High School</t>
  </si>
  <si>
    <t>Waldwick</t>
  </si>
  <si>
    <t>Wall High School</t>
  </si>
  <si>
    <t>Wall</t>
  </si>
  <si>
    <t>Wallington Junior Senior High School</t>
  </si>
  <si>
    <t>Wallington</t>
  </si>
  <si>
    <t>Lakeland Regional High School</t>
  </si>
  <si>
    <t>Wanaque</t>
  </si>
  <si>
    <t>Watchung Hills Regional High School</t>
  </si>
  <si>
    <t>Warren Hills Regional High School</t>
  </si>
  <si>
    <t>Wayne Hills High School</t>
  </si>
  <si>
    <t>Wayne Valley High School</t>
  </si>
  <si>
    <t>Weehawken High School</t>
  </si>
  <si>
    <t>Weehawken</t>
  </si>
  <si>
    <t>James Caldwell High School</t>
  </si>
  <si>
    <t>West Caldwell</t>
  </si>
  <si>
    <t>West Deptford High School</t>
  </si>
  <si>
    <t>West Deptford</t>
  </si>
  <si>
    <t>Shore Regional High School</t>
  </si>
  <si>
    <t>West Long Branch</t>
  </si>
  <si>
    <t>West Milford High School</t>
  </si>
  <si>
    <t>West Milford</t>
  </si>
  <si>
    <t>West New York</t>
  </si>
  <si>
    <t>West Windsor-Plainsboro High School South</t>
  </si>
  <si>
    <t>West Windsor</t>
  </si>
  <si>
    <t>Westfield Senior High School</t>
  </si>
  <si>
    <t>Haddon Township High School</t>
  </si>
  <si>
    <t>Whippany Park High School</t>
  </si>
  <si>
    <t>Whippany</t>
  </si>
  <si>
    <t>Wildwood High School</t>
  </si>
  <si>
    <t>Willliamstown High School</t>
  </si>
  <si>
    <t>Willingboro High School</t>
  </si>
  <si>
    <t>Willingboro</t>
  </si>
  <si>
    <t>Wood-Ridge Jr/Sr High School</t>
  </si>
  <si>
    <t>Wood  Ridge</t>
  </si>
  <si>
    <t>Woodbury Jr-Sr High School</t>
  </si>
  <si>
    <t>Woodbury Hts</t>
  </si>
  <si>
    <t>Woodstown High School</t>
  </si>
  <si>
    <t>Woodstown</t>
  </si>
  <si>
    <t>Kingsway Regional High School</t>
  </si>
  <si>
    <t>Woolwich Twp</t>
  </si>
  <si>
    <t>Alamogordo High School</t>
  </si>
  <si>
    <t>Alamogordo</t>
  </si>
  <si>
    <t>Abq Charter Academy</t>
  </si>
  <si>
    <t>Ace Leadership High School</t>
  </si>
  <si>
    <t>Albuquerque High School</t>
  </si>
  <si>
    <t>Albuquerque Institute Of Math &amp; Science</t>
  </si>
  <si>
    <t>Amy Biehl Charter High School</t>
  </si>
  <si>
    <t>Atrisco Heritage Academy High School</t>
  </si>
  <si>
    <t>Cesar Chavez Community  School</t>
  </si>
  <si>
    <t>College And Career High School</t>
  </si>
  <si>
    <t>Cottonwood Classical Prep</t>
  </si>
  <si>
    <t>Digital Arts And Technology</t>
  </si>
  <si>
    <t>Explore Academy</t>
  </si>
  <si>
    <t>Gilbert L Sena Charter High School</t>
  </si>
  <si>
    <t>Gordon Bernell Charter</t>
  </si>
  <si>
    <t>Health Leadership High School</t>
  </si>
  <si>
    <t>La Academyemia De Esperanza</t>
  </si>
  <si>
    <t>La Cueva High School</t>
  </si>
  <si>
    <t>Los Puentes Charter</t>
  </si>
  <si>
    <t>Manzano High School</t>
  </si>
  <si>
    <t>Mark Armijo Academy</t>
  </si>
  <si>
    <t>Media Arts Collaborative Charter</t>
  </si>
  <si>
    <t>New America School</t>
  </si>
  <si>
    <t>Nex Gen Academy</t>
  </si>
  <si>
    <t>Public Academy For Performing Arts</t>
  </si>
  <si>
    <t>Rio Grande High School</t>
  </si>
  <si>
    <t>Robert F. Kennedy Charter</t>
  </si>
  <si>
    <t>Sandia High School</t>
  </si>
  <si>
    <t>South Valley Academy</t>
  </si>
  <si>
    <t>Southwest Secondary Learning Center</t>
  </si>
  <si>
    <t>Sw Aeronautics Mathematics And Science Academy</t>
  </si>
  <si>
    <t>Technology Leadership High School</t>
  </si>
  <si>
    <t>The Alb Talent Development Charter</t>
  </si>
  <si>
    <t>The Great Academy</t>
  </si>
  <si>
    <t>Tierra Adentro</t>
  </si>
  <si>
    <t>Volcano Vista High School</t>
  </si>
  <si>
    <t>West Mesa High School</t>
  </si>
  <si>
    <t>Angel Fire</t>
  </si>
  <si>
    <t>Animas 7-12 School</t>
  </si>
  <si>
    <t>Animas</t>
  </si>
  <si>
    <t>Alta Vista Early College High School</t>
  </si>
  <si>
    <t>Gadsden High School</t>
  </si>
  <si>
    <t>Artesia</t>
  </si>
  <si>
    <t>Aztec</t>
  </si>
  <si>
    <t>Cobre High School</t>
  </si>
  <si>
    <t>Belen High School</t>
  </si>
  <si>
    <t>Belen</t>
  </si>
  <si>
    <t>Bernalillo High School</t>
  </si>
  <si>
    <t>Bernalillo</t>
  </si>
  <si>
    <t>Capitan High School</t>
  </si>
  <si>
    <t>Capitan</t>
  </si>
  <si>
    <t>Carlsbad Early College High School</t>
  </si>
  <si>
    <t>Carrizozo High School</t>
  </si>
  <si>
    <t>Carrizozo</t>
  </si>
  <si>
    <t>Laguna-Acoma High School</t>
  </si>
  <si>
    <t>Casa Blanca</t>
  </si>
  <si>
    <t>Cliff High School</t>
  </si>
  <si>
    <t>Cliff</t>
  </si>
  <si>
    <t>Cloudcroft High School</t>
  </si>
  <si>
    <t>Cloudcroft</t>
  </si>
  <si>
    <t>Crownpoint High School</t>
  </si>
  <si>
    <t>Crownpoint</t>
  </si>
  <si>
    <t>Deming Cesar Chavez</t>
  </si>
  <si>
    <t>Deming</t>
  </si>
  <si>
    <t>Deming High School</t>
  </si>
  <si>
    <t>Early College High School</t>
  </si>
  <si>
    <t>Mimbres Valley High School</t>
  </si>
  <si>
    <t>Des Moines High School</t>
  </si>
  <si>
    <t>Dulce High School</t>
  </si>
  <si>
    <t>Dulce</t>
  </si>
  <si>
    <t>Elida High School</t>
  </si>
  <si>
    <t>Elida</t>
  </si>
  <si>
    <t>Espanola Valley High School</t>
  </si>
  <si>
    <t>Espanola</t>
  </si>
  <si>
    <t>Estancia</t>
  </si>
  <si>
    <t>Piedra Vista High School</t>
  </si>
  <si>
    <t>Floyd High School</t>
  </si>
  <si>
    <t>Floyd</t>
  </si>
  <si>
    <t>Fort Sumner High School</t>
  </si>
  <si>
    <t>Fort Sumner</t>
  </si>
  <si>
    <t>Gallina</t>
  </si>
  <si>
    <t>Gallup High School</t>
  </si>
  <si>
    <t>Gallup</t>
  </si>
  <si>
    <t>Miyamura High School</t>
  </si>
  <si>
    <t>Grady</t>
  </si>
  <si>
    <t>Grants High School</t>
  </si>
  <si>
    <t>Grants</t>
  </si>
  <si>
    <t>Hagerman High School</t>
  </si>
  <si>
    <t>Hagerman</t>
  </si>
  <si>
    <t>Hatch Valley High School</t>
  </si>
  <si>
    <t>Hatch</t>
  </si>
  <si>
    <t>Hobbs High School</t>
  </si>
  <si>
    <t>Hondo High School</t>
  </si>
  <si>
    <t>Hondo</t>
  </si>
  <si>
    <t>House High School</t>
  </si>
  <si>
    <t>House</t>
  </si>
  <si>
    <t>Jal High School</t>
  </si>
  <si>
    <t>Jal</t>
  </si>
  <si>
    <t>Jemez Valley High School</t>
  </si>
  <si>
    <t>Jemez Pueblo</t>
  </si>
  <si>
    <t>Walatowa Charter High School</t>
  </si>
  <si>
    <t>Kirtland</t>
  </si>
  <si>
    <t>Alma D'Arte Charter</t>
  </si>
  <si>
    <t>Arrowhead Park Medical Academy</t>
  </si>
  <si>
    <t>Las Cruces High School</t>
  </si>
  <si>
    <t>Las Montanas Charter</t>
  </si>
  <si>
    <t>New America School - Las Cruces</t>
  </si>
  <si>
    <t>Onate High School</t>
  </si>
  <si>
    <t>Robertson High School</t>
  </si>
  <si>
    <t>West Las Vegas High School</t>
  </si>
  <si>
    <t>Ute Lake Online Learning Center</t>
  </si>
  <si>
    <t>Lordsburg High School</t>
  </si>
  <si>
    <t>Lordsburg</t>
  </si>
  <si>
    <t>Los Alamos High School</t>
  </si>
  <si>
    <t>Los Alamos</t>
  </si>
  <si>
    <t>Los Lunas High School</t>
  </si>
  <si>
    <t>Los Lunas</t>
  </si>
  <si>
    <t>Loving High School</t>
  </si>
  <si>
    <t>Loving</t>
  </si>
  <si>
    <t>Lovington High School</t>
  </si>
  <si>
    <t>Lovington</t>
  </si>
  <si>
    <t>Magdalena High School</t>
  </si>
  <si>
    <t>Magdalena</t>
  </si>
  <si>
    <t>Mora High School</t>
  </si>
  <si>
    <t>Moriarty High School</t>
  </si>
  <si>
    <t>Moriarty</t>
  </si>
  <si>
    <t>Mosquero High School</t>
  </si>
  <si>
    <t>Mosquero</t>
  </si>
  <si>
    <t>Mountainair High School</t>
  </si>
  <si>
    <t>Mountainair</t>
  </si>
  <si>
    <t>Navajo Pine High School</t>
  </si>
  <si>
    <t>Navajo</t>
  </si>
  <si>
    <t>Newcomb High School</t>
  </si>
  <si>
    <t>Newcomb</t>
  </si>
  <si>
    <t>Mesa Vista High School</t>
  </si>
  <si>
    <t>Ojo Caliente</t>
  </si>
  <si>
    <t>Pecos High School</t>
  </si>
  <si>
    <t>Penasco High School</t>
  </si>
  <si>
    <t>Penasco</t>
  </si>
  <si>
    <t>Portales High School</t>
  </si>
  <si>
    <t>Portales</t>
  </si>
  <si>
    <t>Tse'Yi'Gai High School</t>
  </si>
  <si>
    <t>Pueblo Pintado</t>
  </si>
  <si>
    <t>Quemado High School</t>
  </si>
  <si>
    <t>Quemado</t>
  </si>
  <si>
    <t>Questa High School</t>
  </si>
  <si>
    <t>Questa</t>
  </si>
  <si>
    <t>Ramah High School</t>
  </si>
  <si>
    <t>Ramah</t>
  </si>
  <si>
    <t>Raton High School</t>
  </si>
  <si>
    <t>Raton</t>
  </si>
  <si>
    <t>Reserve High School</t>
  </si>
  <si>
    <t>Rio Rancho High School</t>
  </si>
  <si>
    <t>The Ask Academy</t>
  </si>
  <si>
    <t>Ruidoso High School</t>
  </si>
  <si>
    <t>Ruidoso</t>
  </si>
  <si>
    <t>San Jon High School</t>
  </si>
  <si>
    <t>San Jon</t>
  </si>
  <si>
    <t>East Mountain High School</t>
  </si>
  <si>
    <t>Sandia Park</t>
  </si>
  <si>
    <t>Academy For Tech &amp; Class</t>
  </si>
  <si>
    <t>Early College Opportunities</t>
  </si>
  <si>
    <t>Mandela International Magnet (Mims)</t>
  </si>
  <si>
    <t>Monte Del Sol Charter</t>
  </si>
  <si>
    <t>Nm School For The Arts</t>
  </si>
  <si>
    <t>Pojoaque High School</t>
  </si>
  <si>
    <t>Santa Fe Engage</t>
  </si>
  <si>
    <t>The Masters Program</t>
  </si>
  <si>
    <t>Tierra Encantada Charter School</t>
  </si>
  <si>
    <t>Santa Teresa</t>
  </si>
  <si>
    <t>Shiprock High School</t>
  </si>
  <si>
    <t>Shiprock</t>
  </si>
  <si>
    <t>Aldo Leopold Charter</t>
  </si>
  <si>
    <t>Silver City</t>
  </si>
  <si>
    <t>Silver High School</t>
  </si>
  <si>
    <t>Socorro High School</t>
  </si>
  <si>
    <t>Socorro</t>
  </si>
  <si>
    <t>Springer High School</t>
  </si>
  <si>
    <t>Springer</t>
  </si>
  <si>
    <t>T Or C</t>
  </si>
  <si>
    <t>Taos Academy</t>
  </si>
  <si>
    <t>Taos</t>
  </si>
  <si>
    <t>Taos High School</t>
  </si>
  <si>
    <t>Tatum High School</t>
  </si>
  <si>
    <t>Tatum</t>
  </si>
  <si>
    <t>Texico High School</t>
  </si>
  <si>
    <t>Texico</t>
  </si>
  <si>
    <t>Thoreau High School</t>
  </si>
  <si>
    <t>Thoreau</t>
  </si>
  <si>
    <t>Escalante Middle/High School</t>
  </si>
  <si>
    <t>Tierra Amarilla</t>
  </si>
  <si>
    <t>Tohatchi High School</t>
  </si>
  <si>
    <t>Tohatchi</t>
  </si>
  <si>
    <t>Tucumcari High School</t>
  </si>
  <si>
    <t>Tucumcari</t>
  </si>
  <si>
    <t>Tularosa High School</t>
  </si>
  <si>
    <t>Tularosa</t>
  </si>
  <si>
    <t>Vaughn High School</t>
  </si>
  <si>
    <t>Vaughn</t>
  </si>
  <si>
    <t>Wagon Mound High School</t>
  </si>
  <si>
    <t>Wagon Mound</t>
  </si>
  <si>
    <t>Twin Buttes Cyber Academy</t>
  </si>
  <si>
    <t>Zuni</t>
  </si>
  <si>
    <t>Zuni High School</t>
  </si>
  <si>
    <t>Rondout Valley High School</t>
  </si>
  <si>
    <t>Accord</t>
  </si>
  <si>
    <t>South Jefferson High School</t>
  </si>
  <si>
    <t>Addison Middle/High School</t>
  </si>
  <si>
    <t>Afton Junior/Senior High School</t>
  </si>
  <si>
    <t>Albany Leadership Charter High School For Girls</t>
  </si>
  <si>
    <t>Colonie Central High School</t>
  </si>
  <si>
    <t>Green Tech High School Charter School</t>
  </si>
  <si>
    <t>Charles D'Amico High School</t>
  </si>
  <si>
    <t>Alden Senior High School</t>
  </si>
  <si>
    <t>Alexander Middle School-High School</t>
  </si>
  <si>
    <t>Alexander</t>
  </si>
  <si>
    <t>Alexandria Central High School</t>
  </si>
  <si>
    <t>Alexandria Bay</t>
  </si>
  <si>
    <t>Allegany-Limestone Middle-High School</t>
  </si>
  <si>
    <t>Allegany</t>
  </si>
  <si>
    <t>Alfred-Almond Junior-Senior High School</t>
  </si>
  <si>
    <t>Almond</t>
  </si>
  <si>
    <t>Webutuck High School</t>
  </si>
  <si>
    <t>Amenia</t>
  </si>
  <si>
    <t>Amherst Central High School</t>
  </si>
  <si>
    <t>Sweet Home Senior High School</t>
  </si>
  <si>
    <t>Amityville Memorial High School</t>
  </si>
  <si>
    <t>Amsterdam High School</t>
  </si>
  <si>
    <t>Amsterdam</t>
  </si>
  <si>
    <t>Lake Shore Senior High School</t>
  </si>
  <si>
    <t>Ardsley High School</t>
  </si>
  <si>
    <t>Ardsley</t>
  </si>
  <si>
    <t>Argyle Junior/Senior High School</t>
  </si>
  <si>
    <t>Byram Hills High School</t>
  </si>
  <si>
    <t>Armonk</t>
  </si>
  <si>
    <t>Attica Senior High School</t>
  </si>
  <si>
    <t>Southern Cayuga  7-12 Secondary School</t>
  </si>
  <si>
    <t>Averill Park High School</t>
  </si>
  <si>
    <t>Averill Park</t>
  </si>
  <si>
    <t>Babylon Junior-Senior High School</t>
  </si>
  <si>
    <t>Babylon</t>
  </si>
  <si>
    <t>Bainbridge-Guilford High School</t>
  </si>
  <si>
    <t>Charles W Baker High School</t>
  </si>
  <si>
    <t>Baldwinsville</t>
  </si>
  <si>
    <t>Ballston Spa Senior High School</t>
  </si>
  <si>
    <t>Barker Junior/Senior High School</t>
  </si>
  <si>
    <t>Barker</t>
  </si>
  <si>
    <t>Batavia High School</t>
  </si>
  <si>
    <t>Haverling Senior High School</t>
  </si>
  <si>
    <t>Bay Shore Senior High School</t>
  </si>
  <si>
    <t>Bay Shore</t>
  </si>
  <si>
    <t>Bayport-Blue Point High School</t>
  </si>
  <si>
    <t>Bayport</t>
  </si>
  <si>
    <t>Bayside</t>
  </si>
  <si>
    <t>Benjamin N Cardozo High School</t>
  </si>
  <si>
    <t>Beacon High School</t>
  </si>
  <si>
    <t>Beacon</t>
  </si>
  <si>
    <t>Beaver River Senior High School</t>
  </si>
  <si>
    <t>Beaver Falls</t>
  </si>
  <si>
    <t>Fox Lane High School</t>
  </si>
  <si>
    <t>Queens High School Of Teaching Liberal Arts And Sciences</t>
  </si>
  <si>
    <t>Bellerose</t>
  </si>
  <si>
    <t>Bellmore</t>
  </si>
  <si>
    <t>Wellington C Mepham High School</t>
  </si>
  <si>
    <t>Maple Grove Junior/Senior High School</t>
  </si>
  <si>
    <t>Bemus Point</t>
  </si>
  <si>
    <t>Byron-Bergen Junior/Senior High School</t>
  </si>
  <si>
    <t>Bergen</t>
  </si>
  <si>
    <t>Berne-Knox-Westerlo Junior-Senior High School</t>
  </si>
  <si>
    <t>Bethpage Senior High School</t>
  </si>
  <si>
    <t>Bethpage</t>
  </si>
  <si>
    <t>Binghamton High School</t>
  </si>
  <si>
    <t>Binghamton</t>
  </si>
  <si>
    <t>Chenango Forks High School</t>
  </si>
  <si>
    <t>Chenango Valley High School</t>
  </si>
  <si>
    <t>Connetquot High School</t>
  </si>
  <si>
    <t>Bohemia</t>
  </si>
  <si>
    <t>Onteora High School</t>
  </si>
  <si>
    <t>Boiceville</t>
  </si>
  <si>
    <t>Bolivar-Richburg Junior-Senior High School</t>
  </si>
  <si>
    <t>Adirondack High School</t>
  </si>
  <si>
    <t>Saint Lawrence High School</t>
  </si>
  <si>
    <t>Brasher Falls</t>
  </si>
  <si>
    <t>Briarcliff High School</t>
  </si>
  <si>
    <t>Briarcliff Manor</t>
  </si>
  <si>
    <t>Broadalbin-Perth High School</t>
  </si>
  <si>
    <t>Broadalbin</t>
  </si>
  <si>
    <t>Brockport High School</t>
  </si>
  <si>
    <t>Brockport</t>
  </si>
  <si>
    <t>Brocton Middle High School</t>
  </si>
  <si>
    <t>Brocton</t>
  </si>
  <si>
    <t>Academy-Scholarship &amp; Entrepreneurship</t>
  </si>
  <si>
    <t>Academy For Language And Technology</t>
  </si>
  <si>
    <t>Antonia Pantoja Preparatory Academy - A College Board School</t>
  </si>
  <si>
    <t>Archimedes Academy-Math Sci Tech</t>
  </si>
  <si>
    <t>Arturo A Schomburg Satellite Academy Bronx</t>
  </si>
  <si>
    <t>Astor Collegiate Academy</t>
  </si>
  <si>
    <t>Belmont Preparatory High School</t>
  </si>
  <si>
    <t>Bronx Academy Of Health Careers</t>
  </si>
  <si>
    <t>Bronx Aerospace High School</t>
  </si>
  <si>
    <t>Bronx Arena High School</t>
  </si>
  <si>
    <t>Bronx Bridges High School</t>
  </si>
  <si>
    <t>Bronx Career And College Preparatory High School</t>
  </si>
  <si>
    <t>Bronx Center For Science And Mathematics</t>
  </si>
  <si>
    <t>Bronx Collaborative High School</t>
  </si>
  <si>
    <t>Bronx Collegiate Academy</t>
  </si>
  <si>
    <t>Bronx Community High School</t>
  </si>
  <si>
    <t>Bronx Compass High School</t>
  </si>
  <si>
    <t>Bronx Early College Academy For Teaching And Learning</t>
  </si>
  <si>
    <t>Bronx Engineering And Technology Academy</t>
  </si>
  <si>
    <t>Bronx Envision Academy</t>
  </si>
  <si>
    <t>Bronx Haven High School</t>
  </si>
  <si>
    <t>Bronx Health Sciences High School</t>
  </si>
  <si>
    <t>Bronx High School For Law And Community Service</t>
  </si>
  <si>
    <t>Bronx High School For Medical Science</t>
  </si>
  <si>
    <t>Bronx High School For The Visual Arts</t>
  </si>
  <si>
    <t>Bronx High School For Writing And Communication Arts</t>
  </si>
  <si>
    <t>Bronx High School Of Business</t>
  </si>
  <si>
    <t>Bronx High School Of Science (The)</t>
  </si>
  <si>
    <t>Bronx International High School</t>
  </si>
  <si>
    <t>Bronx Lab School</t>
  </si>
  <si>
    <t>Bronx Latin School</t>
  </si>
  <si>
    <t>Bronx Leadership Academy High School</t>
  </si>
  <si>
    <t>Bronx Leadership Academy Ii High School</t>
  </si>
  <si>
    <t>Bronx Preparatory Charter School</t>
  </si>
  <si>
    <t>Bronx Regional High School</t>
  </si>
  <si>
    <t>Bronx River High School</t>
  </si>
  <si>
    <t>Bronx School For Law Government And Justice</t>
  </si>
  <si>
    <t>Bronx School Of Law And Finance</t>
  </si>
  <si>
    <t>Bronx Studio School For Writers And Artists</t>
  </si>
  <si>
    <t>Bronx Theatre High School</t>
  </si>
  <si>
    <t>Bronxdale High School</t>
  </si>
  <si>
    <t>Bronxwood Preparatory Academy (The)</t>
  </si>
  <si>
    <t>Careers In Sports High School</t>
  </si>
  <si>
    <t>Celia Cruz Bronx High School Of Music (The)</t>
  </si>
  <si>
    <t>Charter High School For Law And Social Justice</t>
  </si>
  <si>
    <t>Cinema School (The)</t>
  </si>
  <si>
    <t>Claremont International High School</t>
  </si>
  <si>
    <t>Collegiate Institute For Math And Science</t>
  </si>
  <si>
    <t>Community School For Social Justice</t>
  </si>
  <si>
    <t>Comprehensive Model School Project Ms 327</t>
  </si>
  <si>
    <t>Dewitt Clinton High School</t>
  </si>
  <si>
    <t>Dr Richard Izquierdo Health And Science Charter School</t>
  </si>
  <si>
    <t>Dreamyard Preparatory School</t>
  </si>
  <si>
    <t>Eagle Academy For Young Men</t>
  </si>
  <si>
    <t>East Bronx Academy For The Future</t>
  </si>
  <si>
    <t>English Language Learners-Inter Supp</t>
  </si>
  <si>
    <t>Equality Charter School</t>
  </si>
  <si>
    <t>Eximius College Preparatory Academy:  A College Board School</t>
  </si>
  <si>
    <t>Explorations Academy High School</t>
  </si>
  <si>
    <t>Fannie Lou Hamer Freedom High School</t>
  </si>
  <si>
    <t>Fordham High School For The Arts</t>
  </si>
  <si>
    <t>Fordham Leadership Academy</t>
  </si>
  <si>
    <t>Frederick Douglass Academy Iii Secondary School</t>
  </si>
  <si>
    <t>Gotham Collaborative High School</t>
  </si>
  <si>
    <t>Harry S Truman High School</t>
  </si>
  <si>
    <t>Health Opportunities High School</t>
  </si>
  <si>
    <t>Herbert H Lehman High School</t>
  </si>
  <si>
    <t>High School For Contemporary Arts</t>
  </si>
  <si>
    <t>High School For Language And Innovation</t>
  </si>
  <si>
    <t>High School For Teaching And The Professions</t>
  </si>
  <si>
    <t>High School For Violin And Dance</t>
  </si>
  <si>
    <t>High School Of American Studies At Lehman College</t>
  </si>
  <si>
    <t>High School Of World Cultures</t>
  </si>
  <si>
    <t>Hostos-Lincoln Academy Of Science</t>
  </si>
  <si>
    <t>In-Tech Academy (Ms/High School 368)</t>
  </si>
  <si>
    <t>International Community High School</t>
  </si>
  <si>
    <t>International Leadership Charter  High School</t>
  </si>
  <si>
    <t>International School For Liberal Arts</t>
  </si>
  <si>
    <t>Jill Chaifetz Transfer High School</t>
  </si>
  <si>
    <t>Kingsbridge International High School</t>
  </si>
  <si>
    <t>Knowledge And Power Prep Academy International High School</t>
  </si>
  <si>
    <t>Laboratory School Of Finance And Technology (The):  X223</t>
  </si>
  <si>
    <t>Longwood Preparatory Academy</t>
  </si>
  <si>
    <t>Marble Hill High School Of International Studies</t>
  </si>
  <si>
    <t>Marie Curie High School-Nursing</t>
  </si>
  <si>
    <t>Metropolitan High School (The)</t>
  </si>
  <si>
    <t>Metropolitan Soundview High School (The)</t>
  </si>
  <si>
    <t>Millenium Art Academy</t>
  </si>
  <si>
    <t>Morris Academy For Collaborative Studies</t>
  </si>
  <si>
    <t>Mott Hall Bronx High School</t>
  </si>
  <si>
    <t>Mott Hall V</t>
  </si>
  <si>
    <t>Mott Haven Community High School</t>
  </si>
  <si>
    <t>Mott Haven Village Preparatory High School</t>
  </si>
  <si>
    <t>New Directions Secondary School</t>
  </si>
  <si>
    <t>New Visions Aim Charter High School Ii</t>
  </si>
  <si>
    <t>New Visions Charter High School For Humanities Ii</t>
  </si>
  <si>
    <t>New Visions Charter High School For The Humanities</t>
  </si>
  <si>
    <t>New Visions Charter High School-Adv Math/Scie</t>
  </si>
  <si>
    <t>New Visions Chtr High School-Adv Ma/Sci Ii</t>
  </si>
  <si>
    <t>New World High School</t>
  </si>
  <si>
    <t>Nyc Charter High School - Aeci</t>
  </si>
  <si>
    <t>Pan American International High School At Monroe</t>
  </si>
  <si>
    <t>Pelham Lab High School</t>
  </si>
  <si>
    <t>Pelham Preparatory Academy</t>
  </si>
  <si>
    <t>Providing Urban Learners Success In Education High School</t>
  </si>
  <si>
    <t>Renaissance High School For Musical Theater And The Arts</t>
  </si>
  <si>
    <t>Riverdale/Kingsbridge Academy (Ms/High School 141)</t>
  </si>
  <si>
    <t>School For Excellence</t>
  </si>
  <si>
    <t>Schuylerville Preparatory High School</t>
  </si>
  <si>
    <t>South Bronx Preparatory - A College Board School</t>
  </si>
  <si>
    <t>Theatre Arts Production Company School</t>
  </si>
  <si>
    <t>University Heights Secondary School-Bronx Community College</t>
  </si>
  <si>
    <t>University Prep Charter High School</t>
  </si>
  <si>
    <t>Urban Assembly Bronx Academy Of Letters (The)</t>
  </si>
  <si>
    <t>Urban Assembly School For Applied Math And Science (The)</t>
  </si>
  <si>
    <t>Urban Dove Team Charter School Ii</t>
  </si>
  <si>
    <t>Validus Preparatory Academy</t>
  </si>
  <si>
    <t>West Bronx Academy For The Future</t>
  </si>
  <si>
    <t>Westchester Square Academy</t>
  </si>
  <si>
    <t>Wings Academy</t>
  </si>
  <si>
    <t>Women'S Academy Of Excellence</t>
  </si>
  <si>
    <t>World View High School</t>
  </si>
  <si>
    <t>Young Women'S Leadership School Of The Bronx</t>
  </si>
  <si>
    <t>Bronxville High School</t>
  </si>
  <si>
    <t>Bronxville</t>
  </si>
  <si>
    <t>Bellport Senior High School</t>
  </si>
  <si>
    <t>Academy For College Prep And Career Exp</t>
  </si>
  <si>
    <t>Academy For Conservation And The Environment</t>
  </si>
  <si>
    <t>Academy For Environmental Leadership</t>
  </si>
  <si>
    <t>Academy For Young Writers</t>
  </si>
  <si>
    <t>Academy Of Hospitality And Tourism</t>
  </si>
  <si>
    <t>Academy Of Urban Planning And Engineering (The)</t>
  </si>
  <si>
    <t>All City Leadership Secondary School</t>
  </si>
  <si>
    <t>Aspirations Diploma Plus High School</t>
  </si>
  <si>
    <t>Bedford Academy High School</t>
  </si>
  <si>
    <t>Benjamin Banneker Academy</t>
  </si>
  <si>
    <t>Boerum Hill School For International Studies (The)</t>
  </si>
  <si>
    <t>Boys And Girls High School</t>
  </si>
  <si>
    <t>Brooklyn Academy High School</t>
  </si>
  <si>
    <t>Brooklyn Academy Of Global Finance (The)</t>
  </si>
  <si>
    <t>Brooklyn Academy Of Science And The Environment</t>
  </si>
  <si>
    <t>Brooklyn Bridge Academy</t>
  </si>
  <si>
    <t>Brooklyn Collaborative Studies</t>
  </si>
  <si>
    <t>Brooklyn College Academy</t>
  </si>
  <si>
    <t>Brooklyn Collegiate: A College Board School</t>
  </si>
  <si>
    <t>Brooklyn Community Arts And Media High School (Bcam)</t>
  </si>
  <si>
    <t>Brooklyn Democracy Academy</t>
  </si>
  <si>
    <t>Brooklyn Emerging Leaders Academy Charter School</t>
  </si>
  <si>
    <t>Brooklyn Frontiers High School</t>
  </si>
  <si>
    <t>Brooklyn Generation School</t>
  </si>
  <si>
    <t>Brooklyn High School For Law And Technology</t>
  </si>
  <si>
    <t>Brooklyn High School For Leadership And Community Service</t>
  </si>
  <si>
    <t>Brooklyn High School Of The Arts</t>
  </si>
  <si>
    <t>Brooklyn Institute For Liberal Arts</t>
  </si>
  <si>
    <t>Brooklyn International High School</t>
  </si>
  <si>
    <t>Brooklyn Lab School</t>
  </si>
  <si>
    <t>Brooklyn Latin School (The)</t>
  </si>
  <si>
    <t>Brooklyn Preparatory High School</t>
  </si>
  <si>
    <t>Brooklyn Prospect Charter School-Csd 15</t>
  </si>
  <si>
    <t>Brooklyn School For Math And Research (The)</t>
  </si>
  <si>
    <t>Brooklyn School For Music &amp; Theater</t>
  </si>
  <si>
    <t>Brooklyn School For Social Justice (The)</t>
  </si>
  <si>
    <t>Brooklyn Studio Secondary School</t>
  </si>
  <si>
    <t>Brooklyn Technical High School</t>
  </si>
  <si>
    <t>Brooklyn Theatre Arts High School</t>
  </si>
  <si>
    <t>Brownsville Academy High School</t>
  </si>
  <si>
    <t>Bushwick Community High School</t>
  </si>
  <si>
    <t>Bushwick Leaders High School For Academyemic Excellence</t>
  </si>
  <si>
    <t>Captain Vernon A Richards High School-Fire</t>
  </si>
  <si>
    <t>Cobble Hill School Of American Studies</t>
  </si>
  <si>
    <t>Cultural Academy For The Arts And Sciences</t>
  </si>
  <si>
    <t>Cypress Hills Collegiate Preparatory School</t>
  </si>
  <si>
    <t>Dean Street School (The)</t>
  </si>
  <si>
    <t>Digital Arts And Cinema Technology High School</t>
  </si>
  <si>
    <t>Dr Susan S Mckinney Secondary School Of The Arts</t>
  </si>
  <si>
    <t>Eagle Academy For Young Men Ii</t>
  </si>
  <si>
    <t>East Brooklyn Community High School</t>
  </si>
  <si>
    <t>East New York Family Academy</t>
  </si>
  <si>
    <t>East Williamsburg Scholars Academy</t>
  </si>
  <si>
    <t>Ebc High School For Public Service-Bushwick</t>
  </si>
  <si>
    <t>Edward R Murrow High School</t>
  </si>
  <si>
    <t>El Puente Academy For Peace And Justice</t>
  </si>
  <si>
    <t>Expeditionary Learning School For Community Leaders</t>
  </si>
  <si>
    <t>Fort Hamilton High School</t>
  </si>
  <si>
    <t>Franklin Delano Roosevelt High School</t>
  </si>
  <si>
    <t>Frederick Douglass Academy Vii High School</t>
  </si>
  <si>
    <t>Gotham Professional Arts Academy</t>
  </si>
  <si>
    <t>High School For Civil Rights</t>
  </si>
  <si>
    <t>High School For Enterprise Business &amp; Technology (The)</t>
  </si>
  <si>
    <t>High School For Global Citizenship (The)</t>
  </si>
  <si>
    <t>High School For Medical Professions</t>
  </si>
  <si>
    <t>High School For Service And Learning At Erasmus</t>
  </si>
  <si>
    <t>High School For Youth And Community Development At Erasmus</t>
  </si>
  <si>
    <t>High School Of Sports Management</t>
  </si>
  <si>
    <t>High School Of Telecommunication Arts And Technology</t>
  </si>
  <si>
    <t>High School Sschool For Public Service-Heroes Of Tomorrow</t>
  </si>
  <si>
    <t>International High School At Lafayette</t>
  </si>
  <si>
    <t>International High School At Prospect Heights</t>
  </si>
  <si>
    <t>It Takes A Village Academy</t>
  </si>
  <si>
    <t>James Madison High School</t>
  </si>
  <si>
    <t>John Dewey High School</t>
  </si>
  <si>
    <t>John Jay School For Law</t>
  </si>
  <si>
    <t>Juan Morel Campos Secondary School</t>
  </si>
  <si>
    <t>Khalil Gibran International Academy</t>
  </si>
  <si>
    <t>Kingsborough Early College School</t>
  </si>
  <si>
    <t>Kurt Hahn Expeditionary Learning School</t>
  </si>
  <si>
    <t>Leon M Goldstein High School For The Sciences</t>
  </si>
  <si>
    <t>Liberation Diploma Plus</t>
  </si>
  <si>
    <t>Life Academy High School For Film And Music</t>
  </si>
  <si>
    <t>Lyons Community School</t>
  </si>
  <si>
    <t>Math Engineering And Science Academy Charter High School</t>
  </si>
  <si>
    <t>Medgar Evers College Preparatory School</t>
  </si>
  <si>
    <t>Metropolitan Diploma Plus High School</t>
  </si>
  <si>
    <t>Midwood High School</t>
  </si>
  <si>
    <t>Millennium Brooklyn High School</t>
  </si>
  <si>
    <t>Multicultural High School</t>
  </si>
  <si>
    <t>Nelson Mandela High School</t>
  </si>
  <si>
    <t>New Utrecht High School</t>
  </si>
  <si>
    <t>New Visions Aim Charter High School I</t>
  </si>
  <si>
    <t>New Visions Chtr High School-Adv Ma/Sci Iii</t>
  </si>
  <si>
    <t>NortHigh Schoolide Charter High School</t>
  </si>
  <si>
    <t>Olympus Academy</t>
  </si>
  <si>
    <t>Origins High School</t>
  </si>
  <si>
    <t>Park Slope Collegiate</t>
  </si>
  <si>
    <t>Performing Arts And Technology High School</t>
  </si>
  <si>
    <t>Professional Pathways High School</t>
  </si>
  <si>
    <t>Progress High School For Professional Careers</t>
  </si>
  <si>
    <t>Rachel Carson High School For Coastal Studies</t>
  </si>
  <si>
    <t>Research And Service High School</t>
  </si>
  <si>
    <t>School For Classics High School</t>
  </si>
  <si>
    <t>School For Human Rights (The)</t>
  </si>
  <si>
    <t>Science Skills Center High School</t>
  </si>
  <si>
    <t>Science Technology &amp; Research High School At Erasmus</t>
  </si>
  <si>
    <t>Secondary School For Journalism</t>
  </si>
  <si>
    <t>South Brooklyn Community High School</t>
  </si>
  <si>
    <t>Spring Creek Community School</t>
  </si>
  <si>
    <t>Summit Academy Charter School</t>
  </si>
  <si>
    <t>Sunset Park High School</t>
  </si>
  <si>
    <t>Teachers Preparatory High School</t>
  </si>
  <si>
    <t>Uft Charter School</t>
  </si>
  <si>
    <t>Urban Action Academy</t>
  </si>
  <si>
    <t>Urban Assembly Institute Of Math And Science For Young Women</t>
  </si>
  <si>
    <t>Urban Assembly School For Criminal Justice</t>
  </si>
  <si>
    <t>Urban Assembly School For Law And Justice (The)</t>
  </si>
  <si>
    <t>Urban Assembly School For Music And Art</t>
  </si>
  <si>
    <t>Victory Collegiate High School</t>
  </si>
  <si>
    <t>West Brooklyn Community High School</t>
  </si>
  <si>
    <t>Williamsburg Charter High School</t>
  </si>
  <si>
    <t>Williamsburg High School Of Art And Technology (The)</t>
  </si>
  <si>
    <t>Williamsburg Preparatory School</t>
  </si>
  <si>
    <t>World Academy For Total Community Health High School</t>
  </si>
  <si>
    <t>Young Women'S Leadership School Of Brooklyn</t>
  </si>
  <si>
    <t>Brushton-Moira High School</t>
  </si>
  <si>
    <t>Brushton</t>
  </si>
  <si>
    <t>Buffalo Academy For The Visual &amp; Performing Arts</t>
  </si>
  <si>
    <t>City Honors School</t>
  </si>
  <si>
    <t>Emerson School Of Hospitality</t>
  </si>
  <si>
    <t>Frederick Olmsted #156</t>
  </si>
  <si>
    <t>Health Sciences Charter School</t>
  </si>
  <si>
    <t>Hutchinson Central Technical High School</t>
  </si>
  <si>
    <t>International Preparatory School (The)</t>
  </si>
  <si>
    <t>Kenmore West Senior High School</t>
  </si>
  <si>
    <t>Leonardo Da Vinci High School</t>
  </si>
  <si>
    <t>Math Science Technology Preparatory School At Seneca (The)</t>
  </si>
  <si>
    <t>Middle Early College High School</t>
  </si>
  <si>
    <t>New Buffalo - Culinary Art Hospitality</t>
  </si>
  <si>
    <t>Newcomer Academy At Lafayette</t>
  </si>
  <si>
    <t>Pathways Academy</t>
  </si>
  <si>
    <t>Riverside Institute Of Technology</t>
  </si>
  <si>
    <t>Western New York Maritime Charter School</t>
  </si>
  <si>
    <t>Burnt Hills-Ballston Lake Senior High School</t>
  </si>
  <si>
    <t>Burnt Hills</t>
  </si>
  <si>
    <t>Cairo-Durham High School</t>
  </si>
  <si>
    <t>Caledonia-Mumford High School</t>
  </si>
  <si>
    <t>Humanities And Arts Magnet High School</t>
  </si>
  <si>
    <t>Cambria Heights</t>
  </si>
  <si>
    <t>Math/Science Research/Tech Magnet</t>
  </si>
  <si>
    <t>Cambridge Junior-Senior High School</t>
  </si>
  <si>
    <t>Camden Senior High School</t>
  </si>
  <si>
    <t>West Genesee Senior High School</t>
  </si>
  <si>
    <t>Campbell-Savona Junior/Senior High School</t>
  </si>
  <si>
    <t>Canajoharie Senior High School</t>
  </si>
  <si>
    <t>Canajoharie</t>
  </si>
  <si>
    <t>Canandaigua Academy</t>
  </si>
  <si>
    <t>Canandaigua</t>
  </si>
  <si>
    <t>Canastota High School</t>
  </si>
  <si>
    <t>Canastota</t>
  </si>
  <si>
    <t>Candor Junior-Senior High School</t>
  </si>
  <si>
    <t>Candor</t>
  </si>
  <si>
    <t>Canisteo-Greenwood High School</t>
  </si>
  <si>
    <t>Canisteo</t>
  </si>
  <si>
    <t>H C Williams Senior High School</t>
  </si>
  <si>
    <t>Carle Place Middle Senior High School</t>
  </si>
  <si>
    <t>Carle Place</t>
  </si>
  <si>
    <t>Carthage Senior High School</t>
  </si>
  <si>
    <t>Maple Hill Junior/Senior High School</t>
  </si>
  <si>
    <t>Castleton</t>
  </si>
  <si>
    <t>Cato-Meridian Senior High School</t>
  </si>
  <si>
    <t>Cato</t>
  </si>
  <si>
    <t>Catskill Senior High School</t>
  </si>
  <si>
    <t>Catskill</t>
  </si>
  <si>
    <t>Cattaraugus-Little Valley High School</t>
  </si>
  <si>
    <t>Cattaraugus</t>
  </si>
  <si>
    <t>Cazenovia High School</t>
  </si>
  <si>
    <t>Cazenovia</t>
  </si>
  <si>
    <t>Lawrence Senior High School</t>
  </si>
  <si>
    <t>Cedarhurst</t>
  </si>
  <si>
    <t>Center Moriches High School</t>
  </si>
  <si>
    <t>Center Moriches</t>
  </si>
  <si>
    <t>Centereach High School</t>
  </si>
  <si>
    <t>Centereach</t>
  </si>
  <si>
    <t>Central Islip Senior High School</t>
  </si>
  <si>
    <t>Central Islip</t>
  </si>
  <si>
    <t>Paul V Moore High School</t>
  </si>
  <si>
    <t>Central Square</t>
  </si>
  <si>
    <t>Monroe-Woodbury High School</t>
  </si>
  <si>
    <t>Central Valley</t>
  </si>
  <si>
    <t>Horace Greeley High School</t>
  </si>
  <si>
    <t>Chappaqua</t>
  </si>
  <si>
    <t>Chateaugay High School</t>
  </si>
  <si>
    <t>Chateaugay</t>
  </si>
  <si>
    <t>Chazy Central Rural Junior-Senior High School</t>
  </si>
  <si>
    <t>Chazy</t>
  </si>
  <si>
    <t>Cheektowaga High School</t>
  </si>
  <si>
    <t>Cheektowaga</t>
  </si>
  <si>
    <t>Cleveland Hill High School</t>
  </si>
  <si>
    <t>John F Kennedy Senior High School</t>
  </si>
  <si>
    <t>Berlin Middle School/High School</t>
  </si>
  <si>
    <t>Cherry Plain</t>
  </si>
  <si>
    <t>Chester Academy-Middle/High School</t>
  </si>
  <si>
    <t>Chittenango High School</t>
  </si>
  <si>
    <t>Chittenango</t>
  </si>
  <si>
    <t>Churchville-Chili Senior High School</t>
  </si>
  <si>
    <t>Churchville</t>
  </si>
  <si>
    <t>Cicero-North Syracuse High School</t>
  </si>
  <si>
    <t>Cincinnatus High School</t>
  </si>
  <si>
    <t>Cincinnatus</t>
  </si>
  <si>
    <t>Clarence Senior High School</t>
  </si>
  <si>
    <t>Thousand Islands High School</t>
  </si>
  <si>
    <t>Shenendehowa High School</t>
  </si>
  <si>
    <t>Clifton Park</t>
  </si>
  <si>
    <t>Midlakes High School</t>
  </si>
  <si>
    <t>Clifton Springs</t>
  </si>
  <si>
    <t>Ausable Valley High School</t>
  </si>
  <si>
    <t>Clintonville</t>
  </si>
  <si>
    <t>Clyde-Savannah High School</t>
  </si>
  <si>
    <t>Cohoes High School</t>
  </si>
  <si>
    <t>Cohoes</t>
  </si>
  <si>
    <t>Haldane High School</t>
  </si>
  <si>
    <t>Cold Spring Harbor High School</t>
  </si>
  <si>
    <t>Cold Spring Harbor</t>
  </si>
  <si>
    <t>Commack High School</t>
  </si>
  <si>
    <t>Commack</t>
  </si>
  <si>
    <t>Susquehanna Valley Senior High School</t>
  </si>
  <si>
    <t>Conklin</t>
  </si>
  <si>
    <t>Cooperstown Junior/Senior High School</t>
  </si>
  <si>
    <t>Cooperstown</t>
  </si>
  <si>
    <t>Walter G O'Connell Copiague High School</t>
  </si>
  <si>
    <t>Copiague</t>
  </si>
  <si>
    <t>Pembroke Junior-Senior High School</t>
  </si>
  <si>
    <t>Corfu</t>
  </si>
  <si>
    <t>Corning-Painted Post High School</t>
  </si>
  <si>
    <t>High School For Arts And Business</t>
  </si>
  <si>
    <t>Cortland High School</t>
  </si>
  <si>
    <t>Cortland</t>
  </si>
  <si>
    <t>Walter Panas High School</t>
  </si>
  <si>
    <t>Cortlandt Manor</t>
  </si>
  <si>
    <t>Coxsackie-Athens High School</t>
  </si>
  <si>
    <t>Coxsackie</t>
  </si>
  <si>
    <t>Taconic Hillsjunior/Senior High School</t>
  </si>
  <si>
    <t>Craryville</t>
  </si>
  <si>
    <t>Croton-Harmon High School</t>
  </si>
  <si>
    <t>Croton On Hudson</t>
  </si>
  <si>
    <t>Cuba-Rushford High School</t>
  </si>
  <si>
    <t>Deer Park High School</t>
  </si>
  <si>
    <t>Deer Park</t>
  </si>
  <si>
    <t>Duanesburg High School</t>
  </si>
  <si>
    <t>Delanson</t>
  </si>
  <si>
    <t>Delaware Academy High School</t>
  </si>
  <si>
    <t>Bethlehem Central Senior High School</t>
  </si>
  <si>
    <t>Depew High School</t>
  </si>
  <si>
    <t>Depew</t>
  </si>
  <si>
    <t>Deposit Middle-Senior High School</t>
  </si>
  <si>
    <t>Deposit</t>
  </si>
  <si>
    <t>Deruyter High School</t>
  </si>
  <si>
    <t>Deruyter</t>
  </si>
  <si>
    <t>Jamesville-Dewitt High School</t>
  </si>
  <si>
    <t>General Brown Junior-Senior High School</t>
  </si>
  <si>
    <t>Half Hollow Hills High School East</t>
  </si>
  <si>
    <t>Dix Hills</t>
  </si>
  <si>
    <t>Half Hollow Hills High School West</t>
  </si>
  <si>
    <t>Dobbs Ferry High School</t>
  </si>
  <si>
    <t>James A Green High School</t>
  </si>
  <si>
    <t>Dolgeville</t>
  </si>
  <si>
    <t>Dover Plains</t>
  </si>
  <si>
    <t>Dundee Junior-Senior High School</t>
  </si>
  <si>
    <t>Dunkirk Senior High School</t>
  </si>
  <si>
    <t>Dunkirk</t>
  </si>
  <si>
    <t>Williamsville East High School</t>
  </si>
  <si>
    <t>East Amherst</t>
  </si>
  <si>
    <t>East Aurora High School</t>
  </si>
  <si>
    <t>East Aurora</t>
  </si>
  <si>
    <t>East Greenbush</t>
  </si>
  <si>
    <t>East Meadow High School</t>
  </si>
  <si>
    <t>East Rochester Junior-Senior High School</t>
  </si>
  <si>
    <t>East Rockaway Junior-Senior High School</t>
  </si>
  <si>
    <t>East Rockaway</t>
  </si>
  <si>
    <t>Ward Melville Senior High School</t>
  </si>
  <si>
    <t>East Setauket</t>
  </si>
  <si>
    <t>East Syracuse Minoa Central High School</t>
  </si>
  <si>
    <t>Eastchester Senior High School</t>
  </si>
  <si>
    <t>Eastchester</t>
  </si>
  <si>
    <t>Tuckahoe High School</t>
  </si>
  <si>
    <t>Eden Middle &amp; High School</t>
  </si>
  <si>
    <t>Eden</t>
  </si>
  <si>
    <t>Elba Junior-Senior High School</t>
  </si>
  <si>
    <t>Eldred Junior-Senior High School</t>
  </si>
  <si>
    <t>Eldred</t>
  </si>
  <si>
    <t>Northern Adirondack Middle/High School</t>
  </si>
  <si>
    <t>Ellenburg Depot</t>
  </si>
  <si>
    <t>Ellenville High School</t>
  </si>
  <si>
    <t>Ellenville</t>
  </si>
  <si>
    <t>Ellicottville Middle School High School</t>
  </si>
  <si>
    <t>Ellicottville</t>
  </si>
  <si>
    <t>Iroquois Senior High School</t>
  </si>
  <si>
    <t>Elma</t>
  </si>
  <si>
    <t>Civic Leadership Academy</t>
  </si>
  <si>
    <t>International High School For Health Sciences</t>
  </si>
  <si>
    <t>Maspeth High School</t>
  </si>
  <si>
    <t>Pan American International High School</t>
  </si>
  <si>
    <t>Elmira High School</t>
  </si>
  <si>
    <t>Elmira</t>
  </si>
  <si>
    <t>Thomas A Edison High School</t>
  </si>
  <si>
    <t>Elmira Heights</t>
  </si>
  <si>
    <t>Elmont Memorial High School</t>
  </si>
  <si>
    <t>Elmont</t>
  </si>
  <si>
    <t>Alexander Hamilton High School</t>
  </si>
  <si>
    <t>Elmsford</t>
  </si>
  <si>
    <t>Elwood/John Glenn High School</t>
  </si>
  <si>
    <t>Union-Endicott High School</t>
  </si>
  <si>
    <t>Endicott</t>
  </si>
  <si>
    <t>Maine-Endwell Senior High School</t>
  </si>
  <si>
    <t>Endwell</t>
  </si>
  <si>
    <t>Fabius-Pompey Middle School High School</t>
  </si>
  <si>
    <t>Fabius</t>
  </si>
  <si>
    <t>Fairport Senior High School</t>
  </si>
  <si>
    <t>Fairport</t>
  </si>
  <si>
    <t>Falconer Middle/High School</t>
  </si>
  <si>
    <t>Falconer</t>
  </si>
  <si>
    <t>Fallsburg Junior Senior High School</t>
  </si>
  <si>
    <t>Fallsburg</t>
  </si>
  <si>
    <t>Academy Of Medical Technology - A College Board School</t>
  </si>
  <si>
    <t>Frederick Douglass Academy Vi High School</t>
  </si>
  <si>
    <t>Queens High School For Information Research And Technology</t>
  </si>
  <si>
    <t>Farmingdale Senior High School</t>
  </si>
  <si>
    <t>Sachem High School East</t>
  </si>
  <si>
    <t>Farmingville</t>
  </si>
  <si>
    <t>Floral Park Memorial High School</t>
  </si>
  <si>
    <t>Floral Park</t>
  </si>
  <si>
    <t>Sewanhaka High School</t>
  </si>
  <si>
    <t>S S Seward Institute</t>
  </si>
  <si>
    <t>East-West School Of International Studies</t>
  </si>
  <si>
    <t>Flushing International High School</t>
  </si>
  <si>
    <t>John Bowne High School</t>
  </si>
  <si>
    <t>North Queens Community High School</t>
  </si>
  <si>
    <t>Queens Academy High School</t>
  </si>
  <si>
    <t>Queens High School For Language Studies</t>
  </si>
  <si>
    <t>Queens School Of Inquiry (The)</t>
  </si>
  <si>
    <t>Robert F Kennedy Community High School</t>
  </si>
  <si>
    <t>Townsend Harris High School</t>
  </si>
  <si>
    <t>World Journalism Preparatory:  A College Board School</t>
  </si>
  <si>
    <t>Fonda-Fultonville Senior High School</t>
  </si>
  <si>
    <t>Fonda</t>
  </si>
  <si>
    <t>Forest Hills High School</t>
  </si>
  <si>
    <t>Forest Hills</t>
  </si>
  <si>
    <t>Forestville Central High School</t>
  </si>
  <si>
    <t>Fort Ann Middle/High School</t>
  </si>
  <si>
    <t>Fort Ann</t>
  </si>
  <si>
    <t>Salmon River High School</t>
  </si>
  <si>
    <t>Fort Covington</t>
  </si>
  <si>
    <t>Fort Plain Junior-Senior High School</t>
  </si>
  <si>
    <t>Fort Plain</t>
  </si>
  <si>
    <t>Frankfort-Schuyler Central High School</t>
  </si>
  <si>
    <t>H Frank Carey High School</t>
  </si>
  <si>
    <t>Franklin Square</t>
  </si>
  <si>
    <t>Valley Stream North High School</t>
  </si>
  <si>
    <t>Franklinville Junior-Senior High School</t>
  </si>
  <si>
    <t>Francis Lewis High School</t>
  </si>
  <si>
    <t>Frewsburg Junior-Senior High School</t>
  </si>
  <si>
    <t>Frewsburg</t>
  </si>
  <si>
    <t>G Ray Bodley High School</t>
  </si>
  <si>
    <t>Letchworth Senior High School</t>
  </si>
  <si>
    <t>Galway Junior/Senior High School</t>
  </si>
  <si>
    <t>Galway</t>
  </si>
  <si>
    <t>Mineola High School</t>
  </si>
  <si>
    <t>Garden City Park</t>
  </si>
  <si>
    <t>Geneseo Middle School High School</t>
  </si>
  <si>
    <t>Germantown Junior-Senior High School</t>
  </si>
  <si>
    <t>Gilbertsville-Mount Upton Junior-Senior High School</t>
  </si>
  <si>
    <t>Gilbertsville</t>
  </si>
  <si>
    <t>Glen Cove High School</t>
  </si>
  <si>
    <t>Glen Cove</t>
  </si>
  <si>
    <t>North Shore Senior High School</t>
  </si>
  <si>
    <t>Glens Falls Senior High School</t>
  </si>
  <si>
    <t>Glens Falls</t>
  </si>
  <si>
    <t>Gloversville High School</t>
  </si>
  <si>
    <t>Gloversville</t>
  </si>
  <si>
    <t>Goshen Central High School</t>
  </si>
  <si>
    <t>Gouverneur High School</t>
  </si>
  <si>
    <t>Gouverneur</t>
  </si>
  <si>
    <t>Gowanda High School</t>
  </si>
  <si>
    <t>Gowanda</t>
  </si>
  <si>
    <t>Tri-Valley Secondary School</t>
  </si>
  <si>
    <t>Grahamsville</t>
  </si>
  <si>
    <t>Granville Junior-Senior High School</t>
  </si>
  <si>
    <t>Great Neck North High School</t>
  </si>
  <si>
    <t>Great Neck</t>
  </si>
  <si>
    <t>Great Neck South High School</t>
  </si>
  <si>
    <t>Greene High School</t>
  </si>
  <si>
    <t>Harborfields High School</t>
  </si>
  <si>
    <t>Greenlawn</t>
  </si>
  <si>
    <t>Greenport High School</t>
  </si>
  <si>
    <t>Greenport</t>
  </si>
  <si>
    <t>Greenwich Junior-Senior High School</t>
  </si>
  <si>
    <t>Groton Junior/Senior High School</t>
  </si>
  <si>
    <t>Guilderland High School</t>
  </si>
  <si>
    <t>Guilderland Center</t>
  </si>
  <si>
    <t>Frontier Senior High School</t>
  </si>
  <si>
    <t>Hamilton Junior-Senior High School</t>
  </si>
  <si>
    <t>Hammondsport Junior-Senior High School</t>
  </si>
  <si>
    <t>Hammondsport</t>
  </si>
  <si>
    <t>Hampton Bays High School</t>
  </si>
  <si>
    <t>Hampton Bays</t>
  </si>
  <si>
    <t>Hancock Junior-Senior High School</t>
  </si>
  <si>
    <t>Hannibal High School</t>
  </si>
  <si>
    <t>Harpursville Junior-Senior High School</t>
  </si>
  <si>
    <t>Harpursville</t>
  </si>
  <si>
    <t>Harrisville Junior-Senior High School</t>
  </si>
  <si>
    <t>Harrisville</t>
  </si>
  <si>
    <t>Hartford Middle/High School</t>
  </si>
  <si>
    <t>Woodlands Middle/High School</t>
  </si>
  <si>
    <t>Hastings On Hudson</t>
  </si>
  <si>
    <t>Hauppauge High School</t>
  </si>
  <si>
    <t>Hauppauge</t>
  </si>
  <si>
    <t>Rush-Henrietta Senior High School</t>
  </si>
  <si>
    <t>Henrietta</t>
  </si>
  <si>
    <t>Herkimer High School</t>
  </si>
  <si>
    <t>Herkimer</t>
  </si>
  <si>
    <t>Edwards-Knox Junior-Senior High School</t>
  </si>
  <si>
    <t>George W Hewlett High School</t>
  </si>
  <si>
    <t>Hewlett</t>
  </si>
  <si>
    <t>Hicksville High School</t>
  </si>
  <si>
    <t>Hicksville</t>
  </si>
  <si>
    <t>James I O'Neill High School</t>
  </si>
  <si>
    <t>Highland Falls</t>
  </si>
  <si>
    <t>Hilton High School</t>
  </si>
  <si>
    <t>Hilton</t>
  </si>
  <si>
    <t>Holland Patent Central High School</t>
  </si>
  <si>
    <t>Holland Patent</t>
  </si>
  <si>
    <t>Holley Junior Senior High School</t>
  </si>
  <si>
    <t>Holley</t>
  </si>
  <si>
    <t>Cambria Heights Academy</t>
  </si>
  <si>
    <t>Homer Senior High School</t>
  </si>
  <si>
    <t>Honeoye Middle/High School</t>
  </si>
  <si>
    <t>Honeoye</t>
  </si>
  <si>
    <t>Honeoye Falls-Lima Senior High School</t>
  </si>
  <si>
    <t>Honeoye Falls</t>
  </si>
  <si>
    <t>Hoosick Falls Junior/Senior High School</t>
  </si>
  <si>
    <t>Hoosick Falls</t>
  </si>
  <si>
    <t>John Jay Senior High School</t>
  </si>
  <si>
    <t>Hopewell Junction</t>
  </si>
  <si>
    <t>Hornell Junior-Senior High School</t>
  </si>
  <si>
    <t>Hornell</t>
  </si>
  <si>
    <t>Horseheads Senior High School</t>
  </si>
  <si>
    <t>Horseheads</t>
  </si>
  <si>
    <t>Hudson Falls High School</t>
  </si>
  <si>
    <t>Hudson Falls</t>
  </si>
  <si>
    <t>Franklin D Roosevelt Senior High School</t>
  </si>
  <si>
    <t>Central Valley Academy</t>
  </si>
  <si>
    <t>Ilion</t>
  </si>
  <si>
    <t>Islip High School</t>
  </si>
  <si>
    <t>Islip</t>
  </si>
  <si>
    <t>East Islip High School</t>
  </si>
  <si>
    <t>Islip Terrace</t>
  </si>
  <si>
    <t>Ithaca Senior High School</t>
  </si>
  <si>
    <t>New Roots Charter School</t>
  </si>
  <si>
    <t>August Martin High School</t>
  </si>
  <si>
    <t>Eagle Academy For Young Men Iii</t>
  </si>
  <si>
    <t>High School For Community Leadership</t>
  </si>
  <si>
    <t>Hillside Arts &amp; Letters Academy</t>
  </si>
  <si>
    <t>High School For Law Enforcement And Public Safety</t>
  </si>
  <si>
    <t>Jamaica Gateway To The Sciences</t>
  </si>
  <si>
    <t>New Visions Chtr High School-Adv Ma/Sci Iv</t>
  </si>
  <si>
    <t>Queens Collegiate - A College Board School</t>
  </si>
  <si>
    <t>Queens Gateway To Health Sciences Secondary School</t>
  </si>
  <si>
    <t>Queens High School For The Sciences At York College</t>
  </si>
  <si>
    <t>Queens Satellite High School For Opportunity</t>
  </si>
  <si>
    <t>Voyages Prep-South Queens</t>
  </si>
  <si>
    <t>York Early College Academy</t>
  </si>
  <si>
    <t>Young Women'S Leadership School-Queens</t>
  </si>
  <si>
    <t>Jamestown High School</t>
  </si>
  <si>
    <t>Southwestern Senior High School</t>
  </si>
  <si>
    <t>Jasper-Troupsburg Junior-Senior High School</t>
  </si>
  <si>
    <t>Jericho Senior High School</t>
  </si>
  <si>
    <t>Jericho</t>
  </si>
  <si>
    <t>Johnson City Senior High School</t>
  </si>
  <si>
    <t>Johnstown Senior High School</t>
  </si>
  <si>
    <t>Jordan-Elbridge High School</t>
  </si>
  <si>
    <t>John Jay High School</t>
  </si>
  <si>
    <t>Kendall Junior-Senior High School</t>
  </si>
  <si>
    <t>Kendall</t>
  </si>
  <si>
    <t>Kings Park High School</t>
  </si>
  <si>
    <t>Kings Park</t>
  </si>
  <si>
    <t>Lackawanna High School</t>
  </si>
  <si>
    <t>Lackawanna</t>
  </si>
  <si>
    <t>La Fayette Junior-Senior High School</t>
  </si>
  <si>
    <t>Lagrangeville</t>
  </si>
  <si>
    <t>Lake George Junior-Senior High School</t>
  </si>
  <si>
    <t>Lake George</t>
  </si>
  <si>
    <t>Sullivan West High School At Lake Huntington</t>
  </si>
  <si>
    <t>Lake Huntington</t>
  </si>
  <si>
    <t>Hadley-Luzerne Junior-Senior High School</t>
  </si>
  <si>
    <t>Lake Luzerne</t>
  </si>
  <si>
    <t>Lake Placid Junior-Senior High School</t>
  </si>
  <si>
    <t>Sachem High School North</t>
  </si>
  <si>
    <t>Lake Ronkonkoma</t>
  </si>
  <si>
    <t>Lansing High School</t>
  </si>
  <si>
    <t>Shaker High School</t>
  </si>
  <si>
    <t>Latham</t>
  </si>
  <si>
    <t>Le Roy Junior-Senior High School</t>
  </si>
  <si>
    <t>Division Avenue Senior High School</t>
  </si>
  <si>
    <t>Levittown</t>
  </si>
  <si>
    <t>Gen Douglas Macarthur Senior High School</t>
  </si>
  <si>
    <t>Island Trees High School</t>
  </si>
  <si>
    <t>Somers Senior High School</t>
  </si>
  <si>
    <t>Lincolndale</t>
  </si>
  <si>
    <t>Lindenhurst Senior High School</t>
  </si>
  <si>
    <t>Lindenhurst</t>
  </si>
  <si>
    <t>Little Falls High School</t>
  </si>
  <si>
    <t>Liverpool High School</t>
  </si>
  <si>
    <t>Liverpool</t>
  </si>
  <si>
    <t>Livingston Manor High School</t>
  </si>
  <si>
    <t>Livingston Manor</t>
  </si>
  <si>
    <t>Livonia Senior High School</t>
  </si>
  <si>
    <t>Lockport High School</t>
  </si>
  <si>
    <t>Starpoint High School</t>
  </si>
  <si>
    <t>Locust Valley High School</t>
  </si>
  <si>
    <t>Long Beach High School</t>
  </si>
  <si>
    <t>Academy Of American Studies</t>
  </si>
  <si>
    <t>Long Island City</t>
  </si>
  <si>
    <t>Academy Of Finance And Enterprise</t>
  </si>
  <si>
    <t>Baccalaureate School For Global Education</t>
  </si>
  <si>
    <t>Bard High School Early College Queens</t>
  </si>
  <si>
    <t>Frank Sinatra School Of The Arts High School</t>
  </si>
  <si>
    <t>High School Of Applied Communications</t>
  </si>
  <si>
    <t>Information Technology High School</t>
  </si>
  <si>
    <t>International High School At Laguardia Community College</t>
  </si>
  <si>
    <t>Long Island City High School</t>
  </si>
  <si>
    <t>Middle College High School At Laguardia Community College</t>
  </si>
  <si>
    <t>Newcomers High School</t>
  </si>
  <si>
    <t>Robert F Wagner Jr Secondary School For Arts And Technology</t>
  </si>
  <si>
    <t>William Cullen Bryant High School</t>
  </si>
  <si>
    <t>Young Womens Leadership School - Astoria</t>
  </si>
  <si>
    <t>Lowville High School</t>
  </si>
  <si>
    <t>Lynbrook Senior High School</t>
  </si>
  <si>
    <t>Lynbrook</t>
  </si>
  <si>
    <t>L A Webber Middle-High School</t>
  </si>
  <si>
    <t>Lyndonville</t>
  </si>
  <si>
    <t>Lyons Senior High School</t>
  </si>
  <si>
    <t>Madrid-Waddington Junior-Senior High School</t>
  </si>
  <si>
    <t>Mahopac High School</t>
  </si>
  <si>
    <t>Mahopac</t>
  </si>
  <si>
    <t>Franklin Academy High School</t>
  </si>
  <si>
    <t>Malone</t>
  </si>
  <si>
    <t>Malverne Senior High School</t>
  </si>
  <si>
    <t>Malverne</t>
  </si>
  <si>
    <t>Mamaroneck High School</t>
  </si>
  <si>
    <t>Mamaroneck</t>
  </si>
  <si>
    <t>Rye Neck Senior High School</t>
  </si>
  <si>
    <t>Manhasset Secondary School</t>
  </si>
  <si>
    <t>Manhasset</t>
  </si>
  <si>
    <t>Fayetteville-Manlius Senior High School</t>
  </si>
  <si>
    <t>Eastport-South Manor Junior Senior High School</t>
  </si>
  <si>
    <t>Manorville</t>
  </si>
  <si>
    <t>Marathon High School</t>
  </si>
  <si>
    <t>Whitesboro High School</t>
  </si>
  <si>
    <t>Marcy</t>
  </si>
  <si>
    <t>Marion Junior-Senior High School</t>
  </si>
  <si>
    <t>Marlboro Central High School</t>
  </si>
  <si>
    <t>Massapequa High School</t>
  </si>
  <si>
    <t>Massapequa</t>
  </si>
  <si>
    <t>Plainedge Senior High School</t>
  </si>
  <si>
    <t>Massena Senior High School</t>
  </si>
  <si>
    <t>Massena</t>
  </si>
  <si>
    <t>William Floyd High School</t>
  </si>
  <si>
    <t>Mastic Beach</t>
  </si>
  <si>
    <t>Mattituck Junior-Senior High School</t>
  </si>
  <si>
    <t>Mattituck</t>
  </si>
  <si>
    <t>Mayfield Jr/Sr High School</t>
  </si>
  <si>
    <t>Chautauqua Lake Secondary School</t>
  </si>
  <si>
    <t>Mcgraw Secondary School</t>
  </si>
  <si>
    <t>Mcgraw</t>
  </si>
  <si>
    <t>Mechanicville Junior/Senior High School</t>
  </si>
  <si>
    <t>Patchogue-Medford High School</t>
  </si>
  <si>
    <t>Medina High School</t>
  </si>
  <si>
    <t>Sanford H Calhoun High School</t>
  </si>
  <si>
    <t>Merrick</t>
  </si>
  <si>
    <t>Longwood High School</t>
  </si>
  <si>
    <t>Middle Island</t>
  </si>
  <si>
    <t>Middleburgh Junior/Senior High School</t>
  </si>
  <si>
    <t>Middleburgh</t>
  </si>
  <si>
    <t>Royalton-Hartland High School</t>
  </si>
  <si>
    <t>Middleport</t>
  </si>
  <si>
    <t>Millbrook High School</t>
  </si>
  <si>
    <t>Miller Place High School</t>
  </si>
  <si>
    <t>Miller Place</t>
  </si>
  <si>
    <t>Valley Central High School</t>
  </si>
  <si>
    <t>Hendrick Hudson High School</t>
  </si>
  <si>
    <t>Moravia Junior-Senior High School</t>
  </si>
  <si>
    <t>Morrisville Middle School High School</t>
  </si>
  <si>
    <t>Mount Morris Middle/Senior High School</t>
  </si>
  <si>
    <t>Mount Sinai High School</t>
  </si>
  <si>
    <t>Mount Sinai</t>
  </si>
  <si>
    <t>Nellie Thornton School Of Performing Arts</t>
  </si>
  <si>
    <t>Nanuet Senior High School</t>
  </si>
  <si>
    <t>Nanuet</t>
  </si>
  <si>
    <t>Onondaga Senior High School</t>
  </si>
  <si>
    <t>Nedrow</t>
  </si>
  <si>
    <t>Clarkstown North Senior High School</t>
  </si>
  <si>
    <t>New City</t>
  </si>
  <si>
    <t>New Hartford Senior High School</t>
  </si>
  <si>
    <t>New Hartford</t>
  </si>
  <si>
    <t>Herricks High School</t>
  </si>
  <si>
    <t>New Hyde Park</t>
  </si>
  <si>
    <t>New Hyde Park Memorial High School</t>
  </si>
  <si>
    <t>New Lebanon Junior-Senior High School</t>
  </si>
  <si>
    <t>New Paltz Senior High School</t>
  </si>
  <si>
    <t>New Paltz</t>
  </si>
  <si>
    <t>New Rochelle High School</t>
  </si>
  <si>
    <t>Cornwall Central High School</t>
  </si>
  <si>
    <t>New Windsor</t>
  </si>
  <si>
    <t>A Philip Randolph Campus High School</t>
  </si>
  <si>
    <t>Baruch College Campus High School</t>
  </si>
  <si>
    <t>Broome Street Academy Charter High School</t>
  </si>
  <si>
    <t>Cascades High School</t>
  </si>
  <si>
    <t>Central Park East High School</t>
  </si>
  <si>
    <t>City College Academy Of The Arts</t>
  </si>
  <si>
    <t>Clinton School (The)</t>
  </si>
  <si>
    <t>College Academy (The)</t>
  </si>
  <si>
    <t>Columbia Secondary School</t>
  </si>
  <si>
    <t>Community Health Academy Of The Heights</t>
  </si>
  <si>
    <t>Democracy Prep Endurance Charter School</t>
  </si>
  <si>
    <t>Democracy Preparatory Charter School</t>
  </si>
  <si>
    <t>East Side Community School</t>
  </si>
  <si>
    <t>Edward A Reynolds West Side High School</t>
  </si>
  <si>
    <t>Emma Lazarus High School</t>
  </si>
  <si>
    <t>Esperanza Preparatory Academy</t>
  </si>
  <si>
    <t>Essex Street Academy</t>
  </si>
  <si>
    <t>Facing History School (The)</t>
  </si>
  <si>
    <t>Fiorello H Laguardia High School</t>
  </si>
  <si>
    <t>Forsythe Satellite Academy</t>
  </si>
  <si>
    <t>Frank Mccourt High School</t>
  </si>
  <si>
    <t>Frederick Douglass Academy</t>
  </si>
  <si>
    <t>Frederick Douglass Academy Ii Secondary School</t>
  </si>
  <si>
    <t>Global Learning Collaborative (The)</t>
  </si>
  <si>
    <t>Gramercy Arts High School</t>
  </si>
  <si>
    <t>Gregorio Luperon High School For Science And Mathematics</t>
  </si>
  <si>
    <t>Harlem Renaissance High School</t>
  </si>
  <si>
    <t>Harvest Collegiate High School</t>
  </si>
  <si>
    <t>Harvey Milk High School</t>
  </si>
  <si>
    <t>Heritage School (The)</t>
  </si>
  <si>
    <t>High School 560 City-As-School</t>
  </si>
  <si>
    <t>High School For Dual Language And Asian Studies</t>
  </si>
  <si>
    <t>High School For Environmental Studies</t>
  </si>
  <si>
    <t>High School For Excellence And Innovation</t>
  </si>
  <si>
    <t>High School For Health Careers &amp; Sciences</t>
  </si>
  <si>
    <t>High School For Health Professions &amp; Human Services</t>
  </si>
  <si>
    <t>High School For Language And Diplomacy (The)</t>
  </si>
  <si>
    <t>High School For Law &amp; Public Service</t>
  </si>
  <si>
    <t>High School For Law Advocacy And Community Justice</t>
  </si>
  <si>
    <t>High School For Media &amp; Communications</t>
  </si>
  <si>
    <t>High School Mathematics Science And Engineering At Ccny</t>
  </si>
  <si>
    <t>High School Of Arts And Technology</t>
  </si>
  <si>
    <t>High School Of Economics &amp; Finance</t>
  </si>
  <si>
    <t>High School Of Hospitality Management</t>
  </si>
  <si>
    <t>Hudson High School Of Learning Technologies</t>
  </si>
  <si>
    <t>Humanities Preparatory Academy</t>
  </si>
  <si>
    <t>Innovation Diploma Plus</t>
  </si>
  <si>
    <t>Institute For Collaborative Education</t>
  </si>
  <si>
    <t>International High School At Union Square</t>
  </si>
  <si>
    <t>Inwood Academy For Leadership Charter School</t>
  </si>
  <si>
    <t>Jacqueline Kennedy-Onassis High School</t>
  </si>
  <si>
    <t>James Baldwin School-A School For Expeditionary Lrning</t>
  </si>
  <si>
    <t>Judith S Kaye High School</t>
  </si>
  <si>
    <t>Landmark High School</t>
  </si>
  <si>
    <t>Leadership &amp; Public Service High School</t>
  </si>
  <si>
    <t>Liberty High School Academy For Newcomers</t>
  </si>
  <si>
    <t>Life Sciences Secondary School</t>
  </si>
  <si>
    <t>Lower East Side Preparatory High School</t>
  </si>
  <si>
    <t>Lower Manhattan Arts Academy</t>
  </si>
  <si>
    <t>Manhattan Academy For Arts And Languages</t>
  </si>
  <si>
    <t>Manhattan Bridges High School</t>
  </si>
  <si>
    <t>Manhattan Business Academy</t>
  </si>
  <si>
    <t>Manhattan Center For Science &amp; Mathematics</t>
  </si>
  <si>
    <t>Manhattan Comprehensive Night And Day High School</t>
  </si>
  <si>
    <t>Manhattan International High School</t>
  </si>
  <si>
    <t>Manhattan Village Academy</t>
  </si>
  <si>
    <t>Manhattan/Hunter Science High School</t>
  </si>
  <si>
    <t>Marta Valle High School</t>
  </si>
  <si>
    <t>Maxine Greene High School For Imaginative Inquiry (The)</t>
  </si>
  <si>
    <t>Mott Hall High School</t>
  </si>
  <si>
    <t>Murray Hill Academy</t>
  </si>
  <si>
    <t>Murry Bergtraum High School For Business Careers</t>
  </si>
  <si>
    <t>New Design High School</t>
  </si>
  <si>
    <t>New Heights Academy Charter School</t>
  </si>
  <si>
    <t>New Visions Charter High School For The Humanities Iii</t>
  </si>
  <si>
    <t>Nyc Ischool</t>
  </si>
  <si>
    <t>Nyc Lab High School For Collaborative Studies</t>
  </si>
  <si>
    <t>Nyc Museum School</t>
  </si>
  <si>
    <t>Opportunity Charter School</t>
  </si>
  <si>
    <t>Orchard Collegiate Academy</t>
  </si>
  <si>
    <t>Park East High School</t>
  </si>
  <si>
    <t>Professional Performing Arts High School</t>
  </si>
  <si>
    <t>Quest To Learn</t>
  </si>
  <si>
    <t>Renaissance Charter High School For Innovation</t>
  </si>
  <si>
    <t>Repertory Company High School For Theatre Arts</t>
  </si>
  <si>
    <t>Richard R Green High School Of Teaching</t>
  </si>
  <si>
    <t>School Of The Future High School</t>
  </si>
  <si>
    <t>Stuyvesant High School</t>
  </si>
  <si>
    <t>Talent Unlimited High School</t>
  </si>
  <si>
    <t>Thurgood Marshall Academy For Learning &amp; Social Change</t>
  </si>
  <si>
    <t>Unity Center For Urban Technologies</t>
  </si>
  <si>
    <t>University Neighborhood High School</t>
  </si>
  <si>
    <t>Urban Academy Laboratory High School</t>
  </si>
  <si>
    <t>Urban Assembly Academy Of Government And Law</t>
  </si>
  <si>
    <t>Urban Assembly School For Media Studies</t>
  </si>
  <si>
    <t>Urban Assembly School For The Performing Arts</t>
  </si>
  <si>
    <t>Urban Assembly School Of Business For Young Women</t>
  </si>
  <si>
    <t>Urban Assembly School Of Design And Construction</t>
  </si>
  <si>
    <t>Wadleigh Perf And Visual Arts</t>
  </si>
  <si>
    <t>Young Women'S Leadership School</t>
  </si>
  <si>
    <t>New York Mills Junior-Senior High School</t>
  </si>
  <si>
    <t>Newark Senior High School</t>
  </si>
  <si>
    <t>Newark Valley Senior High School</t>
  </si>
  <si>
    <t>Newark Valley</t>
  </si>
  <si>
    <t>Newburgh Free Academy</t>
  </si>
  <si>
    <t>Newfane Senior High School</t>
  </si>
  <si>
    <t>Newfane</t>
  </si>
  <si>
    <t>Newfield Senior High School</t>
  </si>
  <si>
    <t>West Canada Valley Junior-Senior High School</t>
  </si>
  <si>
    <t>Niagara Falls High School</t>
  </si>
  <si>
    <t>Niagara Falls</t>
  </si>
  <si>
    <t>North Babylon High School</t>
  </si>
  <si>
    <t>North Babylon</t>
  </si>
  <si>
    <t>North Collins Junior-Senior High School</t>
  </si>
  <si>
    <t>North Collins</t>
  </si>
  <si>
    <t>North Salem Middle School/High School</t>
  </si>
  <si>
    <t>North Salem</t>
  </si>
  <si>
    <t>North Tonawanda High School</t>
  </si>
  <si>
    <t>North Tonawanda</t>
  </si>
  <si>
    <t>Northport Senior High School</t>
  </si>
  <si>
    <t>Norwood-Norfolk School</t>
  </si>
  <si>
    <t>Dalton-Nunda Secondary School</t>
  </si>
  <si>
    <t>Nunda</t>
  </si>
  <si>
    <t>Nyack Senior High School</t>
  </si>
  <si>
    <t>Nyack</t>
  </si>
  <si>
    <t>Oakfield-Alabama Middle School High School</t>
  </si>
  <si>
    <t>Oakfield</t>
  </si>
  <si>
    <t>Castleton Academy High School Of Oceanside</t>
  </si>
  <si>
    <t>School 7-Oceanside Senior High School</t>
  </si>
  <si>
    <t>Odessa-Montour Junior/Senior High School</t>
  </si>
  <si>
    <t>Ogdensburg Free Academy</t>
  </si>
  <si>
    <t>Ogdensburg</t>
  </si>
  <si>
    <t>Westbury High School</t>
  </si>
  <si>
    <t>Old Westbury</t>
  </si>
  <si>
    <t>Wheatley School</t>
  </si>
  <si>
    <t>Olean Senior High School</t>
  </si>
  <si>
    <t>Olean</t>
  </si>
  <si>
    <t>Oneida Senior High School</t>
  </si>
  <si>
    <t>Oneonta Senior High School</t>
  </si>
  <si>
    <t>Wayne Senior High School</t>
  </si>
  <si>
    <t>Ontario Center</t>
  </si>
  <si>
    <t>Tappan Zee High School</t>
  </si>
  <si>
    <t>Orangeburg</t>
  </si>
  <si>
    <t>Orchard Park High School</t>
  </si>
  <si>
    <t>Orchard Park</t>
  </si>
  <si>
    <t>Oriskany Junior-Senior High School</t>
  </si>
  <si>
    <t>Oriskany</t>
  </si>
  <si>
    <t>Ossining High School</t>
  </si>
  <si>
    <t>Ossining</t>
  </si>
  <si>
    <t>Unatego Junior-Senior High School</t>
  </si>
  <si>
    <t>Otego</t>
  </si>
  <si>
    <t>South Seneca Middle/High School</t>
  </si>
  <si>
    <t>Owego Free Academy</t>
  </si>
  <si>
    <t>Owego</t>
  </si>
  <si>
    <t>Oxford Academy High School</t>
  </si>
  <si>
    <t>Oyster Bay High School</t>
  </si>
  <si>
    <t>Oyster Bay</t>
  </si>
  <si>
    <t>John Adams High School</t>
  </si>
  <si>
    <t>Ozone Park</t>
  </si>
  <si>
    <t>Robert H Goddard High School-Comm/Tech</t>
  </si>
  <si>
    <t>Palmyra-Macedon Senior High School</t>
  </si>
  <si>
    <t>Panama High School</t>
  </si>
  <si>
    <t>Panama</t>
  </si>
  <si>
    <t>Altmar-Parish-Williamstown Jr/Sr High School</t>
  </si>
  <si>
    <t>Parish</t>
  </si>
  <si>
    <t>Parishville-Hopkinton Junior-Senior High School</t>
  </si>
  <si>
    <t>Parishville</t>
  </si>
  <si>
    <t>Pavilion Junior-Senior High School</t>
  </si>
  <si>
    <t>Pavilion</t>
  </si>
  <si>
    <t>Pawling High School</t>
  </si>
  <si>
    <t>Pawling</t>
  </si>
  <si>
    <t>Peekskill High School</t>
  </si>
  <si>
    <t>Peekskill</t>
  </si>
  <si>
    <t>Pelham Memorial High School</t>
  </si>
  <si>
    <t>Penfield Senior High School</t>
  </si>
  <si>
    <t>Penn Yan Academy</t>
  </si>
  <si>
    <t>Penn Yan</t>
  </si>
  <si>
    <t>Perry Junior-Senior High School</t>
  </si>
  <si>
    <t>Peru Jr/Sr High School</t>
  </si>
  <si>
    <t>John C Birdlebough High School</t>
  </si>
  <si>
    <t>Pine Bush Senior High School</t>
  </si>
  <si>
    <t>Pine Bush</t>
  </si>
  <si>
    <t>Stissing Mountain Junior/Senior High School</t>
  </si>
  <si>
    <t>Pine Plains</t>
  </si>
  <si>
    <t>Pittsford Sutherland High School</t>
  </si>
  <si>
    <t>Pittsford-Mendon High School</t>
  </si>
  <si>
    <t>Plainview-Old Bethpage/Jfk High School</t>
  </si>
  <si>
    <t>Plattsburgh Senior High School</t>
  </si>
  <si>
    <t>Plattsburgh</t>
  </si>
  <si>
    <t>Poland Junior-Senior High School</t>
  </si>
  <si>
    <t>Port Byron Senior High School</t>
  </si>
  <si>
    <t>Port Chester Senior High School</t>
  </si>
  <si>
    <t>Port Chester</t>
  </si>
  <si>
    <t>Moriah Junior-Senior High School</t>
  </si>
  <si>
    <t>Port Henry</t>
  </si>
  <si>
    <t>Earl L Vandermeulen High School</t>
  </si>
  <si>
    <t>Port Jefferson</t>
  </si>
  <si>
    <t>Comsewogue High School</t>
  </si>
  <si>
    <t>Port Jefferson Station</t>
  </si>
  <si>
    <t>Port Jervis Senior High School</t>
  </si>
  <si>
    <t>Port Jervis</t>
  </si>
  <si>
    <t>Paul D Schreiber Senior High School</t>
  </si>
  <si>
    <t>Port Washington</t>
  </si>
  <si>
    <t>Portville Junior-Senior High School</t>
  </si>
  <si>
    <t>Portville</t>
  </si>
  <si>
    <t>Potsdam Senior High School</t>
  </si>
  <si>
    <t>Potsdam</t>
  </si>
  <si>
    <t>Poughkeepsie High School</t>
  </si>
  <si>
    <t>Spackenkill High School</t>
  </si>
  <si>
    <t>Pulaski High School</t>
  </si>
  <si>
    <t>Pulaski</t>
  </si>
  <si>
    <t>Putnam Valley High School</t>
  </si>
  <si>
    <t>Putnam Valley</t>
  </si>
  <si>
    <t>Martin Van Buren High School</t>
  </si>
  <si>
    <t>Queens Village</t>
  </si>
  <si>
    <t>Queensbury Senior High School</t>
  </si>
  <si>
    <t>Queensbury</t>
  </si>
  <si>
    <t>Randolph Senior High School</t>
  </si>
  <si>
    <t>Ravena-Coeymans-Selkirk Senior High School</t>
  </si>
  <si>
    <t>Ravena</t>
  </si>
  <si>
    <t>Red Creek High School</t>
  </si>
  <si>
    <t>Red Creek</t>
  </si>
  <si>
    <t>Red Hook Senior High School</t>
  </si>
  <si>
    <t>Red Hook</t>
  </si>
  <si>
    <t>Metropolitan Expeditionary Learning School</t>
  </si>
  <si>
    <t>Rego Park</t>
  </si>
  <si>
    <t>Queens Metropolitan High School</t>
  </si>
  <si>
    <t>Remsen Junior-Senior High School</t>
  </si>
  <si>
    <t>Rensselaer Junior/Senior High School</t>
  </si>
  <si>
    <t>York Middle/High School</t>
  </si>
  <si>
    <t>Retsof</t>
  </si>
  <si>
    <t>Rhinebeck Senior High School</t>
  </si>
  <si>
    <t>Rhinebeck</t>
  </si>
  <si>
    <t>Richfield Springs Junior/Senior High School</t>
  </si>
  <si>
    <t>Richfield Springs</t>
  </si>
  <si>
    <t>Epic High School - North</t>
  </si>
  <si>
    <t>Grover Cleveland High School</t>
  </si>
  <si>
    <t>Riverhead Senior High School</t>
  </si>
  <si>
    <t>Athena High School</t>
  </si>
  <si>
    <t>East Upper High School</t>
  </si>
  <si>
    <t>Eastridge Senior High School</t>
  </si>
  <si>
    <t>Edison Career And Technology High School</t>
  </si>
  <si>
    <t>Gates-Chili High School</t>
  </si>
  <si>
    <t>Integrated Arts And Technology High School</t>
  </si>
  <si>
    <t>Irondequoit High School</t>
  </si>
  <si>
    <t>Joseph C Wilson Magnet High School</t>
  </si>
  <si>
    <t>Leadership Academy For Young Men</t>
  </si>
  <si>
    <t>Northeast College Preparatory High School</t>
  </si>
  <si>
    <t>Odyssey Academy</t>
  </si>
  <si>
    <t>Rochester Early College International High School</t>
  </si>
  <si>
    <t>School Of The Arts</t>
  </si>
  <si>
    <t>School Without Walls</t>
  </si>
  <si>
    <t>University Preparatory Charter School For Young Men</t>
  </si>
  <si>
    <t>Vanguard Collegiate High School</t>
  </si>
  <si>
    <t>Vertus Charter School</t>
  </si>
  <si>
    <t>Young Women'S College Prep Charter School Of Rochester</t>
  </si>
  <si>
    <t>Channel View School For Research</t>
  </si>
  <si>
    <t>Rockaway Park</t>
  </si>
  <si>
    <t>Rockaway Collegiate High School</t>
  </si>
  <si>
    <t>Rockaway Park High School For Environmental Sustainability</t>
  </si>
  <si>
    <t>Scholars' Academy</t>
  </si>
  <si>
    <t>Rockville Centre</t>
  </si>
  <si>
    <t>Rocky Point High School</t>
  </si>
  <si>
    <t>Rocky Point</t>
  </si>
  <si>
    <t>Rome Free Academy</t>
  </si>
  <si>
    <t>Roosevelt</t>
  </si>
  <si>
    <t>Roslyn High School</t>
  </si>
  <si>
    <t>Roslyn Heights</t>
  </si>
  <si>
    <t>Marcus Whitman High School</t>
  </si>
  <si>
    <t>Blind Brook High School</t>
  </si>
  <si>
    <t>Rye Brook</t>
  </si>
  <si>
    <t>Pierson Middle/High School</t>
  </si>
  <si>
    <t>Sag Harbor</t>
  </si>
  <si>
    <t>Pathways College Preparatory School:  A College Board School</t>
  </si>
  <si>
    <t>Saint Albans</t>
  </si>
  <si>
    <t>Smithtown High School East</t>
  </si>
  <si>
    <t>Salamanca High School</t>
  </si>
  <si>
    <t>Salamanca</t>
  </si>
  <si>
    <t>Niagara-Wheatfield Senior High School</t>
  </si>
  <si>
    <t>Sanborn</t>
  </si>
  <si>
    <t>Sandy Creek</t>
  </si>
  <si>
    <t>Saranac High School</t>
  </si>
  <si>
    <t>Saranac Lake Senior High School</t>
  </si>
  <si>
    <t>Saranac Lake</t>
  </si>
  <si>
    <t>Saratoga Springs High School</t>
  </si>
  <si>
    <t>Saratoga Springs</t>
  </si>
  <si>
    <t>Saugerties Senior High School</t>
  </si>
  <si>
    <t>Saugerties</t>
  </si>
  <si>
    <t>Sauquoit Valley High School</t>
  </si>
  <si>
    <t>Sauquoit</t>
  </si>
  <si>
    <t>Edgemont Junior-Senior High School</t>
  </si>
  <si>
    <t>Scarsdale</t>
  </si>
  <si>
    <t>Scarsdale Senior High School</t>
  </si>
  <si>
    <t>Hoosic Valley Junior Senior High School</t>
  </si>
  <si>
    <t>Schaghticoke</t>
  </si>
  <si>
    <t>Mohonasen Senior High School</t>
  </si>
  <si>
    <t>Schenectady</t>
  </si>
  <si>
    <t>Niskayuna High School</t>
  </si>
  <si>
    <t>Schalmont High School</t>
  </si>
  <si>
    <t>Schenectady High School</t>
  </si>
  <si>
    <t>Schoharie High School</t>
  </si>
  <si>
    <t>Schoharie</t>
  </si>
  <si>
    <t>Schuylerville High School</t>
  </si>
  <si>
    <t>Schuylerville</t>
  </si>
  <si>
    <t>Scotia-Glenville Senior High School</t>
  </si>
  <si>
    <t>Wheatland-Chili High School</t>
  </si>
  <si>
    <t>Newfield High School</t>
  </si>
  <si>
    <t>Selden</t>
  </si>
  <si>
    <t>Mynderse Academy</t>
  </si>
  <si>
    <t>Seneca Falls</t>
  </si>
  <si>
    <t>Sherburne-Earlville Senior High School</t>
  </si>
  <si>
    <t>Sherburne</t>
  </si>
  <si>
    <t>Sherman High School</t>
  </si>
  <si>
    <t>Sherman</t>
  </si>
  <si>
    <t>Shoreham-Wading River High School</t>
  </si>
  <si>
    <t>Shoreham</t>
  </si>
  <si>
    <t>Red Jacket High School</t>
  </si>
  <si>
    <t>Shortsville</t>
  </si>
  <si>
    <t>Shrub Oak</t>
  </si>
  <si>
    <t>Silver Creek</t>
  </si>
  <si>
    <t>Cassadaga Valley Middle/High School</t>
  </si>
  <si>
    <t>Sinclairville</t>
  </si>
  <si>
    <t>Skaneateles Senior High School</t>
  </si>
  <si>
    <t>Skaneateles</t>
  </si>
  <si>
    <t>Minisink Valley High School</t>
  </si>
  <si>
    <t>Slate Hill</t>
  </si>
  <si>
    <t>Sleepy Hollow High School</t>
  </si>
  <si>
    <t>Sleepy Hollow</t>
  </si>
  <si>
    <t>Smithtown High School-West</t>
  </si>
  <si>
    <t>Smithtown</t>
  </si>
  <si>
    <t>Sodus Jr/Sr High School</t>
  </si>
  <si>
    <t>Sodus</t>
  </si>
  <si>
    <t>Solvay High School</t>
  </si>
  <si>
    <t>Solvay</t>
  </si>
  <si>
    <t>Pine Valley Central Junior-Senior High School</t>
  </si>
  <si>
    <t>South Dayton</t>
  </si>
  <si>
    <t>South Glens Falls Senior High School</t>
  </si>
  <si>
    <t>South Glens Falls</t>
  </si>
  <si>
    <t>Epic High School-South</t>
  </si>
  <si>
    <t>South Ozone Park</t>
  </si>
  <si>
    <t>Southampton High School</t>
  </si>
  <si>
    <t>Southampton</t>
  </si>
  <si>
    <t>Southold Junior-Senior High School</t>
  </si>
  <si>
    <t>Southold</t>
  </si>
  <si>
    <t>Spencer-Van Etten High School</t>
  </si>
  <si>
    <t>Spencerport High School</t>
  </si>
  <si>
    <t>Spencerport</t>
  </si>
  <si>
    <t>Excelsior Preparatorty High School</t>
  </si>
  <si>
    <t>Springfield Gardens</t>
  </si>
  <si>
    <t>George Washington Carver High School For The Sciences</t>
  </si>
  <si>
    <t>Preparatory Academy For Writers:  A College Board School</t>
  </si>
  <si>
    <t>Queens Preparatory Academy</t>
  </si>
  <si>
    <t>Griffith Institute High School</t>
  </si>
  <si>
    <t>Oppenheim-Ephratah-St Johnsville Junior/Senior High School</t>
  </si>
  <si>
    <t>St Johnsville</t>
  </si>
  <si>
    <t>Clifton-Fine Junior-Senior High School</t>
  </si>
  <si>
    <t>Star Lake</t>
  </si>
  <si>
    <t>Csi High School For International Studies</t>
  </si>
  <si>
    <t>Curtis High School</t>
  </si>
  <si>
    <t>Gaynor Mccown Expeditionary Learning School</t>
  </si>
  <si>
    <t>New Dorp High School</t>
  </si>
  <si>
    <t>New Ventures Charter School</t>
  </si>
  <si>
    <t>Port Richmond High School</t>
  </si>
  <si>
    <t>Staten Island Technical High School</t>
  </si>
  <si>
    <t>Susan E Wagner High School</t>
  </si>
  <si>
    <t>Tottenville High School</t>
  </si>
  <si>
    <t>Stillwater Middle School High School</t>
  </si>
  <si>
    <t>Suffern Senior High School</t>
  </si>
  <si>
    <t>Syosset Senior High School</t>
  </si>
  <si>
    <t>Henninger High School</t>
  </si>
  <si>
    <t>Institute Of Technology At Syracuse Central</t>
  </si>
  <si>
    <t>Nottingham High School</t>
  </si>
  <si>
    <t>Public Service Leadership Academy At Fowler</t>
  </si>
  <si>
    <t>Hunter-Tannersville Middle School High School</t>
  </si>
  <si>
    <t>Tannersville</t>
  </si>
  <si>
    <t>North Rockland High School</t>
  </si>
  <si>
    <t>Thiells</t>
  </si>
  <si>
    <t>Thornwood</t>
  </si>
  <si>
    <t>Ticonderoga Senior High School</t>
  </si>
  <si>
    <t>Ticonderoga</t>
  </si>
  <si>
    <t>Tioga Senior High School</t>
  </si>
  <si>
    <t>Tioga Center</t>
  </si>
  <si>
    <t>Kenmore East Senior High School</t>
  </si>
  <si>
    <t>Tonawanda</t>
  </si>
  <si>
    <t>Tonawanda Middle/High School</t>
  </si>
  <si>
    <t>Lansingburgh Senior High School</t>
  </si>
  <si>
    <t>Tamarac Middle School High School</t>
  </si>
  <si>
    <t>Charles O Dickerson High School</t>
  </si>
  <si>
    <t>Trumansburg</t>
  </si>
  <si>
    <t>Tully Junior-Senior High School</t>
  </si>
  <si>
    <t>Tully</t>
  </si>
  <si>
    <t>Tupper Lake Middle-High School</t>
  </si>
  <si>
    <t>Tupper Lake</t>
  </si>
  <si>
    <t>South Lewis High School</t>
  </si>
  <si>
    <t>Turin</t>
  </si>
  <si>
    <t>George F Baker High School</t>
  </si>
  <si>
    <t>Tuxedo Park</t>
  </si>
  <si>
    <t>Union Springs High School</t>
  </si>
  <si>
    <t>Uniondale High School</t>
  </si>
  <si>
    <t>Thomas R Proctor High School</t>
  </si>
  <si>
    <t>Ichabod Crane Senior High School</t>
  </si>
  <si>
    <t>Valatie</t>
  </si>
  <si>
    <t>Valhalla</t>
  </si>
  <si>
    <t>Valley Stream Central High School</t>
  </si>
  <si>
    <t>Valley Stream</t>
  </si>
  <si>
    <t>Valley Stream South High School</t>
  </si>
  <si>
    <t>Vernon-Verona-Sherrill Senior High School</t>
  </si>
  <si>
    <t>Vestal Senior High School</t>
  </si>
  <si>
    <t>Vestal</t>
  </si>
  <si>
    <t>Victor Senior High School</t>
  </si>
  <si>
    <t>Clayton A Bouton High School</t>
  </si>
  <si>
    <t>Voorheesville</t>
  </si>
  <si>
    <t>Wallkill Senior High School</t>
  </si>
  <si>
    <t>Wallkill</t>
  </si>
  <si>
    <t>Ruben A Cirillo High School</t>
  </si>
  <si>
    <t>Walworth</t>
  </si>
  <si>
    <t>Wantagh Senior High School</t>
  </si>
  <si>
    <t>Roy C Ketcham Senior High School</t>
  </si>
  <si>
    <t>Wappingers Falls</t>
  </si>
  <si>
    <t>Warrensburg Junior-Senior High School</t>
  </si>
  <si>
    <t>Warsaw Middle/Senior High School</t>
  </si>
  <si>
    <t>Warwick Valley High School</t>
  </si>
  <si>
    <t>Washingtonville Senior High School</t>
  </si>
  <si>
    <t>Washingtonville</t>
  </si>
  <si>
    <t>Waterford-Halfmoon Junior-Senior High School</t>
  </si>
  <si>
    <t>Watertown Senior High School</t>
  </si>
  <si>
    <t>Waterville Jr/Sr High School</t>
  </si>
  <si>
    <t>Watervliet Junior-Senior High School</t>
  </si>
  <si>
    <t>Watkins Glen Central High School</t>
  </si>
  <si>
    <t>Watkins Glen</t>
  </si>
  <si>
    <t>Wayland-Cohocton High School</t>
  </si>
  <si>
    <t>Thomas High School</t>
  </si>
  <si>
    <t>Webster-Schroeder High School</t>
  </si>
  <si>
    <t>Weedsport Junior-Senior High School</t>
  </si>
  <si>
    <t>Weedsport</t>
  </si>
  <si>
    <t>Wellsville Secondary School</t>
  </si>
  <si>
    <t>West Babylon Senior High School</t>
  </si>
  <si>
    <t>West Babylon</t>
  </si>
  <si>
    <t>Beekmantown High School</t>
  </si>
  <si>
    <t>West Chazy</t>
  </si>
  <si>
    <t>West Hempstead High School</t>
  </si>
  <si>
    <t>West Hempstead</t>
  </si>
  <si>
    <t>West Islip Senior High School</t>
  </si>
  <si>
    <t>West Islip</t>
  </si>
  <si>
    <t>Clarkstown South Senior High School</t>
  </si>
  <si>
    <t>West Nyack</t>
  </si>
  <si>
    <t>Sayville High School</t>
  </si>
  <si>
    <t>West Sayville</t>
  </si>
  <si>
    <t>West Seneca East Senior High School</t>
  </si>
  <si>
    <t>West Seneca</t>
  </si>
  <si>
    <t>West Seneca West Senior High School</t>
  </si>
  <si>
    <t>Mount Markham Senior High School</t>
  </si>
  <si>
    <t>West Winfield</t>
  </si>
  <si>
    <t>W Tresper Clarke High School</t>
  </si>
  <si>
    <t>Westbury</t>
  </si>
  <si>
    <t>Westhampton Beach Senior High School</t>
  </si>
  <si>
    <t>Westhampton Beach</t>
  </si>
  <si>
    <t>Donald H Crane Junior/Senior High School</t>
  </si>
  <si>
    <t>Westmoreland</t>
  </si>
  <si>
    <t>White Plains Senior High School</t>
  </si>
  <si>
    <t>Whitehall Junior-Senior High School</t>
  </si>
  <si>
    <t>Whitney Point Senior High School</t>
  </si>
  <si>
    <t>Whitney Point</t>
  </si>
  <si>
    <t>Williamson Senior High School</t>
  </si>
  <si>
    <t>Williamson</t>
  </si>
  <si>
    <t>Williamsville North High School</t>
  </si>
  <si>
    <t>Williamsville South High School</t>
  </si>
  <si>
    <t>Windsor Central High School</t>
  </si>
  <si>
    <t>North Rose-Wolcott High School</t>
  </si>
  <si>
    <t>Wyandanch Memorial High School</t>
  </si>
  <si>
    <t>Wyandanch</t>
  </si>
  <si>
    <t>Gorton High School</t>
  </si>
  <si>
    <t>Palisade Preparatory School</t>
  </si>
  <si>
    <t>Roosevelt High School - Early College Studies</t>
  </si>
  <si>
    <t>Saunders Trades &amp; Technical High School</t>
  </si>
  <si>
    <t>Yonkers High School</t>
  </si>
  <si>
    <t>Pioneer Senior High School</t>
  </si>
  <si>
    <t>Yorkshire</t>
  </si>
  <si>
    <t>Yorktown Heights</t>
  </si>
  <si>
    <t>Lewiston Porter Senior High School</t>
  </si>
  <si>
    <t>Hertford Co Early College</t>
  </si>
  <si>
    <t>Hertford County High School</t>
  </si>
  <si>
    <t>Albemarle High School</t>
  </si>
  <si>
    <t>Albemarle</t>
  </si>
  <si>
    <t>Stanly Early College High School</t>
  </si>
  <si>
    <t>Andrews High School</t>
  </si>
  <si>
    <t>Andrews</t>
  </si>
  <si>
    <t>Harnett Central High School</t>
  </si>
  <si>
    <t>Angier</t>
  </si>
  <si>
    <t>Apex Friendship High School</t>
  </si>
  <si>
    <t>Apex</t>
  </si>
  <si>
    <t>Middle Creek High School</t>
  </si>
  <si>
    <t>Asheboro High School</t>
  </si>
  <si>
    <t>Asheboro</t>
  </si>
  <si>
    <t>Randolph Early College High School</t>
  </si>
  <si>
    <t>Southwestern Randolph High School</t>
  </si>
  <si>
    <t>Asheville High School</t>
  </si>
  <si>
    <t>Early College</t>
  </si>
  <si>
    <t>Erwin High School</t>
  </si>
  <si>
    <t>Middle College</t>
  </si>
  <si>
    <t>Nesbitt Discovery Academy</t>
  </si>
  <si>
    <t>Reynolds High School</t>
  </si>
  <si>
    <t>Roberson High School</t>
  </si>
  <si>
    <t>School Of Inquiry And Life Sciences</t>
  </si>
  <si>
    <t>The Franklin School Of Innovation</t>
  </si>
  <si>
    <t>Ayden-Grifton High School</t>
  </si>
  <si>
    <t>Ayden</t>
  </si>
  <si>
    <t>Southern Nash High School</t>
  </si>
  <si>
    <t>Bakersville</t>
  </si>
  <si>
    <t>Currituck County High School</t>
  </si>
  <si>
    <t>Barco</t>
  </si>
  <si>
    <t>Pamlico County High School</t>
  </si>
  <si>
    <t>Bayboro</t>
  </si>
  <si>
    <t>Chatham Central High School</t>
  </si>
  <si>
    <t>East Carteret High School</t>
  </si>
  <si>
    <t>South Point High School</t>
  </si>
  <si>
    <t>Stuart W Cramer High School</t>
  </si>
  <si>
    <t>West Johnston High School</t>
  </si>
  <si>
    <t>Bessemer City</t>
  </si>
  <si>
    <t>North Pitt High School</t>
  </si>
  <si>
    <t>East Duplin High School</t>
  </si>
  <si>
    <t>East Montgomery High School</t>
  </si>
  <si>
    <t>Biscoe</t>
  </si>
  <si>
    <t>Owen High School</t>
  </si>
  <si>
    <t>Black Mountain</t>
  </si>
  <si>
    <t>West Bladen High School</t>
  </si>
  <si>
    <t>Bladenboro</t>
  </si>
  <si>
    <t>Watauga High School</t>
  </si>
  <si>
    <t>Watauga Innovation Academy</t>
  </si>
  <si>
    <t>Starmount High School</t>
  </si>
  <si>
    <t>Brevard High School</t>
  </si>
  <si>
    <t>Brevard</t>
  </si>
  <si>
    <t>Piedmont Classical High School</t>
  </si>
  <si>
    <t>Browns Summit</t>
  </si>
  <si>
    <t>Swain County High School</t>
  </si>
  <si>
    <t>Bryson City</t>
  </si>
  <si>
    <t>Bunn High School</t>
  </si>
  <si>
    <t>Bunn</t>
  </si>
  <si>
    <t>Pender Early College High School</t>
  </si>
  <si>
    <t>Burgaw</t>
  </si>
  <si>
    <t>Hugh M Cummings High School</t>
  </si>
  <si>
    <t>Walter M Williams High School</t>
  </si>
  <si>
    <t>Mountain Heritage High School</t>
  </si>
  <si>
    <t>Cape Hatteras Secondary School</t>
  </si>
  <si>
    <t>Buxton</t>
  </si>
  <si>
    <t>Camden Early College High School</t>
  </si>
  <si>
    <t>Union Pines High School</t>
  </si>
  <si>
    <t>Enka High School</t>
  </si>
  <si>
    <t>Carrboro High School</t>
  </si>
  <si>
    <t>Apex High School</t>
  </si>
  <si>
    <t>Cary High School</t>
  </si>
  <si>
    <t>Crossroads Flex</t>
  </si>
  <si>
    <t>Green Hope High School</t>
  </si>
  <si>
    <t>Panther Creek High School</t>
  </si>
  <si>
    <t>Blue Ridge Early College</t>
  </si>
  <si>
    <t>Cashiers</t>
  </si>
  <si>
    <t>Wilmington Early College High School</t>
  </si>
  <si>
    <t>Castle Hayne</t>
  </si>
  <si>
    <t>Bandys High School</t>
  </si>
  <si>
    <t>Catawba</t>
  </si>
  <si>
    <t>West Columbus High School</t>
  </si>
  <si>
    <t>Chapel Hill</t>
  </si>
  <si>
    <t>East Chapel Hill High School</t>
  </si>
  <si>
    <t>Ardrey Kell High School</t>
  </si>
  <si>
    <t>Cato Middle College High School</t>
  </si>
  <si>
    <t>Charlotte Engineering Early College-Uncc</t>
  </si>
  <si>
    <t>Charlotte Learning Academy</t>
  </si>
  <si>
    <t>Charlotte Secondary</t>
  </si>
  <si>
    <t>Cochrane Collegiate Academy</t>
  </si>
  <si>
    <t>East Mecklenburg High School</t>
  </si>
  <si>
    <t>Garinger High School</t>
  </si>
  <si>
    <t>Harding University High School</t>
  </si>
  <si>
    <t>Harper Middle College High School</t>
  </si>
  <si>
    <t>Hawthorne Academy Of Health Sciences</t>
  </si>
  <si>
    <t>Mallard Creek High School</t>
  </si>
  <si>
    <t>Military And Global Leadership Academy</t>
  </si>
  <si>
    <t>Myers Park High School</t>
  </si>
  <si>
    <t>Northwest School Of The Arts</t>
  </si>
  <si>
    <t>Olympic High School</t>
  </si>
  <si>
    <t>Phillip O Berry Academy Of Technology</t>
  </si>
  <si>
    <t>South Mecklenburg High School</t>
  </si>
  <si>
    <t>Vance High School</t>
  </si>
  <si>
    <t>West Charlotte High School</t>
  </si>
  <si>
    <t>West Mecklenburg High School</t>
  </si>
  <si>
    <t>Cherryville High School</t>
  </si>
  <si>
    <t>Cherryville</t>
  </si>
  <si>
    <t>China Grove</t>
  </si>
  <si>
    <t>South Rowan High School</t>
  </si>
  <si>
    <t>Chocowinity</t>
  </si>
  <si>
    <t>Clemmons</t>
  </si>
  <si>
    <t>Providence Grove High School</t>
  </si>
  <si>
    <t>Sampson Early College High School</t>
  </si>
  <si>
    <t>Haywood Early College</t>
  </si>
  <si>
    <t>Polk County Early College</t>
  </si>
  <si>
    <t>Polk County High School</t>
  </si>
  <si>
    <t>Cabarrus-Kannapolis Early Coll</t>
  </si>
  <si>
    <t>Central Cabarrus High School</t>
  </si>
  <si>
    <t>Cox Mill High School</t>
  </si>
  <si>
    <t>Jay M Robinson High School</t>
  </si>
  <si>
    <t>Northwest Cabarrus High School</t>
  </si>
  <si>
    <t>East Burke High School</t>
  </si>
  <si>
    <t>Connelly Springs</t>
  </si>
  <si>
    <t>William Amos Hough High School</t>
  </si>
  <si>
    <t>Cornelius</t>
  </si>
  <si>
    <t>Granville Early College High School</t>
  </si>
  <si>
    <t>Creedmoor</t>
  </si>
  <si>
    <t>South Granville High School</t>
  </si>
  <si>
    <t>The Jp Knapp Ech (I)School</t>
  </si>
  <si>
    <t>Currituck</t>
  </si>
  <si>
    <t>Gaston Early College High School</t>
  </si>
  <si>
    <t>North Gaston High School</t>
  </si>
  <si>
    <t>North Stokes High School</t>
  </si>
  <si>
    <t>Stokes Early College</t>
  </si>
  <si>
    <t>South Lenoir High School</t>
  </si>
  <si>
    <t>Deep Run</t>
  </si>
  <si>
    <t>South Davidson High School</t>
  </si>
  <si>
    <t>East Lincoln High School</t>
  </si>
  <si>
    <t>Surry Central High School</t>
  </si>
  <si>
    <t>Dobson</t>
  </si>
  <si>
    <t>Surry Early College</t>
  </si>
  <si>
    <t>Southern Wayne High School</t>
  </si>
  <si>
    <t>Harnett Early College (Hcec)</t>
  </si>
  <si>
    <t>Dunn</t>
  </si>
  <si>
    <t>C E Jordan High School</t>
  </si>
  <si>
    <t>City Of Medicine Academy</t>
  </si>
  <si>
    <t>Durham School Of The Arts</t>
  </si>
  <si>
    <t>Hillside New Tech High School</t>
  </si>
  <si>
    <t>J D Clement Early College High School</t>
  </si>
  <si>
    <t>Middle College High School @ Dtcc</t>
  </si>
  <si>
    <t>Southern School Of Energy And Sustainabi</t>
  </si>
  <si>
    <t>The School For Creative Studies</t>
  </si>
  <si>
    <t>Forbush High School</t>
  </si>
  <si>
    <t>East Bend</t>
  </si>
  <si>
    <t>East Henderson High School</t>
  </si>
  <si>
    <t>East Flat Rock</t>
  </si>
  <si>
    <t>John M Morehead High School</t>
  </si>
  <si>
    <t>John A Holmes High School</t>
  </si>
  <si>
    <t>Edenton</t>
  </si>
  <si>
    <t>Northeast Academy Of Aerospace &amp; Advtech</t>
  </si>
  <si>
    <t>Pasquotank County High School</t>
  </si>
  <si>
    <t>East Bladen High School</t>
  </si>
  <si>
    <t>Paul R Brown Leadership Academy</t>
  </si>
  <si>
    <t>Elkin High School</t>
  </si>
  <si>
    <t>Elkin</t>
  </si>
  <si>
    <t>Western Alamance High School</t>
  </si>
  <si>
    <t>Elon</t>
  </si>
  <si>
    <t>Erwin</t>
  </si>
  <si>
    <t>Fairmont High School</t>
  </si>
  <si>
    <t>Farmville Central High School</t>
  </si>
  <si>
    <t>Cape Fear High School</t>
  </si>
  <si>
    <t>Cross Creek Early College</t>
  </si>
  <si>
    <t>Cumberland International Early College</t>
  </si>
  <si>
    <t>Cumberland Polytechnic</t>
  </si>
  <si>
    <t>Douglas Byrd High School</t>
  </si>
  <si>
    <t>E E Smith High School</t>
  </si>
  <si>
    <t>Jack Britt High School</t>
  </si>
  <si>
    <t>Massey Hill Classical High School</t>
  </si>
  <si>
    <t>Reid Ross Classical High School</t>
  </si>
  <si>
    <t>Seventy-First High School</t>
  </si>
  <si>
    <t>Terry Sanford High School</t>
  </si>
  <si>
    <t>Henderson County Early College</t>
  </si>
  <si>
    <t>East Rutherford High School</t>
  </si>
  <si>
    <t>South Johnston High School</t>
  </si>
  <si>
    <t>Four Oaks</t>
  </si>
  <si>
    <t>Macon Early College High School</t>
  </si>
  <si>
    <t>Fuquay-Varina High School</t>
  </si>
  <si>
    <t>Fuquay-Varina</t>
  </si>
  <si>
    <t>Garner High School</t>
  </si>
  <si>
    <t>Northampton County High School</t>
  </si>
  <si>
    <t>Northampton Early College</t>
  </si>
  <si>
    <t>Ashbrook High School</t>
  </si>
  <si>
    <t>Forestview High School</t>
  </si>
  <si>
    <t>High Schoolland Sch Of Technology</t>
  </si>
  <si>
    <t>Hunter Huss High School</t>
  </si>
  <si>
    <t>Gates County Senior High School</t>
  </si>
  <si>
    <t>Gatesville</t>
  </si>
  <si>
    <t>Eastern Guilford High School</t>
  </si>
  <si>
    <t>Eastern Wayne High School</t>
  </si>
  <si>
    <t>Goldsboro High School</t>
  </si>
  <si>
    <t>Rosewood High School</t>
  </si>
  <si>
    <t>Wayne Early / Middle College High School</t>
  </si>
  <si>
    <t>Wayne School Of Engineering</t>
  </si>
  <si>
    <t>Abss Early College At Acc</t>
  </si>
  <si>
    <t>Graham High School</t>
  </si>
  <si>
    <t>Southern Alamance High School</t>
  </si>
  <si>
    <t>Academy At Smith</t>
  </si>
  <si>
    <t>Ben L. Smith High School</t>
  </si>
  <si>
    <t>Early College At Guilford</t>
  </si>
  <si>
    <t>Gc Middle College High School</t>
  </si>
  <si>
    <t>Grimsley High School</t>
  </si>
  <si>
    <t>James B Dudley High School</t>
  </si>
  <si>
    <t>Middle College At Nc A&amp;T</t>
  </si>
  <si>
    <t>Middle College High School At Bennett</t>
  </si>
  <si>
    <t>Northern Guilford High School</t>
  </si>
  <si>
    <t>Northwest Guilford High School</t>
  </si>
  <si>
    <t>Philip J Weaver Ed Center</t>
  </si>
  <si>
    <t>Southeast Guilford High School</t>
  </si>
  <si>
    <t>Southern Guilford High School</t>
  </si>
  <si>
    <t>Stem Early College @ Nc A&amp;T Su</t>
  </si>
  <si>
    <t>Uncg Early/Middle College</t>
  </si>
  <si>
    <t>Western Guilford High School</t>
  </si>
  <si>
    <t>D H Conley High School</t>
  </si>
  <si>
    <t>Junius H Rose High School</t>
  </si>
  <si>
    <t>Southeast Halifax Collegiate Prep Academyem</t>
  </si>
  <si>
    <t>Halifax</t>
  </si>
  <si>
    <t>Richmond Early College High School</t>
  </si>
  <si>
    <t>Topsail High School</t>
  </si>
  <si>
    <t>Hampstead</t>
  </si>
  <si>
    <t>Hickory Ridge High School</t>
  </si>
  <si>
    <t>Early College East High School</t>
  </si>
  <si>
    <t>Havelock</t>
  </si>
  <si>
    <t>Havelock High School</t>
  </si>
  <si>
    <t>Hayesville High School</t>
  </si>
  <si>
    <t>Hayesville</t>
  </si>
  <si>
    <t>North Wilkes High School</t>
  </si>
  <si>
    <t>Vance Co Early College</t>
  </si>
  <si>
    <t>Vance County High School</t>
  </si>
  <si>
    <t>Hendersonville High School</t>
  </si>
  <si>
    <t>North Henderson High School</t>
  </si>
  <si>
    <t>West Henderson High School</t>
  </si>
  <si>
    <t>Perquimans County High School</t>
  </si>
  <si>
    <t>Hertford</t>
  </si>
  <si>
    <t>Challenger Early College High School</t>
  </si>
  <si>
    <t>Hickory</t>
  </si>
  <si>
    <t>Hickory Career  Arts Magnet High School</t>
  </si>
  <si>
    <t>Hickory High School</t>
  </si>
  <si>
    <t>Saint Stephens High School</t>
  </si>
  <si>
    <t>High School Point Central High School</t>
  </si>
  <si>
    <t>Kearns Academy</t>
  </si>
  <si>
    <t>Middle College At Gtcc-High School Point</t>
  </si>
  <si>
    <t>Penn-Griffin Schools</t>
  </si>
  <si>
    <t>Southwest Guilford High School</t>
  </si>
  <si>
    <t>T Wingate Andrews High School</t>
  </si>
  <si>
    <t>Holly Ridge</t>
  </si>
  <si>
    <t>Southern Wake Academy</t>
  </si>
  <si>
    <t>Grays Creek High School</t>
  </si>
  <si>
    <t>Hope Mills</t>
  </si>
  <si>
    <t>South View High School</t>
  </si>
  <si>
    <t>Caldwell Career Cen Mid. Coll.</t>
  </si>
  <si>
    <t>Caldwell Early College</t>
  </si>
  <si>
    <t>South Caldwell High School</t>
  </si>
  <si>
    <t>Hopewell High School</t>
  </si>
  <si>
    <t>Merancas Middle College High School</t>
  </si>
  <si>
    <t>North Mecklenburg High School</t>
  </si>
  <si>
    <t>Porter Ridge High School</t>
  </si>
  <si>
    <t>Indian Trail</t>
  </si>
  <si>
    <t>White Oak High School</t>
  </si>
  <si>
    <t>Gtcc Middle College High School</t>
  </si>
  <si>
    <t>Lucy Ragsdale High School</t>
  </si>
  <si>
    <t>Middle College At Gtcc-Greensboro</t>
  </si>
  <si>
    <t>A L Brown High School</t>
  </si>
  <si>
    <t>Kannapolis</t>
  </si>
  <si>
    <t>Duplin Early College High School</t>
  </si>
  <si>
    <t>Kenansville</t>
  </si>
  <si>
    <t>North Johnston High School</t>
  </si>
  <si>
    <t>Kenly</t>
  </si>
  <si>
    <t>East Forsyth High School</t>
  </si>
  <si>
    <t>Robert B Glenn High School</t>
  </si>
  <si>
    <t>First Flight High School</t>
  </si>
  <si>
    <t>Kill Devil Hills</t>
  </si>
  <si>
    <t>West Stokes High School</t>
  </si>
  <si>
    <t>King</t>
  </si>
  <si>
    <t>Kings Mountain High School</t>
  </si>
  <si>
    <t>Kings Mountain</t>
  </si>
  <si>
    <t>Kinston High School</t>
  </si>
  <si>
    <t>Lenoir County Early College High School</t>
  </si>
  <si>
    <t>Knightdale High School</t>
  </si>
  <si>
    <t>Knightdale</t>
  </si>
  <si>
    <t>North Lenoir High School</t>
  </si>
  <si>
    <t>East Columbus High School</t>
  </si>
  <si>
    <t>Lake Waccamaw</t>
  </si>
  <si>
    <t>Scotland Early College High School</t>
  </si>
  <si>
    <t>Scotland High School</t>
  </si>
  <si>
    <t>Burns High School</t>
  </si>
  <si>
    <t>North Brunswick High School</t>
  </si>
  <si>
    <t>Hibriten High School</t>
  </si>
  <si>
    <t>West Caldwell High School</t>
  </si>
  <si>
    <t>Central Davidson High School</t>
  </si>
  <si>
    <t>Davidson Early College</t>
  </si>
  <si>
    <t>Lexington Senior High School</t>
  </si>
  <si>
    <t>North Davidson High School</t>
  </si>
  <si>
    <t>West Davidson High School</t>
  </si>
  <si>
    <t>Yadkin Valley Regional Career Academy</t>
  </si>
  <si>
    <t>Western Harnett High School</t>
  </si>
  <si>
    <t>Lillington</t>
  </si>
  <si>
    <t>Lincolnton High School</t>
  </si>
  <si>
    <t>North Lincoln High School</t>
  </si>
  <si>
    <t>West Lincoln High School</t>
  </si>
  <si>
    <t>Northwest Halifax Collegiate And Technic</t>
  </si>
  <si>
    <t>Franklin County Early College</t>
  </si>
  <si>
    <t>Lumberton Senior High School</t>
  </si>
  <si>
    <t>Psrc Early College At Rcc</t>
  </si>
  <si>
    <t>Maiden High School</t>
  </si>
  <si>
    <t>Maiden</t>
  </si>
  <si>
    <t>Manteo High School</t>
  </si>
  <si>
    <t>Manteo</t>
  </si>
  <si>
    <t>Mcdowell Academy For Innovation</t>
  </si>
  <si>
    <t>Mcdowell Early College</t>
  </si>
  <si>
    <t>Mcdowell High School</t>
  </si>
  <si>
    <t>Madison Early College High School</t>
  </si>
  <si>
    <t>Marshville</t>
  </si>
  <si>
    <t>Levine Middle College High School</t>
  </si>
  <si>
    <t>Mathews</t>
  </si>
  <si>
    <t>Weddington High School</t>
  </si>
  <si>
    <t>Dalton Mcmichael High School</t>
  </si>
  <si>
    <t>Mayodan</t>
  </si>
  <si>
    <t>Northeast Guilford High School</t>
  </si>
  <si>
    <t>Mcleansville</t>
  </si>
  <si>
    <t>Eastern Alamance High School</t>
  </si>
  <si>
    <t>Mebane</t>
  </si>
  <si>
    <t>West Wilkes High School</t>
  </si>
  <si>
    <t>Millers Creek</t>
  </si>
  <si>
    <t>Rocky River High School</t>
  </si>
  <si>
    <t>Mint Hill</t>
  </si>
  <si>
    <t>Gray Stone Day</t>
  </si>
  <si>
    <t>Misenheimer</t>
  </si>
  <si>
    <t>Davie County Early College High School</t>
  </si>
  <si>
    <t>Mocksville</t>
  </si>
  <si>
    <t>Davie County High School</t>
  </si>
  <si>
    <t>Central Academy Of Technology And Arts</t>
  </si>
  <si>
    <t>Parkwood High School</t>
  </si>
  <si>
    <t>Union County Early College</t>
  </si>
  <si>
    <t>Lake Norman High School</t>
  </si>
  <si>
    <t>West Carteret High School</t>
  </si>
  <si>
    <t>Morehead City</t>
  </si>
  <si>
    <t>Burke Middle College</t>
  </si>
  <si>
    <t>Morganton</t>
  </si>
  <si>
    <t>Robert L. Patton High School</t>
  </si>
  <si>
    <t>Mount Airy High School</t>
  </si>
  <si>
    <t>North Surry High School</t>
  </si>
  <si>
    <t>West Montgomery High School</t>
  </si>
  <si>
    <t>Mount Gilead</t>
  </si>
  <si>
    <t>East Gaston High School</t>
  </si>
  <si>
    <t>West Rowan High School</t>
  </si>
  <si>
    <t>Mount Ulla</t>
  </si>
  <si>
    <t>North Duplin Jr Sr High School</t>
  </si>
  <si>
    <t>Mt. Olive</t>
  </si>
  <si>
    <t>Hiwassee Dam High School</t>
  </si>
  <si>
    <t>Murphy</t>
  </si>
  <si>
    <t>Tri-County Early College High School</t>
  </si>
  <si>
    <t>Craven Early College High School</t>
  </si>
  <si>
    <t>New Bern High School</t>
  </si>
  <si>
    <t>North Stanly High School</t>
  </si>
  <si>
    <t>Avery County High School</t>
  </si>
  <si>
    <t>Newland</t>
  </si>
  <si>
    <t>Avery High School Stem Academy</t>
  </si>
  <si>
    <t>Croatan High School</t>
  </si>
  <si>
    <t>Fred T Foard High School</t>
  </si>
  <si>
    <t>Newton-Conover High School</t>
  </si>
  <si>
    <t>Hobbton High School</t>
  </si>
  <si>
    <t>Newton Grove</t>
  </si>
  <si>
    <t>South Stanly High School</t>
  </si>
  <si>
    <t>West Stanly High School</t>
  </si>
  <si>
    <t>Oakboro</t>
  </si>
  <si>
    <t>Agriculture And Science Early College</t>
  </si>
  <si>
    <t>Olin</t>
  </si>
  <si>
    <t>North Iredell High School</t>
  </si>
  <si>
    <t>J. F. Webb High School</t>
  </si>
  <si>
    <t>Jf Webb High School Of Health And Life Sciences</t>
  </si>
  <si>
    <t>Oxford Preparatory</t>
  </si>
  <si>
    <t>Purnell Swett High School</t>
  </si>
  <si>
    <t>Ronald W Reagan High School</t>
  </si>
  <si>
    <t>Pfafftown</t>
  </si>
  <si>
    <t>Charles B Aycock High School</t>
  </si>
  <si>
    <t>East Surry High School</t>
  </si>
  <si>
    <t>Pilot Mountain</t>
  </si>
  <si>
    <t>Southwest Edgecombe High School</t>
  </si>
  <si>
    <t>Pinetops</t>
  </si>
  <si>
    <t>Pinetown</t>
  </si>
  <si>
    <t>Anson Co. Early College High School</t>
  </si>
  <si>
    <t>Polkton</t>
  </si>
  <si>
    <t>Hoke County High School</t>
  </si>
  <si>
    <t>Raeford</t>
  </si>
  <si>
    <t>Sandhoke Early College High School</t>
  </si>
  <si>
    <t>Athens Drive High School</t>
  </si>
  <si>
    <t>Enloe High School</t>
  </si>
  <si>
    <t>Leesville Road High School</t>
  </si>
  <si>
    <t>Longleaf School Of The Arts</t>
  </si>
  <si>
    <t>Ncvps</t>
  </si>
  <si>
    <t>Needham Broughton High School</t>
  </si>
  <si>
    <t>Raleigh Charter High School</t>
  </si>
  <si>
    <t>Sanderson High School</t>
  </si>
  <si>
    <t>Southeast Raleigh High School</t>
  </si>
  <si>
    <t>Vernon Malone College And Career Academy</t>
  </si>
  <si>
    <t>Wake Early College Of Health And Science</t>
  </si>
  <si>
    <t>Wake Stem Early College High School</t>
  </si>
  <si>
    <t>Wake Young Men'S Leadership Academy</t>
  </si>
  <si>
    <t>Wake Young Women'S Leadership Academy</t>
  </si>
  <si>
    <t>Eastern Randolph High School</t>
  </si>
  <si>
    <t>Ramseur</t>
  </si>
  <si>
    <t>Randleman High School</t>
  </si>
  <si>
    <t>Randleman</t>
  </si>
  <si>
    <t>Red Springs High School</t>
  </si>
  <si>
    <t>Reidsville High School</t>
  </si>
  <si>
    <t>Research Triangle High School</t>
  </si>
  <si>
    <t>Research Triangle Pk</t>
  </si>
  <si>
    <t>Richlands High School</t>
  </si>
  <si>
    <t>Richlands</t>
  </si>
  <si>
    <t>Roanoke Rapids Early College High School</t>
  </si>
  <si>
    <t>Roanoke Rapids High School</t>
  </si>
  <si>
    <t>North Moore High School</t>
  </si>
  <si>
    <t>South Creek Middle/High School</t>
  </si>
  <si>
    <t>Robersonville</t>
  </si>
  <si>
    <t>Richmond Senior High School</t>
  </si>
  <si>
    <t>Rockingham</t>
  </si>
  <si>
    <t>Citi High School</t>
  </si>
  <si>
    <t>Nash Central High School</t>
  </si>
  <si>
    <t>Northern Nash High School</t>
  </si>
  <si>
    <t>Nrm Early College High School</t>
  </si>
  <si>
    <t>Rocky Mount High School</t>
  </si>
  <si>
    <t>Heide Trask High School</t>
  </si>
  <si>
    <t>Rolesville High School</t>
  </si>
  <si>
    <t>East Wilkes High School</t>
  </si>
  <si>
    <t>Ronda</t>
  </si>
  <si>
    <t>Washington Early College High School</t>
  </si>
  <si>
    <t>Roper</t>
  </si>
  <si>
    <t>Rosman High School</t>
  </si>
  <si>
    <t>Rosman</t>
  </si>
  <si>
    <t>South Robeson High School</t>
  </si>
  <si>
    <t>Rowland</t>
  </si>
  <si>
    <t>Person High School</t>
  </si>
  <si>
    <t>Roxboro</t>
  </si>
  <si>
    <t>Roxboro Community School</t>
  </si>
  <si>
    <t>R-S Central High School</t>
  </si>
  <si>
    <t>Rutherfordton</t>
  </si>
  <si>
    <t>Saint Pauls High School</t>
  </si>
  <si>
    <t>Saint Pauls</t>
  </si>
  <si>
    <t>Salemburg</t>
  </si>
  <si>
    <t>East Rowan High School</t>
  </si>
  <si>
    <t>Rowan Co Early College</t>
  </si>
  <si>
    <t>Lee Early College</t>
  </si>
  <si>
    <t>Southern Lee High School</t>
  </si>
  <si>
    <t>Seven Springs</t>
  </si>
  <si>
    <t>West Brunswick High School</t>
  </si>
  <si>
    <t>Cleveland EcHigh School</t>
  </si>
  <si>
    <t>Jordan Matthews High School</t>
  </si>
  <si>
    <t>Siler City</t>
  </si>
  <si>
    <t>Johnston Co Early College Academy</t>
  </si>
  <si>
    <t>Smithfield</t>
  </si>
  <si>
    <t>Smithfield-Selma High School</t>
  </si>
  <si>
    <t>Greene Central High School</t>
  </si>
  <si>
    <t>Greene Early College High School</t>
  </si>
  <si>
    <t>Pinecrest High School</t>
  </si>
  <si>
    <t>Southport</t>
  </si>
  <si>
    <t>Alleghany High School</t>
  </si>
  <si>
    <t>North Rowan High School</t>
  </si>
  <si>
    <t>Rutherford Early College High School</t>
  </si>
  <si>
    <t>Spindale</t>
  </si>
  <si>
    <t>Overhills High School</t>
  </si>
  <si>
    <t>Mayland Early College</t>
  </si>
  <si>
    <t>Spruce Pine</t>
  </si>
  <si>
    <t>Collaborative College For Technology</t>
  </si>
  <si>
    <t>Crossroads Arts Sciences Early College</t>
  </si>
  <si>
    <t>South Iredell High School</t>
  </si>
  <si>
    <t>Statesville High School</t>
  </si>
  <si>
    <t>West Iredell High School</t>
  </si>
  <si>
    <t>Granville Central High School</t>
  </si>
  <si>
    <t>Stem</t>
  </si>
  <si>
    <t>Brunswick County Early College</t>
  </si>
  <si>
    <t>Supply</t>
  </si>
  <si>
    <t>Mattamuskeet Early College High School</t>
  </si>
  <si>
    <t>Swan Quarter</t>
  </si>
  <si>
    <t>Swansboro High School</t>
  </si>
  <si>
    <t>Swansboro</t>
  </si>
  <si>
    <t>Jackson Co Early College</t>
  </si>
  <si>
    <t>Sylva</t>
  </si>
  <si>
    <t>Smoky Mountain High School</t>
  </si>
  <si>
    <t>South Columbus High School</t>
  </si>
  <si>
    <t>Tabor City</t>
  </si>
  <si>
    <t>Edgecombe Early College High School</t>
  </si>
  <si>
    <t>Tarboro</t>
  </si>
  <si>
    <t>North Edgecombe High School</t>
  </si>
  <si>
    <t>Tarboro High School</t>
  </si>
  <si>
    <t>Alexander Central High School</t>
  </si>
  <si>
    <t>Wallace-Rose Hill High School</t>
  </si>
  <si>
    <t>Teachey</t>
  </si>
  <si>
    <t>East Davidson High School</t>
  </si>
  <si>
    <t>Ledford Senior High School</t>
  </si>
  <si>
    <t>Jones Senior High School</t>
  </si>
  <si>
    <t>Wheatmore High School</t>
  </si>
  <si>
    <t>Jimmy C Draughn High School</t>
  </si>
  <si>
    <t>Valdese</t>
  </si>
  <si>
    <t>West Craven High School</t>
  </si>
  <si>
    <t>Vanceboro</t>
  </si>
  <si>
    <t>Anson High School</t>
  </si>
  <si>
    <t>Wadesboro</t>
  </si>
  <si>
    <t>North Wake College And Career Academy</t>
  </si>
  <si>
    <t>Wake Forest High School</t>
  </si>
  <si>
    <t>Walkertown High School</t>
  </si>
  <si>
    <t>Walkertown</t>
  </si>
  <si>
    <t>South Stokes High School</t>
  </si>
  <si>
    <t>Walnut Cove</t>
  </si>
  <si>
    <t>Warren Early College High School</t>
  </si>
  <si>
    <t>Warren New Tech High School</t>
  </si>
  <si>
    <t>James Kenan High School</t>
  </si>
  <si>
    <t>Beaufort Co Early College High School</t>
  </si>
  <si>
    <t>Cuthbertson High School</t>
  </si>
  <si>
    <t>Waxhaw</t>
  </si>
  <si>
    <t>Marvin Ridge High School</t>
  </si>
  <si>
    <t>North Buncombe High School</t>
  </si>
  <si>
    <t>Roanoke Valley Early College</t>
  </si>
  <si>
    <t>Weldon</t>
  </si>
  <si>
    <t>Weldon Stem High School Career Academyemies</t>
  </si>
  <si>
    <t>Corinth Holders High School</t>
  </si>
  <si>
    <t>East Wake High School</t>
  </si>
  <si>
    <t>Rockingham Co Early College High School</t>
  </si>
  <si>
    <t>Wentworth</t>
  </si>
  <si>
    <t>Rockingham County High School</t>
  </si>
  <si>
    <t>Ashe County High School</t>
  </si>
  <si>
    <t>West Jefferson</t>
  </si>
  <si>
    <t>Ccca - Fair Bluff /Southeastern Campuses</t>
  </si>
  <si>
    <t>Whiteville</t>
  </si>
  <si>
    <t>Whiteville High School</t>
  </si>
  <si>
    <t>Wilkes Central High School</t>
  </si>
  <si>
    <t>Wilkesboro</t>
  </si>
  <si>
    <t>Wilkes Early College High School</t>
  </si>
  <si>
    <t>Bear Grass Charter School</t>
  </si>
  <si>
    <t>Emsley A Laney High School</t>
  </si>
  <si>
    <t>Eugene Ashley High School</t>
  </si>
  <si>
    <t>Isaac M Bear Early College High School</t>
  </si>
  <si>
    <t>John T Hoggard High School</t>
  </si>
  <si>
    <t>New Hanover High School</t>
  </si>
  <si>
    <t>Beddingfield High School</t>
  </si>
  <si>
    <t>Fike High School</t>
  </si>
  <si>
    <t>James Hunt High School</t>
  </si>
  <si>
    <t>Wilson Early College Academy</t>
  </si>
  <si>
    <t>Bertie Early College High School</t>
  </si>
  <si>
    <t>Bertie High School</t>
  </si>
  <si>
    <t>Early College Of Forsyth Co</t>
  </si>
  <si>
    <t>J F Kennedy High School</t>
  </si>
  <si>
    <t>Mount Tabor High School</t>
  </si>
  <si>
    <t>Parkland High School</t>
  </si>
  <si>
    <t>R J Reynolds High School</t>
  </si>
  <si>
    <t>Atkins Academyemic &amp; Tech High School</t>
  </si>
  <si>
    <t>Winston-Salem</t>
  </si>
  <si>
    <t>Middle College Of Forsyth Cnty</t>
  </si>
  <si>
    <t>Winston-Salem Preparatory Academy</t>
  </si>
  <si>
    <t>South Central</t>
  </si>
  <si>
    <t>Winterville</t>
  </si>
  <si>
    <t>Cs Brown High School</t>
  </si>
  <si>
    <t>Winton</t>
  </si>
  <si>
    <t>Yadkin Early College</t>
  </si>
  <si>
    <t>Yadkinville</t>
  </si>
  <si>
    <t>Bartlett Yancey High School</t>
  </si>
  <si>
    <t>Yanceyville</t>
  </si>
  <si>
    <t>Beach</t>
  </si>
  <si>
    <t>Belfield High School</t>
  </si>
  <si>
    <t>Belfield</t>
  </si>
  <si>
    <t>Berthold High School</t>
  </si>
  <si>
    <t>Berthold</t>
  </si>
  <si>
    <t>South Central Alternative High School</t>
  </si>
  <si>
    <t>Bottineau Junior-Senior High School</t>
  </si>
  <si>
    <t>Bottineau</t>
  </si>
  <si>
    <t>Bowbells High School</t>
  </si>
  <si>
    <t>Bowbells</t>
  </si>
  <si>
    <t>Bowman Co High School</t>
  </si>
  <si>
    <t>Bowman</t>
  </si>
  <si>
    <t>Cando</t>
  </si>
  <si>
    <t>Carrington High School</t>
  </si>
  <si>
    <t>Carrington</t>
  </si>
  <si>
    <t>Central Cass High School</t>
  </si>
  <si>
    <t>Casselton</t>
  </si>
  <si>
    <t>Cavalier High School</t>
  </si>
  <si>
    <t>Cavalier</t>
  </si>
  <si>
    <t>Center-Stanton High School</t>
  </si>
  <si>
    <t>Richland Junior-Senior High School</t>
  </si>
  <si>
    <t>Griggs County Central High School</t>
  </si>
  <si>
    <t>Divide County High School</t>
  </si>
  <si>
    <t>Des Lacs-Burlington High School</t>
  </si>
  <si>
    <t>Des Lacs</t>
  </si>
  <si>
    <t>Devils Lake High School</t>
  </si>
  <si>
    <t>Devils Lake</t>
  </si>
  <si>
    <t>Dickinson High School</t>
  </si>
  <si>
    <t>Southwest Community High School</t>
  </si>
  <si>
    <t>Drake High School</t>
  </si>
  <si>
    <t>Drake</t>
  </si>
  <si>
    <t>Drayton High School</t>
  </si>
  <si>
    <t>Drayton</t>
  </si>
  <si>
    <t>Dunseith High School</t>
  </si>
  <si>
    <t>Dunseith</t>
  </si>
  <si>
    <t>Edgeley High School</t>
  </si>
  <si>
    <t>Edgeley</t>
  </si>
  <si>
    <t>Valley-Edinburg High School</t>
  </si>
  <si>
    <t>Edmore High School</t>
  </si>
  <si>
    <t>Edmore</t>
  </si>
  <si>
    <t>Elgin-New Leipzig High School</t>
  </si>
  <si>
    <t>Ellendale High School</t>
  </si>
  <si>
    <t>Ellendale</t>
  </si>
  <si>
    <t>Enderlin Area High School</t>
  </si>
  <si>
    <t>Enderlin</t>
  </si>
  <si>
    <t>Fairmount High School</t>
  </si>
  <si>
    <t>Fargo Davies High School</t>
  </si>
  <si>
    <t>Fargo</t>
  </si>
  <si>
    <t>Woodrow Wilson Alternative High School</t>
  </si>
  <si>
    <t>Fessenden-Bowdon High School</t>
  </si>
  <si>
    <t>Fessenden</t>
  </si>
  <si>
    <t>Finley-Sharon High School</t>
  </si>
  <si>
    <t>Finley</t>
  </si>
  <si>
    <t>Flasher High School</t>
  </si>
  <si>
    <t>Flasher</t>
  </si>
  <si>
    <t>Fordville-Lankin High School</t>
  </si>
  <si>
    <t>Fordville</t>
  </si>
  <si>
    <t>Sargent Central High School</t>
  </si>
  <si>
    <t>Forman</t>
  </si>
  <si>
    <t>Four Winds Community High School</t>
  </si>
  <si>
    <t>Fort Totten</t>
  </si>
  <si>
    <t>Gackle-Streeter High School</t>
  </si>
  <si>
    <t>Gackle</t>
  </si>
  <si>
    <t>Garrison High School</t>
  </si>
  <si>
    <t>Garrison</t>
  </si>
  <si>
    <t>Glen Ullin High School</t>
  </si>
  <si>
    <t>Glen Ullin</t>
  </si>
  <si>
    <t>Glenburn High School</t>
  </si>
  <si>
    <t>Glenburn</t>
  </si>
  <si>
    <t>Midkota High School</t>
  </si>
  <si>
    <t>Glenfield</t>
  </si>
  <si>
    <t>Community Alternative High School</t>
  </si>
  <si>
    <t>Tgu-Granville High School</t>
  </si>
  <si>
    <t>Grenora High School</t>
  </si>
  <si>
    <t>Grenora</t>
  </si>
  <si>
    <t>North Sargent High School</t>
  </si>
  <si>
    <t>Gwinner</t>
  </si>
  <si>
    <t>Hankinson High School</t>
  </si>
  <si>
    <t>Hankinson</t>
  </si>
  <si>
    <t>Harvey High School</t>
  </si>
  <si>
    <t>Hatton Eielson High School</t>
  </si>
  <si>
    <t>Hatton</t>
  </si>
  <si>
    <t>Hazelton-Moffit-Braddock High School</t>
  </si>
  <si>
    <t>Hazelton</t>
  </si>
  <si>
    <t>Hettinger High School</t>
  </si>
  <si>
    <t>Hettinger</t>
  </si>
  <si>
    <t>Northern Cass High School</t>
  </si>
  <si>
    <t>Hunter</t>
  </si>
  <si>
    <t>Kenmare High School</t>
  </si>
  <si>
    <t>Kenmare</t>
  </si>
  <si>
    <t>Killdeer High School</t>
  </si>
  <si>
    <t>Killdeer</t>
  </si>
  <si>
    <t>Kindred High School</t>
  </si>
  <si>
    <t>Kindred</t>
  </si>
  <si>
    <t>Kulm High School</t>
  </si>
  <si>
    <t>Kulm</t>
  </si>
  <si>
    <t>Lakota High School</t>
  </si>
  <si>
    <t>Lakota</t>
  </si>
  <si>
    <t>Lamoure High School</t>
  </si>
  <si>
    <t>Lamoure</t>
  </si>
  <si>
    <t>Langdon Area High School</t>
  </si>
  <si>
    <t>Larimore High School</t>
  </si>
  <si>
    <t>Larimore</t>
  </si>
  <si>
    <t>Lidgerwood High School</t>
  </si>
  <si>
    <t>Lidgerwood</t>
  </si>
  <si>
    <t>Burke Central High School</t>
  </si>
  <si>
    <t>Lignite</t>
  </si>
  <si>
    <t>Linton High School</t>
  </si>
  <si>
    <t>Maddock High School</t>
  </si>
  <si>
    <t>Maddock</t>
  </si>
  <si>
    <t>Brave Center Academy</t>
  </si>
  <si>
    <t>Mandan</t>
  </si>
  <si>
    <t>Mandan High School</t>
  </si>
  <si>
    <t>Marmot School 9-12</t>
  </si>
  <si>
    <t>Litchville-Marion High School</t>
  </si>
  <si>
    <t>Max High School</t>
  </si>
  <si>
    <t>Max</t>
  </si>
  <si>
    <t>May-Port Cg High School</t>
  </si>
  <si>
    <t>Mcclusky High School</t>
  </si>
  <si>
    <t>Mcclusky</t>
  </si>
  <si>
    <t>Milnor High School</t>
  </si>
  <si>
    <t>Milnor</t>
  </si>
  <si>
    <t>Sundale Colony High School</t>
  </si>
  <si>
    <t>Minnewaukan High School</t>
  </si>
  <si>
    <t>Minnewaukan</t>
  </si>
  <si>
    <t>Magic City Campus High School</t>
  </si>
  <si>
    <t>Minot</t>
  </si>
  <si>
    <t>Nedrose High School</t>
  </si>
  <si>
    <t>Souris River Campus Alternative High School</t>
  </si>
  <si>
    <t>South Prairie High School</t>
  </si>
  <si>
    <t>Minto High School</t>
  </si>
  <si>
    <t>Minto</t>
  </si>
  <si>
    <t>Mls-Mohall High School</t>
  </si>
  <si>
    <t>Mohall</t>
  </si>
  <si>
    <t>Montpelier High School</t>
  </si>
  <si>
    <t>Mott-Regent High School</t>
  </si>
  <si>
    <t>Mott</t>
  </si>
  <si>
    <t>Munich High School</t>
  </si>
  <si>
    <t>Munich</t>
  </si>
  <si>
    <t>New England High School</t>
  </si>
  <si>
    <t>New England</t>
  </si>
  <si>
    <t>New Rockford-Sheyenne High School</t>
  </si>
  <si>
    <t>New Rockford</t>
  </si>
  <si>
    <t>New Salem-Almont High School</t>
  </si>
  <si>
    <t>New Salem</t>
  </si>
  <si>
    <t>New Town</t>
  </si>
  <si>
    <t>Newburg-United High School</t>
  </si>
  <si>
    <t>Oakes High School</t>
  </si>
  <si>
    <t>Oakes</t>
  </si>
  <si>
    <t>Park River High School</t>
  </si>
  <si>
    <t>Park River</t>
  </si>
  <si>
    <t>Parshall High School</t>
  </si>
  <si>
    <t>Parshall</t>
  </si>
  <si>
    <t>North Border-Pembina High School</t>
  </si>
  <si>
    <t>Pembina</t>
  </si>
  <si>
    <t>Dakota Prairie High School</t>
  </si>
  <si>
    <t>Pingree-Buchanan High School</t>
  </si>
  <si>
    <t>Pingree</t>
  </si>
  <si>
    <t>North Shore Plaza High School</t>
  </si>
  <si>
    <t>Plaza</t>
  </si>
  <si>
    <t>Powers Lake High School</t>
  </si>
  <si>
    <t>Powers Lake</t>
  </si>
  <si>
    <t>Ray High School</t>
  </si>
  <si>
    <t>Ray</t>
  </si>
  <si>
    <t>Richardton-Taylor High School</t>
  </si>
  <si>
    <t>Richardton</t>
  </si>
  <si>
    <t>Rolette High School</t>
  </si>
  <si>
    <t>Rolette</t>
  </si>
  <si>
    <t>Mt Pleasant High School</t>
  </si>
  <si>
    <t>Rugby High School</t>
  </si>
  <si>
    <t>Saint John High School</t>
  </si>
  <si>
    <t>Saint Thomas High School</t>
  </si>
  <si>
    <t>Saint Thomas</t>
  </si>
  <si>
    <t>Selfridge High School</t>
  </si>
  <si>
    <t>Selfridge</t>
  </si>
  <si>
    <t>Solen High School</t>
  </si>
  <si>
    <t>Solen</t>
  </si>
  <si>
    <t>South Heart High School</t>
  </si>
  <si>
    <t>South Heart</t>
  </si>
  <si>
    <t>Stanley High School</t>
  </si>
  <si>
    <t>Stanley</t>
  </si>
  <si>
    <t>Starkweather High School</t>
  </si>
  <si>
    <t>Starkweather</t>
  </si>
  <si>
    <t>Steele-Dawson High School</t>
  </si>
  <si>
    <t>Surrey High School</t>
  </si>
  <si>
    <t>Surrey</t>
  </si>
  <si>
    <t>Thompson</t>
  </si>
  <si>
    <t>Maple Valley High School</t>
  </si>
  <si>
    <t>Tower City</t>
  </si>
  <si>
    <t>Tgu-Towner High School</t>
  </si>
  <si>
    <t>Towner</t>
  </si>
  <si>
    <t>Eight Mile High School</t>
  </si>
  <si>
    <t>Turtle Lake-Mercer High School</t>
  </si>
  <si>
    <t>Turtle Lake</t>
  </si>
  <si>
    <t>Valley City High School</t>
  </si>
  <si>
    <t>Valley City</t>
  </si>
  <si>
    <t>Velva High School</t>
  </si>
  <si>
    <t>Velva</t>
  </si>
  <si>
    <t>Wahpeton High School</t>
  </si>
  <si>
    <t>Wahpeton</t>
  </si>
  <si>
    <t>North Border-Walhalla High School</t>
  </si>
  <si>
    <t>Walhalla</t>
  </si>
  <si>
    <t>Warwick High School</t>
  </si>
  <si>
    <t>Washburn High School</t>
  </si>
  <si>
    <t>Watford City High School</t>
  </si>
  <si>
    <t>Watford City</t>
  </si>
  <si>
    <t>West Fargo High School</t>
  </si>
  <si>
    <t>West Fargo</t>
  </si>
  <si>
    <t>West Fargo Sheyenne High School</t>
  </si>
  <si>
    <t>Westhope High School</t>
  </si>
  <si>
    <t>Westhope</t>
  </si>
  <si>
    <t>Del Easton Alternative High School</t>
  </si>
  <si>
    <t>Williston High School</t>
  </si>
  <si>
    <t>Barnes County North High School</t>
  </si>
  <si>
    <t>Wimbledon</t>
  </si>
  <si>
    <t>Wing High School</t>
  </si>
  <si>
    <t>Wing</t>
  </si>
  <si>
    <t>Wishek High School</t>
  </si>
  <si>
    <t>Wishek</t>
  </si>
  <si>
    <t>Wolford High School</t>
  </si>
  <si>
    <t>Wolford</t>
  </si>
  <si>
    <t>Wyndmere High School</t>
  </si>
  <si>
    <t>Wyndmere</t>
  </si>
  <si>
    <t>Zeeland High School</t>
  </si>
  <si>
    <t>Ada High School</t>
  </si>
  <si>
    <t>Akron Alternative Academy</t>
  </si>
  <si>
    <t>Akron Early College High School</t>
  </si>
  <si>
    <t>Akron Stem High School</t>
  </si>
  <si>
    <t>Buchtel High School</t>
  </si>
  <si>
    <t>East Community Learning Center</t>
  </si>
  <si>
    <t>Ellet High School</t>
  </si>
  <si>
    <t>Firestone High School</t>
  </si>
  <si>
    <t>Kenmore/Garfield High School</t>
  </si>
  <si>
    <t>Life Skills Center Of North Akron</t>
  </si>
  <si>
    <t>Towpath Trail High School</t>
  </si>
  <si>
    <t>Alexander Jr. / Sr. High School</t>
  </si>
  <si>
    <t>Marlington High School</t>
  </si>
  <si>
    <t>Amanda-Clearcreek High School</t>
  </si>
  <si>
    <t>Amanda</t>
  </si>
  <si>
    <t>Marion L Steele High School</t>
  </si>
  <si>
    <t>Pymatuning Valley High School</t>
  </si>
  <si>
    <t>Anna High School</t>
  </si>
  <si>
    <t>Antwerp Local High School</t>
  </si>
  <si>
    <t>Antwerp</t>
  </si>
  <si>
    <t>Waynedale High School</t>
  </si>
  <si>
    <t>Apple Creek</t>
  </si>
  <si>
    <t>Arcanum High School</t>
  </si>
  <si>
    <t>Arcanum</t>
  </si>
  <si>
    <t>Archbold High School</t>
  </si>
  <si>
    <t>Archbold</t>
  </si>
  <si>
    <t>Arlington Local High School</t>
  </si>
  <si>
    <t>Ashland County Community Academy</t>
  </si>
  <si>
    <t>Mapleton High School</t>
  </si>
  <si>
    <t>Teays Valley High School</t>
  </si>
  <si>
    <t>Seneca East High School</t>
  </si>
  <si>
    <t>Avon Lake High School</t>
  </si>
  <si>
    <t>Avon Lake</t>
  </si>
  <si>
    <t>Paint Valley High School</t>
  </si>
  <si>
    <t>Liberty Union High School</t>
  </si>
  <si>
    <t>Barberton High School</t>
  </si>
  <si>
    <t>Barberton</t>
  </si>
  <si>
    <t>Barnesville High School</t>
  </si>
  <si>
    <t>Hopewell-Loudon Local High School</t>
  </si>
  <si>
    <t>Bascom</t>
  </si>
  <si>
    <t>Clermont Northeastern High School</t>
  </si>
  <si>
    <t>Bay Village</t>
  </si>
  <si>
    <t>Beachwood High School</t>
  </si>
  <si>
    <t>Beallsville High School</t>
  </si>
  <si>
    <t>Beallsville</t>
  </si>
  <si>
    <t>Beaver</t>
  </si>
  <si>
    <t>Beavercreek High School</t>
  </si>
  <si>
    <t>Beavercreek</t>
  </si>
  <si>
    <t>Bellaire High School</t>
  </si>
  <si>
    <t>Bellbrook High School</t>
  </si>
  <si>
    <t>Bellefontaine High School</t>
  </si>
  <si>
    <t>Bellefontaine</t>
  </si>
  <si>
    <t>Benjamin Logan High School</t>
  </si>
  <si>
    <t>Clear Fork High School</t>
  </si>
  <si>
    <t>Bellville</t>
  </si>
  <si>
    <t>Union Local High School</t>
  </si>
  <si>
    <t>Belpre High School</t>
  </si>
  <si>
    <t>Belpre</t>
  </si>
  <si>
    <t>Berea-Midpark High School</t>
  </si>
  <si>
    <t>Hiland High School</t>
  </si>
  <si>
    <t>Western Reserve High School</t>
  </si>
  <si>
    <t>Berlin Center</t>
  </si>
  <si>
    <t>Bethel Tate High School</t>
  </si>
  <si>
    <t>Fort Frye High School</t>
  </si>
  <si>
    <t>Bexley High School</t>
  </si>
  <si>
    <t>Bexley</t>
  </si>
  <si>
    <t>Bidwell</t>
  </si>
  <si>
    <t>Blanchester High School</t>
  </si>
  <si>
    <t>Blanchester</t>
  </si>
  <si>
    <t>Bloomdale</t>
  </si>
  <si>
    <t>Botkins High School</t>
  </si>
  <si>
    <t>Botkins</t>
  </si>
  <si>
    <t>Conotton Valley High School</t>
  </si>
  <si>
    <t>Bowerston</t>
  </si>
  <si>
    <t>The Bridgeport School District - High School</t>
  </si>
  <si>
    <t>Bristol High School</t>
  </si>
  <si>
    <t>Bristolville</t>
  </si>
  <si>
    <t>Brecksville-Broadview Heights High School</t>
  </si>
  <si>
    <t>Broadview Heights</t>
  </si>
  <si>
    <t>Brooklyn High School</t>
  </si>
  <si>
    <t>Brookville High School</t>
  </si>
  <si>
    <t>Bryan Middle School/High School</t>
  </si>
  <si>
    <t>Bucyrus Secondary School</t>
  </si>
  <si>
    <t>Bucyrus</t>
  </si>
  <si>
    <t>Wynford High School</t>
  </si>
  <si>
    <t>Berkshire High School</t>
  </si>
  <si>
    <t>Meadowbrook High School</t>
  </si>
  <si>
    <t>Byesville</t>
  </si>
  <si>
    <t>Harrison Central Jr./Sr. High School</t>
  </si>
  <si>
    <t>Caldwell High School</t>
  </si>
  <si>
    <t>Preble Shawnee High School/Junior High School</t>
  </si>
  <si>
    <t>Canal Fulton</t>
  </si>
  <si>
    <t>Canal Winchester High School</t>
  </si>
  <si>
    <t>Canfield High School</t>
  </si>
  <si>
    <t>Canfield</t>
  </si>
  <si>
    <t>South Range High School</t>
  </si>
  <si>
    <t>Canton City Digital Academy</t>
  </si>
  <si>
    <t>Canton Harbor High School</t>
  </si>
  <si>
    <t>Canton South High School</t>
  </si>
  <si>
    <t>Choices Alternative School</t>
  </si>
  <si>
    <t>Glenoak High School</t>
  </si>
  <si>
    <t>Mckinley High School</t>
  </si>
  <si>
    <t>Stark High School</t>
  </si>
  <si>
    <t>Cardington-Lincoln High School</t>
  </si>
  <si>
    <t>Cardington</t>
  </si>
  <si>
    <t>Tomorrow Center</t>
  </si>
  <si>
    <t>Carey High School</t>
  </si>
  <si>
    <t>Carey</t>
  </si>
  <si>
    <t>Bloom-Carroll High School</t>
  </si>
  <si>
    <t>Miami East High School</t>
  </si>
  <si>
    <t>Casstown</t>
  </si>
  <si>
    <t>Margaretta High School</t>
  </si>
  <si>
    <t>Castalia</t>
  </si>
  <si>
    <t>Townsend North Community School</t>
  </si>
  <si>
    <t>Celina High School</t>
  </si>
  <si>
    <t>Celina</t>
  </si>
  <si>
    <t>Centerburg High School</t>
  </si>
  <si>
    <t>Centerburg</t>
  </si>
  <si>
    <t>Chagrin Falls High School</t>
  </si>
  <si>
    <t>Kenston High School</t>
  </si>
  <si>
    <t>Chardon High School</t>
  </si>
  <si>
    <t>Chardon</t>
  </si>
  <si>
    <t>West Geauga High School</t>
  </si>
  <si>
    <t>Chesterland</t>
  </si>
  <si>
    <t>Unioto High School</t>
  </si>
  <si>
    <t>Zane Trace High School</t>
  </si>
  <si>
    <t>Achievepoint Career Academy - Cincinnati</t>
  </si>
  <si>
    <t>Aiken High School</t>
  </si>
  <si>
    <t>Clark Montessori High School</t>
  </si>
  <si>
    <t>Colerain High School</t>
  </si>
  <si>
    <t>Deer Park  Jr/Sr High School</t>
  </si>
  <si>
    <t>Dohn Community</t>
  </si>
  <si>
    <t>Finneytown Secondary Campus</t>
  </si>
  <si>
    <t>Gilbert A. Dater High School</t>
  </si>
  <si>
    <t>Hughes Stem High School</t>
  </si>
  <si>
    <t>Indian Hill High School</t>
  </si>
  <si>
    <t>James N. Gamble Montessori High School</t>
  </si>
  <si>
    <t>Life Skills Ctr Of Cincinnati</t>
  </si>
  <si>
    <t>Lighthouse Community Sch Inc</t>
  </si>
  <si>
    <t>Madeira High School</t>
  </si>
  <si>
    <t>Mariemont High School</t>
  </si>
  <si>
    <t>Mt Healthy High School</t>
  </si>
  <si>
    <t>North College Hill High School</t>
  </si>
  <si>
    <t>Princeton Innovation Center</t>
  </si>
  <si>
    <t>Robert A. Taft Information Technology  High School</t>
  </si>
  <si>
    <t>Shroder Paideia High School</t>
  </si>
  <si>
    <t>Turpin High School</t>
  </si>
  <si>
    <t>Walnut Hills High School</t>
  </si>
  <si>
    <t>West Clermont High School</t>
  </si>
  <si>
    <t>Western Hills University High School</t>
  </si>
  <si>
    <t>Winton Woods High School</t>
  </si>
  <si>
    <t>Withrow University High School</t>
  </si>
  <si>
    <t>Woodward Career Technical High School</t>
  </si>
  <si>
    <t>Circleville High School</t>
  </si>
  <si>
    <t>Circleville</t>
  </si>
  <si>
    <t>Logan Elm High School</t>
  </si>
  <si>
    <t>Clinton-Massie High School</t>
  </si>
  <si>
    <t>Northmont High School</t>
  </si>
  <si>
    <t>Bard Early College Cleveland</t>
  </si>
  <si>
    <t>Cleveland Academy For Scholarship Technology And Leadership</t>
  </si>
  <si>
    <t>Cleveland Early College High School</t>
  </si>
  <si>
    <t>Cleveland High School For The Digital Arts</t>
  </si>
  <si>
    <t>Cleveland School Of Architecture &amp; Design</t>
  </si>
  <si>
    <t>Cleveland School Of Science &amp; Medicine</t>
  </si>
  <si>
    <t>Cleveland School Of The Arts High School</t>
  </si>
  <si>
    <t>Collinwood High School</t>
  </si>
  <si>
    <t>Design Lab @ Health Careers</t>
  </si>
  <si>
    <t>E3Agle Academy</t>
  </si>
  <si>
    <t>East Technical High School</t>
  </si>
  <si>
    <t>Facing History High School@Charles Mooney</t>
  </si>
  <si>
    <t>Garrett Morgan Schl Of Science School</t>
  </si>
  <si>
    <t>Ginn Academy</t>
  </si>
  <si>
    <t>Horizon Science Academy Cleveland</t>
  </si>
  <si>
    <t>Invictus High School</t>
  </si>
  <si>
    <t>James Ford Rhodes High School</t>
  </si>
  <si>
    <t>John Marshall School Of Business And Civic Leadership</t>
  </si>
  <si>
    <t>John Marshall School Of Engineering</t>
  </si>
  <si>
    <t>John Marshall School Of Information Technology</t>
  </si>
  <si>
    <t>Lake Erie International High School</t>
  </si>
  <si>
    <t>Lincoln West School Of Science &amp; Health</t>
  </si>
  <si>
    <t>Lincoln-West High School</t>
  </si>
  <si>
    <t>Martin Luther King Jr. Campus</t>
  </si>
  <si>
    <t>Max S Hayes High School</t>
  </si>
  <si>
    <t>Mc^2 Stem High School</t>
  </si>
  <si>
    <t>New Technology High School@East Tech</t>
  </si>
  <si>
    <t>New Technology West</t>
  </si>
  <si>
    <t>Old Brook High School</t>
  </si>
  <si>
    <t>Pact @ Jfk</t>
  </si>
  <si>
    <t>Promise Academy</t>
  </si>
  <si>
    <t>Regent High School</t>
  </si>
  <si>
    <t>The School Of One</t>
  </si>
  <si>
    <t>Whitney Young School</t>
  </si>
  <si>
    <t>Cleveland Heights High School</t>
  </si>
  <si>
    <t>Cleves</t>
  </si>
  <si>
    <t>Clyde High School</t>
  </si>
  <si>
    <t>Dawson-Bryant High School</t>
  </si>
  <si>
    <t>Coal Grove</t>
  </si>
  <si>
    <t>Columbia Station</t>
  </si>
  <si>
    <t>Columbiana High School</t>
  </si>
  <si>
    <t>Achievepoint Career Academy - Columbus</t>
  </si>
  <si>
    <t>Arts &amp; College Preparatory Academy</t>
  </si>
  <si>
    <t>Beechcroft High School</t>
  </si>
  <si>
    <t>Briggs High School</t>
  </si>
  <si>
    <t>Charles School At Ohio Dominican University</t>
  </si>
  <si>
    <t>Columbus Africentric Early College High School</t>
  </si>
  <si>
    <t>Columbus Alternative High School</t>
  </si>
  <si>
    <t>Columbus North International School (7-12)</t>
  </si>
  <si>
    <t>Eastmoor Academy</t>
  </si>
  <si>
    <t>Flex High School</t>
  </si>
  <si>
    <t>Focus Learning Academy Of Southeastern Columbus</t>
  </si>
  <si>
    <t>Focus Learning Academy Of Southwest Columbus</t>
  </si>
  <si>
    <t>Focus North High School</t>
  </si>
  <si>
    <t>Fort Hayes Arts And Academyemic High School</t>
  </si>
  <si>
    <t>Franklin Heights High School</t>
  </si>
  <si>
    <t>Franklinton Preparatory Academy</t>
  </si>
  <si>
    <t>Graham School The</t>
  </si>
  <si>
    <t>Grandview Heights High School</t>
  </si>
  <si>
    <t>Hamilton Township High School</t>
  </si>
  <si>
    <t>Horizon Science Academy Columbus</t>
  </si>
  <si>
    <t>Life Skills Center Of Columbus North</t>
  </si>
  <si>
    <t>Life Skills Center Of Columbus Southeast</t>
  </si>
  <si>
    <t>Linden-Mckinley Stem Academy</t>
  </si>
  <si>
    <t>Marion-Franklin High School</t>
  </si>
  <si>
    <t>Mason Run High School</t>
  </si>
  <si>
    <t>Metro Early College High School</t>
  </si>
  <si>
    <t>Mifflin High School</t>
  </si>
  <si>
    <t>Northland High School</t>
  </si>
  <si>
    <t>Ohio Construction Academy</t>
  </si>
  <si>
    <t>Road To Success Academy</t>
  </si>
  <si>
    <t>State School For The Blind</t>
  </si>
  <si>
    <t>The Academy For Urban Scholars</t>
  </si>
  <si>
    <t>Whetstone High School</t>
  </si>
  <si>
    <t>Yb Columbus Community School</t>
  </si>
  <si>
    <t>Columbus Grove High School</t>
  </si>
  <si>
    <t>Istem Geauga Early College High School</t>
  </si>
  <si>
    <t>Conneaut High School</t>
  </si>
  <si>
    <t>Conneaut</t>
  </si>
  <si>
    <t>Continental Local High School</t>
  </si>
  <si>
    <t>Continental</t>
  </si>
  <si>
    <t>Convoy</t>
  </si>
  <si>
    <t>Copley High School</t>
  </si>
  <si>
    <t>Copley</t>
  </si>
  <si>
    <t>Maplewood High School</t>
  </si>
  <si>
    <t>Coshocton High School</t>
  </si>
  <si>
    <t>Coshocton</t>
  </si>
  <si>
    <t>Coshocton Opportunity School</t>
  </si>
  <si>
    <t>Col Crawford High School</t>
  </si>
  <si>
    <t>Crestline</t>
  </si>
  <si>
    <t>Crestline High School</t>
  </si>
  <si>
    <t>Norwayne High School</t>
  </si>
  <si>
    <t>Crooksville High School</t>
  </si>
  <si>
    <t>Crooksville</t>
  </si>
  <si>
    <t>South Gallia High School</t>
  </si>
  <si>
    <t>Crown City</t>
  </si>
  <si>
    <t>Cuyahoga Falls High School</t>
  </si>
  <si>
    <t>Cuyahoga Falls</t>
  </si>
  <si>
    <t>Schnee Learning Center</t>
  </si>
  <si>
    <t>Cuyahoga Hts High School</t>
  </si>
  <si>
    <t>Cuyahoga Heights</t>
  </si>
  <si>
    <t>David H. Ponitz Career Technology  Center</t>
  </si>
  <si>
    <t>Dayton Business Technology High School</t>
  </si>
  <si>
    <t>Dayton Early College Academy Inc</t>
  </si>
  <si>
    <t>Dunbar Early College High School</t>
  </si>
  <si>
    <t>Horizon Science Academy Dayton High School</t>
  </si>
  <si>
    <t>Life Skills Center Of Dayton</t>
  </si>
  <si>
    <t>Meadowdale High School</t>
  </si>
  <si>
    <t>Mound Street Academyemies</t>
  </si>
  <si>
    <t>Stebbins High School</t>
  </si>
  <si>
    <t>Stivers School For The Arts</t>
  </si>
  <si>
    <t>Thurgood Marshall High School</t>
  </si>
  <si>
    <t>Urban Early College Network</t>
  </si>
  <si>
    <t>De Graff</t>
  </si>
  <si>
    <t>Ayersville High School</t>
  </si>
  <si>
    <t>Defiance</t>
  </si>
  <si>
    <t>Defiance High School</t>
  </si>
  <si>
    <t>Tinora High School</t>
  </si>
  <si>
    <t>Buckeye Valley Local High School</t>
  </si>
  <si>
    <t>Rutherford B Hayes High School</t>
  </si>
  <si>
    <t>Pike-Delta-York High School</t>
  </si>
  <si>
    <t>Hardin Northern High School</t>
  </si>
  <si>
    <t>Dola</t>
  </si>
  <si>
    <t>Chippewa Jr./Sr. High School</t>
  </si>
  <si>
    <t>Doylestown</t>
  </si>
  <si>
    <t>Dresden</t>
  </si>
  <si>
    <t>Dublin Coffman High School</t>
  </si>
  <si>
    <t>Dublin Jerome High School</t>
  </si>
  <si>
    <t>Dublin Scioto High School</t>
  </si>
  <si>
    <t>Philo High School</t>
  </si>
  <si>
    <t>Duncan Falls</t>
  </si>
  <si>
    <t>East Canton High School</t>
  </si>
  <si>
    <t>East Canton</t>
  </si>
  <si>
    <t>East Cleveland</t>
  </si>
  <si>
    <t>Beaver Local High School</t>
  </si>
  <si>
    <t>East Liverpool</t>
  </si>
  <si>
    <t>East Liverpool High School</t>
  </si>
  <si>
    <t>East Palestine High School</t>
  </si>
  <si>
    <t>East Palestine</t>
  </si>
  <si>
    <t>Eastlake</t>
  </si>
  <si>
    <t>Edgerton High School</t>
  </si>
  <si>
    <t>Edon High School</t>
  </si>
  <si>
    <t>Edon</t>
  </si>
  <si>
    <t>Woodmore High School</t>
  </si>
  <si>
    <t>Elyria High School</t>
  </si>
  <si>
    <t>Elyria</t>
  </si>
  <si>
    <t>Life Skills Center Of Elyria</t>
  </si>
  <si>
    <t>Euclid High School</t>
  </si>
  <si>
    <t>Euclid</t>
  </si>
  <si>
    <t>Fairborn Digital Academy</t>
  </si>
  <si>
    <t>Fairborn</t>
  </si>
  <si>
    <t>Fairborn High School</t>
  </si>
  <si>
    <t>Fairport Harding High School</t>
  </si>
  <si>
    <t>Fairport Harbor</t>
  </si>
  <si>
    <t>Fairview Park</t>
  </si>
  <si>
    <t>Fayette Jr/Sr High School</t>
  </si>
  <si>
    <t>Fayetteville-Perry High School</t>
  </si>
  <si>
    <t>Felicity-Franklin Local  High School</t>
  </si>
  <si>
    <t>Felicity</t>
  </si>
  <si>
    <t>Findlay Digital Academy</t>
  </si>
  <si>
    <t>Findlay</t>
  </si>
  <si>
    <t>Findlay High School</t>
  </si>
  <si>
    <t>Liberty-Benton High School</t>
  </si>
  <si>
    <t>Fort Jennings High School</t>
  </si>
  <si>
    <t>Fort Jennings</t>
  </si>
  <si>
    <t>Fort Loramie Junior-Senior High School</t>
  </si>
  <si>
    <t>Fort Loramie</t>
  </si>
  <si>
    <t>Fort Recovery High School</t>
  </si>
  <si>
    <t>Fort Recovery</t>
  </si>
  <si>
    <t>Fostoria Junior/Senior High School</t>
  </si>
  <si>
    <t>Fostoria</t>
  </si>
  <si>
    <t>Adena High School</t>
  </si>
  <si>
    <t>Green High School</t>
  </si>
  <si>
    <t>Franklin Furnace</t>
  </si>
  <si>
    <t>Fremont Ross High School</t>
  </si>
  <si>
    <t>Galion High School</t>
  </si>
  <si>
    <t>Galion</t>
  </si>
  <si>
    <t>Northmor High School</t>
  </si>
  <si>
    <t>Gallia Academy High School</t>
  </si>
  <si>
    <t>Gallipolis</t>
  </si>
  <si>
    <t>Westland High School</t>
  </si>
  <si>
    <t>Garfield Heights High School</t>
  </si>
  <si>
    <t>James A Garfield High School</t>
  </si>
  <si>
    <t>Garrettsville</t>
  </si>
  <si>
    <t>Genoa Area High School</t>
  </si>
  <si>
    <t>Georgetown Jr/Sr High School</t>
  </si>
  <si>
    <t>Gibsonburg High School</t>
  </si>
  <si>
    <t>Gibsonburg</t>
  </si>
  <si>
    <t>Girard Sr High School</t>
  </si>
  <si>
    <t>Trimble High School</t>
  </si>
  <si>
    <t>Glouster</t>
  </si>
  <si>
    <t>Indian Valley High School</t>
  </si>
  <si>
    <t>Gnadenhutten</t>
  </si>
  <si>
    <t>Midview High School</t>
  </si>
  <si>
    <t>Granville High School</t>
  </si>
  <si>
    <t>Green</t>
  </si>
  <si>
    <t>Mcclain High School</t>
  </si>
  <si>
    <t>Central Crossing High School</t>
  </si>
  <si>
    <t>Grove City High School</t>
  </si>
  <si>
    <t>Cruiser Academy</t>
  </si>
  <si>
    <t>Groveport</t>
  </si>
  <si>
    <t>Groveport Madison High School</t>
  </si>
  <si>
    <t>Miami School</t>
  </si>
  <si>
    <t>New Miami  High School</t>
  </si>
  <si>
    <t>Ross High School</t>
  </si>
  <si>
    <t>Patrick Henry High School</t>
  </si>
  <si>
    <t>Hamler</t>
  </si>
  <si>
    <t>River High School</t>
  </si>
  <si>
    <t>Hanoverton</t>
  </si>
  <si>
    <t>Allen East High School</t>
  </si>
  <si>
    <t>Harrod</t>
  </si>
  <si>
    <t>Wayne Trace High School</t>
  </si>
  <si>
    <t>Haviland</t>
  </si>
  <si>
    <t>Heath High School</t>
  </si>
  <si>
    <t>Luther E Ball (Chjcf)</t>
  </si>
  <si>
    <t>Highland Hills</t>
  </si>
  <si>
    <t>Hilliard Bradley High School</t>
  </si>
  <si>
    <t>Hilliard Darby High School</t>
  </si>
  <si>
    <t>Hilliard Davidson High School</t>
  </si>
  <si>
    <t>Holgate High School</t>
  </si>
  <si>
    <t>Holgate</t>
  </si>
  <si>
    <t>East Knox Junior/Senior High School</t>
  </si>
  <si>
    <t>Howard</t>
  </si>
  <si>
    <t>Hubbard</t>
  </si>
  <si>
    <t>Huber Heights</t>
  </si>
  <si>
    <t>Ironton High School</t>
  </si>
  <si>
    <t>Rock Hill Sr High School</t>
  </si>
  <si>
    <t>Jackson Center High School</t>
  </si>
  <si>
    <t>Jackson Center</t>
  </si>
  <si>
    <t>Greeneview High School</t>
  </si>
  <si>
    <t>Jefferson Area Sr High School</t>
  </si>
  <si>
    <t>Jeromesville</t>
  </si>
  <si>
    <t>Johnstown High School</t>
  </si>
  <si>
    <t>Kalida High School</t>
  </si>
  <si>
    <t>Kalida</t>
  </si>
  <si>
    <t>Theodore Roosevelt High School</t>
  </si>
  <si>
    <t>Hardin Community School</t>
  </si>
  <si>
    <t>Kenton</t>
  </si>
  <si>
    <t>Kenton High School</t>
  </si>
  <si>
    <t>Dayton Regional Stem School</t>
  </si>
  <si>
    <t>Kettering Fairmont High School</t>
  </si>
  <si>
    <t>Kings High School</t>
  </si>
  <si>
    <t>Kings Mills</t>
  </si>
  <si>
    <t>Badger High School</t>
  </si>
  <si>
    <t>Kinsman</t>
  </si>
  <si>
    <t>Kirtland High School</t>
  </si>
  <si>
    <t>Keystone High School</t>
  </si>
  <si>
    <t>Lakeside Marblehead</t>
  </si>
  <si>
    <t>Fairfield Union High School</t>
  </si>
  <si>
    <t>Labrae High School</t>
  </si>
  <si>
    <t>Fairfield Local High School</t>
  </si>
  <si>
    <t>Leetonia High School</t>
  </si>
  <si>
    <t>Leetonia</t>
  </si>
  <si>
    <t>Leipsic High School</t>
  </si>
  <si>
    <t>Leipsic</t>
  </si>
  <si>
    <t>Lewis</t>
  </si>
  <si>
    <t>Olentangy High School</t>
  </si>
  <si>
    <t>Lewis Center</t>
  </si>
  <si>
    <t>Tri-County North High School</t>
  </si>
  <si>
    <t>Indian Lake High School</t>
  </si>
  <si>
    <t>Liberty Center High School</t>
  </si>
  <si>
    <t>Lakota East High School</t>
  </si>
  <si>
    <t>Liberty Township</t>
  </si>
  <si>
    <t>Auglaize County Educational Academy</t>
  </si>
  <si>
    <t>Lima Senior High School</t>
  </si>
  <si>
    <t>West Central Learning Academy Ii</t>
  </si>
  <si>
    <t>David Anderson Jr/Sr High School</t>
  </si>
  <si>
    <t>Lockland High School</t>
  </si>
  <si>
    <t>Lockland</t>
  </si>
  <si>
    <t>Cloverleaf High School</t>
  </si>
  <si>
    <t>London High School</t>
  </si>
  <si>
    <t>Madison-Plains High School</t>
  </si>
  <si>
    <t>Clearview High School</t>
  </si>
  <si>
    <t>Lorain High School</t>
  </si>
  <si>
    <t>New Beginnings</t>
  </si>
  <si>
    <t>Buckeye Trail High School</t>
  </si>
  <si>
    <t>Lore City</t>
  </si>
  <si>
    <t>Loudonville High School</t>
  </si>
  <si>
    <t>Loudonville</t>
  </si>
  <si>
    <t>Lowellville High School</t>
  </si>
  <si>
    <t>Lowellville</t>
  </si>
  <si>
    <t>Lucas High School</t>
  </si>
  <si>
    <t>Lucas</t>
  </si>
  <si>
    <t>Lucasville</t>
  </si>
  <si>
    <t>Lynchburg-Clay High School</t>
  </si>
  <si>
    <t>Nordonia High School</t>
  </si>
  <si>
    <t>Macedonia</t>
  </si>
  <si>
    <t>Sandy Valley High School</t>
  </si>
  <si>
    <t>Mansfield Senior High School</t>
  </si>
  <si>
    <t>Mantua</t>
  </si>
  <si>
    <t>Maple Heights High School</t>
  </si>
  <si>
    <t>Maple Heights</t>
  </si>
  <si>
    <t>Marion Local High School</t>
  </si>
  <si>
    <t>Maria Stein</t>
  </si>
  <si>
    <t>Harding High School</t>
  </si>
  <si>
    <t>Pleasant High School</t>
  </si>
  <si>
    <t>Martins Ferry High School</t>
  </si>
  <si>
    <t>Martins Ferry</t>
  </si>
  <si>
    <t>Marysville Stem Early College High School</t>
  </si>
  <si>
    <t>William Mason High School</t>
  </si>
  <si>
    <t>Massillon</t>
  </si>
  <si>
    <t>Tuslaw High School</t>
  </si>
  <si>
    <t>Maumee High School</t>
  </si>
  <si>
    <t>Maumee</t>
  </si>
  <si>
    <t>Vinton County High School</t>
  </si>
  <si>
    <t>Mc Arthur</t>
  </si>
  <si>
    <t>Morgan High School</t>
  </si>
  <si>
    <t>Mc Connelsville</t>
  </si>
  <si>
    <t>Mc Dermott</t>
  </si>
  <si>
    <t>Mcdonald High School</t>
  </si>
  <si>
    <t>Mc Donald</t>
  </si>
  <si>
    <t>Upper Scioto Valley High School</t>
  </si>
  <si>
    <t>Mc Guffey</t>
  </si>
  <si>
    <t>Mccomb Local High School</t>
  </si>
  <si>
    <t>Mechanicsburg High School</t>
  </si>
  <si>
    <t>Mechanicsburg</t>
  </si>
  <si>
    <t>Mentor High School</t>
  </si>
  <si>
    <t>Miamisburg High School</t>
  </si>
  <si>
    <t>Miamisburg</t>
  </si>
  <si>
    <t>Cardinal High School</t>
  </si>
  <si>
    <t>Middlefield</t>
  </si>
  <si>
    <t>Milford Sr High School</t>
  </si>
  <si>
    <t>Fairbanks High School</t>
  </si>
  <si>
    <t>Milford Center</t>
  </si>
  <si>
    <t>Miller City High School</t>
  </si>
  <si>
    <t>Miller City</t>
  </si>
  <si>
    <t>West Holmes High School</t>
  </si>
  <si>
    <t>Millersburg</t>
  </si>
  <si>
    <t>Millersport Jr/Sr High School</t>
  </si>
  <si>
    <t>Millersport</t>
  </si>
  <si>
    <t>Mineral Ridge High School</t>
  </si>
  <si>
    <t>Mineral Ridge</t>
  </si>
  <si>
    <t>Minerva High School</t>
  </si>
  <si>
    <t>Minerva</t>
  </si>
  <si>
    <t>Minford High School</t>
  </si>
  <si>
    <t>Minford</t>
  </si>
  <si>
    <t>Minster Jr/Sr High School</t>
  </si>
  <si>
    <t>Minster</t>
  </si>
  <si>
    <t>Field High School</t>
  </si>
  <si>
    <t>Mogadore</t>
  </si>
  <si>
    <t>Mogadore High School</t>
  </si>
  <si>
    <t>Monroeville High School</t>
  </si>
  <si>
    <t>Ridgedale Jr/Sr High School</t>
  </si>
  <si>
    <t>Morral</t>
  </si>
  <si>
    <t>Little Miami High School</t>
  </si>
  <si>
    <t>Beacon Hill Academy</t>
  </si>
  <si>
    <t>Mount Eaton</t>
  </si>
  <si>
    <t>Mt Gilead High School</t>
  </si>
  <si>
    <t>Western Brown High School</t>
  </si>
  <si>
    <t>Mount Orab</t>
  </si>
  <si>
    <t>Ridgemont High School</t>
  </si>
  <si>
    <t>Mount Victory</t>
  </si>
  <si>
    <t>Whiteoak High School</t>
  </si>
  <si>
    <t>Mowrystown</t>
  </si>
  <si>
    <t>Mt Blanchard</t>
  </si>
  <si>
    <t>Napoleon Junior/Senior High School</t>
  </si>
  <si>
    <t>Fairless High School</t>
  </si>
  <si>
    <t>Navarre</t>
  </si>
  <si>
    <t>Nelsonville-York High School</t>
  </si>
  <si>
    <t>Nelsonville</t>
  </si>
  <si>
    <t>New Bremen High School</t>
  </si>
  <si>
    <t>New Bremen</t>
  </si>
  <si>
    <t>New Concord</t>
  </si>
  <si>
    <t>New Knoxville High School</t>
  </si>
  <si>
    <t>New Knoxville</t>
  </si>
  <si>
    <t>Dixie High School</t>
  </si>
  <si>
    <t>New Lexington High School</t>
  </si>
  <si>
    <t>New Lexington</t>
  </si>
  <si>
    <t>Tri-Village High School</t>
  </si>
  <si>
    <t>New Madison</t>
  </si>
  <si>
    <t>New Matamoras</t>
  </si>
  <si>
    <t>New Middletown</t>
  </si>
  <si>
    <t>National Trail High School</t>
  </si>
  <si>
    <t>New Paris</t>
  </si>
  <si>
    <t>New Philadelphia High School</t>
  </si>
  <si>
    <t>New Philadelphia</t>
  </si>
  <si>
    <t>New Richmond High School</t>
  </si>
  <si>
    <t>New Riegel High School</t>
  </si>
  <si>
    <t>New Riegel</t>
  </si>
  <si>
    <t>Buckeye Central High School</t>
  </si>
  <si>
    <t>Licking Valley High School</t>
  </si>
  <si>
    <t>Newark Digital Academy</t>
  </si>
  <si>
    <t>Washington Park</t>
  </si>
  <si>
    <t>Newburgh Heights</t>
  </si>
  <si>
    <t>Newbury High School</t>
  </si>
  <si>
    <t>Newbury</t>
  </si>
  <si>
    <t>Newcomerstown High School</t>
  </si>
  <si>
    <t>Newcomerstown</t>
  </si>
  <si>
    <t>Newton Falls High School</t>
  </si>
  <si>
    <t>Newton Falls</t>
  </si>
  <si>
    <t>North Baltimore High School</t>
  </si>
  <si>
    <t>North Baltimore</t>
  </si>
  <si>
    <t>North Bloomfield</t>
  </si>
  <si>
    <t>North Canton</t>
  </si>
  <si>
    <t>Jackson-Milton High School</t>
  </si>
  <si>
    <t>North Jackson</t>
  </si>
  <si>
    <t>North Lewisburg</t>
  </si>
  <si>
    <t>North Olmsted High School</t>
  </si>
  <si>
    <t>North Olmsted</t>
  </si>
  <si>
    <t>North Ridgeville High School</t>
  </si>
  <si>
    <t>North Royalton High School</t>
  </si>
  <si>
    <t>North Royalton</t>
  </si>
  <si>
    <t>Oak Harbor High School</t>
  </si>
  <si>
    <t>Oak Harbor</t>
  </si>
  <si>
    <t>Oak Hill Middle/High School</t>
  </si>
  <si>
    <t>Oak Hill</t>
  </si>
  <si>
    <t>Firelands High School</t>
  </si>
  <si>
    <t>Olmsted Falls High School</t>
  </si>
  <si>
    <t>Olmsted Falls</t>
  </si>
  <si>
    <t>Eagle Learning Center</t>
  </si>
  <si>
    <t>Orrville High School</t>
  </si>
  <si>
    <t>Orwell</t>
  </si>
  <si>
    <t>Ottawa-Glandorf High School</t>
  </si>
  <si>
    <t>Ottoville High School</t>
  </si>
  <si>
    <t>Ottoville</t>
  </si>
  <si>
    <t>Talawanda High School</t>
  </si>
  <si>
    <t>Painesville</t>
  </si>
  <si>
    <t>Riverside Jr/Sr High School</t>
  </si>
  <si>
    <t>Pandora-Gilboa High School</t>
  </si>
  <si>
    <t>Pandora</t>
  </si>
  <si>
    <t>Valley Forge High School</t>
  </si>
  <si>
    <t>Licking Heights High School</t>
  </si>
  <si>
    <t>Pataskala</t>
  </si>
  <si>
    <t>Watkins Memorial High School</t>
  </si>
  <si>
    <t>Paulding High School</t>
  </si>
  <si>
    <t>Paulding</t>
  </si>
  <si>
    <t>Peebles High School</t>
  </si>
  <si>
    <t>Peebles</t>
  </si>
  <si>
    <t>Eastwood I High School</t>
  </si>
  <si>
    <t>Pemberville</t>
  </si>
  <si>
    <t>Woodridge High School</t>
  </si>
  <si>
    <t>Peninsula</t>
  </si>
  <si>
    <t>Pepper Pike</t>
  </si>
  <si>
    <t>Perrysburg High School</t>
  </si>
  <si>
    <t>Perrysburg</t>
  </si>
  <si>
    <t>Pettisville High School</t>
  </si>
  <si>
    <t>Pettisville</t>
  </si>
  <si>
    <t>Pickerington Alternative School</t>
  </si>
  <si>
    <t>Pickerington</t>
  </si>
  <si>
    <t>Pickerington High School Central</t>
  </si>
  <si>
    <t>Pickerington High School North</t>
  </si>
  <si>
    <t>Piketon Jr/Sr High School</t>
  </si>
  <si>
    <t>Piketon</t>
  </si>
  <si>
    <t>North Central Junior/High School</t>
  </si>
  <si>
    <t>Pioneer</t>
  </si>
  <si>
    <t>Piqua High School</t>
  </si>
  <si>
    <t>Piqua</t>
  </si>
  <si>
    <t>Franklin Monroe High School</t>
  </si>
  <si>
    <t>Pitsburg</t>
  </si>
  <si>
    <t>Jonathan Alder High School</t>
  </si>
  <si>
    <t>Poland Seminary High School</t>
  </si>
  <si>
    <t>Meigs High School</t>
  </si>
  <si>
    <t>Pomeroy</t>
  </si>
  <si>
    <t>Port Clinton High School</t>
  </si>
  <si>
    <t>Port Clinton</t>
  </si>
  <si>
    <t>Portsmouth Junior High School/Portsmouth High School</t>
  </si>
  <si>
    <t>Olentangy Liberty High School</t>
  </si>
  <si>
    <t>Fairland High School</t>
  </si>
  <si>
    <t>Proctorville</t>
  </si>
  <si>
    <t>Put-In-Bay High School</t>
  </si>
  <si>
    <t>Put In Bay</t>
  </si>
  <si>
    <t>Cory-Rawson High School</t>
  </si>
  <si>
    <t>Rawson</t>
  </si>
  <si>
    <t>Buckeye Local High School</t>
  </si>
  <si>
    <t>Rayland</t>
  </si>
  <si>
    <t>Reading  Community High School</t>
  </si>
  <si>
    <t>Reedsville</t>
  </si>
  <si>
    <t>Everest High School</t>
  </si>
  <si>
    <t>Reynoldsburg</t>
  </si>
  <si>
    <t>Reynoldsburg Health Sciences &amp; Human Services Stem Academy</t>
  </si>
  <si>
    <t>Reynoldsburg High School Estem</t>
  </si>
  <si>
    <t>Reynoldsburg High School Business Education Leadership &amp; Law Academy</t>
  </si>
  <si>
    <t>Reynoldsburg High School Encore: Arts Communication &amp; Design Academy</t>
  </si>
  <si>
    <t>Richmond Heights High School</t>
  </si>
  <si>
    <t>Richmond Heights</t>
  </si>
  <si>
    <t>Richwood</t>
  </si>
  <si>
    <t>Ripley-Union-Lewis-Huntington High School</t>
  </si>
  <si>
    <t>Rittman Academy</t>
  </si>
  <si>
    <t>Rittman</t>
  </si>
  <si>
    <t>Rittman High School</t>
  </si>
  <si>
    <t>Bio-Med Science Academy Stem School</t>
  </si>
  <si>
    <t>Rootstown</t>
  </si>
  <si>
    <t>Rootstown/Ward Davis Bldg High School</t>
  </si>
  <si>
    <t>Franklin Local Community School</t>
  </si>
  <si>
    <t>Rossford High School</t>
  </si>
  <si>
    <t>Rossford</t>
  </si>
  <si>
    <t>Russia High School</t>
  </si>
  <si>
    <t>Russia</t>
  </si>
  <si>
    <t>East Clinton High School</t>
  </si>
  <si>
    <t>Sabina</t>
  </si>
  <si>
    <t>St Bernard-Elmwood Place High School</t>
  </si>
  <si>
    <t>Saint Bernard</t>
  </si>
  <si>
    <t>St Clairsville High School</t>
  </si>
  <si>
    <t>Saint Clairsville</t>
  </si>
  <si>
    <t>St Henry High School</t>
  </si>
  <si>
    <t>Saint Henry</t>
  </si>
  <si>
    <t>St Marys Memorial High School</t>
  </si>
  <si>
    <t>Saint Marys</t>
  </si>
  <si>
    <t>Saint Paris</t>
  </si>
  <si>
    <t>Southern Local Jr/Sr High School</t>
  </si>
  <si>
    <t>Salineville</t>
  </si>
  <si>
    <t>Utica Shale Academy Of Ohio</t>
  </si>
  <si>
    <t>Perkins High School</t>
  </si>
  <si>
    <t>Sandusky High School</t>
  </si>
  <si>
    <t>Sarahsville</t>
  </si>
  <si>
    <t>North Adams High School</t>
  </si>
  <si>
    <t>Seaman</t>
  </si>
  <si>
    <t>Shadyside High School</t>
  </si>
  <si>
    <t>Shadyside</t>
  </si>
  <si>
    <t>Shaker Hts High School</t>
  </si>
  <si>
    <t>Brookside High School</t>
  </si>
  <si>
    <t>Sheffield Village</t>
  </si>
  <si>
    <t>Fairlawn High School</t>
  </si>
  <si>
    <t>Liberty Preparatory School</t>
  </si>
  <si>
    <t>Arthur Road Elementary School</t>
  </si>
  <si>
    <t>Southeastern  Sr. High School</t>
  </si>
  <si>
    <t>South Charleston</t>
  </si>
  <si>
    <t>South Point</t>
  </si>
  <si>
    <t>South Webster Jr/Sr High School</t>
  </si>
  <si>
    <t>South Webster</t>
  </si>
  <si>
    <t>Chalker High School</t>
  </si>
  <si>
    <t>Spencerville High School</t>
  </si>
  <si>
    <t>Spencerville</t>
  </si>
  <si>
    <t>Springboro High School</t>
  </si>
  <si>
    <t>Cliff Park High School</t>
  </si>
  <si>
    <t>Global Impact Stem Academy</t>
  </si>
  <si>
    <t>Greenon High School</t>
  </si>
  <si>
    <t>Kenton Ridge High School</t>
  </si>
  <si>
    <t>Northwestern Junior/Senior High School</t>
  </si>
  <si>
    <t>Steubenville High School</t>
  </si>
  <si>
    <t>Steubenville</t>
  </si>
  <si>
    <t>Federal Hocking High School</t>
  </si>
  <si>
    <t>Stewart</t>
  </si>
  <si>
    <t>Stow-Munroe Falls High School</t>
  </si>
  <si>
    <t>Strasburg-Franklin High School</t>
  </si>
  <si>
    <t>Streetsboro High School</t>
  </si>
  <si>
    <t>Streetsboro</t>
  </si>
  <si>
    <t>Strongsville High School</t>
  </si>
  <si>
    <t>Strongsville</t>
  </si>
  <si>
    <t>Struthers High School</t>
  </si>
  <si>
    <t>Struthers</t>
  </si>
  <si>
    <t>Stryker High School</t>
  </si>
  <si>
    <t>Stryker</t>
  </si>
  <si>
    <t>Berne Union High School</t>
  </si>
  <si>
    <t>Sugar Grove</t>
  </si>
  <si>
    <t>Garaway High School</t>
  </si>
  <si>
    <t>Sugarcreek</t>
  </si>
  <si>
    <t>Black River High School</t>
  </si>
  <si>
    <t>Big Walnut High School</t>
  </si>
  <si>
    <t>Sunbury</t>
  </si>
  <si>
    <t>Swanton High School</t>
  </si>
  <si>
    <t>Swanton</t>
  </si>
  <si>
    <t>Mohawk High School</t>
  </si>
  <si>
    <t>Sylvania Northview High School</t>
  </si>
  <si>
    <t>Sylvania Southview High School</t>
  </si>
  <si>
    <t>Tallmadge High School</t>
  </si>
  <si>
    <t>Tallmadge</t>
  </si>
  <si>
    <t>Thornville</t>
  </si>
  <si>
    <t>Columbian High School</t>
  </si>
  <si>
    <t>North Central Academy</t>
  </si>
  <si>
    <t>Old Fort High School</t>
  </si>
  <si>
    <t>Tipp City</t>
  </si>
  <si>
    <t>Tippecanoe High School</t>
  </si>
  <si>
    <t>Achieve Career Preparatory Academy</t>
  </si>
  <si>
    <t>Bowsher High School</t>
  </si>
  <si>
    <t>Glass City Academy</t>
  </si>
  <si>
    <t>Jesup W. Scott High School</t>
  </si>
  <si>
    <t>Jones Leadership Academy</t>
  </si>
  <si>
    <t>Life Skills Center Of Toledo</t>
  </si>
  <si>
    <t>Maritime Academy Of Toledo The</t>
  </si>
  <si>
    <t>Start High School</t>
  </si>
  <si>
    <t>Toledo Early College High School</t>
  </si>
  <si>
    <t>Toledo School For The Arts</t>
  </si>
  <si>
    <t>Toledo Technology Academy High School</t>
  </si>
  <si>
    <t>Waite High School</t>
  </si>
  <si>
    <t>Whitmer High School</t>
  </si>
  <si>
    <t>Woodward High School</t>
  </si>
  <si>
    <t>Toronto Jr. / Sr. High School</t>
  </si>
  <si>
    <t>Toronto</t>
  </si>
  <si>
    <t>Trotwood-Madison High School</t>
  </si>
  <si>
    <t>Trotwood</t>
  </si>
  <si>
    <t>Twinsburg High School</t>
  </si>
  <si>
    <t>Twinsburg</t>
  </si>
  <si>
    <t>Claymont High School</t>
  </si>
  <si>
    <t>Uhrichsville</t>
  </si>
  <si>
    <t>Mississinawa Valley Jr/Sr High School</t>
  </si>
  <si>
    <t>Lake Middle / High School</t>
  </si>
  <si>
    <t>Upper Arlington High School</t>
  </si>
  <si>
    <t>Upper Arlington</t>
  </si>
  <si>
    <t>Upper Sandusky High School</t>
  </si>
  <si>
    <t>Upper Sandusky</t>
  </si>
  <si>
    <t>Lincolnview Jr/Sr High School</t>
  </si>
  <si>
    <t>Van Wert</t>
  </si>
  <si>
    <t>Van Wert High School</t>
  </si>
  <si>
    <t>Vanlue High School</t>
  </si>
  <si>
    <t>Vanlue</t>
  </si>
  <si>
    <t>Vermilion High School</t>
  </si>
  <si>
    <t>Vermilion</t>
  </si>
  <si>
    <t>Versailles High School</t>
  </si>
  <si>
    <t>Mathews High School</t>
  </si>
  <si>
    <t>Warren High School</t>
  </si>
  <si>
    <t>Wadsworth High School</t>
  </si>
  <si>
    <t>Wadsworth</t>
  </si>
  <si>
    <t>Wapakoneta High School</t>
  </si>
  <si>
    <t>Wapakoneta</t>
  </si>
  <si>
    <t>Champion High School</t>
  </si>
  <si>
    <t>Howland High School</t>
  </si>
  <si>
    <t>Lordstown High School</t>
  </si>
  <si>
    <t>River Gate High School</t>
  </si>
  <si>
    <t>Warren G Harding High School</t>
  </si>
  <si>
    <t>T2 Honors Academy</t>
  </si>
  <si>
    <t>Warrensville Heights</t>
  </si>
  <si>
    <t>Warrensville Heights High School</t>
  </si>
  <si>
    <t>River View High School</t>
  </si>
  <si>
    <t>Miami Trace High School</t>
  </si>
  <si>
    <t>Washington Court Hou</t>
  </si>
  <si>
    <t>Washington Court House</t>
  </si>
  <si>
    <t>Wauseon High School</t>
  </si>
  <si>
    <t>Wauseon</t>
  </si>
  <si>
    <t>Waynesfield-Goshen Local High School</t>
  </si>
  <si>
    <t>Waynesfield</t>
  </si>
  <si>
    <t>Waynesville High School</t>
  </si>
  <si>
    <t>Wellston High School</t>
  </si>
  <si>
    <t>Wellsville Jr. Sr. High School</t>
  </si>
  <si>
    <t>Twin Valley South High School</t>
  </si>
  <si>
    <t>West Alexandria</t>
  </si>
  <si>
    <t>West Carrollton High School</t>
  </si>
  <si>
    <t>West Carrollton</t>
  </si>
  <si>
    <t>Lakota West High School</t>
  </si>
  <si>
    <t>West Liberty-Salem Middle/High School</t>
  </si>
  <si>
    <t>Milton-Union High School</t>
  </si>
  <si>
    <t>West Milton</t>
  </si>
  <si>
    <t>Portsmouth West High School</t>
  </si>
  <si>
    <t>West Portsmouth</t>
  </si>
  <si>
    <t>West Salem</t>
  </si>
  <si>
    <t>West Union High School</t>
  </si>
  <si>
    <t>Hilltop High School</t>
  </si>
  <si>
    <t>West Unity</t>
  </si>
  <si>
    <t>Westerville Central High School</t>
  </si>
  <si>
    <t>Westerville</t>
  </si>
  <si>
    <t>Westerville-North High School</t>
  </si>
  <si>
    <t>Westerville-South High School</t>
  </si>
  <si>
    <t>Wheelersburg High School</t>
  </si>
  <si>
    <t>Wheelersburg</t>
  </si>
  <si>
    <t>Whitehall Yearling High School</t>
  </si>
  <si>
    <t>Anthony Wayne High School</t>
  </si>
  <si>
    <t>Whitehouse</t>
  </si>
  <si>
    <t>Wickliffe High School</t>
  </si>
  <si>
    <t>Williamsburg High School</t>
  </si>
  <si>
    <t>Westfall High School</t>
  </si>
  <si>
    <t>Willoughby</t>
  </si>
  <si>
    <t>Symmes Valley High School</t>
  </si>
  <si>
    <t>Willow Wood</t>
  </si>
  <si>
    <t>Wintersville</t>
  </si>
  <si>
    <t>Monroe Central High School</t>
  </si>
  <si>
    <t>Woodsfield</t>
  </si>
  <si>
    <t>Triway High School</t>
  </si>
  <si>
    <t>Wooster</t>
  </si>
  <si>
    <t>Wooster High School</t>
  </si>
  <si>
    <t>Thomas Worthington High School</t>
  </si>
  <si>
    <t>Worthington Kilbourne High School</t>
  </si>
  <si>
    <t>Xenia High School</t>
  </si>
  <si>
    <t>Xenia</t>
  </si>
  <si>
    <t>Yellow Springs/Mckinney High School</t>
  </si>
  <si>
    <t>Yellow Springs</t>
  </si>
  <si>
    <t>Academy For Urban Scholars Youngstown</t>
  </si>
  <si>
    <t>Boardman High School</t>
  </si>
  <si>
    <t>Chaney High School</t>
  </si>
  <si>
    <t>Fitch High School</t>
  </si>
  <si>
    <t>Mahoning County High School</t>
  </si>
  <si>
    <t>Mahoning Unlimited Classroom</t>
  </si>
  <si>
    <t>Youngstown Rayen Early College High School</t>
  </si>
  <si>
    <t>Maysville High School</t>
  </si>
  <si>
    <t>West Muskingum High School</t>
  </si>
  <si>
    <t>Zanesville Community School</t>
  </si>
  <si>
    <t>Zanesville High School</t>
  </si>
  <si>
    <t>Tuscarawas Valley High School</t>
  </si>
  <si>
    <t>Zoarville</t>
  </si>
  <si>
    <t>Achille High School</t>
  </si>
  <si>
    <t>Achille</t>
  </si>
  <si>
    <t>x</t>
  </si>
  <si>
    <t>Byng High School</t>
  </si>
  <si>
    <t>Latta High School</t>
  </si>
  <si>
    <t>Vanoss High School</t>
  </si>
  <si>
    <t>Adair High School</t>
  </si>
  <si>
    <t>Adair</t>
  </si>
  <si>
    <t>Afton High School</t>
  </si>
  <si>
    <t>Agra High School</t>
  </si>
  <si>
    <t>Agra</t>
  </si>
  <si>
    <t>Alex High School</t>
  </si>
  <si>
    <t>Alex</t>
  </si>
  <si>
    <t>Aline-Cleo High School</t>
  </si>
  <si>
    <t>Aline</t>
  </si>
  <si>
    <t>Altus High School</t>
  </si>
  <si>
    <t>Altus</t>
  </si>
  <si>
    <t>Navajo High School</t>
  </si>
  <si>
    <t>Alva High School</t>
  </si>
  <si>
    <t>Alva</t>
  </si>
  <si>
    <t>Amber-Pocasset High School</t>
  </si>
  <si>
    <t>Amber</t>
  </si>
  <si>
    <t>Anadarko High School</t>
  </si>
  <si>
    <t>Anadarko</t>
  </si>
  <si>
    <t>Antlers High School</t>
  </si>
  <si>
    <t>Antlers</t>
  </si>
  <si>
    <t>Apache High School</t>
  </si>
  <si>
    <t>Apache</t>
  </si>
  <si>
    <t>Arapaho-Butler High School</t>
  </si>
  <si>
    <t>Arapaho</t>
  </si>
  <si>
    <t>Dickson High School</t>
  </si>
  <si>
    <t>Plainview High School</t>
  </si>
  <si>
    <t>Arkoma High School</t>
  </si>
  <si>
    <t>Arkoma</t>
  </si>
  <si>
    <t>Arnett High School</t>
  </si>
  <si>
    <t>Arnett</t>
  </si>
  <si>
    <t>Asher High School</t>
  </si>
  <si>
    <t>Asher</t>
  </si>
  <si>
    <t>Atoka High School</t>
  </si>
  <si>
    <t>Atoka</t>
  </si>
  <si>
    <t>Tushka High School</t>
  </si>
  <si>
    <t>Balko High School</t>
  </si>
  <si>
    <t>Balko</t>
  </si>
  <si>
    <t>Barnsdall High School</t>
  </si>
  <si>
    <t>Barnsdall</t>
  </si>
  <si>
    <t>Bartlesville High School</t>
  </si>
  <si>
    <t>Bartlesville</t>
  </si>
  <si>
    <t>Oklahoma Connections Academy High School</t>
  </si>
  <si>
    <t>Battiest High School</t>
  </si>
  <si>
    <t>Battiest</t>
  </si>
  <si>
    <t>Beaver High School</t>
  </si>
  <si>
    <t>Beggs High School</t>
  </si>
  <si>
    <t>Beggs</t>
  </si>
  <si>
    <t>Bethany High School</t>
  </si>
  <si>
    <t>Billings High School</t>
  </si>
  <si>
    <t>Binger-Oney High School</t>
  </si>
  <si>
    <t>Binger</t>
  </si>
  <si>
    <t>Bixby High School</t>
  </si>
  <si>
    <t>Bixby</t>
  </si>
  <si>
    <t>Blackwell High School</t>
  </si>
  <si>
    <t>Blackwell</t>
  </si>
  <si>
    <t>Blanchard High School</t>
  </si>
  <si>
    <t>Bridge Creek High School</t>
  </si>
  <si>
    <t>Bluejacket High School</t>
  </si>
  <si>
    <t>Bluejacket</t>
  </si>
  <si>
    <t>Boise City High School</t>
  </si>
  <si>
    <t>Boise City</t>
  </si>
  <si>
    <t>Rock Creek High School</t>
  </si>
  <si>
    <t>Bokchito</t>
  </si>
  <si>
    <t>Bokoshe High School</t>
  </si>
  <si>
    <t>Bokoshe</t>
  </si>
  <si>
    <t>Boswell High School</t>
  </si>
  <si>
    <t>Boswell</t>
  </si>
  <si>
    <t>Bowlegs High School</t>
  </si>
  <si>
    <t>Bowlegs</t>
  </si>
  <si>
    <t>Braggs High School</t>
  </si>
  <si>
    <t>Braggs</t>
  </si>
  <si>
    <t>Bristow High School</t>
  </si>
  <si>
    <t>Bristow</t>
  </si>
  <si>
    <t>Broken Arrow High School</t>
  </si>
  <si>
    <t>Cave Springs High School</t>
  </si>
  <si>
    <t>Bunch</t>
  </si>
  <si>
    <t>Burneyville</t>
  </si>
  <si>
    <t>Burns Flat-Dill City High School</t>
  </si>
  <si>
    <t>Burns Flat</t>
  </si>
  <si>
    <t>Cache High School</t>
  </si>
  <si>
    <t>Cache</t>
  </si>
  <si>
    <t>Caddo High School</t>
  </si>
  <si>
    <t>Caddo</t>
  </si>
  <si>
    <t>Calvin High School</t>
  </si>
  <si>
    <t>Calvin</t>
  </si>
  <si>
    <t>Canadian High School</t>
  </si>
  <si>
    <t>Canadian</t>
  </si>
  <si>
    <t>Caney High School</t>
  </si>
  <si>
    <t>Canute High School</t>
  </si>
  <si>
    <t>Canute</t>
  </si>
  <si>
    <t>Carnegie High School</t>
  </si>
  <si>
    <t>Carnegie</t>
  </si>
  <si>
    <t>Carney High School</t>
  </si>
  <si>
    <t>Carney</t>
  </si>
  <si>
    <t>Cashion High School</t>
  </si>
  <si>
    <t>Cashion</t>
  </si>
  <si>
    <t>Catoosa High School</t>
  </si>
  <si>
    <t>Catoosa</t>
  </si>
  <si>
    <t>Cement High School</t>
  </si>
  <si>
    <t>Cement</t>
  </si>
  <si>
    <t>Chattanooga High School</t>
  </si>
  <si>
    <t>Checotah High School</t>
  </si>
  <si>
    <t>Checotah</t>
  </si>
  <si>
    <t>Cheyenne</t>
  </si>
  <si>
    <t>Chickasha High School</t>
  </si>
  <si>
    <t>Chickasha</t>
  </si>
  <si>
    <t>Choctaw High School</t>
  </si>
  <si>
    <t>Chouteau-Mazie High School</t>
  </si>
  <si>
    <t>Chouteau</t>
  </si>
  <si>
    <t>Claremore High School</t>
  </si>
  <si>
    <t>Claremore</t>
  </si>
  <si>
    <t>Verdigris High School</t>
  </si>
  <si>
    <t>Coalgate High School</t>
  </si>
  <si>
    <t>Coalgate</t>
  </si>
  <si>
    <t>Colbert High School</t>
  </si>
  <si>
    <t>Colbert</t>
  </si>
  <si>
    <t>Colcord High School</t>
  </si>
  <si>
    <t>Colcord</t>
  </si>
  <si>
    <t>Coleman High School</t>
  </si>
  <si>
    <t>Comanche High School</t>
  </si>
  <si>
    <t>Comanche</t>
  </si>
  <si>
    <t>Copan High School</t>
  </si>
  <si>
    <t>Copan</t>
  </si>
  <si>
    <t>Cordell High School</t>
  </si>
  <si>
    <t>Cordell</t>
  </si>
  <si>
    <t>Council Hill</t>
  </si>
  <si>
    <t>Covington-Douglas High School</t>
  </si>
  <si>
    <t>Coweta High School</t>
  </si>
  <si>
    <t>Coweta</t>
  </si>
  <si>
    <t>Coyle High School</t>
  </si>
  <si>
    <t>Coyle</t>
  </si>
  <si>
    <t>Crescent High School</t>
  </si>
  <si>
    <t>Crescent</t>
  </si>
  <si>
    <t>Butner High School</t>
  </si>
  <si>
    <t>Crowder High School</t>
  </si>
  <si>
    <t>Crowder</t>
  </si>
  <si>
    <t>Cushing High School</t>
  </si>
  <si>
    <t>Cushing</t>
  </si>
  <si>
    <t>Cyril High School</t>
  </si>
  <si>
    <t>Cyril</t>
  </si>
  <si>
    <t>Dale High School</t>
  </si>
  <si>
    <t>Dale</t>
  </si>
  <si>
    <t>Davenport High School</t>
  </si>
  <si>
    <t>Davis High School</t>
  </si>
  <si>
    <t>Del City High School</t>
  </si>
  <si>
    <t>Dewar High School</t>
  </si>
  <si>
    <t>Dewar</t>
  </si>
  <si>
    <t>Dewey High School</t>
  </si>
  <si>
    <t>Dewey</t>
  </si>
  <si>
    <t>Dibble High School</t>
  </si>
  <si>
    <t>Dibble</t>
  </si>
  <si>
    <t>Drumright High School</t>
  </si>
  <si>
    <t>Drumright</t>
  </si>
  <si>
    <t>Olive High School</t>
  </si>
  <si>
    <t>Duke High School</t>
  </si>
  <si>
    <t>Duke</t>
  </si>
  <si>
    <t>Silo High School</t>
  </si>
  <si>
    <t>Eagletown High School</t>
  </si>
  <si>
    <t>Eagletown</t>
  </si>
  <si>
    <t>Earlsboro High School</t>
  </si>
  <si>
    <t>Earlsboro</t>
  </si>
  <si>
    <t>Deer Creek High School</t>
  </si>
  <si>
    <t>El Reno High School</t>
  </si>
  <si>
    <t>El Reno</t>
  </si>
  <si>
    <t>Elk City High School</t>
  </si>
  <si>
    <t>Elk City</t>
  </si>
  <si>
    <t>Merritt High School</t>
  </si>
  <si>
    <t>Senior High School</t>
  </si>
  <si>
    <t>Elmore City</t>
  </si>
  <si>
    <t>Chisholm High School</t>
  </si>
  <si>
    <t>Enid</t>
  </si>
  <si>
    <t>Enid High School</t>
  </si>
  <si>
    <t>Erick High School</t>
  </si>
  <si>
    <t>Erick</t>
  </si>
  <si>
    <t>Fargo High School</t>
  </si>
  <si>
    <t>Felt High School</t>
  </si>
  <si>
    <t>Felt</t>
  </si>
  <si>
    <t>Fletcher High School</t>
  </si>
  <si>
    <t>Forgan High School</t>
  </si>
  <si>
    <t>Forgan</t>
  </si>
  <si>
    <t>Fort Cobb-Broxton High School</t>
  </si>
  <si>
    <t>Fort Cobb</t>
  </si>
  <si>
    <t>Fort Gibson High School</t>
  </si>
  <si>
    <t>Fort Gibson</t>
  </si>
  <si>
    <t>Fort Supply High School</t>
  </si>
  <si>
    <t>Fort Supply</t>
  </si>
  <si>
    <t>Fort Towson High School</t>
  </si>
  <si>
    <t>Fort Towson</t>
  </si>
  <si>
    <t>Fox High School</t>
  </si>
  <si>
    <t>Foyil High School</t>
  </si>
  <si>
    <t>Foyil</t>
  </si>
  <si>
    <t>Gans High School</t>
  </si>
  <si>
    <t>Gans</t>
  </si>
  <si>
    <t>Geary High School</t>
  </si>
  <si>
    <t>Geary</t>
  </si>
  <si>
    <t>Geronimo High School</t>
  </si>
  <si>
    <t>Geronimo</t>
  </si>
  <si>
    <t>Glenpool High School</t>
  </si>
  <si>
    <t>Glenpool</t>
  </si>
  <si>
    <t>Goodwell High School</t>
  </si>
  <si>
    <t>Goodwell</t>
  </si>
  <si>
    <t>Yarbrough High School</t>
  </si>
  <si>
    <t>Gore High School</t>
  </si>
  <si>
    <t>Gore</t>
  </si>
  <si>
    <t>Gracemont High School</t>
  </si>
  <si>
    <t>Gracemont</t>
  </si>
  <si>
    <t>Grandfield High School</t>
  </si>
  <si>
    <t>Grandfield</t>
  </si>
  <si>
    <t>Granite</t>
  </si>
  <si>
    <t>Grove High School</t>
  </si>
  <si>
    <t>Guthrie High School</t>
  </si>
  <si>
    <t>Guthrie</t>
  </si>
  <si>
    <t>Guymon High School</t>
  </si>
  <si>
    <t>Guymon</t>
  </si>
  <si>
    <t>Haileyville High School</t>
  </si>
  <si>
    <t>Haileyville</t>
  </si>
  <si>
    <t>Hammon High School</t>
  </si>
  <si>
    <t>Hammon</t>
  </si>
  <si>
    <t>Hanna High School</t>
  </si>
  <si>
    <t>Hanna</t>
  </si>
  <si>
    <t>Hardesty High School</t>
  </si>
  <si>
    <t>Hardesty</t>
  </si>
  <si>
    <t>Harrah High School</t>
  </si>
  <si>
    <t>Harrah</t>
  </si>
  <si>
    <t>Hartshorne High School</t>
  </si>
  <si>
    <t>Hartshorne</t>
  </si>
  <si>
    <t>Haskell High School</t>
  </si>
  <si>
    <t>Haskell</t>
  </si>
  <si>
    <t>Haworth High School</t>
  </si>
  <si>
    <t>Haworth</t>
  </si>
  <si>
    <t>Healdton High School</t>
  </si>
  <si>
    <t>Healdton</t>
  </si>
  <si>
    <t>Heavener High School</t>
  </si>
  <si>
    <t>Heavener</t>
  </si>
  <si>
    <t>Timberlake High School</t>
  </si>
  <si>
    <t>Hennessey High School</t>
  </si>
  <si>
    <t>Hennessey</t>
  </si>
  <si>
    <t>Henryetta High School</t>
  </si>
  <si>
    <t>Henryetta</t>
  </si>
  <si>
    <t>Holdenville High School</t>
  </si>
  <si>
    <t>Holdenville</t>
  </si>
  <si>
    <t>Moss High School</t>
  </si>
  <si>
    <t>Hollis High School</t>
  </si>
  <si>
    <t>Hominy High School</t>
  </si>
  <si>
    <t>Hominy</t>
  </si>
  <si>
    <t>Hooker High School</t>
  </si>
  <si>
    <t>Howe High School</t>
  </si>
  <si>
    <t>Howe</t>
  </si>
  <si>
    <t>Hugo High School</t>
  </si>
  <si>
    <t>Hulbert Jr-Sr High School (Sr)</t>
  </si>
  <si>
    <t>Hulbert</t>
  </si>
  <si>
    <t>Hydro-Eakly High School</t>
  </si>
  <si>
    <t>Hydro</t>
  </si>
  <si>
    <t>Idabel High School</t>
  </si>
  <si>
    <t>Idabel</t>
  </si>
  <si>
    <t>Indiahoma High School</t>
  </si>
  <si>
    <t>Indiahoma</t>
  </si>
  <si>
    <t>Inola High School</t>
  </si>
  <si>
    <t>Inola</t>
  </si>
  <si>
    <t>Jenks High School</t>
  </si>
  <si>
    <t>Jones</t>
  </si>
  <si>
    <t>Kellyville High School</t>
  </si>
  <si>
    <t>Kellyville</t>
  </si>
  <si>
    <t>Ketchum High School</t>
  </si>
  <si>
    <t>Ketchum</t>
  </si>
  <si>
    <t>Keyes High School</t>
  </si>
  <si>
    <t>Keyes</t>
  </si>
  <si>
    <t>Kiefer High School</t>
  </si>
  <si>
    <t>Kiefer</t>
  </si>
  <si>
    <t>Kingfisher High School</t>
  </si>
  <si>
    <t>Kinta High School</t>
  </si>
  <si>
    <t>Kinta</t>
  </si>
  <si>
    <t>Konawa High School</t>
  </si>
  <si>
    <t>Konawa</t>
  </si>
  <si>
    <t>Kremlin-Hillsdale High School</t>
  </si>
  <si>
    <t>Kremlin</t>
  </si>
  <si>
    <t>Lahoma</t>
  </si>
  <si>
    <t>Deer Creek-Lamont High School</t>
  </si>
  <si>
    <t>Lamont</t>
  </si>
  <si>
    <t>Laverne High School</t>
  </si>
  <si>
    <t>Laverne</t>
  </si>
  <si>
    <t>Leedey High School</t>
  </si>
  <si>
    <t>Leflore High School</t>
  </si>
  <si>
    <t>Leflore</t>
  </si>
  <si>
    <t>Lindsay High School</t>
  </si>
  <si>
    <t>Lone Grove High School</t>
  </si>
  <si>
    <t>Lone Grove</t>
  </si>
  <si>
    <t>Lone Wolf High School</t>
  </si>
  <si>
    <t>Lone Wolf</t>
  </si>
  <si>
    <t>Lookeba-Sickles High School</t>
  </si>
  <si>
    <t>Lookeba</t>
  </si>
  <si>
    <t>Luther</t>
  </si>
  <si>
    <t>Macomb High School</t>
  </si>
  <si>
    <t>Madill High School</t>
  </si>
  <si>
    <t>Madill</t>
  </si>
  <si>
    <t>Mangum High School</t>
  </si>
  <si>
    <t>Mangum</t>
  </si>
  <si>
    <t>Mannford High School</t>
  </si>
  <si>
    <t>Mannford</t>
  </si>
  <si>
    <t>Bray-Doyle High School</t>
  </si>
  <si>
    <t>Marlow</t>
  </si>
  <si>
    <t>Central High School High School</t>
  </si>
  <si>
    <t>Marlow High School</t>
  </si>
  <si>
    <t>Maud High School</t>
  </si>
  <si>
    <t>Maud</t>
  </si>
  <si>
    <t>Mcalester High School</t>
  </si>
  <si>
    <t>Mcalester</t>
  </si>
  <si>
    <t>Mccurtain High School</t>
  </si>
  <si>
    <t>Mccurtain</t>
  </si>
  <si>
    <t>Mcloud High School</t>
  </si>
  <si>
    <t>Mcloud</t>
  </si>
  <si>
    <t>Insight School Of Oklahoma High School</t>
  </si>
  <si>
    <t>Midwest City High School</t>
  </si>
  <si>
    <t>Milburn High School</t>
  </si>
  <si>
    <t>Milburn</t>
  </si>
  <si>
    <t>Mill Creek</t>
  </si>
  <si>
    <t>Minco High School</t>
  </si>
  <si>
    <t>Minco</t>
  </si>
  <si>
    <t>Southmoore High School</t>
  </si>
  <si>
    <t>Mooreland High School</t>
  </si>
  <si>
    <t>Mooreland</t>
  </si>
  <si>
    <t>Morris High School</t>
  </si>
  <si>
    <t>Mounds High School</t>
  </si>
  <si>
    <t>Mountain View-Gotebo High School</t>
  </si>
  <si>
    <t>Moyers High School</t>
  </si>
  <si>
    <t>Moyers</t>
  </si>
  <si>
    <t>Muldrow High School</t>
  </si>
  <si>
    <t>Muldrow</t>
  </si>
  <si>
    <t>Hilldale High School</t>
  </si>
  <si>
    <t>Muskogee</t>
  </si>
  <si>
    <t>Muskogee High School</t>
  </si>
  <si>
    <t>Sharon-Mutual High School</t>
  </si>
  <si>
    <t>Mutual</t>
  </si>
  <si>
    <t>Newcastle High School</t>
  </si>
  <si>
    <t>Newkirk High School</t>
  </si>
  <si>
    <t>Newkirk</t>
  </si>
  <si>
    <t>Ninnekah</t>
  </si>
  <si>
    <t>Noble</t>
  </si>
  <si>
    <t>Academy Of Seminole Charter</t>
  </si>
  <si>
    <t>Dimensions Academy</t>
  </si>
  <si>
    <t>Little Axe High School</t>
  </si>
  <si>
    <t>Norman High School</t>
  </si>
  <si>
    <t>Norman North High School</t>
  </si>
  <si>
    <t>Nowata High School</t>
  </si>
  <si>
    <t>Nowata</t>
  </si>
  <si>
    <t>Oaks-Mission High School</t>
  </si>
  <si>
    <t>Oaks</t>
  </si>
  <si>
    <t>Oilton High School</t>
  </si>
  <si>
    <t>Oilton</t>
  </si>
  <si>
    <t>Okarche High School</t>
  </si>
  <si>
    <t>Okarche</t>
  </si>
  <si>
    <t>Okay High School</t>
  </si>
  <si>
    <t>Okay</t>
  </si>
  <si>
    <t>Justice Aw Seeworth Academy High School</t>
  </si>
  <si>
    <t>Okc</t>
  </si>
  <si>
    <t>Okeene Jr-Sr High School (Sr)</t>
  </si>
  <si>
    <t>Okeene</t>
  </si>
  <si>
    <t>Okemah High School</t>
  </si>
  <si>
    <t>Okemah</t>
  </si>
  <si>
    <t>Astec Charter High School</t>
  </si>
  <si>
    <t>Capitol Hill High School</t>
  </si>
  <si>
    <t>Carl Albert High School</t>
  </si>
  <si>
    <t>Classen High School Of Advanced Studies</t>
  </si>
  <si>
    <t>Crooked Oak High School</t>
  </si>
  <si>
    <t>Dove Science Academy High School</t>
  </si>
  <si>
    <t>Emerson Alternative Ed. (High School)</t>
  </si>
  <si>
    <t>Epic Blended Charter Okc High School</t>
  </si>
  <si>
    <t>Epic Blended Charter Tulsa High School</t>
  </si>
  <si>
    <t>Epic One On One Charter High School</t>
  </si>
  <si>
    <t>Harding Charter Preparatory High School</t>
  </si>
  <si>
    <t>Harding Fine Arts Academy</t>
  </si>
  <si>
    <t>John Marshall High School</t>
  </si>
  <si>
    <t>Millwood High School</t>
  </si>
  <si>
    <t>Northwest Classen High School</t>
  </si>
  <si>
    <t>Oklahoma Centennial High School</t>
  </si>
  <si>
    <t>Putnam City High School</t>
  </si>
  <si>
    <t>Putnam City North High School</t>
  </si>
  <si>
    <t>Putnam City West High School</t>
  </si>
  <si>
    <t>Santa Fe S Pathways Mid Colleg</t>
  </si>
  <si>
    <t>Santa Fe South High School</t>
  </si>
  <si>
    <t>U. S. Grant High School</t>
  </si>
  <si>
    <t>Western Heights High School</t>
  </si>
  <si>
    <t>Westmoore High School</t>
  </si>
  <si>
    <t>Okmulgee High School</t>
  </si>
  <si>
    <t>Okmulgee</t>
  </si>
  <si>
    <t>Oktaha High School</t>
  </si>
  <si>
    <t>Oktaha</t>
  </si>
  <si>
    <t>Olustee-Eldorado High School</t>
  </si>
  <si>
    <t>Olustee</t>
  </si>
  <si>
    <t>Lomega High School</t>
  </si>
  <si>
    <t>Omega</t>
  </si>
  <si>
    <t>Oologah-Talala High School</t>
  </si>
  <si>
    <t>Oologah</t>
  </si>
  <si>
    <t>Mulhall-Orlando High School</t>
  </si>
  <si>
    <t>Owasso High School</t>
  </si>
  <si>
    <t>Owasso</t>
  </si>
  <si>
    <t>Paden High School</t>
  </si>
  <si>
    <t>Paden</t>
  </si>
  <si>
    <t>Panola High School</t>
  </si>
  <si>
    <t>Panola</t>
  </si>
  <si>
    <t>Paoli High School</t>
  </si>
  <si>
    <t>Keys High School</t>
  </si>
  <si>
    <t>Pauls Valley High School</t>
  </si>
  <si>
    <t>Pauls Valley</t>
  </si>
  <si>
    <t>Pawhuska High School</t>
  </si>
  <si>
    <t>Pawhuska</t>
  </si>
  <si>
    <t>Pawnee High School</t>
  </si>
  <si>
    <t>Perkins-Tryon High School</t>
  </si>
  <si>
    <t>Perkins</t>
  </si>
  <si>
    <t>Pocola High School</t>
  </si>
  <si>
    <t>Pocola</t>
  </si>
  <si>
    <t>Ponca City High School</t>
  </si>
  <si>
    <t>Ponca City</t>
  </si>
  <si>
    <t>Pond Creek-Hunter High School</t>
  </si>
  <si>
    <t>Pond Creek</t>
  </si>
  <si>
    <t>Porter Consolidated High School</t>
  </si>
  <si>
    <t>Porter</t>
  </si>
  <si>
    <t>Porum High School</t>
  </si>
  <si>
    <t>Porum</t>
  </si>
  <si>
    <t>Poteau High School</t>
  </si>
  <si>
    <t>Poteau</t>
  </si>
  <si>
    <t>Prague High School</t>
  </si>
  <si>
    <t>Prague</t>
  </si>
  <si>
    <t>Prue High School</t>
  </si>
  <si>
    <t>Prue</t>
  </si>
  <si>
    <t>Pryor High School</t>
  </si>
  <si>
    <t>Purcell High School</t>
  </si>
  <si>
    <t>Purcell</t>
  </si>
  <si>
    <t>Quapaw High School</t>
  </si>
  <si>
    <t>Quapaw</t>
  </si>
  <si>
    <t>Quinton High School</t>
  </si>
  <si>
    <t>Quinton</t>
  </si>
  <si>
    <t>Big Pasture High School</t>
  </si>
  <si>
    <t>Randlett</t>
  </si>
  <si>
    <t>Rattan High School</t>
  </si>
  <si>
    <t>Rattan</t>
  </si>
  <si>
    <t>Red Rock</t>
  </si>
  <si>
    <t>Reydon High School</t>
  </si>
  <si>
    <t>Reydon</t>
  </si>
  <si>
    <t>Ringling High School</t>
  </si>
  <si>
    <t>Ringling</t>
  </si>
  <si>
    <t>Ringwood High School</t>
  </si>
  <si>
    <t>Ringwood</t>
  </si>
  <si>
    <t>Roff High School</t>
  </si>
  <si>
    <t>Roff</t>
  </si>
  <si>
    <t>Roland High School</t>
  </si>
  <si>
    <t>Roland</t>
  </si>
  <si>
    <t>Rush Springs High School</t>
  </si>
  <si>
    <t>Rush Springs</t>
  </si>
  <si>
    <t>Ryan High School</t>
  </si>
  <si>
    <t>Ryan</t>
  </si>
  <si>
    <t>Salina High School</t>
  </si>
  <si>
    <t>Sallisaw</t>
  </si>
  <si>
    <t>Sallisaw High School</t>
  </si>
  <si>
    <t>Charles Page High School</t>
  </si>
  <si>
    <t>Sand Springs</t>
  </si>
  <si>
    <t>Sapulpa High School</t>
  </si>
  <si>
    <t>Sapulpa</t>
  </si>
  <si>
    <t>Sasakwa High School</t>
  </si>
  <si>
    <t>Sasakwa</t>
  </si>
  <si>
    <t>Sayre High School</t>
  </si>
  <si>
    <t>Sayre</t>
  </si>
  <si>
    <t>Schulter High School</t>
  </si>
  <si>
    <t>Schulter</t>
  </si>
  <si>
    <t>Seiling Jr-Sr High School (Sr)</t>
  </si>
  <si>
    <t>Seiling</t>
  </si>
  <si>
    <t>Strother High School</t>
  </si>
  <si>
    <t>Varnum High School</t>
  </si>
  <si>
    <t>Blanche Thomas High School</t>
  </si>
  <si>
    <t>Sentinel</t>
  </si>
  <si>
    <t>Shattuck High School</t>
  </si>
  <si>
    <t>Shattuck</t>
  </si>
  <si>
    <t>Shidler High School</t>
  </si>
  <si>
    <t>Shidler</t>
  </si>
  <si>
    <t>Skiatook High School</t>
  </si>
  <si>
    <t>Skiatook</t>
  </si>
  <si>
    <t>Snyder High School</t>
  </si>
  <si>
    <t>Soper High School</t>
  </si>
  <si>
    <t>Soper</t>
  </si>
  <si>
    <t>Oklahoma Union High School</t>
  </si>
  <si>
    <t>South Coffeyville</t>
  </si>
  <si>
    <t>South Coffeyville High School</t>
  </si>
  <si>
    <t>Star Spencer High School</t>
  </si>
  <si>
    <t>Sperry High School</t>
  </si>
  <si>
    <t>Sperry</t>
  </si>
  <si>
    <t>Spiro High School</t>
  </si>
  <si>
    <t>Spiro</t>
  </si>
  <si>
    <t>Stigler High School</t>
  </si>
  <si>
    <t>Stigler</t>
  </si>
  <si>
    <t>Stillwater High School</t>
  </si>
  <si>
    <t>Stilwell High School</t>
  </si>
  <si>
    <t>Stonewall High School</t>
  </si>
  <si>
    <t>Stringtown High School</t>
  </si>
  <si>
    <t>Stringtown</t>
  </si>
  <si>
    <t>Stroud High School</t>
  </si>
  <si>
    <t>Stroud</t>
  </si>
  <si>
    <t>Sweetwater</t>
  </si>
  <si>
    <t>Tahlequah High School</t>
  </si>
  <si>
    <t>Tahlequah</t>
  </si>
  <si>
    <t>Buffalo Valley High School</t>
  </si>
  <si>
    <t>Talihina</t>
  </si>
  <si>
    <t>Talihina High School</t>
  </si>
  <si>
    <t>Taloga High School</t>
  </si>
  <si>
    <t>Taloga</t>
  </si>
  <si>
    <t>Texhoma High School</t>
  </si>
  <si>
    <t>Texhoma</t>
  </si>
  <si>
    <t>Thackerville High School</t>
  </si>
  <si>
    <t>Thackerville</t>
  </si>
  <si>
    <t>Thomas-Fay-Custer Unified High School</t>
  </si>
  <si>
    <t>Thomas</t>
  </si>
  <si>
    <t>Tishomingo High School</t>
  </si>
  <si>
    <t>Tishomingo</t>
  </si>
  <si>
    <t>Tonkawa High School</t>
  </si>
  <si>
    <t>Tonkawa</t>
  </si>
  <si>
    <t>Berryhill High School</t>
  </si>
  <si>
    <t>Daniel Webster High School</t>
  </si>
  <si>
    <t>Dove Science Academy Tulsa High School</t>
  </si>
  <si>
    <t>Kipp Tulsa University Prep</t>
  </si>
  <si>
    <t>Langston Hughes Academy Arts-Tech</t>
  </si>
  <si>
    <t>Mclain High School For Science And Tech</t>
  </si>
  <si>
    <t>Nathan Hale High School</t>
  </si>
  <si>
    <t>Thomas Edison Preparatory High School</t>
  </si>
  <si>
    <t>Traice</t>
  </si>
  <si>
    <t>Tulsa Met High School</t>
  </si>
  <si>
    <t>Tulsa Schl Arts Sciences High School</t>
  </si>
  <si>
    <t>Will Rogers College High School</t>
  </si>
  <si>
    <t>Turpin</t>
  </si>
  <si>
    <t>Tuttle High School</t>
  </si>
  <si>
    <t>Tuttle</t>
  </si>
  <si>
    <t>Tyrone High School</t>
  </si>
  <si>
    <t>Valliant High School</t>
  </si>
  <si>
    <t>Valliant</t>
  </si>
  <si>
    <t>Velma-Alma High School</t>
  </si>
  <si>
    <t>Velma</t>
  </si>
  <si>
    <t>Verden High School</t>
  </si>
  <si>
    <t>Verden</t>
  </si>
  <si>
    <t>Vian High School</t>
  </si>
  <si>
    <t>Vici High School</t>
  </si>
  <si>
    <t>Vici</t>
  </si>
  <si>
    <t>Vinita High School</t>
  </si>
  <si>
    <t>Vinita</t>
  </si>
  <si>
    <t>Wagoner High School</t>
  </si>
  <si>
    <t>Wagoner</t>
  </si>
  <si>
    <t>Walters High School</t>
  </si>
  <si>
    <t>Walters</t>
  </si>
  <si>
    <t>Wanette High School</t>
  </si>
  <si>
    <t>Wanette</t>
  </si>
  <si>
    <t>Wapanucka High School</t>
  </si>
  <si>
    <t>Wapanucka</t>
  </si>
  <si>
    <t>Warner High School</t>
  </si>
  <si>
    <t>Warner</t>
  </si>
  <si>
    <t>Watonga High School</t>
  </si>
  <si>
    <t>Watonga</t>
  </si>
  <si>
    <t>Watts High School</t>
  </si>
  <si>
    <t>Watts</t>
  </si>
  <si>
    <t>Pioneer-Pleasant Vale High School</t>
  </si>
  <si>
    <t>Waukomis</t>
  </si>
  <si>
    <t>Waukomis High School</t>
  </si>
  <si>
    <t>Waurika High School</t>
  </si>
  <si>
    <t>Waurika</t>
  </si>
  <si>
    <t>Waynoka High School</t>
  </si>
  <si>
    <t>Waynoka</t>
  </si>
  <si>
    <t>Weatherford High School</t>
  </si>
  <si>
    <t>Weatherford</t>
  </si>
  <si>
    <t>Webbers Falls High School</t>
  </si>
  <si>
    <t>Webbers Falls</t>
  </si>
  <si>
    <t>Welch High School</t>
  </si>
  <si>
    <t>Welch</t>
  </si>
  <si>
    <t>Weleetka</t>
  </si>
  <si>
    <t>Weleetka High School</t>
  </si>
  <si>
    <t>Wetumka High School</t>
  </si>
  <si>
    <t>Wetumka</t>
  </si>
  <si>
    <t>New Lima High School</t>
  </si>
  <si>
    <t>Wewoka</t>
  </si>
  <si>
    <t>Wewoka High School</t>
  </si>
  <si>
    <t>Whitesboro</t>
  </si>
  <si>
    <t>Wilburton High School</t>
  </si>
  <si>
    <t>Wilburton</t>
  </si>
  <si>
    <t>Wister High School</t>
  </si>
  <si>
    <t>Wister</t>
  </si>
  <si>
    <t>Wynnewood High School</t>
  </si>
  <si>
    <t>Wynona High School</t>
  </si>
  <si>
    <t>Wynona</t>
  </si>
  <si>
    <t>Yale High School</t>
  </si>
  <si>
    <t>Mustang High School</t>
  </si>
  <si>
    <t>Yukon</t>
  </si>
  <si>
    <t>Yukon High School</t>
  </si>
  <si>
    <t>South Albany High School</t>
  </si>
  <si>
    <t>Three Lakes High School</t>
  </si>
  <si>
    <t>West Albany High School</t>
  </si>
  <si>
    <t>Amity High School</t>
  </si>
  <si>
    <t>Astoria Senior High School</t>
  </si>
  <si>
    <t>Knappa High School</t>
  </si>
  <si>
    <t>Weston-Mcewen High School</t>
  </si>
  <si>
    <t>Athena</t>
  </si>
  <si>
    <t>Baker Early College</t>
  </si>
  <si>
    <t>Baker City</t>
  </si>
  <si>
    <t>Bandon Senior High School</t>
  </si>
  <si>
    <t>Bandon</t>
  </si>
  <si>
    <t>Banks High School</t>
  </si>
  <si>
    <t>Banks</t>
  </si>
  <si>
    <t>Aloha High School</t>
  </si>
  <si>
    <t>Arts And Communication Magnet Academy</t>
  </si>
  <si>
    <t>Beaverton High School</t>
  </si>
  <si>
    <t>Health &amp; Science School</t>
  </si>
  <si>
    <t>International School Of Beaverton</t>
  </si>
  <si>
    <t>Mountainside High School</t>
  </si>
  <si>
    <t>School Of Science &amp; Technology</t>
  </si>
  <si>
    <t>Bend Senior High School</t>
  </si>
  <si>
    <t>Mountain View Senior High School</t>
  </si>
  <si>
    <t>Riverside Junior/Senior High School</t>
  </si>
  <si>
    <t>Boardman</t>
  </si>
  <si>
    <t>Bonanza Junior/Senior High School</t>
  </si>
  <si>
    <t>Bonanza</t>
  </si>
  <si>
    <t>Brookings-Harbor High School</t>
  </si>
  <si>
    <t>Brookings</t>
  </si>
  <si>
    <t>Burns</t>
  </si>
  <si>
    <t>Monroe School</t>
  </si>
  <si>
    <t>Canby High School</t>
  </si>
  <si>
    <t>Illinois Valley High School</t>
  </si>
  <si>
    <t>Cave Junction</t>
  </si>
  <si>
    <t>Crater Academy Of Health And Public Services</t>
  </si>
  <si>
    <t>Crater Renaissance Academy</t>
  </si>
  <si>
    <t>Crater School Of Business Innovation And Science</t>
  </si>
  <si>
    <t>Chiloquin High School</t>
  </si>
  <si>
    <t>Chiloquin</t>
  </si>
  <si>
    <t>Clackamas High School</t>
  </si>
  <si>
    <t>Clatskanie Middle/High School</t>
  </si>
  <si>
    <t>Clatskanie</t>
  </si>
  <si>
    <t>Nestucca High School</t>
  </si>
  <si>
    <t>Condon High School</t>
  </si>
  <si>
    <t>Condon</t>
  </si>
  <si>
    <t>Marshfield Senior High School</t>
  </si>
  <si>
    <t>Coos Bay</t>
  </si>
  <si>
    <t>Coquille Junior Senior High School</t>
  </si>
  <si>
    <t>Coquille</t>
  </si>
  <si>
    <t>Crescent Valley High School</t>
  </si>
  <si>
    <t>Cottage Grove High School</t>
  </si>
  <si>
    <t>Crane Union High School</t>
  </si>
  <si>
    <t>Creswell High School</t>
  </si>
  <si>
    <t>Creswell</t>
  </si>
  <si>
    <t>Culver High School</t>
  </si>
  <si>
    <t>Dallas High School</t>
  </si>
  <si>
    <t>Childs Way Charter School</t>
  </si>
  <si>
    <t>Dorena</t>
  </si>
  <si>
    <t>North Douglas High School</t>
  </si>
  <si>
    <t>Drain</t>
  </si>
  <si>
    <t>Eagle Point High School</t>
  </si>
  <si>
    <t>Eagle Point</t>
  </si>
  <si>
    <t>EstAcademya High School</t>
  </si>
  <si>
    <t>Estacada</t>
  </si>
  <si>
    <t>Summit Community College High School</t>
  </si>
  <si>
    <t>Crow Middle/High School</t>
  </si>
  <si>
    <t>Network Charter School</t>
  </si>
  <si>
    <t>North Eugene High School</t>
  </si>
  <si>
    <t>South Eugene High School</t>
  </si>
  <si>
    <t>Twin Rivers Charter School</t>
  </si>
  <si>
    <t>Willamette High School</t>
  </si>
  <si>
    <t>Falls City High School</t>
  </si>
  <si>
    <t>Ocean Dunes High School</t>
  </si>
  <si>
    <t>Siuslaw High School</t>
  </si>
  <si>
    <t>Forest Grove High School</t>
  </si>
  <si>
    <t>Forest Grove</t>
  </si>
  <si>
    <t>Gaston Jr/Sr High School</t>
  </si>
  <si>
    <t>Gervais High School</t>
  </si>
  <si>
    <t>Gervais</t>
  </si>
  <si>
    <t>Gilchrist Junior/Senior High School</t>
  </si>
  <si>
    <t>Gilchrist</t>
  </si>
  <si>
    <t>Glendale Community Charter School</t>
  </si>
  <si>
    <t>Glide High School</t>
  </si>
  <si>
    <t>Glide</t>
  </si>
  <si>
    <t>Gold Beach High School</t>
  </si>
  <si>
    <t>Gold Beach</t>
  </si>
  <si>
    <t>Grants Pass High School</t>
  </si>
  <si>
    <t>Grants Pass</t>
  </si>
  <si>
    <t>Hidden Valley High School</t>
  </si>
  <si>
    <t>New Bridge High School</t>
  </si>
  <si>
    <t>North Valley High School</t>
  </si>
  <si>
    <t>Gresham</t>
  </si>
  <si>
    <t>Center For Advanced Learning</t>
  </si>
  <si>
    <t>Gresham High School</t>
  </si>
  <si>
    <t>Sam Barlow High School</t>
  </si>
  <si>
    <t>Springwater Trail High School</t>
  </si>
  <si>
    <t>Central Linn High School</t>
  </si>
  <si>
    <t>Halsey</t>
  </si>
  <si>
    <t>Clackamas Middle College</t>
  </si>
  <si>
    <t>Happy Valley</t>
  </si>
  <si>
    <t>Heppner Junior/Senior High School</t>
  </si>
  <si>
    <t>Heppner</t>
  </si>
  <si>
    <t>Hermiston High School</t>
  </si>
  <si>
    <t>Hermiston</t>
  </si>
  <si>
    <t>Hood River Valley High School</t>
  </si>
  <si>
    <t>Irrigon Junior/Senior High School</t>
  </si>
  <si>
    <t>Irrigon</t>
  </si>
  <si>
    <t>Grant Union Junior/Senior High School</t>
  </si>
  <si>
    <t>John Day</t>
  </si>
  <si>
    <t>Jordan Valley High School</t>
  </si>
  <si>
    <t>Jordan Valley</t>
  </si>
  <si>
    <t>Mcnary High School</t>
  </si>
  <si>
    <t>Keizer</t>
  </si>
  <si>
    <t>Eagleridge High School</t>
  </si>
  <si>
    <t>Henley High School</t>
  </si>
  <si>
    <t>Klamath Union High School</t>
  </si>
  <si>
    <t>Mazama High School</t>
  </si>
  <si>
    <t>La Grande High School</t>
  </si>
  <si>
    <t>Riverbend High School</t>
  </si>
  <si>
    <t>Lake Oswego Senior High School</t>
  </si>
  <si>
    <t>Lakeridge High School</t>
  </si>
  <si>
    <t>Lakeview Senior High School</t>
  </si>
  <si>
    <t>Lapine Senior High School</t>
  </si>
  <si>
    <t>Lapine</t>
  </si>
  <si>
    <t>Lincoln City Career Technical High School</t>
  </si>
  <si>
    <t>Lowell Junior/Senior High School</t>
  </si>
  <si>
    <t>Madras High School</t>
  </si>
  <si>
    <t>Madras</t>
  </si>
  <si>
    <t>Mapleton Jr/Sr High School</t>
  </si>
  <si>
    <t>Marcola</t>
  </si>
  <si>
    <t>South Wasco County High School</t>
  </si>
  <si>
    <t>Maupin</t>
  </si>
  <si>
    <t>Mcminnville High School</t>
  </si>
  <si>
    <t>Mcminnville</t>
  </si>
  <si>
    <t>North Medford High School</t>
  </si>
  <si>
    <t>South Medford High School</t>
  </si>
  <si>
    <t>Lost River High School</t>
  </si>
  <si>
    <t>Santiam Junior/Senior High School</t>
  </si>
  <si>
    <t>Mill City</t>
  </si>
  <si>
    <t>Mcloughlin High School</t>
  </si>
  <si>
    <t>Milton-Freewater</t>
  </si>
  <si>
    <t>Milwaukie Academy Of The Arts</t>
  </si>
  <si>
    <t>Milwaukie</t>
  </si>
  <si>
    <t>Milwaukie High School</t>
  </si>
  <si>
    <t>New Urban High School</t>
  </si>
  <si>
    <t>Insight School Of Oregon Painted Hills</t>
  </si>
  <si>
    <t>Molalla High School</t>
  </si>
  <si>
    <t>Molalla</t>
  </si>
  <si>
    <t>Mt Angel</t>
  </si>
  <si>
    <t>South Umpqua High School</t>
  </si>
  <si>
    <t>Myrtle Creek</t>
  </si>
  <si>
    <t>Myrtle Point High School</t>
  </si>
  <si>
    <t>Myrtle Point</t>
  </si>
  <si>
    <t>Newberg Senior High School</t>
  </si>
  <si>
    <t>North Bend Senior High School</t>
  </si>
  <si>
    <t>Nyssa High School</t>
  </si>
  <si>
    <t>Nyssa</t>
  </si>
  <si>
    <t>Oakridge</t>
  </si>
  <si>
    <t>Clackamas Academy Of Industrial Sciences</t>
  </si>
  <si>
    <t>Oregon City</t>
  </si>
  <si>
    <t>Oregon City Senior High School</t>
  </si>
  <si>
    <t>Oregon City Service Learning Academy</t>
  </si>
  <si>
    <t>Nixyaawii Community School</t>
  </si>
  <si>
    <t>Pendleton High School</t>
  </si>
  <si>
    <t>Philomath High School</t>
  </si>
  <si>
    <t>Philomath</t>
  </si>
  <si>
    <t>Armadillo Technical Institute</t>
  </si>
  <si>
    <t>Pilot Rock High School</t>
  </si>
  <si>
    <t>Pilot Rock</t>
  </si>
  <si>
    <t>Port Orford</t>
  </si>
  <si>
    <t>Benson Polytechnic High School</t>
  </si>
  <si>
    <t>David Douglas High School</t>
  </si>
  <si>
    <t>Parkrose High School</t>
  </si>
  <si>
    <t>Sunset High School</t>
  </si>
  <si>
    <t>Powers High School</t>
  </si>
  <si>
    <t>Crook County High School</t>
  </si>
  <si>
    <t>Prineville</t>
  </si>
  <si>
    <t>North Columbia Academy</t>
  </si>
  <si>
    <t>Rainier</t>
  </si>
  <si>
    <t>Rainier Jr/Sr High School</t>
  </si>
  <si>
    <t>Redmond High School</t>
  </si>
  <si>
    <t>Redmond Proficiency Academy</t>
  </si>
  <si>
    <t>Reedsport Community Charter School</t>
  </si>
  <si>
    <t>Reedsport</t>
  </si>
  <si>
    <t>Riddle High School</t>
  </si>
  <si>
    <t>Riddle</t>
  </si>
  <si>
    <t>Neah-Kah-Nie High School</t>
  </si>
  <si>
    <t>Rockaway Beach</t>
  </si>
  <si>
    <t>Rogue River Junior/Senior High School</t>
  </si>
  <si>
    <t>Rogue River</t>
  </si>
  <si>
    <t>Phoenix School</t>
  </si>
  <si>
    <t>Roseburg</t>
  </si>
  <si>
    <t>Roseburg High School</t>
  </si>
  <si>
    <t>Mckay High School</t>
  </si>
  <si>
    <t>North Salem High School</t>
  </si>
  <si>
    <t>South Salem High School</t>
  </si>
  <si>
    <t>Sprague High School</t>
  </si>
  <si>
    <t>West Salem High School</t>
  </si>
  <si>
    <t>Sandy High School</t>
  </si>
  <si>
    <t>Scappoose High School</t>
  </si>
  <si>
    <t>Scappoose</t>
  </si>
  <si>
    <t>Scio High School</t>
  </si>
  <si>
    <t>Scio</t>
  </si>
  <si>
    <t>Siletz Valley Early College Academy</t>
  </si>
  <si>
    <t>Siletz</t>
  </si>
  <si>
    <t>Sisters High School</t>
  </si>
  <si>
    <t>Sisters</t>
  </si>
  <si>
    <t>Academy Of Arts And Academyemics</t>
  </si>
  <si>
    <t>Gateways High School</t>
  </si>
  <si>
    <t>Thurston High School</t>
  </si>
  <si>
    <t>Willamette Leadership Academy</t>
  </si>
  <si>
    <t>St Helens High School</t>
  </si>
  <si>
    <t>St Helens</t>
  </si>
  <si>
    <t>Stanfield Secondary School</t>
  </si>
  <si>
    <t>Stanfield</t>
  </si>
  <si>
    <t>Stayton High School</t>
  </si>
  <si>
    <t>Stayton</t>
  </si>
  <si>
    <t>Sutherlin High School</t>
  </si>
  <si>
    <t>Sutherlin</t>
  </si>
  <si>
    <t>Sweet Home High School</t>
  </si>
  <si>
    <t>Sweet Home</t>
  </si>
  <si>
    <t>The Dalles High School</t>
  </si>
  <si>
    <t>Tigard High School</t>
  </si>
  <si>
    <t>Tigard</t>
  </si>
  <si>
    <t>Tillamook High School</t>
  </si>
  <si>
    <t>Tillamook</t>
  </si>
  <si>
    <t>Trask River High School</t>
  </si>
  <si>
    <t>Toledo Senior High School</t>
  </si>
  <si>
    <t>Troutdale</t>
  </si>
  <si>
    <t>Tualatin High School</t>
  </si>
  <si>
    <t>Tualatin</t>
  </si>
  <si>
    <t>Vale High School</t>
  </si>
  <si>
    <t>Vale</t>
  </si>
  <si>
    <t>West Lane Technology Learning Center</t>
  </si>
  <si>
    <t>Veneta</t>
  </si>
  <si>
    <t>Vernonia High School</t>
  </si>
  <si>
    <t>Vernonia</t>
  </si>
  <si>
    <t>Waldport High School</t>
  </si>
  <si>
    <t>Waldport</t>
  </si>
  <si>
    <t>Wallowa High School</t>
  </si>
  <si>
    <t>Wallowa</t>
  </si>
  <si>
    <t>West Linn High School</t>
  </si>
  <si>
    <t>Willamina High School</t>
  </si>
  <si>
    <t>Willamina</t>
  </si>
  <si>
    <t>Wilsonville High School</t>
  </si>
  <si>
    <t>Academy Of International Studies (At Woodburn)</t>
  </si>
  <si>
    <t>Wellness Business And Sports School</t>
  </si>
  <si>
    <t>William P Lord High School</t>
  </si>
  <si>
    <t>Woodburn Academy Of Art Science And Technology</t>
  </si>
  <si>
    <t>Woodburn Arts And Communications Academy</t>
  </si>
  <si>
    <t>Woodburn Success</t>
  </si>
  <si>
    <t>Yamhill Carlton High School</t>
  </si>
  <si>
    <t>Yamhill</t>
  </si>
  <si>
    <t>Yoncalla High School</t>
  </si>
  <si>
    <t>Yoncalla</t>
  </si>
  <si>
    <t>Abington SHigh School</t>
  </si>
  <si>
    <t>Northwestern SHigh School</t>
  </si>
  <si>
    <t>Juniata Valley JsHigh School</t>
  </si>
  <si>
    <t>Aliquippa JsHigh School</t>
  </si>
  <si>
    <t>Aliquippa</t>
  </si>
  <si>
    <t>Hopewell SHigh School</t>
  </si>
  <si>
    <t>Building 21 Allentown</t>
  </si>
  <si>
    <t>Louis E Dieruff High School</t>
  </si>
  <si>
    <t>Salisbury SHigh School</t>
  </si>
  <si>
    <t>William Allen High School</t>
  </si>
  <si>
    <t>Allison Park</t>
  </si>
  <si>
    <t>Altoona Area High School</t>
  </si>
  <si>
    <t>Kimmel Alternative School</t>
  </si>
  <si>
    <t>Southmoreland SHigh School</t>
  </si>
  <si>
    <t>Alverton</t>
  </si>
  <si>
    <t>Wissahickon SHigh School</t>
  </si>
  <si>
    <t>Ambler</t>
  </si>
  <si>
    <t>Ambridge Area High School</t>
  </si>
  <si>
    <t>Ambridge</t>
  </si>
  <si>
    <t>Annville Cleona High School</t>
  </si>
  <si>
    <t>Annville</t>
  </si>
  <si>
    <t>Archbald</t>
  </si>
  <si>
    <t>Lower Merion High School</t>
  </si>
  <si>
    <t>United JsHigh School</t>
  </si>
  <si>
    <t>Armagh</t>
  </si>
  <si>
    <t>North Schuylkill JsHigh School</t>
  </si>
  <si>
    <t>Aston</t>
  </si>
  <si>
    <t>Octorara Area JsHigh School</t>
  </si>
  <si>
    <t>Atglen</t>
  </si>
  <si>
    <t>Athens Area High School</t>
  </si>
  <si>
    <t>Austin Area JsHigh School</t>
  </si>
  <si>
    <t>Avella Area JsHigh School</t>
  </si>
  <si>
    <t>Avella</t>
  </si>
  <si>
    <t>Bangor Area High School</t>
  </si>
  <si>
    <t>Beaver Area SHigh School</t>
  </si>
  <si>
    <t>Beaver Falls Area SHigh School</t>
  </si>
  <si>
    <t>Blackhawk High School</t>
  </si>
  <si>
    <t>Bedford SHigh School</t>
  </si>
  <si>
    <t>Belle Vernon Area High School</t>
  </si>
  <si>
    <t>Belle Vernon</t>
  </si>
  <si>
    <t>Bellefonte Area High School</t>
  </si>
  <si>
    <t>Bellefonte</t>
  </si>
  <si>
    <t>Bellwood-Antis High School</t>
  </si>
  <si>
    <t>Bellwood</t>
  </si>
  <si>
    <t>Bensalem Twp High School</t>
  </si>
  <si>
    <t>Bentworth SHigh School</t>
  </si>
  <si>
    <t>Bentleyville</t>
  </si>
  <si>
    <t>Benton Area High School</t>
  </si>
  <si>
    <t>Berlin Brothersvalley SHigh School</t>
  </si>
  <si>
    <t>Tulpehocken JsHigh School</t>
  </si>
  <si>
    <t>Bernville</t>
  </si>
  <si>
    <t>Berwick Area High School</t>
  </si>
  <si>
    <t>Conestoga SHigh School</t>
  </si>
  <si>
    <t>Mohawk SHigh School</t>
  </si>
  <si>
    <t>Bethel Park High School</t>
  </si>
  <si>
    <t>Bethel Park</t>
  </si>
  <si>
    <t>LeHigh School Valley Charter High School For Th</t>
  </si>
  <si>
    <t>Biglerville High School</t>
  </si>
  <si>
    <t>Biglerville</t>
  </si>
  <si>
    <t>Daniel Boone Area High School</t>
  </si>
  <si>
    <t>Birdsboro</t>
  </si>
  <si>
    <t>Blairsville SHigh School</t>
  </si>
  <si>
    <t>Bloomsburg Area High School</t>
  </si>
  <si>
    <t>Bloomsburg</t>
  </si>
  <si>
    <t>Central Columbia SHigh School</t>
  </si>
  <si>
    <t>Susq-Cyber Cs</t>
  </si>
  <si>
    <t>Boiling Springs High School</t>
  </si>
  <si>
    <t>Boiling Springs</t>
  </si>
  <si>
    <t>Chichester SHigh School</t>
  </si>
  <si>
    <t>Boothwyn</t>
  </si>
  <si>
    <t>Boyertown Area SHigh School</t>
  </si>
  <si>
    <t>Boyertown</t>
  </si>
  <si>
    <t>Bradford Area High School</t>
  </si>
  <si>
    <t>Chartiers Valley High School</t>
  </si>
  <si>
    <t>Brockway Area JsHigh School</t>
  </si>
  <si>
    <t>Brockway</t>
  </si>
  <si>
    <t>Brodheadsville</t>
  </si>
  <si>
    <t>Brookville JsHigh School</t>
  </si>
  <si>
    <t>Brownsville Area High School</t>
  </si>
  <si>
    <t>Burgettstown Ms/High School</t>
  </si>
  <si>
    <t>Butler Area SHigh School</t>
  </si>
  <si>
    <t>Shade JsHigh School</t>
  </si>
  <si>
    <t>Cairnbrook</t>
  </si>
  <si>
    <t>Cambridge Springs JsHigh School</t>
  </si>
  <si>
    <t>Cambridge Springs</t>
  </si>
  <si>
    <t>Camp Hill SHigh School</t>
  </si>
  <si>
    <t>Camp Hill</t>
  </si>
  <si>
    <t>Cedar Cliff High School</t>
  </si>
  <si>
    <t>Canon-Mcmillan SHigh School</t>
  </si>
  <si>
    <t>Canonsburg</t>
  </si>
  <si>
    <t>Canton JsHigh School</t>
  </si>
  <si>
    <t>Carbondale Area JsHigh School</t>
  </si>
  <si>
    <t>Carlisle Area High School</t>
  </si>
  <si>
    <t>Carmichaels Area High School</t>
  </si>
  <si>
    <t>Carmichaels</t>
  </si>
  <si>
    <t>Carlynton JsHigh School</t>
  </si>
  <si>
    <t>Innovative Arts Academy Cs</t>
  </si>
  <si>
    <t>Catasauqua</t>
  </si>
  <si>
    <t>Southern Columbia High School</t>
  </si>
  <si>
    <t>Catawissa</t>
  </si>
  <si>
    <t>Southern LeHigh School SHigh School</t>
  </si>
  <si>
    <t>Center Valley</t>
  </si>
  <si>
    <t>Chambersburg Area Career Magnet Sch</t>
  </si>
  <si>
    <t>Chambersburg</t>
  </si>
  <si>
    <t>Chambersburg Area SHigh School</t>
  </si>
  <si>
    <t>Charleroi Area High School</t>
  </si>
  <si>
    <t>Charleroi</t>
  </si>
  <si>
    <t>Stem At Showalter</t>
  </si>
  <si>
    <t>Deer Lakes High School</t>
  </si>
  <si>
    <t>Cheswick</t>
  </si>
  <si>
    <t>Clairton Ms/High School</t>
  </si>
  <si>
    <t>Clairton</t>
  </si>
  <si>
    <t>Clarion Area JsHigh School</t>
  </si>
  <si>
    <t>Abington Heights High School</t>
  </si>
  <si>
    <t>Clarks Summit</t>
  </si>
  <si>
    <t>Claysburg-Kimmel High School</t>
  </si>
  <si>
    <t>Claysburg</t>
  </si>
  <si>
    <t>Mcguffey High School</t>
  </si>
  <si>
    <t>Claysville</t>
  </si>
  <si>
    <t>Clearfield Area JsHigh School</t>
  </si>
  <si>
    <t>Clearfield</t>
  </si>
  <si>
    <t>Penns Manor Area JsHigh School</t>
  </si>
  <si>
    <t>Clymer</t>
  </si>
  <si>
    <t>California Area SHigh School</t>
  </si>
  <si>
    <t>Coal Center</t>
  </si>
  <si>
    <t>Coatesville Area SHigh School</t>
  </si>
  <si>
    <t>Cochranton JsHigh School</t>
  </si>
  <si>
    <t>Cochranton</t>
  </si>
  <si>
    <t>Perkiomen Valley High School</t>
  </si>
  <si>
    <t>Purchase Line JsHigh School</t>
  </si>
  <si>
    <t>Commodore</t>
  </si>
  <si>
    <t>Turkeyfoot Valley Area JsHigh School</t>
  </si>
  <si>
    <t>Confluence</t>
  </si>
  <si>
    <t>Connellsville Area SHigh School</t>
  </si>
  <si>
    <t>Connellsville</t>
  </si>
  <si>
    <t>Cornell High School</t>
  </si>
  <si>
    <t>Corry Area High School</t>
  </si>
  <si>
    <t>Corry</t>
  </si>
  <si>
    <t>Coudersport Area JsHigh School</t>
  </si>
  <si>
    <t>Coudersport</t>
  </si>
  <si>
    <t>North Pocono High School</t>
  </si>
  <si>
    <t>Covington Twp</t>
  </si>
  <si>
    <t>Penn Cambria High School</t>
  </si>
  <si>
    <t>Cresson</t>
  </si>
  <si>
    <t>Curwensville Area JsHigh School</t>
  </si>
  <si>
    <t>Curwensville</t>
  </si>
  <si>
    <t>Dallas SHigh School</t>
  </si>
  <si>
    <t>Dallastown Area SHigh School</t>
  </si>
  <si>
    <t>Dallastown</t>
  </si>
  <si>
    <t>Danville Area SHigh School</t>
  </si>
  <si>
    <t>Conemaugh Twp Area Ms/SHigh School</t>
  </si>
  <si>
    <t>Davidsville</t>
  </si>
  <si>
    <t>Cocalico SHigh School</t>
  </si>
  <si>
    <t>Derry Area SHigh School</t>
  </si>
  <si>
    <t>Dillsburg</t>
  </si>
  <si>
    <t>East Stroudsburg SHigh School North</t>
  </si>
  <si>
    <t>Dingmans Ferry</t>
  </si>
  <si>
    <t>Dover Area High School</t>
  </si>
  <si>
    <t>Downingtown High School West Campus</t>
  </si>
  <si>
    <t>Downingtown Stem Academy</t>
  </si>
  <si>
    <t>Central Bucks High School-East</t>
  </si>
  <si>
    <t>Central Bucks High School-West</t>
  </si>
  <si>
    <t>Upper Darby SHigh School</t>
  </si>
  <si>
    <t>Dubois Area SHigh School</t>
  </si>
  <si>
    <t>Otto-Eldred JsHigh School</t>
  </si>
  <si>
    <t>Duke Center</t>
  </si>
  <si>
    <t>Susquenita High School</t>
  </si>
  <si>
    <t>Duncannon</t>
  </si>
  <si>
    <t>Dunmore JsHigh School</t>
  </si>
  <si>
    <t>Methacton High School</t>
  </si>
  <si>
    <t>East Stroudsburg SHigh School South</t>
  </si>
  <si>
    <t>Easton Area High School</t>
  </si>
  <si>
    <t>Wilson Area High School</t>
  </si>
  <si>
    <t>Central Cambria High School</t>
  </si>
  <si>
    <t>Ebensburg</t>
  </si>
  <si>
    <t>General Mclane High School</t>
  </si>
  <si>
    <t>Edinboro</t>
  </si>
  <si>
    <t>Elizabeth Forward SHigh School</t>
  </si>
  <si>
    <t>Elizabethtown Area SHigh School</t>
  </si>
  <si>
    <t>Upper Dauphin Area High School</t>
  </si>
  <si>
    <t>Elizabethville</t>
  </si>
  <si>
    <t>West Perry SHigh School</t>
  </si>
  <si>
    <t>Elliottsburg</t>
  </si>
  <si>
    <t>Lincoln JsHigh School</t>
  </si>
  <si>
    <t>Ellwood City</t>
  </si>
  <si>
    <t>Twin Valley High School</t>
  </si>
  <si>
    <t>Elverson</t>
  </si>
  <si>
    <t>Emmaus High School</t>
  </si>
  <si>
    <t>Emmaus</t>
  </si>
  <si>
    <t>Cameron County JsHigh School</t>
  </si>
  <si>
    <t>Emporium</t>
  </si>
  <si>
    <t>East Pennsboro Area SHigh School</t>
  </si>
  <si>
    <t>Enola</t>
  </si>
  <si>
    <t>Ephrata SHigh School</t>
  </si>
  <si>
    <t>Springfield Twp High School</t>
  </si>
  <si>
    <t>Erdenheim</t>
  </si>
  <si>
    <t>Iroquois JsHigh School</t>
  </si>
  <si>
    <t>Northwest Pa Collegiate Academy</t>
  </si>
  <si>
    <t>Perseus House Cs Of Excellence</t>
  </si>
  <si>
    <t>Everett Area High School</t>
  </si>
  <si>
    <t>Wyoming Area Sec Ctr</t>
  </si>
  <si>
    <t>Achievement House Cs</t>
  </si>
  <si>
    <t>Exton</t>
  </si>
  <si>
    <t>Downingtown High School East Campus</t>
  </si>
  <si>
    <t>Lackawanna Trail JsHigh School</t>
  </si>
  <si>
    <t>Factoryville</t>
  </si>
  <si>
    <t>Fairfield Area High School</t>
  </si>
  <si>
    <t>Pennsbury High School</t>
  </si>
  <si>
    <t>Fairless Hills</t>
  </si>
  <si>
    <t>Farrell Area High School/Ums</t>
  </si>
  <si>
    <t>Kennard-Dale High School</t>
  </si>
  <si>
    <t>Fawn Grove</t>
  </si>
  <si>
    <t>Fleetwood SHigh School</t>
  </si>
  <si>
    <t>Fleetwood</t>
  </si>
  <si>
    <t>Glendale JsHigh School</t>
  </si>
  <si>
    <t>Flinton</t>
  </si>
  <si>
    <t>Ridley High School</t>
  </si>
  <si>
    <t>Forest City Regional High School</t>
  </si>
  <si>
    <t>Upper Dublin High School</t>
  </si>
  <si>
    <t>Allegheny-Clarion Valley High School</t>
  </si>
  <si>
    <t>Foxburg</t>
  </si>
  <si>
    <t>Franklin Area JsHigh School</t>
  </si>
  <si>
    <t>Rocky Grove JsHigh School</t>
  </si>
  <si>
    <t>Northern Lebanon SHigh School</t>
  </si>
  <si>
    <t>Bethlehem-Center SHigh School</t>
  </si>
  <si>
    <t>Freedom Area SHigh School</t>
  </si>
  <si>
    <t>Freeport Area SHigh School</t>
  </si>
  <si>
    <t>Gettysburg Area High School</t>
  </si>
  <si>
    <t>Gettysburg</t>
  </si>
  <si>
    <t>Pine-Richland High School</t>
  </si>
  <si>
    <t>Gibsonia</t>
  </si>
  <si>
    <t>Garnet Valley High School</t>
  </si>
  <si>
    <t>Glen Mills</t>
  </si>
  <si>
    <t>Susquehannock High School</t>
  </si>
  <si>
    <t>Greencastle-Antrim SHigh School</t>
  </si>
  <si>
    <t>Mapletown JsHigh School</t>
  </si>
  <si>
    <t>Greensburg-Salem High School</t>
  </si>
  <si>
    <t>Hempfield Area SHigh School</t>
  </si>
  <si>
    <t>Greenville JsHigh School</t>
  </si>
  <si>
    <t>Reynolds JsHigh School</t>
  </si>
  <si>
    <t>George Jr Republic High School</t>
  </si>
  <si>
    <t>Grove City Area High School</t>
  </si>
  <si>
    <t>Maplewood JsHigh School</t>
  </si>
  <si>
    <t>Guys Mills</t>
  </si>
  <si>
    <t>Commodore Perry JsHigh School</t>
  </si>
  <si>
    <t>Halifax Area High School</t>
  </si>
  <si>
    <t>Hamburg Area High School</t>
  </si>
  <si>
    <t>Hanover SHigh School</t>
  </si>
  <si>
    <t>South Western SHigh School</t>
  </si>
  <si>
    <t>Hanover Area JsHigh School</t>
  </si>
  <si>
    <t>Hanover Township</t>
  </si>
  <si>
    <t>Harbor Creek Senior High School</t>
  </si>
  <si>
    <t>Harborcreek</t>
  </si>
  <si>
    <t>Capital Area School For The Arts Charter</t>
  </si>
  <si>
    <t>Central Dauphin East SHigh School</t>
  </si>
  <si>
    <t>Central Dauphin SHigh School</t>
  </si>
  <si>
    <t>Harrisburg High School - Scitech Cmp</t>
  </si>
  <si>
    <t>Susquehanna Twp High School</t>
  </si>
  <si>
    <t>Penn Trafford High School</t>
  </si>
  <si>
    <t>Harrison City</t>
  </si>
  <si>
    <t>Haverford SHigh School</t>
  </si>
  <si>
    <t>Havertown</t>
  </si>
  <si>
    <t>Wallenpaupack Area High School</t>
  </si>
  <si>
    <t>Hazleton Area High School</t>
  </si>
  <si>
    <t>Hazle Township</t>
  </si>
  <si>
    <t>Tri-Valley JsHigh School</t>
  </si>
  <si>
    <t>Hegins</t>
  </si>
  <si>
    <t>Saucon Valley SHigh School</t>
  </si>
  <si>
    <t>Hellertown</t>
  </si>
  <si>
    <t>Yough SHigh School</t>
  </si>
  <si>
    <t>Herminie</t>
  </si>
  <si>
    <t>Line Mountain High School</t>
  </si>
  <si>
    <t>Council Rock High School South</t>
  </si>
  <si>
    <t>Hollidaysburg Area SHigh School</t>
  </si>
  <si>
    <t>Hollidaysburg</t>
  </si>
  <si>
    <t>Homer-Center JsHigh School</t>
  </si>
  <si>
    <t>Homer City</t>
  </si>
  <si>
    <t>Honesdale High School</t>
  </si>
  <si>
    <t>Honesdale</t>
  </si>
  <si>
    <t>Hookstown</t>
  </si>
  <si>
    <t>Hatboro-Horsham SHigh School</t>
  </si>
  <si>
    <t>Horsham</t>
  </si>
  <si>
    <t>Chartiers-Houston JsHigh School</t>
  </si>
  <si>
    <t>Moshannon Valley JsHigh School</t>
  </si>
  <si>
    <t>Houtzdale</t>
  </si>
  <si>
    <t>Hughesville JsHigh School</t>
  </si>
  <si>
    <t>Lower Dauphin High School</t>
  </si>
  <si>
    <t>Hummelstown</t>
  </si>
  <si>
    <t>Price</t>
  </si>
  <si>
    <t>Huntingdon Area SHigh School</t>
  </si>
  <si>
    <t>New Day Charter School</t>
  </si>
  <si>
    <t>Lower Moreland High School</t>
  </si>
  <si>
    <t>Huntingdon Valley</t>
  </si>
  <si>
    <t>West Allegheny SHigh School</t>
  </si>
  <si>
    <t>Indiana Area SHigh School</t>
  </si>
  <si>
    <t>Western Beaver Co JsHigh School</t>
  </si>
  <si>
    <t>Industry</t>
  </si>
  <si>
    <t>Jamestown Area JsHigh School</t>
  </si>
  <si>
    <t>Jeannette High School</t>
  </si>
  <si>
    <t>Jeannette</t>
  </si>
  <si>
    <t>Jefferson-Morgan Ms/High School</t>
  </si>
  <si>
    <t>Jefferson Hills</t>
  </si>
  <si>
    <t>Jenkintown Middle/High School</t>
  </si>
  <si>
    <t>Jersey Shore Area SHigh School</t>
  </si>
  <si>
    <t>Jersey Shore</t>
  </si>
  <si>
    <t>Jim Thorpe Area High School</t>
  </si>
  <si>
    <t>Jim Thorpe</t>
  </si>
  <si>
    <t>Johnsonburg Area High School</t>
  </si>
  <si>
    <t>Johnsonburg</t>
  </si>
  <si>
    <t>Conemaugh Valley JsHigh School</t>
  </si>
  <si>
    <t>Ferndale Area JsHigh School</t>
  </si>
  <si>
    <t>Greater Johnstown SHigh School</t>
  </si>
  <si>
    <t>Westmont Hilltop JsHigh School</t>
  </si>
  <si>
    <t>Kane Area High School</t>
  </si>
  <si>
    <t>Kane</t>
  </si>
  <si>
    <t>Karns City High School</t>
  </si>
  <si>
    <t>Karns City</t>
  </si>
  <si>
    <t>Kennett Square</t>
  </si>
  <si>
    <t>Unionville High School</t>
  </si>
  <si>
    <t>Upper Merion High School</t>
  </si>
  <si>
    <t>King Of Prussia</t>
  </si>
  <si>
    <t>Mountain View JsHigh School</t>
  </si>
  <si>
    <t>Palisades High School</t>
  </si>
  <si>
    <t>Kintnersville</t>
  </si>
  <si>
    <t>Pequea Valley High School</t>
  </si>
  <si>
    <t>Kinzers</t>
  </si>
  <si>
    <t>Armstrong JsHigh School</t>
  </si>
  <si>
    <t>Kittanning</t>
  </si>
  <si>
    <t>Keystone JsHigh School</t>
  </si>
  <si>
    <t>Kutztown Area SHigh School</t>
  </si>
  <si>
    <t>Kutztown</t>
  </si>
  <si>
    <t>Western Wayne High School</t>
  </si>
  <si>
    <t>Lake Ariel</t>
  </si>
  <si>
    <t>Lampeter-Strasburg SHigh School</t>
  </si>
  <si>
    <t>Lampeter</t>
  </si>
  <si>
    <t>Conestoga Valley SHigh School</t>
  </si>
  <si>
    <t>La Academyemia Partnership Charter School</t>
  </si>
  <si>
    <t>Manheim Twp High School</t>
  </si>
  <si>
    <t>Mccaskey Campus</t>
  </si>
  <si>
    <t>Phoenix Academy</t>
  </si>
  <si>
    <t>Hempfield SHigh School</t>
  </si>
  <si>
    <t>Landisville</t>
  </si>
  <si>
    <t>Neshaminy High School</t>
  </si>
  <si>
    <t>Langhorne</t>
  </si>
  <si>
    <t>North Penn SHigh School</t>
  </si>
  <si>
    <t>Penn Wood High School</t>
  </si>
  <si>
    <t>Lansdowne</t>
  </si>
  <si>
    <t>Panther Valley JsHigh School</t>
  </si>
  <si>
    <t>Lansford</t>
  </si>
  <si>
    <t>Sullivan Co JsHigh School</t>
  </si>
  <si>
    <t>Greater Latrobe SHigh School</t>
  </si>
  <si>
    <t>Latrobe</t>
  </si>
  <si>
    <t>Muhlenberg High School</t>
  </si>
  <si>
    <t>Laureldale</t>
  </si>
  <si>
    <t>Cedar Crest High School</t>
  </si>
  <si>
    <t>Lebanon SHigh School</t>
  </si>
  <si>
    <t>Leechburg Area High School</t>
  </si>
  <si>
    <t>Leechburg</t>
  </si>
  <si>
    <t>Schuylkill Valley High School</t>
  </si>
  <si>
    <t>Leesport</t>
  </si>
  <si>
    <t>Quaker Valley High School</t>
  </si>
  <si>
    <t>Leetsdale</t>
  </si>
  <si>
    <t>LeHigh Schoolton Area High School</t>
  </si>
  <si>
    <t>Lake-Lehman JsHigh School</t>
  </si>
  <si>
    <t>Lehman</t>
  </si>
  <si>
    <t>Center For Student Lrng Cs Pennsbury</t>
  </si>
  <si>
    <t>Truman SHigh School</t>
  </si>
  <si>
    <t>Red Land SHigh School</t>
  </si>
  <si>
    <t>Lewisberry</t>
  </si>
  <si>
    <t>Mifflin Co High School</t>
  </si>
  <si>
    <t>North Penn-Liberty JsHigh School</t>
  </si>
  <si>
    <t>Ligonier Valley High School</t>
  </si>
  <si>
    <t>Conneaut Area Senior High School</t>
  </si>
  <si>
    <t>Linesville</t>
  </si>
  <si>
    <t>Warwick SHigh School</t>
  </si>
  <si>
    <t>Littlestown SHigh School</t>
  </si>
  <si>
    <t>Littlestown</t>
  </si>
  <si>
    <t>Burrell High School</t>
  </si>
  <si>
    <t>Lower Burrell</t>
  </si>
  <si>
    <t>Northern Bedford County High School</t>
  </si>
  <si>
    <t>Loysburg</t>
  </si>
  <si>
    <t>Mahanoy Area JsHigh School</t>
  </si>
  <si>
    <t>Mahanoy City</t>
  </si>
  <si>
    <t>Great Valley High School</t>
  </si>
  <si>
    <t>Northeastern SHigh School</t>
  </si>
  <si>
    <t>Manheim Central SHigh School</t>
  </si>
  <si>
    <t>Manheim</t>
  </si>
  <si>
    <t>North Penn-Mansfield JsHigh School</t>
  </si>
  <si>
    <t>East Forest JsHigh School</t>
  </si>
  <si>
    <t>Marienville</t>
  </si>
  <si>
    <t>Marion Center Area Jr/Sr High School</t>
  </si>
  <si>
    <t>Marion Center</t>
  </si>
  <si>
    <t>Mars Area SHigh School</t>
  </si>
  <si>
    <t>Fort Cherry JsHigh School</t>
  </si>
  <si>
    <t>Montour High School</t>
  </si>
  <si>
    <t>Mc Kees Rocks</t>
  </si>
  <si>
    <t>Mckeesport Area SHigh School</t>
  </si>
  <si>
    <t>Mc Keesport</t>
  </si>
  <si>
    <t>South Allegheny Ms/High School</t>
  </si>
  <si>
    <t>East Juniata JsHigh School</t>
  </si>
  <si>
    <t>Mcalisterville</t>
  </si>
  <si>
    <t>Mcconnellsburg High School</t>
  </si>
  <si>
    <t>Mcconnellsburg</t>
  </si>
  <si>
    <t>South Fayette Twp High School</t>
  </si>
  <si>
    <t>Mcdonald</t>
  </si>
  <si>
    <t>Sto-Rox JsHigh School</t>
  </si>
  <si>
    <t>Mckees Rocks</t>
  </si>
  <si>
    <t>Peters Twp High School</t>
  </si>
  <si>
    <t>Mcmurray</t>
  </si>
  <si>
    <t>Meadville Area SHigh School</t>
  </si>
  <si>
    <t>Cumberland Valley High School</t>
  </si>
  <si>
    <t>Mechanicsburg Area SHigh School</t>
  </si>
  <si>
    <t>Penncrest High School</t>
  </si>
  <si>
    <t>Media</t>
  </si>
  <si>
    <t>Mercer Area SHigh School</t>
  </si>
  <si>
    <t>James Buchanan High School</t>
  </si>
  <si>
    <t>Meyersdale Area High School</t>
  </si>
  <si>
    <t>Meyersdale</t>
  </si>
  <si>
    <t>Midd-West High School</t>
  </si>
  <si>
    <t>Middletown Area High School</t>
  </si>
  <si>
    <t>Lincoln Park Performing Arts Cs</t>
  </si>
  <si>
    <t>Mifflinburg Area SHigh School</t>
  </si>
  <si>
    <t>Mifflinburg</t>
  </si>
  <si>
    <t>Juniata SHigh School</t>
  </si>
  <si>
    <t>Mifflintown</t>
  </si>
  <si>
    <t>Delaware Valley High School</t>
  </si>
  <si>
    <t>Central Mountain High School</t>
  </si>
  <si>
    <t>Mill Hall</t>
  </si>
  <si>
    <t>Millersburg Area SHigh School</t>
  </si>
  <si>
    <t>Millerstown</t>
  </si>
  <si>
    <t>Penn Manor High School</t>
  </si>
  <si>
    <t>Millville Area JsHigh School</t>
  </si>
  <si>
    <t>Minersville Area JsHigh School</t>
  </si>
  <si>
    <t>Minersville</t>
  </si>
  <si>
    <t>Monaca</t>
  </si>
  <si>
    <t>Monessen SHigh School</t>
  </si>
  <si>
    <t>Monessen</t>
  </si>
  <si>
    <t>Ringgold SHigh School</t>
  </si>
  <si>
    <t>Monongahela</t>
  </si>
  <si>
    <t>Gateway SHigh School</t>
  </si>
  <si>
    <t>Spectrum Cs</t>
  </si>
  <si>
    <t>Montgomery JsHigh School</t>
  </si>
  <si>
    <t>Montoursville Area SHigh School</t>
  </si>
  <si>
    <t>Montoursville</t>
  </si>
  <si>
    <t>Montrose Area JsHigh School</t>
  </si>
  <si>
    <t>Moon SHigh School</t>
  </si>
  <si>
    <t>Moon Township</t>
  </si>
  <si>
    <t>West Branch Area JsHigh School</t>
  </si>
  <si>
    <t>Morrisdale</t>
  </si>
  <si>
    <t>Morrisville High School</t>
  </si>
  <si>
    <t>Mount Carmel Area High School</t>
  </si>
  <si>
    <t>Donegal High School</t>
  </si>
  <si>
    <t>Mount Pleasant Area High School</t>
  </si>
  <si>
    <t>Mount Union Area SHigh School</t>
  </si>
  <si>
    <t>Mount Union</t>
  </si>
  <si>
    <t>Crestwood Secondary Campus</t>
  </si>
  <si>
    <t>Mountain Top</t>
  </si>
  <si>
    <t>Evergreen Community Cs</t>
  </si>
  <si>
    <t>Mountainhome</t>
  </si>
  <si>
    <t>Muncy JsHigh School</t>
  </si>
  <si>
    <t>Muncy</t>
  </si>
  <si>
    <t>Steel Valley SHigh School</t>
  </si>
  <si>
    <t>Munhall</t>
  </si>
  <si>
    <t>Franklin Regional SHigh School</t>
  </si>
  <si>
    <t>Murrysville</t>
  </si>
  <si>
    <t>Eastern Lebanon Co SHigh School</t>
  </si>
  <si>
    <t>Myerstown</t>
  </si>
  <si>
    <t>Greater Nanticoke Area SHigh School</t>
  </si>
  <si>
    <t>Nanticoke</t>
  </si>
  <si>
    <t>Blacklick Valley JsHigh School</t>
  </si>
  <si>
    <t>Nanty Glo</t>
  </si>
  <si>
    <t>High Schoollands SHigh School</t>
  </si>
  <si>
    <t>Nazareth Area High School</t>
  </si>
  <si>
    <t>Nazareth</t>
  </si>
  <si>
    <t>Redbank Valley High School</t>
  </si>
  <si>
    <t>New Bethlehem</t>
  </si>
  <si>
    <t>New Brighton Area High School</t>
  </si>
  <si>
    <t>Neshannock JsHigh School</t>
  </si>
  <si>
    <t>New Castle SHigh School</t>
  </si>
  <si>
    <t>Shenango High School</t>
  </si>
  <si>
    <t>Union Area High School</t>
  </si>
  <si>
    <t>Garden Spot SHigh School</t>
  </si>
  <si>
    <t>New Holland</t>
  </si>
  <si>
    <t>New Hope-Solebury High School</t>
  </si>
  <si>
    <t>Valley JsHigh School</t>
  </si>
  <si>
    <t>New Kensington</t>
  </si>
  <si>
    <t>New Oxford SHigh School</t>
  </si>
  <si>
    <t>Chestnut Ridge SHigh School</t>
  </si>
  <si>
    <t>Northwestern LeHigh School High School</t>
  </si>
  <si>
    <t>New Tripoli</t>
  </si>
  <si>
    <t>Wilmington Area High School</t>
  </si>
  <si>
    <t>New Wilmington</t>
  </si>
  <si>
    <t>Council Rock High School North</t>
  </si>
  <si>
    <t>Marple Newtown SHigh School</t>
  </si>
  <si>
    <t>Newtown Square</t>
  </si>
  <si>
    <t>Big Spring High School</t>
  </si>
  <si>
    <t>Newville</t>
  </si>
  <si>
    <t>Norristown Area High School</t>
  </si>
  <si>
    <t>Norristown</t>
  </si>
  <si>
    <t>Roosevelt Altern Sch</t>
  </si>
  <si>
    <t>Norwin SHigh School</t>
  </si>
  <si>
    <t>North Huntingdon</t>
  </si>
  <si>
    <t>East Allegheny JsHigh School</t>
  </si>
  <si>
    <t>North Versailles</t>
  </si>
  <si>
    <t>Catasauqua SHigh School</t>
  </si>
  <si>
    <t>Northampton Area High School</t>
  </si>
  <si>
    <t>Northern Cambria High School</t>
  </si>
  <si>
    <t>Northern Cambria</t>
  </si>
  <si>
    <t>Riverview JsHigh School</t>
  </si>
  <si>
    <t>Oakmont</t>
  </si>
  <si>
    <t>Oil City SHigh School</t>
  </si>
  <si>
    <t>Oil City</t>
  </si>
  <si>
    <t>Old Forge JsHigh School</t>
  </si>
  <si>
    <t>Old Forge</t>
  </si>
  <si>
    <t>Oley Valley SHigh School</t>
  </si>
  <si>
    <t>Oley</t>
  </si>
  <si>
    <t>Oxford Area High School</t>
  </si>
  <si>
    <t>Palmerton Area High School</t>
  </si>
  <si>
    <t>Palmerton</t>
  </si>
  <si>
    <t>Palmyra Area SHigh School</t>
  </si>
  <si>
    <t>Cambria Heights SHigh School</t>
  </si>
  <si>
    <t>Pen Argyl Area High School</t>
  </si>
  <si>
    <t>Pen Argyl</t>
  </si>
  <si>
    <t>Upper Perkiomen High School</t>
  </si>
  <si>
    <t>Pennridge High School</t>
  </si>
  <si>
    <t>Perkasie</t>
  </si>
  <si>
    <t>Frazier High School</t>
  </si>
  <si>
    <t>Perryopolis</t>
  </si>
  <si>
    <t>Mastery Cs-Gratz Campus</t>
  </si>
  <si>
    <t>Phialdelphia</t>
  </si>
  <si>
    <t>Academy At Palumbo</t>
  </si>
  <si>
    <t>Act Academy Cyber Cs</t>
  </si>
  <si>
    <t>Arts Academy At Benjamin Rush</t>
  </si>
  <si>
    <t>Bartram John - Main</t>
  </si>
  <si>
    <t>Bodine William W High School</t>
  </si>
  <si>
    <t>Boys Latin Of Philadelphia Cs</t>
  </si>
  <si>
    <t>Building 21</t>
  </si>
  <si>
    <t>Charter High School For Architecture And</t>
  </si>
  <si>
    <t>Constitution High School</t>
  </si>
  <si>
    <t>Creative And Performing Arts</t>
  </si>
  <si>
    <t>Eastern University Academy Charter Schoo</t>
  </si>
  <si>
    <t>Fels Samuel High School</t>
  </si>
  <si>
    <t>Frankford High School</t>
  </si>
  <si>
    <t>Franklin Benjamin High School</t>
  </si>
  <si>
    <t>Franklin Lc</t>
  </si>
  <si>
    <t>Franklin Towne CHigh School</t>
  </si>
  <si>
    <t>Freire Cs</t>
  </si>
  <si>
    <t>Furness Horace High School</t>
  </si>
  <si>
    <t>Gamp</t>
  </si>
  <si>
    <t>Girls High School</t>
  </si>
  <si>
    <t>Hill Freedman World Academy</t>
  </si>
  <si>
    <t>Imhotep Institute CHigh School</t>
  </si>
  <si>
    <t>Kensington Creative &amp; Performing Arts High School</t>
  </si>
  <si>
    <t>Kensington Health Sciences</t>
  </si>
  <si>
    <t>Kensington High School</t>
  </si>
  <si>
    <t>King Martin Luther High School</t>
  </si>
  <si>
    <t>Kipp Dubois Charter School</t>
  </si>
  <si>
    <t>Lankenau High School</t>
  </si>
  <si>
    <t>Masterman Julia R Sec Sch</t>
  </si>
  <si>
    <t>Mastery CHigh School - Lenfest Campus</t>
  </si>
  <si>
    <t>Mastery Cs -Shoemaker Campus</t>
  </si>
  <si>
    <t>Mastery Cs-Pickett Campus</t>
  </si>
  <si>
    <t>Motivation High School</t>
  </si>
  <si>
    <t>Multicultural Academy Cs</t>
  </si>
  <si>
    <t>Olney Charter High School</t>
  </si>
  <si>
    <t>Overbrook High School</t>
  </si>
  <si>
    <t>Parkway Center City Middle College</t>
  </si>
  <si>
    <t>Parkway Northwest</t>
  </si>
  <si>
    <t>Parkway West</t>
  </si>
  <si>
    <t>Paul Robeson High School For Human Services</t>
  </si>
  <si>
    <t>Penn Treaty Sch</t>
  </si>
  <si>
    <t>Philadelphia Electrical &amp; Tech CHigh School</t>
  </si>
  <si>
    <t>Philadelphia Learning Academy - North</t>
  </si>
  <si>
    <t>Philadelphia Learning Academy - South</t>
  </si>
  <si>
    <t>Philadelphia Military Academy At Elverson</t>
  </si>
  <si>
    <t>Preparatory Cs Of Mathematics Science Te</t>
  </si>
  <si>
    <t>Roxborough High School</t>
  </si>
  <si>
    <t>Sayre William L Ms</t>
  </si>
  <si>
    <t>School Of The Future</t>
  </si>
  <si>
    <t>Science Leadership Academy</t>
  </si>
  <si>
    <t>South Philadelphia High School</t>
  </si>
  <si>
    <t>Strawberry Mansion High School</t>
  </si>
  <si>
    <t>Tech Freire Cs</t>
  </si>
  <si>
    <t>The Linc</t>
  </si>
  <si>
    <t>The Science Leadership Academy At Beeber</t>
  </si>
  <si>
    <t>The U School: Innovative Lab</t>
  </si>
  <si>
    <t>The Workshop School</t>
  </si>
  <si>
    <t>Universal Audenried Charter School</t>
  </si>
  <si>
    <t>Washington George High School</t>
  </si>
  <si>
    <t>West Philadelphia High School</t>
  </si>
  <si>
    <t>Youth Build Phila Cs</t>
  </si>
  <si>
    <t>Philipsburg-Osceola Area High School</t>
  </si>
  <si>
    <t>Phoenixville Area High School</t>
  </si>
  <si>
    <t>Phoenixville</t>
  </si>
  <si>
    <t>Pine Grove Area High School</t>
  </si>
  <si>
    <t>Pine Grove</t>
  </si>
  <si>
    <t>Academy At Westinghouse</t>
  </si>
  <si>
    <t>Avonworth High School</t>
  </si>
  <si>
    <t>Baldwin SHigh School</t>
  </si>
  <si>
    <t>Brentwood SHigh School</t>
  </si>
  <si>
    <t>City CHigh School</t>
  </si>
  <si>
    <t>Fox Chapel Area High School</t>
  </si>
  <si>
    <t>Hill House Passport Academy Charter Scho</t>
  </si>
  <si>
    <t>Keystone Oaks High School</t>
  </si>
  <si>
    <t>Mt Lebanon SHigh School</t>
  </si>
  <si>
    <t>North Hills SHigh School</t>
  </si>
  <si>
    <t>Northgate MsHigh School</t>
  </si>
  <si>
    <t>Penn Hills SHigh School</t>
  </si>
  <si>
    <t>Pittsburgh Allderdice High School</t>
  </si>
  <si>
    <t>Pittsburgh Brashear High School</t>
  </si>
  <si>
    <t>Pittsburgh Capa 6-12</t>
  </si>
  <si>
    <t>Pittsburgh Carrick High School</t>
  </si>
  <si>
    <t>Pittsburgh Milliones 6-12</t>
  </si>
  <si>
    <t>Pittsburgh Obama 6-12</t>
  </si>
  <si>
    <t>Pittsburgh Perry High School</t>
  </si>
  <si>
    <t>Pittsburgh Science And Technology Academyem</t>
  </si>
  <si>
    <t>Shaler Area High School</t>
  </si>
  <si>
    <t>The New Academy Cs</t>
  </si>
  <si>
    <t>Upper Saint Clair High School</t>
  </si>
  <si>
    <t>Urban Pathways 6-12 Cs</t>
  </si>
  <si>
    <t>Woodland Hills JsHigh School</t>
  </si>
  <si>
    <t>Pittston Area SHigh School</t>
  </si>
  <si>
    <t>Pittston</t>
  </si>
  <si>
    <t>Plum SHigh School</t>
  </si>
  <si>
    <t>Plum</t>
  </si>
  <si>
    <t>Wyoming Valley West SHigh School</t>
  </si>
  <si>
    <t>Plymouth-Whitemarsh SHigh School</t>
  </si>
  <si>
    <t>Plymouth Meeting</t>
  </si>
  <si>
    <t>Pocono Mountain West High School</t>
  </si>
  <si>
    <t>Pocono Summit</t>
  </si>
  <si>
    <t>Port Allegany JsHigh School</t>
  </si>
  <si>
    <t>Port Allegany</t>
  </si>
  <si>
    <t>Portage Area JsHigh School</t>
  </si>
  <si>
    <t>Owen J Roberts High School</t>
  </si>
  <si>
    <t>Pottsgrove SHigh School</t>
  </si>
  <si>
    <t>Pottstown SHigh School</t>
  </si>
  <si>
    <t>Pottsville Area High School</t>
  </si>
  <si>
    <t>Interboro SHigh School</t>
  </si>
  <si>
    <t>Prospect Park</t>
  </si>
  <si>
    <t>Punxsutawney Area High School</t>
  </si>
  <si>
    <t>Punxsutawney</t>
  </si>
  <si>
    <t>Quakertown Community High School</t>
  </si>
  <si>
    <t>Quakertown</t>
  </si>
  <si>
    <t>Solanco High School</t>
  </si>
  <si>
    <t>Quarryville</t>
  </si>
  <si>
    <t>Radnor SHigh School</t>
  </si>
  <si>
    <t>Radnor</t>
  </si>
  <si>
    <t>Antietam Ms/High School</t>
  </si>
  <si>
    <t>Exeter Twp JHigh School</t>
  </si>
  <si>
    <t>Exeter Twp SHigh School</t>
  </si>
  <si>
    <t>I-Lead Charter School</t>
  </si>
  <si>
    <t>Reading SHigh School</t>
  </si>
  <si>
    <t>Red Lion Area SHigh School</t>
  </si>
  <si>
    <t>Red Lion</t>
  </si>
  <si>
    <t>Bucktail High School</t>
  </si>
  <si>
    <t>Renovo</t>
  </si>
  <si>
    <t>Ridgway Area High School</t>
  </si>
  <si>
    <t>Rimersburg</t>
  </si>
  <si>
    <t>Conrad Weiser High School</t>
  </si>
  <si>
    <t>Robesonia</t>
  </si>
  <si>
    <t>Rockwood Area JsHigh School</t>
  </si>
  <si>
    <t>Northeast Bradford JsHigh School</t>
  </si>
  <si>
    <t>Harriton SHigh School</t>
  </si>
  <si>
    <t>Rosemont</t>
  </si>
  <si>
    <t>Spring-Ford SHigh School 9-12 Ctr</t>
  </si>
  <si>
    <t>West Shamokin JsHigh School</t>
  </si>
  <si>
    <t>Rural Valley</t>
  </si>
  <si>
    <t>Eisenhower M/High School</t>
  </si>
  <si>
    <t>Saegertown JsHigh School</t>
  </si>
  <si>
    <t>Saegertown</t>
  </si>
  <si>
    <t>St Marys Area SHigh School</t>
  </si>
  <si>
    <t>Salisbury-Elk Lick JsHigh School</t>
  </si>
  <si>
    <t>Saltsburg Ms/High School</t>
  </si>
  <si>
    <t>Knoch High School</t>
  </si>
  <si>
    <t>Saxonburg</t>
  </si>
  <si>
    <t>Tussey Mountain High School</t>
  </si>
  <si>
    <t>Saxton</t>
  </si>
  <si>
    <t>Sayre Area High School</t>
  </si>
  <si>
    <t>Blue Mountain High School</t>
  </si>
  <si>
    <t>Schuylkill Haven</t>
  </si>
  <si>
    <t>Schuylkill Haven SHigh School</t>
  </si>
  <si>
    <t>Lakeland JsHigh School</t>
  </si>
  <si>
    <t>Scott Township</t>
  </si>
  <si>
    <t>West Scranton High School</t>
  </si>
  <si>
    <t>Selinsgrove Area High School</t>
  </si>
  <si>
    <t>Selinsgrove</t>
  </si>
  <si>
    <t>Cranberry Area JsHigh School</t>
  </si>
  <si>
    <t>Shamokin Area High School</t>
  </si>
  <si>
    <t>Shamokin</t>
  </si>
  <si>
    <t>Shanksville-Stonycreek High School</t>
  </si>
  <si>
    <t>Shanksville</t>
  </si>
  <si>
    <t>Academy Park High School</t>
  </si>
  <si>
    <t>Sharon Hill</t>
  </si>
  <si>
    <t>Sharpsville Area SHigh School</t>
  </si>
  <si>
    <t>Sheffield M/High School</t>
  </si>
  <si>
    <t>Shenandoah Valley JsHigh School</t>
  </si>
  <si>
    <t>Northwest Area High School</t>
  </si>
  <si>
    <t>Shickshinny</t>
  </si>
  <si>
    <t>Governor Mifflin SHigh School</t>
  </si>
  <si>
    <t>Shillington</t>
  </si>
  <si>
    <t>Oswayo Valley High School</t>
  </si>
  <si>
    <t>Shinglehouse</t>
  </si>
  <si>
    <t>Shippensburg Area SHigh School</t>
  </si>
  <si>
    <t>Shippensburg</t>
  </si>
  <si>
    <t>Forest Hills JsHigh School</t>
  </si>
  <si>
    <t>Sidman</t>
  </si>
  <si>
    <t>Northern LeHigh School SHigh School</t>
  </si>
  <si>
    <t>Slatington</t>
  </si>
  <si>
    <t>Slippery Rock Area High School</t>
  </si>
  <si>
    <t>Slippery Rock</t>
  </si>
  <si>
    <t>Smethport Area JsHigh School</t>
  </si>
  <si>
    <t>Smethport</t>
  </si>
  <si>
    <t>Somerset Area Jr-Sr High School</t>
  </si>
  <si>
    <t>Souderton Area SHigh School</t>
  </si>
  <si>
    <t>Souderton</t>
  </si>
  <si>
    <t>South Park SHigh School</t>
  </si>
  <si>
    <t>South Park</t>
  </si>
  <si>
    <t>South Williamsport Area JsHigh School</t>
  </si>
  <si>
    <t>South Williamsport</t>
  </si>
  <si>
    <t>Apollo-Ridge High School</t>
  </si>
  <si>
    <t>Spring Church</t>
  </si>
  <si>
    <t>Spring Grove Area High School</t>
  </si>
  <si>
    <t>Penns Valley Area JsHigh School</t>
  </si>
  <si>
    <t>Spring Mills</t>
  </si>
  <si>
    <t>Springdale JsHigh School</t>
  </si>
  <si>
    <t>Elk Lake JsHigh School</t>
  </si>
  <si>
    <t>State College Area High School</t>
  </si>
  <si>
    <t>State College</t>
  </si>
  <si>
    <t>Steelton-High Schooligh Schoolpire High School</t>
  </si>
  <si>
    <t>Steelton</t>
  </si>
  <si>
    <t>Stoneboro</t>
  </si>
  <si>
    <t>Clarion-Limestone Area JsHigh School</t>
  </si>
  <si>
    <t>Strattanville</t>
  </si>
  <si>
    <t>Stroudsburg High School</t>
  </si>
  <si>
    <t>Stroudsburg</t>
  </si>
  <si>
    <t>Shikellamy High School</t>
  </si>
  <si>
    <t>Susquehanna Community JsHigh School</t>
  </si>
  <si>
    <t>Susquehanna</t>
  </si>
  <si>
    <t>Pocono Mountain East High School</t>
  </si>
  <si>
    <t>Swiftwater</t>
  </si>
  <si>
    <t>Tamaqua Area SHigh School</t>
  </si>
  <si>
    <t>Tamaqua</t>
  </si>
  <si>
    <t>Riverside JsHigh School</t>
  </si>
  <si>
    <t>Southern Huntingdon Co High School/Ms</t>
  </si>
  <si>
    <t>Three Springs</t>
  </si>
  <si>
    <t>Mid Valley Secondary Center</t>
  </si>
  <si>
    <t>Throop</t>
  </si>
  <si>
    <t>Williamson SHigh School</t>
  </si>
  <si>
    <t>North Clarion Co JsHigh School</t>
  </si>
  <si>
    <t>Tionesta</t>
  </si>
  <si>
    <t>West Forest JsHigh School</t>
  </si>
  <si>
    <t>Titusville SHigh School</t>
  </si>
  <si>
    <t>Brandywine Heights High School</t>
  </si>
  <si>
    <t>Topton</t>
  </si>
  <si>
    <t>Towanda Area JsHigh School</t>
  </si>
  <si>
    <t>Williams Valley JsHigh School</t>
  </si>
  <si>
    <t>Troy Area JsHigh School</t>
  </si>
  <si>
    <t>Tunkhannock High School</t>
  </si>
  <si>
    <t>Warrior Run High School</t>
  </si>
  <si>
    <t>Turbotville</t>
  </si>
  <si>
    <t>Tyrone Area High School</t>
  </si>
  <si>
    <t>Northern Potter JsHigh School</t>
  </si>
  <si>
    <t>Albert Gallatin Area SHigh School</t>
  </si>
  <si>
    <t>Laurel High Schoollands SHigh School</t>
  </si>
  <si>
    <t>Uniontown Area SHigh School</t>
  </si>
  <si>
    <t>Kiski Area High School</t>
  </si>
  <si>
    <t>Vandergrift</t>
  </si>
  <si>
    <t>Strath Haven High School</t>
  </si>
  <si>
    <t>Southern Fulton JsHigh School</t>
  </si>
  <si>
    <t>Warfordsburg</t>
  </si>
  <si>
    <t>William Tennent High School</t>
  </si>
  <si>
    <t>Warren Area High School</t>
  </si>
  <si>
    <t>Central Bucks High School-South</t>
  </si>
  <si>
    <t>Warrington</t>
  </si>
  <si>
    <t>Trinity SHigh School</t>
  </si>
  <si>
    <t>Forbes Road JsHigh School</t>
  </si>
  <si>
    <t>Waterfall</t>
  </si>
  <si>
    <t>Fort Leboeuf SHigh School</t>
  </si>
  <si>
    <t>Waynesboro Area SHigh School</t>
  </si>
  <si>
    <t>Waynesburg Central High School</t>
  </si>
  <si>
    <t>Waynesburg</t>
  </si>
  <si>
    <t>West Greene JsHigh School</t>
  </si>
  <si>
    <t>Weatherly Area SHigh School</t>
  </si>
  <si>
    <t>Weatherly</t>
  </si>
  <si>
    <t>Wellsboro Area High School</t>
  </si>
  <si>
    <t>Wellsboro</t>
  </si>
  <si>
    <t>West Chester Bayard Rustin High School</t>
  </si>
  <si>
    <t>West Chester East High School</t>
  </si>
  <si>
    <t>West Chester Henderson High School</t>
  </si>
  <si>
    <t>Avon Grove High School</t>
  </si>
  <si>
    <t>West Grove</t>
  </si>
  <si>
    <t>West Lawn</t>
  </si>
  <si>
    <t>West Middlesex Area JsHigh School</t>
  </si>
  <si>
    <t>West Middlesex</t>
  </si>
  <si>
    <t>West Mifflin Area High School</t>
  </si>
  <si>
    <t>West Mifflin</t>
  </si>
  <si>
    <t>Moniteau JsHigh School</t>
  </si>
  <si>
    <t>West Sunbury</t>
  </si>
  <si>
    <t>Cowanesque Valley JsHigh School</t>
  </si>
  <si>
    <t>Harmony Area JsHigh School</t>
  </si>
  <si>
    <t>Westover</t>
  </si>
  <si>
    <t>North Allegheny High School</t>
  </si>
  <si>
    <t>Wexford</t>
  </si>
  <si>
    <t>Elmer L Meyers JsHigh School</t>
  </si>
  <si>
    <t>James M Coughlin JsHigh School</t>
  </si>
  <si>
    <t>G A R Memorial JsHigh School</t>
  </si>
  <si>
    <t>Wilkes-Barre</t>
  </si>
  <si>
    <t>Wilkes-Barre Area Sd Stem Academy</t>
  </si>
  <si>
    <t>Williamsburg Community JsHigh School</t>
  </si>
  <si>
    <t>Loyalsock Twp SHigh School</t>
  </si>
  <si>
    <t>Williamsport Area SHigh School</t>
  </si>
  <si>
    <t>Upper Moreland High School</t>
  </si>
  <si>
    <t>Willow Grove</t>
  </si>
  <si>
    <t>Fannett-Metal SHigh School</t>
  </si>
  <si>
    <t>Willow Hill</t>
  </si>
  <si>
    <t>Westinghouse Arts Academy Cs</t>
  </si>
  <si>
    <t>Wilmerding</t>
  </si>
  <si>
    <t>Windber Area High School</t>
  </si>
  <si>
    <t>Windber</t>
  </si>
  <si>
    <t>Bald Eagle Area JsHigh School</t>
  </si>
  <si>
    <t>Wingate</t>
  </si>
  <si>
    <t>Eastern York High School</t>
  </si>
  <si>
    <t>Wyalusing Valley JsHigh School</t>
  </si>
  <si>
    <t>Wyalusing</t>
  </si>
  <si>
    <t>Cheltenham High School</t>
  </si>
  <si>
    <t>Wyomissing Area JsHigh School</t>
  </si>
  <si>
    <t>Wyomissing</t>
  </si>
  <si>
    <t>Central York High School</t>
  </si>
  <si>
    <t>Crispus Attucks Cs</t>
  </si>
  <si>
    <t>West York Area High School</t>
  </si>
  <si>
    <t>William Penn SHigh School</t>
  </si>
  <si>
    <t>York Suburban SHigh School</t>
  </si>
  <si>
    <t>Bermudian Springs High School</t>
  </si>
  <si>
    <t>York Springs</t>
  </si>
  <si>
    <t>Youngsville High School</t>
  </si>
  <si>
    <t>Mt. Hope High School</t>
  </si>
  <si>
    <t>Central Falls Sr High School</t>
  </si>
  <si>
    <t>Central Falls</t>
  </si>
  <si>
    <t>Sheila Skip Nowell (Central)</t>
  </si>
  <si>
    <t>Cranston High School East</t>
  </si>
  <si>
    <t>Cranston</t>
  </si>
  <si>
    <t>Cranston High School West</t>
  </si>
  <si>
    <t>Nel/Cps Construction Career</t>
  </si>
  <si>
    <t>Blackstone Valley Prep High School</t>
  </si>
  <si>
    <t>East Greenwich High School</t>
  </si>
  <si>
    <t>East Greenwich</t>
  </si>
  <si>
    <t>East Providence High School</t>
  </si>
  <si>
    <t>Burrillville High School</t>
  </si>
  <si>
    <t>Narragansett High School</t>
  </si>
  <si>
    <t>Narragansett</t>
  </si>
  <si>
    <t>North Kingstown Sr. High School</t>
  </si>
  <si>
    <t>North Kingstown</t>
  </si>
  <si>
    <t>North Providence High School</t>
  </si>
  <si>
    <t>North Providence</t>
  </si>
  <si>
    <t>Ponaganset High School</t>
  </si>
  <si>
    <t>North Scituate</t>
  </si>
  <si>
    <t>North Smitfield High School</t>
  </si>
  <si>
    <t>North Smithfield</t>
  </si>
  <si>
    <t>Blackstone Academy Charter</t>
  </si>
  <si>
    <t>Charles E. Shea High School</t>
  </si>
  <si>
    <t>Jacqueline M. Walsh School</t>
  </si>
  <si>
    <t>William E. Tolman High School</t>
  </si>
  <si>
    <t>Academy For Career Exploration</t>
  </si>
  <si>
    <t>Dr. Jorge Alvarez High School</t>
  </si>
  <si>
    <t>E-Cubed Academy</t>
  </si>
  <si>
    <t>Evolutions High School</t>
  </si>
  <si>
    <t>Paul Cuffee Upper School</t>
  </si>
  <si>
    <t>Rini Middle College</t>
  </si>
  <si>
    <t>Sheila Skip Nowell (Capital)</t>
  </si>
  <si>
    <t>Trinity Academy Performing Art</t>
  </si>
  <si>
    <t>W B Cooley &amp; Academy Internationa</t>
  </si>
  <si>
    <t>Smithfield High School</t>
  </si>
  <si>
    <t>Tiverton High School</t>
  </si>
  <si>
    <t>Tiverton</t>
  </si>
  <si>
    <t>South Kingstown High School</t>
  </si>
  <si>
    <t>High Schoollander Secondary Charter S</t>
  </si>
  <si>
    <t>Pilgrim High School</t>
  </si>
  <si>
    <t>Toll Gate High School</t>
  </si>
  <si>
    <t>Exeter-West Greenwich Regional</t>
  </si>
  <si>
    <t>West Greenwich</t>
  </si>
  <si>
    <t>The Greene School</t>
  </si>
  <si>
    <t>West Warwick High School</t>
  </si>
  <si>
    <t>West Warwick</t>
  </si>
  <si>
    <t>Westerly High School</t>
  </si>
  <si>
    <t>Westerly</t>
  </si>
  <si>
    <t>Chariho High School</t>
  </si>
  <si>
    <t>Wood River Junction</t>
  </si>
  <si>
    <t>Beacon Charter School</t>
  </si>
  <si>
    <t>Woonsocket High School</t>
  </si>
  <si>
    <t>Aiken Performing Arts Academy Charter</t>
  </si>
  <si>
    <t>Aiken Scholars Academy</t>
  </si>
  <si>
    <t>Silver Bluff High School</t>
  </si>
  <si>
    <t>South Aiken High School</t>
  </si>
  <si>
    <t>Phoenix Charter High School</t>
  </si>
  <si>
    <t>Alcolu</t>
  </si>
  <si>
    <t>Anderson  Five Charter School</t>
  </si>
  <si>
    <t>T. L. Hanna High School</t>
  </si>
  <si>
    <t>Aynor High School</t>
  </si>
  <si>
    <t>Aynor</t>
  </si>
  <si>
    <t>Bamberg-Ehrhardt High School</t>
  </si>
  <si>
    <t>Bamberg</t>
  </si>
  <si>
    <t>Barnwell High School</t>
  </si>
  <si>
    <t>Barnwell</t>
  </si>
  <si>
    <t>Batesburg-Leesville High School</t>
  </si>
  <si>
    <t>Batesburg-Leesville</t>
  </si>
  <si>
    <t>Battery Creek High School</t>
  </si>
  <si>
    <t>Beaufort High School</t>
  </si>
  <si>
    <t>Islands Academy</t>
  </si>
  <si>
    <t>Marlboro County High School</t>
  </si>
  <si>
    <t>Lee Central High School</t>
  </si>
  <si>
    <t>Blacksburg High School</t>
  </si>
  <si>
    <t>Blacksburg</t>
  </si>
  <si>
    <t>Blackville-Hilda High School</t>
  </si>
  <si>
    <t>H. E. Mccracken Middle</t>
  </si>
  <si>
    <t>May River High School</t>
  </si>
  <si>
    <t>Blythewood High School</t>
  </si>
  <si>
    <t>Blythewood</t>
  </si>
  <si>
    <t>Branchville High School</t>
  </si>
  <si>
    <t>Branchville</t>
  </si>
  <si>
    <t>Calhoun Falls Charter School</t>
  </si>
  <si>
    <t>Calhoun Falls</t>
  </si>
  <si>
    <t>Landrum High School</t>
  </si>
  <si>
    <t>Campobello</t>
  </si>
  <si>
    <t>Brookland-Cayce Senior High School</t>
  </si>
  <si>
    <t>Cayce</t>
  </si>
  <si>
    <t>D. W. Daniel High School</t>
  </si>
  <si>
    <t>Central</t>
  </si>
  <si>
    <t>Chapin High School</t>
  </si>
  <si>
    <t>Chapin</t>
  </si>
  <si>
    <t>Allegro Charter School Of Music</t>
  </si>
  <si>
    <t>Charleston Acceleration Academy</t>
  </si>
  <si>
    <t>Charleston Charter School For Math And Science</t>
  </si>
  <si>
    <t>James Island Charter High School</t>
  </si>
  <si>
    <t>West Ashley High School</t>
  </si>
  <si>
    <t>Cheraw High School</t>
  </si>
  <si>
    <t>Cheraw</t>
  </si>
  <si>
    <t>Chesnee High School</t>
  </si>
  <si>
    <t>Chesnee</t>
  </si>
  <si>
    <t>Chester Senior High School</t>
  </si>
  <si>
    <t>Chesterfield High School</t>
  </si>
  <si>
    <t>Clover High School</t>
  </si>
  <si>
    <t>Clover</t>
  </si>
  <si>
    <t>A. C. Flora High School</t>
  </si>
  <si>
    <t>C. A. Johnson High School</t>
  </si>
  <si>
    <t>Dreher High School</t>
  </si>
  <si>
    <t>Irmo High School</t>
  </si>
  <si>
    <t>Midlands Middle College</t>
  </si>
  <si>
    <t>Odyssey Online Learning</t>
  </si>
  <si>
    <t>Richland Northeast High School</t>
  </si>
  <si>
    <t>Richland One Charter Middle College</t>
  </si>
  <si>
    <t>Richland Two Charter High School</t>
  </si>
  <si>
    <t>Sc Whitmore School</t>
  </si>
  <si>
    <t>W.J. Keenan High School</t>
  </si>
  <si>
    <t>Conway High School</t>
  </si>
  <si>
    <t>Hcs Early College High School</t>
  </si>
  <si>
    <t>Edisto High School</t>
  </si>
  <si>
    <t>Cross High School</t>
  </si>
  <si>
    <t>Cross</t>
  </si>
  <si>
    <t>Darlington High School</t>
  </si>
  <si>
    <t>Darlington</t>
  </si>
  <si>
    <t>Mayo High School For Math Science &amp; Technology</t>
  </si>
  <si>
    <t>Denmark Olar High School</t>
  </si>
  <si>
    <t>Denmark</t>
  </si>
  <si>
    <t>Dillon High School</t>
  </si>
  <si>
    <t>Due West</t>
  </si>
  <si>
    <t>James F. Byrnes High School</t>
  </si>
  <si>
    <t>Easley High School</t>
  </si>
  <si>
    <t>Easley</t>
  </si>
  <si>
    <t>Estill High School</t>
  </si>
  <si>
    <t>Allendale Fairfax High School</t>
  </si>
  <si>
    <t>South Florence High School</t>
  </si>
  <si>
    <t>West Florence High School</t>
  </si>
  <si>
    <t>Fort Mill High School</t>
  </si>
  <si>
    <t>Fort Mill</t>
  </si>
  <si>
    <t>Nation Ford High School</t>
  </si>
  <si>
    <t>Gaffney High School</t>
  </si>
  <si>
    <t>Goose Creek High School</t>
  </si>
  <si>
    <t>Goose Creek</t>
  </si>
  <si>
    <t>Midland Valley High School</t>
  </si>
  <si>
    <t>Graniteville</t>
  </si>
  <si>
    <t>C. E. Murray High School</t>
  </si>
  <si>
    <t>Greeleyville</t>
  </si>
  <si>
    <t>Green Sea Floyds High School</t>
  </si>
  <si>
    <t>Green Sea</t>
  </si>
  <si>
    <t>Berea High School</t>
  </si>
  <si>
    <t>Carolina Academy (High School)</t>
  </si>
  <si>
    <t>Greenville Senior High School Academy</t>
  </si>
  <si>
    <t>Greenville Technical Charter High School</t>
  </si>
  <si>
    <t>J. L. Mann High School Academy</t>
  </si>
  <si>
    <t>Next High School</t>
  </si>
  <si>
    <t>Powdersville High School</t>
  </si>
  <si>
    <t>Sc Governor'S School For Arts And Humanities</t>
  </si>
  <si>
    <t>Wade Hampton High School</t>
  </si>
  <si>
    <t>Emerald High School</t>
  </si>
  <si>
    <t>Greer</t>
  </si>
  <si>
    <t>Greer High School</t>
  </si>
  <si>
    <t>Hanahan High School</t>
  </si>
  <si>
    <t>Hanahan</t>
  </si>
  <si>
    <t>Hartsville High School</t>
  </si>
  <si>
    <t>Hartsville</t>
  </si>
  <si>
    <t>Sc Governor'S School For Science And Mathematics</t>
  </si>
  <si>
    <t>Carvers Bay High School</t>
  </si>
  <si>
    <t>Hemingway</t>
  </si>
  <si>
    <t>Hemingway High School</t>
  </si>
  <si>
    <t>Hilton Head Island High School</t>
  </si>
  <si>
    <t>Baptist Hill High School</t>
  </si>
  <si>
    <t>Belton Honea Path High School</t>
  </si>
  <si>
    <t>Honea Path</t>
  </si>
  <si>
    <t>Lower Richland High School</t>
  </si>
  <si>
    <t>Indian Land High School</t>
  </si>
  <si>
    <t>Indian Land</t>
  </si>
  <si>
    <t>Dutch Fork High School</t>
  </si>
  <si>
    <t>Irmo</t>
  </si>
  <si>
    <t>Iva</t>
  </si>
  <si>
    <t>St. Johns High School</t>
  </si>
  <si>
    <t>Johnsonville High School</t>
  </si>
  <si>
    <t>Johnsonville</t>
  </si>
  <si>
    <t>Strom Thurmond High School</t>
  </si>
  <si>
    <t>Kershaw</t>
  </si>
  <si>
    <t>Kingstree Senior High School</t>
  </si>
  <si>
    <t>Latta</t>
  </si>
  <si>
    <t>Laurens District 55 High School</t>
  </si>
  <si>
    <t>Laurens</t>
  </si>
  <si>
    <t>River Bluff High School</t>
  </si>
  <si>
    <t>White Knoll High School</t>
  </si>
  <si>
    <t>North Myrtle Beach High School</t>
  </si>
  <si>
    <t>Loris High School</t>
  </si>
  <si>
    <t>Loris</t>
  </si>
  <si>
    <t>Lugoff-Elgin High School</t>
  </si>
  <si>
    <t>Lugoff</t>
  </si>
  <si>
    <t>Manning High School</t>
  </si>
  <si>
    <t>Creek Bridge High School</t>
  </si>
  <si>
    <t>Mauldin High School</t>
  </si>
  <si>
    <t>Mcbee High School</t>
  </si>
  <si>
    <t>Mcbee</t>
  </si>
  <si>
    <t>Mccormick High School</t>
  </si>
  <si>
    <t>Mccormick</t>
  </si>
  <si>
    <t>Berkeley County Middle College High School</t>
  </si>
  <si>
    <t>Moncks Corner</t>
  </si>
  <si>
    <t>Ridge Spring-Monetta  High School</t>
  </si>
  <si>
    <t>Monetta</t>
  </si>
  <si>
    <t>Oceanside Collegiate Academy</t>
  </si>
  <si>
    <t>Wando High School</t>
  </si>
  <si>
    <t>Mullins High School</t>
  </si>
  <si>
    <t>Murrells Inlet</t>
  </si>
  <si>
    <t>Carolina Forest High School</t>
  </si>
  <si>
    <t>Coastal Leadership Academy</t>
  </si>
  <si>
    <t>Myrtle Beach High School</t>
  </si>
  <si>
    <t>Palmetto Academy Of Learning Motorsports (Palm)</t>
  </si>
  <si>
    <t>Socastee High School</t>
  </si>
  <si>
    <t>Hunter-Kinard-Tyler High School</t>
  </si>
  <si>
    <t>Neeses</t>
  </si>
  <si>
    <t>Ninety Six High School</t>
  </si>
  <si>
    <t>Ninety Six</t>
  </si>
  <si>
    <t>North Middle/High School</t>
  </si>
  <si>
    <t>North</t>
  </si>
  <si>
    <t>Fox Creek Charter High School</t>
  </si>
  <si>
    <t>North Augusta</t>
  </si>
  <si>
    <t>North Augusta High School</t>
  </si>
  <si>
    <t>Academyemic Magnet High School</t>
  </si>
  <si>
    <t>Charleston School Of The Arts</t>
  </si>
  <si>
    <t>Fort Dorchester High School</t>
  </si>
  <si>
    <t>Garrett Academy Of Technology</t>
  </si>
  <si>
    <t>Greg Mathis Charter High School</t>
  </si>
  <si>
    <t>Military Magnet Academy</t>
  </si>
  <si>
    <t>North Charleston High School</t>
  </si>
  <si>
    <t>Palmetto Scholars Academy</t>
  </si>
  <si>
    <t>Rb Stall High School</t>
  </si>
  <si>
    <t>Ocsd5 High School For Health Professions</t>
  </si>
  <si>
    <t>Orangeburg Wilkinson High School</t>
  </si>
  <si>
    <t>Pageland</t>
  </si>
  <si>
    <t>Hannah Pamplico High School</t>
  </si>
  <si>
    <t>Pamplico</t>
  </si>
  <si>
    <t>Waccamaw High School</t>
  </si>
  <si>
    <t>Pawleys Island</t>
  </si>
  <si>
    <t>Pelion High School</t>
  </si>
  <si>
    <t>Pelion</t>
  </si>
  <si>
    <t>Pickens High School</t>
  </si>
  <si>
    <t>Pickens</t>
  </si>
  <si>
    <t>Woodmont High School</t>
  </si>
  <si>
    <t>Wren High School</t>
  </si>
  <si>
    <t>Mid-Carolina High School</t>
  </si>
  <si>
    <t>Prosperity</t>
  </si>
  <si>
    <t>Lewisville High School</t>
  </si>
  <si>
    <t>Richburg</t>
  </si>
  <si>
    <t>Ridgeland-Hardeeville High School</t>
  </si>
  <si>
    <t>Rock Hill High School</t>
  </si>
  <si>
    <t>Dorman High School</t>
  </si>
  <si>
    <t>Bethune-Bowman Middle/High School</t>
  </si>
  <si>
    <t>Rowesville</t>
  </si>
  <si>
    <t>Saluda High School</t>
  </si>
  <si>
    <t>Saluda</t>
  </si>
  <si>
    <t>Lake Marion High School And Technology Center</t>
  </si>
  <si>
    <t>Whale Branch Early College High School</t>
  </si>
  <si>
    <t>Seabrook</t>
  </si>
  <si>
    <t>Brashier Middle College</t>
  </si>
  <si>
    <t>Broome High School</t>
  </si>
  <si>
    <t>Spartanburg High School</t>
  </si>
  <si>
    <t>St. Matthews</t>
  </si>
  <si>
    <t>St. Stephen</t>
  </si>
  <si>
    <t>Scott'S Branch High School</t>
  </si>
  <si>
    <t>Ashley Ridge High School</t>
  </si>
  <si>
    <t>Cane Bay High School</t>
  </si>
  <si>
    <t>Sumter High School</t>
  </si>
  <si>
    <t>Swansea High School</t>
  </si>
  <si>
    <t>Taylors</t>
  </si>
  <si>
    <t>Greer Middle College Charter High School</t>
  </si>
  <si>
    <t>Timmonsville High School</t>
  </si>
  <si>
    <t>Timmonsville</t>
  </si>
  <si>
    <t>Travelers Rest High School</t>
  </si>
  <si>
    <t>Travelers Rest</t>
  </si>
  <si>
    <t>East Clarendon Middle-High School</t>
  </si>
  <si>
    <t>Turbeville</t>
  </si>
  <si>
    <t>Varnville</t>
  </si>
  <si>
    <t>Wagener-Sally High School</t>
  </si>
  <si>
    <t>Wagener</t>
  </si>
  <si>
    <t>Walhalla High School</t>
  </si>
  <si>
    <t>Colleton County High School</t>
  </si>
  <si>
    <t>Ware Shoals High School</t>
  </si>
  <si>
    <t>Ware Shoals</t>
  </si>
  <si>
    <t>Airport High School</t>
  </si>
  <si>
    <t>West Columbia</t>
  </si>
  <si>
    <t>Gray Collegiate Academy</t>
  </si>
  <si>
    <t>West-Oak High School</t>
  </si>
  <si>
    <t>Whitmire Community School (High School)</t>
  </si>
  <si>
    <t>Whitmire</t>
  </si>
  <si>
    <t>Williston-Elko High School</t>
  </si>
  <si>
    <t>Fairfield Central High School</t>
  </si>
  <si>
    <t>Woodruff High School</t>
  </si>
  <si>
    <t>Woodruff</t>
  </si>
  <si>
    <t>York Comprehensive High School</t>
  </si>
  <si>
    <t>Central High School - 01</t>
  </si>
  <si>
    <t>Alcester-Hudson High School - 01</t>
  </si>
  <si>
    <t>Alcester</t>
  </si>
  <si>
    <t>Hanson Colony Alternative High School - 07</t>
  </si>
  <si>
    <t>Hanson High School - 01</t>
  </si>
  <si>
    <t>Arlington High School - 01</t>
  </si>
  <si>
    <t>Spring Lake Colony High School - 05</t>
  </si>
  <si>
    <t>Armour High School - 01</t>
  </si>
  <si>
    <t>Armour</t>
  </si>
  <si>
    <t>Avon High School - 01</t>
  </si>
  <si>
    <t>Baltic High School - 01</t>
  </si>
  <si>
    <t>Belle Fourche High School - 01</t>
  </si>
  <si>
    <t>Belle Fourche</t>
  </si>
  <si>
    <t>Beresford High School - 01</t>
  </si>
  <si>
    <t>Beresford</t>
  </si>
  <si>
    <t>Bison High School - 01</t>
  </si>
  <si>
    <t>Bison</t>
  </si>
  <si>
    <t>Bowdle High School - 01</t>
  </si>
  <si>
    <t>Bowdle</t>
  </si>
  <si>
    <t>Douglas High School - 03</t>
  </si>
  <si>
    <t>Brandon Valley High School - 01</t>
  </si>
  <si>
    <t>Britton-Hecla High School - 01</t>
  </si>
  <si>
    <t>Britton</t>
  </si>
  <si>
    <t>Sunset Colony High School - 06</t>
  </si>
  <si>
    <t>Brookings High School - 01</t>
  </si>
  <si>
    <t>Harding County High School - 01</t>
  </si>
  <si>
    <t>Burke High School - 01</t>
  </si>
  <si>
    <t>Burke</t>
  </si>
  <si>
    <t>Whole Grade Sharing With Burke - 04</t>
  </si>
  <si>
    <t>Canistota High School - 01</t>
  </si>
  <si>
    <t>Canistota</t>
  </si>
  <si>
    <t>Canton High School - 01</t>
  </si>
  <si>
    <t>Castlewood High School - 01</t>
  </si>
  <si>
    <t>Castlewood</t>
  </si>
  <si>
    <t>Centerville High School - 01</t>
  </si>
  <si>
    <t>Chamberlain High School - 01</t>
  </si>
  <si>
    <t>Chamberlain</t>
  </si>
  <si>
    <t>Chester Area Cyber School - 92</t>
  </si>
  <si>
    <t>Chester High School - 01</t>
  </si>
  <si>
    <t>Clark High School - 01</t>
  </si>
  <si>
    <t>Deuel High School - 01</t>
  </si>
  <si>
    <t>Colman-Egan High School - 01</t>
  </si>
  <si>
    <t>Colman</t>
  </si>
  <si>
    <t>Colome High School - 01</t>
  </si>
  <si>
    <t>Colome</t>
  </si>
  <si>
    <t>Tri-Valley High School - 01</t>
  </si>
  <si>
    <t>Corsica-Stickney High School - 01</t>
  </si>
  <si>
    <t>Corsica</t>
  </si>
  <si>
    <t>Custer High School - 01</t>
  </si>
  <si>
    <t>De Smet High School - 01</t>
  </si>
  <si>
    <t>De Smet</t>
  </si>
  <si>
    <t>Dell Rapids High School - 01</t>
  </si>
  <si>
    <t>Elk Mountain High School - 04</t>
  </si>
  <si>
    <t>Doland High School - 01</t>
  </si>
  <si>
    <t>Doland</t>
  </si>
  <si>
    <t>Hillside Colony High School - 07</t>
  </si>
  <si>
    <t>Dupree High School - 01</t>
  </si>
  <si>
    <t>Dupree</t>
  </si>
  <si>
    <t>Eagle Butte High School - 01</t>
  </si>
  <si>
    <t>Eagle Butte</t>
  </si>
  <si>
    <t>Edgemont High School - 01</t>
  </si>
  <si>
    <t>Edgemont</t>
  </si>
  <si>
    <t>Elk Point-Jefferson High School - 01</t>
  </si>
  <si>
    <t>Elk Point</t>
  </si>
  <si>
    <t>Elkton High School - 01</t>
  </si>
  <si>
    <t>Bridgewater-Emery High School - 01</t>
  </si>
  <si>
    <t>Emery</t>
  </si>
  <si>
    <t>Estelline High School - 01</t>
  </si>
  <si>
    <t>Estelline</t>
  </si>
  <si>
    <t>Ethan High School - 01</t>
  </si>
  <si>
    <t>Ethan</t>
  </si>
  <si>
    <t>Eureka High School - 01</t>
  </si>
  <si>
    <t>Faith High School - 01</t>
  </si>
  <si>
    <t>Faith</t>
  </si>
  <si>
    <t>Faulkton High School - 01</t>
  </si>
  <si>
    <t>Faulkton</t>
  </si>
  <si>
    <t>Flandreau High School - 01</t>
  </si>
  <si>
    <t>Flandreau</t>
  </si>
  <si>
    <t>Florence High School - 01</t>
  </si>
  <si>
    <t>Sanborn Central High School - 01</t>
  </si>
  <si>
    <t>Forestburg</t>
  </si>
  <si>
    <t>Stanley County High School - 01</t>
  </si>
  <si>
    <t>Fort Pierre</t>
  </si>
  <si>
    <t>Frederick High School - 01</t>
  </si>
  <si>
    <t>Freeman High School - 01</t>
  </si>
  <si>
    <t>Garretson High School - 01</t>
  </si>
  <si>
    <t>Garretson</t>
  </si>
  <si>
    <t>Gayville-Volin High School - 01</t>
  </si>
  <si>
    <t>Gayville</t>
  </si>
  <si>
    <t>Gettysburg High School - 01</t>
  </si>
  <si>
    <t>Gregory High School - 01</t>
  </si>
  <si>
    <t>Gregory</t>
  </si>
  <si>
    <t>Groton Area High School - 01</t>
  </si>
  <si>
    <t>Harrisburg High School - 01</t>
  </si>
  <si>
    <t>West Central High School - 01</t>
  </si>
  <si>
    <t>Hamlin High School - 01</t>
  </si>
  <si>
    <t>Henry High School - 01</t>
  </si>
  <si>
    <t>Herreid High School - 01</t>
  </si>
  <si>
    <t>Herreid</t>
  </si>
  <si>
    <t>High Schoolmore High School - 01</t>
  </si>
  <si>
    <t>Highmore</t>
  </si>
  <si>
    <t>Hill City High School - 01</t>
  </si>
  <si>
    <t>Hot Springs High School - 01</t>
  </si>
  <si>
    <t>Hoven High School - 01</t>
  </si>
  <si>
    <t>Hoven</t>
  </si>
  <si>
    <t>Howard High School - 01</t>
  </si>
  <si>
    <t>Huron High School - 01</t>
  </si>
  <si>
    <t>Ipswich High School - 01</t>
  </si>
  <si>
    <t>Irene - Wakonda High School - 01</t>
  </si>
  <si>
    <t>Irene</t>
  </si>
  <si>
    <t>Iroquois High School - 01</t>
  </si>
  <si>
    <t>Iroquois</t>
  </si>
  <si>
    <t>Kadoka Area High School - 01</t>
  </si>
  <si>
    <t>Kadoka</t>
  </si>
  <si>
    <t>Grass Ranch Colony High School - 15</t>
  </si>
  <si>
    <t>Kimball High School - 01</t>
  </si>
  <si>
    <t>Andes Central High School - 01</t>
  </si>
  <si>
    <t>Lake Andes</t>
  </si>
  <si>
    <t>Lake Preston High School - 01</t>
  </si>
  <si>
    <t>Lake Preston</t>
  </si>
  <si>
    <t>Langford Area High School - 01</t>
  </si>
  <si>
    <t>Langford</t>
  </si>
  <si>
    <t>Lead-Deadwood High School - 01</t>
  </si>
  <si>
    <t>Lead</t>
  </si>
  <si>
    <t>Lemmon High School - 01</t>
  </si>
  <si>
    <t>Lemmon</t>
  </si>
  <si>
    <t>Lennox High School - 01</t>
  </si>
  <si>
    <t>Leola High School - 01</t>
  </si>
  <si>
    <t>Madison High School - 01</t>
  </si>
  <si>
    <t>Marion High School - 01</t>
  </si>
  <si>
    <t>Bennett County High School - 01</t>
  </si>
  <si>
    <t>Mcintosh High School - 01</t>
  </si>
  <si>
    <t>Mcintosh</t>
  </si>
  <si>
    <t>Mclaughlin High School - 01</t>
  </si>
  <si>
    <t>Mclaughlin</t>
  </si>
  <si>
    <t>Northwestern Cyber High School - 92</t>
  </si>
  <si>
    <t>Mellette</t>
  </si>
  <si>
    <t>Northwestern High School - 01</t>
  </si>
  <si>
    <t>Menno High School - 01</t>
  </si>
  <si>
    <t>Menno</t>
  </si>
  <si>
    <t>Milbank High School - 01</t>
  </si>
  <si>
    <t>Milbank</t>
  </si>
  <si>
    <t>Miller High School - 01</t>
  </si>
  <si>
    <t>Todd County High School - 01</t>
  </si>
  <si>
    <t>Abbott House High School - 07</t>
  </si>
  <si>
    <t>Mitchell High School - 01</t>
  </si>
  <si>
    <t>Mobridge High School - 01</t>
  </si>
  <si>
    <t>Mobridge</t>
  </si>
  <si>
    <t>Montrose High School - 01</t>
  </si>
  <si>
    <t>Mount Vernon High School- 01</t>
  </si>
  <si>
    <t>Jones County High School - 01</t>
  </si>
  <si>
    <t>Murdo</t>
  </si>
  <si>
    <t>New Underwood High School - 01</t>
  </si>
  <si>
    <t>New Underwood</t>
  </si>
  <si>
    <t>Newell High School - 01</t>
  </si>
  <si>
    <t>Dakota Valley High School - 01</t>
  </si>
  <si>
    <t>North Sioux City</t>
  </si>
  <si>
    <t>OelricHigh School High School - 01</t>
  </si>
  <si>
    <t>Oelrichs</t>
  </si>
  <si>
    <t>Sully Buttes High School - 07</t>
  </si>
  <si>
    <t>Onida</t>
  </si>
  <si>
    <t>Parker High School - 01</t>
  </si>
  <si>
    <t>Parkston High School - 01</t>
  </si>
  <si>
    <t>Parkston</t>
  </si>
  <si>
    <t>Philip High School - 01</t>
  </si>
  <si>
    <t>Philip</t>
  </si>
  <si>
    <t>T F Riggs High School - 01</t>
  </si>
  <si>
    <t>Pierre</t>
  </si>
  <si>
    <t>Plankinton High School - 01</t>
  </si>
  <si>
    <t>Plankinton</t>
  </si>
  <si>
    <t>Platte - Geddes High School - 01</t>
  </si>
  <si>
    <t>Platte</t>
  </si>
  <si>
    <t>Lyman High School - 01</t>
  </si>
  <si>
    <t>Presho</t>
  </si>
  <si>
    <t>Oldham-Ramona High School - 01</t>
  </si>
  <si>
    <t>Central High School - 41</t>
  </si>
  <si>
    <t>Stevens High School - 42</t>
  </si>
  <si>
    <t>Redfield High School - 01</t>
  </si>
  <si>
    <t>Redfield</t>
  </si>
  <si>
    <t>Edmunds Central High School - 01</t>
  </si>
  <si>
    <t>Roscoe</t>
  </si>
  <si>
    <t>Rosholt High School - 01</t>
  </si>
  <si>
    <t>Rosholt</t>
  </si>
  <si>
    <t>Rutland High School - 01</t>
  </si>
  <si>
    <t>Mccook Central High School - 01</t>
  </si>
  <si>
    <t>Scotland High School - 01</t>
  </si>
  <si>
    <t>Scotland</t>
  </si>
  <si>
    <t>Selby High School - 01</t>
  </si>
  <si>
    <t>Selby</t>
  </si>
  <si>
    <t>Lincoln High School - 02</t>
  </si>
  <si>
    <t>New Technology High School - 30</t>
  </si>
  <si>
    <t>Roosevelt High School - 03</t>
  </si>
  <si>
    <t>Washington High School - 01</t>
  </si>
  <si>
    <t>Sisseton High School - 01</t>
  </si>
  <si>
    <t>Sisseton</t>
  </si>
  <si>
    <t>Spearfish High School - 01</t>
  </si>
  <si>
    <t>Spearfish</t>
  </si>
  <si>
    <t>Sturgis Brown High School - 01</t>
  </si>
  <si>
    <t>Summit High School - 01</t>
  </si>
  <si>
    <t>Tea Area High School - 03</t>
  </si>
  <si>
    <t>Tea</t>
  </si>
  <si>
    <t>Timber Lake High School - 01</t>
  </si>
  <si>
    <t>Timber Lake</t>
  </si>
  <si>
    <t>Tripp-Delmont High School - 01</t>
  </si>
  <si>
    <t>Tripp</t>
  </si>
  <si>
    <t>Hitchcock-Tulare High School - 01</t>
  </si>
  <si>
    <t>Bon Homme High School - 01</t>
  </si>
  <si>
    <t>Tyndall</t>
  </si>
  <si>
    <t>Vermillion High School - 01</t>
  </si>
  <si>
    <t>Vermillion</t>
  </si>
  <si>
    <t>Viborg-Hurley High School - 01</t>
  </si>
  <si>
    <t>Viborg</t>
  </si>
  <si>
    <t>Sioux Valley High School - 01</t>
  </si>
  <si>
    <t>Volga</t>
  </si>
  <si>
    <t>Wagner High School - 01</t>
  </si>
  <si>
    <t>Wagner</t>
  </si>
  <si>
    <t>Wakpala High School - 01</t>
  </si>
  <si>
    <t>Wakpala</t>
  </si>
  <si>
    <t>Wall High School - 01</t>
  </si>
  <si>
    <t>Warner High School - 01</t>
  </si>
  <si>
    <t>Watertown High School - 01</t>
  </si>
  <si>
    <t>Waubay High School - 01</t>
  </si>
  <si>
    <t>Waubay</t>
  </si>
  <si>
    <t>Waverly-South Shore High School - 01</t>
  </si>
  <si>
    <t>Webster Area High School - 01</t>
  </si>
  <si>
    <t>Wessington Springs High School - 01</t>
  </si>
  <si>
    <t>Wessington Springs</t>
  </si>
  <si>
    <t>Wessington Springs High School Cyber School - 92</t>
  </si>
  <si>
    <t>Deubrook High School - 01</t>
  </si>
  <si>
    <t>White Lake High School - 01</t>
  </si>
  <si>
    <t>White River High School - 01</t>
  </si>
  <si>
    <t>White River</t>
  </si>
  <si>
    <t>Willow Lake High School - 01</t>
  </si>
  <si>
    <t>Willow Lake</t>
  </si>
  <si>
    <t>Wilmot High School - 01</t>
  </si>
  <si>
    <t>Wilmot</t>
  </si>
  <si>
    <t>Winner High School - 01</t>
  </si>
  <si>
    <t>Winner</t>
  </si>
  <si>
    <t>Wolsey Wessington High School - 01</t>
  </si>
  <si>
    <t>Wolsey</t>
  </si>
  <si>
    <t>Woonsocket High School - 01</t>
  </si>
  <si>
    <t>Yankton High School - 01</t>
  </si>
  <si>
    <t>Adamsville Junior / Senior High School</t>
  </si>
  <si>
    <t>Chuckey Doak High School</t>
  </si>
  <si>
    <t>Crockett County High School</t>
  </si>
  <si>
    <t>Alcoa High School</t>
  </si>
  <si>
    <t>Alcoa</t>
  </si>
  <si>
    <t>Cane Ridge High School</t>
  </si>
  <si>
    <t>Knowledge Academyemies High School</t>
  </si>
  <si>
    <t>The Academy At Hickory Hollow</t>
  </si>
  <si>
    <t>Cheatham Co Central</t>
  </si>
  <si>
    <t>Ashland City</t>
  </si>
  <si>
    <t>Mcminn High School</t>
  </si>
  <si>
    <t>Upperman High School</t>
  </si>
  <si>
    <t>Sullivan Central High School</t>
  </si>
  <si>
    <t>Blountville</t>
  </si>
  <si>
    <t>Sullivan East High School</t>
  </si>
  <si>
    <t>Bluff City</t>
  </si>
  <si>
    <t>Ravenwood High School</t>
  </si>
  <si>
    <t>Tennessee High School</t>
  </si>
  <si>
    <t>Tennessee Online Public School</t>
  </si>
  <si>
    <t>Haywood High School</t>
  </si>
  <si>
    <t>Bruceton</t>
  </si>
  <si>
    <t>Pickett Co High School</t>
  </si>
  <si>
    <t>Byrdstown</t>
  </si>
  <si>
    <t>Benton County Academy</t>
  </si>
  <si>
    <t>Camden Central High School</t>
  </si>
  <si>
    <t>Smith County High School</t>
  </si>
  <si>
    <t>Jo Byrns High School</t>
  </si>
  <si>
    <t>Hickman Co Sr High School</t>
  </si>
  <si>
    <t>Forrest School</t>
  </si>
  <si>
    <t>Creek Wood High School</t>
  </si>
  <si>
    <t>Brainerd High School</t>
  </si>
  <si>
    <t>Chatt High School Center For Creative Arts</t>
  </si>
  <si>
    <t>Chattanooga Girls Leadership Academy</t>
  </si>
  <si>
    <t>Chattanooga School For Arts And Sciences Upper</t>
  </si>
  <si>
    <t>Hamilton County Collegiate High School At Chattanooga State</t>
  </si>
  <si>
    <t>Lookout Valley Middle / High School</t>
  </si>
  <si>
    <t>Red Bank High School</t>
  </si>
  <si>
    <t>Stem School Chattanooga</t>
  </si>
  <si>
    <t>The Howard School</t>
  </si>
  <si>
    <t>Tyner Academy</t>
  </si>
  <si>
    <t>Volunteer High School</t>
  </si>
  <si>
    <t>Church Hill</t>
  </si>
  <si>
    <t>Clarkrange High School</t>
  </si>
  <si>
    <t>Clarkrange</t>
  </si>
  <si>
    <t>Kenwood High School</t>
  </si>
  <si>
    <t>Middle College @ Austin Peay State University</t>
  </si>
  <si>
    <t>Rossview High School</t>
  </si>
  <si>
    <t>West Creek High School</t>
  </si>
  <si>
    <t>Bradley Central High School</t>
  </si>
  <si>
    <t>North Cleveland Goal Academy</t>
  </si>
  <si>
    <t>Walker Valley High School</t>
  </si>
  <si>
    <t>Grundy County High School</t>
  </si>
  <si>
    <t>Coalmont</t>
  </si>
  <si>
    <t>Collierville High School</t>
  </si>
  <si>
    <t>Collinwood</t>
  </si>
  <si>
    <t>Whitthorne Middle School</t>
  </si>
  <si>
    <t>Copper Basin High School</t>
  </si>
  <si>
    <t>Copperhill</t>
  </si>
  <si>
    <t>Cornersville School</t>
  </si>
  <si>
    <t>Cornersville</t>
  </si>
  <si>
    <t>Corryton</t>
  </si>
  <si>
    <t>Cosby High School</t>
  </si>
  <si>
    <t>Cosby</t>
  </si>
  <si>
    <t>East Robertson High School</t>
  </si>
  <si>
    <t>Cross Plains</t>
  </si>
  <si>
    <t>Stone Memorial High School</t>
  </si>
  <si>
    <t>The Phoenix School</t>
  </si>
  <si>
    <t>Cumberland Gap High School</t>
  </si>
  <si>
    <t>Cumberland Gap</t>
  </si>
  <si>
    <t>Montgomery Central High School</t>
  </si>
  <si>
    <t>Dandridge</t>
  </si>
  <si>
    <t>Meigs County High School</t>
  </si>
  <si>
    <t>Decaturville</t>
  </si>
  <si>
    <t>Dickson County High School</t>
  </si>
  <si>
    <t>Dickson</t>
  </si>
  <si>
    <t>Stewart Co High School</t>
  </si>
  <si>
    <t>Dresden High School</t>
  </si>
  <si>
    <t>Sequatchie Co High School</t>
  </si>
  <si>
    <t>Gibson County High School</t>
  </si>
  <si>
    <t>Dyer</t>
  </si>
  <si>
    <t>Dyersburg High School</t>
  </si>
  <si>
    <t>Dyersburg</t>
  </si>
  <si>
    <t>Elizabethton High School</t>
  </si>
  <si>
    <t>Elizabethton</t>
  </si>
  <si>
    <t>Happy Valley High School</t>
  </si>
  <si>
    <t>Unaka High School</t>
  </si>
  <si>
    <t>Houston Co High School</t>
  </si>
  <si>
    <t>Erin</t>
  </si>
  <si>
    <t>Unicoi Co High School</t>
  </si>
  <si>
    <t>Rhea County High School</t>
  </si>
  <si>
    <t>Evensville</t>
  </si>
  <si>
    <t>Fayetteville High School</t>
  </si>
  <si>
    <t>Fred J Page High School</t>
  </si>
  <si>
    <t>Gainesboro</t>
  </si>
  <si>
    <t>Gallatin Senior High School</t>
  </si>
  <si>
    <t>Station Camp High School</t>
  </si>
  <si>
    <t>Sumner County Middle College High School</t>
  </si>
  <si>
    <t>Gatlinburg Pittman High School</t>
  </si>
  <si>
    <t>Gatlinburg</t>
  </si>
  <si>
    <t>Gordonsville High School</t>
  </si>
  <si>
    <t>Gordonsville</t>
  </si>
  <si>
    <t>Daniel Boone High School</t>
  </si>
  <si>
    <t>Greeneville High School</t>
  </si>
  <si>
    <t>North Greene High School</t>
  </si>
  <si>
    <t>South Greene High School</t>
  </si>
  <si>
    <t>Halls High School</t>
  </si>
  <si>
    <t>Halls</t>
  </si>
  <si>
    <t>Harriman High School</t>
  </si>
  <si>
    <t>Harriman</t>
  </si>
  <si>
    <t>Midtown Educational Center</t>
  </si>
  <si>
    <t>Trousdale Co High School</t>
  </si>
  <si>
    <t>Chester County High School</t>
  </si>
  <si>
    <t>Beech Sr High School</t>
  </si>
  <si>
    <t>Hixson High School</t>
  </si>
  <si>
    <t>Lewis Co High School</t>
  </si>
  <si>
    <t>Humboldt Junior/Senior High School</t>
  </si>
  <si>
    <t>Huntingdon High School</t>
  </si>
  <si>
    <t>Campbell County Comprehensive High School</t>
  </si>
  <si>
    <t>Jackson Central-Merry Early College High School</t>
  </si>
  <si>
    <t>Liberty Technology Magnet High School</t>
  </si>
  <si>
    <t>Madison Academyemic Magnet High School</t>
  </si>
  <si>
    <t>Alvin C. York Institute</t>
  </si>
  <si>
    <t>Marion Co High School</t>
  </si>
  <si>
    <t>Jellico High School</t>
  </si>
  <si>
    <t>Jellico</t>
  </si>
  <si>
    <t>Science Hill High School</t>
  </si>
  <si>
    <t>David Crockett High School</t>
  </si>
  <si>
    <t>Jonesborough</t>
  </si>
  <si>
    <t>Dobyns - Bennett High School</t>
  </si>
  <si>
    <t>Kingsport</t>
  </si>
  <si>
    <t>Innovation Academy</t>
  </si>
  <si>
    <t>Sullivan North High School</t>
  </si>
  <si>
    <t>Sullivan South High School</t>
  </si>
  <si>
    <t>Roane County High School</t>
  </si>
  <si>
    <t>Harpeth High School</t>
  </si>
  <si>
    <t>Kingston Springs</t>
  </si>
  <si>
    <t>Austin East High School/Magnet</t>
  </si>
  <si>
    <t>Career Magnet Academy</t>
  </si>
  <si>
    <t>Dr. Paul L. Kelley Volunteer Academy</t>
  </si>
  <si>
    <t>Farragut High School</t>
  </si>
  <si>
    <t>Hardin Valley Academy</t>
  </si>
  <si>
    <t>Karns High School</t>
  </si>
  <si>
    <t>L N Stem Academy</t>
  </si>
  <si>
    <t>South Doyle High School</t>
  </si>
  <si>
    <t>Northview Senior Academy</t>
  </si>
  <si>
    <t>Kodak</t>
  </si>
  <si>
    <t>Lavergne High School</t>
  </si>
  <si>
    <t>Lavergne</t>
  </si>
  <si>
    <t>Lawrence Co High School</t>
  </si>
  <si>
    <t>Wilson Central High School</t>
  </si>
  <si>
    <t>Lenoir City High School</t>
  </si>
  <si>
    <t>Lenoir City</t>
  </si>
  <si>
    <t>Marshall Co High School</t>
  </si>
  <si>
    <t>Perry County High School</t>
  </si>
  <si>
    <t>Livingston Academy</t>
  </si>
  <si>
    <t>Loretto High School</t>
  </si>
  <si>
    <t>Loretto</t>
  </si>
  <si>
    <t>Loudon High School</t>
  </si>
  <si>
    <t>Loudon</t>
  </si>
  <si>
    <t>East Hickman High School</t>
  </si>
  <si>
    <t>Lyles</t>
  </si>
  <si>
    <t>Moore County High School</t>
  </si>
  <si>
    <t>Richland School</t>
  </si>
  <si>
    <t>Coffee County Central High School</t>
  </si>
  <si>
    <t>William Blount High School</t>
  </si>
  <si>
    <t>Maynardville</t>
  </si>
  <si>
    <t>Mc Ewen High School</t>
  </si>
  <si>
    <t>Mcewen</t>
  </si>
  <si>
    <t>Mckenzie High School</t>
  </si>
  <si>
    <t>Mckenzie</t>
  </si>
  <si>
    <t>South Gibson County High School</t>
  </si>
  <si>
    <t>B. T. Washington High School</t>
  </si>
  <si>
    <t>City University School Of Independence</t>
  </si>
  <si>
    <t>City University School Of Liberal Arts</t>
  </si>
  <si>
    <t>Craigmont High School</t>
  </si>
  <si>
    <t>Fairley High School</t>
  </si>
  <si>
    <t>Freedom Preparatory Academy</t>
  </si>
  <si>
    <t>Hollis F. Price Middle College</t>
  </si>
  <si>
    <t>Kingsbury High School</t>
  </si>
  <si>
    <t>Kipp Memphis Collegiate High School</t>
  </si>
  <si>
    <t>Manassas High School</t>
  </si>
  <si>
    <t>Martin Luther King Preparatory High School</t>
  </si>
  <si>
    <t>Memphis Academy Of Health Sciences High School</t>
  </si>
  <si>
    <t>Memphis Academy Of Science  Engineering Middle/High School</t>
  </si>
  <si>
    <t>Memphis Business Academy High School</t>
  </si>
  <si>
    <t>Memphis School Of Excellence</t>
  </si>
  <si>
    <t>Northwest Prep Academy</t>
  </si>
  <si>
    <t>Oakhaven High School</t>
  </si>
  <si>
    <t>Pathways In Education - Tn</t>
  </si>
  <si>
    <t>Pathways In Education - Whitehaven</t>
  </si>
  <si>
    <t>Power Center Academy High School</t>
  </si>
  <si>
    <t>Raleigh-Egypt High School</t>
  </si>
  <si>
    <t>Soulsville Charter School</t>
  </si>
  <si>
    <t>Southwind High School</t>
  </si>
  <si>
    <t>The Excel Center</t>
  </si>
  <si>
    <t>Trezevant High School</t>
  </si>
  <si>
    <t>White Station High School</t>
  </si>
  <si>
    <t>Whitehaven High School</t>
  </si>
  <si>
    <t>Wooddale High School</t>
  </si>
  <si>
    <t>Millington Central High School</t>
  </si>
  <si>
    <t>Morristown East High School</t>
  </si>
  <si>
    <t>Morristown West High School</t>
  </si>
  <si>
    <t>West Greene High School</t>
  </si>
  <si>
    <t>Mosheim</t>
  </si>
  <si>
    <t>Johnson Co High School</t>
  </si>
  <si>
    <t>Mt. Juliet High School</t>
  </si>
  <si>
    <t>Mt Juliet</t>
  </si>
  <si>
    <t>Blackman High School</t>
  </si>
  <si>
    <t>Central Magnet School</t>
  </si>
  <si>
    <t>Holloway High School</t>
  </si>
  <si>
    <t>Siegel High School</t>
  </si>
  <si>
    <t>East Nashville Magnet High School</t>
  </si>
  <si>
    <t>Glencliff High School</t>
  </si>
  <si>
    <t>Hillwood High School</t>
  </si>
  <si>
    <t>Hume - Fogg High School</t>
  </si>
  <si>
    <t>Hunters Lane High School</t>
  </si>
  <si>
    <t>John Overton High School</t>
  </si>
  <si>
    <t>Johnson Alternative Learning Center</t>
  </si>
  <si>
    <t>Kipp Nashville Collegiate High School</t>
  </si>
  <si>
    <t>Lead Academy</t>
  </si>
  <si>
    <t>Martin Luther King Jr School</t>
  </si>
  <si>
    <t>Mcgavock High School</t>
  </si>
  <si>
    <t>Nashville Big Picture High School</t>
  </si>
  <si>
    <t>Nashville School Of The Arts</t>
  </si>
  <si>
    <t>Pearl-Cohn High School</t>
  </si>
  <si>
    <t>Stem Prep High School</t>
  </si>
  <si>
    <t>Stratford Stem Magnet School</t>
  </si>
  <si>
    <t>The Academy At Old Cockrill</t>
  </si>
  <si>
    <t>The Academy At Opry Mills</t>
  </si>
  <si>
    <t>Transitions At Bass</t>
  </si>
  <si>
    <t>Claiborne High School</t>
  </si>
  <si>
    <t>New Tazewell</t>
  </si>
  <si>
    <t>Dyer County High School</t>
  </si>
  <si>
    <t>Newbern</t>
  </si>
  <si>
    <t>Cocke Co High School</t>
  </si>
  <si>
    <t>Nolensville High School</t>
  </si>
  <si>
    <t>Nolensville</t>
  </si>
  <si>
    <t>Oliver Springs High School</t>
  </si>
  <si>
    <t>Oliver Springs</t>
  </si>
  <si>
    <t>Oneida High School</t>
  </si>
  <si>
    <t>East Hamilton School</t>
  </si>
  <si>
    <t>Ooltewah</t>
  </si>
  <si>
    <t>Ooltewah High School</t>
  </si>
  <si>
    <t>Henry Co High School</t>
  </si>
  <si>
    <t>Pigeon Forge High School</t>
  </si>
  <si>
    <t>Pigeon Forge</t>
  </si>
  <si>
    <t>Bledsoe County High School</t>
  </si>
  <si>
    <t>Pleasant View</t>
  </si>
  <si>
    <t>Powell High School</t>
  </si>
  <si>
    <t>Giles Co High School</t>
  </si>
  <si>
    <t>Scotts Hill High School</t>
  </si>
  <si>
    <t>Reagan</t>
  </si>
  <si>
    <t>Red Boiling Springs School</t>
  </si>
  <si>
    <t>Red Boiling Springs</t>
  </si>
  <si>
    <t>Cloudland High School</t>
  </si>
  <si>
    <t>Roan Mountain</t>
  </si>
  <si>
    <t>Rockwood High School</t>
  </si>
  <si>
    <t>Grainger Academy</t>
  </si>
  <si>
    <t>Rutledge</t>
  </si>
  <si>
    <t>Grainger High School</t>
  </si>
  <si>
    <t>Sale Creek Middle / High School</t>
  </si>
  <si>
    <t>Sale Creek</t>
  </si>
  <si>
    <t>Mcnairy Central High School</t>
  </si>
  <si>
    <t>Selmer</t>
  </si>
  <si>
    <t>Gary Hardin Academy</t>
  </si>
  <si>
    <t>Sevierville</t>
  </si>
  <si>
    <t>Sevier County High School</t>
  </si>
  <si>
    <t>Shelbyville Central High School</t>
  </si>
  <si>
    <t>Signal Mountain Middle/High School</t>
  </si>
  <si>
    <t>Signal Mountain</t>
  </si>
  <si>
    <t>De Kalb County High School</t>
  </si>
  <si>
    <t>Stewarts Creek High School</t>
  </si>
  <si>
    <t>Sneedville</t>
  </si>
  <si>
    <t>Ivy Academy Inc.</t>
  </si>
  <si>
    <t>Soddy Daisy</t>
  </si>
  <si>
    <t>Soddy Daisy High School</t>
  </si>
  <si>
    <t>Fayette Ware Comprehensive High School</t>
  </si>
  <si>
    <t>South Fulton Middle / High School</t>
  </si>
  <si>
    <t>South Fulton</t>
  </si>
  <si>
    <t>South Pittsburg High School</t>
  </si>
  <si>
    <t>South Pittsburg</t>
  </si>
  <si>
    <t>Van Buren Co High School</t>
  </si>
  <si>
    <t>Northfield Academy</t>
  </si>
  <si>
    <t>Carter High School</t>
  </si>
  <si>
    <t>Strawberry Plains</t>
  </si>
  <si>
    <t>Summertown High School</t>
  </si>
  <si>
    <t>Summertown</t>
  </si>
  <si>
    <t>Tellico Plains High School</t>
  </si>
  <si>
    <t>Tellico Plains</t>
  </si>
  <si>
    <t>Thompson'S Station</t>
  </si>
  <si>
    <t>Grundy Academy</t>
  </si>
  <si>
    <t>Tracy City</t>
  </si>
  <si>
    <t>Peabody High School</t>
  </si>
  <si>
    <t>Obion County Central High School</t>
  </si>
  <si>
    <t>Tullahoma High School</t>
  </si>
  <si>
    <t>Tullahoma</t>
  </si>
  <si>
    <t>Wartburg</t>
  </si>
  <si>
    <t>Wartrace</t>
  </si>
  <si>
    <t>Waverly Central High School</t>
  </si>
  <si>
    <t>Westmoreland High School</t>
  </si>
  <si>
    <t>White House Heritage High School</t>
  </si>
  <si>
    <t>White House High School</t>
  </si>
  <si>
    <t>Whites Creek High School</t>
  </si>
  <si>
    <t>Whites Creek</t>
  </si>
  <si>
    <t>Whitwell High School</t>
  </si>
  <si>
    <t>Whitwell</t>
  </si>
  <si>
    <t>Franklin Co High School</t>
  </si>
  <si>
    <t>Cannon County High School</t>
  </si>
  <si>
    <t>Abernathy H S</t>
  </si>
  <si>
    <t>Abilene H S</t>
  </si>
  <si>
    <t>Academy For Technology Engineering Math &amp; Science</t>
  </si>
  <si>
    <t>Cooper H S</t>
  </si>
  <si>
    <t>Wylie H S</t>
  </si>
  <si>
    <t>Agua Dulce H S</t>
  </si>
  <si>
    <t>Agua Dulce</t>
  </si>
  <si>
    <t>Idea College Preparatory Alamo</t>
  </si>
  <si>
    <t>Psja Memorial Early College H S</t>
  </si>
  <si>
    <t>Alba-Golden H S</t>
  </si>
  <si>
    <t>Alba</t>
  </si>
  <si>
    <t>Albany Jr-Sr H S</t>
  </si>
  <si>
    <t>Aledo H S</t>
  </si>
  <si>
    <t>Alice H S</t>
  </si>
  <si>
    <t>Alice</t>
  </si>
  <si>
    <t>Allen H S</t>
  </si>
  <si>
    <t>Alpine H S</t>
  </si>
  <si>
    <t>Rice H S</t>
  </si>
  <si>
    <t>Altair</t>
  </si>
  <si>
    <t>Alto H S</t>
  </si>
  <si>
    <t>Alto</t>
  </si>
  <si>
    <t>Mission Collegiate H S</t>
  </si>
  <si>
    <t>Alvarado H S</t>
  </si>
  <si>
    <t>Alvarado</t>
  </si>
  <si>
    <t>Assets</t>
  </si>
  <si>
    <t>Alvin</t>
  </si>
  <si>
    <t>Shadow Creek H S</t>
  </si>
  <si>
    <t>Alvord H S</t>
  </si>
  <si>
    <t>Alvord</t>
  </si>
  <si>
    <t>Amarillo Area Ctr For Advanced Lrn</t>
  </si>
  <si>
    <t>Amarillo H S</t>
  </si>
  <si>
    <t>Caprock H S</t>
  </si>
  <si>
    <t>High Schoolland Park H S</t>
  </si>
  <si>
    <t>Palo Duro H S</t>
  </si>
  <si>
    <t>Randall H S</t>
  </si>
  <si>
    <t>River Road H S</t>
  </si>
  <si>
    <t>Tascosa H S</t>
  </si>
  <si>
    <t>Anahuac H S</t>
  </si>
  <si>
    <t>Anahuac</t>
  </si>
  <si>
    <t>Anderson-Shiro Jr/Sr H S</t>
  </si>
  <si>
    <t>Andrews H S</t>
  </si>
  <si>
    <t>Angleton H S</t>
  </si>
  <si>
    <t>Angleton</t>
  </si>
  <si>
    <t>Anna H S</t>
  </si>
  <si>
    <t>Anson H S</t>
  </si>
  <si>
    <t>Anson</t>
  </si>
  <si>
    <t>Anthony H S</t>
  </si>
  <si>
    <t>Apple Springs H S</t>
  </si>
  <si>
    <t>Apple Springs</t>
  </si>
  <si>
    <t>Aransas Pass H S</t>
  </si>
  <si>
    <t>Aransas Pass</t>
  </si>
  <si>
    <t>Archer City H S</t>
  </si>
  <si>
    <t>Archer City</t>
  </si>
  <si>
    <t>Argyle H S</t>
  </si>
  <si>
    <t>Arlington College And Career H S</t>
  </si>
  <si>
    <t>Arlington H S</t>
  </si>
  <si>
    <t>Bowie H S</t>
  </si>
  <si>
    <t>Lamar H S</t>
  </si>
  <si>
    <t>Mansfield Summit H S</t>
  </si>
  <si>
    <t>Mansfield Timberview H S</t>
  </si>
  <si>
    <t>Martin H S</t>
  </si>
  <si>
    <t>Sam Houston H S</t>
  </si>
  <si>
    <t>Seguin H S</t>
  </si>
  <si>
    <t>Arp H S</t>
  </si>
  <si>
    <t>Arp</t>
  </si>
  <si>
    <t>Aspermont H S</t>
  </si>
  <si>
    <t>Aspermont</t>
  </si>
  <si>
    <t>Athens H S</t>
  </si>
  <si>
    <t>Atlanta H S</t>
  </si>
  <si>
    <t>Aubrey H S</t>
  </si>
  <si>
    <t>Aubrey</t>
  </si>
  <si>
    <t>Ray Braswell H S</t>
  </si>
  <si>
    <t>Akins H S</t>
  </si>
  <si>
    <t>Anderson H S</t>
  </si>
  <si>
    <t>Austin H S</t>
  </si>
  <si>
    <t>Cedars Academy Next Generation H S At High Schoolland</t>
  </si>
  <si>
    <t>Crockett H S</t>
  </si>
  <si>
    <t>Eastside Memorial At The Johnston Campus</t>
  </si>
  <si>
    <t>Harmony School Of Excellence - Austin</t>
  </si>
  <si>
    <t>Idea Montopolis College Preparatory</t>
  </si>
  <si>
    <t>John B Connally H S</t>
  </si>
  <si>
    <t>Kipp Austin Collegiate</t>
  </si>
  <si>
    <t>Lake Travis H S</t>
  </si>
  <si>
    <t>Lanier H S</t>
  </si>
  <si>
    <t>Lasa H S</t>
  </si>
  <si>
    <t>Lbj High School</t>
  </si>
  <si>
    <t>Mccallum H S</t>
  </si>
  <si>
    <t>Mcneil H S</t>
  </si>
  <si>
    <t>Reagan H S</t>
  </si>
  <si>
    <t>The East Austin College Prep At Mlk</t>
  </si>
  <si>
    <t>Travis H S</t>
  </si>
  <si>
    <t>Vandegrift H S</t>
  </si>
  <si>
    <t>Wayside Sci-Tech Middle And H S</t>
  </si>
  <si>
    <t>Westlake H S</t>
  </si>
  <si>
    <t>Westwood H S</t>
  </si>
  <si>
    <t>Avery Secondary</t>
  </si>
  <si>
    <t>Avery</t>
  </si>
  <si>
    <t>Lueders-Avoca H S</t>
  </si>
  <si>
    <t>Axtell H S</t>
  </si>
  <si>
    <t>Azle H S</t>
  </si>
  <si>
    <t>Azle</t>
  </si>
  <si>
    <t>Baird H S</t>
  </si>
  <si>
    <t>Baird</t>
  </si>
  <si>
    <t>Ballinger H S</t>
  </si>
  <si>
    <t>Ballinger</t>
  </si>
  <si>
    <t>Bandera H S</t>
  </si>
  <si>
    <t>Bandera</t>
  </si>
  <si>
    <t>Bangs H S</t>
  </si>
  <si>
    <t>Bangs</t>
  </si>
  <si>
    <t>Banquete H S</t>
  </si>
  <si>
    <t>Banquete</t>
  </si>
  <si>
    <t>Nueces Canyon Jh/High School</t>
  </si>
  <si>
    <t>Barksdale</t>
  </si>
  <si>
    <t>Bastrop H S</t>
  </si>
  <si>
    <t>Colorado River Collegiate Academy</t>
  </si>
  <si>
    <t>Bay City H S</t>
  </si>
  <si>
    <t>Goose Creek Memorial</t>
  </si>
  <si>
    <t>Baytown</t>
  </si>
  <si>
    <t>Impact Early College H S</t>
  </si>
  <si>
    <t>Lee H S</t>
  </si>
  <si>
    <t>Sterling H S</t>
  </si>
  <si>
    <t>Beaumont United H S</t>
  </si>
  <si>
    <t>West Brook Sr H S</t>
  </si>
  <si>
    <t>Beckville Jr-Sr High School</t>
  </si>
  <si>
    <t>Beckville</t>
  </si>
  <si>
    <t>A C Jones H S</t>
  </si>
  <si>
    <t>Beeville</t>
  </si>
  <si>
    <t>Bellaire H S</t>
  </si>
  <si>
    <t>Bells H S</t>
  </si>
  <si>
    <t>Bells</t>
  </si>
  <si>
    <t>Bellville H S</t>
  </si>
  <si>
    <t>Belton H S</t>
  </si>
  <si>
    <t>Belton New Tech H S At Waskow</t>
  </si>
  <si>
    <t>Ben Bolt-Palito Blanco H S</t>
  </si>
  <si>
    <t>Ben Bolt</t>
  </si>
  <si>
    <t>Benavides Secondary</t>
  </si>
  <si>
    <t>Benavides</t>
  </si>
  <si>
    <t>Reagan County H S</t>
  </si>
  <si>
    <t>Big Sandy H S</t>
  </si>
  <si>
    <t>Harmony H S</t>
  </si>
  <si>
    <t>Big Spring H S</t>
  </si>
  <si>
    <t>Big Spring</t>
  </si>
  <si>
    <t>Bishop H S</t>
  </si>
  <si>
    <t>Blanco H S</t>
  </si>
  <si>
    <t>Blanco</t>
  </si>
  <si>
    <t>Bloomburg H S</t>
  </si>
  <si>
    <t>Bloomburg</t>
  </si>
  <si>
    <t>Blooming Grove H S</t>
  </si>
  <si>
    <t>Blooming Grove</t>
  </si>
  <si>
    <t>Bloomington H S</t>
  </si>
  <si>
    <t>Blue Ridge H S</t>
  </si>
  <si>
    <t>Boerne - Samuel V Champion H S</t>
  </si>
  <si>
    <t>Boerne H S</t>
  </si>
  <si>
    <t>Rivercrest H S</t>
  </si>
  <si>
    <t>Bogata</t>
  </si>
  <si>
    <t>Boling H S</t>
  </si>
  <si>
    <t>Boling</t>
  </si>
  <si>
    <t>Bonham H S</t>
  </si>
  <si>
    <t>Bonham</t>
  </si>
  <si>
    <t>Booker Jh/H S</t>
  </si>
  <si>
    <t>Booker</t>
  </si>
  <si>
    <t>Borger H S</t>
  </si>
  <si>
    <t>Borger</t>
  </si>
  <si>
    <t>Bovina H S</t>
  </si>
  <si>
    <t>Bovina</t>
  </si>
  <si>
    <t>Boyd H S</t>
  </si>
  <si>
    <t>Boyd</t>
  </si>
  <si>
    <t>Brackett H S</t>
  </si>
  <si>
    <t>Brackettville</t>
  </si>
  <si>
    <t>Brady H S</t>
  </si>
  <si>
    <t>Breckenridge H S</t>
  </si>
  <si>
    <t>Bremond H S</t>
  </si>
  <si>
    <t>Bremond</t>
  </si>
  <si>
    <t>Brenham H S</t>
  </si>
  <si>
    <t>Brenham</t>
  </si>
  <si>
    <t>Bridge City H S</t>
  </si>
  <si>
    <t>Bridge City</t>
  </si>
  <si>
    <t>Bridgeport H S</t>
  </si>
  <si>
    <t>Broaddus H S</t>
  </si>
  <si>
    <t>Broaddus</t>
  </si>
  <si>
    <t>Brock H S</t>
  </si>
  <si>
    <t>Brock</t>
  </si>
  <si>
    <t>Brookeland H S</t>
  </si>
  <si>
    <t>Brookeland</t>
  </si>
  <si>
    <t>Brownfield H S</t>
  </si>
  <si>
    <t>Brownfield</t>
  </si>
  <si>
    <t>Brownsboro H S</t>
  </si>
  <si>
    <t>Brownsboro</t>
  </si>
  <si>
    <t>Brownsville Early College H S</t>
  </si>
  <si>
    <t>Hanna Early College H S</t>
  </si>
  <si>
    <t>Idea Brownsville College Preparatory</t>
  </si>
  <si>
    <t>Idea Frontier College Preparatory</t>
  </si>
  <si>
    <t>Lopez Early College H S</t>
  </si>
  <si>
    <t>Pace Early College H S</t>
  </si>
  <si>
    <t>Porter Early College H S</t>
  </si>
  <si>
    <t>Rivera Early College H S</t>
  </si>
  <si>
    <t>Veterans Memorial Early College H S</t>
  </si>
  <si>
    <t>Brownwood H S</t>
  </si>
  <si>
    <t>Lone Star H S West</t>
  </si>
  <si>
    <t>Bruni H S</t>
  </si>
  <si>
    <t>Bruni</t>
  </si>
  <si>
    <t>Bryan Collegiate H S</t>
  </si>
  <si>
    <t>James Earl Rudder H S</t>
  </si>
  <si>
    <t>Travis B Bryan H S</t>
  </si>
  <si>
    <t>Jack C Hays H S</t>
  </si>
  <si>
    <t>Buda</t>
  </si>
  <si>
    <t>Buffalo H S</t>
  </si>
  <si>
    <t>Bullard H S</t>
  </si>
  <si>
    <t>Buna H S</t>
  </si>
  <si>
    <t>Buna</t>
  </si>
  <si>
    <t>Burkburnett H S</t>
  </si>
  <si>
    <t>Burkburnett</t>
  </si>
  <si>
    <t>Burleson Centennial H S</t>
  </si>
  <si>
    <t>Burleson H S</t>
  </si>
  <si>
    <t>Burnet H S</t>
  </si>
  <si>
    <t>Burnet</t>
  </si>
  <si>
    <t>Burton H S</t>
  </si>
  <si>
    <t>Bushland H S</t>
  </si>
  <si>
    <t>Bushland</t>
  </si>
  <si>
    <t>Caddo Mills H S</t>
  </si>
  <si>
    <t>Caddo Mills</t>
  </si>
  <si>
    <t>Caldwell H S</t>
  </si>
  <si>
    <t>Callisburg H S</t>
  </si>
  <si>
    <t>Callisburg</t>
  </si>
  <si>
    <t>Cameron Yoe H S</t>
  </si>
  <si>
    <t>Campbell H S</t>
  </si>
  <si>
    <t>Canadian H S</t>
  </si>
  <si>
    <t>Canton H S</t>
  </si>
  <si>
    <t>Canutillo H S</t>
  </si>
  <si>
    <t>Canutillo</t>
  </si>
  <si>
    <t>Northwest Early College H S (NwecHigh School)</t>
  </si>
  <si>
    <t>Canyon H S</t>
  </si>
  <si>
    <t>Canyon</t>
  </si>
  <si>
    <t>Round Top-Carmine H S</t>
  </si>
  <si>
    <t>Carmine</t>
  </si>
  <si>
    <t>Carrizo Springs H S</t>
  </si>
  <si>
    <t>Carrizo Springs</t>
  </si>
  <si>
    <t>Creekview H S</t>
  </si>
  <si>
    <t>Hebron H S</t>
  </si>
  <si>
    <t>Smith H S</t>
  </si>
  <si>
    <t>Turner H S</t>
  </si>
  <si>
    <t>Carthage H S</t>
  </si>
  <si>
    <t>Panola Early College H S</t>
  </si>
  <si>
    <t>Medina Valley H S</t>
  </si>
  <si>
    <t>Cayuga H S</t>
  </si>
  <si>
    <t>Cedar Creek H S</t>
  </si>
  <si>
    <t>Cedar Creek</t>
  </si>
  <si>
    <t>Cedar Hill Collegiate H S</t>
  </si>
  <si>
    <t>Cedar Hill H S</t>
  </si>
  <si>
    <t>Cedar Park H S</t>
  </si>
  <si>
    <t>Celeste H S</t>
  </si>
  <si>
    <t>Celeste</t>
  </si>
  <si>
    <t>Celina H S</t>
  </si>
  <si>
    <t>Center H S</t>
  </si>
  <si>
    <t>Center Point H S</t>
  </si>
  <si>
    <t>Centerville Jr-Sr H S</t>
  </si>
  <si>
    <t>Channelview H S</t>
  </si>
  <si>
    <t>Channelview</t>
  </si>
  <si>
    <t>Charlotte H S</t>
  </si>
  <si>
    <t>Chester H S</t>
  </si>
  <si>
    <t>Chico H S</t>
  </si>
  <si>
    <t>Childress H S</t>
  </si>
  <si>
    <t>Childress</t>
  </si>
  <si>
    <t>Chillicothe H S</t>
  </si>
  <si>
    <t>China Spring H S</t>
  </si>
  <si>
    <t>China Spring</t>
  </si>
  <si>
    <t>Chireno H S</t>
  </si>
  <si>
    <t>Chireno</t>
  </si>
  <si>
    <t>Christoval H S</t>
  </si>
  <si>
    <t>Christoval</t>
  </si>
  <si>
    <t>Cisco H S</t>
  </si>
  <si>
    <t>Cisco</t>
  </si>
  <si>
    <t>Clarendon H S</t>
  </si>
  <si>
    <t>Clarksville Middle And H S</t>
  </si>
  <si>
    <t>Claude H S</t>
  </si>
  <si>
    <t>Claude</t>
  </si>
  <si>
    <t>Cleburne H S</t>
  </si>
  <si>
    <t>Cleburne</t>
  </si>
  <si>
    <t>Cleveland H S</t>
  </si>
  <si>
    <t>Tarkington H S</t>
  </si>
  <si>
    <t>Clifton H S</t>
  </si>
  <si>
    <t>Clyde H S</t>
  </si>
  <si>
    <t>Eula H S</t>
  </si>
  <si>
    <t>Coahoma H S</t>
  </si>
  <si>
    <t>Coahoma</t>
  </si>
  <si>
    <t>Coldspring-Oakhurst H S</t>
  </si>
  <si>
    <t>Coldspring</t>
  </si>
  <si>
    <t>Coleman H S</t>
  </si>
  <si>
    <t>A &amp; M Cons H S</t>
  </si>
  <si>
    <t>College Station</t>
  </si>
  <si>
    <t>College Station H S</t>
  </si>
  <si>
    <t>College View H S</t>
  </si>
  <si>
    <t>Colleyville Heritage H S</t>
  </si>
  <si>
    <t>Colleyville</t>
  </si>
  <si>
    <t>Collinsville H S</t>
  </si>
  <si>
    <t>Colmesneil Jh/High School</t>
  </si>
  <si>
    <t>Colmesneil</t>
  </si>
  <si>
    <t>Colorado H S</t>
  </si>
  <si>
    <t>Columbus H S</t>
  </si>
  <si>
    <t>Comanche H S</t>
  </si>
  <si>
    <t>Comfort H S</t>
  </si>
  <si>
    <t>Comfort</t>
  </si>
  <si>
    <t>Commerce H S</t>
  </si>
  <si>
    <t>Caney Creek H S</t>
  </si>
  <si>
    <t>Conroe H S</t>
  </si>
  <si>
    <t>Oak Ridge H S</t>
  </si>
  <si>
    <t>Judson H S</t>
  </si>
  <si>
    <t>Coolidge H S</t>
  </si>
  <si>
    <t>Cooper</t>
  </si>
  <si>
    <t>Coppell H S</t>
  </si>
  <si>
    <t>New Tech H S At Coppell</t>
  </si>
  <si>
    <t>Copperas Cove H S</t>
  </si>
  <si>
    <t>Copperas Cove</t>
  </si>
  <si>
    <t>Calallen Charter H S</t>
  </si>
  <si>
    <t>Calallen H S</t>
  </si>
  <si>
    <t>Carroll H S</t>
  </si>
  <si>
    <t>Flour Bluff H S</t>
  </si>
  <si>
    <t>Harold T Branch Academy For Career &amp; Technical Ed</t>
  </si>
  <si>
    <t>King H S</t>
  </si>
  <si>
    <t>London H S</t>
  </si>
  <si>
    <t>Moody H S</t>
  </si>
  <si>
    <t>Ray H S</t>
  </si>
  <si>
    <t>Roy Miller H S And Metro School Of Design</t>
  </si>
  <si>
    <t>Tuloso-Midway H S</t>
  </si>
  <si>
    <t>Veterans Memorial H S</t>
  </si>
  <si>
    <t>West Oso H S</t>
  </si>
  <si>
    <t>Corrigan-Camden H S</t>
  </si>
  <si>
    <t>Corrigan</t>
  </si>
  <si>
    <t>Corsicana H Igh School</t>
  </si>
  <si>
    <t>Corsicana</t>
  </si>
  <si>
    <t>Mildred H S</t>
  </si>
  <si>
    <t>Cotulla H S</t>
  </si>
  <si>
    <t>Cotulla</t>
  </si>
  <si>
    <t>Crandall H S</t>
  </si>
  <si>
    <t>Crandall</t>
  </si>
  <si>
    <t>Crane H S</t>
  </si>
  <si>
    <t>Crawford H S</t>
  </si>
  <si>
    <t>Crosby H S</t>
  </si>
  <si>
    <t>Crosbyton Secondary</t>
  </si>
  <si>
    <t>Crosbyton</t>
  </si>
  <si>
    <t>Cross Plains H S</t>
  </si>
  <si>
    <t>Crowley H S</t>
  </si>
  <si>
    <t>Crystal City H S</t>
  </si>
  <si>
    <t>Cuero H S</t>
  </si>
  <si>
    <t>Cuero</t>
  </si>
  <si>
    <t>Cumby H S</t>
  </si>
  <si>
    <t>Cumby</t>
  </si>
  <si>
    <t>Cushing School</t>
  </si>
  <si>
    <t>Cy-Fair H S</t>
  </si>
  <si>
    <t>Cypress Ranch H S</t>
  </si>
  <si>
    <t>Cypress Springs H S</t>
  </si>
  <si>
    <t>Cypress Woods H S</t>
  </si>
  <si>
    <t>Daingerfield H S</t>
  </si>
  <si>
    <t>Daingerfield</t>
  </si>
  <si>
    <t>Hull-Daisetta H S</t>
  </si>
  <si>
    <t>Daisetta</t>
  </si>
  <si>
    <t>Dalhart H S</t>
  </si>
  <si>
    <t>Dalhart</t>
  </si>
  <si>
    <t>A+ Secondary School</t>
  </si>
  <si>
    <t>Barack Obama Male Leadership Academy At A Maceo Smith</t>
  </si>
  <si>
    <t>Booker T Washington Spva Magnet</t>
  </si>
  <si>
    <t>Bryan Adams H S</t>
  </si>
  <si>
    <t>David W Carter H S</t>
  </si>
  <si>
    <t>Dr Wright L Lassiter Jr Early College H S</t>
  </si>
  <si>
    <t>Early College H S</t>
  </si>
  <si>
    <t>Emmett J Conrad H S</t>
  </si>
  <si>
    <t>Franklin D Roosevelt H S</t>
  </si>
  <si>
    <t>Gateway Charter Academy - Middle - H S</t>
  </si>
  <si>
    <t>H Grady Spruce H S</t>
  </si>
  <si>
    <t>Hillcrest H S</t>
  </si>
  <si>
    <t>Innovation Design Entrepreneurship Academy</t>
  </si>
  <si>
    <t>Inspired Vision Academy Secondary</t>
  </si>
  <si>
    <t>Irma Rangel Young Women'S Leadership School</t>
  </si>
  <si>
    <t>James Madison H S</t>
  </si>
  <si>
    <t>Judge Barefoot Sanders Law Magnet</t>
  </si>
  <si>
    <t>Justin F Kimball H S</t>
  </si>
  <si>
    <t>Kathlyn Joy Gilliam Collegiate Academy</t>
  </si>
  <si>
    <t>L G Pinkston H S</t>
  </si>
  <si>
    <t>Lake High Schoollands H S</t>
  </si>
  <si>
    <t>Lincoln Humanities/Communications Magnet High School Sch</t>
  </si>
  <si>
    <t>Moises E Molina H S</t>
  </si>
  <si>
    <t>New Tech H S At B F Darrell H S</t>
  </si>
  <si>
    <t>North Dallas H S</t>
  </si>
  <si>
    <t>Richland Collegiate H S Of Math Science Engineerin</t>
  </si>
  <si>
    <t>Rosie Sorrells Education And Social Services H S</t>
  </si>
  <si>
    <t>School For The Talented And Gifted</t>
  </si>
  <si>
    <t>School Of Business And Management</t>
  </si>
  <si>
    <t>School Of Health Professions</t>
  </si>
  <si>
    <t>School Of Science And Engineering</t>
  </si>
  <si>
    <t>Seagoville H S</t>
  </si>
  <si>
    <t>Skyline H S</t>
  </si>
  <si>
    <t>South Oak Cliff H S</t>
  </si>
  <si>
    <t>Sunset H S</t>
  </si>
  <si>
    <t>Thomas Jefferson H S</t>
  </si>
  <si>
    <t>Trinidad Garza Early College At Mt View</t>
  </si>
  <si>
    <t>Uplift Education-North Hills Prep H S</t>
  </si>
  <si>
    <t>Uplift Hampton Preparatory H S</t>
  </si>
  <si>
    <t>Uplift Heights Preparatory H S</t>
  </si>
  <si>
    <t>Uplift Infinity H S</t>
  </si>
  <si>
    <t>Uplift Luna Preparatory H S</t>
  </si>
  <si>
    <t>Uplift Mighty H S</t>
  </si>
  <si>
    <t>Uplift Peak Preparatory H S</t>
  </si>
  <si>
    <t>Uplift Summit International H S</t>
  </si>
  <si>
    <t>Uplift Williams Preparatory H S</t>
  </si>
  <si>
    <t>W H Adamson H S</t>
  </si>
  <si>
    <t>W T White H S</t>
  </si>
  <si>
    <t>W W Samuell H S</t>
  </si>
  <si>
    <t>Wilmer-Hutchins H S</t>
  </si>
  <si>
    <t>Woodrow Wilson H S</t>
  </si>
  <si>
    <t>Damon H S</t>
  </si>
  <si>
    <t>Damon</t>
  </si>
  <si>
    <t>Danbury H S</t>
  </si>
  <si>
    <t>Dawson H S</t>
  </si>
  <si>
    <t>Dayton H S</t>
  </si>
  <si>
    <t>De Leon H S</t>
  </si>
  <si>
    <t>De Leon</t>
  </si>
  <si>
    <t>Decatur H S</t>
  </si>
  <si>
    <t>Dekalb H S</t>
  </si>
  <si>
    <t>Del Rio Early College H S</t>
  </si>
  <si>
    <t>Del Rio</t>
  </si>
  <si>
    <t>Del Rio H S</t>
  </si>
  <si>
    <t>Del Valle H S</t>
  </si>
  <si>
    <t>Del Valle</t>
  </si>
  <si>
    <t>Denison H S</t>
  </si>
  <si>
    <t>Denton H S</t>
  </si>
  <si>
    <t>Guyer H S</t>
  </si>
  <si>
    <t>Ryan H S</t>
  </si>
  <si>
    <t>Denver City H S</t>
  </si>
  <si>
    <t>Denver City</t>
  </si>
  <si>
    <t>Desoto H S &amp; Isteam3D</t>
  </si>
  <si>
    <t>Detroit H S</t>
  </si>
  <si>
    <t>Devine H S</t>
  </si>
  <si>
    <t>Devine</t>
  </si>
  <si>
    <t>New Diana H S</t>
  </si>
  <si>
    <t>Diana</t>
  </si>
  <si>
    <t>Diboll H S</t>
  </si>
  <si>
    <t>Diboll</t>
  </si>
  <si>
    <t>Dickinson H S</t>
  </si>
  <si>
    <t>Dilley H S</t>
  </si>
  <si>
    <t>Dilley</t>
  </si>
  <si>
    <t>Dimmitt H S</t>
  </si>
  <si>
    <t>Dimmitt</t>
  </si>
  <si>
    <t>Donna H S</t>
  </si>
  <si>
    <t>Donna</t>
  </si>
  <si>
    <t>Donna North H S</t>
  </si>
  <si>
    <t>Idea College Prep</t>
  </si>
  <si>
    <t>Dripping Springs H S</t>
  </si>
  <si>
    <t>Dublin H S</t>
  </si>
  <si>
    <t>Dumas H S</t>
  </si>
  <si>
    <t>Duncanville H S</t>
  </si>
  <si>
    <t>C C Winn High School</t>
  </si>
  <si>
    <t>Eagle Pass</t>
  </si>
  <si>
    <t>Eagle Pass High School</t>
  </si>
  <si>
    <t>Early H S</t>
  </si>
  <si>
    <t>Early</t>
  </si>
  <si>
    <t>Springlake-Earth H S</t>
  </si>
  <si>
    <t>Earth</t>
  </si>
  <si>
    <t>East Bernard H S</t>
  </si>
  <si>
    <t>East Bernard</t>
  </si>
  <si>
    <t>Eastland H S</t>
  </si>
  <si>
    <t>Eastland</t>
  </si>
  <si>
    <t>Ector H S</t>
  </si>
  <si>
    <t>Ector</t>
  </si>
  <si>
    <t>Edcouch-Elsa H S</t>
  </si>
  <si>
    <t>Edcouch</t>
  </si>
  <si>
    <t>Bruceville-Eddy H S</t>
  </si>
  <si>
    <t>Eddy</t>
  </si>
  <si>
    <t>Edgewood H S</t>
  </si>
  <si>
    <t>Economedes H S</t>
  </si>
  <si>
    <t>Edinburg H S</t>
  </si>
  <si>
    <t>Edinburg North H S</t>
  </si>
  <si>
    <t>Idea Edinburg College Preparatory</t>
  </si>
  <si>
    <t>Idea Quest College Preparatory</t>
  </si>
  <si>
    <t>Lone Star H S South</t>
  </si>
  <si>
    <t>Robert R Vela H S</t>
  </si>
  <si>
    <t>South Texas Business Education &amp; Technology Academyem</t>
  </si>
  <si>
    <t>Edna H S</t>
  </si>
  <si>
    <t>Edna</t>
  </si>
  <si>
    <t>El Campo H S</t>
  </si>
  <si>
    <t>El Campo</t>
  </si>
  <si>
    <t>Tidehaven H S</t>
  </si>
  <si>
    <t>El Maton</t>
  </si>
  <si>
    <t>Americas H S</t>
  </si>
  <si>
    <t>Andress H S</t>
  </si>
  <si>
    <t>Bel Air H S</t>
  </si>
  <si>
    <t>Burges H S</t>
  </si>
  <si>
    <t>Career &amp; Tech Ed Ctr</t>
  </si>
  <si>
    <t>Chapin H S</t>
  </si>
  <si>
    <t>Clint H S</t>
  </si>
  <si>
    <t>Clint Isd Early College Academy</t>
  </si>
  <si>
    <t>Coronado H S</t>
  </si>
  <si>
    <t>Davinci School For Science And The Arts</t>
  </si>
  <si>
    <t>Eastlake H S</t>
  </si>
  <si>
    <t>Eastwood H S</t>
  </si>
  <si>
    <t>El Dorado H S</t>
  </si>
  <si>
    <t>El Paso H S</t>
  </si>
  <si>
    <t>Franklin H S</t>
  </si>
  <si>
    <t>Harmony Science Academy (El Paso)</t>
  </si>
  <si>
    <t>Horizon H S</t>
  </si>
  <si>
    <t>Irvin H S</t>
  </si>
  <si>
    <t>J M Hanks H S</t>
  </si>
  <si>
    <t>Jefferson H S</t>
  </si>
  <si>
    <t>Mission Early College H S</t>
  </si>
  <si>
    <t>Montwood H S</t>
  </si>
  <si>
    <t>Mountain View H S</t>
  </si>
  <si>
    <t>Parkland H S</t>
  </si>
  <si>
    <t>Pebble Hills H S</t>
  </si>
  <si>
    <t>Riverside H S</t>
  </si>
  <si>
    <t>Silva Health Magnet</t>
  </si>
  <si>
    <t>Socorro H S</t>
  </si>
  <si>
    <t>Transmountain Early College H S</t>
  </si>
  <si>
    <t>Valle Verde Early College H S</t>
  </si>
  <si>
    <t>Ysleta H S</t>
  </si>
  <si>
    <t>Eldorado H S</t>
  </si>
  <si>
    <t>Electra Junior/Senior High School</t>
  </si>
  <si>
    <t>Electra</t>
  </si>
  <si>
    <t>Elgin H S</t>
  </si>
  <si>
    <t>Elkhart H S</t>
  </si>
  <si>
    <t>Slocum H S</t>
  </si>
  <si>
    <t>Elysian Fields H S</t>
  </si>
  <si>
    <t>Elysian Fields</t>
  </si>
  <si>
    <t>Rains H S</t>
  </si>
  <si>
    <t>Emory</t>
  </si>
  <si>
    <t>Ennis H S</t>
  </si>
  <si>
    <t>Harmony Science Academy - Euless</t>
  </si>
  <si>
    <t>Euless</t>
  </si>
  <si>
    <t>Trinity H S</t>
  </si>
  <si>
    <t>Eustace H S</t>
  </si>
  <si>
    <t>Eustace</t>
  </si>
  <si>
    <t>Evadale H S</t>
  </si>
  <si>
    <t>Evadale</t>
  </si>
  <si>
    <t>Evant H S</t>
  </si>
  <si>
    <t>Evant</t>
  </si>
  <si>
    <t>Everman H S</t>
  </si>
  <si>
    <t>Everman</t>
  </si>
  <si>
    <t>Fabens H S</t>
  </si>
  <si>
    <t>Fabens</t>
  </si>
  <si>
    <t>Fairfield H S</t>
  </si>
  <si>
    <t>Falfurrias H S</t>
  </si>
  <si>
    <t>Falfurrias</t>
  </si>
  <si>
    <t>Falls City H S</t>
  </si>
  <si>
    <t>Farmersville H S</t>
  </si>
  <si>
    <t>Farwell H S</t>
  </si>
  <si>
    <t>Ferris H S</t>
  </si>
  <si>
    <t>Ferris</t>
  </si>
  <si>
    <t>Flatonia Secondary</t>
  </si>
  <si>
    <t>Flatonia</t>
  </si>
  <si>
    <t>Florence H S</t>
  </si>
  <si>
    <t>Floresville H S</t>
  </si>
  <si>
    <t>Floresville</t>
  </si>
  <si>
    <t>Flower Mound H S</t>
  </si>
  <si>
    <t>Marcus H S</t>
  </si>
  <si>
    <t>Floydada H S</t>
  </si>
  <si>
    <t>Floydada</t>
  </si>
  <si>
    <t>Forney H S</t>
  </si>
  <si>
    <t>Forney</t>
  </si>
  <si>
    <t>North Forney H S</t>
  </si>
  <si>
    <t>Forsan H S</t>
  </si>
  <si>
    <t>Forsan</t>
  </si>
  <si>
    <t>Fort Hancock H S</t>
  </si>
  <si>
    <t>Fort Hancock</t>
  </si>
  <si>
    <t>Killeen Isd Early College H S</t>
  </si>
  <si>
    <t>Fort Hood</t>
  </si>
  <si>
    <t>Fort Stockton High School</t>
  </si>
  <si>
    <t>Fort Stockton</t>
  </si>
  <si>
    <t>Arlington Heights H S</t>
  </si>
  <si>
    <t>Benbrook Middle/High School</t>
  </si>
  <si>
    <t>Boswell H S</t>
  </si>
  <si>
    <t>Brewer H S</t>
  </si>
  <si>
    <t>Carter-Riverside H S</t>
  </si>
  <si>
    <t>Castleberry H S</t>
  </si>
  <si>
    <t>Chisholm Trail H S</t>
  </si>
  <si>
    <t>Diamond Hill-Jarvis H S</t>
  </si>
  <si>
    <t>Dunbar H S</t>
  </si>
  <si>
    <t>Eastern Hills H S</t>
  </si>
  <si>
    <t>Fort Worth Academy Of Fine Arts</t>
  </si>
  <si>
    <t>Iltexas Keller Saginaw H S</t>
  </si>
  <si>
    <t>Marine Creek Collegiate H S</t>
  </si>
  <si>
    <t>North Crowley H S</t>
  </si>
  <si>
    <t>North Side H S</t>
  </si>
  <si>
    <t>O D Wyatt H S</t>
  </si>
  <si>
    <t>Paschal H S</t>
  </si>
  <si>
    <t>Polytechnic H S</t>
  </si>
  <si>
    <t>South Hills H S</t>
  </si>
  <si>
    <t>Southwest H S</t>
  </si>
  <si>
    <t>Tarrant Co College South/Fort Worth Collegiate H S</t>
  </si>
  <si>
    <t>Texas Academy Of Biomedical</t>
  </si>
  <si>
    <t>Timber Creek H S</t>
  </si>
  <si>
    <t>Trimble Technical H S</t>
  </si>
  <si>
    <t>V R Eaton H S</t>
  </si>
  <si>
    <t>Western Hills H S</t>
  </si>
  <si>
    <t>Young Men'S Leadership Academy</t>
  </si>
  <si>
    <t>Young Women'S Leadership Academy</t>
  </si>
  <si>
    <t>Frankston H S</t>
  </si>
  <si>
    <t>Frankston</t>
  </si>
  <si>
    <t>Fredericksburg H S</t>
  </si>
  <si>
    <t>Brazosport H S</t>
  </si>
  <si>
    <t>Brazoswood H S</t>
  </si>
  <si>
    <t>New H S</t>
  </si>
  <si>
    <t>Freer H S</t>
  </si>
  <si>
    <t>Freer</t>
  </si>
  <si>
    <t>Clear Brook H S</t>
  </si>
  <si>
    <t>Friendswood</t>
  </si>
  <si>
    <t>Friendswood H S</t>
  </si>
  <si>
    <t>Friona H S</t>
  </si>
  <si>
    <t>Friona</t>
  </si>
  <si>
    <t>Career &amp; Technology Education Center</t>
  </si>
  <si>
    <t>Centennial H S</t>
  </si>
  <si>
    <t>Frisco H S</t>
  </si>
  <si>
    <t>Heritage H S</t>
  </si>
  <si>
    <t>Independence H S</t>
  </si>
  <si>
    <t>Lebanon Trail H S</t>
  </si>
  <si>
    <t>Liberty H S</t>
  </si>
  <si>
    <t>Lone Star H S</t>
  </si>
  <si>
    <t>Reedy H S</t>
  </si>
  <si>
    <t>Wakeland H S</t>
  </si>
  <si>
    <t>Sanford-Fritch H S</t>
  </si>
  <si>
    <t>Fritch</t>
  </si>
  <si>
    <t>Frost H S</t>
  </si>
  <si>
    <t>Frost</t>
  </si>
  <si>
    <t>Fruitvale H S</t>
  </si>
  <si>
    <t>Fruitvale</t>
  </si>
  <si>
    <t>Fulshear H S</t>
  </si>
  <si>
    <t>Fulshear</t>
  </si>
  <si>
    <t>Gainesville H S</t>
  </si>
  <si>
    <t>Lone Star H S North</t>
  </si>
  <si>
    <t>Galena Park H S</t>
  </si>
  <si>
    <t>Galena Park</t>
  </si>
  <si>
    <t>Ball H S</t>
  </si>
  <si>
    <t>Ganado H S</t>
  </si>
  <si>
    <t>Garden City H S</t>
  </si>
  <si>
    <t>Garland H S</t>
  </si>
  <si>
    <t>Gilbreath-Reed Career And Technical Center</t>
  </si>
  <si>
    <t>Iltexas Garland H S</t>
  </si>
  <si>
    <t>Lakeview Centennial H S</t>
  </si>
  <si>
    <t>N Garland H S</t>
  </si>
  <si>
    <t>Naaman Forest H S</t>
  </si>
  <si>
    <t>S Garland H S</t>
  </si>
  <si>
    <t>Garrison H S</t>
  </si>
  <si>
    <t>Gatesville H S</t>
  </si>
  <si>
    <t>George West H S</t>
  </si>
  <si>
    <t>George West</t>
  </si>
  <si>
    <t>East View H S</t>
  </si>
  <si>
    <t>Georgetown H S</t>
  </si>
  <si>
    <t>Giddings H S</t>
  </si>
  <si>
    <t>Giddings</t>
  </si>
  <si>
    <t>Lone Star H S Southeast</t>
  </si>
  <si>
    <t>Gilmer H S</t>
  </si>
  <si>
    <t>Gilmer</t>
  </si>
  <si>
    <t>Union Hill H S</t>
  </si>
  <si>
    <t>Gladewater H S</t>
  </si>
  <si>
    <t>Gladewater</t>
  </si>
  <si>
    <t>Sabine H S</t>
  </si>
  <si>
    <t>Union Grove H S</t>
  </si>
  <si>
    <t>Glen Rose H S</t>
  </si>
  <si>
    <t>Glen Rose</t>
  </si>
  <si>
    <t>Godley H S</t>
  </si>
  <si>
    <t>Godley</t>
  </si>
  <si>
    <t>Goldthwaite H S</t>
  </si>
  <si>
    <t>Goldthwaite</t>
  </si>
  <si>
    <t>Goliad H S</t>
  </si>
  <si>
    <t>Goliad</t>
  </si>
  <si>
    <t>Gonzales H S</t>
  </si>
  <si>
    <t>Goodrich H S</t>
  </si>
  <si>
    <t>Gorman H S</t>
  </si>
  <si>
    <t>Gorman</t>
  </si>
  <si>
    <t>Graford H S</t>
  </si>
  <si>
    <t>Graford</t>
  </si>
  <si>
    <t>Graham H S</t>
  </si>
  <si>
    <t>Granbury H S</t>
  </si>
  <si>
    <t>Grand Prairie Collegiate Institute</t>
  </si>
  <si>
    <t>Grand Prairie Fine Arts Academy</t>
  </si>
  <si>
    <t>Grand Prairie H S</t>
  </si>
  <si>
    <t>Iltexas Arlington-Grand Prairie H S</t>
  </si>
  <si>
    <t>John A Dubiski Career H S</t>
  </si>
  <si>
    <t>South Grand Prairie H S</t>
  </si>
  <si>
    <t>Ywla At Bill Arnold</t>
  </si>
  <si>
    <t>Grand Saline H S</t>
  </si>
  <si>
    <t>Grand Saline</t>
  </si>
  <si>
    <t>Grandview H S</t>
  </si>
  <si>
    <t>Grapeland H S</t>
  </si>
  <si>
    <t>Grapeland</t>
  </si>
  <si>
    <t>Grapevine H S</t>
  </si>
  <si>
    <t>Grapevine</t>
  </si>
  <si>
    <t>Iuniversity Prep</t>
  </si>
  <si>
    <t>Greenville H S</t>
  </si>
  <si>
    <t>Groesbeck H S</t>
  </si>
  <si>
    <t>Groesbeck</t>
  </si>
  <si>
    <t>Groveton J H-H S</t>
  </si>
  <si>
    <t>Gruver H S</t>
  </si>
  <si>
    <t>Gunter H S</t>
  </si>
  <si>
    <t>Gunter</t>
  </si>
  <si>
    <t>Hale Center H S</t>
  </si>
  <si>
    <t>Hale Center</t>
  </si>
  <si>
    <t>Hallettsville H S</t>
  </si>
  <si>
    <t>Hallettsville</t>
  </si>
  <si>
    <t>Hallsville H S</t>
  </si>
  <si>
    <t>Haltom H S</t>
  </si>
  <si>
    <t>Haltom City</t>
  </si>
  <si>
    <t>Hamilton H S</t>
  </si>
  <si>
    <t>Hamlin H S</t>
  </si>
  <si>
    <t>Hamlin</t>
  </si>
  <si>
    <t>Hamshire-Fannett H S</t>
  </si>
  <si>
    <t>Hamshire</t>
  </si>
  <si>
    <t>Happy H S</t>
  </si>
  <si>
    <t>Happy</t>
  </si>
  <si>
    <t>Hardin H S</t>
  </si>
  <si>
    <t>Harker Heights H S</t>
  </si>
  <si>
    <t>Harker Heights</t>
  </si>
  <si>
    <t>Harleton H S</t>
  </si>
  <si>
    <t>Harleton</t>
  </si>
  <si>
    <t>Harlingen H S</t>
  </si>
  <si>
    <t>Harlingen H S - South</t>
  </si>
  <si>
    <t>Harlingen School Of Health Professions</t>
  </si>
  <si>
    <t>Harper H S</t>
  </si>
  <si>
    <t>Harper</t>
  </si>
  <si>
    <t>Haskell H S</t>
  </si>
  <si>
    <t>Hawkins H S / Middle</t>
  </si>
  <si>
    <t>Hawkins</t>
  </si>
  <si>
    <t>Hawley H S</t>
  </si>
  <si>
    <t>Hearne H S</t>
  </si>
  <si>
    <t>Hearne</t>
  </si>
  <si>
    <t>Rockwall-Heath H S</t>
  </si>
  <si>
    <t>Hebbronville H S</t>
  </si>
  <si>
    <t>Hebbronville</t>
  </si>
  <si>
    <t>O'Connor H S</t>
  </si>
  <si>
    <t>Helotes</t>
  </si>
  <si>
    <t>Hemphill H S</t>
  </si>
  <si>
    <t>Hemphill</t>
  </si>
  <si>
    <t>Hempstead H S</t>
  </si>
  <si>
    <t>Henderson H S</t>
  </si>
  <si>
    <t>Henrietta H S</t>
  </si>
  <si>
    <t>Hereford H S</t>
  </si>
  <si>
    <t>Hereford</t>
  </si>
  <si>
    <t>Hico H S</t>
  </si>
  <si>
    <t>Hico</t>
  </si>
  <si>
    <t>Hidalgo Early College H S</t>
  </si>
  <si>
    <t>Hidalgo</t>
  </si>
  <si>
    <t>Hillsboro H S</t>
  </si>
  <si>
    <t>Hitchcock H S</t>
  </si>
  <si>
    <t>Hitchcock</t>
  </si>
  <si>
    <t>Holland H S</t>
  </si>
  <si>
    <t>Holliday H S</t>
  </si>
  <si>
    <t>Holliday</t>
  </si>
  <si>
    <t>Hondo H S</t>
  </si>
  <si>
    <t>Honey Grove H S</t>
  </si>
  <si>
    <t>Honey Grove</t>
  </si>
  <si>
    <t>Hooks H S</t>
  </si>
  <si>
    <t>Hooks</t>
  </si>
  <si>
    <t>Aldine H S</t>
  </si>
  <si>
    <t>Alief Early College H S</t>
  </si>
  <si>
    <t>Andy Dekaney H S</t>
  </si>
  <si>
    <t>C E King H S</t>
  </si>
  <si>
    <t>Carnegie Vanguard H S</t>
  </si>
  <si>
    <t>Carver H S For Applied Tech/Engineering/Arts</t>
  </si>
  <si>
    <t>Challenge Early College H S</t>
  </si>
  <si>
    <t>Chavez H S</t>
  </si>
  <si>
    <t>Clear Horizons Early College H S</t>
  </si>
  <si>
    <t>Clear Lake H S</t>
  </si>
  <si>
    <t>Cypress Creek H S</t>
  </si>
  <si>
    <t>Cypress Falls H S</t>
  </si>
  <si>
    <t>Cypress Ridge H S</t>
  </si>
  <si>
    <t>Davis H S Aldine</t>
  </si>
  <si>
    <t>Debakey H S For Health Prof</t>
  </si>
  <si>
    <t>Dobie H S</t>
  </si>
  <si>
    <t>East Early College H S</t>
  </si>
  <si>
    <t>Eastwood Academy</t>
  </si>
  <si>
    <t>Eisenhower H S</t>
  </si>
  <si>
    <t>Elsik H S</t>
  </si>
  <si>
    <t>Energized For Stem Academy Southeast H S</t>
  </si>
  <si>
    <t>Energized For Stem Academy Southwest H S</t>
  </si>
  <si>
    <t>Energy Institute H S</t>
  </si>
  <si>
    <t>Furr H S</t>
  </si>
  <si>
    <t>Galena Park Isd Career &amp; Technical EcHigh School</t>
  </si>
  <si>
    <t>H S For Law And Justice</t>
  </si>
  <si>
    <t>Harmony School Of Advancement-Houston</t>
  </si>
  <si>
    <t>Harmony School Of Business - Dallas</t>
  </si>
  <si>
    <t>Harmony School Of Discovery - Houston</t>
  </si>
  <si>
    <t>Harmony School Of Excellence - Laredo</t>
  </si>
  <si>
    <t>Harmony School Of Ingenuity-Houston</t>
  </si>
  <si>
    <t>Harmony School Of Innovation - Brownsville</t>
  </si>
  <si>
    <t>Harmony School Of Innovation - Fort Worth</t>
  </si>
  <si>
    <t>Harmony School Of Innovation - Garland</t>
  </si>
  <si>
    <t>Harmony School Of Innovation - Waco</t>
  </si>
  <si>
    <t>Harmony School Of Innovation-Sugar Land</t>
  </si>
  <si>
    <t>Harmony School Of Nature And Athletics - Dallas</t>
  </si>
  <si>
    <t>Harmony Science Academy - Carrollton</t>
  </si>
  <si>
    <t>Harmony Science Academy-Houston</t>
  </si>
  <si>
    <t>Hastings H S</t>
  </si>
  <si>
    <t>Heights H S</t>
  </si>
  <si>
    <t>Houston Academy For International Studies</t>
  </si>
  <si>
    <t>Houston Math Science And Technology Center</t>
  </si>
  <si>
    <t>Houston T-Stem And Early College H S</t>
  </si>
  <si>
    <t>Jersey Village H S</t>
  </si>
  <si>
    <t>Jones Futures Academy</t>
  </si>
  <si>
    <t>Kashmere H S</t>
  </si>
  <si>
    <t>Kerr H S</t>
  </si>
  <si>
    <t>Kinder H S For Performing And Visual Arts</t>
  </si>
  <si>
    <t>Kipp Generations Collegiate</t>
  </si>
  <si>
    <t>Kipp Houston H S</t>
  </si>
  <si>
    <t>Kipp Northeast College Preparatory</t>
  </si>
  <si>
    <t>Kipp Sunnyside H S</t>
  </si>
  <si>
    <t>Klein Forest H S</t>
  </si>
  <si>
    <t>Langham Creek H S</t>
  </si>
  <si>
    <t>Long Academy</t>
  </si>
  <si>
    <t>Macarthur H S</t>
  </si>
  <si>
    <t>Madison H S</t>
  </si>
  <si>
    <t>Mayde Creek H S</t>
  </si>
  <si>
    <t>Memorial H S</t>
  </si>
  <si>
    <t>Mickey Leland College Prep Academy For Young Men</t>
  </si>
  <si>
    <t>Milby H S</t>
  </si>
  <si>
    <t>Nimitz H S</t>
  </si>
  <si>
    <t>North Forest H S</t>
  </si>
  <si>
    <t>North Houston Early College H S</t>
  </si>
  <si>
    <t>Northbrook H S</t>
  </si>
  <si>
    <t>NortHigh Schoolide H S</t>
  </si>
  <si>
    <t>Scarborough H S</t>
  </si>
  <si>
    <t>Sharpstown H S</t>
  </si>
  <si>
    <t>Sharpstown International School</t>
  </si>
  <si>
    <t>South Early College H S</t>
  </si>
  <si>
    <t>Spring Early College Academy</t>
  </si>
  <si>
    <t>Spring Woods H S</t>
  </si>
  <si>
    <t>Stratford H S</t>
  </si>
  <si>
    <t>Summer Creek H S</t>
  </si>
  <si>
    <t>Taylor H S</t>
  </si>
  <si>
    <t>Victory Early College H S</t>
  </si>
  <si>
    <t>Waltrip H S</t>
  </si>
  <si>
    <t>Washington B T H S</t>
  </si>
  <si>
    <t>Westbury H S</t>
  </si>
  <si>
    <t>Westchester Academy For International Studies</t>
  </si>
  <si>
    <t>Westfield H S</t>
  </si>
  <si>
    <t>Westside H S</t>
  </si>
  <si>
    <t>Wheatley H S</t>
  </si>
  <si>
    <t>Willowridge H S</t>
  </si>
  <si>
    <t>Wisdom H S</t>
  </si>
  <si>
    <t>Worthing H S</t>
  </si>
  <si>
    <t>Yates H S</t>
  </si>
  <si>
    <t>Yes Prep - 5Th Ward</t>
  </si>
  <si>
    <t>Yes Prep - Brays Oaks</t>
  </si>
  <si>
    <t>Yes Prep - East End</t>
  </si>
  <si>
    <t>Yes Prep - Gulfton</t>
  </si>
  <si>
    <t>Yes Prep - North Central</t>
  </si>
  <si>
    <t>Yes Prep - NortHigh Schoolide</t>
  </si>
  <si>
    <t>Yes Prep - Southeast</t>
  </si>
  <si>
    <t>Yes Prep - Southwest</t>
  </si>
  <si>
    <t>Yes Prep - West</t>
  </si>
  <si>
    <t>Yes Prep North Forest</t>
  </si>
  <si>
    <t>Young Women'S College Prep Academy</t>
  </si>
  <si>
    <t>Howe H S</t>
  </si>
  <si>
    <t>Hubbard H S</t>
  </si>
  <si>
    <t>Hargrave H S</t>
  </si>
  <si>
    <t>Huffman</t>
  </si>
  <si>
    <t>Hughes Springs H S</t>
  </si>
  <si>
    <t>Hughes Springs</t>
  </si>
  <si>
    <t>Atascocita H S</t>
  </si>
  <si>
    <t>Humble H S</t>
  </si>
  <si>
    <t>Quest Early College H S</t>
  </si>
  <si>
    <t>Huntington H S</t>
  </si>
  <si>
    <t>Huntsville H S</t>
  </si>
  <si>
    <t>Texas Online Preparatory H S</t>
  </si>
  <si>
    <t>Bell H S</t>
  </si>
  <si>
    <t>Grapevine-Colleyville Collegiate Academy At Tcc Ne</t>
  </si>
  <si>
    <t>Hutto H S</t>
  </si>
  <si>
    <t>Idalou H S</t>
  </si>
  <si>
    <t>Idalou</t>
  </si>
  <si>
    <t>Ingleside H S</t>
  </si>
  <si>
    <t>Ingleside</t>
  </si>
  <si>
    <t>Ingram Tom Moore H S</t>
  </si>
  <si>
    <t>Ingram</t>
  </si>
  <si>
    <t>Iola H S</t>
  </si>
  <si>
    <t>Iowa Park H S</t>
  </si>
  <si>
    <t>Iowa Park</t>
  </si>
  <si>
    <t>Iraan H S</t>
  </si>
  <si>
    <t>Iraan</t>
  </si>
  <si>
    <t>Irving H S</t>
  </si>
  <si>
    <t>Irving</t>
  </si>
  <si>
    <t>Jack E Singley Academy</t>
  </si>
  <si>
    <t>Manara Leadership Academy</t>
  </si>
  <si>
    <t>Ranchview H S</t>
  </si>
  <si>
    <t>Italy H S</t>
  </si>
  <si>
    <t>Italy</t>
  </si>
  <si>
    <t>Itasca H S</t>
  </si>
  <si>
    <t>Itasca</t>
  </si>
  <si>
    <t>Rayburn H S</t>
  </si>
  <si>
    <t>Ivanhoe</t>
  </si>
  <si>
    <t>Jacksboro H S</t>
  </si>
  <si>
    <t>Jacksonville H S</t>
  </si>
  <si>
    <t>Jarrell H S</t>
  </si>
  <si>
    <t>Jarrell</t>
  </si>
  <si>
    <t>Jasper H S</t>
  </si>
  <si>
    <t>Leon H S</t>
  </si>
  <si>
    <t>Jewett</t>
  </si>
  <si>
    <t>Joaquin H S</t>
  </si>
  <si>
    <t>Joaquin</t>
  </si>
  <si>
    <t>Lyndon B Johnson H S</t>
  </si>
  <si>
    <t>Joshua H S</t>
  </si>
  <si>
    <t>Joshua</t>
  </si>
  <si>
    <t>Jourdanton H S</t>
  </si>
  <si>
    <t>Jourdanton</t>
  </si>
  <si>
    <t>Junction H S</t>
  </si>
  <si>
    <t>Northwest H S</t>
  </si>
  <si>
    <t>Justin</t>
  </si>
  <si>
    <t>Karnes City H S</t>
  </si>
  <si>
    <t>Karnes City</t>
  </si>
  <si>
    <t>Aristoi Classical Upper School</t>
  </si>
  <si>
    <t>Cinco Ranch H S</t>
  </si>
  <si>
    <t>Cypress Lakes H S</t>
  </si>
  <si>
    <t>Harmony School Of Innovation - Katy</t>
  </si>
  <si>
    <t>Katy H S</t>
  </si>
  <si>
    <t>Morton Ranch H S</t>
  </si>
  <si>
    <t>Seven Lakes H S</t>
  </si>
  <si>
    <t>Tompkins H S</t>
  </si>
  <si>
    <t>Kaufman H S</t>
  </si>
  <si>
    <t>Kaufman</t>
  </si>
  <si>
    <t>Keene H S</t>
  </si>
  <si>
    <t>Central H S</t>
  </si>
  <si>
    <t>Fossil Ridge H S</t>
  </si>
  <si>
    <t>Keller H S</t>
  </si>
  <si>
    <t>Kemp H S</t>
  </si>
  <si>
    <t>Kemp</t>
  </si>
  <si>
    <t>Kenedy H S</t>
  </si>
  <si>
    <t>Kenedy</t>
  </si>
  <si>
    <t>Kennard H S</t>
  </si>
  <si>
    <t>Kennard</t>
  </si>
  <si>
    <t>Kennedale H S</t>
  </si>
  <si>
    <t>Kermit H S</t>
  </si>
  <si>
    <t>Kermit</t>
  </si>
  <si>
    <t>Tivy H S</t>
  </si>
  <si>
    <t>Kerrville</t>
  </si>
  <si>
    <t>Kilgore H S</t>
  </si>
  <si>
    <t>Kilgore</t>
  </si>
  <si>
    <t>C E Ellison H S</t>
  </si>
  <si>
    <t>Killeen H S</t>
  </si>
  <si>
    <t>Killeen Isd Career Center</t>
  </si>
  <si>
    <t>Robert M Shoemaker H S</t>
  </si>
  <si>
    <t>H M King H S</t>
  </si>
  <si>
    <t>Santa Gertrudis Academy H S</t>
  </si>
  <si>
    <t>Kingwood H S</t>
  </si>
  <si>
    <t>Kingwood</t>
  </si>
  <si>
    <t>Kingwood Park H S</t>
  </si>
  <si>
    <t>Kirbyville H S</t>
  </si>
  <si>
    <t>Kirbyville</t>
  </si>
  <si>
    <t>Klein H S</t>
  </si>
  <si>
    <t>Klein</t>
  </si>
  <si>
    <t>Knox City H S</t>
  </si>
  <si>
    <t>Knox City</t>
  </si>
  <si>
    <t>Kountze H S</t>
  </si>
  <si>
    <t>Kountze</t>
  </si>
  <si>
    <t>Kress H S</t>
  </si>
  <si>
    <t>Kress</t>
  </si>
  <si>
    <t>Krum H S</t>
  </si>
  <si>
    <t>Krum</t>
  </si>
  <si>
    <t>Lehman H S</t>
  </si>
  <si>
    <t>Kyle</t>
  </si>
  <si>
    <t>La Feria H S</t>
  </si>
  <si>
    <t>La Feria</t>
  </si>
  <si>
    <t>La Grange H S</t>
  </si>
  <si>
    <t>Jimmy Carter Early College H S</t>
  </si>
  <si>
    <t>La Joya</t>
  </si>
  <si>
    <t>La Joya H S</t>
  </si>
  <si>
    <t>Thelma Rosa Salinas Stem Early College H S</t>
  </si>
  <si>
    <t>La Marque H S</t>
  </si>
  <si>
    <t>La Porte H S</t>
  </si>
  <si>
    <t>La Pryor H S</t>
  </si>
  <si>
    <t>La Pryor</t>
  </si>
  <si>
    <t>La Vernia H S</t>
  </si>
  <si>
    <t>La Vernia</t>
  </si>
  <si>
    <t>La Villa Early College H S</t>
  </si>
  <si>
    <t>La Villa</t>
  </si>
  <si>
    <t>Fannindel H S</t>
  </si>
  <si>
    <t>Ladonia</t>
  </si>
  <si>
    <t>Lago Vista H S</t>
  </si>
  <si>
    <t>Lago Vista</t>
  </si>
  <si>
    <t>Leveretts Chapel H S</t>
  </si>
  <si>
    <t>Laird Hill</t>
  </si>
  <si>
    <t>Lake Dallas H S</t>
  </si>
  <si>
    <t>Lake Dallas</t>
  </si>
  <si>
    <t>Lake Worth H S</t>
  </si>
  <si>
    <t>Lamesa H S</t>
  </si>
  <si>
    <t>Lamesa</t>
  </si>
  <si>
    <t>Lampasas H S</t>
  </si>
  <si>
    <t>Lampasas</t>
  </si>
  <si>
    <t>Lancaster H S</t>
  </si>
  <si>
    <t>Dr Leo Cigarroa H S</t>
  </si>
  <si>
    <t>Laredo</t>
  </si>
  <si>
    <t>Hector J Garcia Early College H S</t>
  </si>
  <si>
    <t>John B Alexander H S</t>
  </si>
  <si>
    <t>Lyndon B Johnson</t>
  </si>
  <si>
    <t>Nixon H S</t>
  </si>
  <si>
    <t>United H S</t>
  </si>
  <si>
    <t>United South H S</t>
  </si>
  <si>
    <t>Lapoynor H S</t>
  </si>
  <si>
    <t>Larue</t>
  </si>
  <si>
    <t>Lasara H S</t>
  </si>
  <si>
    <t>Lasara</t>
  </si>
  <si>
    <t>Latexo H S</t>
  </si>
  <si>
    <t>Latexo</t>
  </si>
  <si>
    <t>Clear Creek H S</t>
  </si>
  <si>
    <t>League City</t>
  </si>
  <si>
    <t>Clear Falls H S</t>
  </si>
  <si>
    <t>Clear Springs H S</t>
  </si>
  <si>
    <t>Glenn H S</t>
  </si>
  <si>
    <t>Leander</t>
  </si>
  <si>
    <t>Leander H S</t>
  </si>
  <si>
    <t>Rouse H S</t>
  </si>
  <si>
    <t>Vista Ridge H S</t>
  </si>
  <si>
    <t>Leggett H S</t>
  </si>
  <si>
    <t>Leonard H S</t>
  </si>
  <si>
    <t>Leonard</t>
  </si>
  <si>
    <t>Levelland H S</t>
  </si>
  <si>
    <t>Levelland</t>
  </si>
  <si>
    <t>Career Center East</t>
  </si>
  <si>
    <t>Ischool High School - Lewisville</t>
  </si>
  <si>
    <t>Ischool High School At The Woodlands</t>
  </si>
  <si>
    <t>Ischool High School At University Park</t>
  </si>
  <si>
    <t>Lewisville H S</t>
  </si>
  <si>
    <t>Stem Academy - Lewisville</t>
  </si>
  <si>
    <t>Lexington H S</t>
  </si>
  <si>
    <t>Liberty Hill H S</t>
  </si>
  <si>
    <t>Liberty Hill</t>
  </si>
  <si>
    <t>Lindale H S</t>
  </si>
  <si>
    <t>Linden-Kildare H S</t>
  </si>
  <si>
    <t>Lindsay H S</t>
  </si>
  <si>
    <t>Lipan H S</t>
  </si>
  <si>
    <t>Lipan</t>
  </si>
  <si>
    <t>Little Elm H S</t>
  </si>
  <si>
    <t>Little Elm</t>
  </si>
  <si>
    <t>Academy H S</t>
  </si>
  <si>
    <t>Littlefield H S</t>
  </si>
  <si>
    <t>Littlefield</t>
  </si>
  <si>
    <t>Judson Early College Academy</t>
  </si>
  <si>
    <t>Livingston H S</t>
  </si>
  <si>
    <t>Llano H S</t>
  </si>
  <si>
    <t>Llano</t>
  </si>
  <si>
    <t>Lockhart H S</t>
  </si>
  <si>
    <t>Lockhart</t>
  </si>
  <si>
    <t>Lockney H S</t>
  </si>
  <si>
    <t>Lockney</t>
  </si>
  <si>
    <t>Lone Oak H S</t>
  </si>
  <si>
    <t>Lone Oak</t>
  </si>
  <si>
    <t>Longview H S</t>
  </si>
  <si>
    <t>Pine Tree H S</t>
  </si>
  <si>
    <t>Spring Hill H S</t>
  </si>
  <si>
    <t>Lorena High School</t>
  </si>
  <si>
    <t>Lorena</t>
  </si>
  <si>
    <t>Lorenzo H S</t>
  </si>
  <si>
    <t>Lorenzo</t>
  </si>
  <si>
    <t>Los Fresnos H S</t>
  </si>
  <si>
    <t>Louise H S</t>
  </si>
  <si>
    <t>Louise</t>
  </si>
  <si>
    <t>Lovelady J H H S</t>
  </si>
  <si>
    <t>Lovelady</t>
  </si>
  <si>
    <t>EstAcademyo H S</t>
  </si>
  <si>
    <t>Lubbock H S</t>
  </si>
  <si>
    <t>Lubbock-Cooper High School</t>
  </si>
  <si>
    <t>Monterey H S</t>
  </si>
  <si>
    <t>Roosevelt H S</t>
  </si>
  <si>
    <t>Talkington School For Young Women Leaders</t>
  </si>
  <si>
    <t>Lovejoy H S</t>
  </si>
  <si>
    <t>Hudson H S</t>
  </si>
  <si>
    <t>Lufkin</t>
  </si>
  <si>
    <t>Lufkin H S</t>
  </si>
  <si>
    <t>Pineywoods Community Academy H S</t>
  </si>
  <si>
    <t>Luling H S</t>
  </si>
  <si>
    <t>Luling</t>
  </si>
  <si>
    <t>Lumberton H S</t>
  </si>
  <si>
    <t>Lyford H S</t>
  </si>
  <si>
    <t>Lyford</t>
  </si>
  <si>
    <t>Lytle H S</t>
  </si>
  <si>
    <t>Lytle</t>
  </si>
  <si>
    <t>Mabank H S</t>
  </si>
  <si>
    <t>Mabank</t>
  </si>
  <si>
    <t>Madisonville H S</t>
  </si>
  <si>
    <t>Magnolia H S</t>
  </si>
  <si>
    <t>Magnolia West H S</t>
  </si>
  <si>
    <t>Cross Roads H S</t>
  </si>
  <si>
    <t>Malakoff</t>
  </si>
  <si>
    <t>Malakoff H S</t>
  </si>
  <si>
    <t>Manor H S</t>
  </si>
  <si>
    <t>Manor New Technology High School</t>
  </si>
  <si>
    <t>Mansfield Frontier H S</t>
  </si>
  <si>
    <t>Mansfield H S</t>
  </si>
  <si>
    <t>Mansfield Lake Ridge H S</t>
  </si>
  <si>
    <t>Mansfield Legacy H S</t>
  </si>
  <si>
    <t>Marble Falls H S</t>
  </si>
  <si>
    <t>Marion H S</t>
  </si>
  <si>
    <t>Marlin High School</t>
  </si>
  <si>
    <t>Marshall H S</t>
  </si>
  <si>
    <t>Texas Early College H S</t>
  </si>
  <si>
    <t>Lone Star H S Central</t>
  </si>
  <si>
    <t>Mart</t>
  </si>
  <si>
    <t>Lone Star H S East Central</t>
  </si>
  <si>
    <t>Mart H S</t>
  </si>
  <si>
    <t>Martins Mill H S</t>
  </si>
  <si>
    <t>Martin'S Mill</t>
  </si>
  <si>
    <t>Mason H S</t>
  </si>
  <si>
    <t>Mathis H S</t>
  </si>
  <si>
    <t>Mathis</t>
  </si>
  <si>
    <t>May H S</t>
  </si>
  <si>
    <t>May</t>
  </si>
  <si>
    <t>Maypearl H S</t>
  </si>
  <si>
    <t>Maypearl</t>
  </si>
  <si>
    <t>Rowe H S</t>
  </si>
  <si>
    <t>Mc Allen</t>
  </si>
  <si>
    <t>Achieve Early College H S</t>
  </si>
  <si>
    <t>Mcallen</t>
  </si>
  <si>
    <t>Idea Mcallen College Preparatory</t>
  </si>
  <si>
    <t>Mcallen H S</t>
  </si>
  <si>
    <t>Mccamey H S</t>
  </si>
  <si>
    <t>Mccamey</t>
  </si>
  <si>
    <t>Mcdade H S</t>
  </si>
  <si>
    <t>Mcdade</t>
  </si>
  <si>
    <t>Mcgregor H S</t>
  </si>
  <si>
    <t>Mckinney Boyd H S</t>
  </si>
  <si>
    <t>Mckinney</t>
  </si>
  <si>
    <t>Mckinney H S</t>
  </si>
  <si>
    <t>Mckinney North H S</t>
  </si>
  <si>
    <t>Mcleod H S</t>
  </si>
  <si>
    <t>Mcleod</t>
  </si>
  <si>
    <t>Melissa H S</t>
  </si>
  <si>
    <t>Melissa</t>
  </si>
  <si>
    <t>Memphis H S</t>
  </si>
  <si>
    <t>Menard H S</t>
  </si>
  <si>
    <t>Menard</t>
  </si>
  <si>
    <t>Mercedes H S</t>
  </si>
  <si>
    <t>South Texas H S For Health Professions</t>
  </si>
  <si>
    <t>The Science Academy Of South Texas</t>
  </si>
  <si>
    <t>Meridian H S</t>
  </si>
  <si>
    <t>Bland H S</t>
  </si>
  <si>
    <t>Merit</t>
  </si>
  <si>
    <t>Merkel H S</t>
  </si>
  <si>
    <t>Merkel</t>
  </si>
  <si>
    <t>Irion H S</t>
  </si>
  <si>
    <t>Mertzon</t>
  </si>
  <si>
    <t>Horn H S</t>
  </si>
  <si>
    <t>Mesquite H S</t>
  </si>
  <si>
    <t>North Mesquite H S</t>
  </si>
  <si>
    <t>Poteet H S</t>
  </si>
  <si>
    <t>West Mesquite H S</t>
  </si>
  <si>
    <t>Mexia H S</t>
  </si>
  <si>
    <t>Mexia</t>
  </si>
  <si>
    <t>Early College H S At Midland College</t>
  </si>
  <si>
    <t>Greenwood H S</t>
  </si>
  <si>
    <t>Midland H S</t>
  </si>
  <si>
    <t>Midlothian H S</t>
  </si>
  <si>
    <t>Midlothian Heritage H S</t>
  </si>
  <si>
    <t>Milano H S</t>
  </si>
  <si>
    <t>Milano</t>
  </si>
  <si>
    <t>Miles H S</t>
  </si>
  <si>
    <t>Miles</t>
  </si>
  <si>
    <t>Millsap H S</t>
  </si>
  <si>
    <t>Millsap</t>
  </si>
  <si>
    <t>Mineola H S</t>
  </si>
  <si>
    <t>Mineola</t>
  </si>
  <si>
    <t>Mineral Wells H S</t>
  </si>
  <si>
    <t>Mineral Wells</t>
  </si>
  <si>
    <t>Idea College Preparatory Mission</t>
  </si>
  <si>
    <t>Juarez-Lincoln H S</t>
  </si>
  <si>
    <t>La Joya Palmview H S</t>
  </si>
  <si>
    <t>Mission H S</t>
  </si>
  <si>
    <t>Sharyland Advanced Academyemic Academy</t>
  </si>
  <si>
    <t>Sharyland H S</t>
  </si>
  <si>
    <t>Sharyland Pioneer H S</t>
  </si>
  <si>
    <t>High Schooltower H S</t>
  </si>
  <si>
    <t>Lawrence E Elkins H S</t>
  </si>
  <si>
    <t>Ridge Point H S</t>
  </si>
  <si>
    <t>Thurgood Marshall H S</t>
  </si>
  <si>
    <t>Monahans H S</t>
  </si>
  <si>
    <t>Monahans</t>
  </si>
  <si>
    <t>Barbers Hill H S</t>
  </si>
  <si>
    <t>Mont Belvieu</t>
  </si>
  <si>
    <t>Monte Alto H S</t>
  </si>
  <si>
    <t>Monte Alto</t>
  </si>
  <si>
    <t>Lake Creek H S</t>
  </si>
  <si>
    <t>Montgomery H S</t>
  </si>
  <si>
    <t>Moulton H S</t>
  </si>
  <si>
    <t>Chapel Hill H S</t>
  </si>
  <si>
    <t>Mount Pleasant H S</t>
  </si>
  <si>
    <t>Mt Vernon H S</t>
  </si>
  <si>
    <t>Mt Enterprise H S</t>
  </si>
  <si>
    <t>Mt Enterprise</t>
  </si>
  <si>
    <t>Muenster H S</t>
  </si>
  <si>
    <t>Muenster</t>
  </si>
  <si>
    <t>Muleshoe H S</t>
  </si>
  <si>
    <t>Muleshoe</t>
  </si>
  <si>
    <t>Mullin H S</t>
  </si>
  <si>
    <t>Mullin</t>
  </si>
  <si>
    <t>Mumford H S</t>
  </si>
  <si>
    <t>Mumford</t>
  </si>
  <si>
    <t>Munday Secondary</t>
  </si>
  <si>
    <t>Munday</t>
  </si>
  <si>
    <t>Central Heights H S</t>
  </si>
  <si>
    <t>Nacogdoches H S</t>
  </si>
  <si>
    <t>Natalia H S</t>
  </si>
  <si>
    <t>Natalia</t>
  </si>
  <si>
    <t>Navasota H S</t>
  </si>
  <si>
    <t>Navasota</t>
  </si>
  <si>
    <t>Neches H S</t>
  </si>
  <si>
    <t>Neches</t>
  </si>
  <si>
    <t>Nederland H S</t>
  </si>
  <si>
    <t>Needville H S</t>
  </si>
  <si>
    <t>Needville</t>
  </si>
  <si>
    <t>Community H S</t>
  </si>
  <si>
    <t>New Boston H S</t>
  </si>
  <si>
    <t>New Braunfels</t>
  </si>
  <si>
    <t>Canyon Lake H S</t>
  </si>
  <si>
    <t>Memorial Early College H S With St Philip'S</t>
  </si>
  <si>
    <t>New Braunfels H S</t>
  </si>
  <si>
    <t>SmitHigh Schoolon Valley H S</t>
  </si>
  <si>
    <t>New Caney H S</t>
  </si>
  <si>
    <t>New Caney</t>
  </si>
  <si>
    <t>New Deal H S</t>
  </si>
  <si>
    <t>New Deal</t>
  </si>
  <si>
    <t>West Rusk H S</t>
  </si>
  <si>
    <t>New Waverly H S</t>
  </si>
  <si>
    <t>New Waverly</t>
  </si>
  <si>
    <t>Newton H S</t>
  </si>
  <si>
    <t>Nixon-Smiley H S</t>
  </si>
  <si>
    <t>Nixon</t>
  </si>
  <si>
    <t>Nocona H S</t>
  </si>
  <si>
    <t>Nocona</t>
  </si>
  <si>
    <t>Prairie Valley H S</t>
  </si>
  <si>
    <t>Normangee H S</t>
  </si>
  <si>
    <t>Normangee</t>
  </si>
  <si>
    <t>Birdville H S</t>
  </si>
  <si>
    <t>North Richland Hills</t>
  </si>
  <si>
    <t>Richland H S</t>
  </si>
  <si>
    <t>Oakwood H S</t>
  </si>
  <si>
    <t>Odem H S</t>
  </si>
  <si>
    <t>Odem</t>
  </si>
  <si>
    <t>Ecisd Falcon Early College H S</t>
  </si>
  <si>
    <t>George H W Bush New Tech Odessa</t>
  </si>
  <si>
    <t>Odessa Career And Technical Early College H S</t>
  </si>
  <si>
    <t>Odessa H S</t>
  </si>
  <si>
    <t>Permian H S</t>
  </si>
  <si>
    <t>South Texas Academy For Medical Professions</t>
  </si>
  <si>
    <t>Olmito</t>
  </si>
  <si>
    <t>Olney H S</t>
  </si>
  <si>
    <t>Olton H S</t>
  </si>
  <si>
    <t>Olton</t>
  </si>
  <si>
    <t>Pewitt H S</t>
  </si>
  <si>
    <t>Onalaska Jr/Sr High School</t>
  </si>
  <si>
    <t>Deweyville H S</t>
  </si>
  <si>
    <t>Lit Cypr-Mrceville H S</t>
  </si>
  <si>
    <t>West Orange-Stark H S</t>
  </si>
  <si>
    <t>Orange Grove H S</t>
  </si>
  <si>
    <t>Orange Grove</t>
  </si>
  <si>
    <t>Orangefield H S</t>
  </si>
  <si>
    <t>Orangefield</t>
  </si>
  <si>
    <t>Ore City H S</t>
  </si>
  <si>
    <t>Ore City</t>
  </si>
  <si>
    <t>Overton H S</t>
  </si>
  <si>
    <t>Ozona H S</t>
  </si>
  <si>
    <t>Ozona</t>
  </si>
  <si>
    <t>Palacios H S</t>
  </si>
  <si>
    <t>Palacios</t>
  </si>
  <si>
    <t>Palestine H S</t>
  </si>
  <si>
    <t>Palmer H S</t>
  </si>
  <si>
    <t>Pampa H S</t>
  </si>
  <si>
    <t>Panhandle H S</t>
  </si>
  <si>
    <t>Panhandle</t>
  </si>
  <si>
    <t>Paradise H S</t>
  </si>
  <si>
    <t>Chisum H S</t>
  </si>
  <si>
    <t>North Lamar H S</t>
  </si>
  <si>
    <t>Paris H S</t>
  </si>
  <si>
    <t>Pasadena Memorial H S</t>
  </si>
  <si>
    <t>Sam Rayburn H S</t>
  </si>
  <si>
    <t>Royal H S</t>
  </si>
  <si>
    <t>Pattison</t>
  </si>
  <si>
    <t>Prairiland H S</t>
  </si>
  <si>
    <t>Pattonville</t>
  </si>
  <si>
    <t>Glenda Dawson H S</t>
  </si>
  <si>
    <t>Pearland H S</t>
  </si>
  <si>
    <t>Robert Turner College And Career H S</t>
  </si>
  <si>
    <t>Pearsall H S</t>
  </si>
  <si>
    <t>Pearsall</t>
  </si>
  <si>
    <t>Peaster H S</t>
  </si>
  <si>
    <t>Pecos H S</t>
  </si>
  <si>
    <t>Perrin H S</t>
  </si>
  <si>
    <t>Perrin</t>
  </si>
  <si>
    <t>Perryton H S</t>
  </si>
  <si>
    <t>Perryton</t>
  </si>
  <si>
    <t>Petrolia Junior High School/High School</t>
  </si>
  <si>
    <t>Pettus Secondary</t>
  </si>
  <si>
    <t>Pettus</t>
  </si>
  <si>
    <t>Harmony Science Academy-Pflugerville</t>
  </si>
  <si>
    <t>Pflugerville</t>
  </si>
  <si>
    <t>Hendrickson H S</t>
  </si>
  <si>
    <t>Pflugerville H S</t>
  </si>
  <si>
    <t>Idea College Preparatory Pharr</t>
  </si>
  <si>
    <t>Idea Toros College Preparatory</t>
  </si>
  <si>
    <t>Psja North Early College H S</t>
  </si>
  <si>
    <t>Psja Southwest Early College H S</t>
  </si>
  <si>
    <t>Psja Thomas Jefferson T-Stem Early College H S</t>
  </si>
  <si>
    <t>Valley View H S</t>
  </si>
  <si>
    <t>Pilot Point H S</t>
  </si>
  <si>
    <t>Pilot Point</t>
  </si>
  <si>
    <t>West Sabine H S</t>
  </si>
  <si>
    <t>Pineland</t>
  </si>
  <si>
    <t>Pittsburg H S</t>
  </si>
  <si>
    <t>Plains H S</t>
  </si>
  <si>
    <t>Plainview H S</t>
  </si>
  <si>
    <t>Plano East Sr H S</t>
  </si>
  <si>
    <t>Plano Isd Academy H S</t>
  </si>
  <si>
    <t>Plano Sr H S</t>
  </si>
  <si>
    <t>Plano West Senior H S</t>
  </si>
  <si>
    <t>Pleasanton H S</t>
  </si>
  <si>
    <t>Pollok</t>
  </si>
  <si>
    <t>Ponder H S</t>
  </si>
  <si>
    <t>Ponder</t>
  </si>
  <si>
    <t>Poolville H S</t>
  </si>
  <si>
    <t>Poolville</t>
  </si>
  <si>
    <t>Port Aransas H S</t>
  </si>
  <si>
    <t>Port Aransas</t>
  </si>
  <si>
    <t>Bob Hope School</t>
  </si>
  <si>
    <t>Port Arthur</t>
  </si>
  <si>
    <t>Tekoa Academy Of Accelerated Studies</t>
  </si>
  <si>
    <t>Port Isabel H S</t>
  </si>
  <si>
    <t>Port Isabel</t>
  </si>
  <si>
    <t>Calhoun H S</t>
  </si>
  <si>
    <t>Port Lavaca</t>
  </si>
  <si>
    <t>Port Neches-Groves H S</t>
  </si>
  <si>
    <t>Port Neches</t>
  </si>
  <si>
    <t>Infinity Early College H S</t>
  </si>
  <si>
    <t>Porter H S</t>
  </si>
  <si>
    <t>Gregory-Portland H S</t>
  </si>
  <si>
    <t>Post H S</t>
  </si>
  <si>
    <t>Post</t>
  </si>
  <si>
    <t>Poteet</t>
  </si>
  <si>
    <t>Poth H S</t>
  </si>
  <si>
    <t>Poth</t>
  </si>
  <si>
    <t>Pottsboro H S</t>
  </si>
  <si>
    <t>Pottsboro</t>
  </si>
  <si>
    <t>Premont Collegiate H S</t>
  </si>
  <si>
    <t>Premont</t>
  </si>
  <si>
    <t>Presidio H S</t>
  </si>
  <si>
    <t>Presidio</t>
  </si>
  <si>
    <t>Princeton H S</t>
  </si>
  <si>
    <t>Progreso H S</t>
  </si>
  <si>
    <t>Progreso</t>
  </si>
  <si>
    <t>Prosper H S</t>
  </si>
  <si>
    <t>Quanah H S</t>
  </si>
  <si>
    <t>Quanah</t>
  </si>
  <si>
    <t>Queen City H S</t>
  </si>
  <si>
    <t>Boles H S</t>
  </si>
  <si>
    <t>Quinlan</t>
  </si>
  <si>
    <t>Wh Ford H S</t>
  </si>
  <si>
    <t>Quitman H S</t>
  </si>
  <si>
    <t>Ralls H S</t>
  </si>
  <si>
    <t>Ralls</t>
  </si>
  <si>
    <t>Ranger H S</t>
  </si>
  <si>
    <t>Ranger</t>
  </si>
  <si>
    <t>Rankin H S</t>
  </si>
  <si>
    <t>Rankin</t>
  </si>
  <si>
    <t>Raymondville H S</t>
  </si>
  <si>
    <t>Raymondville</t>
  </si>
  <si>
    <t>Life H S Waxahachie</t>
  </si>
  <si>
    <t>Red Oak H S</t>
  </si>
  <si>
    <t>Redwater H S</t>
  </si>
  <si>
    <t>Redwater</t>
  </si>
  <si>
    <t>Refugio H S</t>
  </si>
  <si>
    <t>Refugio</t>
  </si>
  <si>
    <t>Rice</t>
  </si>
  <si>
    <t>Richards H S</t>
  </si>
  <si>
    <t>Richards</t>
  </si>
  <si>
    <t>Berkner H S</t>
  </si>
  <si>
    <t>Pearce H S</t>
  </si>
  <si>
    <t>Richardson H S</t>
  </si>
  <si>
    <t>Foster H S</t>
  </si>
  <si>
    <t>George Bush H S</t>
  </si>
  <si>
    <t>George Ranch H S</t>
  </si>
  <si>
    <t>Iltexas Katy Westpark H S</t>
  </si>
  <si>
    <t>William B Travis H S</t>
  </si>
  <si>
    <t>Riesel School</t>
  </si>
  <si>
    <t>Riesel</t>
  </si>
  <si>
    <t>Preparatory For Early College H S</t>
  </si>
  <si>
    <t>Rio Grande City</t>
  </si>
  <si>
    <t>Rio Grande City Cisd Grulla H S</t>
  </si>
  <si>
    <t>Rio Grande City H S</t>
  </si>
  <si>
    <t>Rio Hondo H S</t>
  </si>
  <si>
    <t>Rio Hondo</t>
  </si>
  <si>
    <t>Rio Vista H S</t>
  </si>
  <si>
    <t>Rising Star H S</t>
  </si>
  <si>
    <t>Rising Star</t>
  </si>
  <si>
    <t>Kaufer H S</t>
  </si>
  <si>
    <t>Riviera</t>
  </si>
  <si>
    <t>Robert Lee H S</t>
  </si>
  <si>
    <t>Robert Lee</t>
  </si>
  <si>
    <t>Robinson H S</t>
  </si>
  <si>
    <t>Robstown Early College H S</t>
  </si>
  <si>
    <t>Robstown</t>
  </si>
  <si>
    <t>Roby H S</t>
  </si>
  <si>
    <t>Roby</t>
  </si>
  <si>
    <t>Rockdale H S</t>
  </si>
  <si>
    <t>Rockdale</t>
  </si>
  <si>
    <t>Rockport-Fulton H S</t>
  </si>
  <si>
    <t>Gene Burton College And Career Academy</t>
  </si>
  <si>
    <t>Rockwall H S</t>
  </si>
  <si>
    <t>Rogers H S</t>
  </si>
  <si>
    <t>Roma H S</t>
  </si>
  <si>
    <t>Roma</t>
  </si>
  <si>
    <t>Roscoe Collegiate H S</t>
  </si>
  <si>
    <t>Rosebud-Lott H S</t>
  </si>
  <si>
    <t>B F Terry H S</t>
  </si>
  <si>
    <t>Rosenberg</t>
  </si>
  <si>
    <t>Lamar Cons H S</t>
  </si>
  <si>
    <t>Rotan H S</t>
  </si>
  <si>
    <t>Rotan</t>
  </si>
  <si>
    <t>Cedar Ridge H S</t>
  </si>
  <si>
    <t>Round Rock H S</t>
  </si>
  <si>
    <t>Stony Point H S</t>
  </si>
  <si>
    <t>Rowlett H S</t>
  </si>
  <si>
    <t>Rowlett</t>
  </si>
  <si>
    <t>Royse City H S</t>
  </si>
  <si>
    <t>Royse City</t>
  </si>
  <si>
    <t>Runge H S</t>
  </si>
  <si>
    <t>Runge</t>
  </si>
  <si>
    <t>Rusk H S</t>
  </si>
  <si>
    <t>Rusk</t>
  </si>
  <si>
    <t>Sabinal H S</t>
  </si>
  <si>
    <t>Sabinal</t>
  </si>
  <si>
    <t>SacHigh Schoole H S</t>
  </si>
  <si>
    <t>Sachse</t>
  </si>
  <si>
    <t>S And S Cons H S</t>
  </si>
  <si>
    <t>Sadler</t>
  </si>
  <si>
    <t>Saginaw H S</t>
  </si>
  <si>
    <t>Saint Jo H S</t>
  </si>
  <si>
    <t>Saint Jo</t>
  </si>
  <si>
    <t>Salado H S</t>
  </si>
  <si>
    <t>Salado</t>
  </si>
  <si>
    <t>San Angelo</t>
  </si>
  <si>
    <t>Grape Creek H S</t>
  </si>
  <si>
    <t>Lake View H S</t>
  </si>
  <si>
    <t>Alamo Heights H S</t>
  </si>
  <si>
    <t>Basis San Antonio- Shavano Campus</t>
  </si>
  <si>
    <t>Brackenridge H S</t>
  </si>
  <si>
    <t>Brandeis H S</t>
  </si>
  <si>
    <t>Brennan H S</t>
  </si>
  <si>
    <t>Burbank H S</t>
  </si>
  <si>
    <t>Churchill H S</t>
  </si>
  <si>
    <t>Clark H S</t>
  </si>
  <si>
    <t>East Central H S</t>
  </si>
  <si>
    <t>Edison H S</t>
  </si>
  <si>
    <t>Fox Technical H S</t>
  </si>
  <si>
    <t>Frank L Madla Early College H S</t>
  </si>
  <si>
    <t>Great Hearts Monte Vista North</t>
  </si>
  <si>
    <t>Harlan H S</t>
  </si>
  <si>
    <t>Harlandale H S</t>
  </si>
  <si>
    <t>Harlandale Isd Stem EcHigh School-Alamo Colleges At Pac</t>
  </si>
  <si>
    <t>Harmony Science Academy (San Antonio)</t>
  </si>
  <si>
    <t>Health Careers H S</t>
  </si>
  <si>
    <t>Henry Ford Academy Alameda School For Art + Design</t>
  </si>
  <si>
    <t>High Schoollands H S</t>
  </si>
  <si>
    <t>Holmes H S</t>
  </si>
  <si>
    <t>Houston H S</t>
  </si>
  <si>
    <t>Idea Carver College Preparatory</t>
  </si>
  <si>
    <t>International School Of America</t>
  </si>
  <si>
    <t>Jay H S</t>
  </si>
  <si>
    <t>John F Kennedy H S</t>
  </si>
  <si>
    <t>Johnson H S</t>
  </si>
  <si>
    <t>Karen Wagner H S</t>
  </si>
  <si>
    <t>Kipp University Prep H S</t>
  </si>
  <si>
    <t>Legacy Of Educational Excellence H S</t>
  </si>
  <si>
    <t>Mccollum H S</t>
  </si>
  <si>
    <t>Milton B Lee Academy Of Science &amp; Engineering</t>
  </si>
  <si>
    <t>Robert G Cole Middle/High School</t>
  </si>
  <si>
    <t>School Of Science And Technology</t>
  </si>
  <si>
    <t>South San Antonio H S</t>
  </si>
  <si>
    <t>SoutHigh Schoolide H S</t>
  </si>
  <si>
    <t>Southwest Legacy H S</t>
  </si>
  <si>
    <t>St Philip'S College Early College H S With Saisd</t>
  </si>
  <si>
    <t>Stevens H S</t>
  </si>
  <si>
    <t>Taft H S</t>
  </si>
  <si>
    <t>Travis Early College H S</t>
  </si>
  <si>
    <t>Virginia Allred Stacey Jr/Sr H S</t>
  </si>
  <si>
    <t>Warren H S</t>
  </si>
  <si>
    <t>San Augustine H S</t>
  </si>
  <si>
    <t>San Augustine</t>
  </si>
  <si>
    <t>Idea College Preparatory San Benito</t>
  </si>
  <si>
    <t>San Benito</t>
  </si>
  <si>
    <t>San Benito H S</t>
  </si>
  <si>
    <t>San Diego H S</t>
  </si>
  <si>
    <t>San Elizario H S</t>
  </si>
  <si>
    <t>San Elizario</t>
  </si>
  <si>
    <t>San Isidro H S</t>
  </si>
  <si>
    <t>San Isidro</t>
  </si>
  <si>
    <t>Idea College Preparatory San Juan</t>
  </si>
  <si>
    <t>San Juan</t>
  </si>
  <si>
    <t>Psja Early College H S</t>
  </si>
  <si>
    <t>San Marcos H S</t>
  </si>
  <si>
    <t>San Perlita H S</t>
  </si>
  <si>
    <t>San Perlita</t>
  </si>
  <si>
    <t>San Saba H S</t>
  </si>
  <si>
    <t>San Saba</t>
  </si>
  <si>
    <t>Sanger H S</t>
  </si>
  <si>
    <t>Santa Anna Secondary</t>
  </si>
  <si>
    <t>Santa Anna</t>
  </si>
  <si>
    <t>Santa Fe H S</t>
  </si>
  <si>
    <t>Santa Maria H S</t>
  </si>
  <si>
    <t>Santa Rosa H S</t>
  </si>
  <si>
    <t>Santo H S</t>
  </si>
  <si>
    <t>Santo</t>
  </si>
  <si>
    <t>West Hardin H S</t>
  </si>
  <si>
    <t>Savoy H S</t>
  </si>
  <si>
    <t>Savoy</t>
  </si>
  <si>
    <t>Byron P Steele Ii H S</t>
  </si>
  <si>
    <t>Schertz</t>
  </si>
  <si>
    <t>Samuel Clemens H S</t>
  </si>
  <si>
    <t>Schulenburg Secondary</t>
  </si>
  <si>
    <t>Schulenburg</t>
  </si>
  <si>
    <t>Scurry-Rosser H S</t>
  </si>
  <si>
    <t>Scurry</t>
  </si>
  <si>
    <t>Sealy H S</t>
  </si>
  <si>
    <t>Sealy</t>
  </si>
  <si>
    <t>Navarro H S</t>
  </si>
  <si>
    <t>Seguin</t>
  </si>
  <si>
    <t>Seminole H S</t>
  </si>
  <si>
    <t>Seymour H S</t>
  </si>
  <si>
    <t>Shallowater H S</t>
  </si>
  <si>
    <t>Shamrock H S</t>
  </si>
  <si>
    <t>Shamrock</t>
  </si>
  <si>
    <t>Shepherd H S</t>
  </si>
  <si>
    <t>Sherman H S</t>
  </si>
  <si>
    <t>Shiner H S</t>
  </si>
  <si>
    <t>Shiner</t>
  </si>
  <si>
    <t>Silsbee H S</t>
  </si>
  <si>
    <t>Silsbee</t>
  </si>
  <si>
    <t>James Bowie H S</t>
  </si>
  <si>
    <t>Sinton H S</t>
  </si>
  <si>
    <t>Sinton</t>
  </si>
  <si>
    <t>Skidmore-Tynan H S</t>
  </si>
  <si>
    <t>Skidmore</t>
  </si>
  <si>
    <t>Slaton H S</t>
  </si>
  <si>
    <t>Slaton</t>
  </si>
  <si>
    <t>Smithville H S</t>
  </si>
  <si>
    <t>Smyer H S</t>
  </si>
  <si>
    <t>Smyer</t>
  </si>
  <si>
    <t>Snook Secondary</t>
  </si>
  <si>
    <t>Snook</t>
  </si>
  <si>
    <t>Snyder H S</t>
  </si>
  <si>
    <t>South Houston High School</t>
  </si>
  <si>
    <t>So Houston</t>
  </si>
  <si>
    <t>Shirleen Zacharias Early Clge Leadership Academy</t>
  </si>
  <si>
    <t>Somerset H S</t>
  </si>
  <si>
    <t>Somerville H S</t>
  </si>
  <si>
    <t>Sonora H S</t>
  </si>
  <si>
    <t>Hardin-Jefferson H S</t>
  </si>
  <si>
    <t>Sour Lake</t>
  </si>
  <si>
    <t>Carroll Senior H S</t>
  </si>
  <si>
    <t>Spearman H S</t>
  </si>
  <si>
    <t>Spearman</t>
  </si>
  <si>
    <t>Splendora H S</t>
  </si>
  <si>
    <t>Splendora</t>
  </si>
  <si>
    <t>Carl Wunsche Sr H S</t>
  </si>
  <si>
    <t>Spring</t>
  </si>
  <si>
    <t>Klein Collins H S</t>
  </si>
  <si>
    <t>Klein Oak H S</t>
  </si>
  <si>
    <t>Springtown H S</t>
  </si>
  <si>
    <t>Springtown</t>
  </si>
  <si>
    <t>Spurger H S</t>
  </si>
  <si>
    <t>Spurger</t>
  </si>
  <si>
    <t>Stafford H S</t>
  </si>
  <si>
    <t>Stamford H S</t>
  </si>
  <si>
    <t>Stanton H S</t>
  </si>
  <si>
    <t>Stephenville H S</t>
  </si>
  <si>
    <t>Stephenville</t>
  </si>
  <si>
    <t>West Texas H S</t>
  </si>
  <si>
    <t>Stinnett</t>
  </si>
  <si>
    <t>Stockdale H S</t>
  </si>
  <si>
    <t>Stockdale</t>
  </si>
  <si>
    <t>Sudan H S</t>
  </si>
  <si>
    <t>Sudan</t>
  </si>
  <si>
    <t>Clements H S</t>
  </si>
  <si>
    <t>Dulles H S</t>
  </si>
  <si>
    <t>Kempner H S</t>
  </si>
  <si>
    <t>Stephen F Austin H S</t>
  </si>
  <si>
    <t>North Hopkins H S</t>
  </si>
  <si>
    <t>Sulphur Springs H S</t>
  </si>
  <si>
    <t>Sundown H S</t>
  </si>
  <si>
    <t>Sundown</t>
  </si>
  <si>
    <t>Sunnyvale H S</t>
  </si>
  <si>
    <t>Sunray H S</t>
  </si>
  <si>
    <t>Sunray</t>
  </si>
  <si>
    <t>Sweeny H S</t>
  </si>
  <si>
    <t>Sweeny</t>
  </si>
  <si>
    <t>Sweetwater H S</t>
  </si>
  <si>
    <t>Tahoka H S</t>
  </si>
  <si>
    <t>Tahoka</t>
  </si>
  <si>
    <t>Tatum H S</t>
  </si>
  <si>
    <t>Legacy Early College H S</t>
  </si>
  <si>
    <t>Teague H S</t>
  </si>
  <si>
    <t>Teague</t>
  </si>
  <si>
    <t>Temple H S</t>
  </si>
  <si>
    <t>Terrell H S</t>
  </si>
  <si>
    <t>Terrell</t>
  </si>
  <si>
    <t>Liberty-Eylau H S</t>
  </si>
  <si>
    <t>Pleasant Grove H S</t>
  </si>
  <si>
    <t>Texas H S</t>
  </si>
  <si>
    <t>Texas City H S</t>
  </si>
  <si>
    <t>Texas City</t>
  </si>
  <si>
    <t>The Colony H S</t>
  </si>
  <si>
    <t>College Park H S</t>
  </si>
  <si>
    <t>The Woodlands</t>
  </si>
  <si>
    <t>The Woodlands H S</t>
  </si>
  <si>
    <t>Thorndale H S</t>
  </si>
  <si>
    <t>Thorndale</t>
  </si>
  <si>
    <t>Thrall H S</t>
  </si>
  <si>
    <t>Thrall</t>
  </si>
  <si>
    <t>Three Rivers Jr/Sr H S</t>
  </si>
  <si>
    <t>Austwell-Tivoli H S</t>
  </si>
  <si>
    <t>Tivoli</t>
  </si>
  <si>
    <t>Tolar H S</t>
  </si>
  <si>
    <t>Tolar</t>
  </si>
  <si>
    <t>Tom Bean H S</t>
  </si>
  <si>
    <t>Tom Bean</t>
  </si>
  <si>
    <t>Tomball H S</t>
  </si>
  <si>
    <t>Tomball Memorial H S</t>
  </si>
  <si>
    <t>Tornillo H S</t>
  </si>
  <si>
    <t>Tornillo</t>
  </si>
  <si>
    <t>Trenton H S</t>
  </si>
  <si>
    <t>Byron Nelson H S</t>
  </si>
  <si>
    <t>Trophy Club</t>
  </si>
  <si>
    <t>Troup H S</t>
  </si>
  <si>
    <t>Troup</t>
  </si>
  <si>
    <t>Troy H S</t>
  </si>
  <si>
    <t>Tulia H S</t>
  </si>
  <si>
    <t>Tulia</t>
  </si>
  <si>
    <t>Jim Ned H S</t>
  </si>
  <si>
    <t>Cumberland H S</t>
  </si>
  <si>
    <t>John Tyler H S</t>
  </si>
  <si>
    <t>Robert E Lee H S</t>
  </si>
  <si>
    <t>Tyler Isd Early College H S</t>
  </si>
  <si>
    <t>Randolph H S</t>
  </si>
  <si>
    <t>Universal City</t>
  </si>
  <si>
    <t>Uvalde H S</t>
  </si>
  <si>
    <t>Uvalde</t>
  </si>
  <si>
    <t>Valley Mills H S</t>
  </si>
  <si>
    <t>Valley Mills</t>
  </si>
  <si>
    <t>Valley View</t>
  </si>
  <si>
    <t>Van H S</t>
  </si>
  <si>
    <t>Van</t>
  </si>
  <si>
    <t>Van Alstyne H S</t>
  </si>
  <si>
    <t>Van Alstyne</t>
  </si>
  <si>
    <t>Van Vleck H S</t>
  </si>
  <si>
    <t>Van Vleck</t>
  </si>
  <si>
    <t>Industrial H S</t>
  </si>
  <si>
    <t>Vanderbilt</t>
  </si>
  <si>
    <t>Vega H S</t>
  </si>
  <si>
    <t>Vega</t>
  </si>
  <si>
    <t>Venus H S</t>
  </si>
  <si>
    <t>Venus</t>
  </si>
  <si>
    <t>Veribest H S</t>
  </si>
  <si>
    <t>Veribest</t>
  </si>
  <si>
    <t>Vernon H S</t>
  </si>
  <si>
    <t>Victoria East H S</t>
  </si>
  <si>
    <t>Victoria West H S</t>
  </si>
  <si>
    <t>Vidor H S</t>
  </si>
  <si>
    <t>Vidor</t>
  </si>
  <si>
    <t>Bosqueville H S</t>
  </si>
  <si>
    <t>Connally High School</t>
  </si>
  <si>
    <t>La Vega H S</t>
  </si>
  <si>
    <t>Midway H S</t>
  </si>
  <si>
    <t>Paul And Jane Meyer Public H S</t>
  </si>
  <si>
    <t>University H S</t>
  </si>
  <si>
    <t>Waco H S</t>
  </si>
  <si>
    <t>Wall H S</t>
  </si>
  <si>
    <t>Brazos H S</t>
  </si>
  <si>
    <t>Wallis</t>
  </si>
  <si>
    <t>Waskom H S</t>
  </si>
  <si>
    <t>Waskom</t>
  </si>
  <si>
    <t>San Angelo State School</t>
  </si>
  <si>
    <t>Water Valley H S</t>
  </si>
  <si>
    <t>Waxahachie Global H S</t>
  </si>
  <si>
    <t>Waxahachie H S</t>
  </si>
  <si>
    <t>Weatherford H S</t>
  </si>
  <si>
    <t>Clear View H S</t>
  </si>
  <si>
    <t>Weimar H S</t>
  </si>
  <si>
    <t>Weimar</t>
  </si>
  <si>
    <t>Wellington H S</t>
  </si>
  <si>
    <t>Wells H S</t>
  </si>
  <si>
    <t>Idea College Prep Weslaco</t>
  </si>
  <si>
    <t>Weslaco</t>
  </si>
  <si>
    <t>Weslaco 21St Century Cte Early College H S</t>
  </si>
  <si>
    <t>Weslaco East H S</t>
  </si>
  <si>
    <t>Weslaco H S</t>
  </si>
  <si>
    <t>West H S</t>
  </si>
  <si>
    <t>West</t>
  </si>
  <si>
    <t>Columbia H S</t>
  </si>
  <si>
    <t>Wharton H S</t>
  </si>
  <si>
    <t>Wharton</t>
  </si>
  <si>
    <t>White Deer H S</t>
  </si>
  <si>
    <t>White Deer</t>
  </si>
  <si>
    <t>White Oak H S</t>
  </si>
  <si>
    <t>White Oak</t>
  </si>
  <si>
    <t>Whitehouse H S</t>
  </si>
  <si>
    <t>Whitesboro H S</t>
  </si>
  <si>
    <t>Whitewright H S</t>
  </si>
  <si>
    <t>Whitewright</t>
  </si>
  <si>
    <t>Whitney H S</t>
  </si>
  <si>
    <t>Whitney</t>
  </si>
  <si>
    <t>City View Junior/Senior High School</t>
  </si>
  <si>
    <t>Wichita Falls</t>
  </si>
  <si>
    <t>Hirschi H S</t>
  </si>
  <si>
    <t>Rider H S</t>
  </si>
  <si>
    <t>Wichita Falls H S</t>
  </si>
  <si>
    <t>Willis H S</t>
  </si>
  <si>
    <t>Willis</t>
  </si>
  <si>
    <t>Wills Point H S</t>
  </si>
  <si>
    <t>Wills Point</t>
  </si>
  <si>
    <t>Wimberley H S</t>
  </si>
  <si>
    <t>Wimberley</t>
  </si>
  <si>
    <t>Windthorst H S</t>
  </si>
  <si>
    <t>Windthorst</t>
  </si>
  <si>
    <t>Wink H S</t>
  </si>
  <si>
    <t>Wink</t>
  </si>
  <si>
    <t>East Chambers H S</t>
  </si>
  <si>
    <t>Winnie</t>
  </si>
  <si>
    <t>Winnsboro H S</t>
  </si>
  <si>
    <t>Winona H S</t>
  </si>
  <si>
    <t>Winters H S</t>
  </si>
  <si>
    <t>Woden H S</t>
  </si>
  <si>
    <t>Woden</t>
  </si>
  <si>
    <t>Wolfe City H S</t>
  </si>
  <si>
    <t>Wolfe City</t>
  </si>
  <si>
    <t>Frenship H S</t>
  </si>
  <si>
    <t>Wolfforth</t>
  </si>
  <si>
    <t>Woodsboro H S</t>
  </si>
  <si>
    <t>Woodsboro</t>
  </si>
  <si>
    <t>Woodville H S</t>
  </si>
  <si>
    <t>Wortham H S</t>
  </si>
  <si>
    <t>Wortham</t>
  </si>
  <si>
    <t>Wylie East H S</t>
  </si>
  <si>
    <t>Yantis School</t>
  </si>
  <si>
    <t>Yantis</t>
  </si>
  <si>
    <t>Yoakum H S</t>
  </si>
  <si>
    <t>Yoakum</t>
  </si>
  <si>
    <t>Yorktown H S</t>
  </si>
  <si>
    <t>Zapata H S</t>
  </si>
  <si>
    <t>Zapata</t>
  </si>
  <si>
    <t>Zavalla H S</t>
  </si>
  <si>
    <t>Zavalla</t>
  </si>
  <si>
    <t>American Fork High School</t>
  </si>
  <si>
    <t>Big Water High School</t>
  </si>
  <si>
    <t>Big Water</t>
  </si>
  <si>
    <t>Blanding</t>
  </si>
  <si>
    <t>Summit Academy High School</t>
  </si>
  <si>
    <t>Bluffdale</t>
  </si>
  <si>
    <t>Bountiful High School</t>
  </si>
  <si>
    <t>Viewmont High School</t>
  </si>
  <si>
    <t>Brigham City</t>
  </si>
  <si>
    <t>Emery High School</t>
  </si>
  <si>
    <t>Castle Dale</t>
  </si>
  <si>
    <t>Cedar City High School</t>
  </si>
  <si>
    <t>Success Suu</t>
  </si>
  <si>
    <t>Clearfield High School</t>
  </si>
  <si>
    <t>Leadership Academy Of Utah</t>
  </si>
  <si>
    <t>North Summit High School</t>
  </si>
  <si>
    <t>Coalville</t>
  </si>
  <si>
    <t>American Preparatory Academy - Draper #3</t>
  </si>
  <si>
    <t>Draper</t>
  </si>
  <si>
    <t>Corner Canyon High School</t>
  </si>
  <si>
    <t>Duchesne</t>
  </si>
  <si>
    <t>Rockwell Charter High School</t>
  </si>
  <si>
    <t>Eagle Mountain</t>
  </si>
  <si>
    <t>Escalante High School</t>
  </si>
  <si>
    <t>Escalante</t>
  </si>
  <si>
    <t>Eskdale High School</t>
  </si>
  <si>
    <t>Eskdale</t>
  </si>
  <si>
    <t>Tintic High School</t>
  </si>
  <si>
    <t>Millard High School</t>
  </si>
  <si>
    <t>Grantsville High School</t>
  </si>
  <si>
    <t>Grantsville</t>
  </si>
  <si>
    <t>Green River High School</t>
  </si>
  <si>
    <t>Green River</t>
  </si>
  <si>
    <t>Gunnison Valley High School</t>
  </si>
  <si>
    <t>Wasatch High School</t>
  </si>
  <si>
    <t>Heber City</t>
  </si>
  <si>
    <t>Herriman High School</t>
  </si>
  <si>
    <t>Herriman</t>
  </si>
  <si>
    <t>Real Salt Lake Academy High School</t>
  </si>
  <si>
    <t>Water Canyon High School</t>
  </si>
  <si>
    <t>Hildale</t>
  </si>
  <si>
    <t>Hurricane High School</t>
  </si>
  <si>
    <t>Hurricane</t>
  </si>
  <si>
    <t>Mountain Crest High School</t>
  </si>
  <si>
    <t>Hyrum</t>
  </si>
  <si>
    <t>Tuacahn High School For The Performing Arts</t>
  </si>
  <si>
    <t>Ivins</t>
  </si>
  <si>
    <t>Piute High School</t>
  </si>
  <si>
    <t>Silver Summit Academy</t>
  </si>
  <si>
    <t>Kamas</t>
  </si>
  <si>
    <t>South Summit High School</t>
  </si>
  <si>
    <t>Kanab High School</t>
  </si>
  <si>
    <t>Kanab</t>
  </si>
  <si>
    <t>Kaysville</t>
  </si>
  <si>
    <t>Utah Career Path High School</t>
  </si>
  <si>
    <t>Kearns High School</t>
  </si>
  <si>
    <t>Kearns</t>
  </si>
  <si>
    <t>Lake Powell High School</t>
  </si>
  <si>
    <t>Lake Powell</t>
  </si>
  <si>
    <t>Layton High School</t>
  </si>
  <si>
    <t>No. Ut. Academy. For Math Engineering &amp; Science</t>
  </si>
  <si>
    <t>Lehi High School</t>
  </si>
  <si>
    <t>Skyridge High School</t>
  </si>
  <si>
    <t>Utah Military Academy - Camp Williams</t>
  </si>
  <si>
    <t>Karl G. Maeser Preparatory Academy</t>
  </si>
  <si>
    <t>Lindon</t>
  </si>
  <si>
    <t>Cyprus High School</t>
  </si>
  <si>
    <t>Magna</t>
  </si>
  <si>
    <t>Manti High School</t>
  </si>
  <si>
    <t>Ridgeline High School</t>
  </si>
  <si>
    <t>Grand County High School</t>
  </si>
  <si>
    <t>Moab</t>
  </si>
  <si>
    <t>South Sevier High School</t>
  </si>
  <si>
    <t>Whitehorse High School</t>
  </si>
  <si>
    <t>Montezuma Creek</t>
  </si>
  <si>
    <t>Monument Valley</t>
  </si>
  <si>
    <t>North Sanpete High School</t>
  </si>
  <si>
    <t>Juab High School</t>
  </si>
  <si>
    <t>Nephi</t>
  </si>
  <si>
    <t>Green Canyon High School</t>
  </si>
  <si>
    <t>North Logan</t>
  </si>
  <si>
    <t>Intech Collegiate High School</t>
  </si>
  <si>
    <t>Ben Lomond High School</t>
  </si>
  <si>
    <t>No. Ut. Academy. Of Math Engineering &amp; Science Ogden</t>
  </si>
  <si>
    <t>Weber High School</t>
  </si>
  <si>
    <t>Weber Innovation High School</t>
  </si>
  <si>
    <t>Orderville</t>
  </si>
  <si>
    <t>East Shore Online</t>
  </si>
  <si>
    <t>Orem High School</t>
  </si>
  <si>
    <t>Timpanogos High School</t>
  </si>
  <si>
    <t>Utah County Academy Of Science</t>
  </si>
  <si>
    <t>Panguitch High School</t>
  </si>
  <si>
    <t>Panguitch</t>
  </si>
  <si>
    <t>Winter Sports School</t>
  </si>
  <si>
    <t>Parowan High School</t>
  </si>
  <si>
    <t>Parowan</t>
  </si>
  <si>
    <t>Capstone Classical Academy</t>
  </si>
  <si>
    <t>Carbon High School</t>
  </si>
  <si>
    <t>Provo High School</t>
  </si>
  <si>
    <t>Timpview High School</t>
  </si>
  <si>
    <t>Rich High School</t>
  </si>
  <si>
    <t>Richfield High School</t>
  </si>
  <si>
    <t>Utah Military Academy</t>
  </si>
  <si>
    <t>St. George Academy</t>
  </si>
  <si>
    <t>Utah Online 7-12</t>
  </si>
  <si>
    <t>Salem Hills High School</t>
  </si>
  <si>
    <t>North Sevier High School</t>
  </si>
  <si>
    <t>Academy For Math Engineering &amp; Science</t>
  </si>
  <si>
    <t>Cottonwood High School</t>
  </si>
  <si>
    <t>Innovations High School</t>
  </si>
  <si>
    <t>Olympus High School</t>
  </si>
  <si>
    <t>Salt Lake Center For Science Education</t>
  </si>
  <si>
    <t>Salt Lake School For The Performing Arts</t>
  </si>
  <si>
    <t>Alta High School</t>
  </si>
  <si>
    <t>Beehive Science &amp; Technology Academy</t>
  </si>
  <si>
    <t>Sky View High School</t>
  </si>
  <si>
    <t>American Academy Of Innovation</t>
  </si>
  <si>
    <t>Bingham High School</t>
  </si>
  <si>
    <t>Paradigm High School</t>
  </si>
  <si>
    <t>Utah International Charter School</t>
  </si>
  <si>
    <t>South Salt Lake</t>
  </si>
  <si>
    <t>Maple Mountain High School</t>
  </si>
  <si>
    <t>Spanish Fork High School</t>
  </si>
  <si>
    <t>Merit College Preparatory Academy</t>
  </si>
  <si>
    <t>Pine View High School</t>
  </si>
  <si>
    <t>Snow Canyon High School</t>
  </si>
  <si>
    <t>Success Dsu</t>
  </si>
  <si>
    <t>Stansbury High School</t>
  </si>
  <si>
    <t>Stansbury Park</t>
  </si>
  <si>
    <t>Tabiona High School</t>
  </si>
  <si>
    <t>Tabiona</t>
  </si>
  <si>
    <t>Taylorsville High School</t>
  </si>
  <si>
    <t>Navajo Mountain High School</t>
  </si>
  <si>
    <t>Tonalea</t>
  </si>
  <si>
    <t>Tooele Community Learning Center</t>
  </si>
  <si>
    <t>Tooele</t>
  </si>
  <si>
    <t>Tooele High School</t>
  </si>
  <si>
    <t>Bryce Valley High School</t>
  </si>
  <si>
    <t>Tropic</t>
  </si>
  <si>
    <t>West Desert High School</t>
  </si>
  <si>
    <t>Trout Creek</t>
  </si>
  <si>
    <t>Uintah High School</t>
  </si>
  <si>
    <t>Wendover High School</t>
  </si>
  <si>
    <t>Copper Hills High School</t>
  </si>
  <si>
    <t>West Jordan</t>
  </si>
  <si>
    <t>Itineris Early College High School</t>
  </si>
  <si>
    <t>Mountain Heights Academy</t>
  </si>
  <si>
    <t>West Jordan High School</t>
  </si>
  <si>
    <t>East Hollywood High School</t>
  </si>
  <si>
    <t>West Valley City</t>
  </si>
  <si>
    <t>Granger High School</t>
  </si>
  <si>
    <t>Hunter High School</t>
  </si>
  <si>
    <t>Roots Charter High School</t>
  </si>
  <si>
    <t>Vanguard Academy</t>
  </si>
  <si>
    <t>Woods Cross High School</t>
  </si>
  <si>
    <t>Arlington Memorial</t>
  </si>
  <si>
    <t>Spaulding UHigh Schoold #41</t>
  </si>
  <si>
    <t>Bellows Falls UHigh Schoold #27</t>
  </si>
  <si>
    <t>Bellows Falls</t>
  </si>
  <si>
    <t>Mt. Anthony Senior UHigh Schoold #14</t>
  </si>
  <si>
    <t>Oxbow UHigh Schoold #30</t>
  </si>
  <si>
    <t>Otter Valley Union High School</t>
  </si>
  <si>
    <t>Brattleboro Senior UHigh Schoold #6</t>
  </si>
  <si>
    <t>Brattleboro</t>
  </si>
  <si>
    <t>Mt. Abraham Union High School #61</t>
  </si>
  <si>
    <t>Burlington Senior High School</t>
  </si>
  <si>
    <t>Green Mountain Union High School</t>
  </si>
  <si>
    <t>Colchester High School</t>
  </si>
  <si>
    <t>Enosburg Falls Junior/Senior High School</t>
  </si>
  <si>
    <t>Enosburg Falls</t>
  </si>
  <si>
    <t>Essex High School</t>
  </si>
  <si>
    <t>Essex Junction</t>
  </si>
  <si>
    <t>Fair Haven Union High School</t>
  </si>
  <si>
    <t>Bfa Middle/High School ? Fairfax</t>
  </si>
  <si>
    <t>Hazen UHigh Schoold # 26</t>
  </si>
  <si>
    <t>Hardwick</t>
  </si>
  <si>
    <t>Champlain Valley Union High School</t>
  </si>
  <si>
    <t>Hinesburg</t>
  </si>
  <si>
    <t>Lamoille Union High School</t>
  </si>
  <si>
    <t>Mt Mansfield Union High School</t>
  </si>
  <si>
    <t>Middlebury Union High School</t>
  </si>
  <si>
    <t>Milton Senior High School</t>
  </si>
  <si>
    <t>U-32 High School (UHigh Schoold #32)</t>
  </si>
  <si>
    <t>Harwood Union High School</t>
  </si>
  <si>
    <t>Moretown</t>
  </si>
  <si>
    <t>Peoples Academy</t>
  </si>
  <si>
    <t>North Country Senior UHigh Schoold #22</t>
  </si>
  <si>
    <t>Mill River Union High School</t>
  </si>
  <si>
    <t>North Clarendon</t>
  </si>
  <si>
    <t>Northfield Middle/High School</t>
  </si>
  <si>
    <t>Rivendell Academy</t>
  </si>
  <si>
    <t>Orford</t>
  </si>
  <si>
    <t>Lake Region UHigh Schoold #24</t>
  </si>
  <si>
    <t>Poultney High School</t>
  </si>
  <si>
    <t>Poultney</t>
  </si>
  <si>
    <t>Proctor Junior/Senior High School</t>
  </si>
  <si>
    <t>Randolph Union High School</t>
  </si>
  <si>
    <t>Richford Junior/Senior High School</t>
  </si>
  <si>
    <t>Richford</t>
  </si>
  <si>
    <t>Rutland Senior High School</t>
  </si>
  <si>
    <t>Bellows Free Academy UHigh Schoold #48</t>
  </si>
  <si>
    <t>South Burlington High School</t>
  </si>
  <si>
    <t>South Royalton</t>
  </si>
  <si>
    <t>Stowe Middle/High School</t>
  </si>
  <si>
    <t>Stowe</t>
  </si>
  <si>
    <t>Missisquoi Valley UHigh Schoold #7</t>
  </si>
  <si>
    <t>Leland &amp; Gray UHigh Schoold #34</t>
  </si>
  <si>
    <t>Townshend</t>
  </si>
  <si>
    <t>Vergennes Union High School</t>
  </si>
  <si>
    <t>Vergennes</t>
  </si>
  <si>
    <t>White River Junction</t>
  </si>
  <si>
    <t>Twin Valley Middle High School</t>
  </si>
  <si>
    <t>Whitingham</t>
  </si>
  <si>
    <t>Williamstown Middle/High School</t>
  </si>
  <si>
    <t>Winooski High School</t>
  </si>
  <si>
    <t>Winooski</t>
  </si>
  <si>
    <t>Woodstock Union Middle/High School</t>
  </si>
  <si>
    <t>Abingdon High School</t>
  </si>
  <si>
    <t>John Champe High School</t>
  </si>
  <si>
    <t>Aldie</t>
  </si>
  <si>
    <t>Tc Williams High School</t>
  </si>
  <si>
    <t>West Potomac High School</t>
  </si>
  <si>
    <t>Altavista High School</t>
  </si>
  <si>
    <t>Altavista</t>
  </si>
  <si>
    <t>Amelia County High School</t>
  </si>
  <si>
    <t>Amherst County High School</t>
  </si>
  <si>
    <t>Annandale High School</t>
  </si>
  <si>
    <t>Appomattox County High School</t>
  </si>
  <si>
    <t>Appomattox</t>
  </si>
  <si>
    <t>Arlington Community High School</t>
  </si>
  <si>
    <t>Washington Lee High School</t>
  </si>
  <si>
    <t>Briar Woods High School</t>
  </si>
  <si>
    <t>Broad Run High School</t>
  </si>
  <si>
    <t>Stone Bridge High School</t>
  </si>
  <si>
    <t>Bassett High School</t>
  </si>
  <si>
    <t>Bealeton</t>
  </si>
  <si>
    <t>Big Stone Gap</t>
  </si>
  <si>
    <t>Turner Ashby High School</t>
  </si>
  <si>
    <t>John S. Battle High School</t>
  </si>
  <si>
    <t>Virginia High School</t>
  </si>
  <si>
    <t>Broadway High School</t>
  </si>
  <si>
    <t>Broadway</t>
  </si>
  <si>
    <t>James River High School</t>
  </si>
  <si>
    <t>Buckingham County High School</t>
  </si>
  <si>
    <t>Buckingham</t>
  </si>
  <si>
    <t>Parry Mccluer High School</t>
  </si>
  <si>
    <t>Lake Braddock Secondary</t>
  </si>
  <si>
    <t>Castlewood High School</t>
  </si>
  <si>
    <t>Chantilly High School</t>
  </si>
  <si>
    <t>Chantilly</t>
  </si>
  <si>
    <t>Charles City Co High School</t>
  </si>
  <si>
    <t>Randolph-Henry High School</t>
  </si>
  <si>
    <t>Charlotte C H</t>
  </si>
  <si>
    <t>Charlottesville High School</t>
  </si>
  <si>
    <t>Deep Creek High School</t>
  </si>
  <si>
    <t>Grassfield High School</t>
  </si>
  <si>
    <t>Great Bridge High School</t>
  </si>
  <si>
    <t>Oscar F Smith High School</t>
  </si>
  <si>
    <t>Western Branch High School</t>
  </si>
  <si>
    <t>Thomas Dale High School</t>
  </si>
  <si>
    <t>Lloyd C Bird High School</t>
  </si>
  <si>
    <t>Matoaca High School</t>
  </si>
  <si>
    <t>Chilhowie High School</t>
  </si>
  <si>
    <t>Chilhowie</t>
  </si>
  <si>
    <t>Chincoteague High School</t>
  </si>
  <si>
    <t>Chincoteague</t>
  </si>
  <si>
    <t>Christiansburg High School</t>
  </si>
  <si>
    <t>Christiansburg</t>
  </si>
  <si>
    <t>Centreville High School</t>
  </si>
  <si>
    <t>Clintwood</t>
  </si>
  <si>
    <t>Coeburn</t>
  </si>
  <si>
    <t>Colonial Beach High School</t>
  </si>
  <si>
    <t>Colonial Beach</t>
  </si>
  <si>
    <t>Colonial Heights High School</t>
  </si>
  <si>
    <t>Colonial Heights</t>
  </si>
  <si>
    <t>Nottoway High School</t>
  </si>
  <si>
    <t>Crewe</t>
  </si>
  <si>
    <t>Western Albemarle High School</t>
  </si>
  <si>
    <t>Crozet</t>
  </si>
  <si>
    <t>Culpeper County High School</t>
  </si>
  <si>
    <t>Culpeper</t>
  </si>
  <si>
    <t>Eastern View High School</t>
  </si>
  <si>
    <t>Lord Botetourt High School</t>
  </si>
  <si>
    <t>Holston High School</t>
  </si>
  <si>
    <t>Galileo Magnet High School</t>
  </si>
  <si>
    <t>Surry County High School</t>
  </si>
  <si>
    <t>Dendron</t>
  </si>
  <si>
    <t>Dinwiddie High School</t>
  </si>
  <si>
    <t>Dinwiddie</t>
  </si>
  <si>
    <t>Tunstall High School</t>
  </si>
  <si>
    <t>Dry Fork</t>
  </si>
  <si>
    <t>Pulaski County Sr. High School</t>
  </si>
  <si>
    <t>Rye Cove High School</t>
  </si>
  <si>
    <t>Duffield</t>
  </si>
  <si>
    <t>Dumfries</t>
  </si>
  <si>
    <t>Eastville</t>
  </si>
  <si>
    <t>East Rockingham High School</t>
  </si>
  <si>
    <t>Eastern Montgomery High School</t>
  </si>
  <si>
    <t>Elliston</t>
  </si>
  <si>
    <t>Greensville County High School</t>
  </si>
  <si>
    <t>Thomas Walker High School</t>
  </si>
  <si>
    <t>Robinson Secondary</t>
  </si>
  <si>
    <t>Woodson High School</t>
  </si>
  <si>
    <t>Falls Church High School</t>
  </si>
  <si>
    <t>Falls Church</t>
  </si>
  <si>
    <t>George Mason High School</t>
  </si>
  <si>
    <t>Justice High School</t>
  </si>
  <si>
    <t>Prince Edward County High School</t>
  </si>
  <si>
    <t>Wilson Memorial High School</t>
  </si>
  <si>
    <t>Fishersville</t>
  </si>
  <si>
    <t>Floyd County High School</t>
  </si>
  <si>
    <t>Jefferson Forest High School</t>
  </si>
  <si>
    <t>Ft Defiance High School</t>
  </si>
  <si>
    <t>Chancellor High School</t>
  </si>
  <si>
    <t>Massaponax High School</t>
  </si>
  <si>
    <t>Stafford Sr. High School</t>
  </si>
  <si>
    <t>Front Royal</t>
  </si>
  <si>
    <t>Galax High School</t>
  </si>
  <si>
    <t>Galax</t>
  </si>
  <si>
    <t>Gate City High School</t>
  </si>
  <si>
    <t>Glade Spring</t>
  </si>
  <si>
    <t>Deep Run High School</t>
  </si>
  <si>
    <t>Glen Allen</t>
  </si>
  <si>
    <t>Glen Allen High School</t>
  </si>
  <si>
    <t>Goochland High School</t>
  </si>
  <si>
    <t>Goochland</t>
  </si>
  <si>
    <t>Grundy High School</t>
  </si>
  <si>
    <t>Kecoughtan High School</t>
  </si>
  <si>
    <t>Phoebus High School</t>
  </si>
  <si>
    <t>Harrisonburg High School</t>
  </si>
  <si>
    <t>Battlefield High School</t>
  </si>
  <si>
    <t>Haymarket</t>
  </si>
  <si>
    <t>Northumberland High School</t>
  </si>
  <si>
    <t>Heathsville</t>
  </si>
  <si>
    <t>Douglas S. Freeman High School</t>
  </si>
  <si>
    <t>Herndon High School</t>
  </si>
  <si>
    <t>High Schoolland Springs High School</t>
  </si>
  <si>
    <t>Highland Springs</t>
  </si>
  <si>
    <t>Hillsville</t>
  </si>
  <si>
    <t>Council High School</t>
  </si>
  <si>
    <t>Honaker</t>
  </si>
  <si>
    <t>Honaker High School</t>
  </si>
  <si>
    <t>Hopewell</t>
  </si>
  <si>
    <t>King And Queen C H</t>
  </si>
  <si>
    <t>King George High School</t>
  </si>
  <si>
    <t>King George</t>
  </si>
  <si>
    <t>King William High School</t>
  </si>
  <si>
    <t>King William</t>
  </si>
  <si>
    <t>Loudoun County High School</t>
  </si>
  <si>
    <t>Rockbridge County High School</t>
  </si>
  <si>
    <t>South County High School</t>
  </si>
  <si>
    <t>Lorton</t>
  </si>
  <si>
    <t>Lovingston</t>
  </si>
  <si>
    <t>Luray High School</t>
  </si>
  <si>
    <t>Luray</t>
  </si>
  <si>
    <t>E.C. Glass High School</t>
  </si>
  <si>
    <t>Charles J Colgan Sr High School</t>
  </si>
  <si>
    <t>Osbourn High School</t>
  </si>
  <si>
    <t>Osbourn Park High School</t>
  </si>
  <si>
    <t>Stonewall Jackson High School</t>
  </si>
  <si>
    <t>Manassas Park High School</t>
  </si>
  <si>
    <t>Manassas Park</t>
  </si>
  <si>
    <t>Marion Senior High School</t>
  </si>
  <si>
    <t>Fort Chiswell High School</t>
  </si>
  <si>
    <t>Max Meadows</t>
  </si>
  <si>
    <t>Langley High School</t>
  </si>
  <si>
    <t>Mclean High School</t>
  </si>
  <si>
    <t>Atlee High School</t>
  </si>
  <si>
    <t>Mechanicsville</t>
  </si>
  <si>
    <t>Lee Davis High School</t>
  </si>
  <si>
    <t>Clover Hill High School</t>
  </si>
  <si>
    <t>Midlothian High School</t>
  </si>
  <si>
    <t>Caroline High School</t>
  </si>
  <si>
    <t>Louisa County High School</t>
  </si>
  <si>
    <t>Mineral</t>
  </si>
  <si>
    <t>Staunton River High School</t>
  </si>
  <si>
    <t>Moneta</t>
  </si>
  <si>
    <t>Washington &amp; Lee High School</t>
  </si>
  <si>
    <t>Montross</t>
  </si>
  <si>
    <t>Narrows High School</t>
  </si>
  <si>
    <t>Narrows</t>
  </si>
  <si>
    <t>William Campbell High School</t>
  </si>
  <si>
    <t>Naruna</t>
  </si>
  <si>
    <t>Craig County High School</t>
  </si>
  <si>
    <t>New Kent  High School</t>
  </si>
  <si>
    <t>New Kent</t>
  </si>
  <si>
    <t>Achievable Dream Middle/High School</t>
  </si>
  <si>
    <t>Denbigh High School</t>
  </si>
  <si>
    <t>Menchville High School</t>
  </si>
  <si>
    <t>Twin Springs High School</t>
  </si>
  <si>
    <t>Nickelsville</t>
  </si>
  <si>
    <t>Brentsville District High School</t>
  </si>
  <si>
    <t>Nokesville</t>
  </si>
  <si>
    <t>Kettle Run High School Sch</t>
  </si>
  <si>
    <t>Granby High School</t>
  </si>
  <si>
    <t>Lake Taylor High School</t>
  </si>
  <si>
    <t>Maury High School</t>
  </si>
  <si>
    <t>Norview High School</t>
  </si>
  <si>
    <t>North Chesterfield</t>
  </si>
  <si>
    <t>J.I. Burton High School</t>
  </si>
  <si>
    <t>Oak Hall</t>
  </si>
  <si>
    <t>Nandua High School</t>
  </si>
  <si>
    <t>Onley</t>
  </si>
  <si>
    <t>Orange Co. High School</t>
  </si>
  <si>
    <t>Fluvanna County High School</t>
  </si>
  <si>
    <t>Giles High School</t>
  </si>
  <si>
    <t>Pearisburg</t>
  </si>
  <si>
    <t>Penn Laird</t>
  </si>
  <si>
    <t>Pilgrim Knob</t>
  </si>
  <si>
    <t>Poquoson High School</t>
  </si>
  <si>
    <t>Poquoson</t>
  </si>
  <si>
    <t>Churchland High School</t>
  </si>
  <si>
    <t>I.C. Norcom High School</t>
  </si>
  <si>
    <t>Potomac Falls High School</t>
  </si>
  <si>
    <t>Potomac Falls</t>
  </si>
  <si>
    <t>Powhatan High School</t>
  </si>
  <si>
    <t>Powhatan</t>
  </si>
  <si>
    <t>Prince George High School</t>
  </si>
  <si>
    <t>Prince George</t>
  </si>
  <si>
    <t>Loudoun Valley High School</t>
  </si>
  <si>
    <t>Purcellville</t>
  </si>
  <si>
    <t>Quicksburg</t>
  </si>
  <si>
    <t>Radford High School</t>
  </si>
  <si>
    <t>Radford</t>
  </si>
  <si>
    <t>South Lakes High School</t>
  </si>
  <si>
    <t>Reston</t>
  </si>
  <si>
    <t>Franklin Military Academy</t>
  </si>
  <si>
    <t>George Wythe High School</t>
  </si>
  <si>
    <t>Godwin High School</t>
  </si>
  <si>
    <t>Henrico High School</t>
  </si>
  <si>
    <t>Huguenot High School</t>
  </si>
  <si>
    <t>Monacan High School</t>
  </si>
  <si>
    <t>Open High School</t>
  </si>
  <si>
    <t>Richmond Career Education &amp; Employment (Charter School)</t>
  </si>
  <si>
    <t>Varina High School</t>
  </si>
  <si>
    <t>Magna Vista High School</t>
  </si>
  <si>
    <t>Riner</t>
  </si>
  <si>
    <t>Dan River High School</t>
  </si>
  <si>
    <t>Cave Spring High School</t>
  </si>
  <si>
    <t>William Fleming High School</t>
  </si>
  <si>
    <t>Bland County High School</t>
  </si>
  <si>
    <t>Rocky Gap</t>
  </si>
  <si>
    <t>Rural Retreat High School</t>
  </si>
  <si>
    <t>Rural Retreat</t>
  </si>
  <si>
    <t>Rustburg High School</t>
  </si>
  <si>
    <t>Rustburg</t>
  </si>
  <si>
    <t>Glenvar High School</t>
  </si>
  <si>
    <t>Saltville</t>
  </si>
  <si>
    <t>Page County High School</t>
  </si>
  <si>
    <t>Bluestone  High School</t>
  </si>
  <si>
    <t>Skipwith</t>
  </si>
  <si>
    <t>Halifax County High School</t>
  </si>
  <si>
    <t>Park View High School</t>
  </si>
  <si>
    <t>South Hill</t>
  </si>
  <si>
    <t>South Riding</t>
  </si>
  <si>
    <t>Courtland High School</t>
  </si>
  <si>
    <t>Spotsylvania</t>
  </si>
  <si>
    <t>Spotsylvania High School</t>
  </si>
  <si>
    <t>Brooke Point High School</t>
  </si>
  <si>
    <t>Colonial Forge High School</t>
  </si>
  <si>
    <t>North Stafford High School</t>
  </si>
  <si>
    <t>William Monroe High School</t>
  </si>
  <si>
    <t>Stanardsville</t>
  </si>
  <si>
    <t>Riverheads High School</t>
  </si>
  <si>
    <t>Sherando High School</t>
  </si>
  <si>
    <t>Stephens City</t>
  </si>
  <si>
    <t>Stony Creek</t>
  </si>
  <si>
    <t>Patrick County High School</t>
  </si>
  <si>
    <t>Stuarts Draft High School</t>
  </si>
  <si>
    <t>Stuarts Draft</t>
  </si>
  <si>
    <t>King'S Fork High School</t>
  </si>
  <si>
    <t>Nansemond River High School</t>
  </si>
  <si>
    <t>Buffalo Gap High School</t>
  </si>
  <si>
    <t>Swoope</t>
  </si>
  <si>
    <t>Tazewell High School</t>
  </si>
  <si>
    <t>Tazewell</t>
  </si>
  <si>
    <t>Oakton High School</t>
  </si>
  <si>
    <t>William Byrd High School</t>
  </si>
  <si>
    <t>First Colonial High School</t>
  </si>
  <si>
    <t>Floyd Kellam High School</t>
  </si>
  <si>
    <t>Frank W. Cox High School</t>
  </si>
  <si>
    <t>Green Run Collegiate</t>
  </si>
  <si>
    <t>Green Run High School</t>
  </si>
  <si>
    <t>Kempsville High School</t>
  </si>
  <si>
    <t>Landstown High School</t>
  </si>
  <si>
    <t>Ocean Lakes High School</t>
  </si>
  <si>
    <t>Princess Anne High School</t>
  </si>
  <si>
    <t>Tallwood High School</t>
  </si>
  <si>
    <t>Fauquier High School</t>
  </si>
  <si>
    <t>Rappahannock High School</t>
  </si>
  <si>
    <t>Rappahannock Co. High School</t>
  </si>
  <si>
    <t>Waynesboro High School</t>
  </si>
  <si>
    <t>Bruton High School</t>
  </si>
  <si>
    <t>Warhill High School</t>
  </si>
  <si>
    <t>James Wood High School</t>
  </si>
  <si>
    <t>John Handley High School</t>
  </si>
  <si>
    <t>C.D. Hylton High School</t>
  </si>
  <si>
    <t>Gar-Field High School</t>
  </si>
  <si>
    <t>Wytheville</t>
  </si>
  <si>
    <t>Tabb High School</t>
  </si>
  <si>
    <t>York River Academy</t>
  </si>
  <si>
    <t>J M Weatherwax High School</t>
  </si>
  <si>
    <t>Adna Middle/High School</t>
  </si>
  <si>
    <t>Adna</t>
  </si>
  <si>
    <t>Anacortes High School</t>
  </si>
  <si>
    <t>Anacortes</t>
  </si>
  <si>
    <t>Asotin Jr Sr High School</t>
  </si>
  <si>
    <t>Asotin</t>
  </si>
  <si>
    <t>Auburn Mountainview High School</t>
  </si>
  <si>
    <t>Auburn Riverside High School</t>
  </si>
  <si>
    <t>Bainbridge Island</t>
  </si>
  <si>
    <t>Battle Ground High School</t>
  </si>
  <si>
    <t>Battle Ground</t>
  </si>
  <si>
    <t>North Mason Senior High School</t>
  </si>
  <si>
    <t>Belfair</t>
  </si>
  <si>
    <t>Interlake Senior High School</t>
  </si>
  <si>
    <t>Newport Senior High School</t>
  </si>
  <si>
    <t>Sammamish Senior High School</t>
  </si>
  <si>
    <t>Sehome High School</t>
  </si>
  <si>
    <t>Squalicum High School</t>
  </si>
  <si>
    <t>Whatcom Co Detention Center</t>
  </si>
  <si>
    <t>Kiona-Benton City High School</t>
  </si>
  <si>
    <t>Benton City</t>
  </si>
  <si>
    <t>Bonney Lake High School</t>
  </si>
  <si>
    <t>Bonney Lake</t>
  </si>
  <si>
    <t>Bothell High School</t>
  </si>
  <si>
    <t>Bothell</t>
  </si>
  <si>
    <t>Lynnwood High School</t>
  </si>
  <si>
    <t>North Creek High School</t>
  </si>
  <si>
    <t>Woodinville Community Center</t>
  </si>
  <si>
    <t>Bremerton High School</t>
  </si>
  <si>
    <t>Career &amp; Academyemic Re-Engagement Center</t>
  </si>
  <si>
    <t>Morgan Center School</t>
  </si>
  <si>
    <t>Washington Youth Academy</t>
  </si>
  <si>
    <t>Db Youth Services</t>
  </si>
  <si>
    <t>Brush Prairie</t>
  </si>
  <si>
    <t>Hockinson High School</t>
  </si>
  <si>
    <t>White River High School</t>
  </si>
  <si>
    <t>Buckley</t>
  </si>
  <si>
    <t>High Schoolline High School</t>
  </si>
  <si>
    <t>Burien</t>
  </si>
  <si>
    <t>Burlington Edison High School</t>
  </si>
  <si>
    <t>Camas High School</t>
  </si>
  <si>
    <t>Hayes Freedom High School</t>
  </si>
  <si>
    <t>Cashmere High School</t>
  </si>
  <si>
    <t>Castle Rock High School</t>
  </si>
  <si>
    <t>Wahkiakum High School</t>
  </si>
  <si>
    <t>Cathlamet</t>
  </si>
  <si>
    <t>Chattaroy</t>
  </si>
  <si>
    <t>Green Hill Academyemic School</t>
  </si>
  <si>
    <t>Chehalis</t>
  </si>
  <si>
    <t>W F West High School</t>
  </si>
  <si>
    <t>Chelan High School</t>
  </si>
  <si>
    <t>Chelan</t>
  </si>
  <si>
    <t>Jenkins Junior/Senior High School</t>
  </si>
  <si>
    <t>Chimacum High School</t>
  </si>
  <si>
    <t>Chimacum</t>
  </si>
  <si>
    <t>Charles Francis Adams High School</t>
  </si>
  <si>
    <t>Cle Elum Roslyn High School</t>
  </si>
  <si>
    <t>Cle Eum</t>
  </si>
  <si>
    <t>College Place High School</t>
  </si>
  <si>
    <t>Colville Senior High School</t>
  </si>
  <si>
    <t>Colville</t>
  </si>
  <si>
    <t>Concrete High School</t>
  </si>
  <si>
    <t>Concrete</t>
  </si>
  <si>
    <t>Connell High School</t>
  </si>
  <si>
    <t>Connell</t>
  </si>
  <si>
    <t>Pacific Crest Innovation Academy</t>
  </si>
  <si>
    <t>Almira Coulee Hartline High School</t>
  </si>
  <si>
    <t>Coulee City</t>
  </si>
  <si>
    <t>Lake Roosevelt Jr/Sr High School</t>
  </si>
  <si>
    <t>Coulee Dam</t>
  </si>
  <si>
    <t>Coupeville High School</t>
  </si>
  <si>
    <t>Coupeville</t>
  </si>
  <si>
    <t>Iccf Ed Program</t>
  </si>
  <si>
    <t>Kentwood High School</t>
  </si>
  <si>
    <t>Cowiche</t>
  </si>
  <si>
    <t>Creston Jr-Sr High School</t>
  </si>
  <si>
    <t>Cusick Jr Sr High School</t>
  </si>
  <si>
    <t>Cusick</t>
  </si>
  <si>
    <t>Darrington High School</t>
  </si>
  <si>
    <t>Darrington</t>
  </si>
  <si>
    <t>Davenport Senior High School</t>
  </si>
  <si>
    <t>Mount Baker Senior High School</t>
  </si>
  <si>
    <t>Mount Rainier High School</t>
  </si>
  <si>
    <t>Cedarcrest High School</t>
  </si>
  <si>
    <t>Duvall</t>
  </si>
  <si>
    <t>Canyon View Group Home</t>
  </si>
  <si>
    <t>East Wenatchee</t>
  </si>
  <si>
    <t>Eastmont Senior High School</t>
  </si>
  <si>
    <t>Easton Secondary School</t>
  </si>
  <si>
    <t>Orcas Island High School</t>
  </si>
  <si>
    <t>Eastsound</t>
  </si>
  <si>
    <t>Eatonville High School</t>
  </si>
  <si>
    <t>Edmonds Woodway High School</t>
  </si>
  <si>
    <t>Ellensburg High School</t>
  </si>
  <si>
    <t>Ellensburg</t>
  </si>
  <si>
    <t>Parke Creek Treatment Ctr</t>
  </si>
  <si>
    <t>Elma High School</t>
  </si>
  <si>
    <t>Entiat Middle And High School</t>
  </si>
  <si>
    <t>Entiat</t>
  </si>
  <si>
    <t>Enumclaw Sr High School</t>
  </si>
  <si>
    <t>Enumclaw</t>
  </si>
  <si>
    <t>Ephrata High School</t>
  </si>
  <si>
    <t>Snohomish Detention Center</t>
  </si>
  <si>
    <t>Nooksack Valley High School</t>
  </si>
  <si>
    <t>Everson</t>
  </si>
  <si>
    <t>Federal Way</t>
  </si>
  <si>
    <t>Federal Way High School</t>
  </si>
  <si>
    <t>Federal Way Running Start Home School</t>
  </si>
  <si>
    <t>Tafa At Saghalie</t>
  </si>
  <si>
    <t>Todd Beamer High School</t>
  </si>
  <si>
    <t>Windward High School</t>
  </si>
  <si>
    <t>Forks Junior-Senior High School</t>
  </si>
  <si>
    <t>Forks</t>
  </si>
  <si>
    <t>Friday Harbor High School</t>
  </si>
  <si>
    <t>Friday Harbor</t>
  </si>
  <si>
    <t>Gig Harbor High School</t>
  </si>
  <si>
    <t>Gig Harbor</t>
  </si>
  <si>
    <t>Peninsula High School</t>
  </si>
  <si>
    <t>Glenwood Secondary</t>
  </si>
  <si>
    <t>Goldendale High School</t>
  </si>
  <si>
    <t>Goldendale</t>
  </si>
  <si>
    <t>Graham Kapowsin High School</t>
  </si>
  <si>
    <t>Granger</t>
  </si>
  <si>
    <t>Granite Falls High School</t>
  </si>
  <si>
    <t>Harrington High School</t>
  </si>
  <si>
    <t>Hoquiam High School</t>
  </si>
  <si>
    <t>Hoquiam</t>
  </si>
  <si>
    <t>Ilwaco High School</t>
  </si>
  <si>
    <t>Ilwaco</t>
  </si>
  <si>
    <t>Inchelium High School</t>
  </si>
  <si>
    <t>Inchelium</t>
  </si>
  <si>
    <t>Selkirk High School</t>
  </si>
  <si>
    <t>Ione</t>
  </si>
  <si>
    <t>Gibson Ek High School</t>
  </si>
  <si>
    <t>Issaquah High School</t>
  </si>
  <si>
    <t>Kalama High School</t>
  </si>
  <si>
    <t>Kalama</t>
  </si>
  <si>
    <t>Kelso High School</t>
  </si>
  <si>
    <t>Kelso</t>
  </si>
  <si>
    <t>Inglemoor High School</t>
  </si>
  <si>
    <t>Kenmore</t>
  </si>
  <si>
    <t>Kamiakin High School</t>
  </si>
  <si>
    <t>Kennewick</t>
  </si>
  <si>
    <t>Kennewick High School</t>
  </si>
  <si>
    <t>Kent-Meridian High School</t>
  </si>
  <si>
    <t>Kentlake High School</t>
  </si>
  <si>
    <t>Kentridge High School</t>
  </si>
  <si>
    <t>Kettle Falls High School</t>
  </si>
  <si>
    <t>Kettle Falls</t>
  </si>
  <si>
    <t>Juanita High School</t>
  </si>
  <si>
    <t>Lake Washington High School</t>
  </si>
  <si>
    <t>Lake Washington Technical Academy</t>
  </si>
  <si>
    <t>Kittitas High School</t>
  </si>
  <si>
    <t>Kittitas</t>
  </si>
  <si>
    <t>La Center High School</t>
  </si>
  <si>
    <t>La Center</t>
  </si>
  <si>
    <t>La Conner High School</t>
  </si>
  <si>
    <t>La Conner</t>
  </si>
  <si>
    <t>North Thurston High School</t>
  </si>
  <si>
    <t>Lacrosse High School</t>
  </si>
  <si>
    <t>Lake Stevens Sr High School</t>
  </si>
  <si>
    <t>Clover Park High School</t>
  </si>
  <si>
    <t>Harrison Prep School</t>
  </si>
  <si>
    <t>Lakes High School</t>
  </si>
  <si>
    <t>Oakridge Group Home</t>
  </si>
  <si>
    <t>Transition Day Students</t>
  </si>
  <si>
    <t>South Whidbey High School</t>
  </si>
  <si>
    <t>Langley</t>
  </si>
  <si>
    <t>Cowlitz County Youth Services Center</t>
  </si>
  <si>
    <t>Mark Morris High School</t>
  </si>
  <si>
    <t>R A Long High School</t>
  </si>
  <si>
    <t>Lopez Middle High School</t>
  </si>
  <si>
    <t>Lopez Island</t>
  </si>
  <si>
    <t>Lyle High School</t>
  </si>
  <si>
    <t>Lynden High School</t>
  </si>
  <si>
    <t>Mabton Jr. Sr. High School</t>
  </si>
  <si>
    <t>Mabton</t>
  </si>
  <si>
    <t>Manson High School</t>
  </si>
  <si>
    <t>Tahoma Senior High School</t>
  </si>
  <si>
    <t>Maple Valley</t>
  </si>
  <si>
    <t>Marysville Getchell High School</t>
  </si>
  <si>
    <t>Marysville Mountain View Arts And Technology High School</t>
  </si>
  <si>
    <t>Marysville Pilchuck High School</t>
  </si>
  <si>
    <t>Wahluke High School</t>
  </si>
  <si>
    <t>Mattawa</t>
  </si>
  <si>
    <t>Mt Spokane High School</t>
  </si>
  <si>
    <t>Martin Hall Detention Ctr</t>
  </si>
  <si>
    <t>Medical Lake</t>
  </si>
  <si>
    <t>Medical Lake High School</t>
  </si>
  <si>
    <t>Willapa Valley Middle-High School</t>
  </si>
  <si>
    <t>Menlo</t>
  </si>
  <si>
    <t>Mercer Island High School</t>
  </si>
  <si>
    <t>Mercer Island</t>
  </si>
  <si>
    <t>Henry M. Jackson High School</t>
  </si>
  <si>
    <t>Montesano Jr-Sr High School</t>
  </si>
  <si>
    <t>Montesano</t>
  </si>
  <si>
    <t>Morton Junior-Senior High School</t>
  </si>
  <si>
    <t>Moses Lake High School</t>
  </si>
  <si>
    <t>Mossyrock Jr./Sr. High School</t>
  </si>
  <si>
    <t>Mossyrock</t>
  </si>
  <si>
    <t>Skagit County Detention Center</t>
  </si>
  <si>
    <t>Mountlake Terrace High School</t>
  </si>
  <si>
    <t>Mtlk Terrace</t>
  </si>
  <si>
    <t>Kamiak High School</t>
  </si>
  <si>
    <t>Mukilteo</t>
  </si>
  <si>
    <t>N Lakewood</t>
  </si>
  <si>
    <t>Naches Valley High School</t>
  </si>
  <si>
    <t>Naches</t>
  </si>
  <si>
    <t>Napavine Jr Sr High School</t>
  </si>
  <si>
    <t>Napavine</t>
  </si>
  <si>
    <t>Naselle Jr Sr High Schools</t>
  </si>
  <si>
    <t>Naselle</t>
  </si>
  <si>
    <t>Naselle Youth Camp School</t>
  </si>
  <si>
    <t>Neah Bay Junior/ Senior High School</t>
  </si>
  <si>
    <t>Neah Bay</t>
  </si>
  <si>
    <t>Nine Mile Falls</t>
  </si>
  <si>
    <t>Northport High School</t>
  </si>
  <si>
    <t>Oakesdale High School</t>
  </si>
  <si>
    <t>Oakesdale</t>
  </si>
  <si>
    <t>Oakville High School</t>
  </si>
  <si>
    <t>Oakville</t>
  </si>
  <si>
    <t>North Beach Senior High School</t>
  </si>
  <si>
    <t>Ocean Shores</t>
  </si>
  <si>
    <t>Okanogan High School</t>
  </si>
  <si>
    <t>Okanogan</t>
  </si>
  <si>
    <t>ToucHigh Schooltone</t>
  </si>
  <si>
    <t>Omak High School</t>
  </si>
  <si>
    <t>Omak</t>
  </si>
  <si>
    <t>Onalaska High School</t>
  </si>
  <si>
    <t>Oroville Middle-High School</t>
  </si>
  <si>
    <t>Orting High School</t>
  </si>
  <si>
    <t>Orting</t>
  </si>
  <si>
    <t>Othello High School</t>
  </si>
  <si>
    <t>Othello</t>
  </si>
  <si>
    <t>Garfield At Palouse High School</t>
  </si>
  <si>
    <t>Palouse</t>
  </si>
  <si>
    <t>Palouse High School</t>
  </si>
  <si>
    <t>Chiawana High School</t>
  </si>
  <si>
    <t>Pasco Senior High School</t>
  </si>
  <si>
    <t>Pateros High School</t>
  </si>
  <si>
    <t>Pateros</t>
  </si>
  <si>
    <t>Pomeroy Jr Sr High School</t>
  </si>
  <si>
    <t>Port Angeles High School</t>
  </si>
  <si>
    <t>Port Angeles</t>
  </si>
  <si>
    <t>Kitsap Co Detention Ctr</t>
  </si>
  <si>
    <t>Port Orchard</t>
  </si>
  <si>
    <t>South Kitsap High School</t>
  </si>
  <si>
    <t>Port Townsend High School</t>
  </si>
  <si>
    <t>Port Townsend</t>
  </si>
  <si>
    <t>North Kitsap High School</t>
  </si>
  <si>
    <t>Poulsbo</t>
  </si>
  <si>
    <t>Prescott Jr Sr High School</t>
  </si>
  <si>
    <t>Prosser High School</t>
  </si>
  <si>
    <t>Pullman High School</t>
  </si>
  <si>
    <t>Pullman</t>
  </si>
  <si>
    <t>Emerald Ridge High School</t>
  </si>
  <si>
    <t>Puyallup High School</t>
  </si>
  <si>
    <t>Rainier Senior High School</t>
  </si>
  <si>
    <t>White Pass Jr. Sr. High School</t>
  </si>
  <si>
    <t>Randle</t>
  </si>
  <si>
    <t>Raymond Jr Sr High School</t>
  </si>
  <si>
    <t>Reardan Middle-Senior High School</t>
  </si>
  <si>
    <t>Reardan</t>
  </si>
  <si>
    <t>Hazen Senior High School</t>
  </si>
  <si>
    <t>Liberty Sr High School</t>
  </si>
  <si>
    <t>Lindbergh Senior High School</t>
  </si>
  <si>
    <t>Renton Senior High School</t>
  </si>
  <si>
    <t>Republic Senior High School</t>
  </si>
  <si>
    <t>Twin Rivers Group Home</t>
  </si>
  <si>
    <t>Lind-Ritzville High School</t>
  </si>
  <si>
    <t>Ritzville</t>
  </si>
  <si>
    <t>Ritzville High School</t>
  </si>
  <si>
    <t>Royal City</t>
  </si>
  <si>
    <t>St John/Endicott High School</t>
  </si>
  <si>
    <t>Tyee High School</t>
  </si>
  <si>
    <t>Seatac</t>
  </si>
  <si>
    <t>Chief Sealth International High School</t>
  </si>
  <si>
    <t>Cleveland High School Stem</t>
  </si>
  <si>
    <t>Ingraham High School</t>
  </si>
  <si>
    <t>Interagency Detention School</t>
  </si>
  <si>
    <t>Rainier Beach High School</t>
  </si>
  <si>
    <t>Southwest Youth And Family Services</t>
  </si>
  <si>
    <t>Summit Public School: Atlas</t>
  </si>
  <si>
    <t>Summit Public School: Olympus</t>
  </si>
  <si>
    <t>Summit Public School: Sierra</t>
  </si>
  <si>
    <t>The Center School</t>
  </si>
  <si>
    <t>West Seattle High School</t>
  </si>
  <si>
    <t>Sedro Woolley Senior High School</t>
  </si>
  <si>
    <t>Sedro-Woolley</t>
  </si>
  <si>
    <t>Selah High School</t>
  </si>
  <si>
    <t>Selah</t>
  </si>
  <si>
    <t>Sequim Senior High School</t>
  </si>
  <si>
    <t>Sequim</t>
  </si>
  <si>
    <t>Garrett Heyns High School</t>
  </si>
  <si>
    <t>Mason County Detention Center</t>
  </si>
  <si>
    <t>Shorecrest High School</t>
  </si>
  <si>
    <t>Shorewood High School</t>
  </si>
  <si>
    <t>Central Kitsap High School</t>
  </si>
  <si>
    <t>Silverdale</t>
  </si>
  <si>
    <t>Klahowya Secondary</t>
  </si>
  <si>
    <t>Skykomish High School</t>
  </si>
  <si>
    <t>Skykomish</t>
  </si>
  <si>
    <t>Glacier Peak High School</t>
  </si>
  <si>
    <t>Snohomish High School</t>
  </si>
  <si>
    <t>Echo Glen School</t>
  </si>
  <si>
    <t>Mount Si High School</t>
  </si>
  <si>
    <t>Soap Lake Middle &amp; High School</t>
  </si>
  <si>
    <t>Soap Lake</t>
  </si>
  <si>
    <t>South Bend High School</t>
  </si>
  <si>
    <t>Spanaway</t>
  </si>
  <si>
    <t>Spanaway Lake High School</t>
  </si>
  <si>
    <t>A-3 Multiagency Adolescent Prog</t>
  </si>
  <si>
    <t>Alternative Tamarack School</t>
  </si>
  <si>
    <t>Excelsior Youth Center School</t>
  </si>
  <si>
    <t>Ferris High School</t>
  </si>
  <si>
    <t>Lewis &amp; Clark High School</t>
  </si>
  <si>
    <t>Mead Senior High School</t>
  </si>
  <si>
    <t>On Track Academy</t>
  </si>
  <si>
    <t>Pride Prep School</t>
  </si>
  <si>
    <t>Riverpoint Academy</t>
  </si>
  <si>
    <t>Shadle Park High School</t>
  </si>
  <si>
    <t>The Community School</t>
  </si>
  <si>
    <t>The Healing Lodge</t>
  </si>
  <si>
    <t>Stem Academy At Svt</t>
  </si>
  <si>
    <t>Sprague</t>
  </si>
  <si>
    <t>Mary Walker High School</t>
  </si>
  <si>
    <t>Stanwood High School</t>
  </si>
  <si>
    <t>Stanwood</t>
  </si>
  <si>
    <t>Steilacoom High School</t>
  </si>
  <si>
    <t>Steilacoom</t>
  </si>
  <si>
    <t>Sultan Senior High School</t>
  </si>
  <si>
    <t>Sultan</t>
  </si>
  <si>
    <t>Sunnyside</t>
  </si>
  <si>
    <t>Bates Technical High School</t>
  </si>
  <si>
    <t>Fife High School</t>
  </si>
  <si>
    <t>Foss</t>
  </si>
  <si>
    <t>Franklin Pierce High School</t>
  </si>
  <si>
    <t>Mt Tahoma</t>
  </si>
  <si>
    <t>Science And Math Institute</t>
  </si>
  <si>
    <t>Stadium</t>
  </si>
  <si>
    <t>Tacoma Pierce County Education Center</t>
  </si>
  <si>
    <t>Tacoma School Of The Arts</t>
  </si>
  <si>
    <t>Tcc Fresh Start</t>
  </si>
  <si>
    <t>Taholah High School</t>
  </si>
  <si>
    <t>Taholah</t>
  </si>
  <si>
    <t>Tekoa High School</t>
  </si>
  <si>
    <t>Tekoa</t>
  </si>
  <si>
    <t>Tenino High School</t>
  </si>
  <si>
    <t>Tenino</t>
  </si>
  <si>
    <t>Cowlitz Prairie Academy</t>
  </si>
  <si>
    <t>Toledo High School</t>
  </si>
  <si>
    <t>Tonasket High School</t>
  </si>
  <si>
    <t>Tonasket</t>
  </si>
  <si>
    <t>Toppenish High School</t>
  </si>
  <si>
    <t>Toppenish</t>
  </si>
  <si>
    <t>Toutle Lake High School</t>
  </si>
  <si>
    <t>Toutle</t>
  </si>
  <si>
    <t>Trout Lake School</t>
  </si>
  <si>
    <t>Trout Lake</t>
  </si>
  <si>
    <t>Foster Senior High School</t>
  </si>
  <si>
    <t>A G West Black Hills High School</t>
  </si>
  <si>
    <t>Tumwater</t>
  </si>
  <si>
    <t>Tumwater High School</t>
  </si>
  <si>
    <t>Curtis Senior High School</t>
  </si>
  <si>
    <t>University Place</t>
  </si>
  <si>
    <t>Paideia High School</t>
  </si>
  <si>
    <t>Cascadia Technical Academy Ale</t>
  </si>
  <si>
    <t>Vancouver</t>
  </si>
  <si>
    <t>Columbia River High School</t>
  </si>
  <si>
    <t>Fort Vancouver High School</t>
  </si>
  <si>
    <t>Henrietta Lacks Health And Bioscience High School</t>
  </si>
  <si>
    <t>Hudson'S Bay High School</t>
  </si>
  <si>
    <t>Lewis And Clark High School</t>
  </si>
  <si>
    <t>Vancouver Contracted Programs</t>
  </si>
  <si>
    <t>Vancouver Itech Preparatory</t>
  </si>
  <si>
    <t>Vancouver School Of Arts And Academyemics</t>
  </si>
  <si>
    <t>Washington State School For The Blind</t>
  </si>
  <si>
    <t>Vashon Island High School</t>
  </si>
  <si>
    <t>Vashon</t>
  </si>
  <si>
    <t>Waitsburg High School</t>
  </si>
  <si>
    <t>Waitsburg</t>
  </si>
  <si>
    <t>Walla Walla High School</t>
  </si>
  <si>
    <t>Walla Walla</t>
  </si>
  <si>
    <t>Wapato High School</t>
  </si>
  <si>
    <t>Wapato</t>
  </si>
  <si>
    <t>Warden High School</t>
  </si>
  <si>
    <t>Warden</t>
  </si>
  <si>
    <t>Washougal High School</t>
  </si>
  <si>
    <t>Washougal</t>
  </si>
  <si>
    <t>Waterville High School</t>
  </si>
  <si>
    <t>Wellpinit High School</t>
  </si>
  <si>
    <t>Wellpinit</t>
  </si>
  <si>
    <t>Wenatchee High School</t>
  </si>
  <si>
    <t>Ocosta Junior - Senior High School</t>
  </si>
  <si>
    <t>White Salmon</t>
  </si>
  <si>
    <t>White Swan High School</t>
  </si>
  <si>
    <t>White Swan</t>
  </si>
  <si>
    <t>Wilbur Secondary School</t>
  </si>
  <si>
    <t>Wilbur</t>
  </si>
  <si>
    <t>Wilson Creek High School</t>
  </si>
  <si>
    <t>Wilson Creek</t>
  </si>
  <si>
    <t>Winlock Senior High School</t>
  </si>
  <si>
    <t>Winlock</t>
  </si>
  <si>
    <t>Liberty Bell Jr Sr High School</t>
  </si>
  <si>
    <t>Woodinville High School</t>
  </si>
  <si>
    <t>Yakima</t>
  </si>
  <si>
    <t>Ridgeview Group Home</t>
  </si>
  <si>
    <t>Yelm High School 12</t>
  </si>
  <si>
    <t>Yelm</t>
  </si>
  <si>
    <t>Zillah High School</t>
  </si>
  <si>
    <t>Zillah</t>
  </si>
  <si>
    <t>Hannan High School</t>
  </si>
  <si>
    <t>East Hardy High School</t>
  </si>
  <si>
    <t>Beckley</t>
  </si>
  <si>
    <t>Berkeley Springs High School</t>
  </si>
  <si>
    <t>Berkeley Springs</t>
  </si>
  <si>
    <t>Clay-Battelle High School</t>
  </si>
  <si>
    <t>Blacksville</t>
  </si>
  <si>
    <t>Bluefield High School</t>
  </si>
  <si>
    <t>Bradshaw</t>
  </si>
  <si>
    <t>Buckhannon Upshur High School</t>
  </si>
  <si>
    <t>Buckhannon</t>
  </si>
  <si>
    <t>Chapmanville Regional High School</t>
  </si>
  <si>
    <t>Chapmanville</t>
  </si>
  <si>
    <t>Charles Town</t>
  </si>
  <si>
    <t>Sissonville High School</t>
  </si>
  <si>
    <t>Greenbrier West High School</t>
  </si>
  <si>
    <t>Charmco</t>
  </si>
  <si>
    <t>Robert C Byrd High School</t>
  </si>
  <si>
    <t>Clear Fork</t>
  </si>
  <si>
    <t>Craigsville</t>
  </si>
  <si>
    <t>Mingo Central Comprehensive High School</t>
  </si>
  <si>
    <t>Delbarton</t>
  </si>
  <si>
    <t>Pocahontas County High School</t>
  </si>
  <si>
    <t>Wirt County High School</t>
  </si>
  <si>
    <t>Elkview</t>
  </si>
  <si>
    <t>Ritchie County High School</t>
  </si>
  <si>
    <t>Ellenboro</t>
  </si>
  <si>
    <t>East Fairmont High School</t>
  </si>
  <si>
    <t>Fairmont Senior High School</t>
  </si>
  <si>
    <t>Tolsia High School</t>
  </si>
  <si>
    <t>Fort Gay</t>
  </si>
  <si>
    <t>Pendleton County Middle/High School</t>
  </si>
  <si>
    <t>Glen Dale</t>
  </si>
  <si>
    <t>Glen Daniel</t>
  </si>
  <si>
    <t>Gilmer County High School</t>
  </si>
  <si>
    <t>Tucker County High School</t>
  </si>
  <si>
    <t>Hambleton</t>
  </si>
  <si>
    <t>Hedgesville High School</t>
  </si>
  <si>
    <t>Hedgesville</t>
  </si>
  <si>
    <t>Midland Trail High School</t>
  </si>
  <si>
    <t>Summers County High School</t>
  </si>
  <si>
    <t>Hundred High School</t>
  </si>
  <si>
    <t>Hundred</t>
  </si>
  <si>
    <t>Musselman High School</t>
  </si>
  <si>
    <t>Keyser High School</t>
  </si>
  <si>
    <t>Keyser</t>
  </si>
  <si>
    <t>Greenbrier East High School</t>
  </si>
  <si>
    <t>Lindside</t>
  </si>
  <si>
    <t>Logan Senior High School</t>
  </si>
  <si>
    <t>Lost Creek</t>
  </si>
  <si>
    <t>Man Senior High School</t>
  </si>
  <si>
    <t>Man</t>
  </si>
  <si>
    <t>Martinsburg High School</t>
  </si>
  <si>
    <t>Spring Mills High School</t>
  </si>
  <si>
    <t>Wahama High School</t>
  </si>
  <si>
    <t>Meadow Bridge High School</t>
  </si>
  <si>
    <t>Meadow Bridge</t>
  </si>
  <si>
    <t>Tygarts Valley Middle/High School</t>
  </si>
  <si>
    <t>Moorefield High School</t>
  </si>
  <si>
    <t>Moorefield</t>
  </si>
  <si>
    <t>Morgantown High School</t>
  </si>
  <si>
    <t>Calhoun Middle/High School</t>
  </si>
  <si>
    <t>Mt. Zion</t>
  </si>
  <si>
    <t>Oak Glen High School</t>
  </si>
  <si>
    <t>New Cumberland</t>
  </si>
  <si>
    <t>New Martinsville</t>
  </si>
  <si>
    <t>Wyoming County East High School</t>
  </si>
  <si>
    <t>Nitro High School</t>
  </si>
  <si>
    <t>Nitro</t>
  </si>
  <si>
    <t>Cabell Midland High School</t>
  </si>
  <si>
    <t>Ona</t>
  </si>
  <si>
    <t>Paden City High School</t>
  </si>
  <si>
    <t>Paden City</t>
  </si>
  <si>
    <t>Parkersburg High School</t>
  </si>
  <si>
    <t>Parkersburg South High School</t>
  </si>
  <si>
    <t>Philip Barbour High School Complex</t>
  </si>
  <si>
    <t>Philippi</t>
  </si>
  <si>
    <t>Poca High School</t>
  </si>
  <si>
    <t>Poca</t>
  </si>
  <si>
    <t>Point Pleasant Junior/Senior High School</t>
  </si>
  <si>
    <t>Pikeview High School</t>
  </si>
  <si>
    <t>Princeton Senior High School</t>
  </si>
  <si>
    <t>Ravenswood High School</t>
  </si>
  <si>
    <t>Ravenswood</t>
  </si>
  <si>
    <t>Ridgeley</t>
  </si>
  <si>
    <t>Montcalm High School</t>
  </si>
  <si>
    <t>Rock</t>
  </si>
  <si>
    <t>Hampshire Senior High School</t>
  </si>
  <si>
    <t>Romney</t>
  </si>
  <si>
    <t>Seth</t>
  </si>
  <si>
    <t>Shady Spring High School</t>
  </si>
  <si>
    <t>Shenandoah Junction</t>
  </si>
  <si>
    <t>Shinnston</t>
  </si>
  <si>
    <t>Tyler Consolidated High School</t>
  </si>
  <si>
    <t>Sistersville</t>
  </si>
  <si>
    <t>Smithers</t>
  </si>
  <si>
    <t>South Charleston High School</t>
  </si>
  <si>
    <t>Saint Albans High School</t>
  </si>
  <si>
    <t>St. Albans</t>
  </si>
  <si>
    <t>St. Marys High School</t>
  </si>
  <si>
    <t>St. Marys</t>
  </si>
  <si>
    <t>Braxton County High School</t>
  </si>
  <si>
    <t>Upperglade</t>
  </si>
  <si>
    <t>Van Junior/Senior High School</t>
  </si>
  <si>
    <t>Weir High School</t>
  </si>
  <si>
    <t>Mount View High School</t>
  </si>
  <si>
    <t>Brooke High School</t>
  </si>
  <si>
    <t>Wellsburg</t>
  </si>
  <si>
    <t>Doddridge County High School</t>
  </si>
  <si>
    <t>Wheeling Park High School</t>
  </si>
  <si>
    <t>Tug Valley High School</t>
  </si>
  <si>
    <t>Williamstown High School</t>
  </si>
  <si>
    <t>Abbotsford Middle/Senior High School</t>
  </si>
  <si>
    <t>Abbotsford</t>
  </si>
  <si>
    <t>Adams-Friendship High School</t>
  </si>
  <si>
    <t>Algoma High School</t>
  </si>
  <si>
    <t>Algoma</t>
  </si>
  <si>
    <t>Alma Center</t>
  </si>
  <si>
    <t>Almond-Bancroft High School</t>
  </si>
  <si>
    <t>Altoona High School</t>
  </si>
  <si>
    <t>Amery High School</t>
  </si>
  <si>
    <t>Amery</t>
  </si>
  <si>
    <t>Antigo High School</t>
  </si>
  <si>
    <t>Antigo</t>
  </si>
  <si>
    <t>Appleton Eschool</t>
  </si>
  <si>
    <t>Fox Cities Leadership Academy</t>
  </si>
  <si>
    <t>Tesla Engineering Charter School</t>
  </si>
  <si>
    <t>Valley New School</t>
  </si>
  <si>
    <t>Argyle High School</t>
  </si>
  <si>
    <t>Lake Superior High School</t>
  </si>
  <si>
    <t>Auburndale High School</t>
  </si>
  <si>
    <t>Wildlands Charter School</t>
  </si>
  <si>
    <t>Baldwin-Woodville High School</t>
  </si>
  <si>
    <t>Balsam Lake</t>
  </si>
  <si>
    <t>Bangor Middle/High School</t>
  </si>
  <si>
    <t>Baraboo High School</t>
  </si>
  <si>
    <t>Baraboo</t>
  </si>
  <si>
    <t>Barneveld High School</t>
  </si>
  <si>
    <t>Barneveld</t>
  </si>
  <si>
    <t>Barron High School</t>
  </si>
  <si>
    <t>Barron</t>
  </si>
  <si>
    <t>Beaver Dam</t>
  </si>
  <si>
    <t>Roy Chapman Andrews Academy</t>
  </si>
  <si>
    <t>Birchwood Blue Hills Charter School</t>
  </si>
  <si>
    <t>Birchwood</t>
  </si>
  <si>
    <t>Birchwood High School</t>
  </si>
  <si>
    <t>Black River Falls High School</t>
  </si>
  <si>
    <t>Black River Falls</t>
  </si>
  <si>
    <t>Blair-Taylor Middle/High School</t>
  </si>
  <si>
    <t>Blanchardville</t>
  </si>
  <si>
    <t>Bloomer High School</t>
  </si>
  <si>
    <t>Bloomer</t>
  </si>
  <si>
    <t>Bonduel High School</t>
  </si>
  <si>
    <t>Bonduel</t>
  </si>
  <si>
    <t>Boscobel High School</t>
  </si>
  <si>
    <t>Boscobel</t>
  </si>
  <si>
    <t>Bowler High School</t>
  </si>
  <si>
    <t>Bowler</t>
  </si>
  <si>
    <t>Boyceville High School</t>
  </si>
  <si>
    <t>Boyceville</t>
  </si>
  <si>
    <t>Brillion High School</t>
  </si>
  <si>
    <t>Brillion</t>
  </si>
  <si>
    <t>Brodhead High School</t>
  </si>
  <si>
    <t>Brodhead</t>
  </si>
  <si>
    <t>Brown Deer Middle/High School</t>
  </si>
  <si>
    <t>Brown Deer</t>
  </si>
  <si>
    <t>Southern Door High School</t>
  </si>
  <si>
    <t>Butternut High School</t>
  </si>
  <si>
    <t>Butternut</t>
  </si>
  <si>
    <t>Promethean Charter School</t>
  </si>
  <si>
    <t>Cadott High School</t>
  </si>
  <si>
    <t>Cadott</t>
  </si>
  <si>
    <t>Cambria Friesland Middle/High School</t>
  </si>
  <si>
    <t>Campbellsport High School</t>
  </si>
  <si>
    <t>Campbellsport</t>
  </si>
  <si>
    <t>Cashton Middle/High School</t>
  </si>
  <si>
    <t>Cashton</t>
  </si>
  <si>
    <t>Cedar Grove-Belgium High School</t>
  </si>
  <si>
    <t>Cedarburg High School</t>
  </si>
  <si>
    <t>Cedarburg</t>
  </si>
  <si>
    <t>Chetek-Weyerhaeuser High School</t>
  </si>
  <si>
    <t>Chetek</t>
  </si>
  <si>
    <t>Chilton High School</t>
  </si>
  <si>
    <t>Chilton</t>
  </si>
  <si>
    <t>Chippewa Falls High School</t>
  </si>
  <si>
    <t>Clintonville High School</t>
  </si>
  <si>
    <t>Colby High School</t>
  </si>
  <si>
    <t>Cornell</t>
  </si>
  <si>
    <t>Crandon High School</t>
  </si>
  <si>
    <t>Crandon</t>
  </si>
  <si>
    <t>Crivitz High School</t>
  </si>
  <si>
    <t>Crivitz</t>
  </si>
  <si>
    <t>Cuba City High School</t>
  </si>
  <si>
    <t>Cudahy High School</t>
  </si>
  <si>
    <t>Cudahy</t>
  </si>
  <si>
    <t>De Forest High School</t>
  </si>
  <si>
    <t>De Forest</t>
  </si>
  <si>
    <t>De Pere High School</t>
  </si>
  <si>
    <t>De Pere</t>
  </si>
  <si>
    <t>Phantom Knight School Of Opportunity</t>
  </si>
  <si>
    <t>West De Pere High School</t>
  </si>
  <si>
    <t>De Soto High School</t>
  </si>
  <si>
    <t>Delavan-Darien High School</t>
  </si>
  <si>
    <t>Denmark Community School</t>
  </si>
  <si>
    <t>Dodgeville High School</t>
  </si>
  <si>
    <t>Dodgeville</t>
  </si>
  <si>
    <t>Durand Middle/High School</t>
  </si>
  <si>
    <t>Northland Pines High School</t>
  </si>
  <si>
    <t>School Of Options &amp; Applied Research High School</t>
  </si>
  <si>
    <t>East Troy High School</t>
  </si>
  <si>
    <t>East Troy</t>
  </si>
  <si>
    <t>Edgar High School</t>
  </si>
  <si>
    <t>Edgar</t>
  </si>
  <si>
    <t>Elcho High School</t>
  </si>
  <si>
    <t>Elcho</t>
  </si>
  <si>
    <t>Elk Mound High School</t>
  </si>
  <si>
    <t>Elk Mound</t>
  </si>
  <si>
    <t>Elkhart Lake High School</t>
  </si>
  <si>
    <t>Elkhart Lake</t>
  </si>
  <si>
    <t>Elkhorn Area High School</t>
  </si>
  <si>
    <t>Walworth Co Educ Alt High School</t>
  </si>
  <si>
    <t>Royall High School</t>
  </si>
  <si>
    <t>Elroy</t>
  </si>
  <si>
    <t>Evansville High School</t>
  </si>
  <si>
    <t>Fall Creek High School</t>
  </si>
  <si>
    <t>Fall Creek</t>
  </si>
  <si>
    <t>Fall River High School</t>
  </si>
  <si>
    <t>Fennimore High School</t>
  </si>
  <si>
    <t>Fennimore</t>
  </si>
  <si>
    <t>Gibraltar High School</t>
  </si>
  <si>
    <t>Fish Creek</t>
  </si>
  <si>
    <t>Fond Du Lac High School</t>
  </si>
  <si>
    <t>Fort Atkinson High School</t>
  </si>
  <si>
    <t>Fort Atkinson</t>
  </si>
  <si>
    <t>Cochrane-Fountain City High School</t>
  </si>
  <si>
    <t>Frederic 6-12 School</t>
  </si>
  <si>
    <t>Frederic</t>
  </si>
  <si>
    <t>Ozaukee High School</t>
  </si>
  <si>
    <t>Galesville-Ettrick-Trempealeau High School</t>
  </si>
  <si>
    <t>Galesville</t>
  </si>
  <si>
    <t>Gillett High School</t>
  </si>
  <si>
    <t>Gillett</t>
  </si>
  <si>
    <t>Gilman High School</t>
  </si>
  <si>
    <t>Gilmanton High School</t>
  </si>
  <si>
    <t>Gilmanton</t>
  </si>
  <si>
    <t>Nicolet High School</t>
  </si>
  <si>
    <t>Glenwood City High School</t>
  </si>
  <si>
    <t>Glenwood City</t>
  </si>
  <si>
    <t>Goodman High School</t>
  </si>
  <si>
    <t>Goodman</t>
  </si>
  <si>
    <t>Granton High School</t>
  </si>
  <si>
    <t>Granton</t>
  </si>
  <si>
    <t>Grantsburg High School</t>
  </si>
  <si>
    <t>Grantsburg</t>
  </si>
  <si>
    <t>Iforward</t>
  </si>
  <si>
    <t>Ashwaubenon High School</t>
  </si>
  <si>
    <t>Bay Port High School</t>
  </si>
  <si>
    <t>John Dewey Academy Of Learning</t>
  </si>
  <si>
    <t>Preble High School</t>
  </si>
  <si>
    <t>Green Lake High School</t>
  </si>
  <si>
    <t>Green Lake</t>
  </si>
  <si>
    <t>Greendale High School</t>
  </si>
  <si>
    <t>Whitnall High School</t>
  </si>
  <si>
    <t>Saint Croix Central High School</t>
  </si>
  <si>
    <t>Arrowhead High School</t>
  </si>
  <si>
    <t>Northern Waters Environmental School</t>
  </si>
  <si>
    <t>Southwestern Wisconsin High School</t>
  </si>
  <si>
    <t>High Schoolland Community High School</t>
  </si>
  <si>
    <t>Hilbert High School</t>
  </si>
  <si>
    <t>Hilbert</t>
  </si>
  <si>
    <t>Holcombe High School</t>
  </si>
  <si>
    <t>Holcombe</t>
  </si>
  <si>
    <t>Holmen High School</t>
  </si>
  <si>
    <t>Horicon High School</t>
  </si>
  <si>
    <t>Horicon</t>
  </si>
  <si>
    <t>Hortonville High School</t>
  </si>
  <si>
    <t>Howards Grove High School</t>
  </si>
  <si>
    <t>Howards Grove</t>
  </si>
  <si>
    <t>Hustisford High School</t>
  </si>
  <si>
    <t>Hustisford</t>
  </si>
  <si>
    <t>Iola-Scandinavia High School</t>
  </si>
  <si>
    <t>Rock River Charter School</t>
  </si>
  <si>
    <t>Rock University High School</t>
  </si>
  <si>
    <t>Tagos Leadership Academy</t>
  </si>
  <si>
    <t>Johnson Creek Middle And High School</t>
  </si>
  <si>
    <t>Johnson Creek</t>
  </si>
  <si>
    <t>Juda High School</t>
  </si>
  <si>
    <t>Juda</t>
  </si>
  <si>
    <t>Dodgeland High School</t>
  </si>
  <si>
    <t>Kaukauna High School</t>
  </si>
  <si>
    <t>Kaukauna</t>
  </si>
  <si>
    <t>Kenosha</t>
  </si>
  <si>
    <t>Harborside Academy</t>
  </si>
  <si>
    <t>Indian Trail High School And Academy</t>
  </si>
  <si>
    <t>Tremper High School</t>
  </si>
  <si>
    <t>Menominee Indian High School</t>
  </si>
  <si>
    <t>Keshena</t>
  </si>
  <si>
    <t>Kewaskum High School</t>
  </si>
  <si>
    <t>Kewaskum</t>
  </si>
  <si>
    <t>Kewaunee High School</t>
  </si>
  <si>
    <t>Kewaunee</t>
  </si>
  <si>
    <t>Kiel Eschool</t>
  </si>
  <si>
    <t>Kiel</t>
  </si>
  <si>
    <t>Kiel High School</t>
  </si>
  <si>
    <t>Kohler High School</t>
  </si>
  <si>
    <t>Kohler</t>
  </si>
  <si>
    <t>7 Rivers Community High School</t>
  </si>
  <si>
    <t>Lacrossroads Charter</t>
  </si>
  <si>
    <t>La Farge High School</t>
  </si>
  <si>
    <t>La Farge</t>
  </si>
  <si>
    <t>Ladysmith High School</t>
  </si>
  <si>
    <t>Lake Geneva</t>
  </si>
  <si>
    <t>Lake Mills High School</t>
  </si>
  <si>
    <t>Laona High School</t>
  </si>
  <si>
    <t>Laona</t>
  </si>
  <si>
    <t>Lena High School</t>
  </si>
  <si>
    <t>Little Chute Career Pathways Academy</t>
  </si>
  <si>
    <t>Little Chute</t>
  </si>
  <si>
    <t>Little Chute High School</t>
  </si>
  <si>
    <t>Iowa-Grant High School</t>
  </si>
  <si>
    <t>Lomira High School</t>
  </si>
  <si>
    <t>Lomira</t>
  </si>
  <si>
    <t>Loyal High School</t>
  </si>
  <si>
    <t>Loyal</t>
  </si>
  <si>
    <t>Luck High School</t>
  </si>
  <si>
    <t>Luck</t>
  </si>
  <si>
    <t>Luxemburg-Casco High School</t>
  </si>
  <si>
    <t>Luxemburg</t>
  </si>
  <si>
    <t>Lafollette High School</t>
  </si>
  <si>
    <t>Little Wolf Junior/Senior High School</t>
  </si>
  <si>
    <t>Manawa</t>
  </si>
  <si>
    <t>Maple</t>
  </si>
  <si>
    <t>Marinette High School</t>
  </si>
  <si>
    <t>Markesan High School</t>
  </si>
  <si>
    <t>Markesan</t>
  </si>
  <si>
    <t>Ilead Charter Sch</t>
  </si>
  <si>
    <t>Mauston</t>
  </si>
  <si>
    <t>Mauston High School</t>
  </si>
  <si>
    <t>Wisconsin Heights High School</t>
  </si>
  <si>
    <t>Mazomanie</t>
  </si>
  <si>
    <t>Melrose-Mindoro Junior/Senior High School</t>
  </si>
  <si>
    <t>Menasha High School</t>
  </si>
  <si>
    <t>Menasha</t>
  </si>
  <si>
    <t>Menomonee Falls High School</t>
  </si>
  <si>
    <t>Menomonee Falls</t>
  </si>
  <si>
    <t>Menomonie High School</t>
  </si>
  <si>
    <t>Menomonie</t>
  </si>
  <si>
    <t>Mequon</t>
  </si>
  <si>
    <t>Clark Street Community School</t>
  </si>
  <si>
    <t>Alliance School Of Milwaukee</t>
  </si>
  <si>
    <t>Audubon Technology And Communication High School</t>
  </si>
  <si>
    <t>Bay View High School</t>
  </si>
  <si>
    <t>Bradley Technology High School</t>
  </si>
  <si>
    <t>Carmen Hi Southeast Campus</t>
  </si>
  <si>
    <t>Carmen High School Of Science And Technology South Campus</t>
  </si>
  <si>
    <t>Carmen Mid/Hi Northwest Campus</t>
  </si>
  <si>
    <t>Escuela Verde</t>
  </si>
  <si>
    <t>James Madison Academyemic Campus</t>
  </si>
  <si>
    <t>King International</t>
  </si>
  <si>
    <t>Milwaukee Collegiate Academy</t>
  </si>
  <si>
    <t>Milwaukee Community Cyber High School</t>
  </si>
  <si>
    <t>Milwaukee Excellence Charter School</t>
  </si>
  <si>
    <t>Milwaukee High School Of The Arts</t>
  </si>
  <si>
    <t>Milwaukee School Of Languages</t>
  </si>
  <si>
    <t>North Division High School 0419</t>
  </si>
  <si>
    <t>Pathways High School</t>
  </si>
  <si>
    <t>Reagan College Preparatory High School</t>
  </si>
  <si>
    <t>South Division High School</t>
  </si>
  <si>
    <t>Tenor High School</t>
  </si>
  <si>
    <t>Veritas High School</t>
  </si>
  <si>
    <t>Vincent High School</t>
  </si>
  <si>
    <t>WHigh School Information Technology</t>
  </si>
  <si>
    <t>Mineral Point High School</t>
  </si>
  <si>
    <t>Mineral Point</t>
  </si>
  <si>
    <t>Minocqua</t>
  </si>
  <si>
    <t>Lakeland Star Academy (Lsa)</t>
  </si>
  <si>
    <t>Northwood High School/Middle</t>
  </si>
  <si>
    <t>Minong</t>
  </si>
  <si>
    <t>Mishicot High School</t>
  </si>
  <si>
    <t>Mishicot</t>
  </si>
  <si>
    <t>Mondovi High School</t>
  </si>
  <si>
    <t>Mondovi</t>
  </si>
  <si>
    <t>Monona Grove High School</t>
  </si>
  <si>
    <t>Monona Grove Liberal Arts</t>
  </si>
  <si>
    <t>High School Marq Environmental Charter School</t>
  </si>
  <si>
    <t>Montello</t>
  </si>
  <si>
    <t>Montello Junior/Senior High School</t>
  </si>
  <si>
    <t>Mosinee High School</t>
  </si>
  <si>
    <t>Mount Horeb High School</t>
  </si>
  <si>
    <t>Mount Horeb</t>
  </si>
  <si>
    <t>Mukwonago High School</t>
  </si>
  <si>
    <t>Mukwonago</t>
  </si>
  <si>
    <t>Muscoda</t>
  </si>
  <si>
    <t>Muskego High School</t>
  </si>
  <si>
    <t>Muskego</t>
  </si>
  <si>
    <t>Juneau County Charter School</t>
  </si>
  <si>
    <t>Necedah</t>
  </si>
  <si>
    <t>Necedah High School</t>
  </si>
  <si>
    <t>Neenah High School</t>
  </si>
  <si>
    <t>Neillsville Middle/High School</t>
  </si>
  <si>
    <t>Neillsville</t>
  </si>
  <si>
    <t>Nekoosa High School</t>
  </si>
  <si>
    <t>Nekoosa</t>
  </si>
  <si>
    <t>New Auburn Jr-Sr High School</t>
  </si>
  <si>
    <t>New Auburn</t>
  </si>
  <si>
    <t>Eisenhower Middle/High School</t>
  </si>
  <si>
    <t>New Berlin Middle/High School</t>
  </si>
  <si>
    <t>New Glarus High School</t>
  </si>
  <si>
    <t>New Glarus</t>
  </si>
  <si>
    <t>New Holstein High School</t>
  </si>
  <si>
    <t>New Holstein</t>
  </si>
  <si>
    <t>New Lisbon Junior High School/High School</t>
  </si>
  <si>
    <t>New Lisbon</t>
  </si>
  <si>
    <t>Niagara High School</t>
  </si>
  <si>
    <t>Niagara</t>
  </si>
  <si>
    <t>Horace Mann High School</t>
  </si>
  <si>
    <t>North Fond Du Lac</t>
  </si>
  <si>
    <t>Oak Creek High School</t>
  </si>
  <si>
    <t>Oakfield High School</t>
  </si>
  <si>
    <t>Oconomowoc High School</t>
  </si>
  <si>
    <t>Oconomowoc</t>
  </si>
  <si>
    <t>Oconto High School</t>
  </si>
  <si>
    <t>Oconto</t>
  </si>
  <si>
    <t>Falls Alternative Learning Site (Fals)</t>
  </si>
  <si>
    <t>Oconto Falls</t>
  </si>
  <si>
    <t>Oconto Falls High School</t>
  </si>
  <si>
    <t>Omro High School</t>
  </si>
  <si>
    <t>Omro</t>
  </si>
  <si>
    <t>Oostburg High School</t>
  </si>
  <si>
    <t>Orfordville</t>
  </si>
  <si>
    <t>Osseo-Fairchild High School</t>
  </si>
  <si>
    <t>Owen-Withee High School</t>
  </si>
  <si>
    <t>Owen</t>
  </si>
  <si>
    <t>Palmyra-Eagle High School</t>
  </si>
  <si>
    <t>Pardeeville High School</t>
  </si>
  <si>
    <t>Pardeeville</t>
  </si>
  <si>
    <t>Chequamegon High School</t>
  </si>
  <si>
    <t>Park Falls</t>
  </si>
  <si>
    <t>Patch Grove</t>
  </si>
  <si>
    <t>Pembine High School</t>
  </si>
  <si>
    <t>Pembine</t>
  </si>
  <si>
    <t>Pepin High School</t>
  </si>
  <si>
    <t>Pepin</t>
  </si>
  <si>
    <t>Peshtigo High School</t>
  </si>
  <si>
    <t>Pewaukee High School</t>
  </si>
  <si>
    <t>Pewaukee</t>
  </si>
  <si>
    <t>Phillips</t>
  </si>
  <si>
    <t>Pittsville High School</t>
  </si>
  <si>
    <t>Pittsville</t>
  </si>
  <si>
    <t>Platteville High School</t>
  </si>
  <si>
    <t>Platteville</t>
  </si>
  <si>
    <t>Plum City High School</t>
  </si>
  <si>
    <t>Plum City</t>
  </si>
  <si>
    <t>John Edwards High School</t>
  </si>
  <si>
    <t>Port Edwards</t>
  </si>
  <si>
    <t>Port Washington High School</t>
  </si>
  <si>
    <t>South Shore Jr/Sr High School</t>
  </si>
  <si>
    <t>Port Wing</t>
  </si>
  <si>
    <t>Poynette High School</t>
  </si>
  <si>
    <t>Poynette</t>
  </si>
  <si>
    <t>Prairie Du Chien High School</t>
  </si>
  <si>
    <t>Prairie Du Chien</t>
  </si>
  <si>
    <t>Sauk Prairie High School</t>
  </si>
  <si>
    <t>Prairie Du Sac</t>
  </si>
  <si>
    <t>Prairie Farm High School</t>
  </si>
  <si>
    <t>Prairie Farm</t>
  </si>
  <si>
    <t>Prentice High School</t>
  </si>
  <si>
    <t>Prentice</t>
  </si>
  <si>
    <t>Case High School</t>
  </si>
  <si>
    <t>Horlick High School</t>
  </si>
  <si>
    <t>Random Lake High School</t>
  </si>
  <si>
    <t>Random Lake</t>
  </si>
  <si>
    <t>Reedsburg Area High School</t>
  </si>
  <si>
    <t>Reedsburg</t>
  </si>
  <si>
    <t>Reedsville High School</t>
  </si>
  <si>
    <t>Rhinelander High School</t>
  </si>
  <si>
    <t>Rhinelander</t>
  </si>
  <si>
    <t>Rib Lake High School</t>
  </si>
  <si>
    <t>Rib Lake</t>
  </si>
  <si>
    <t>Northern Lakes Regional Academy</t>
  </si>
  <si>
    <t>Rice Lake</t>
  </si>
  <si>
    <t>Rice Lake High School</t>
  </si>
  <si>
    <t>Richland Center</t>
  </si>
  <si>
    <t>Richland Center High School</t>
  </si>
  <si>
    <t>Richland Online Academy</t>
  </si>
  <si>
    <t>Rio Middle/High School</t>
  </si>
  <si>
    <t>Rio</t>
  </si>
  <si>
    <t>Lumen Charter High School</t>
  </si>
  <si>
    <t>Renaissance Charter Academy</t>
  </si>
  <si>
    <t>River Falls High School</t>
  </si>
  <si>
    <t>Cirrus Charter High School</t>
  </si>
  <si>
    <t>Rosholt High School</t>
  </si>
  <si>
    <t>Saint Croix Falls High School</t>
  </si>
  <si>
    <t>Saint Croix Falls</t>
  </si>
  <si>
    <t>Saint Francis High School</t>
  </si>
  <si>
    <t>Shawano High School</t>
  </si>
  <si>
    <t>Shawano</t>
  </si>
  <si>
    <t>Sheboygan</t>
  </si>
  <si>
    <t>Etude High School</t>
  </si>
  <si>
    <t>George D Warriner High School For Personalized Learning</t>
  </si>
  <si>
    <t>Sheboygan Falls High School</t>
  </si>
  <si>
    <t>Shell Lake Junior/Senior High School</t>
  </si>
  <si>
    <t>Shell Lake</t>
  </si>
  <si>
    <t>Shiocton High School</t>
  </si>
  <si>
    <t>Shiocton</t>
  </si>
  <si>
    <t>Shorewood</t>
  </si>
  <si>
    <t>Shullsburg High School</t>
  </si>
  <si>
    <t>Shullsburg</t>
  </si>
  <si>
    <t>Siren High School</t>
  </si>
  <si>
    <t>Siren</t>
  </si>
  <si>
    <t>Slinger High School</t>
  </si>
  <si>
    <t>Slinger</t>
  </si>
  <si>
    <t>North Crawford High School</t>
  </si>
  <si>
    <t>Soldiers Grove</t>
  </si>
  <si>
    <t>South Milwaukee High School</t>
  </si>
  <si>
    <t>South Milwaukee</t>
  </si>
  <si>
    <t>Black Hawk High School</t>
  </si>
  <si>
    <t>South Wayne</t>
  </si>
  <si>
    <t>Sparta High School Point School</t>
  </si>
  <si>
    <t>Spencer Junior High School/High School</t>
  </si>
  <si>
    <t>Spooner High School</t>
  </si>
  <si>
    <t>Spooner</t>
  </si>
  <si>
    <t>Spring Green</t>
  </si>
  <si>
    <t>Stanley-Boyd High School</t>
  </si>
  <si>
    <t>Stevens Point Area Senior High School</t>
  </si>
  <si>
    <t>Stevens Point</t>
  </si>
  <si>
    <t>Eleva-Strum High School</t>
  </si>
  <si>
    <t>Strum</t>
  </si>
  <si>
    <t>Sevastopol High School</t>
  </si>
  <si>
    <t>Sturgeon Bay</t>
  </si>
  <si>
    <t>Sturgeon Bay High School</t>
  </si>
  <si>
    <t>The Real Sch</t>
  </si>
  <si>
    <t>Sturtevant</t>
  </si>
  <si>
    <t>Sun Prairie High School</t>
  </si>
  <si>
    <t>Sun Prairie</t>
  </si>
  <si>
    <t>Suring High School</t>
  </si>
  <si>
    <t>Suring</t>
  </si>
  <si>
    <t>Thorp High School</t>
  </si>
  <si>
    <t>Thorp</t>
  </si>
  <si>
    <t>Three Lakes</t>
  </si>
  <si>
    <t>Tigerton High School</t>
  </si>
  <si>
    <t>Tigerton</t>
  </si>
  <si>
    <t>Tomah High School</t>
  </si>
  <si>
    <t>Tomah</t>
  </si>
  <si>
    <t>Tomahawk High School</t>
  </si>
  <si>
    <t>Tomahawk</t>
  </si>
  <si>
    <t>Flambeau High School</t>
  </si>
  <si>
    <t>Tony</t>
  </si>
  <si>
    <t>Turtle Lake High School</t>
  </si>
  <si>
    <t>Two Rivers</t>
  </si>
  <si>
    <t>Union Grove</t>
  </si>
  <si>
    <t>Valders High School</t>
  </si>
  <si>
    <t>Valders</t>
  </si>
  <si>
    <t>Exploration Academy</t>
  </si>
  <si>
    <t>Verona Area High School</t>
  </si>
  <si>
    <t>Viroqua</t>
  </si>
  <si>
    <t>Vernon County Area Better Futures High School</t>
  </si>
  <si>
    <t>Viroqua High School</t>
  </si>
  <si>
    <t>Wabeno High School</t>
  </si>
  <si>
    <t>Wabeno</t>
  </si>
  <si>
    <t>High School Of Health Sciences</t>
  </si>
  <si>
    <t>Kettle Moraine High School</t>
  </si>
  <si>
    <t>Km Global Sch</t>
  </si>
  <si>
    <t>School For Arts And Performance</t>
  </si>
  <si>
    <t>Big Foot High School</t>
  </si>
  <si>
    <t>Washington Island High School</t>
  </si>
  <si>
    <t>Washington Island</t>
  </si>
  <si>
    <t>Endeavor Charter School</t>
  </si>
  <si>
    <t>Eachieve Academy - Wisconsin</t>
  </si>
  <si>
    <t>Waukesha Academy Of Health Professions</t>
  </si>
  <si>
    <t>Waukesha Engineering Preparatory Academy</t>
  </si>
  <si>
    <t>Waunakee High School</t>
  </si>
  <si>
    <t>Waupaca High School</t>
  </si>
  <si>
    <t>Waupaca</t>
  </si>
  <si>
    <t>Waupun Area Senior High School</t>
  </si>
  <si>
    <t>Waupun</t>
  </si>
  <si>
    <t>Wausau</t>
  </si>
  <si>
    <t>Wausau Engineering And Global Leadership Academy</t>
  </si>
  <si>
    <t>Wausaukee High School</t>
  </si>
  <si>
    <t>Wausaukee</t>
  </si>
  <si>
    <t>Wautoma High School</t>
  </si>
  <si>
    <t>Wautoma</t>
  </si>
  <si>
    <t>Wauwatosa</t>
  </si>
  <si>
    <t>Wauzeka High School</t>
  </si>
  <si>
    <t>Wauzeka</t>
  </si>
  <si>
    <t>Webster High School</t>
  </si>
  <si>
    <t>West Allis</t>
  </si>
  <si>
    <t>Pathways</t>
  </si>
  <si>
    <t>Westfield Area High School</t>
  </si>
  <si>
    <t>D C Everest High School</t>
  </si>
  <si>
    <t>D C Everest Idea School</t>
  </si>
  <si>
    <t>Weyauwega High School</t>
  </si>
  <si>
    <t>Weyauwega</t>
  </si>
  <si>
    <t>White Lake High School</t>
  </si>
  <si>
    <t>Whitefish Bay High School</t>
  </si>
  <si>
    <t>Whitefish Bay</t>
  </si>
  <si>
    <t>Whitehall Memorial Junior/Senior High School</t>
  </si>
  <si>
    <t>Wild Rose High School</t>
  </si>
  <si>
    <t>Wild Rose</t>
  </si>
  <si>
    <t>Williams Bay High School</t>
  </si>
  <si>
    <t>Williams Bay</t>
  </si>
  <si>
    <t>Wilmot High School</t>
  </si>
  <si>
    <t>Winneconne High School</t>
  </si>
  <si>
    <t>Winneconne</t>
  </si>
  <si>
    <t>Winter High School</t>
  </si>
  <si>
    <t>Winter</t>
  </si>
  <si>
    <t>Wisconsin Dells High School</t>
  </si>
  <si>
    <t>Wittenberg-Birnamwood High School</t>
  </si>
  <si>
    <t>Wittenberg</t>
  </si>
  <si>
    <t>Wonewoc-Center High School</t>
  </si>
  <si>
    <t>Wonewoc</t>
  </si>
  <si>
    <t>Wrightstown High School</t>
  </si>
  <si>
    <t>Star Valley High School</t>
  </si>
  <si>
    <t>Swift Creek High School</t>
  </si>
  <si>
    <t>Arapahoe Charter High School</t>
  </si>
  <si>
    <t>Riverside Middle/High School</t>
  </si>
  <si>
    <t>Basin</t>
  </si>
  <si>
    <t>Big Horn High School</t>
  </si>
  <si>
    <t>Big Horn</t>
  </si>
  <si>
    <t>Big Piney High School</t>
  </si>
  <si>
    <t>Big Piney</t>
  </si>
  <si>
    <t>Burns Jr &amp; Sr High School</t>
  </si>
  <si>
    <t>Kelly Walsh High School</t>
  </si>
  <si>
    <t>Casper</t>
  </si>
  <si>
    <t>Natrona County High School</t>
  </si>
  <si>
    <t>Triumph High School</t>
  </si>
  <si>
    <t>Heart Mountain Academy</t>
  </si>
  <si>
    <t>Cokeville High School</t>
  </si>
  <si>
    <t>Cokeville</t>
  </si>
  <si>
    <t>Cowley</t>
  </si>
  <si>
    <t>The Bridge School</t>
  </si>
  <si>
    <t>Tongue River High School</t>
  </si>
  <si>
    <t>Kemmerer Junior Senior High School</t>
  </si>
  <si>
    <t>Diamondville</t>
  </si>
  <si>
    <t>New Frontier High School</t>
  </si>
  <si>
    <t>Dubois High School</t>
  </si>
  <si>
    <t>Wyoming Indian High School</t>
  </si>
  <si>
    <t>Ethete</t>
  </si>
  <si>
    <t>Evanston High School</t>
  </si>
  <si>
    <t>Farson-Eden High School</t>
  </si>
  <si>
    <t>Farson</t>
  </si>
  <si>
    <t>Ft. Washakie High School</t>
  </si>
  <si>
    <t>Ft. Washakie</t>
  </si>
  <si>
    <t>Gillette</t>
  </si>
  <si>
    <t>Thunder Basin High School</t>
  </si>
  <si>
    <t>Glenrock Jr/Sr High School</t>
  </si>
  <si>
    <t>Glenrock</t>
  </si>
  <si>
    <t>Expedition Academy</t>
  </si>
  <si>
    <t>Greybull High School</t>
  </si>
  <si>
    <t>Greybull</t>
  </si>
  <si>
    <t>Guernsey-Sunrise High School</t>
  </si>
  <si>
    <t>Guernsey</t>
  </si>
  <si>
    <t>Hem Junior/Senior High School</t>
  </si>
  <si>
    <t>Jackson Hole High School</t>
  </si>
  <si>
    <t>Summit Innovations School</t>
  </si>
  <si>
    <t>Lander Valley High School</t>
  </si>
  <si>
    <t>Lander</t>
  </si>
  <si>
    <t>Pathfinder High School</t>
  </si>
  <si>
    <t>Laramie High School</t>
  </si>
  <si>
    <t>Laramie</t>
  </si>
  <si>
    <t>Lingle-Ft. Laramie High School</t>
  </si>
  <si>
    <t>Lingle</t>
  </si>
  <si>
    <t>Lovell High School</t>
  </si>
  <si>
    <t>Lovell</t>
  </si>
  <si>
    <t>Niobrara County High School</t>
  </si>
  <si>
    <t>Lusk</t>
  </si>
  <si>
    <t>Lyman</t>
  </si>
  <si>
    <t>Moorcroft High School</t>
  </si>
  <si>
    <t>Moorcroft</t>
  </si>
  <si>
    <t>Wind River High School</t>
  </si>
  <si>
    <t>Pavillion</t>
  </si>
  <si>
    <t>Wind River Learning Academy</t>
  </si>
  <si>
    <t>Pine Bluffs Jr &amp; Sr High School</t>
  </si>
  <si>
    <t>Pine Bluffs</t>
  </si>
  <si>
    <t>Pinedale High School</t>
  </si>
  <si>
    <t>Pinedale</t>
  </si>
  <si>
    <t>Shoshone Learning Center</t>
  </si>
  <si>
    <t>Cooperative High School</t>
  </si>
  <si>
    <t>Rawlins</t>
  </si>
  <si>
    <t>Rawlins High School</t>
  </si>
  <si>
    <t>Frontier Academy</t>
  </si>
  <si>
    <t>Rock River High School</t>
  </si>
  <si>
    <t>Rock River</t>
  </si>
  <si>
    <t>Black Butte High School</t>
  </si>
  <si>
    <t>Rock Springs</t>
  </si>
  <si>
    <t>Rock Springs High School</t>
  </si>
  <si>
    <t>Saratoga Middle/High School</t>
  </si>
  <si>
    <t>John C. Schiffer Collaborative School</t>
  </si>
  <si>
    <t>Shoshoni High School</t>
  </si>
  <si>
    <t>Shoshoni</t>
  </si>
  <si>
    <t>Sundance Secondary School</t>
  </si>
  <si>
    <t>Sundance</t>
  </si>
  <si>
    <t>Hot Springs County High School</t>
  </si>
  <si>
    <t>Thermopolis</t>
  </si>
  <si>
    <t>Upton High School</t>
  </si>
  <si>
    <t>Chugwater High School</t>
  </si>
  <si>
    <t>Glendo High School</t>
  </si>
  <si>
    <t>Peak High School</t>
  </si>
  <si>
    <t>Worland High School</t>
  </si>
  <si>
    <t>Wright Jr. &amp; Sr. High School</t>
  </si>
  <si>
    <t>Wright</t>
  </si>
  <si>
    <t>Gladebrook Dr, Texas, USA</t>
  </si>
  <si>
    <t>Osborne Rd NE &amp; Central Ave NE, Fridley, Minnesota 55432, USA</t>
  </si>
  <si>
    <t>Smoky Hill Rd &amp; S Kirk St, Aurora, Colorado, 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</si>
</sst>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\-d"/>
  </numFmts>
  <fonts count="47">
    <font>
      <sz val="10"/>
      <color rgb="FF000000"/>
      <name val="Arial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sz val="9"/>
      <color theme="1"/>
      <name val="Calibri"/>
      <family val="2"/>
    </font>
    <font>
      <b/>
      <sz val="10"/>
      <color theme="1"/>
      <name val="Arial"/>
      <family val="2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2A6496"/>
      <name val="Siro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2A6496"/>
      <name val="Inherit"/>
    </font>
    <font>
      <u/>
      <sz val="10"/>
      <color rgb="FF3778B4"/>
      <name val="Siro"/>
    </font>
    <font>
      <u/>
      <sz val="10"/>
      <color rgb="FF2A6496"/>
      <name val="Siro"/>
    </font>
    <font>
      <u/>
      <sz val="10"/>
      <color rgb="FF3778B4"/>
      <name val="Siro"/>
    </font>
    <font>
      <b/>
      <u/>
      <sz val="12"/>
      <color rgb="FF0000FF"/>
      <name val="Arial"/>
      <family val="2"/>
    </font>
    <font>
      <u/>
      <sz val="10"/>
      <color rgb="FF3778B4"/>
      <name val="Siro"/>
    </font>
    <font>
      <u/>
      <sz val="10"/>
      <color rgb="FF3778B4"/>
      <name val="Arial"/>
      <family val="2"/>
    </font>
    <font>
      <u/>
      <sz val="10"/>
      <color rgb="FF0000FF"/>
      <name val="Arial"/>
      <family val="2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3778B4"/>
      <name val="Siro"/>
    </font>
    <font>
      <sz val="10"/>
      <color rgb="FF333333"/>
      <name val="Arial"/>
      <family val="2"/>
    </font>
    <font>
      <u/>
      <sz val="10"/>
      <color rgb="FF3778B4"/>
      <name val="Siro"/>
    </font>
    <font>
      <u/>
      <sz val="10"/>
      <color rgb="FF3778B4"/>
      <name val="Siro"/>
    </font>
    <font>
      <u/>
      <sz val="10"/>
      <color rgb="FF0000FF"/>
      <name val="Arial"/>
      <family val="2"/>
    </font>
    <font>
      <sz val="11"/>
      <color rgb="FF000000"/>
      <name val="Inconsolata"/>
    </font>
    <font>
      <u/>
      <sz val="10"/>
      <color rgb="FF3778B4"/>
      <name val="Siro"/>
    </font>
    <font>
      <u/>
      <sz val="10"/>
      <color rgb="FF3778B4"/>
      <name val="Siro"/>
    </font>
    <font>
      <sz val="10"/>
      <color rgb="FF333333"/>
      <name val="Siro"/>
    </font>
    <font>
      <u/>
      <sz val="10"/>
      <color rgb="FF3778B4"/>
      <name val="Siro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3778B4"/>
      <name val="Siro"/>
    </font>
    <font>
      <b/>
      <u/>
      <sz val="12"/>
      <color rgb="FF0000FF"/>
      <name val="Arial"/>
      <family val="2"/>
    </font>
    <font>
      <sz val="10"/>
      <color rgb="FF000000"/>
      <name val="Siro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4951A5"/>
      <name val="Arial"/>
      <family val="2"/>
    </font>
    <font>
      <sz val="10"/>
      <color rgb="FF3778B4"/>
      <name val="Arial"/>
      <family val="2"/>
    </font>
    <font>
      <b/>
      <u/>
      <sz val="12"/>
      <color rgb="FF0000FF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CFE2F3"/>
        <bgColor rgb="FFCFE2F3"/>
      </patternFill>
    </fill>
    <fill>
      <patternFill patternType="solid">
        <fgColor rgb="FFDD7E6B"/>
        <bgColor rgb="FFDD7E6B"/>
      </patternFill>
    </fill>
    <fill>
      <patternFill patternType="solid">
        <fgColor rgb="FFC9DAF8"/>
        <bgColor rgb="FFC9DAF8"/>
      </patternFill>
    </fill>
    <fill>
      <patternFill patternType="solid">
        <fgColor rgb="FFF8F8F8"/>
        <bgColor rgb="FFF8F8F8"/>
      </patternFill>
    </fill>
    <fill>
      <patternFill patternType="solid">
        <fgColor rgb="FFE0E0E0"/>
        <bgColor rgb="FFE0E0E0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</fills>
  <borders count="10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30">
    <xf numFmtId="0" fontId="0" fillId="0" borderId="0" xfId="0" applyFont="1" applyAlignment="1"/>
    <xf numFmtId="0" fontId="1" fillId="0" borderId="0" xfId="0" applyFont="1" applyAlignment="1">
      <alignment horizontal="center" wrapText="1"/>
    </xf>
    <xf numFmtId="0" fontId="1" fillId="0" borderId="0" xfId="0" applyFont="1"/>
    <xf numFmtId="0" fontId="1" fillId="0" borderId="0" xfId="0" applyFont="1" applyAlignment="1"/>
    <xf numFmtId="0" fontId="2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right"/>
    </xf>
    <xf numFmtId="0" fontId="1" fillId="0" borderId="0" xfId="0" applyFont="1" applyAlignment="1"/>
    <xf numFmtId="0" fontId="4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2" fillId="2" borderId="0" xfId="0" applyFont="1" applyFill="1" applyAlignment="1">
      <alignment horizontal="right"/>
    </xf>
    <xf numFmtId="0" fontId="3" fillId="0" borderId="0" xfId="0" applyFont="1" applyAlignment="1">
      <alignment horizontal="center"/>
    </xf>
    <xf numFmtId="0" fontId="5" fillId="0" borderId="0" xfId="0" applyFont="1" applyAlignment="1"/>
    <xf numFmtId="0" fontId="5" fillId="0" borderId="0" xfId="0" applyFont="1"/>
    <xf numFmtId="0" fontId="4" fillId="3" borderId="0" xfId="0" applyFont="1" applyFill="1" applyAlignment="1">
      <alignment horizontal="center"/>
    </xf>
    <xf numFmtId="0" fontId="6" fillId="4" borderId="0" xfId="0" applyFont="1" applyFill="1" applyAlignment="1"/>
    <xf numFmtId="0" fontId="7" fillId="5" borderId="0" xfId="0" applyFont="1" applyFill="1" applyAlignment="1"/>
    <xf numFmtId="0" fontId="8" fillId="6" borderId="0" xfId="0" applyFont="1" applyFill="1" applyAlignment="1"/>
    <xf numFmtId="0" fontId="9" fillId="4" borderId="0" xfId="0" applyFont="1" applyFill="1" applyAlignment="1">
      <alignment horizontal="left"/>
    </xf>
    <xf numFmtId="0" fontId="10" fillId="4" borderId="0" xfId="0" applyFont="1" applyFill="1" applyAlignment="1">
      <alignment horizontal="left"/>
    </xf>
    <xf numFmtId="0" fontId="11" fillId="7" borderId="0" xfId="0" applyFont="1" applyFill="1" applyAlignment="1"/>
    <xf numFmtId="0" fontId="3" fillId="0" borderId="0" xfId="0" applyFont="1" applyAlignment="1">
      <alignment horizontal="center"/>
    </xf>
    <xf numFmtId="0" fontId="1" fillId="0" borderId="1" xfId="0" applyFont="1" applyBorder="1" applyAlignment="1"/>
    <xf numFmtId="0" fontId="4" fillId="3" borderId="2" xfId="0" applyFont="1" applyFill="1" applyBorder="1" applyAlignment="1">
      <alignment horizontal="center"/>
    </xf>
    <xf numFmtId="0" fontId="12" fillId="5" borderId="0" xfId="0" applyFont="1" applyFill="1" applyAlignment="1">
      <alignment horizontal="left"/>
    </xf>
    <xf numFmtId="0" fontId="13" fillId="6" borderId="0" xfId="0" applyFont="1" applyFill="1" applyAlignment="1"/>
    <xf numFmtId="0" fontId="4" fillId="3" borderId="2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14" fillId="7" borderId="0" xfId="0" applyFont="1" applyFill="1" applyAlignment="1">
      <alignment horizontal="left"/>
    </xf>
    <xf numFmtId="0" fontId="4" fillId="8" borderId="2" xfId="0" applyFont="1" applyFill="1" applyBorder="1" applyAlignment="1">
      <alignment horizontal="center" wrapText="1"/>
    </xf>
    <xf numFmtId="0" fontId="15" fillId="5" borderId="0" xfId="0" applyFont="1" applyFill="1" applyAlignment="1"/>
    <xf numFmtId="0" fontId="16" fillId="2" borderId="0" xfId="0" applyFont="1" applyFill="1" applyAlignment="1">
      <alignment horizontal="right"/>
    </xf>
    <xf numFmtId="0" fontId="17" fillId="6" borderId="0" xfId="0" applyFont="1" applyFill="1" applyAlignment="1">
      <alignment horizontal="left"/>
    </xf>
    <xf numFmtId="0" fontId="18" fillId="5" borderId="0" xfId="0" applyFont="1" applyFill="1" applyAlignment="1"/>
    <xf numFmtId="0" fontId="19" fillId="0" borderId="0" xfId="0" applyFont="1" applyAlignment="1">
      <alignment horizontal="center"/>
    </xf>
    <xf numFmtId="0" fontId="4" fillId="3" borderId="0" xfId="0" applyFont="1" applyFill="1" applyAlignment="1">
      <alignment horizontal="center"/>
    </xf>
    <xf numFmtId="0" fontId="20" fillId="7" borderId="0" xfId="0" applyFont="1" applyFill="1" applyAlignment="1"/>
    <xf numFmtId="0" fontId="21" fillId="7" borderId="0" xfId="0" applyFont="1" applyFill="1" applyAlignment="1"/>
    <xf numFmtId="0" fontId="22" fillId="9" borderId="0" xfId="0" applyFont="1" applyFill="1" applyAlignment="1"/>
    <xf numFmtId="0" fontId="23" fillId="5" borderId="0" xfId="0" applyFont="1" applyFill="1" applyAlignment="1">
      <alignment horizontal="left"/>
    </xf>
    <xf numFmtId="0" fontId="4" fillId="2" borderId="2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24" fillId="0" borderId="0" xfId="0" applyFont="1" applyAlignment="1"/>
    <xf numFmtId="0" fontId="25" fillId="7" borderId="0" xfId="0" applyFont="1" applyFill="1" applyAlignment="1">
      <alignment horizontal="left"/>
    </xf>
    <xf numFmtId="0" fontId="26" fillId="0" borderId="0" xfId="0" applyFont="1" applyAlignment="1"/>
    <xf numFmtId="0" fontId="27" fillId="0" borderId="0" xfId="0" applyFont="1" applyAlignment="1"/>
    <xf numFmtId="0" fontId="28" fillId="3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29" fillId="3" borderId="0" xfId="0" applyFont="1" applyFill="1" applyAlignment="1">
      <alignment horizontal="left"/>
    </xf>
    <xf numFmtId="0" fontId="28" fillId="10" borderId="0" xfId="0" applyFont="1" applyFill="1" applyAlignment="1">
      <alignment horizontal="center"/>
    </xf>
    <xf numFmtId="0" fontId="30" fillId="10" borderId="0" xfId="0" applyFont="1" applyFill="1" applyAlignment="1">
      <alignment horizontal="left"/>
    </xf>
    <xf numFmtId="0" fontId="31" fillId="0" borderId="0" xfId="0" applyFont="1"/>
    <xf numFmtId="0" fontId="32" fillId="3" borderId="0" xfId="0" applyFont="1" applyFill="1"/>
    <xf numFmtId="0" fontId="5" fillId="0" borderId="0" xfId="0" applyFont="1" applyAlignment="1">
      <alignment horizontal="center"/>
    </xf>
    <xf numFmtId="0" fontId="33" fillId="3" borderId="0" xfId="0" applyFont="1" applyFill="1" applyAlignment="1"/>
    <xf numFmtId="0" fontId="4" fillId="5" borderId="0" xfId="0" applyFont="1" applyFill="1" applyAlignment="1">
      <alignment horizontal="center"/>
    </xf>
    <xf numFmtId="0" fontId="34" fillId="10" borderId="0" xfId="0" applyFont="1" applyFill="1" applyAlignment="1"/>
    <xf numFmtId="0" fontId="35" fillId="3" borderId="0" xfId="0" applyFont="1" applyFill="1" applyAlignment="1">
      <alignment horizontal="center"/>
    </xf>
    <xf numFmtId="0" fontId="35" fillId="3" borderId="0" xfId="0" applyFont="1" applyFill="1" applyAlignment="1">
      <alignment horizontal="right"/>
    </xf>
    <xf numFmtId="164" fontId="1" fillId="0" borderId="3" xfId="0" applyNumberFormat="1" applyFont="1" applyBorder="1" applyAlignment="1"/>
    <xf numFmtId="0" fontId="1" fillId="0" borderId="4" xfId="0" applyFont="1" applyBorder="1" applyAlignment="1"/>
    <xf numFmtId="0" fontId="36" fillId="3" borderId="0" xfId="0" applyFont="1" applyFill="1" applyAlignment="1"/>
    <xf numFmtId="0" fontId="35" fillId="10" borderId="0" xfId="0" applyFont="1" applyFill="1" applyAlignment="1">
      <alignment horizontal="center"/>
    </xf>
    <xf numFmtId="0" fontId="35" fillId="10" borderId="0" xfId="0" applyFont="1" applyFill="1" applyAlignment="1">
      <alignment horizontal="right"/>
    </xf>
    <xf numFmtId="0" fontId="1" fillId="0" borderId="5" xfId="0" applyFont="1" applyBorder="1"/>
    <xf numFmtId="0" fontId="1" fillId="0" borderId="6" xfId="0" applyFont="1" applyBorder="1" applyAlignment="1"/>
    <xf numFmtId="0" fontId="1" fillId="0" borderId="0" xfId="0" applyFont="1" applyAlignment="1">
      <alignment horizontal="right"/>
    </xf>
    <xf numFmtId="0" fontId="37" fillId="3" borderId="0" xfId="0" applyFont="1" applyFill="1" applyAlignment="1">
      <alignment horizontal="left"/>
    </xf>
    <xf numFmtId="0" fontId="1" fillId="0" borderId="5" xfId="0" applyFont="1" applyBorder="1" applyAlignment="1"/>
    <xf numFmtId="0" fontId="5" fillId="0" borderId="0" xfId="0" applyFont="1" applyAlignment="1">
      <alignment horizontal="right"/>
    </xf>
    <xf numFmtId="0" fontId="5" fillId="0" borderId="0" xfId="0" applyFont="1" applyAlignment="1"/>
    <xf numFmtId="0" fontId="1" fillId="0" borderId="7" xfId="0" applyFont="1" applyBorder="1" applyAlignment="1"/>
    <xf numFmtId="0" fontId="1" fillId="0" borderId="8" xfId="0" applyFont="1" applyBorder="1" applyAlignment="1"/>
    <xf numFmtId="0" fontId="1" fillId="0" borderId="0" xfId="0" applyFont="1" applyAlignment="1"/>
    <xf numFmtId="0" fontId="38" fillId="3" borderId="0" xfId="0" applyFont="1" applyFill="1" applyAlignment="1">
      <alignment horizontal="left"/>
    </xf>
    <xf numFmtId="0" fontId="4" fillId="5" borderId="2" xfId="0" applyFont="1" applyFill="1" applyBorder="1" applyAlignment="1">
      <alignment horizontal="center"/>
    </xf>
    <xf numFmtId="0" fontId="39" fillId="3" borderId="0" xfId="0" applyFont="1" applyFill="1" applyAlignment="1">
      <alignment horizontal="left"/>
    </xf>
    <xf numFmtId="0" fontId="39" fillId="10" borderId="0" xfId="0" applyFont="1" applyFill="1" applyAlignment="1">
      <alignment horizontal="left"/>
    </xf>
    <xf numFmtId="0" fontId="35" fillId="10" borderId="0" xfId="0" applyFont="1" applyFill="1" applyAlignment="1">
      <alignment horizontal="center"/>
    </xf>
    <xf numFmtId="0" fontId="35" fillId="3" borderId="0" xfId="0" applyFont="1" applyFill="1" applyAlignment="1">
      <alignment horizontal="center"/>
    </xf>
    <xf numFmtId="0" fontId="39" fillId="3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5" fillId="3" borderId="0" xfId="0" applyFont="1" applyFill="1" applyAlignment="1">
      <alignment horizontal="right"/>
    </xf>
    <xf numFmtId="0" fontId="28" fillId="3" borderId="0" xfId="0" applyFont="1" applyFill="1" applyAlignment="1">
      <alignment horizontal="right"/>
    </xf>
    <xf numFmtId="0" fontId="35" fillId="10" borderId="0" xfId="0" applyFont="1" applyFill="1" applyAlignment="1">
      <alignment horizontal="center"/>
    </xf>
    <xf numFmtId="0" fontId="35" fillId="10" borderId="0" xfId="0" applyFont="1" applyFill="1" applyAlignment="1">
      <alignment horizontal="right"/>
    </xf>
    <xf numFmtId="0" fontId="35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5" borderId="0" xfId="0" applyFont="1" applyFill="1" applyAlignment="1">
      <alignment horizontal="right"/>
    </xf>
    <xf numFmtId="0" fontId="4" fillId="5" borderId="2" xfId="0" applyFont="1" applyFill="1" applyBorder="1" applyAlignment="1">
      <alignment horizontal="center"/>
    </xf>
    <xf numFmtId="0" fontId="40" fillId="5" borderId="0" xfId="0" applyFont="1" applyFill="1" applyAlignment="1">
      <alignment horizontal="right"/>
    </xf>
    <xf numFmtId="0" fontId="35" fillId="11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39" fillId="11" borderId="0" xfId="0" applyFont="1" applyFill="1" applyAlignment="1">
      <alignment horizontal="left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right"/>
    </xf>
    <xf numFmtId="0" fontId="35" fillId="11" borderId="0" xfId="0" applyFont="1" applyFill="1" applyAlignment="1">
      <alignment horizontal="right"/>
    </xf>
    <xf numFmtId="0" fontId="41" fillId="3" borderId="0" xfId="0" applyFont="1" applyFill="1" applyAlignment="1">
      <alignment horizontal="left"/>
    </xf>
    <xf numFmtId="0" fontId="42" fillId="0" borderId="0" xfId="0" applyFont="1" applyAlignment="1">
      <alignment horizontal="left" vertical="top"/>
    </xf>
    <xf numFmtId="0" fontId="42" fillId="0" borderId="0" xfId="0" applyFont="1" applyAlignment="1">
      <alignment horizontal="left" vertical="top"/>
    </xf>
    <xf numFmtId="0" fontId="43" fillId="0" borderId="0" xfId="0" applyFont="1" applyAlignment="1">
      <alignment vertical="top"/>
    </xf>
    <xf numFmtId="0" fontId="44" fillId="0" borderId="0" xfId="0" applyFont="1" applyAlignment="1">
      <alignment vertical="top"/>
    </xf>
    <xf numFmtId="0" fontId="1" fillId="0" borderId="0" xfId="0" applyFont="1"/>
    <xf numFmtId="0" fontId="1" fillId="0" borderId="0" xfId="0" applyFont="1"/>
    <xf numFmtId="0" fontId="1" fillId="0" borderId="0" xfId="0" applyFont="1" applyAlignment="1"/>
    <xf numFmtId="0" fontId="1" fillId="0" borderId="9" xfId="0" applyFont="1" applyBorder="1" applyAlignment="1"/>
    <xf numFmtId="0" fontId="1" fillId="0" borderId="0" xfId="0" applyFont="1" applyAlignment="1"/>
    <xf numFmtId="0" fontId="1" fillId="0" borderId="9" xfId="0" applyFont="1" applyBorder="1" applyAlignment="1"/>
    <xf numFmtId="0" fontId="35" fillId="0" borderId="0" xfId="0" applyFont="1" applyAlignment="1">
      <alignment horizontal="center"/>
    </xf>
    <xf numFmtId="0" fontId="39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0" fontId="45" fillId="3" borderId="0" xfId="0" applyFont="1" applyFill="1" applyAlignment="1">
      <alignment horizontal="left"/>
    </xf>
    <xf numFmtId="0" fontId="2" fillId="12" borderId="0" xfId="0" applyFont="1" applyFill="1" applyAlignment="1">
      <alignment horizontal="right"/>
    </xf>
    <xf numFmtId="0" fontId="4" fillId="12" borderId="0" xfId="0" applyFont="1" applyFill="1" applyAlignment="1">
      <alignment horizontal="center"/>
    </xf>
    <xf numFmtId="0" fontId="46" fillId="12" borderId="0" xfId="0" applyFont="1" applyFill="1" applyAlignment="1">
      <alignment horizontal="right"/>
    </xf>
    <xf numFmtId="0" fontId="1" fillId="0" borderId="0" xfId="0" applyFont="1" applyAlignment="1"/>
    <xf numFmtId="0" fontId="2" fillId="13" borderId="0" xfId="0" applyFont="1" applyFill="1" applyAlignment="1">
      <alignment horizontal="right"/>
    </xf>
    <xf numFmtId="0" fontId="4" fillId="13" borderId="0" xfId="0" applyFont="1" applyFill="1" applyAlignment="1">
      <alignment horizontal="center"/>
    </xf>
    <xf numFmtId="0" fontId="2" fillId="7" borderId="0" xfId="0" applyFont="1" applyFill="1" applyAlignment="1">
      <alignment horizontal="right"/>
    </xf>
    <xf numFmtId="0" fontId="4" fillId="9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st%20of%20Other%20High%20Schoo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 of Other High School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xpreps.com/high-schools/etiwanda-eagles-(etiwanda,ca)/basketball/home.htm" TargetMode="External"/><Relationship Id="rId13" Type="http://schemas.openxmlformats.org/officeDocument/2006/relationships/hyperlink" Target="https://www.maxpreps.com/high-schools/curie-condors-(chicago,il)/basketball/home.htm" TargetMode="External"/><Relationship Id="rId3" Type="http://schemas.openxmlformats.org/officeDocument/2006/relationships/hyperlink" Target="https://www.maxpreps.com/high-schools/dematha-stags-(hyattsville,md)/basketball/home.htm" TargetMode="External"/><Relationship Id="rId7" Type="http://schemas.openxmlformats.org/officeDocument/2006/relationships/hyperlink" Target="https://www.maxpreps.com/high-schools/duncanville-panthers-and-pantherettes-(duncanville,tx)/basketball/home.htm" TargetMode="External"/><Relationship Id="rId12" Type="http://schemas.openxmlformats.org/officeDocument/2006/relationships/hyperlink" Target="https://www.maxpreps.com/high-schools/paul-vi-panthers-(fairfax,va)/basketball/home.htm" TargetMode="External"/><Relationship Id="rId2" Type="http://schemas.openxmlformats.org/officeDocument/2006/relationships/hyperlink" Target="https://www.maxpreps.com/high-schools/sierra-canyon-trailblazers-(chatsworth,ca)/basketball/home.htm" TargetMode="External"/><Relationship Id="rId1" Type="http://schemas.openxmlformats.org/officeDocument/2006/relationships/hyperlink" Target="https://www.maxpreps.com/high-schools/montverde-academy-eagles-(montverde,fl)/basketball/home.htm" TargetMode="External"/><Relationship Id="rId6" Type="http://schemas.openxmlformats.org/officeDocument/2006/relationships/hyperlink" Target="https://www.maxpreps.com/high-schools/ribet-academy-fighting-frogs-(los-angeles,ca)/basketball/home.htm" TargetMode="External"/><Relationship Id="rId11" Type="http://schemas.openxmlformats.org/officeDocument/2006/relationships/hyperlink" Target="https://www.maxpreps.com/high-schools/long-island-lutheran-crusaders-(brookville,ny)/basketball/home.htm" TargetMode="External"/><Relationship Id="rId5" Type="http://schemas.openxmlformats.org/officeDocument/2006/relationships/hyperlink" Target="https://www.maxpreps.com/high-schools/sheldon-huskies-(sacramento,ca)/basketball/home.htm" TargetMode="External"/><Relationship Id="rId15" Type="http://schemas.openxmlformats.org/officeDocument/2006/relationships/hyperlink" Target="https://www.maxpreps.com/high-schools/dorman-cavaliers-(roebuck,sc)/basketball/home.htm" TargetMode="External"/><Relationship Id="rId10" Type="http://schemas.openxmlformats.org/officeDocument/2006/relationships/hyperlink" Target="https://www.maxpreps.com/high-schools/grayson-rams-(loganville,ga)/basketball/home.htm" TargetMode="External"/><Relationship Id="rId4" Type="http://schemas.openxmlformats.org/officeDocument/2006/relationships/hyperlink" Target="https://www.maxpreps.com/high-schools/bishop-gorman-gaels-(las-vegas,nv)/basketball/home.htm" TargetMode="External"/><Relationship Id="rId9" Type="http://schemas.openxmlformats.org/officeDocument/2006/relationships/hyperlink" Target="https://www.maxpreps.com/high-schools/prolific-prep-of-napa-christian-crew-(napa,ca)/basketball/home.htm" TargetMode="External"/><Relationship Id="rId14" Type="http://schemas.openxmlformats.org/officeDocument/2006/relationships/hyperlink" Target="https://www.maxpreps.com/high-schools/dickinson-gators-(dickinson,tx)/basketball/home.htm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maxpreps.com/high-schools/st-vincent-st-mary-fighting-irish-(akron,oh)/basketball/home.htm" TargetMode="External"/><Relationship Id="rId18" Type="http://schemas.openxmlformats.org/officeDocument/2006/relationships/hyperlink" Target="https://www.maxpreps.com/high-schools/curie-condors-(chicago,il)/basketball/home.htm" TargetMode="External"/><Relationship Id="rId26" Type="http://schemas.openxmlformats.org/officeDocument/2006/relationships/hyperlink" Target="https://www.maxpreps.com/high-schools/oak-hill-academy-warriors-(mouth-of-wilson,va)/basketball/home.htm" TargetMode="External"/><Relationship Id="rId39" Type="http://schemas.openxmlformats.org/officeDocument/2006/relationships/hyperlink" Target="https://www.maxpreps.com/high-schools/north-mecklenburg-vikings-(huntersville,nc)/basketball/home.htm" TargetMode="External"/><Relationship Id="rId3" Type="http://schemas.openxmlformats.org/officeDocument/2006/relationships/hyperlink" Target="https://www.maxpreps.com/high-schools/duncanville-panthers-and-pantherettes-(duncanville,tx)/basketball/home.htm" TargetMode="External"/><Relationship Id="rId21" Type="http://schemas.openxmlformats.org/officeDocument/2006/relationships/hyperlink" Target="https://www.maxpreps.com/high-schools/neumann-goretti-saints-(philadelphia,pa)/basketball/home.htm" TargetMode="External"/><Relationship Id="rId34" Type="http://schemas.openxmlformats.org/officeDocument/2006/relationships/hyperlink" Target="https://www.maxpreps.com/high-schools/john-paul-ii-cardinals-(plano,tx)/basketball/home.htm" TargetMode="External"/><Relationship Id="rId42" Type="http://schemas.openxmlformats.org/officeDocument/2006/relationships/hyperlink" Target="https://www.maxpreps.com/high-schools/concord-first-assembly-academy-eagles-(concord,nc)/basketball/home.htm" TargetMode="External"/><Relationship Id="rId47" Type="http://schemas.openxmlformats.org/officeDocument/2006/relationships/hyperlink" Target="https://www.maxpreps.com/high-schools/bishop-odowd-dragons-(oakland,ca)/basketball/home.htm" TargetMode="External"/><Relationship Id="rId50" Type="http://schemas.openxmlformats.org/officeDocument/2006/relationships/hyperlink" Target="https://www.maxpreps.com/high-schools/rancho-christian-eagles-(temecula,ca)/basketball/home.htm" TargetMode="External"/><Relationship Id="rId7" Type="http://schemas.openxmlformats.org/officeDocument/2006/relationships/hyperlink" Target="https://www.maxpreps.com/high-schools/st-edward-eagles-(lakewood,oh)/basketball/home.htm" TargetMode="External"/><Relationship Id="rId12" Type="http://schemas.openxmlformats.org/officeDocument/2006/relationships/hyperlink" Target="https://www.maxpreps.com/high-schools/grayson-rams-(loganville,ga)/basketball/home.htm" TargetMode="External"/><Relationship Id="rId17" Type="http://schemas.openxmlformats.org/officeDocument/2006/relationships/hyperlink" Target="https://www.maxpreps.com/high-schools/dorman-cavaliers-(roebuck,sc)/basketball/home.htm" TargetMode="External"/><Relationship Id="rId25" Type="http://schemas.openxmlformats.org/officeDocument/2006/relationships/hyperlink" Target="https://www.maxpreps.com/high-schools/richardson-eagles-(richardson,tx)/basketball/home.htm" TargetMode="External"/><Relationship Id="rId33" Type="http://schemas.openxmlformats.org/officeDocument/2006/relationships/hyperlink" Target="https://www.maxpreps.com/high-schools/archbishop-mitty-monarchs-(san-jose,ca)/basketball/home.htm" TargetMode="External"/><Relationship Id="rId38" Type="http://schemas.openxmlformats.org/officeDocument/2006/relationships/hyperlink" Target="https://www.maxpreps.com/high-schools/grand-prairie-gophers-(grand-prairie,tx)/basketball/home.htm" TargetMode="External"/><Relationship Id="rId46" Type="http://schemas.openxmlformats.org/officeDocument/2006/relationships/hyperlink" Target="https://www.maxpreps.com/high-schools/salesian-college-preparatory-pride-(richmond,ca)/basketball/home.htm" TargetMode="External"/><Relationship Id="rId2" Type="http://schemas.openxmlformats.org/officeDocument/2006/relationships/hyperlink" Target="https://www.maxpreps.com/high-schools/long-island-lutheran-crusaders-(brookville,ny)/basketball/home.htm" TargetMode="External"/><Relationship Id="rId16" Type="http://schemas.openxmlformats.org/officeDocument/2006/relationships/hyperlink" Target="https://www.maxpreps.com/m/high-schools/gonzaga-eagles-(washington,dc)/basketball/default.htm" TargetMode="External"/><Relationship Id="rId20" Type="http://schemas.openxmlformats.org/officeDocument/2006/relationships/hyperlink" Target="https://www.maxpreps.com/high-schools/scotlandville-hornets-(baton-rouge,la)/basketball/home.htm" TargetMode="External"/><Relationship Id="rId29" Type="http://schemas.openxmlformats.org/officeDocument/2006/relationships/hyperlink" Target="https://www.maxpreps.com/high-schools/prolific-prep-of-napa-christian-crew-(napa,ca)/basketball/home.htm" TargetMode="External"/><Relationship Id="rId41" Type="http://schemas.openxmlformats.org/officeDocument/2006/relationships/hyperlink" Target="https://www.maxpreps.com/high-schools/centennial-huskies-(corona,ca)/basketball/home.htm" TargetMode="External"/><Relationship Id="rId1" Type="http://schemas.openxmlformats.org/officeDocument/2006/relationships/hyperlink" Target="https://www.maxpreps.com/high-schools/bishop-gorman-gaels-(las-vegas,nv)/basketball/home.htm" TargetMode="External"/><Relationship Id="rId6" Type="http://schemas.openxmlformats.org/officeDocument/2006/relationships/hyperlink" Target="https://www.maxpreps.com/high-schools/hellgate-knights-(missoula,mt)/basketball/home.htm" TargetMode="External"/><Relationship Id="rId11" Type="http://schemas.openxmlformats.org/officeDocument/2006/relationships/hyperlink" Target="https://www.maxpreps.com/m/high-schools/paul-vi-panthers-(fairfax,va)/basketball/default.htm" TargetMode="External"/><Relationship Id="rId24" Type="http://schemas.openxmlformats.org/officeDocument/2006/relationships/hyperlink" Target="https://www.maxpreps.com/high-schools/etiwanda-eagles-(etiwanda,ca)/basketball/home.htm" TargetMode="External"/><Relationship Id="rId32" Type="http://schemas.openxmlformats.org/officeDocument/2006/relationships/hyperlink" Target="https://www.maxpreps.com/high-schools/archbishop-moeller-fighting-crusaders-(cincinnati,oh)/basketball/home.htm" TargetMode="External"/><Relationship Id="rId37" Type="http://schemas.openxmlformats.org/officeDocument/2006/relationships/hyperlink" Target="https://www.maxpreps.com/high-schools/mater-dei-monarchs-(santa-ana,ca)/basketball/home.htm" TargetMode="External"/><Relationship Id="rId40" Type="http://schemas.openxmlformats.org/officeDocument/2006/relationships/hyperlink" Target="https://www.maxpreps.com/high-schools/hamilton-chargers-(sussex,wi)/basketball/home.htm" TargetMode="External"/><Relationship Id="rId45" Type="http://schemas.openxmlformats.org/officeDocument/2006/relationships/hyperlink" Target="https://www.maxpreps.com/high-schools/santa-clarita-christian-cardinals-(canyon-country,ca)/basketball/home.htm" TargetMode="External"/><Relationship Id="rId5" Type="http://schemas.openxmlformats.org/officeDocument/2006/relationships/hyperlink" Target="https://www.maxpreps.com/high-schools/montverde-academy-eagles-(montverde,fl)/basketball/home.htm" TargetMode="External"/><Relationship Id="rId15" Type="http://schemas.openxmlformats.org/officeDocument/2006/relationships/hyperlink" Target="https://www.maxpreps.com/high-schools/lancaster-tigers-(lancaster,tx)/basketball/home.htm" TargetMode="External"/><Relationship Id="rId23" Type="http://schemas.openxmlformats.org/officeDocument/2006/relationships/hyperlink" Target="https://www.maxpreps.com/high-schools/lawrence-north-wildcats-(indianapolis,in)/basketball/home.htm" TargetMode="External"/><Relationship Id="rId28" Type="http://schemas.openxmlformats.org/officeDocument/2006/relationships/hyperlink" Target="https://www.maxpreps.com/high-schools/eden-prairie-eagles-(eden-prairie,mn)/basketball/home.htm" TargetMode="External"/><Relationship Id="rId36" Type="http://schemas.openxmlformats.org/officeDocument/2006/relationships/hyperlink" Target="https://www.maxpreps.com/high-schools/brookfield-central-lancers-(brookfield,wi)/basketball/home.htm" TargetMode="External"/><Relationship Id="rId49" Type="http://schemas.openxmlformats.org/officeDocument/2006/relationships/hyperlink" Target="https://www.maxpreps.com/high-schools/campolindo-cougars-(moraga,ca)/basketball/home.htm" TargetMode="External"/><Relationship Id="rId10" Type="http://schemas.openxmlformats.org/officeDocument/2006/relationships/hyperlink" Target="https://www.maxpreps.com/high-schools/dickinson-gators-(dickinson,tx)/basketball/home.htm" TargetMode="External"/><Relationship Id="rId19" Type="http://schemas.openxmlformats.org/officeDocument/2006/relationships/hyperlink" Target="https://www.maxpreps.com/high-schools/ribet-academy-fighting-frogs-(los-angeles,ca)/basketball/home.htm" TargetMode="External"/><Relationship Id="rId31" Type="http://schemas.openxmlformats.org/officeDocument/2006/relationships/hyperlink" Target="https://www.maxpreps.com/high-schools/lee-generals-(montgomery,al)/basketball/home.htm" TargetMode="External"/><Relationship Id="rId44" Type="http://schemas.openxmlformats.org/officeDocument/2006/relationships/hyperlink" Target="https://www.maxpreps.com/high-schools/windward-wildcats-(los-angeles,ca)/basketball/home.htm" TargetMode="External"/><Relationship Id="rId4" Type="http://schemas.openxmlformats.org/officeDocument/2006/relationships/hyperlink" Target="https://www.maxpreps.com/m/high-schools/dematha-stags-(hyattsville,md)/basketball/default.htm" TargetMode="External"/><Relationship Id="rId9" Type="http://schemas.openxmlformats.org/officeDocument/2006/relationships/hyperlink" Target="https://www.maxpreps.com/high-schools/st-benedicts-prep-gray-bees-(newark,nj)/basketball/home.htm" TargetMode="External"/><Relationship Id="rId14" Type="http://schemas.openxmlformats.org/officeDocument/2006/relationships/hyperlink" Target="https://www.maxpreps.com/high-schools/sheldon-huskies-(sacramento,ca)/basketball/home.htm" TargetMode="External"/><Relationship Id="rId22" Type="http://schemas.openxmlformats.org/officeDocument/2006/relationships/hyperlink" Target="https://www.maxpreps.com/high-schools/mountain-brook-spartans-(birmingham,al)/basketball/home.htm" TargetMode="External"/><Relationship Id="rId27" Type="http://schemas.openxmlformats.org/officeDocument/2006/relationships/hyperlink" Target="https://www.maxpreps.com/high-schools/img-academy-ascenders-(bradenton,fl)/basketball/home.htm" TargetMode="External"/><Relationship Id="rId30" Type="http://schemas.openxmlformats.org/officeDocument/2006/relationships/hyperlink" Target="https://www.maxpreps.com/high-schools/waxahachie-indians-(waxahachie,tx)/basketball/home.htm" TargetMode="External"/><Relationship Id="rId35" Type="http://schemas.openxmlformats.org/officeDocument/2006/relationships/hyperlink" Target="https://www.maxpreps.com/high-schools/callaway-chargers-(jackson,ms)/basketball/home.htm" TargetMode="External"/><Relationship Id="rId43" Type="http://schemas.openxmlformats.org/officeDocument/2006/relationships/hyperlink" Target="https://www.maxpreps.com/high-schools/harvard-westlake-wolverines-(studio-city,ca)/basketball/home.htm" TargetMode="External"/><Relationship Id="rId48" Type="http://schemas.openxmlformats.org/officeDocument/2006/relationships/hyperlink" Target="https://www.maxpreps.com/high-schools/archbishop-riordan-crusaders-(san-francisco,ca)/basketball/home.htm" TargetMode="External"/><Relationship Id="rId8" Type="http://schemas.openxmlformats.org/officeDocument/2006/relationships/hyperlink" Target="https://www.maxpreps.com/high-schools/sierra-canyon-trailblazers-(chatsworth,ca)/basketball/home.htm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axpreps.com/high-schools/dematha-stags-(hyattsville,md)/basketball/home.htm" TargetMode="External"/><Relationship Id="rId117" Type="http://schemas.openxmlformats.org/officeDocument/2006/relationships/hyperlink" Target="https://www.maxpreps.com/high-schools/duncanville-panthers-and-pantherettes-(duncanville,tx)/basketball/home.htm" TargetMode="External"/><Relationship Id="rId21" Type="http://schemas.openxmlformats.org/officeDocument/2006/relationships/hyperlink" Target="https://www.maxpreps.com/high-schools/long-island-lutheran-crusaders-(brookville,ny)/basketball/home.htm" TargetMode="External"/><Relationship Id="rId42" Type="http://schemas.openxmlformats.org/officeDocument/2006/relationships/hyperlink" Target="https://www.maxpreps.com/high-schools/montverde-academy-eagles-(montverde,fl)/basketball/home.htm" TargetMode="External"/><Relationship Id="rId47" Type="http://schemas.openxmlformats.org/officeDocument/2006/relationships/hyperlink" Target="https://www.maxpreps.com/high-schools/lawrence-north-wildcats-(indianapolis,in)/basketball/home.htm" TargetMode="External"/><Relationship Id="rId63" Type="http://schemas.openxmlformats.org/officeDocument/2006/relationships/hyperlink" Target="https://www.maxpreps.com/high-schools/bishop-odowd-dragons-(oakland,ca)/basketball/home.htm" TargetMode="External"/><Relationship Id="rId68" Type="http://schemas.openxmlformats.org/officeDocument/2006/relationships/hyperlink" Target="https://www.maxpreps.com/high-schools/bishop-gorman-gaels-(las-vegas,nv)/basketball/home.htm" TargetMode="External"/><Relationship Id="rId84" Type="http://schemas.openxmlformats.org/officeDocument/2006/relationships/hyperlink" Target="https://www.maxpreps.com/high-schools/paul-vi-panthers-(fairfax,va)/basketball/home.htm" TargetMode="External"/><Relationship Id="rId89" Type="http://schemas.openxmlformats.org/officeDocument/2006/relationships/hyperlink" Target="https://www.maxpreps.com/high-schools/concord-first-assembly-academy-eagles-(concord,nc)/basketball/home.htm" TargetMode="External"/><Relationship Id="rId112" Type="http://schemas.openxmlformats.org/officeDocument/2006/relationships/hyperlink" Target="https://www.maxpreps.com/high-schools/paul-vi-panthers-(fairfax,va)/basketball/home.htm" TargetMode="External"/><Relationship Id="rId133" Type="http://schemas.openxmlformats.org/officeDocument/2006/relationships/hyperlink" Target="https://www.maxpreps.com/high-schools/centennial-huskies-(corona,ca)/basketball/home.htm" TargetMode="External"/><Relationship Id="rId138" Type="http://schemas.openxmlformats.org/officeDocument/2006/relationships/hyperlink" Target="https://www.maxpreps.com/high-schools/st-edward-eagles-(lakewood,oh)/basketball/home.htm" TargetMode="External"/><Relationship Id="rId154" Type="http://schemas.openxmlformats.org/officeDocument/2006/relationships/hyperlink" Target="https://www.maxpreps.com/high-schools/archbishop-riordan-crusaders-(san-francisco,ca)/basketball/home.htm" TargetMode="External"/><Relationship Id="rId159" Type="http://schemas.openxmlformats.org/officeDocument/2006/relationships/hyperlink" Target="https://www.maxpreps.com/high-schools/richardson-eagles-(richardson,tx)/basketball/home.htm" TargetMode="External"/><Relationship Id="rId170" Type="http://schemas.openxmlformats.org/officeDocument/2006/relationships/hyperlink" Target="https://www.maxpreps.com/high-schools/lee-generals-(montgomery,al)/basketball/home.htm" TargetMode="External"/><Relationship Id="rId16" Type="http://schemas.openxmlformats.org/officeDocument/2006/relationships/hyperlink" Target="https://www.maxpreps.com/high-schools/dematha-stags-(hyattsville,md)/basketball/home.htm" TargetMode="External"/><Relationship Id="rId107" Type="http://schemas.openxmlformats.org/officeDocument/2006/relationships/hyperlink" Target="https://www.maxpreps.com/high-schools/duncanville-panthers-and-pantherettes-(duncanville,tx)/basketball/home.htm" TargetMode="External"/><Relationship Id="rId11" Type="http://schemas.openxmlformats.org/officeDocument/2006/relationships/hyperlink" Target="https://www.maxpreps.com/high-schools/ribet-academy-fighting-frogs-(los-angeles,ca)/basketball/home.htm" TargetMode="External"/><Relationship Id="rId32" Type="http://schemas.openxmlformats.org/officeDocument/2006/relationships/hyperlink" Target="https://www.maxpreps.com/high-schools/montverde-academy-eagles-(montverde,fl)/basketball/home.htm" TargetMode="External"/><Relationship Id="rId37" Type="http://schemas.openxmlformats.org/officeDocument/2006/relationships/hyperlink" Target="https://www.maxpreps.com/high-schools/archbishop-mitty-monarchs-(san-jose,ca)/basketball/home.htm" TargetMode="External"/><Relationship Id="rId53" Type="http://schemas.openxmlformats.org/officeDocument/2006/relationships/hyperlink" Target="https://www.maxpreps.com/high-schools/windward-wildcats-(los-angeles,ca)/basketball/home.htm" TargetMode="External"/><Relationship Id="rId58" Type="http://schemas.openxmlformats.org/officeDocument/2006/relationships/hyperlink" Target="https://www.maxpreps.com/high-schools/bishop-gorman-gaels-(las-vegas,nv)/basketball/home.htm" TargetMode="External"/><Relationship Id="rId74" Type="http://schemas.openxmlformats.org/officeDocument/2006/relationships/hyperlink" Target="https://www.maxpreps.com/high-schools/duncanville-panthers-and-pantherettes-(duncanville,tx)/basketball/home.htm" TargetMode="External"/><Relationship Id="rId79" Type="http://schemas.openxmlformats.org/officeDocument/2006/relationships/hyperlink" Target="https://www.maxpreps.com/high-schools/waxahachie-indians-(waxahachie,tx)/basketball/home.htm" TargetMode="External"/><Relationship Id="rId102" Type="http://schemas.openxmlformats.org/officeDocument/2006/relationships/hyperlink" Target="https://www.maxpreps.com/high-schools/paul-vi-panthers-(fairfax,va)/basketball/home.htm" TargetMode="External"/><Relationship Id="rId123" Type="http://schemas.openxmlformats.org/officeDocument/2006/relationships/hyperlink" Target="https://www.maxpreps.com/high-schools/curie-condors-(chicago,il)/basketball/home.htm" TargetMode="External"/><Relationship Id="rId128" Type="http://schemas.openxmlformats.org/officeDocument/2006/relationships/hyperlink" Target="https://www.maxpreps.com/high-schools/st-edward-eagles-(lakewood,oh)/basketball/home.htm" TargetMode="External"/><Relationship Id="rId144" Type="http://schemas.openxmlformats.org/officeDocument/2006/relationships/hyperlink" Target="https://www.maxpreps.com/high-schools/lawrence-north-wildcats-(indianapolis,in)/basketball/home.htm" TargetMode="External"/><Relationship Id="rId149" Type="http://schemas.openxmlformats.org/officeDocument/2006/relationships/hyperlink" Target="https://www.maxpreps.com/high-schools/hellgate-knights-(missoula,mt)/basketball/home.htm" TargetMode="External"/><Relationship Id="rId5" Type="http://schemas.openxmlformats.org/officeDocument/2006/relationships/hyperlink" Target="https://www.maxpreps.com/high-schools/dematha-stags-(hyattsville,md)/basketball/home.htm" TargetMode="External"/><Relationship Id="rId90" Type="http://schemas.openxmlformats.org/officeDocument/2006/relationships/hyperlink" Target="https://www.maxpreps.com/high-schools/dorman-cavaliers-(roebuck,sc)/basketball/home.htm" TargetMode="External"/><Relationship Id="rId95" Type="http://schemas.openxmlformats.org/officeDocument/2006/relationships/hyperlink" Target="https://www.maxpreps.com/high-schools/st-benedicts-prep-gray-bees-(newark,nj)/basketball/home.htm" TargetMode="External"/><Relationship Id="rId160" Type="http://schemas.openxmlformats.org/officeDocument/2006/relationships/hyperlink" Target="https://www.maxpreps.com/high-schools/waxahachie-indians-(waxahachie,tx)/basketball/home.htm" TargetMode="External"/><Relationship Id="rId165" Type="http://schemas.openxmlformats.org/officeDocument/2006/relationships/hyperlink" Target="https://www.maxpreps.com/high-schools/concord-first-assembly-academy-eagles-(concord,nc)/basketball/home.htm" TargetMode="External"/><Relationship Id="rId22" Type="http://schemas.openxmlformats.org/officeDocument/2006/relationships/hyperlink" Target="https://www.maxpreps.com/high-schools/montverde-academy-eagles-(montverde,fl)/basketball/home.htm" TargetMode="External"/><Relationship Id="rId27" Type="http://schemas.openxmlformats.org/officeDocument/2006/relationships/hyperlink" Target="https://www.maxpreps.com/high-schools/dickinson-gators-(dickinson,tx)/basketball/home.htm" TargetMode="External"/><Relationship Id="rId43" Type="http://schemas.openxmlformats.org/officeDocument/2006/relationships/hyperlink" Target="https://www.maxpreps.com/high-schools/mater-dei-monarchs-(santa-ana,ca)/basketball/home.htm" TargetMode="External"/><Relationship Id="rId48" Type="http://schemas.openxmlformats.org/officeDocument/2006/relationships/hyperlink" Target="https://www.maxpreps.com/high-schools/bishop-gorman-gaels-(las-vegas,nv)/basketball/home.htm" TargetMode="External"/><Relationship Id="rId64" Type="http://schemas.openxmlformats.org/officeDocument/2006/relationships/hyperlink" Target="https://www.maxpreps.com/high-schools/sierra-canyon-trailblazers-(chatsworth,ca)/basketball/home.htm" TargetMode="External"/><Relationship Id="rId69" Type="http://schemas.openxmlformats.org/officeDocument/2006/relationships/hyperlink" Target="https://www.maxpreps.com/high-schools/neumann-goretti-saints-(philadelphia,pa)/basketball/home.htm" TargetMode="External"/><Relationship Id="rId113" Type="http://schemas.openxmlformats.org/officeDocument/2006/relationships/hyperlink" Target="https://www.maxpreps.com/high-schools/curie-condors-(chicago,il)/basketball/home.htm" TargetMode="External"/><Relationship Id="rId118" Type="http://schemas.openxmlformats.org/officeDocument/2006/relationships/hyperlink" Target="https://www.maxpreps.com/high-schools/etiwanda-eagles-(etiwanda,ca)/basketball/home.htm" TargetMode="External"/><Relationship Id="rId134" Type="http://schemas.openxmlformats.org/officeDocument/2006/relationships/hyperlink" Target="https://www.maxpreps.com/high-schools/lawrence-north-wildcats-(indianapolis,in)/basketball/home.htm" TargetMode="External"/><Relationship Id="rId139" Type="http://schemas.openxmlformats.org/officeDocument/2006/relationships/hyperlink" Target="https://www.maxpreps.com/high-schools/archbishop-mitty-monarchs-(san-jose,ca)/basketball/home.htm" TargetMode="External"/><Relationship Id="rId80" Type="http://schemas.openxmlformats.org/officeDocument/2006/relationships/hyperlink" Target="https://www.maxpreps.com/high-schools/grayson-rams-(loganville,ga)/basketball/home.htm" TargetMode="External"/><Relationship Id="rId85" Type="http://schemas.openxmlformats.org/officeDocument/2006/relationships/hyperlink" Target="https://www.maxpreps.com/high-schools/img-academy-ascenders-(bradenton,fl)/basketball/home.htm" TargetMode="External"/><Relationship Id="rId150" Type="http://schemas.openxmlformats.org/officeDocument/2006/relationships/hyperlink" Target="https://www.maxpreps.com/high-schools/oak-hill-academy-warriors-(mouth-of-wilson,va)/basketball/home.htm" TargetMode="External"/><Relationship Id="rId155" Type="http://schemas.openxmlformats.org/officeDocument/2006/relationships/hyperlink" Target="https://www.maxpreps.com/high-schools/neumann-goretti-saints-(philadelphia,pa)/basketball/home.htm" TargetMode="External"/><Relationship Id="rId12" Type="http://schemas.openxmlformats.org/officeDocument/2006/relationships/hyperlink" Target="https://www.maxpreps.com/high-schools/montverde-academy-eagles-(montverde,fl)/basketball/home.htm" TargetMode="External"/><Relationship Id="rId17" Type="http://schemas.openxmlformats.org/officeDocument/2006/relationships/hyperlink" Target="https://www.maxpreps.com/high-schools/prolific-prep-of-napa-christian-crew-(napa,ca)/basketball/home.htm" TargetMode="External"/><Relationship Id="rId33" Type="http://schemas.openxmlformats.org/officeDocument/2006/relationships/hyperlink" Target="https://www.maxpreps.com/high-schools/lancaster-tigers-(lancaster,tx)/basketball/home.htm" TargetMode="External"/><Relationship Id="rId38" Type="http://schemas.openxmlformats.org/officeDocument/2006/relationships/hyperlink" Target="https://www.maxpreps.com/high-schools/bishop-gorman-gaels-(las-vegas,nv)/basketball/home.htm" TargetMode="External"/><Relationship Id="rId59" Type="http://schemas.openxmlformats.org/officeDocument/2006/relationships/hyperlink" Target="https://www.maxpreps.com/high-schools/oak-hill-academy-warriors-(mouth-of-wilson,va)/basketball/home.htm" TargetMode="External"/><Relationship Id="rId103" Type="http://schemas.openxmlformats.org/officeDocument/2006/relationships/hyperlink" Target="https://www.maxpreps.com/high-schools/curie-condors-(chicago,il)/basketball/home.htm" TargetMode="External"/><Relationship Id="rId108" Type="http://schemas.openxmlformats.org/officeDocument/2006/relationships/hyperlink" Target="https://www.maxpreps.com/high-schools/etiwanda-eagles-(etiwanda,ca)/basketball/home.htm" TargetMode="External"/><Relationship Id="rId124" Type="http://schemas.openxmlformats.org/officeDocument/2006/relationships/hyperlink" Target="https://www.maxpreps.com/high-schools/dickinson-gators-(dickinson,tx)/basketball/home.htm" TargetMode="External"/><Relationship Id="rId129" Type="http://schemas.openxmlformats.org/officeDocument/2006/relationships/hyperlink" Target="https://www.maxpreps.com/high-schools/archbishop-mitty-monarchs-(san-jose,ca)/basketball/home.htm" TargetMode="External"/><Relationship Id="rId54" Type="http://schemas.openxmlformats.org/officeDocument/2006/relationships/hyperlink" Target="https://www.maxpreps.com/high-schools/sierra-canyon-trailblazers-(chatsworth,ca)/basketball/home.htm" TargetMode="External"/><Relationship Id="rId70" Type="http://schemas.openxmlformats.org/officeDocument/2006/relationships/hyperlink" Target="https://www.maxpreps.com/high-schools/sheldon-huskies-(sacramento,ca)/basketball/home.htm" TargetMode="External"/><Relationship Id="rId75" Type="http://schemas.openxmlformats.org/officeDocument/2006/relationships/hyperlink" Target="https://www.maxpreps.com/high-schools/callaway-chargers-(jackson,ms)/basketball/home.htm" TargetMode="External"/><Relationship Id="rId91" Type="http://schemas.openxmlformats.org/officeDocument/2006/relationships/hyperlink" Target="https://www.maxpreps.com/high-schools/rancho-christian-eagles-(temecula,ca)/basketball/home.htm" TargetMode="External"/><Relationship Id="rId96" Type="http://schemas.openxmlformats.org/officeDocument/2006/relationships/hyperlink" Target="https://www.maxpreps.com/high-schools/etiwanda-eagles-(etiwanda,ca)/basketball/home.htm" TargetMode="External"/><Relationship Id="rId140" Type="http://schemas.openxmlformats.org/officeDocument/2006/relationships/hyperlink" Target="https://www.maxpreps.com/high-schools/mountain-brook-spartans-(birmingham,al)/basketball/home.htm" TargetMode="External"/><Relationship Id="rId145" Type="http://schemas.openxmlformats.org/officeDocument/2006/relationships/hyperlink" Target="https://www.maxpreps.com/high-schools/scotlandville-hornets-(baton-rouge,la)/basketball/home.htm" TargetMode="External"/><Relationship Id="rId161" Type="http://schemas.openxmlformats.org/officeDocument/2006/relationships/hyperlink" Target="https://www.maxpreps.com/high-schools/john-paul-ii-cardinals-(plano,tx)/basketball/home.htm" TargetMode="External"/><Relationship Id="rId166" Type="http://schemas.openxmlformats.org/officeDocument/2006/relationships/hyperlink" Target="https://www.maxpreps.com/high-schools/rancho-christian-eagles-(temecula,ca)/basketball/home.htm" TargetMode="External"/><Relationship Id="rId1" Type="http://schemas.openxmlformats.org/officeDocument/2006/relationships/hyperlink" Target="https://www.maxpreps.com/high-schools/montverde-academy-eagles-(montverde,fl)/basketball/home.htm" TargetMode="External"/><Relationship Id="rId6" Type="http://schemas.openxmlformats.org/officeDocument/2006/relationships/hyperlink" Target="https://www.maxpreps.com/high-schools/dematha-stags-(hyattsville,md)/basketball/home.htm" TargetMode="External"/><Relationship Id="rId15" Type="http://schemas.openxmlformats.org/officeDocument/2006/relationships/hyperlink" Target="https://www.maxpreps.com/high-schools/etiwanda-eagles-(etiwanda,ca)/basketball/home.htm" TargetMode="External"/><Relationship Id="rId23" Type="http://schemas.openxmlformats.org/officeDocument/2006/relationships/hyperlink" Target="https://www.maxpreps.com/high-schools/paul-vi-panthers-(fairfax,va)/basketball/home.htm" TargetMode="External"/><Relationship Id="rId28" Type="http://schemas.openxmlformats.org/officeDocument/2006/relationships/hyperlink" Target="https://www.maxpreps.com/high-schools/bishop-gorman-gaels-(las-vegas,nv)/basketball/home.htm" TargetMode="External"/><Relationship Id="rId36" Type="http://schemas.openxmlformats.org/officeDocument/2006/relationships/hyperlink" Target="https://www.maxpreps.com/high-schools/dematha-stags-(hyattsville,md)/basketball/home.htm" TargetMode="External"/><Relationship Id="rId49" Type="http://schemas.openxmlformats.org/officeDocument/2006/relationships/hyperlink" Target="https://www.maxpreps.com/high-schools/scotlandville-hornets-(baton-rouge,la)/basketball/home.htm" TargetMode="External"/><Relationship Id="rId57" Type="http://schemas.openxmlformats.org/officeDocument/2006/relationships/hyperlink" Target="https://www.maxpreps.com/high-schools/hellgate-knights-(missoula,mt)/basketball/home.htm" TargetMode="External"/><Relationship Id="rId106" Type="http://schemas.openxmlformats.org/officeDocument/2006/relationships/hyperlink" Target="https://www.maxpreps.com/high-schools/ribet-academy-fighting-frogs-(los-angeles,ca)/basketball/home.htm" TargetMode="External"/><Relationship Id="rId114" Type="http://schemas.openxmlformats.org/officeDocument/2006/relationships/hyperlink" Target="https://www.maxpreps.com/high-schools/dickinson-gators-(dickinson,tx)/basketball/home.htm" TargetMode="External"/><Relationship Id="rId119" Type="http://schemas.openxmlformats.org/officeDocument/2006/relationships/hyperlink" Target="https://www.maxpreps.com/high-schools/prolific-prep-of-napa-christian-crew-(napa,ca)/basketball/home.htm" TargetMode="External"/><Relationship Id="rId127" Type="http://schemas.openxmlformats.org/officeDocument/2006/relationships/hyperlink" Target="https://www.maxpreps.com/high-schools/lancaster-tigers-(lancaster,tx)/basketball/home.htm" TargetMode="External"/><Relationship Id="rId10" Type="http://schemas.openxmlformats.org/officeDocument/2006/relationships/hyperlink" Target="https://www.maxpreps.com/high-schools/sheldon-huskies-(sacramento,ca)/basketball/home.htm" TargetMode="External"/><Relationship Id="rId31" Type="http://schemas.openxmlformats.org/officeDocument/2006/relationships/hyperlink" Target="https://www.maxpreps.com/high-schools/eden-prairie-eagles-(eden-prairie,mn)/basketball/home.htm" TargetMode="External"/><Relationship Id="rId44" Type="http://schemas.openxmlformats.org/officeDocument/2006/relationships/hyperlink" Target="https://www.maxpreps.com/high-schools/sierra-canyon-trailblazers-(chatsworth,ca)/basketball/home.htm" TargetMode="External"/><Relationship Id="rId52" Type="http://schemas.openxmlformats.org/officeDocument/2006/relationships/hyperlink" Target="https://www.maxpreps.com/high-schools/montverde-academy-eagles-(montverde,fl)/basketball/home.htm" TargetMode="External"/><Relationship Id="rId60" Type="http://schemas.openxmlformats.org/officeDocument/2006/relationships/hyperlink" Target="https://www.maxpreps.com/high-schools/sheldon-huskies-(sacramento,ca)/basketball/home.htm" TargetMode="External"/><Relationship Id="rId65" Type="http://schemas.openxmlformats.org/officeDocument/2006/relationships/hyperlink" Target="https://www.maxpreps.com/high-schools/archbishop-moeller-fighting-crusaders-(cincinnati,oh)/basketball/home.htm" TargetMode="External"/><Relationship Id="rId73" Type="http://schemas.openxmlformats.org/officeDocument/2006/relationships/hyperlink" Target="https://www.maxpreps.com/high-schools/north-mecklenburg-vikings-(huntersville,nc)/basketball/home.htm" TargetMode="External"/><Relationship Id="rId78" Type="http://schemas.openxmlformats.org/officeDocument/2006/relationships/hyperlink" Target="https://www.maxpreps.com/high-schools/prolific-prep-of-napa-christian-crew-(napa,ca)/basketball/home.htm" TargetMode="External"/><Relationship Id="rId81" Type="http://schemas.openxmlformats.org/officeDocument/2006/relationships/hyperlink" Target="https://www.maxpreps.com/high-schools/john-paul-ii-cardinals-(plano,tx)/basketball/home.htm" TargetMode="External"/><Relationship Id="rId86" Type="http://schemas.openxmlformats.org/officeDocument/2006/relationships/hyperlink" Target="https://www.maxpreps.com/high-schools/curie-condors-(chicago,il)/basketball/home.htm" TargetMode="External"/><Relationship Id="rId94" Type="http://schemas.openxmlformats.org/officeDocument/2006/relationships/hyperlink" Target="https://www.maxpreps.com/high-schools/duncanville-panthers-and-pantherettes-(duncanville,tx)/basketball/home.htm" TargetMode="External"/><Relationship Id="rId99" Type="http://schemas.openxmlformats.org/officeDocument/2006/relationships/hyperlink" Target="https://www.maxpreps.com/high-schools/lee-generals-(montgomery,al)/basketball/home.htm" TargetMode="External"/><Relationship Id="rId101" Type="http://schemas.openxmlformats.org/officeDocument/2006/relationships/hyperlink" Target="https://www.maxpreps.com/high-schools/long-island-lutheran-crusaders-(brookville,ny)/basketball/home.htm" TargetMode="External"/><Relationship Id="rId122" Type="http://schemas.openxmlformats.org/officeDocument/2006/relationships/hyperlink" Target="https://www.maxpreps.com/high-schools/paul-vi-panthers-(fairfax,va)/basketball/home.htm" TargetMode="External"/><Relationship Id="rId130" Type="http://schemas.openxmlformats.org/officeDocument/2006/relationships/hyperlink" Target="https://www.maxpreps.com/high-schools/mountain-brook-spartans-(birmingham,al)/basketball/home.htm" TargetMode="External"/><Relationship Id="rId135" Type="http://schemas.openxmlformats.org/officeDocument/2006/relationships/hyperlink" Target="https://www.maxpreps.com/high-schools/scotlandville-hornets-(baton-rouge,la)/basketball/home.htm" TargetMode="External"/><Relationship Id="rId143" Type="http://schemas.openxmlformats.org/officeDocument/2006/relationships/hyperlink" Target="https://www.maxpreps.com/high-schools/centennial-huskies-(corona,ca)/basketball/home.htm" TargetMode="External"/><Relationship Id="rId148" Type="http://schemas.openxmlformats.org/officeDocument/2006/relationships/hyperlink" Target="https://www.maxpreps.com/high-schools/santa-clarita-christian-cardinals-(canyon-country,ca)/basketball/home.htm" TargetMode="External"/><Relationship Id="rId151" Type="http://schemas.openxmlformats.org/officeDocument/2006/relationships/hyperlink" Target="https://www.maxpreps.com/high-schools/salesian-college-preparatory-pride-(richmond,ca)/basketball/home.htm" TargetMode="External"/><Relationship Id="rId156" Type="http://schemas.openxmlformats.org/officeDocument/2006/relationships/hyperlink" Target="https://www.maxpreps.com/high-schools/brookfield-central-lancers-(brookfield,wi)/basketball/home.htm" TargetMode="External"/><Relationship Id="rId164" Type="http://schemas.openxmlformats.org/officeDocument/2006/relationships/hyperlink" Target="https://www.maxpreps.com/high-schools/campolindo-cougars-(moraga,ca)/basketball/home.htm" TargetMode="External"/><Relationship Id="rId169" Type="http://schemas.openxmlformats.org/officeDocument/2006/relationships/hyperlink" Target="https://www.maxpreps.com/high-schools/hamilton-chargers-(sussex,wi)/basketball/home.htm" TargetMode="External"/><Relationship Id="rId4" Type="http://schemas.openxmlformats.org/officeDocument/2006/relationships/hyperlink" Target="https://www.maxpreps.com/high-schools/sierra-canyon-trailblazers-(chatsworth,ca)/basketball/home.htm" TargetMode="External"/><Relationship Id="rId9" Type="http://schemas.openxmlformats.org/officeDocument/2006/relationships/hyperlink" Target="https://www.maxpreps.com/high-schools/sheldon-huskies-(sacramento,ca)/basketball/home.htm" TargetMode="External"/><Relationship Id="rId13" Type="http://schemas.openxmlformats.org/officeDocument/2006/relationships/hyperlink" Target="https://www.maxpreps.com/high-schools/duncanville-panthers-and-pantherettes-(duncanville,tx)/basketball/home.htm" TargetMode="External"/><Relationship Id="rId18" Type="http://schemas.openxmlformats.org/officeDocument/2006/relationships/hyperlink" Target="https://www.maxpreps.com/high-schools/bishop-gorman-gaels-(las-vegas,nv)/basketball/home.htm" TargetMode="External"/><Relationship Id="rId39" Type="http://schemas.openxmlformats.org/officeDocument/2006/relationships/hyperlink" Target="https://www.maxpreps.com/high-schools/mountain-brook-spartans-(birmingham,al)/basketball/home.htm" TargetMode="External"/><Relationship Id="rId109" Type="http://schemas.openxmlformats.org/officeDocument/2006/relationships/hyperlink" Target="https://www.maxpreps.com/high-schools/prolific-prep-of-napa-christian-crew-(napa,ca)/basketball/home.htm" TargetMode="External"/><Relationship Id="rId34" Type="http://schemas.openxmlformats.org/officeDocument/2006/relationships/hyperlink" Target="https://www.maxpreps.com/high-schools/sierra-canyon-trailblazers-(chatsworth,ca)/basketball/home.htm" TargetMode="External"/><Relationship Id="rId50" Type="http://schemas.openxmlformats.org/officeDocument/2006/relationships/hyperlink" Target="https://www.maxpreps.com/high-schools/sheldon-huskies-(sacramento,ca)/basketball/home.htm" TargetMode="External"/><Relationship Id="rId55" Type="http://schemas.openxmlformats.org/officeDocument/2006/relationships/hyperlink" Target="https://www.maxpreps.com/high-schools/santa-clarita-christian-cardinals-(canyon-country,ca)/basketball/home.htm" TargetMode="External"/><Relationship Id="rId76" Type="http://schemas.openxmlformats.org/officeDocument/2006/relationships/hyperlink" Target="https://www.maxpreps.com/high-schools/etiwanda-eagles-(etiwanda,ca)/basketball/home.htm" TargetMode="External"/><Relationship Id="rId97" Type="http://schemas.openxmlformats.org/officeDocument/2006/relationships/hyperlink" Target="https://www.maxpreps.com/high-schools/hamilton-chargers-(sussex,wi)/basketball/home.htm" TargetMode="External"/><Relationship Id="rId104" Type="http://schemas.openxmlformats.org/officeDocument/2006/relationships/hyperlink" Target="https://www.maxpreps.com/high-schools/dickinson-gators-(dickinson,tx)/basketball/home.htm" TargetMode="External"/><Relationship Id="rId120" Type="http://schemas.openxmlformats.org/officeDocument/2006/relationships/hyperlink" Target="https://www.maxpreps.com/high-schools/grayson-rams-(loganville,ga)/basketball/home.htm" TargetMode="External"/><Relationship Id="rId125" Type="http://schemas.openxmlformats.org/officeDocument/2006/relationships/hyperlink" Target="https://www.maxpreps.com/high-schools/dorman-cavaliers-(roebuck,sc)/basketball/home.htm" TargetMode="External"/><Relationship Id="rId141" Type="http://schemas.openxmlformats.org/officeDocument/2006/relationships/hyperlink" Target="https://www.maxpreps.com/high-schools/st-vincent-st-mary-fighting-irish-(akron,oh)/basketball/home.htm" TargetMode="External"/><Relationship Id="rId146" Type="http://schemas.openxmlformats.org/officeDocument/2006/relationships/hyperlink" Target="https://www.maxpreps.com/high-schools/harvard-westlake-wolverines-(studio-city,ca)/basketball/home.htm" TargetMode="External"/><Relationship Id="rId167" Type="http://schemas.openxmlformats.org/officeDocument/2006/relationships/hyperlink" Target="https://www.maxpreps.com/high-schools/grand-prairie-gophers-(grand-prairie,tx)/basketball/home.htm" TargetMode="External"/><Relationship Id="rId7" Type="http://schemas.openxmlformats.org/officeDocument/2006/relationships/hyperlink" Target="https://www.maxpreps.com/high-schools/bishop-gorman-gaels-(las-vegas,nv)/basketball/home.htm" TargetMode="External"/><Relationship Id="rId71" Type="http://schemas.openxmlformats.org/officeDocument/2006/relationships/hyperlink" Target="https://www.maxpreps.com/high-schools/brookfield-central-lancers-(brookfield,wi)/basketball/home.htm" TargetMode="External"/><Relationship Id="rId92" Type="http://schemas.openxmlformats.org/officeDocument/2006/relationships/hyperlink" Target="https://www.maxpreps.com/high-schools/ribet-academy-fighting-frogs-(los-angeles,ca)/basketball/home.htm" TargetMode="External"/><Relationship Id="rId162" Type="http://schemas.openxmlformats.org/officeDocument/2006/relationships/hyperlink" Target="https://www.maxpreps.com/high-schools/gonzaga-eagles-(washington,dc)/basketball/home.htm" TargetMode="External"/><Relationship Id="rId2" Type="http://schemas.openxmlformats.org/officeDocument/2006/relationships/hyperlink" Target="https://www.maxpreps.com/high-schools/montverde-academy-eagles-(montverde,fl)/basketball/home.htm" TargetMode="External"/><Relationship Id="rId29" Type="http://schemas.openxmlformats.org/officeDocument/2006/relationships/hyperlink" Target="https://www.maxpreps.com/high-schools/dorman-cavaliers-(roebuck,sc)/basketball/home.htm" TargetMode="External"/><Relationship Id="rId24" Type="http://schemas.openxmlformats.org/officeDocument/2006/relationships/hyperlink" Target="https://www.maxpreps.com/high-schools/sierra-canyon-trailblazers-(chatsworth,ca)/basketball/home.htm" TargetMode="External"/><Relationship Id="rId40" Type="http://schemas.openxmlformats.org/officeDocument/2006/relationships/hyperlink" Target="https://www.maxpreps.com/high-schools/sheldon-huskies-(sacramento,ca)/basketball/home.htm" TargetMode="External"/><Relationship Id="rId45" Type="http://schemas.openxmlformats.org/officeDocument/2006/relationships/hyperlink" Target="https://www.maxpreps.com/high-schools/centennial-huskies-(corona,ca)/basketball/home.htm" TargetMode="External"/><Relationship Id="rId66" Type="http://schemas.openxmlformats.org/officeDocument/2006/relationships/hyperlink" Target="https://www.maxpreps.com/high-schools/dematha-stags-(hyattsville,md)/basketball/home.htm" TargetMode="External"/><Relationship Id="rId87" Type="http://schemas.openxmlformats.org/officeDocument/2006/relationships/hyperlink" Target="https://www.maxpreps.com/high-schools/campolindo-cougars-(moraga,ca)/basketball/home.htm" TargetMode="External"/><Relationship Id="rId110" Type="http://schemas.openxmlformats.org/officeDocument/2006/relationships/hyperlink" Target="https://www.maxpreps.com/high-schools/grayson-rams-(loganville,ga)/basketball/home.htm" TargetMode="External"/><Relationship Id="rId115" Type="http://schemas.openxmlformats.org/officeDocument/2006/relationships/hyperlink" Target="https://www.maxpreps.com/high-schools/dorman-cavaliers-(roebuck,sc)/basketball/home.htm" TargetMode="External"/><Relationship Id="rId131" Type="http://schemas.openxmlformats.org/officeDocument/2006/relationships/hyperlink" Target="https://www.maxpreps.com/high-schools/st-vincent-st-mary-fighting-irish-(akron,oh)/basketball/home.htm" TargetMode="External"/><Relationship Id="rId136" Type="http://schemas.openxmlformats.org/officeDocument/2006/relationships/hyperlink" Target="https://www.maxpreps.com/high-schools/eden-prairie-eagles-(eden-prairie,mn)/basketball/home.htm" TargetMode="External"/><Relationship Id="rId157" Type="http://schemas.openxmlformats.org/officeDocument/2006/relationships/hyperlink" Target="https://www.maxpreps.com/high-schools/north-mecklenburg-vikings-(huntersville,nc)/basketball/home.htm" TargetMode="External"/><Relationship Id="rId61" Type="http://schemas.openxmlformats.org/officeDocument/2006/relationships/hyperlink" Target="https://www.maxpreps.com/high-schools/salesian-college-preparatory-pride-(richmond,ca)/basketball/home.htm" TargetMode="External"/><Relationship Id="rId82" Type="http://schemas.openxmlformats.org/officeDocument/2006/relationships/hyperlink" Target="https://www.maxpreps.com/high-schools/long-island-lutheran-crusaders-(brookville,ny)/basketball/home.htm" TargetMode="External"/><Relationship Id="rId152" Type="http://schemas.openxmlformats.org/officeDocument/2006/relationships/hyperlink" Target="https://www.maxpreps.com/high-schools/bishop-odowd-dragons-(oakland,ca)/basketball/home.htm" TargetMode="External"/><Relationship Id="rId19" Type="http://schemas.openxmlformats.org/officeDocument/2006/relationships/hyperlink" Target="https://www.maxpreps.com/high-schools/grayson-rams-(loganville,ga)/basketball/home.htm" TargetMode="External"/><Relationship Id="rId14" Type="http://schemas.openxmlformats.org/officeDocument/2006/relationships/hyperlink" Target="https://www.maxpreps.com/high-schools/sierra-canyon-trailblazers-(chatsworth,ca)/basketball/home.htm" TargetMode="External"/><Relationship Id="rId30" Type="http://schemas.openxmlformats.org/officeDocument/2006/relationships/hyperlink" Target="https://www.maxpreps.com/high-schools/sheldon-huskies-(sacramento,ca)/basketball/home.htm" TargetMode="External"/><Relationship Id="rId35" Type="http://schemas.openxmlformats.org/officeDocument/2006/relationships/hyperlink" Target="https://www.maxpreps.com/high-schools/st-edward-eagles-(lakewood,oh)/basketball/home.htm" TargetMode="External"/><Relationship Id="rId56" Type="http://schemas.openxmlformats.org/officeDocument/2006/relationships/hyperlink" Target="https://www.maxpreps.com/high-schools/dematha-stags-(hyattsville,md)/basketball/home.htm" TargetMode="External"/><Relationship Id="rId77" Type="http://schemas.openxmlformats.org/officeDocument/2006/relationships/hyperlink" Target="https://www.maxpreps.com/high-schools/richardson-eagles-(richardson,tx)/basketball/home.htm" TargetMode="External"/><Relationship Id="rId100" Type="http://schemas.openxmlformats.org/officeDocument/2006/relationships/hyperlink" Target="https://www.maxpreps.com/high-schools/grayson-rams-(loganville,ga)/basketball/home.htm" TargetMode="External"/><Relationship Id="rId105" Type="http://schemas.openxmlformats.org/officeDocument/2006/relationships/hyperlink" Target="https://www.maxpreps.com/high-schools/dorman-cavaliers-(roebuck,sc)/basketball/home.htm" TargetMode="External"/><Relationship Id="rId126" Type="http://schemas.openxmlformats.org/officeDocument/2006/relationships/hyperlink" Target="https://www.maxpreps.com/high-schools/eden-prairie-eagles-(eden-prairie,mn)/basketball/home.htm" TargetMode="External"/><Relationship Id="rId147" Type="http://schemas.openxmlformats.org/officeDocument/2006/relationships/hyperlink" Target="https://www.maxpreps.com/high-schools/windward-wildcats-(los-angeles,ca)/basketball/home.htm" TargetMode="External"/><Relationship Id="rId168" Type="http://schemas.openxmlformats.org/officeDocument/2006/relationships/hyperlink" Target="https://www.maxpreps.com/high-schools/st-benedicts-prep-gray-bees-(newark,nj)/basketball/home.htm" TargetMode="External"/><Relationship Id="rId8" Type="http://schemas.openxmlformats.org/officeDocument/2006/relationships/hyperlink" Target="https://www.maxpreps.com/high-schools/bishop-gorman-gaels-(las-vegas,nv)/basketball/home.htm" TargetMode="External"/><Relationship Id="rId51" Type="http://schemas.openxmlformats.org/officeDocument/2006/relationships/hyperlink" Target="https://www.maxpreps.com/high-schools/harvard-westlake-wolverines-(studio-city,ca)/basketball/home.htm" TargetMode="External"/><Relationship Id="rId72" Type="http://schemas.openxmlformats.org/officeDocument/2006/relationships/hyperlink" Target="https://www.maxpreps.com/high-schools/ribet-academy-fighting-frogs-(los-angeles,ca)/basketball/home.htm" TargetMode="External"/><Relationship Id="rId93" Type="http://schemas.openxmlformats.org/officeDocument/2006/relationships/hyperlink" Target="https://www.maxpreps.com/high-schools/grand-prairie-gophers-(grand-prairie,tx)/basketball/home.htm" TargetMode="External"/><Relationship Id="rId98" Type="http://schemas.openxmlformats.org/officeDocument/2006/relationships/hyperlink" Target="https://www.maxpreps.com/high-schools/prolific-prep-of-napa-christian-crew-(napa,ca)/basketball/home.htm" TargetMode="External"/><Relationship Id="rId121" Type="http://schemas.openxmlformats.org/officeDocument/2006/relationships/hyperlink" Target="https://www.maxpreps.com/high-schools/long-island-lutheran-crusaders-(brookville,ny)/basketball/home.htm" TargetMode="External"/><Relationship Id="rId142" Type="http://schemas.openxmlformats.org/officeDocument/2006/relationships/hyperlink" Target="https://www.maxpreps.com/high-schools/mater-dei-monarchs-(santa-ana,ca)/basketball/home.htm" TargetMode="External"/><Relationship Id="rId163" Type="http://schemas.openxmlformats.org/officeDocument/2006/relationships/hyperlink" Target="https://www.maxpreps.com/high-schools/img-academy-ascenders-(bradenton,fl)/basketball/home.htm" TargetMode="External"/><Relationship Id="rId3" Type="http://schemas.openxmlformats.org/officeDocument/2006/relationships/hyperlink" Target="https://www.maxpreps.com/high-schools/sierra-canyon-trailblazers-(chatsworth,ca)/basketball/home.htm" TargetMode="External"/><Relationship Id="rId25" Type="http://schemas.openxmlformats.org/officeDocument/2006/relationships/hyperlink" Target="https://www.maxpreps.com/high-schools/curie-condors-(chicago,il)/basketball/home.htm" TargetMode="External"/><Relationship Id="rId46" Type="http://schemas.openxmlformats.org/officeDocument/2006/relationships/hyperlink" Target="https://www.maxpreps.com/high-schools/dematha-stags-(hyattsville,md)/basketball/home.htm" TargetMode="External"/><Relationship Id="rId67" Type="http://schemas.openxmlformats.org/officeDocument/2006/relationships/hyperlink" Target="https://www.maxpreps.com/high-schools/archbishop-riordan-crusaders-(san-francisco,ca)/basketball/home.htm" TargetMode="External"/><Relationship Id="rId116" Type="http://schemas.openxmlformats.org/officeDocument/2006/relationships/hyperlink" Target="https://www.maxpreps.com/high-schools/ribet-academy-fighting-frogs-(los-angeles,ca)/basketball/home.htm" TargetMode="External"/><Relationship Id="rId137" Type="http://schemas.openxmlformats.org/officeDocument/2006/relationships/hyperlink" Target="https://www.maxpreps.com/high-schools/lancaster-tigers-(lancaster,tx)/basketball/home.htm" TargetMode="External"/><Relationship Id="rId158" Type="http://schemas.openxmlformats.org/officeDocument/2006/relationships/hyperlink" Target="https://www.maxpreps.com/high-schools/callaway-chargers-(jackson,ms)/basketball/home.htm" TargetMode="External"/><Relationship Id="rId20" Type="http://schemas.openxmlformats.org/officeDocument/2006/relationships/hyperlink" Target="https://www.maxpreps.com/high-schools/sheldon-huskies-(sacramento,ca)/basketball/home.htm" TargetMode="External"/><Relationship Id="rId41" Type="http://schemas.openxmlformats.org/officeDocument/2006/relationships/hyperlink" Target="https://www.maxpreps.com/high-schools/st-vincent-st-mary-fighting-irish-(akron,oh)/basketball/home.htm" TargetMode="External"/><Relationship Id="rId62" Type="http://schemas.openxmlformats.org/officeDocument/2006/relationships/hyperlink" Target="https://www.maxpreps.com/high-schools/montverde-academy-eagles-(montverde,fl)/basketball/home.htm" TargetMode="External"/><Relationship Id="rId83" Type="http://schemas.openxmlformats.org/officeDocument/2006/relationships/hyperlink" Target="https://www.maxpreps.com/high-schools/gonzaga-eagles-(washington,dc)/basketball/home.htm" TargetMode="External"/><Relationship Id="rId88" Type="http://schemas.openxmlformats.org/officeDocument/2006/relationships/hyperlink" Target="https://www.maxpreps.com/high-schools/dickinson-gators-(dickinson,tx)/basketball/home.htm" TargetMode="External"/><Relationship Id="rId111" Type="http://schemas.openxmlformats.org/officeDocument/2006/relationships/hyperlink" Target="https://www.maxpreps.com/high-schools/long-island-lutheran-crusaders-(brookville,ny)/basketball/home.htm" TargetMode="External"/><Relationship Id="rId132" Type="http://schemas.openxmlformats.org/officeDocument/2006/relationships/hyperlink" Target="https://www.maxpreps.com/high-schools/mater-dei-monarchs-(santa-ana,ca)/basketball/home.htm" TargetMode="External"/><Relationship Id="rId153" Type="http://schemas.openxmlformats.org/officeDocument/2006/relationships/hyperlink" Target="https://www.maxpreps.com/high-schools/archbishop-moeller-fighting-crusaders-(cincinnati,oh)/basketball/home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/>
  <cols>
    <col min="1" max="8" width="21.5546875" customWidth="1"/>
  </cols>
  <sheetData>
    <row r="1" spans="1:2">
      <c r="A1" s="2" t="s">
        <v>1</v>
      </c>
      <c r="B1" s="3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J1000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/>
  <cols>
    <col min="9" max="10" width="19.44140625" customWidth="1"/>
    <col min="11" max="11" width="73.88671875" customWidth="1"/>
    <col min="12" max="12" width="25.44140625" customWidth="1"/>
    <col min="13" max="13" width="37.88671875" customWidth="1"/>
    <col min="14" max="14" width="17.6640625" customWidth="1"/>
    <col min="15" max="15" width="22.44140625" customWidth="1"/>
    <col min="16" max="16" width="31.5546875" customWidth="1"/>
    <col min="17" max="17" width="17.6640625" customWidth="1"/>
    <col min="18" max="19" width="33.88671875" customWidth="1"/>
    <col min="20" max="21" width="38.5546875" customWidth="1"/>
  </cols>
  <sheetData>
    <row r="1" spans="1:36" ht="15.75" customHeight="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4" t="s">
        <v>11</v>
      </c>
      <c r="L1" s="5" t="s">
        <v>13</v>
      </c>
      <c r="M1" s="5" t="s">
        <v>14</v>
      </c>
      <c r="N1" s="5" t="s">
        <v>15</v>
      </c>
      <c r="O1" s="5" t="s">
        <v>16</v>
      </c>
      <c r="P1" s="5" t="s">
        <v>17</v>
      </c>
      <c r="Q1" s="5" t="s">
        <v>18</v>
      </c>
      <c r="R1" s="5" t="s">
        <v>19</v>
      </c>
      <c r="S1" s="5" t="s">
        <v>20</v>
      </c>
      <c r="T1" s="5" t="s">
        <v>21</v>
      </c>
      <c r="U1" s="6" t="s">
        <v>22</v>
      </c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</row>
    <row r="2" spans="1:36" ht="15.75" customHeight="1">
      <c r="A2" s="3"/>
      <c r="B2" s="8">
        <v>0.77886604559999995</v>
      </c>
      <c r="C2" s="9" t="s">
        <v>23</v>
      </c>
      <c r="D2" s="9" t="s">
        <v>24</v>
      </c>
      <c r="E2" s="10" t="s">
        <v>25</v>
      </c>
      <c r="F2" s="8">
        <v>32.9086</v>
      </c>
      <c r="G2" s="8">
        <v>-80.070499999999996</v>
      </c>
      <c r="H2" s="3" t="str">
        <f t="shared" ref="H2:H401" si="0">TRIM(D2)</f>
        <v>Detroit</v>
      </c>
      <c r="I2" s="3" t="str">
        <f t="shared" ref="I2:I401" si="1">TRIM(C2)</f>
        <v>MI</v>
      </c>
      <c r="J2" s="3" t="str">
        <f t="array" ref="J2">INDEX('State Abbreviations'!$B$2:$B$52,MATCH(I2,'State Abbreviations'!$A$2:$A$52,0))</f>
        <v>Michigan</v>
      </c>
      <c r="K2" s="12" t="e">
        <f t="shared" ref="K2:K250" ca="1" si="2">IFS(L2=10,M2,AND(I2&lt;&gt;"AL",I2&lt;&gt;"AK",I2&lt;&gt;"AZ",I2&lt;&gt;"AR",I2&lt;&gt;"CA",I2&lt;&gt;"CO",I2&lt;&gt;"CT",I2&lt;&gt;"DE",I2&lt;&gt;"DC",I2&lt;&gt;"FL",I2&lt;&gt;"GA",I2&lt;&gt;"HI",I2&lt;&gt;"ID",I2&lt;&gt;"IL",I2&lt;&gt;"IN",I2&lt;&gt;"IA",I2&lt;&gt;"KS",I2&lt;&gt;"KY",I2&lt;&gt;"LA",I2&lt;&gt;"ME",I2&lt;&gt;"MD",I2&lt;&gt;"MA",I2&lt;&gt;"MI",I2&lt;&gt;"MN",I2&lt;&gt;"MS",I2&lt;&gt;"MO",I2&lt;&gt;"MT",I2&lt;&gt;"NE",I2&lt;&gt;"NV",I2&lt;&gt;"NH",I2&lt;&gt;"NJ",I2&lt;&gt;"NM",I2&lt;&gt;"NY",I2&lt;&gt;"NC",I2&lt;&gt;"ND",I2&lt;&gt;"OH",I2&lt;&gt;"OK",I2&lt;&gt;"OR",I2&lt;&gt;"PA",I2&lt;&gt;"RI",I2&lt;&gt;"SC",I2&lt;&gt;"SD",I2&lt;&gt;"TN",I2&lt;&gt;"TX",I2&lt;&gt;"UT",I2&lt;&gt;"VT",I2&lt;&gt;"VA",I2&lt;&gt;"WA",I2&lt;&gt;"WV",I2&lt;&gt;"WI",I2&lt;&gt;"WY"),M2,AND(N2=5,O2="TRUE"),P2,R2&lt;&gt;"",R2,T2&lt;&gt;"",T2,AND(R2="",T2=""),U2)</f>
        <v>#NAME?</v>
      </c>
      <c r="L2" s="13">
        <f t="shared" ref="L2:L30" ca="1" si="3">RANDBETWEEN(1,15)</f>
        <v>10</v>
      </c>
      <c r="M2" s="13" t="str">
        <f ca="1">IFERROR(__xludf.DUMMYFUNCTION("IF(AND(L2&gt;3,I2&lt;&gt;""AL"",I2&lt;&gt;""AK"",I2&lt;&gt;""AZ"",I2&lt;&gt;""AR"",I2&lt;&gt;""CA"",I2&lt;&gt;""CO"",I2&lt;&gt;""CT"",I2&lt;&gt;""DE"",I2&lt;&gt;""DC"",I2&lt;&gt;""FL"",I2&lt;&gt;""GA"",I2&lt;&gt;""HI"",I2&lt;&gt;""ID"",I2&lt;&gt;""IL"",I2&lt;&gt;""IN"",I2&lt;&gt;""IA"",I2&lt;&gt;""KS"",I2&lt;&gt;""KY"",I2&lt;&gt;""LA"",I2&lt;&gt;""ME"",I2&lt;&gt;""MD"",I2&lt;&gt;""MA"",I"&amp;"2&lt;&gt;""MI"",I2&lt;&gt;""MN"",I2&lt;&gt;""MS"",I2&lt;&gt;""MO"",I2&lt;&gt;""MT"",I2&lt;&gt;""NE"",I2&lt;&gt;""NV"",I2&lt;&gt;""NH"",I2&lt;&gt;""NJ"",I2&lt;&gt;""NM"",I2&lt;&gt;""NY"",I2&lt;&gt;""NC"",I2&lt;&gt;""ND"",I2&lt;&gt;""OH"",I2&lt;&gt;""OK"",I2&lt;&gt;""OR"",I2&lt;&gt;""PA"",I2&lt;&gt;""RI"",I2&lt;&gt;""SC"",I2&lt;&gt;""SD"",I2&lt;&gt;""TN"",I2&lt;&gt;""TX"",I2&lt;&gt;""UT"",I2&lt;"&amp;"&gt;""VT"",I2&lt;&gt;""VA"",I2&lt;&gt;""WA"",I2&lt;&gt;""WV"",I2&lt;&gt;""WI"",I2&lt;&gt;""WY""),ArrayFormula(VLOOKUP(QUERY(UNIQUE(RANDBETWEEN(ROW(INDIRECT(""A1:A""&amp;COUNTA('Leaving the StateInternational'!$G$2:$G$121)*10))^0,COUNTA('Leaving the StateInternational'!$G$2:$G$121))),""limit "&amp;"1""),{ROW(INDIRECT(""A1:A""&amp;COUNTA('Leaving the StateInternational'!$G$2:$G$121))),FILTER('Leaving the StateInternational'!$G$2:$G$121,'Leaving the StateInternational'!$G$2:$G$121&lt;&gt;"""")},2,0)),IF(L2=10,ArrayFormula(VLOOKUP(QUERY(UNIQUE(RANDBETWEEN(ROW(IN"&amp;"DIRECT(""A1:A""&amp;COUNTA('Leaving the StateInternational'!$G$2:$G$121)*10))^0,COUNTA('Leaving the StateInternational'!$G$2:$G$121))),""limit 1""),{ROW(INDIRECT(""A1:A""&amp;COUNTA('Leaving the StateInternational'!$G$2:$G$121))),FILTER('Leaving the StateInternat"&amp;"ional'!$G$2:$G$121,'Leaving the StateInternational'!$G$2:$G$121&lt;&gt;"""")},2,0)),""""))"),"")</f>
        <v/>
      </c>
      <c r="N2" s="13">
        <f t="shared" ref="N2:N30" ca="1" si="4">RANDBETWEEN(1,5)</f>
        <v>4</v>
      </c>
      <c r="O2" s="13" t="b">
        <f>ISNUMBER(MATCH(C2,'Top 250 HS'!C:C,0))</f>
        <v>0</v>
      </c>
      <c r="P2" s="13" t="str">
        <f ca="1">IFERROR(__xludf.DUMMYFUNCTION("SORTN(FILTER('Top 250 HS'!B:B,'Top 250 HS'!C:C=I2),1,0,randarray(COUNTA(FILTER('Top 250 HS'!B:B,'Top 250 HS'!C:C=I2)),1),TRUE)"),"St. Mary Prep (Orchard Lake)")</f>
        <v>St. Mary Prep (Orchard Lake)</v>
      </c>
      <c r="Q2" s="13" t="b">
        <f>ISNUMBER(MATCH("*"&amp;E2&amp;"*",'Top 1500 HS LatitudeLongitude'!G:G,0))</f>
        <v>1</v>
      </c>
      <c r="R2" s="13" t="str">
        <f ca="1">IFERROR(__xludf.DUMMYFUNCTION("IFS(L2=10,"""",Q2=false,"""",N2=5,"""",Q2=true,SORTN(FILTER('Top 1500 HS LatitudeLongitude'!B:B,'Top 1500 HS LatitudeLongitude'!C:C=I2,'Top 1500 HS LatitudeLongitude'!E:E=H2),1,0,randarray(COUNTA(FILTER('Top 1500 HS LatitudeLongitude'!B:B,'Top 1500 HS Lat"&amp;"itudeLongitude'!C:C=I2,'Top 1500 HS LatitudeLongitude'!E:E=H2)),1),TRUE)
)"),"University of Detroit Jesuit (Detroit)")</f>
        <v>University of Detroit Jesuit (Detroit)</v>
      </c>
      <c r="S2" s="13" t="b">
        <f>ISNUMBER(MATCH("*"&amp;H:H&amp;"*",'Public Schools'!C:C,0))</f>
        <v>1</v>
      </c>
      <c r="T2" s="13" t="str">
        <f ca="1">IFERROR(__xludf.DUMMYFUNCTION("IFERROR(IF(AND(R2="""",S2=true), SORTN(FILTER('Public Schools'!A:A,'Public Schools'!B:B=J2,'Public Schools'!C:C=H2),1,0,randarray(COUNTA(FILTER('Public Schools'!A:A,'Public Schools'!B:B=J2,'Public Schools'!C:C=H2)),1),TRUE),""""),"""")"),"")</f>
        <v/>
      </c>
      <c r="U2" s="23" t="str">
        <f t="array" aca="1" ref="U2" ca="1">IF(AND(R2="",T2=""),INDEX('Top 1500 HS LatitudeLongitude'!B$2:B$1501,MATCH(MIN(SQRT(('Top 1500 HS LatitudeLongitude'!H$2:H$1501-F2)^2+('Top 1500 HS LatitudeLongitude'!I$2:I$1501-G2)^2)),SQRT( ('Top 1500 HS LatitudeLongitude'!H$2:H$1501-F2)^2+('Top 1500 HS LatitudeLongitude'!I$2:I$1501-G2)^2),0),1),"")</f>
        <v/>
      </c>
    </row>
    <row r="3" spans="1:36" ht="15.75" customHeight="1">
      <c r="B3" s="8">
        <v>0.23354686420000001</v>
      </c>
      <c r="C3" s="24" t="s">
        <v>47</v>
      </c>
      <c r="D3" s="9" t="s">
        <v>49</v>
      </c>
      <c r="E3" s="25" t="s">
        <v>50</v>
      </c>
      <c r="F3" s="8">
        <v>30.850300000000001</v>
      </c>
      <c r="G3" s="8">
        <v>-83.278899999999993</v>
      </c>
      <c r="H3" s="3" t="str">
        <f t="shared" si="0"/>
        <v>Bellflower</v>
      </c>
      <c r="I3" s="3" t="str">
        <f t="shared" si="1"/>
        <v>CA</v>
      </c>
      <c r="J3" s="3" t="str">
        <f t="array" ref="J3">INDEX('State Abbreviations'!$B$2:$B$52,MATCH(I3,'State Abbreviations'!$A$2:$A$52,0))</f>
        <v>California</v>
      </c>
      <c r="K3" s="12" t="e">
        <f t="shared" ca="1" si="2"/>
        <v>#NAME?</v>
      </c>
      <c r="L3" s="13">
        <f t="shared" ca="1" si="3"/>
        <v>13</v>
      </c>
      <c r="M3" s="13" t="str">
        <f ca="1">IFERROR(__xludf.DUMMYFUNCTION("IF(AND(L3&gt;3,I3&lt;&gt;""AL"",I3&lt;&gt;""AK"",I3&lt;&gt;""AZ"",I3&lt;&gt;""AR"",I3&lt;&gt;""CA"",I3&lt;&gt;""CO"",I3&lt;&gt;""CT"",I3&lt;&gt;""DE"",I3&lt;&gt;""DC"",I3&lt;&gt;""FL"",I3&lt;&gt;""GA"",I3&lt;&gt;""HI"",I3&lt;&gt;""ID"",I3&lt;&gt;""IL"",I3&lt;&gt;""IN"",I3&lt;&gt;""IA"",I3&lt;&gt;""KS"",I3&lt;&gt;""KY"",I3&lt;&gt;""LA"",I3&lt;&gt;""ME"",I3&lt;&gt;""MD"",I3&lt;&gt;""MA"",I"&amp;"3&lt;&gt;""MI"",I3&lt;&gt;""MN"",I3&lt;&gt;""MS"",I3&lt;&gt;""MO"",I3&lt;&gt;""MT"",I3&lt;&gt;""NE"",I3&lt;&gt;""NV"",I3&lt;&gt;""NH"",I3&lt;&gt;""NJ"",I3&lt;&gt;""NM"",I3&lt;&gt;""NY"",I3&lt;&gt;""NC"",I3&lt;&gt;""ND"",I3&lt;&gt;""OH"",I3&lt;&gt;""OK"",I3&lt;&gt;""OR"",I3&lt;&gt;""PA"",I3&lt;&gt;""RI"",I3&lt;&gt;""SC"",I3&lt;&gt;""SD"",I3&lt;&gt;""TN"",I3&lt;&gt;""TX"",I3&lt;&gt;""UT"",I3&lt;"&amp;"&gt;""VT"",I3&lt;&gt;""VA"",I3&lt;&gt;""WA"",I3&lt;&gt;""WV"",I3&lt;&gt;""WI"",I3&lt;&gt;""WY""),ArrayFormula(VLOOKUP(QUERY(UNIQUE(RANDBETWEEN(ROW(INDIRECT(""A1:A""&amp;COUNTA('Leaving the StateInternational'!$G$2:$G$121)*10))^0,COUNTA('Leaving the StateInternational'!$G$2:$G$121))),""limit "&amp;"1""),{ROW(INDIRECT(""A1:A""&amp;COUNTA('Leaving the StateInternational'!$G$2:$G$121))),FILTER('Leaving the StateInternational'!$G$2:$G$121,'Leaving the StateInternational'!$G$2:$G$121&lt;&gt;"""")},2,0)),IF(L3=10,ArrayFormula(VLOOKUP(QUERY(UNIQUE(RANDBETWEEN(ROW(IN"&amp;"DIRECT(""A1:A""&amp;COUNTA('Leaving the StateInternational'!$G$2:$G$121)*10))^0,COUNTA('Leaving the StateInternational'!$G$2:$G$121))),""limit 1""),{ROW(INDIRECT(""A1:A""&amp;COUNTA('Leaving the StateInternational'!$G$2:$G$121))),FILTER('Leaving the StateInternat"&amp;"ional'!$G$2:$G$121,'Leaving the StateInternational'!$G$2:$G$121&lt;&gt;"""")},2,0)),""""))"),"")</f>
        <v/>
      </c>
      <c r="N3" s="13">
        <f t="shared" ca="1" si="4"/>
        <v>4</v>
      </c>
      <c r="O3" s="13" t="b">
        <f>ISNUMBER(MATCH(C3,'Top 250 HS'!C:C,0))</f>
        <v>0</v>
      </c>
      <c r="P3" s="13" t="str">
        <f ca="1">IFERROR(__xludf.DUMMYFUNCTION("SORTN(FILTER('Top 250 HS'!B:B,'Top 250 HS'!C:C=I3),1,0,randarray(COUNTA(FILTER('Top 250 HS'!B:B,'Top 250 HS'!C:C=I3)),1),TRUE)"),"Windward (Los Angeles)")</f>
        <v>Windward (Los Angeles)</v>
      </c>
      <c r="Q3" s="13" t="b">
        <f>ISNUMBER(MATCH("*"&amp;E3&amp;"*",'Top 1500 HS LatitudeLongitude'!G:G,0))</f>
        <v>1</v>
      </c>
      <c r="R3" s="13" t="str">
        <f ca="1">IFERROR(__xludf.DUMMYFUNCTION("IFS(L3=10,"""",Q3=false,"""",N3=5,"""",Q3=true,SORTN(FILTER('Top 1500 HS LatitudeLongitude'!B:B,'Top 1500 HS LatitudeLongitude'!C:C=I3,'Top 1500 HS LatitudeLongitude'!E:E=H3),1,0,randarray(COUNTA(FILTER('Top 1500 HS LatitudeLongitude'!B:B,'Top 1500 HS Lat"&amp;"itudeLongitude'!C:C=I3,'Top 1500 HS LatitudeLongitude'!E:E=H3)),1),TRUE)
)"),"St. John Bosco (Bellflower)")</f>
        <v>St. John Bosco (Bellflower)</v>
      </c>
      <c r="S3" s="13" t="b">
        <f>ISNUMBER(MATCH("*"&amp;H:H&amp;"*",'Public Schools'!C:C,0))</f>
        <v>1</v>
      </c>
      <c r="T3" s="13" t="str">
        <f ca="1">IFERROR(__xludf.DUMMYFUNCTION("IFERROR(IF(AND(R3="""",S3=true), SORTN(FILTER('Public Schools'!A:A,'Public Schools'!B:B=J3,'Public Schools'!C:C=H3),1,0,randarray(COUNTA(FILTER('Public Schools'!A:A,'Public Schools'!B:B=J3,'Public Schools'!C:C=H3)),1),TRUE),""""),"""")"),"")</f>
        <v/>
      </c>
      <c r="U3" s="23" t="str">
        <f t="array" aca="1" ref="U3" ca="1">IF(AND(R3="",T3=""),INDEX('Top 1500 HS LatitudeLongitude'!B$2:B$1501,MATCH(MIN(SQRT(('Top 1500 HS LatitudeLongitude'!H$2:H$1501-F3)^2+('Top 1500 HS LatitudeLongitude'!I$2:I$1501-G3)^2)),SQRT( ('Top 1500 HS LatitudeLongitude'!H$2:H$1501-F3)^2+('Top 1500 HS LatitudeLongitude'!I$2:I$1501-G3)^2),0),1),"")</f>
        <v/>
      </c>
    </row>
    <row r="4" spans="1:36" ht="15.75" customHeight="1">
      <c r="B4" s="8">
        <v>0.97800968310000003</v>
      </c>
      <c r="C4" s="24" t="s">
        <v>64</v>
      </c>
      <c r="D4" s="9" t="s">
        <v>65</v>
      </c>
      <c r="E4" s="31" t="s">
        <v>66</v>
      </c>
      <c r="F4" s="8">
        <v>47.6464</v>
      </c>
      <c r="G4" s="8">
        <v>-117.5802</v>
      </c>
      <c r="H4" s="3" t="str">
        <f t="shared" si="0"/>
        <v>Luanda</v>
      </c>
      <c r="I4" s="3" t="str">
        <f t="shared" si="1"/>
        <v>Angola</v>
      </c>
      <c r="J4" s="3" t="e">
        <f t="array" ref="J4">INDEX('State Abbreviations'!$B$2:$B$52,MATCH(I4,'State Abbreviations'!$A$2:$A$52,0))</f>
        <v>#N/A</v>
      </c>
      <c r="K4" s="33" t="e">
        <f t="shared" ca="1" si="2"/>
        <v>#NAME?</v>
      </c>
      <c r="L4" s="13">
        <f t="shared" ca="1" si="3"/>
        <v>6</v>
      </c>
      <c r="M4" s="36" t="str">
        <f ca="1">IFERROR(__xludf.DUMMYFUNCTION("IF(AND(L4&gt;3,I4&lt;&gt;""AL"",I4&lt;&gt;""AK"",I4&lt;&gt;""AZ"",I4&lt;&gt;""AR"",I4&lt;&gt;""CA"",I4&lt;&gt;""CO"",I4&lt;&gt;""CT"",I4&lt;&gt;""DE"",I4&lt;&gt;""DC"",I4&lt;&gt;""FL"",I4&lt;&gt;""GA"",I4&lt;&gt;""HI"",I4&lt;&gt;""ID"",I4&lt;&gt;""IL"",I4&lt;&gt;""IN"",I4&lt;&gt;""IA"",I4&lt;&gt;""KS"",I4&lt;&gt;""KY"",I4&lt;&gt;""LA"",I4&lt;&gt;""ME"",I4&lt;&gt;""MD"",I4&lt;&gt;""MA"",I"&amp;"4&lt;&gt;""MI"",I4&lt;&gt;""MN"",I4&lt;&gt;""MS"",I4&lt;&gt;""MO"",I4&lt;&gt;""MT"",I4&lt;&gt;""NE"",I4&lt;&gt;""NV"",I4&lt;&gt;""NH"",I4&lt;&gt;""NJ"",I4&lt;&gt;""NM"",I4&lt;&gt;""NY"",I4&lt;&gt;""NC"",I4&lt;&gt;""ND"",I4&lt;&gt;""OH"",I4&lt;&gt;""OK"",I4&lt;&gt;""OR"",I4&lt;&gt;""PA"",I4&lt;&gt;""RI"",I4&lt;&gt;""SC"",I4&lt;&gt;""SD"",I4&lt;&gt;""TN"",I4&lt;&gt;""TX"",I4&lt;&gt;""UT"",I4&lt;"&amp;"&gt;""VT"",I4&lt;&gt;""VA"",I4&lt;&gt;""WA"",I4&lt;&gt;""WV"",I4&lt;&gt;""WI"",I4&lt;&gt;""WY""),ArrayFormula(VLOOKUP(QUERY(UNIQUE(RANDBETWEEN(ROW(INDIRECT(""A1:A""&amp;COUNTA('Leaving the StateInternational'!$G$2:$G$121)*10))^0,COUNTA('Leaving the StateInternational'!$G$2:$G$121))),""limit "&amp;"1""),{ROW(INDIRECT(""A1:A""&amp;COUNTA('Leaving the StateInternational'!$G$2:$G$121))),FILTER('Leaving the StateInternational'!$G$2:$G$121,'Leaving the StateInternational'!$G$2:$G$121&lt;&gt;"""")},2,0)),IF(L4=10,ArrayFormula(VLOOKUP(QUERY(UNIQUE(RANDBETWEEN(ROW(IN"&amp;"DIRECT(""A1:A""&amp;COUNTA('Leaving the StateInternational'!$G$2:$G$121)*10))^0,COUNTA('Leaving the StateInternational'!$G$2:$G$121))),""limit 1""),{ROW(INDIRECT(""A1:A""&amp;COUNTA('Leaving the StateInternational'!$G$2:$G$121))),FILTER('Leaving the StateInternat"&amp;"ional'!$G$2:$G$121,'Leaving the StateInternational'!$G$2:$G$121&lt;&gt;"""")},2,0)),""""))"),"DeMatha (Hyattsville)")</f>
        <v>DeMatha (Hyattsville)</v>
      </c>
      <c r="N4" s="13">
        <f t="shared" ca="1" si="4"/>
        <v>3</v>
      </c>
      <c r="O4" s="13" t="b">
        <f>ISNUMBER(MATCH(C4,'Top 250 HS'!C:C,0))</f>
        <v>0</v>
      </c>
      <c r="P4" s="13" t="str">
        <f ca="1">IFERROR(__xludf.DUMMYFUNCTION("SORTN(FILTER('Top 250 HS'!B:B,'Top 250 HS'!C:C=I4),1,0,randarray(COUNTA(FILTER('Top 250 HS'!B:B,'Top 250 HS'!C:C=I4)),1),TRUE)"),"#N/A")</f>
        <v>#N/A</v>
      </c>
      <c r="Q4" s="13" t="b">
        <f>ISNUMBER(MATCH("*"&amp;E4&amp;"*",'Top 1500 HS LatitudeLongitude'!G:G,0))</f>
        <v>0</v>
      </c>
      <c r="R4" s="13" t="str">
        <f ca="1">IFERROR(__xludf.DUMMYFUNCTION("IFS(L4=10,"""",Q4=false,"""",N4=5,"""",Q4=true,SORTN(FILTER('Top 1500 HS LatitudeLongitude'!B:B,'Top 1500 HS LatitudeLongitude'!C:C=I4,'Top 1500 HS LatitudeLongitude'!E:E=H4),1,0,randarray(COUNTA(FILTER('Top 1500 HS LatitudeLongitude'!B:B,'Top 1500 HS Lat"&amp;"itudeLongitude'!C:C=I4,'Top 1500 HS LatitudeLongitude'!E:E=H4)),1),TRUE)
)"),"")</f>
        <v/>
      </c>
      <c r="S4" s="13" t="b">
        <f>ISNUMBER(MATCH("*"&amp;H:H&amp;"*",'Public Schools'!C:C,0))</f>
        <v>0</v>
      </c>
      <c r="T4" s="13" t="str">
        <f ca="1">IFERROR(__xludf.DUMMYFUNCTION("IFERROR(IF(AND(R4="""",S4=true), SORTN(FILTER('Public Schools'!A:A,'Public Schools'!B:B=J4,'Public Schools'!C:C=H4),1,0,randarray(COUNTA(FILTER('Public Schools'!A:A,'Public Schools'!B:B=J4,'Public Schools'!C:C=H4)),1),TRUE),""""),"""")"),"")</f>
        <v/>
      </c>
      <c r="U4" s="23" t="str">
        <f t="array" aca="1" ref="U4" ca="1">IF(AND(R4="",T4=""),INDEX('Top 1500 HS LatitudeLongitude'!B$2:B$1501,MATCH(MIN(SQRT(('Top 1500 HS LatitudeLongitude'!H$2:H$1501-F4)^2+('Top 1500 HS LatitudeLongitude'!I$2:I$1501-G4)^2)),SQRT( ('Top 1500 HS LatitudeLongitude'!H$2:H$1501-F4)^2+('Top 1500 HS LatitudeLongitude'!I$2:I$1501-G4)^2),0),1),"")</f>
        <v>St. George's (Spokane)</v>
      </c>
    </row>
    <row r="5" spans="1:36" ht="15.75" customHeight="1">
      <c r="B5" s="8">
        <v>0.58644734600000004</v>
      </c>
      <c r="C5" s="9" t="s">
        <v>94</v>
      </c>
      <c r="D5" s="9" t="s">
        <v>95</v>
      </c>
      <c r="E5" s="37" t="s">
        <v>96</v>
      </c>
      <c r="F5" s="8">
        <v>42.749200000000002</v>
      </c>
      <c r="G5" s="8">
        <v>-71.491</v>
      </c>
      <c r="H5" s="3" t="str">
        <f t="shared" si="0"/>
        <v>Lyndhurst</v>
      </c>
      <c r="I5" s="3" t="str">
        <f t="shared" si="1"/>
        <v>OH</v>
      </c>
      <c r="J5" s="3" t="str">
        <f t="array" ref="J5">INDEX('State Abbreviations'!$B$2:$B$52,MATCH(I5,'State Abbreviations'!$A$2:$A$52,0))</f>
        <v>Ohio</v>
      </c>
      <c r="K5" s="12" t="e">
        <f t="shared" ca="1" si="2"/>
        <v>#NAME?</v>
      </c>
      <c r="L5" s="13">
        <f t="shared" ca="1" si="3"/>
        <v>1</v>
      </c>
      <c r="M5" s="13" t="str">
        <f ca="1">IFERROR(__xludf.DUMMYFUNCTION("IF(AND(L5&gt;3,I5&lt;&gt;""AL"",I5&lt;&gt;""AK"",I5&lt;&gt;""AZ"",I5&lt;&gt;""AR"",I5&lt;&gt;""CA"",I5&lt;&gt;""CO"",I5&lt;&gt;""CT"",I5&lt;&gt;""DE"",I5&lt;&gt;""DC"",I5&lt;&gt;""FL"",I5&lt;&gt;""GA"",I5&lt;&gt;""HI"",I5&lt;&gt;""ID"",I5&lt;&gt;""IL"",I5&lt;&gt;""IN"",I5&lt;&gt;""IA"",I5&lt;&gt;""KS"",I5&lt;&gt;""KY"",I5&lt;&gt;""LA"",I5&lt;&gt;""ME"",I5&lt;&gt;""MD"",I5&lt;&gt;""MA"",I"&amp;"5&lt;&gt;""MI"",I5&lt;&gt;""MN"",I5&lt;&gt;""MS"",I5&lt;&gt;""MO"",I5&lt;&gt;""MT"",I5&lt;&gt;""NE"",I5&lt;&gt;""NV"",I5&lt;&gt;""NH"",I5&lt;&gt;""NJ"",I5&lt;&gt;""NM"",I5&lt;&gt;""NY"",I5&lt;&gt;""NC"",I5&lt;&gt;""ND"",I5&lt;&gt;""OH"",I5&lt;&gt;""OK"",I5&lt;&gt;""OR"",I5&lt;&gt;""PA"",I5&lt;&gt;""RI"",I5&lt;&gt;""SC"",I5&lt;&gt;""SD"",I5&lt;&gt;""TN"",I5&lt;&gt;""TX"",I5&lt;&gt;""UT"",I5&lt;"&amp;"&gt;""VT"",I5&lt;&gt;""VA"",I5&lt;&gt;""WA"",I5&lt;&gt;""WV"",I5&lt;&gt;""WI"",I5&lt;&gt;""WY""),ArrayFormula(VLOOKUP(QUERY(UNIQUE(RANDBETWEEN(ROW(INDIRECT(""A1:A""&amp;COUNTA('Leaving the StateInternational'!$G$2:$G$121)*10))^0,COUNTA('Leaving the StateInternational'!$G$2:$G$121))),""limit "&amp;"1""),{ROW(INDIRECT(""A1:A""&amp;COUNTA('Leaving the StateInternational'!$G$2:$G$121))),FILTER('Leaving the StateInternational'!$G$2:$G$121,'Leaving the StateInternational'!$G$2:$G$121&lt;&gt;"""")},2,0)),IF(L5=10,ArrayFormula(VLOOKUP(QUERY(UNIQUE(RANDBETWEEN(ROW(IN"&amp;"DIRECT(""A1:A""&amp;COUNTA('Leaving the StateInternational'!$G$2:$G$121)*10))^0,COUNTA('Leaving the StateInternational'!$G$2:$G$121))),""limit 1""),{ROW(INDIRECT(""A1:A""&amp;COUNTA('Leaving the StateInternational'!$G$2:$G$121))),FILTER('Leaving the StateInternat"&amp;"ional'!$G$2:$G$121,'Leaving the StateInternational'!$G$2:$G$121&lt;&gt;"""")},2,0)),""""))"),"")</f>
        <v/>
      </c>
      <c r="N5" s="13">
        <f t="shared" ca="1" si="4"/>
        <v>2</v>
      </c>
      <c r="O5" s="13" t="b">
        <f>ISNUMBER(MATCH(C5,'Top 250 HS'!C:C,0))</f>
        <v>0</v>
      </c>
      <c r="P5" s="13" t="str">
        <f ca="1">IFERROR(__xludf.DUMMYFUNCTION("SORTN(FILTER('Top 250 HS'!B:B,'Top 250 HS'!C:C=I5),1,0,randarray(COUNTA(FILTER('Top 250 HS'!B:B,'Top 250 HS'!C:C=I5)),1),TRUE)"),"McKinley (Canton)")</f>
        <v>McKinley (Canton)</v>
      </c>
      <c r="Q5" s="13" t="b">
        <f>ISNUMBER(MATCH("*"&amp;E5&amp;"*",'Top 1500 HS LatitudeLongitude'!G:G,0))</f>
        <v>1</v>
      </c>
      <c r="R5" s="13" t="str">
        <f ca="1">IFERROR(__xludf.DUMMYFUNCTION("IFS(L5=10,"""",Q5=false,"""",N5=5,"""",Q5=true,SORTN(FILTER('Top 1500 HS LatitudeLongitude'!B:B,'Top 1500 HS LatitudeLongitude'!C:C=I5,'Top 1500 HS LatitudeLongitude'!E:E=H5),1,0,randarray(COUNTA(FILTER('Top 1500 HS LatitudeLongitude'!B:B,'Top 1500 HS Lat"&amp;"itudeLongitude'!C:C=I5,'Top 1500 HS LatitudeLongitude'!E:E=H5)),1),TRUE)
)"),"Brush (Lyndhurst)")</f>
        <v>Brush (Lyndhurst)</v>
      </c>
      <c r="S5" s="13" t="b">
        <f>ISNUMBER(MATCH("*"&amp;H:H&amp;"*",'Public Schools'!C:C,0))</f>
        <v>1</v>
      </c>
      <c r="T5" s="13" t="str">
        <f ca="1">IFERROR(__xludf.DUMMYFUNCTION("IFERROR(IF(AND(R5="""",S5=true), SORTN(FILTER('Public Schools'!A:A,'Public Schools'!B:B=J5,'Public Schools'!C:C=H5),1,0,randarray(COUNTA(FILTER('Public Schools'!A:A,'Public Schools'!B:B=J5,'Public Schools'!C:C=H5)),1),TRUE),""""),"""")"),"")</f>
        <v/>
      </c>
      <c r="U5" s="23" t="str">
        <f t="array" aca="1" ref="U5" ca="1">IF(AND(R5="",T5=""),INDEX('Top 1500 HS LatitudeLongitude'!B$2:B$1501,MATCH(MIN(SQRT(('Top 1500 HS LatitudeLongitude'!H$2:H$1501-F5)^2+('Top 1500 HS LatitudeLongitude'!I$2:I$1501-G5)^2)),SQRT( ('Top 1500 HS LatitudeLongitude'!H$2:H$1501-F5)^2+('Top 1500 HS LatitudeLongitude'!I$2:I$1501-G5)^2),0),1),"")</f>
        <v/>
      </c>
    </row>
    <row r="6" spans="1:36" ht="15.75" customHeight="1">
      <c r="B6" s="8">
        <v>0.37689501689999999</v>
      </c>
      <c r="C6" s="24" t="s">
        <v>114</v>
      </c>
      <c r="D6" s="9" t="s">
        <v>115</v>
      </c>
      <c r="E6" s="42" t="s">
        <v>84</v>
      </c>
      <c r="F6" s="8">
        <v>38.166200000000003</v>
      </c>
      <c r="G6" s="8">
        <v>-85.648799999999994</v>
      </c>
      <c r="H6" s="3" t="str">
        <f t="shared" si="0"/>
        <v>Miami</v>
      </c>
      <c r="I6" s="3" t="str">
        <f t="shared" si="1"/>
        <v>FL</v>
      </c>
      <c r="J6" s="3" t="str">
        <f t="array" ref="J6">INDEX('State Abbreviations'!$B$2:$B$52,MATCH(I6,'State Abbreviations'!$A$2:$A$52,0))</f>
        <v>Florida</v>
      </c>
      <c r="K6" s="12" t="e">
        <f t="shared" ca="1" si="2"/>
        <v>#NAME?</v>
      </c>
      <c r="L6" s="13">
        <f t="shared" ca="1" si="3"/>
        <v>12</v>
      </c>
      <c r="M6" s="13" t="str">
        <f ca="1">IFERROR(__xludf.DUMMYFUNCTION("IF(AND(L6&gt;3,I6&lt;&gt;""AL"",I6&lt;&gt;""AK"",I6&lt;&gt;""AZ"",I6&lt;&gt;""AR"",I6&lt;&gt;""CA"",I6&lt;&gt;""CO"",I6&lt;&gt;""CT"",I6&lt;&gt;""DE"",I6&lt;&gt;""DC"",I6&lt;&gt;""FL"",I6&lt;&gt;""GA"",I6&lt;&gt;""HI"",I6&lt;&gt;""ID"",I6&lt;&gt;""IL"",I6&lt;&gt;""IN"",I6&lt;&gt;""IA"",I6&lt;&gt;""KS"",I6&lt;&gt;""KY"",I6&lt;&gt;""LA"",I6&lt;&gt;""ME"",I6&lt;&gt;""MD"",I6&lt;&gt;""MA"",I"&amp;"6&lt;&gt;""MI"",I6&lt;&gt;""MN"",I6&lt;&gt;""MS"",I6&lt;&gt;""MO"",I6&lt;&gt;""MT"",I6&lt;&gt;""NE"",I6&lt;&gt;""NV"",I6&lt;&gt;""NH"",I6&lt;&gt;""NJ"",I6&lt;&gt;""NM"",I6&lt;&gt;""NY"",I6&lt;&gt;""NC"",I6&lt;&gt;""ND"",I6&lt;&gt;""OH"",I6&lt;&gt;""OK"",I6&lt;&gt;""OR"",I6&lt;&gt;""PA"",I6&lt;&gt;""RI"",I6&lt;&gt;""SC"",I6&lt;&gt;""SD"",I6&lt;&gt;""TN"",I6&lt;&gt;""TX"",I6&lt;&gt;""UT"",I6&lt;"&amp;"&gt;""VT"",I6&lt;&gt;""VA"",I6&lt;&gt;""WA"",I6&lt;&gt;""WV"",I6&lt;&gt;""WI"",I6&lt;&gt;""WY""),ArrayFormula(VLOOKUP(QUERY(UNIQUE(RANDBETWEEN(ROW(INDIRECT(""A1:A""&amp;COUNTA('Leaving the StateInternational'!$G$2:$G$121)*10))^0,COUNTA('Leaving the StateInternational'!$G$2:$G$121))),""limit "&amp;"1""),{ROW(INDIRECT(""A1:A""&amp;COUNTA('Leaving the StateInternational'!$G$2:$G$121))),FILTER('Leaving the StateInternational'!$G$2:$G$121,'Leaving the StateInternational'!$G$2:$G$121&lt;&gt;"""")},2,0)),IF(L6=10,ArrayFormula(VLOOKUP(QUERY(UNIQUE(RANDBETWEEN(ROW(IN"&amp;"DIRECT(""A1:A""&amp;COUNTA('Leaving the StateInternational'!$G$2:$G$121)*10))^0,COUNTA('Leaving the StateInternational'!$G$2:$G$121))),""limit 1""),{ROW(INDIRECT(""A1:A""&amp;COUNTA('Leaving the StateInternational'!$G$2:$G$121))),FILTER('Leaving the StateInternat"&amp;"ional'!$G$2:$G$121,'Leaving the StateInternational'!$G$2:$G$121&lt;&gt;"""")},2,0)),""""))"),"")</f>
        <v/>
      </c>
      <c r="N6" s="13">
        <f t="shared" ca="1" si="4"/>
        <v>3</v>
      </c>
      <c r="O6" s="13" t="b">
        <f>ISNUMBER(MATCH(C6,'Top 250 HS'!C:C,0))</f>
        <v>0</v>
      </c>
      <c r="P6" s="13" t="str">
        <f ca="1">IFERROR(__xludf.DUMMYFUNCTION("SORTN(FILTER('Top 250 HS'!B:B,'Top 250 HS'!C:C=I6),1,0,randarray(COUNTA(FILTER('Top 250 HS'!B:B,'Top 250 HS'!C:C=I6)),1),TRUE)"),"Dillard (Fort Lauderdale)")</f>
        <v>Dillard (Fort Lauderdale)</v>
      </c>
      <c r="Q6" s="13" t="b">
        <f>ISNUMBER(MATCH("*"&amp;E6&amp;"*",'Top 1500 HS LatitudeLongitude'!G:G,0))</f>
        <v>1</v>
      </c>
      <c r="R6" s="13" t="str">
        <f ca="1">IFERROR(__xludf.DUMMYFUNCTION("IFS(L6=10,"""",Q6=false,"""",N6=5,"""",Q6=true,SORTN(FILTER('Top 1500 HS LatitudeLongitude'!B:B,'Top 1500 HS LatitudeLongitude'!C:C=I6,'Top 1500 HS LatitudeLongitude'!E:E=H6),1,0,randarray(COUNTA(FILTER('Top 1500 HS LatitudeLongitude'!B:B,'Top 1500 HS Lat"&amp;"itudeLongitude'!C:C=I6,'Top 1500 HS LatitudeLongitude'!E:E=H6)),1),TRUE)
)"),"Schoolhouse Prep (Miami)")</f>
        <v>Schoolhouse Prep (Miami)</v>
      </c>
      <c r="S6" s="13" t="b">
        <f>ISNUMBER(MATCH("*"&amp;H:H&amp;"*",'Public Schools'!C:C,0))</f>
        <v>1</v>
      </c>
      <c r="T6" s="13" t="str">
        <f ca="1">IFERROR(__xludf.DUMMYFUNCTION("IFERROR(IF(AND(R6="""",S6=true), SORTN(FILTER('Public Schools'!A:A,'Public Schools'!B:B=J6,'Public Schools'!C:C=H6),1,0,randarray(COUNTA(FILTER('Public Schools'!A:A,'Public Schools'!B:B=J6,'Public Schools'!C:C=H6)),1),TRUE),""""),"""")"),"")</f>
        <v/>
      </c>
      <c r="U6" s="23" t="str">
        <f t="array" aca="1" ref="U6" ca="1">IF(AND(R6="",T6=""),INDEX('Top 1500 HS LatitudeLongitude'!B$2:B$1501,MATCH(MIN(SQRT(('Top 1500 HS LatitudeLongitude'!H$2:H$1501-F6)^2+('Top 1500 HS LatitudeLongitude'!I$2:I$1501-G6)^2)),SQRT( ('Top 1500 HS LatitudeLongitude'!H$2:H$1501-F6)^2+('Top 1500 HS LatitudeLongitude'!I$2:I$1501-G6)^2),0),1),"")</f>
        <v/>
      </c>
    </row>
    <row r="7" spans="1:36" ht="15.75" customHeight="1">
      <c r="B7" s="8">
        <v>0.74032365759999996</v>
      </c>
      <c r="C7" s="24" t="s">
        <v>94</v>
      </c>
      <c r="D7" s="9" t="s">
        <v>127</v>
      </c>
      <c r="E7" s="25" t="s">
        <v>128</v>
      </c>
      <c r="F7" s="8">
        <v>40.007599999999996</v>
      </c>
      <c r="G7" s="8">
        <v>-75.134</v>
      </c>
      <c r="H7" s="3" t="str">
        <f t="shared" si="0"/>
        <v>Cleveland</v>
      </c>
      <c r="I7" s="3" t="str">
        <f t="shared" si="1"/>
        <v>OH</v>
      </c>
      <c r="J7" s="3" t="str">
        <f t="array" ref="J7">INDEX('State Abbreviations'!$B$2:$B$52,MATCH(I7,'State Abbreviations'!$A$2:$A$52,0))</f>
        <v>Ohio</v>
      </c>
      <c r="K7" s="12" t="e">
        <f t="shared" ca="1" si="2"/>
        <v>#NAME?</v>
      </c>
      <c r="L7" s="13">
        <f t="shared" ca="1" si="3"/>
        <v>12</v>
      </c>
      <c r="M7" s="13" t="str">
        <f ca="1">IFERROR(__xludf.DUMMYFUNCTION("IF(AND(L7&gt;3,I7&lt;&gt;""AL"",I7&lt;&gt;""AK"",I7&lt;&gt;""AZ"",I7&lt;&gt;""AR"",I7&lt;&gt;""CA"",I7&lt;&gt;""CO"",I7&lt;&gt;""CT"",I7&lt;&gt;""DE"",I7&lt;&gt;""DC"",I7&lt;&gt;""FL"",I7&lt;&gt;""GA"",I7&lt;&gt;""HI"",I7&lt;&gt;""ID"",I7&lt;&gt;""IL"",I7&lt;&gt;""IN"",I7&lt;&gt;""IA"",I7&lt;&gt;""KS"",I7&lt;&gt;""KY"",I7&lt;&gt;""LA"",I7&lt;&gt;""ME"",I7&lt;&gt;""MD"",I7&lt;&gt;""MA"",I"&amp;"7&lt;&gt;""MI"",I7&lt;&gt;""MN"",I7&lt;&gt;""MS"",I7&lt;&gt;""MO"",I7&lt;&gt;""MT"",I7&lt;&gt;""NE"",I7&lt;&gt;""NV"",I7&lt;&gt;""NH"",I7&lt;&gt;""NJ"",I7&lt;&gt;""NM"",I7&lt;&gt;""NY"",I7&lt;&gt;""NC"",I7&lt;&gt;""ND"",I7&lt;&gt;""OH"",I7&lt;&gt;""OK"",I7&lt;&gt;""OR"",I7&lt;&gt;""PA"",I7&lt;&gt;""RI"",I7&lt;&gt;""SC"",I7&lt;&gt;""SD"",I7&lt;&gt;""TN"",I7&lt;&gt;""TX"",I7&lt;&gt;""UT"",I7&lt;"&amp;"&gt;""VT"",I7&lt;&gt;""VA"",I7&lt;&gt;""WA"",I7&lt;&gt;""WV"",I7&lt;&gt;""WI"",I7&lt;&gt;""WY""),ArrayFormula(VLOOKUP(QUERY(UNIQUE(RANDBETWEEN(ROW(INDIRECT(""A1:A""&amp;COUNTA('Leaving the StateInternational'!$G$2:$G$121)*10))^0,COUNTA('Leaving the StateInternational'!$G$2:$G$121))),""limit "&amp;"1""),{ROW(INDIRECT(""A1:A""&amp;COUNTA('Leaving the StateInternational'!$G$2:$G$121))),FILTER('Leaving the StateInternational'!$G$2:$G$121,'Leaving the StateInternational'!$G$2:$G$121&lt;&gt;"""")},2,0)),IF(L7=10,ArrayFormula(VLOOKUP(QUERY(UNIQUE(RANDBETWEEN(ROW(IN"&amp;"DIRECT(""A1:A""&amp;COUNTA('Leaving the StateInternational'!$G$2:$G$121)*10))^0,COUNTA('Leaving the StateInternational'!$G$2:$G$121))),""limit 1""),{ROW(INDIRECT(""A1:A""&amp;COUNTA('Leaving the StateInternational'!$G$2:$G$121))),FILTER('Leaving the StateInternat"&amp;"ional'!$G$2:$G$121,'Leaving the StateInternational'!$G$2:$G$121&lt;&gt;"""")},2,0)),""""))"),"")</f>
        <v/>
      </c>
      <c r="N7" s="13">
        <f t="shared" ca="1" si="4"/>
        <v>5</v>
      </c>
      <c r="O7" s="13" t="b">
        <f>ISNUMBER(MATCH(C7,'Top 250 HS'!C:C,0))</f>
        <v>0</v>
      </c>
      <c r="P7" s="13" t="str">
        <f ca="1">IFERROR(__xludf.DUMMYFUNCTION("SORTN(FILTER('Top 250 HS'!B:B,'Top 250 HS'!C:C=I7),1,0,randarray(COUNTA(FILTER('Top 250 HS'!B:B,'Top 250 HS'!C:C=I7)),1),TRUE)"),"Archbishop Moeller (Cincinnati)")</f>
        <v>Archbishop Moeller (Cincinnati)</v>
      </c>
      <c r="Q7" s="13" t="b">
        <f>ISNUMBER(MATCH("*"&amp;E7&amp;"*",'Top 1500 HS LatitudeLongitude'!G:G,0))</f>
        <v>1</v>
      </c>
      <c r="R7" s="13" t="str">
        <f ca="1">IFERROR(__xludf.DUMMYFUNCTION("IFS(L7=10,"""",Q7=false,"""",N7=5,"""",Q7=true,SORTN(FILTER('Top 1500 HS LatitudeLongitude'!B:B,'Top 1500 HS LatitudeLongitude'!C:C=I7,'Top 1500 HS LatitudeLongitude'!E:E=H7),1,0,randarray(COUNTA(FILTER('Top 1500 HS LatitudeLongitude'!B:B,'Top 1500 HS Lat"&amp;"itudeLongitude'!C:C=I7,'Top 1500 HS LatitudeLongitude'!E:E=H7)),1),TRUE)
)"),"Rhodes (Cleveland)")</f>
        <v>Rhodes (Cleveland)</v>
      </c>
      <c r="S7" s="13" t="b">
        <f>ISNUMBER(MATCH("*"&amp;H:H&amp;"*",'Public Schools'!C:C,0))</f>
        <v>1</v>
      </c>
      <c r="T7" s="13" t="str">
        <f ca="1">IFERROR(__xludf.DUMMYFUNCTION("IFERROR(IF(AND(R7="""",S7=true), SORTN(FILTER('Public Schools'!A:A,'Public Schools'!B:B=J7,'Public Schools'!C:C=H7),1,0,randarray(COUNTA(FILTER('Public Schools'!A:A,'Public Schools'!B:B=J7,'Public Schools'!C:C=H7)),1),TRUE),""""),"""")"),"")</f>
        <v/>
      </c>
      <c r="U7" s="23" t="str">
        <f t="array" aca="1" ref="U7" ca="1">IF(AND(R7="",T7=""),INDEX('Top 1500 HS LatitudeLongitude'!B$2:B$1501,MATCH(MIN(SQRT(('Top 1500 HS LatitudeLongitude'!H$2:H$1501-F7)^2+('Top 1500 HS LatitudeLongitude'!I$2:I$1501-G7)^2)),SQRT( ('Top 1500 HS LatitudeLongitude'!H$2:H$1501-F7)^2+('Top 1500 HS LatitudeLongitude'!I$2:I$1501-G7)^2),0),1),"")</f>
        <v/>
      </c>
    </row>
    <row r="8" spans="1:36" ht="15.75" customHeight="1">
      <c r="B8" s="8">
        <v>0.44027476659999998</v>
      </c>
      <c r="C8" s="24" t="s">
        <v>94</v>
      </c>
      <c r="D8" s="9" t="s">
        <v>138</v>
      </c>
      <c r="E8" s="42" t="s">
        <v>139</v>
      </c>
      <c r="F8" s="8">
        <v>39.305100000000003</v>
      </c>
      <c r="G8" s="8">
        <v>-76.614400000000003</v>
      </c>
      <c r="H8" s="3" t="str">
        <f t="shared" si="0"/>
        <v>Columbus</v>
      </c>
      <c r="I8" s="3" t="str">
        <f t="shared" si="1"/>
        <v>OH</v>
      </c>
      <c r="J8" s="3" t="str">
        <f t="array" ref="J8">INDEX('State Abbreviations'!$B$2:$B$52,MATCH(I8,'State Abbreviations'!$A$2:$A$52,0))</f>
        <v>Ohio</v>
      </c>
      <c r="K8" s="12" t="e">
        <f t="shared" ca="1" si="2"/>
        <v>#NAME?</v>
      </c>
      <c r="L8" s="13">
        <f t="shared" ca="1" si="3"/>
        <v>13</v>
      </c>
      <c r="M8" s="13" t="str">
        <f ca="1">IFERROR(__xludf.DUMMYFUNCTION("IF(AND(L8&gt;3,I8&lt;&gt;""AL"",I8&lt;&gt;""AK"",I8&lt;&gt;""AZ"",I8&lt;&gt;""AR"",I8&lt;&gt;""CA"",I8&lt;&gt;""CO"",I8&lt;&gt;""CT"",I8&lt;&gt;""DE"",I8&lt;&gt;""DC"",I8&lt;&gt;""FL"",I8&lt;&gt;""GA"",I8&lt;&gt;""HI"",I8&lt;&gt;""ID"",I8&lt;&gt;""IL"",I8&lt;&gt;""IN"",I8&lt;&gt;""IA"",I8&lt;&gt;""KS"",I8&lt;&gt;""KY"",I8&lt;&gt;""LA"",I8&lt;&gt;""ME"",I8&lt;&gt;""MD"",I8&lt;&gt;""MA"",I"&amp;"8&lt;&gt;""MI"",I8&lt;&gt;""MN"",I8&lt;&gt;""MS"",I8&lt;&gt;""MO"",I8&lt;&gt;""MT"",I8&lt;&gt;""NE"",I8&lt;&gt;""NV"",I8&lt;&gt;""NH"",I8&lt;&gt;""NJ"",I8&lt;&gt;""NM"",I8&lt;&gt;""NY"",I8&lt;&gt;""NC"",I8&lt;&gt;""ND"",I8&lt;&gt;""OH"",I8&lt;&gt;""OK"",I8&lt;&gt;""OR"",I8&lt;&gt;""PA"",I8&lt;&gt;""RI"",I8&lt;&gt;""SC"",I8&lt;&gt;""SD"",I8&lt;&gt;""TN"",I8&lt;&gt;""TX"",I8&lt;&gt;""UT"",I8&lt;"&amp;"&gt;""VT"",I8&lt;&gt;""VA"",I8&lt;&gt;""WA"",I8&lt;&gt;""WV"",I8&lt;&gt;""WI"",I8&lt;&gt;""WY""),ArrayFormula(VLOOKUP(QUERY(UNIQUE(RANDBETWEEN(ROW(INDIRECT(""A1:A""&amp;COUNTA('Leaving the StateInternational'!$G$2:$G$121)*10))^0,COUNTA('Leaving the StateInternational'!$G$2:$G$121))),""limit "&amp;"1""),{ROW(INDIRECT(""A1:A""&amp;COUNTA('Leaving the StateInternational'!$G$2:$G$121))),FILTER('Leaving the StateInternational'!$G$2:$G$121,'Leaving the StateInternational'!$G$2:$G$121&lt;&gt;"""")},2,0)),IF(L8=10,ArrayFormula(VLOOKUP(QUERY(UNIQUE(RANDBETWEEN(ROW(IN"&amp;"DIRECT(""A1:A""&amp;COUNTA('Leaving the StateInternational'!$G$2:$G$121)*10))^0,COUNTA('Leaving the StateInternational'!$G$2:$G$121))),""limit 1""),{ROW(INDIRECT(""A1:A""&amp;COUNTA('Leaving the StateInternational'!$G$2:$G$121))),FILTER('Leaving the StateInternat"&amp;"ional'!$G$2:$G$121,'Leaving the StateInternational'!$G$2:$G$121&lt;&gt;"""")},2,0)),""""))"),"")</f>
        <v/>
      </c>
      <c r="N8" s="13">
        <f t="shared" ca="1" si="4"/>
        <v>2</v>
      </c>
      <c r="O8" s="13" t="b">
        <f>ISNUMBER(MATCH(C8,'Top 250 HS'!C:C,0))</f>
        <v>0</v>
      </c>
      <c r="P8" s="13" t="str">
        <f ca="1">IFERROR(__xludf.DUMMYFUNCTION("SORTN(FILTER('Top 250 HS'!B:B,'Top 250 HS'!C:C=I8),1,0,randarray(COUNTA(FILTER('Top 250 HS'!B:B,'Top 250 HS'!C:C=I8)),1),TRUE)"),"St. Vincent-St. Mary (Akron)")</f>
        <v>St. Vincent-St. Mary (Akron)</v>
      </c>
      <c r="Q8" s="13" t="b">
        <f>ISNUMBER(MATCH("*"&amp;E8&amp;"*",'Top 1500 HS LatitudeLongitude'!G:G,0))</f>
        <v>1</v>
      </c>
      <c r="R8" s="13" t="str">
        <f ca="1">IFERROR(__xludf.DUMMYFUNCTION("IFS(L8=10,"""",Q8=false,"""",N8=5,"""",Q8=true,SORTN(FILTER('Top 1500 HS LatitudeLongitude'!B:B,'Top 1500 HS LatitudeLongitude'!C:C=I8,'Top 1500 HS LatitudeLongitude'!E:E=H8),1,0,randarray(COUNTA(FILTER('Top 1500 HS LatitudeLongitude'!B:B,'Top 1500 HS Lat"&amp;"itudeLongitude'!C:C=I8,'Top 1500 HS LatitudeLongitude'!E:E=H8)),1),TRUE)
)"),"St. Francis DeSales (Columbus)")</f>
        <v>St. Francis DeSales (Columbus)</v>
      </c>
      <c r="S8" s="13" t="b">
        <f>ISNUMBER(MATCH("*"&amp;H:H&amp;"*",'Public Schools'!C:C,0))</f>
        <v>1</v>
      </c>
      <c r="T8" s="13" t="str">
        <f ca="1">IFERROR(__xludf.DUMMYFUNCTION("IFERROR(IF(AND(R8="""",S8=true), SORTN(FILTER('Public Schools'!A:A,'Public Schools'!B:B=J8,'Public Schools'!C:C=H8),1,0,randarray(COUNTA(FILTER('Public Schools'!A:A,'Public Schools'!B:B=J8,'Public Schools'!C:C=H8)),1),TRUE),""""),"""")"),"")</f>
        <v/>
      </c>
      <c r="U8" s="23" t="str">
        <f t="array" aca="1" ref="U8" ca="1">IF(AND(R8="",T8=""),INDEX('Top 1500 HS LatitudeLongitude'!B$2:B$1501,MATCH(MIN(SQRT(('Top 1500 HS LatitudeLongitude'!H$2:H$1501-F8)^2+('Top 1500 HS LatitudeLongitude'!I$2:I$1501-G8)^2)),SQRT( ('Top 1500 HS LatitudeLongitude'!H$2:H$1501-F8)^2+('Top 1500 HS LatitudeLongitude'!I$2:I$1501-G8)^2),0),1),"")</f>
        <v/>
      </c>
    </row>
    <row r="9" spans="1:36" ht="15.75" customHeight="1">
      <c r="B9" s="8">
        <v>0.2165040748</v>
      </c>
      <c r="C9" s="9" t="s">
        <v>148</v>
      </c>
      <c r="D9" s="9" t="s">
        <v>149</v>
      </c>
      <c r="E9" s="37" t="s">
        <v>150</v>
      </c>
      <c r="F9" s="8">
        <v>33.762700000000002</v>
      </c>
      <c r="G9" s="8">
        <v>-84.423100000000005</v>
      </c>
      <c r="H9" s="3" t="str">
        <f t="shared" si="0"/>
        <v>Atlanta</v>
      </c>
      <c r="I9" s="3" t="str">
        <f t="shared" si="1"/>
        <v>GA</v>
      </c>
      <c r="J9" s="3" t="str">
        <f t="array" ref="J9">INDEX('State Abbreviations'!$B$2:$B$52,MATCH(I9,'State Abbreviations'!$A$2:$A$52,0))</f>
        <v>Georgia</v>
      </c>
      <c r="K9" s="12" t="e">
        <f t="shared" ca="1" si="2"/>
        <v>#NAME?</v>
      </c>
      <c r="L9" s="13">
        <f t="shared" ca="1" si="3"/>
        <v>6</v>
      </c>
      <c r="M9" s="13" t="str">
        <f ca="1">IFERROR(__xludf.DUMMYFUNCTION("IF(AND(L9&gt;3,I9&lt;&gt;""AL"",I9&lt;&gt;""AK"",I9&lt;&gt;""AZ"",I9&lt;&gt;""AR"",I9&lt;&gt;""CA"",I9&lt;&gt;""CO"",I9&lt;&gt;""CT"",I9&lt;&gt;""DE"",I9&lt;&gt;""DC"",I9&lt;&gt;""FL"",I9&lt;&gt;""GA"",I9&lt;&gt;""HI"",I9&lt;&gt;""ID"",I9&lt;&gt;""IL"",I9&lt;&gt;""IN"",I9&lt;&gt;""IA"",I9&lt;&gt;""KS"",I9&lt;&gt;""KY"",I9&lt;&gt;""LA"",I9&lt;&gt;""ME"",I9&lt;&gt;""MD"",I9&lt;&gt;""MA"",I"&amp;"9&lt;&gt;""MI"",I9&lt;&gt;""MN"",I9&lt;&gt;""MS"",I9&lt;&gt;""MO"",I9&lt;&gt;""MT"",I9&lt;&gt;""NE"",I9&lt;&gt;""NV"",I9&lt;&gt;""NH"",I9&lt;&gt;""NJ"",I9&lt;&gt;""NM"",I9&lt;&gt;""NY"",I9&lt;&gt;""NC"",I9&lt;&gt;""ND"",I9&lt;&gt;""OH"",I9&lt;&gt;""OK"",I9&lt;&gt;""OR"",I9&lt;&gt;""PA"",I9&lt;&gt;""RI"",I9&lt;&gt;""SC"",I9&lt;&gt;""SD"",I9&lt;&gt;""TN"",I9&lt;&gt;""TX"",I9&lt;&gt;""UT"",I9&lt;"&amp;"&gt;""VT"",I9&lt;&gt;""VA"",I9&lt;&gt;""WA"",I9&lt;&gt;""WV"",I9&lt;&gt;""WI"",I9&lt;&gt;""WY""),ArrayFormula(VLOOKUP(QUERY(UNIQUE(RANDBETWEEN(ROW(INDIRECT(""A1:A""&amp;COUNTA('Leaving the StateInternational'!$G$2:$G$121)*10))^0,COUNTA('Leaving the StateInternational'!$G$2:$G$121))),""limit "&amp;"1""),{ROW(INDIRECT(""A1:A""&amp;COUNTA('Leaving the StateInternational'!$G$2:$G$121))),FILTER('Leaving the StateInternational'!$G$2:$G$121,'Leaving the StateInternational'!$G$2:$G$121&lt;&gt;"""")},2,0)),IF(L9=10,ArrayFormula(VLOOKUP(QUERY(UNIQUE(RANDBETWEEN(ROW(IN"&amp;"DIRECT(""A1:A""&amp;COUNTA('Leaving the StateInternational'!$G$2:$G$121)*10))^0,COUNTA('Leaving the StateInternational'!$G$2:$G$121))),""limit 1""),{ROW(INDIRECT(""A1:A""&amp;COUNTA('Leaving the StateInternational'!$G$2:$G$121))),FILTER('Leaving the StateInternat"&amp;"ional'!$G$2:$G$121,'Leaving the StateInternational'!$G$2:$G$121&lt;&gt;"""")},2,0)),""""))"),"")</f>
        <v/>
      </c>
      <c r="N9" s="13">
        <f t="shared" ca="1" si="4"/>
        <v>4</v>
      </c>
      <c r="O9" s="13" t="b">
        <f>ISNUMBER(MATCH(C9,'Top 250 HS'!C:C,0))</f>
        <v>0</v>
      </c>
      <c r="P9" s="13" t="str">
        <f ca="1">IFERROR(__xludf.DUMMYFUNCTION("SORTN(FILTER('Top 250 HS'!B:B,'Top 250 HS'!C:C=I9),1,0,randarray(COUNTA(FILTER('Top 250 HS'!B:B,'Top 250 HS'!C:C=I9)),1),TRUE)"),"Woodward Academy (College Park)")</f>
        <v>Woodward Academy (College Park)</v>
      </c>
      <c r="Q9" s="13" t="b">
        <f>ISNUMBER(MATCH("*"&amp;E9&amp;"*",'Top 1500 HS LatitudeLongitude'!G:G,0))</f>
        <v>1</v>
      </c>
      <c r="R9" s="13" t="str">
        <f ca="1">IFERROR(__xludf.DUMMYFUNCTION("IFS(L9=10,"""",Q9=false,"""",N9=5,"""",Q9=true,SORTN(FILTER('Top 1500 HS LatitudeLongitude'!B:B,'Top 1500 HS LatitudeLongitude'!C:C=I9,'Top 1500 HS LatitudeLongitude'!E:E=H9),1,0,randarray(COUNTA(FILTER('Top 1500 HS LatitudeLongitude'!B:B,'Top 1500 HS Lat"&amp;"itudeLongitude'!C:C=I9,'Top 1500 HS LatitudeLongitude'!E:E=H9)),1),TRUE)
)"),"Therrell (Atlanta)")</f>
        <v>Therrell (Atlanta)</v>
      </c>
      <c r="S9" s="13" t="b">
        <f>ISNUMBER(MATCH("*"&amp;H:H&amp;"*",'Public Schools'!C:C,0))</f>
        <v>1</v>
      </c>
      <c r="T9" s="13" t="str">
        <f ca="1">IFERROR(__xludf.DUMMYFUNCTION("IFERROR(IF(AND(R9="""",S9=true), SORTN(FILTER('Public Schools'!A:A,'Public Schools'!B:B=J9,'Public Schools'!C:C=H9),1,0,randarray(COUNTA(FILTER('Public Schools'!A:A,'Public Schools'!B:B=J9,'Public Schools'!C:C=H9)),1),TRUE),""""),"""")"),"")</f>
        <v/>
      </c>
      <c r="U9" s="23" t="str">
        <f t="array" aca="1" ref="U9" ca="1">IF(AND(R9="",T9=""),INDEX('Top 1500 HS LatitudeLongitude'!B$2:B$1501,MATCH(MIN(SQRT(('Top 1500 HS LatitudeLongitude'!H$2:H$1501-F9)^2+('Top 1500 HS LatitudeLongitude'!I$2:I$1501-G9)^2)),SQRT( ('Top 1500 HS LatitudeLongitude'!H$2:H$1501-F9)^2+('Top 1500 HS LatitudeLongitude'!I$2:I$1501-G9)^2),0),1),"")</f>
        <v/>
      </c>
    </row>
    <row r="10" spans="1:36" ht="15.75" customHeight="1">
      <c r="B10" s="8">
        <v>0.58421085350000002</v>
      </c>
      <c r="C10" s="9" t="s">
        <v>94</v>
      </c>
      <c r="D10" s="9" t="s">
        <v>138</v>
      </c>
      <c r="E10" s="10" t="s">
        <v>139</v>
      </c>
      <c r="F10" s="8">
        <v>40.810200000000002</v>
      </c>
      <c r="G10" s="8">
        <v>-96.680800000000005</v>
      </c>
      <c r="H10" s="3" t="str">
        <f t="shared" si="0"/>
        <v>Columbus</v>
      </c>
      <c r="I10" s="3" t="str">
        <f t="shared" si="1"/>
        <v>OH</v>
      </c>
      <c r="J10" s="3" t="str">
        <f t="array" ref="J10">INDEX('State Abbreviations'!$B$2:$B$52,MATCH(I10,'State Abbreviations'!$A$2:$A$52,0))</f>
        <v>Ohio</v>
      </c>
      <c r="K10" s="12" t="e">
        <f t="shared" ca="1" si="2"/>
        <v>#NAME?</v>
      </c>
      <c r="L10" s="13">
        <f t="shared" ca="1" si="3"/>
        <v>3</v>
      </c>
      <c r="M10" s="13" t="str">
        <f ca="1">IFERROR(__xludf.DUMMYFUNCTION("IF(AND(L10&gt;3,I10&lt;&gt;""AL"",I10&lt;&gt;""AK"",I10&lt;&gt;""AZ"",I10&lt;&gt;""AR"",I10&lt;&gt;""CA"",I10&lt;&gt;""CO"",I10&lt;&gt;""CT"",I10&lt;&gt;""DE"",I10&lt;&gt;""DC"",I10&lt;&gt;""FL"",I10&lt;&gt;""GA"",I10&lt;&gt;""HI"",I10&lt;&gt;""ID"",I10&lt;&gt;""IL"",I10&lt;&gt;""IN"",I10&lt;&gt;""IA"",I10&lt;&gt;""KS"",I10&lt;&gt;""KY"",I10&lt;&gt;""LA"",I10&lt;&gt;""ME"",I1"&amp;"0&lt;&gt;""MD"",I10&lt;&gt;""MA"",I10&lt;&gt;""MI"",I10&lt;&gt;""MN"",I10&lt;&gt;""MS"",I10&lt;&gt;""MO"",I10&lt;&gt;""MT"",I10&lt;&gt;""NE"",I10&lt;&gt;""NV"",I10&lt;&gt;""NH"",I10&lt;&gt;""NJ"",I10&lt;&gt;""NM"",I10&lt;&gt;""NY"",I10&lt;&gt;""NC"",I10&lt;&gt;""ND"",I10&lt;&gt;""OH"",I10&lt;&gt;""OK"",I10&lt;&gt;""OR"",I10&lt;&gt;""PA"",I10&lt;&gt;""RI"",I10&lt;&gt;""SC"",I10&lt;&gt;"&amp;"""SD"",I10&lt;&gt;""TN"",I10&lt;&gt;""TX"",I10&lt;&gt;""UT"",I10&lt;&gt;""VT"",I10&lt;&gt;""VA"",I10&lt;&gt;""WA"",I10&lt;&gt;""WV"",I10&lt;&gt;""WI"",I10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StateInternational'!$G$2:$G$121&lt;&gt;"""")},2,0)),IF(L10=10"&amp;",ArrayFormula(VLOOKUP(QUERY(UNIQUE(RANDBETWEEN(ROW(INDIRECT(""A1:A""&amp;COUNTA('Leaving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0" s="13">
        <f t="shared" ca="1" si="4"/>
        <v>5</v>
      </c>
      <c r="O10" s="13" t="b">
        <f>ISNUMBER(MATCH(C10,'Top 250 HS'!C:C,0))</f>
        <v>0</v>
      </c>
      <c r="P10" s="13" t="str">
        <f ca="1">IFERROR(__xludf.DUMMYFUNCTION("SORTN(FILTER('Top 250 HS'!B:B,'Top 250 HS'!C:C=I10),1,0,randarray(COUNTA(FILTER('Top 250 HS'!B:B,'Top 250 HS'!C:C=I10)),1),TRUE)"),"Archbishop Moeller (Cincinnati)")</f>
        <v>Archbishop Moeller (Cincinnati)</v>
      </c>
      <c r="Q10" s="13" t="b">
        <f>ISNUMBER(MATCH("*"&amp;E10&amp;"*",'Top 1500 HS LatitudeLongitude'!G:G,0))</f>
        <v>1</v>
      </c>
      <c r="R10" s="13" t="str">
        <f ca="1">IFERROR(__xludf.DUMMYFUNCTION("IFS(L10=10,"""",Q10=false,"""",N10=5,"""",Q10=true,SORTN(FILTER('Top 1500 HS LatitudeLongitude'!B:B,'Top 1500 HS LatitudeLongitude'!C:C=I10,'Top 1500 HS LatitudeLongitude'!E:E=H10),1,0,randarray(COUNTA(FILTER('Top 1500 HS LatitudeLongitude'!B:B,'Top 1500 "&amp;"HS LatitudeLongitude'!C:C=I10,'Top 1500 HS LatitudeLongitude'!E:E=H10)),1),TRUE)
)"),"Walnut Ridge (Columbus)")</f>
        <v>Walnut Ridge (Columbus)</v>
      </c>
      <c r="S10" s="13" t="b">
        <f>ISNUMBER(MATCH("*"&amp;H:H&amp;"*",'Public Schools'!C:C,0))</f>
        <v>1</v>
      </c>
      <c r="T10" s="13" t="str">
        <f ca="1">IFERROR(__xludf.DUMMYFUNCTION("IFERROR(IF(AND(R10="""",S10=true), SORTN(FILTER('Public Schools'!A:A,'Public Schools'!B:B=J10,'Public Schools'!C:C=H10),1,0,randarray(COUNTA(FILTER('Public Schools'!A:A,'Public Schools'!B:B=J10,'Public Schools'!C:C=H10)),1),TRUE),""""),"""")"),"")</f>
        <v/>
      </c>
      <c r="U10" s="23" t="str">
        <f t="array" aca="1" ref="U10" ca="1">IF(AND(R10="",T10=""),INDEX('Top 1500 HS LatitudeLongitude'!B$2:B$1501,MATCH(MIN(SQRT(('Top 1500 HS LatitudeLongitude'!H$2:H$1501-F10)^2+('Top 1500 HS LatitudeLongitude'!I$2:I$1501-G10)^2)),SQRT( ('Top 1500 HS LatitudeLongitude'!H$2:H$1501-F10)^2+('Top 1500 HS LatitudeLongitude'!I$2:I$1501-G10)^2),0),1),"")</f>
        <v/>
      </c>
    </row>
    <row r="11" spans="1:36" ht="15.75" customHeight="1">
      <c r="B11" s="8">
        <v>0.79775865729999995</v>
      </c>
      <c r="C11" s="9" t="s">
        <v>114</v>
      </c>
      <c r="D11" s="9" t="s">
        <v>170</v>
      </c>
      <c r="E11" s="37" t="s">
        <v>171</v>
      </c>
      <c r="F11" s="8">
        <v>36.171399999999998</v>
      </c>
      <c r="G11" s="8">
        <v>-86.784400000000005</v>
      </c>
      <c r="H11" s="3" t="str">
        <f t="shared" si="0"/>
        <v>Melbourne</v>
      </c>
      <c r="I11" s="3" t="str">
        <f t="shared" si="1"/>
        <v>FL</v>
      </c>
      <c r="J11" s="3" t="str">
        <f t="array" ref="J11">INDEX('State Abbreviations'!$B$2:$B$52,MATCH(I11,'State Abbreviations'!$A$2:$A$52,0))</f>
        <v>Florida</v>
      </c>
      <c r="K11" s="12" t="e">
        <f t="shared" ca="1" si="2"/>
        <v>#NAME?</v>
      </c>
      <c r="L11" s="13">
        <f t="shared" ca="1" si="3"/>
        <v>1</v>
      </c>
      <c r="M11" s="13" t="str">
        <f ca="1">IFERROR(__xludf.DUMMYFUNCTION("IF(AND(L11&gt;3,I11&lt;&gt;""AL"",I11&lt;&gt;""AK"",I11&lt;&gt;""AZ"",I11&lt;&gt;""AR"",I11&lt;&gt;""CA"",I11&lt;&gt;""CO"",I11&lt;&gt;""CT"",I11&lt;&gt;""DE"",I11&lt;&gt;""DC"",I11&lt;&gt;""FL"",I11&lt;&gt;""GA"",I11&lt;&gt;""HI"",I11&lt;&gt;""ID"",I11&lt;&gt;""IL"",I11&lt;&gt;""IN"",I11&lt;&gt;""IA"",I11&lt;&gt;""KS"",I11&lt;&gt;""KY"",I11&lt;&gt;""LA"",I11&lt;&gt;""ME"",I1"&amp;"1&lt;&gt;""MD"",I11&lt;&gt;""MA"",I11&lt;&gt;""MI"",I11&lt;&gt;""MN"",I11&lt;&gt;""MS"",I11&lt;&gt;""MO"",I11&lt;&gt;""MT"",I11&lt;&gt;""NE"",I11&lt;&gt;""NV"",I11&lt;&gt;""NH"",I11&lt;&gt;""NJ"",I11&lt;&gt;""NM"",I11&lt;&gt;""NY"",I11&lt;&gt;""NC"",I11&lt;&gt;""ND"",I11&lt;&gt;""OH"",I11&lt;&gt;""OK"",I11&lt;&gt;""OR"",I11&lt;&gt;""PA"",I11&lt;&gt;""RI"",I11&lt;&gt;""SC"",I11&lt;&gt;"&amp;"""SD"",I11&lt;&gt;""TN"",I11&lt;&gt;""TX"",I11&lt;&gt;""UT"",I11&lt;&gt;""VT"",I11&lt;&gt;""VA"",I11&lt;&gt;""WA"",I11&lt;&gt;""WV"",I11&lt;&gt;""WI"",I11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StateInternational'!$G$2:$G$121&lt;&gt;"""")},2,0)),IF(L11=10"&amp;",ArrayFormula(VLOOKUP(QUERY(UNIQUE(RANDBETWEEN(ROW(INDIRECT(""A1:A""&amp;COUNTA('Leaving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1" s="13">
        <f t="shared" ca="1" si="4"/>
        <v>4</v>
      </c>
      <c r="O11" s="13" t="b">
        <f>ISNUMBER(MATCH(C11,'Top 250 HS'!C:C,0))</f>
        <v>0</v>
      </c>
      <c r="P11" s="13" t="str">
        <f ca="1">IFERROR(__xludf.DUMMYFUNCTION("SORTN(FILTER('Top 250 HS'!B:B,'Top 250 HS'!C:C=I11),1,0,randarray(COUNTA(FILTER('Top 250 HS'!B:B,'Top 250 HS'!C:C=I11)),1),TRUE)"),"Northeast (Oakland Park)")</f>
        <v>Northeast (Oakland Park)</v>
      </c>
      <c r="Q11" s="13" t="b">
        <f>ISNUMBER(MATCH("*"&amp;E11&amp;"*",'Top 1500 HS LatitudeLongitude'!G:G,0))</f>
        <v>0</v>
      </c>
      <c r="R11" s="13" t="str">
        <f ca="1">IFERROR(__xludf.DUMMYFUNCTION("IFS(L11=10,"""",Q11=false,"""",N11=5,"""",Q11=true,SORTN(FILTER('Top 1500 HS LatitudeLongitude'!B:B,'Top 1500 HS LatitudeLongitude'!C:C=I11,'Top 1500 HS LatitudeLongitude'!E:E=H11),1,0,randarray(COUNTA(FILTER('Top 1500 HS LatitudeLongitude'!B:B,'Top 1500 "&amp;"HS LatitudeLongitude'!C:C=I11,'Top 1500 HS LatitudeLongitude'!E:E=H11)),1),TRUE)
)"),"")</f>
        <v/>
      </c>
      <c r="S11" s="13" t="b">
        <f>ISNUMBER(MATCH("*"&amp;H:H&amp;"*",'Public Schools'!C:C,0))</f>
        <v>1</v>
      </c>
      <c r="T11" s="13" t="str">
        <f ca="1">IFERROR(__xludf.DUMMYFUNCTION("IFERROR(IF(AND(R11="""",S11=true), SORTN(FILTER('Public Schools'!A:A,'Public Schools'!B:B=J11,'Public Schools'!C:C=H11),1,0,randarray(COUNTA(FILTER('Public Schools'!A:A,'Public Schools'!B:B=J11,'Public Schools'!C:C=H11)),1),TRUE),""""),"""")"),"Eau Gallie High School")</f>
        <v>Eau Gallie High School</v>
      </c>
      <c r="U11" s="23" t="str">
        <f t="array" aca="1" ref="U11" ca="1">IF(AND(R11="",T11=""),INDEX('Top 1500 HS LatitudeLongitude'!B$2:B$1501,MATCH(MIN(SQRT(('Top 1500 HS LatitudeLongitude'!H$2:H$1501-F11)^2+('Top 1500 HS LatitudeLongitude'!I$2:I$1501-G11)^2)),SQRT( ('Top 1500 HS LatitudeLongitude'!H$2:H$1501-F11)^2+('Top 1500 HS LatitudeLongitude'!I$2:I$1501-G11)^2),0),1),"")</f>
        <v/>
      </c>
    </row>
    <row r="12" spans="1:36" ht="15.75" customHeight="1">
      <c r="B12" s="8">
        <v>0.50022120489999999</v>
      </c>
      <c r="C12" s="9" t="s">
        <v>206</v>
      </c>
      <c r="D12" s="9" t="s">
        <v>118</v>
      </c>
      <c r="E12" s="10" t="s">
        <v>208</v>
      </c>
      <c r="F12" s="8">
        <v>44.932400000000001</v>
      </c>
      <c r="G12" s="8">
        <v>-93.460099999999997</v>
      </c>
      <c r="H12" s="3" t="str">
        <f t="shared" si="0"/>
        <v>Grand Prairie</v>
      </c>
      <c r="I12" s="3" t="str">
        <f t="shared" si="1"/>
        <v>TX</v>
      </c>
      <c r="J12" s="3" t="str">
        <f t="array" ref="J12">INDEX('State Abbreviations'!$B$2:$B$52,MATCH(I12,'State Abbreviations'!$A$2:$A$52,0))</f>
        <v>Texas</v>
      </c>
      <c r="K12" s="12" t="e">
        <f t="shared" ca="1" si="2"/>
        <v>#NAME?</v>
      </c>
      <c r="L12" s="13">
        <f t="shared" ca="1" si="3"/>
        <v>5</v>
      </c>
      <c r="M12" s="13" t="str">
        <f ca="1">IFERROR(__xludf.DUMMYFUNCTION("IF(AND(L12&gt;3,I12&lt;&gt;""AL"",I12&lt;&gt;""AK"",I12&lt;&gt;""AZ"",I12&lt;&gt;""AR"",I12&lt;&gt;""CA"",I12&lt;&gt;""CO"",I12&lt;&gt;""CT"",I12&lt;&gt;""DE"",I12&lt;&gt;""DC"",I12&lt;&gt;""FL"",I12&lt;&gt;""GA"",I12&lt;&gt;""HI"",I12&lt;&gt;""ID"",I12&lt;&gt;""IL"",I12&lt;&gt;""IN"",I12&lt;&gt;""IA"",I12&lt;&gt;""KS"",I12&lt;&gt;""KY"",I12&lt;&gt;""LA"",I12&lt;&gt;""ME"",I1"&amp;"2&lt;&gt;""MD"",I12&lt;&gt;""MA"",I12&lt;&gt;""MI"",I12&lt;&gt;""MN"",I12&lt;&gt;""MS"",I12&lt;&gt;""MO"",I12&lt;&gt;""MT"",I12&lt;&gt;""NE"",I12&lt;&gt;""NV"",I12&lt;&gt;""NH"",I12&lt;&gt;""NJ"",I12&lt;&gt;""NM"",I12&lt;&gt;""NY"",I12&lt;&gt;""NC"",I12&lt;&gt;""ND"",I12&lt;&gt;""OH"",I12&lt;&gt;""OK"",I12&lt;&gt;""OR"",I12&lt;&gt;""PA"",I12&lt;&gt;""RI"",I12&lt;&gt;""SC"",I12&lt;&gt;"&amp;"""SD"",I12&lt;&gt;""TN"",I12&lt;&gt;""TX"",I12&lt;&gt;""UT"",I12&lt;&gt;""VT"",I12&lt;&gt;""VA"",I12&lt;&gt;""WA"",I12&lt;&gt;""WV"",I12&lt;&gt;""WI"",I12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StateInternational'!$G$2:$G$121&lt;&gt;"""")},2,0)),IF(L12=10"&amp;",ArrayFormula(VLOOKUP(QUERY(UNIQUE(RANDBETWEEN(ROW(INDIRECT(""A1:A""&amp;COUNTA('Leaving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2" s="13">
        <f t="shared" ca="1" si="4"/>
        <v>1</v>
      </c>
      <c r="O12" s="13" t="b">
        <f>ISNUMBER(MATCH(C12,'Top 250 HS'!C:C,0))</f>
        <v>0</v>
      </c>
      <c r="P12" s="13" t="str">
        <f ca="1">IFERROR(__xludf.DUMMYFUNCTION("SORTN(FILTER('Top 250 HS'!B:B,'Top 250 HS'!C:C=I12),1,0,randarray(COUNTA(FILTER('Top 250 HS'!B:B,'Top 250 HS'!C:C=I12)),1),TRUE)"),"Mansfield Timberview (Arlington)")</f>
        <v>Mansfield Timberview (Arlington)</v>
      </c>
      <c r="Q12" s="13" t="b">
        <f>ISNUMBER(MATCH("*"&amp;E12&amp;"*",'Top 1500 HS LatitudeLongitude'!G:G,0))</f>
        <v>1</v>
      </c>
      <c r="R12" s="13" t="str">
        <f ca="1">IFERROR(__xludf.DUMMYFUNCTION("IFS(L12=10,"""",Q12=false,"""",N12=5,"""",Q12=true,SORTN(FILTER('Top 1500 HS LatitudeLongitude'!B:B,'Top 1500 HS LatitudeLongitude'!C:C=I12,'Top 1500 HS LatitudeLongitude'!E:E=H12),1,0,randarray(COUNTA(FILTER('Top 1500 HS LatitudeLongitude'!B:B,'Top 1500 "&amp;"HS LatitudeLongitude'!C:C=I12,'Top 1500 HS LatitudeLongitude'!E:E=H12)),1),TRUE)
)"),"South Grand Prairie (Grand Prairie)")</f>
        <v>South Grand Prairie (Grand Prairie)</v>
      </c>
      <c r="S12" s="13" t="b">
        <f>ISNUMBER(MATCH("*"&amp;H:H&amp;"*",'Public Schools'!C:C,0))</f>
        <v>1</v>
      </c>
      <c r="T12" s="13" t="str">
        <f ca="1">IFERROR(__xludf.DUMMYFUNCTION("IFERROR(IF(AND(R12="""",S12=true), SORTN(FILTER('Public Schools'!A:A,'Public Schools'!B:B=J12,'Public Schools'!C:C=H12),1,0,randarray(COUNTA(FILTER('Public Schools'!A:A,'Public Schools'!B:B=J12,'Public Schools'!C:C=H12)),1),TRUE),""""),"""")"),"")</f>
        <v/>
      </c>
      <c r="U12" s="23" t="str">
        <f t="array" aca="1" ref="U12" ca="1">IF(AND(R12="",T12=""),INDEX('Top 1500 HS LatitudeLongitude'!B$2:B$1501,MATCH(MIN(SQRT(('Top 1500 HS LatitudeLongitude'!H$2:H$1501-F12)^2+('Top 1500 HS LatitudeLongitude'!I$2:I$1501-G12)^2)),SQRT( ('Top 1500 HS LatitudeLongitude'!H$2:H$1501-F12)^2+('Top 1500 HS LatitudeLongitude'!I$2:I$1501-G12)^2),0),1),"")</f>
        <v/>
      </c>
    </row>
    <row r="13" spans="1:36" ht="15.75" customHeight="1">
      <c r="B13" s="8">
        <v>1.8085788490000001E-2</v>
      </c>
      <c r="C13" s="9" t="s">
        <v>23</v>
      </c>
      <c r="D13" s="9" t="s">
        <v>211</v>
      </c>
      <c r="E13" s="37" t="s">
        <v>295</v>
      </c>
      <c r="F13" s="8">
        <v>34.725499999999997</v>
      </c>
      <c r="G13" s="8">
        <v>-92.358400000000003</v>
      </c>
      <c r="H13" s="3" t="str">
        <f t="shared" si="0"/>
        <v>Auburn</v>
      </c>
      <c r="I13" s="3" t="str">
        <f t="shared" si="1"/>
        <v>MI</v>
      </c>
      <c r="J13" s="3" t="str">
        <f t="array" ref="J13">INDEX('State Abbreviations'!$B$2:$B$52,MATCH(I13,'State Abbreviations'!$A$2:$A$52,0))</f>
        <v>Michigan</v>
      </c>
      <c r="K13" s="12" t="e">
        <f t="shared" ca="1" si="2"/>
        <v>#NAME?</v>
      </c>
      <c r="L13" s="13">
        <f t="shared" ca="1" si="3"/>
        <v>12</v>
      </c>
      <c r="M13" s="13" t="str">
        <f ca="1">IFERROR(__xludf.DUMMYFUNCTION("IF(AND(L13&gt;3,I13&lt;&gt;""AL"",I13&lt;&gt;""AK"",I13&lt;&gt;""AZ"",I13&lt;&gt;""AR"",I13&lt;&gt;""CA"",I13&lt;&gt;""CO"",I13&lt;&gt;""CT"",I13&lt;&gt;""DE"",I13&lt;&gt;""DC"",I13&lt;&gt;""FL"",I13&lt;&gt;""GA"",I13&lt;&gt;""HI"",I13&lt;&gt;""ID"",I13&lt;&gt;""IL"",I13&lt;&gt;""IN"",I13&lt;&gt;""IA"",I13&lt;&gt;""KS"",I13&lt;&gt;""KY"",I13&lt;&gt;""LA"",I13&lt;&gt;""ME"",I1"&amp;"3&lt;&gt;""MD"",I13&lt;&gt;""MA"",I13&lt;&gt;""MI"",I13&lt;&gt;""MN"",I13&lt;&gt;""MS"",I13&lt;&gt;""MO"",I13&lt;&gt;""MT"",I13&lt;&gt;""NE"",I13&lt;&gt;""NV"",I13&lt;&gt;""NH"",I13&lt;&gt;""NJ"",I13&lt;&gt;""NM"",I13&lt;&gt;""NY"",I13&lt;&gt;""NC"",I13&lt;&gt;""ND"",I13&lt;&gt;""OH"",I13&lt;&gt;""OK"",I13&lt;&gt;""OR"",I13&lt;&gt;""PA"",I13&lt;&gt;""RI"",I13&lt;&gt;""SC"",I13&lt;&gt;"&amp;"""SD"",I13&lt;&gt;""TN"",I13&lt;&gt;""TX"",I13&lt;&gt;""UT"",I13&lt;&gt;""VT"",I13&lt;&gt;""VA"",I13&lt;&gt;""WA"",I13&lt;&gt;""WV"",I13&lt;&gt;""WI"",I13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StateInternational'!$G$2:$G$121&lt;&gt;"""")},2,0)),IF(L13=10"&amp;",ArrayFormula(VLOOKUP(QUERY(UNIQUE(RANDBETWEEN(ROW(INDIRECT(""A1:A""&amp;COUNTA('Leaving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3" s="13">
        <f t="shared" ca="1" si="4"/>
        <v>3</v>
      </c>
      <c r="O13" s="13" t="b">
        <f>ISNUMBER(MATCH(C13,'Top 250 HS'!C:C,0))</f>
        <v>0</v>
      </c>
      <c r="P13" s="13" t="str">
        <f ca="1">IFERROR(__xludf.DUMMYFUNCTION("SORTN(FILTER('Top 250 HS'!B:B,'Top 250 HS'!C:C=I13),1,0,randarray(COUNTA(FILTER('Top 250 HS'!B:B,'Top 250 HS'!C:C=I13)),1),TRUE)"),"St. Mary Prep (Orchard Lake)")</f>
        <v>St. Mary Prep (Orchard Lake)</v>
      </c>
      <c r="Q13" s="13" t="b">
        <f>ISNUMBER(MATCH("*"&amp;E13&amp;"*",'Top 1500 HS LatitudeLongitude'!G:G,0))</f>
        <v>0</v>
      </c>
      <c r="R13" s="13" t="str">
        <f ca="1">IFERROR(__xludf.DUMMYFUNCTION("IFS(L13=10,"""",Q13=false,"""",N13=5,"""",Q13=true,SORTN(FILTER('Top 1500 HS LatitudeLongitude'!B:B,'Top 1500 HS LatitudeLongitude'!C:C=I13,'Top 1500 HS LatitudeLongitude'!E:E=H13),1,0,randarray(COUNTA(FILTER('Top 1500 HS LatitudeLongitude'!B:B,'Top 1500 "&amp;"HS LatitudeLongitude'!C:C=I13,'Top 1500 HS LatitudeLongitude'!E:E=H13)),1),TRUE)
)"),"")</f>
        <v/>
      </c>
      <c r="S13" s="13" t="b">
        <f>ISNUMBER(MATCH("*"&amp;H:H&amp;"*",'Public Schools'!C:C,0))</f>
        <v>1</v>
      </c>
      <c r="T13" s="13" t="str">
        <f ca="1">IFERROR(__xludf.DUMMYFUNCTION("IFERROR(IF(AND(R13="""",S13=true), SORTN(FILTER('Public Schools'!A:A,'Public Schools'!B:B=J13,'Public Schools'!C:C=H13),1,0,randarray(COUNTA(FILTER('Public Schools'!A:A,'Public Schools'!B:B=J13,'Public Schools'!C:C=H13)),1),TRUE),""""),"""")"),"Bay City Western High School")</f>
        <v>Bay City Western High School</v>
      </c>
      <c r="U13" s="23" t="str">
        <f t="array" aca="1" ref="U13" ca="1">IF(AND(R13="",T13=""),INDEX('Top 1500 HS LatitudeLongitude'!B$2:B$1501,MATCH(MIN(SQRT(('Top 1500 HS LatitudeLongitude'!H$2:H$1501-F13)^2+('Top 1500 HS LatitudeLongitude'!I$2:I$1501-G13)^2)),SQRT( ('Top 1500 HS LatitudeLongitude'!H$2:H$1501-F13)^2+('Top 1500 HS LatitudeLongitude'!I$2:I$1501-G13)^2),0),1),"")</f>
        <v/>
      </c>
    </row>
    <row r="14" spans="1:36" ht="15.75" customHeight="1">
      <c r="B14" s="8">
        <v>0.49675758949999999</v>
      </c>
      <c r="C14" s="9" t="s">
        <v>212</v>
      </c>
      <c r="D14" s="9" t="s">
        <v>213</v>
      </c>
      <c r="E14" s="10" t="s">
        <v>355</v>
      </c>
      <c r="F14" s="8">
        <v>44.963500000000003</v>
      </c>
      <c r="G14" s="8">
        <v>-93.267899999999997</v>
      </c>
      <c r="H14" s="3" t="str">
        <f t="shared" si="0"/>
        <v>Biloxi</v>
      </c>
      <c r="I14" s="3" t="str">
        <f t="shared" si="1"/>
        <v>MS</v>
      </c>
      <c r="J14" s="3" t="str">
        <f t="array" ref="J14">INDEX('State Abbreviations'!$B$2:$B$52,MATCH(I14,'State Abbreviations'!$A$2:$A$52,0))</f>
        <v>Mississippi</v>
      </c>
      <c r="K14" s="12" t="e">
        <f t="shared" ca="1" si="2"/>
        <v>#NAME?</v>
      </c>
      <c r="L14" s="13">
        <f t="shared" ca="1" si="3"/>
        <v>6</v>
      </c>
      <c r="M14" s="13" t="str">
        <f ca="1">IFERROR(__xludf.DUMMYFUNCTION("IF(AND(L14&gt;3,I14&lt;&gt;""AL"",I14&lt;&gt;""AK"",I14&lt;&gt;""AZ"",I14&lt;&gt;""AR"",I14&lt;&gt;""CA"",I14&lt;&gt;""CO"",I14&lt;&gt;""CT"",I14&lt;&gt;""DE"",I14&lt;&gt;""DC"",I14&lt;&gt;""FL"",I14&lt;&gt;""GA"",I14&lt;&gt;""HI"",I14&lt;&gt;""ID"",I14&lt;&gt;""IL"",I14&lt;&gt;""IN"",I14&lt;&gt;""IA"",I14&lt;&gt;""KS"",I14&lt;&gt;""KY"",I14&lt;&gt;""LA"",I14&lt;&gt;""ME"",I1"&amp;"4&lt;&gt;""MD"",I14&lt;&gt;""MA"",I14&lt;&gt;""MI"",I14&lt;&gt;""MN"",I14&lt;&gt;""MS"",I14&lt;&gt;""MO"",I14&lt;&gt;""MT"",I14&lt;&gt;""NE"",I14&lt;&gt;""NV"",I14&lt;&gt;""NH"",I14&lt;&gt;""NJ"",I14&lt;&gt;""NM"",I14&lt;&gt;""NY"",I14&lt;&gt;""NC"",I14&lt;&gt;""ND"",I14&lt;&gt;""OH"",I14&lt;&gt;""OK"",I14&lt;&gt;""OR"",I14&lt;&gt;""PA"",I14&lt;&gt;""RI"",I14&lt;&gt;""SC"",I14&lt;&gt;"&amp;"""SD"",I14&lt;&gt;""TN"",I14&lt;&gt;""TX"",I14&lt;&gt;""UT"",I14&lt;&gt;""VT"",I14&lt;&gt;""VA"",I14&lt;&gt;""WA"",I14&lt;&gt;""WV"",I14&lt;&gt;""WI"",I14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StateInternational'!$G$2:$G$121&lt;&gt;"""")},2,0)),IF(L14=10"&amp;",ArrayFormula(VLOOKUP(QUERY(UNIQUE(RANDBETWEEN(ROW(INDIRECT(""A1:A""&amp;COUNTA('Leaving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4" s="13">
        <f t="shared" ca="1" si="4"/>
        <v>2</v>
      </c>
      <c r="O14" s="13" t="b">
        <f>ISNUMBER(MATCH(C14,'Top 250 HS'!C:C,0))</f>
        <v>0</v>
      </c>
      <c r="P14" s="13" t="str">
        <f ca="1">IFERROR(__xludf.DUMMYFUNCTION("SORTN(FILTER('Top 250 HS'!B:B,'Top 250 HS'!C:C=I14),1,0,randarray(COUNTA(FILTER('Top 250 HS'!B:B,'Top 250 HS'!C:C=I14)),1),TRUE)"),"Callaway (Jackson)")</f>
        <v>Callaway (Jackson)</v>
      </c>
      <c r="Q14" s="13" t="b">
        <f>ISNUMBER(MATCH("*"&amp;E14&amp;"*",'Top 1500 HS LatitudeLongitude'!G:G,0))</f>
        <v>1</v>
      </c>
      <c r="R14" s="13" t="str">
        <f ca="1">IFERROR(__xludf.DUMMYFUNCTION("IFS(L14=10,"""",Q14=false,"""",N14=5,"""",Q14=true,SORTN(FILTER('Top 1500 HS LatitudeLongitude'!B:B,'Top 1500 HS LatitudeLongitude'!C:C=I14,'Top 1500 HS LatitudeLongitude'!E:E=H14),1,0,randarray(COUNTA(FILTER('Top 1500 HS LatitudeLongitude'!B:B,'Top 1500 "&amp;"HS LatitudeLongitude'!C:C=I14,'Top 1500 HS LatitudeLongitude'!E:E=H14)),1),TRUE)
)"),"Biloxi")</f>
        <v>Biloxi</v>
      </c>
      <c r="S14" s="13" t="b">
        <f>ISNUMBER(MATCH("*"&amp;H:H&amp;"*",'Public Schools'!C:C,0))</f>
        <v>1</v>
      </c>
      <c r="T14" s="13" t="str">
        <f ca="1">IFERROR(__xludf.DUMMYFUNCTION("IFERROR(IF(AND(R14="""",S14=true), SORTN(FILTER('Public Schools'!A:A,'Public Schools'!B:B=J14,'Public Schools'!C:C=H14),1,0,randarray(COUNTA(FILTER('Public Schools'!A:A,'Public Schools'!B:B=J14,'Public Schools'!C:C=H14)),1),TRUE),""""),"""")"),"")</f>
        <v/>
      </c>
      <c r="U14" s="23" t="str">
        <f t="array" aca="1" ref="U14" ca="1">IF(AND(R14="",T14=""),INDEX('Top 1500 HS LatitudeLongitude'!B$2:B$1501,MATCH(MIN(SQRT(('Top 1500 HS LatitudeLongitude'!H$2:H$1501-F14)^2+('Top 1500 HS LatitudeLongitude'!I$2:I$1501-G14)^2)),SQRT( ('Top 1500 HS LatitudeLongitude'!H$2:H$1501-F14)^2+('Top 1500 HS LatitudeLongitude'!I$2:I$1501-G14)^2),0),1),"")</f>
        <v/>
      </c>
    </row>
    <row r="15" spans="1:36" ht="15.75" customHeight="1">
      <c r="B15" s="8">
        <v>0.5585731062</v>
      </c>
      <c r="C15" s="9" t="s">
        <v>212</v>
      </c>
      <c r="D15" s="9" t="s">
        <v>214</v>
      </c>
      <c r="E15" s="37" t="s">
        <v>412</v>
      </c>
      <c r="F15" s="8">
        <v>35.781500000000001</v>
      </c>
      <c r="G15" s="8">
        <v>-78.816199999999995</v>
      </c>
      <c r="H15" s="3" t="str">
        <f t="shared" si="0"/>
        <v>Olive Branch</v>
      </c>
      <c r="I15" s="3" t="str">
        <f t="shared" si="1"/>
        <v>MS</v>
      </c>
      <c r="J15" s="3" t="str">
        <f t="array" ref="J15">INDEX('State Abbreviations'!$B$2:$B$52,MATCH(I15,'State Abbreviations'!$A$2:$A$52,0))</f>
        <v>Mississippi</v>
      </c>
      <c r="K15" s="12" t="e">
        <f t="shared" ca="1" si="2"/>
        <v>#NAME?</v>
      </c>
      <c r="L15" s="13">
        <f t="shared" ca="1" si="3"/>
        <v>6</v>
      </c>
      <c r="M15" s="13" t="str">
        <f ca="1">IFERROR(__xludf.DUMMYFUNCTION("IF(AND(L15&gt;3,I15&lt;&gt;""AL"",I15&lt;&gt;""AK"",I15&lt;&gt;""AZ"",I15&lt;&gt;""AR"",I15&lt;&gt;""CA"",I15&lt;&gt;""CO"",I15&lt;&gt;""CT"",I15&lt;&gt;""DE"",I15&lt;&gt;""DC"",I15&lt;&gt;""FL"",I15&lt;&gt;""GA"",I15&lt;&gt;""HI"",I15&lt;&gt;""ID"",I15&lt;&gt;""IL"",I15&lt;&gt;""IN"",I15&lt;&gt;""IA"",I15&lt;&gt;""KS"",I15&lt;&gt;""KY"",I15&lt;&gt;""LA"",I15&lt;&gt;""ME"",I1"&amp;"5&lt;&gt;""MD"",I15&lt;&gt;""MA"",I15&lt;&gt;""MI"",I15&lt;&gt;""MN"",I15&lt;&gt;""MS"",I15&lt;&gt;""MO"",I15&lt;&gt;""MT"",I15&lt;&gt;""NE"",I15&lt;&gt;""NV"",I15&lt;&gt;""NH"",I15&lt;&gt;""NJ"",I15&lt;&gt;""NM"",I15&lt;&gt;""NY"",I15&lt;&gt;""NC"",I15&lt;&gt;""ND"",I15&lt;&gt;""OH"",I15&lt;&gt;""OK"",I15&lt;&gt;""OR"",I15&lt;&gt;""PA"",I15&lt;&gt;""RI"",I15&lt;&gt;""SC"",I15&lt;&gt;"&amp;"""SD"",I15&lt;&gt;""TN"",I15&lt;&gt;""TX"",I15&lt;&gt;""UT"",I15&lt;&gt;""VT"",I15&lt;&gt;""VA"",I15&lt;&gt;""WA"",I15&lt;&gt;""WV"",I15&lt;&gt;""WI"",I15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StateInternational'!$G$2:$G$121&lt;&gt;"""")},2,0)),IF(L15=10"&amp;",ArrayFormula(VLOOKUP(QUERY(UNIQUE(RANDBETWEEN(ROW(INDIRECT(""A1:A""&amp;COUNTA('Leaving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5" s="13">
        <f t="shared" ca="1" si="4"/>
        <v>5</v>
      </c>
      <c r="O15" s="13" t="b">
        <f>ISNUMBER(MATCH(C15,'Top 250 HS'!C:C,0))</f>
        <v>0</v>
      </c>
      <c r="P15" s="13" t="str">
        <f ca="1">IFERROR(__xludf.DUMMYFUNCTION("SORTN(FILTER('Top 250 HS'!B:B,'Top 250 HS'!C:C=I15),1,0,randarray(COUNTA(FILTER('Top 250 HS'!B:B,'Top 250 HS'!C:C=I15)),1),TRUE)"),"Olive Branch")</f>
        <v>Olive Branch</v>
      </c>
      <c r="Q15" s="13" t="b">
        <f>ISNUMBER(MATCH("*"&amp;E15&amp;"*",'Top 1500 HS LatitudeLongitude'!G:G,0))</f>
        <v>1</v>
      </c>
      <c r="R15" s="13" t="str">
        <f ca="1">IFERROR(__xludf.DUMMYFUNCTION("IFS(L15=10,"""",Q15=false,"""",N15=5,"""",Q15=true,SORTN(FILTER('Top 1500 HS LatitudeLongitude'!B:B,'Top 1500 HS LatitudeLongitude'!C:C=I15,'Top 1500 HS LatitudeLongitude'!E:E=H15),1,0,randarray(COUNTA(FILTER('Top 1500 HS LatitudeLongitude'!B:B,'Top 1500 "&amp;"HS LatitudeLongitude'!C:C=I15,'Top 1500 HS LatitudeLongitude'!E:E=H15)),1),TRUE)
)"),"Olive Branch")</f>
        <v>Olive Branch</v>
      </c>
      <c r="S15" s="13" t="b">
        <f>ISNUMBER(MATCH("*"&amp;H:H&amp;"*",'Public Schools'!C:C,0))</f>
        <v>1</v>
      </c>
      <c r="T15" s="13" t="str">
        <f ca="1">IFERROR(__xludf.DUMMYFUNCTION("IFERROR(IF(AND(R15="""",S15=true), SORTN(FILTER('Public Schools'!A:A,'Public Schools'!B:B=J15,'Public Schools'!C:C=H15),1,0,randarray(COUNTA(FILTER('Public Schools'!A:A,'Public Schools'!B:B=J15,'Public Schools'!C:C=H15)),1),TRUE),""""),"""")"),"")</f>
        <v/>
      </c>
      <c r="U15" s="23" t="str">
        <f t="array" aca="1" ref="U15" ca="1">IF(AND(R15="",T15=""),INDEX('Top 1500 HS LatitudeLongitude'!B$2:B$1501,MATCH(MIN(SQRT(('Top 1500 HS LatitudeLongitude'!H$2:H$1501-F15)^2+('Top 1500 HS LatitudeLongitude'!I$2:I$1501-G15)^2)),SQRT( ('Top 1500 HS LatitudeLongitude'!H$2:H$1501-F15)^2+('Top 1500 HS LatitudeLongitude'!I$2:I$1501-G15)^2),0),1),"")</f>
        <v/>
      </c>
    </row>
    <row r="16" spans="1:36" ht="15.75" customHeight="1">
      <c r="B16" s="8">
        <v>0.9982382366</v>
      </c>
      <c r="C16" s="9" t="s">
        <v>215</v>
      </c>
      <c r="D16" s="9" t="s">
        <v>216</v>
      </c>
      <c r="E16" s="10" t="s">
        <v>484</v>
      </c>
      <c r="F16" s="8">
        <v>39.500999999999998</v>
      </c>
      <c r="G16" s="8">
        <v>-80.555499999999995</v>
      </c>
      <c r="H16" s="3" t="str">
        <f t="shared" si="0"/>
        <v>Gaffney</v>
      </c>
      <c r="I16" s="3" t="str">
        <f t="shared" si="1"/>
        <v>SC</v>
      </c>
      <c r="J16" s="3" t="str">
        <f t="array" ref="J16">INDEX('State Abbreviations'!$B$2:$B$52,MATCH(I16,'State Abbreviations'!$A$2:$A$52,0))</f>
        <v>South Carolina</v>
      </c>
      <c r="K16" s="12" t="e">
        <f t="shared" ca="1" si="2"/>
        <v>#NAME?</v>
      </c>
      <c r="L16" s="13">
        <f t="shared" ca="1" si="3"/>
        <v>1</v>
      </c>
      <c r="M16" s="13" t="str">
        <f ca="1">IFERROR(__xludf.DUMMYFUNCTION("IF(AND(L16&gt;3,I16&lt;&gt;""AL"",I16&lt;&gt;""AK"",I16&lt;&gt;""AZ"",I16&lt;&gt;""AR"",I16&lt;&gt;""CA"",I16&lt;&gt;""CO"",I16&lt;&gt;""CT"",I16&lt;&gt;""DE"",I16&lt;&gt;""DC"",I16&lt;&gt;""FL"",I16&lt;&gt;""GA"",I16&lt;&gt;""HI"",I16&lt;&gt;""ID"",I16&lt;&gt;""IL"",I16&lt;&gt;""IN"",I16&lt;&gt;""IA"",I16&lt;&gt;""KS"",I16&lt;&gt;""KY"",I16&lt;&gt;""LA"",I16&lt;&gt;""ME"",I1"&amp;"6&lt;&gt;""MD"",I16&lt;&gt;""MA"",I16&lt;&gt;""MI"",I16&lt;&gt;""MN"",I16&lt;&gt;""MS"",I16&lt;&gt;""MO"",I16&lt;&gt;""MT"",I16&lt;&gt;""NE"",I16&lt;&gt;""NV"",I16&lt;&gt;""NH"",I16&lt;&gt;""NJ"",I16&lt;&gt;""NM"",I16&lt;&gt;""NY"",I16&lt;&gt;""NC"",I16&lt;&gt;""ND"",I16&lt;&gt;""OH"",I16&lt;&gt;""OK"",I16&lt;&gt;""OR"",I16&lt;&gt;""PA"",I16&lt;&gt;""RI"",I16&lt;&gt;""SC"",I16&lt;&gt;"&amp;"""SD"",I16&lt;&gt;""TN"",I16&lt;&gt;""TX"",I16&lt;&gt;""UT"",I16&lt;&gt;""VT"",I16&lt;&gt;""VA"",I16&lt;&gt;""WA"",I16&lt;&gt;""WV"",I16&lt;&gt;""WI"",I16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StateInternational'!$G$2:$G$121&lt;&gt;"""")},2,0)),IF(L16=10"&amp;",ArrayFormula(VLOOKUP(QUERY(UNIQUE(RANDBETWEEN(ROW(INDIRECT(""A1:A""&amp;COUNTA('Leaving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6" s="13">
        <f t="shared" ca="1" si="4"/>
        <v>1</v>
      </c>
      <c r="O16" s="13" t="b">
        <f>ISNUMBER(MATCH(C16,'Top 250 HS'!C:C,0))</f>
        <v>0</v>
      </c>
      <c r="P16" s="13" t="str">
        <f ca="1">IFERROR(__xludf.DUMMYFUNCTION("SORTN(FILTER('Top 250 HS'!B:B,'Top 250 HS'!C:C=I16),1,0,randarray(COUNTA(FILTER('Top 250 HS'!B:B,'Top 250 HS'!C:C=I16)),1),TRUE)"),"Dorman (Roebuck)")</f>
        <v>Dorman (Roebuck)</v>
      </c>
      <c r="Q16" s="13" t="b">
        <f>ISNUMBER(MATCH("*"&amp;E16&amp;"*",'Top 1500 HS LatitudeLongitude'!G:G,0))</f>
        <v>0</v>
      </c>
      <c r="R16" s="13" t="str">
        <f ca="1">IFERROR(__xludf.DUMMYFUNCTION("IFS(L16=10,"""",Q16=false,"""",N16=5,"""",Q16=true,SORTN(FILTER('Top 1500 HS LatitudeLongitude'!B:B,'Top 1500 HS LatitudeLongitude'!C:C=I16,'Top 1500 HS LatitudeLongitude'!E:E=H16),1,0,randarray(COUNTA(FILTER('Top 1500 HS LatitudeLongitude'!B:B,'Top 1500 "&amp;"HS LatitudeLongitude'!C:C=I16,'Top 1500 HS LatitudeLongitude'!E:E=H16)),1),TRUE)
)"),"")</f>
        <v/>
      </c>
      <c r="S16" s="13" t="b">
        <f>ISNUMBER(MATCH("*"&amp;H:H&amp;"*",'Public Schools'!C:C,0))</f>
        <v>1</v>
      </c>
      <c r="T16" s="13" t="str">
        <f ca="1">IFERROR(__xludf.DUMMYFUNCTION("IFERROR(IF(AND(R16="""",S16=true), SORTN(FILTER('Public Schools'!A:A,'Public Schools'!B:B=J16,'Public Schools'!C:C=H16),1,0,randarray(COUNTA(FILTER('Public Schools'!A:A,'Public Schools'!B:B=J16,'Public Schools'!C:C=H16)),1),TRUE),""""),"""")"),"Gaffney High School")</f>
        <v>Gaffney High School</v>
      </c>
      <c r="U16" s="23" t="str">
        <f t="array" aca="1" ref="U16" ca="1">IF(AND(R16="",T16=""),INDEX('Top 1500 HS LatitudeLongitude'!B$2:B$1501,MATCH(MIN(SQRT(('Top 1500 HS LatitudeLongitude'!H$2:H$1501-F16)^2+('Top 1500 HS LatitudeLongitude'!I$2:I$1501-G16)^2)),SQRT( ('Top 1500 HS LatitudeLongitude'!H$2:H$1501-F16)^2+('Top 1500 HS LatitudeLongitude'!I$2:I$1501-G16)^2),0),1),"")</f>
        <v/>
      </c>
    </row>
    <row r="17" spans="2:21" ht="15.75" customHeight="1">
      <c r="B17" s="8">
        <v>0.74560442670000004</v>
      </c>
      <c r="C17" s="9" t="s">
        <v>217</v>
      </c>
      <c r="D17" s="9" t="s">
        <v>218</v>
      </c>
      <c r="E17" s="37" t="s">
        <v>557</v>
      </c>
      <c r="F17" s="8">
        <v>40.007599999999996</v>
      </c>
      <c r="G17" s="8">
        <v>-75.134</v>
      </c>
      <c r="H17" s="3" t="str">
        <f t="shared" si="0"/>
        <v>Omaha</v>
      </c>
      <c r="I17" s="3" t="str">
        <f t="shared" si="1"/>
        <v>NE</v>
      </c>
      <c r="J17" s="3" t="str">
        <f t="array" ref="J17">INDEX('State Abbreviations'!$B$2:$B$52,MATCH(I17,'State Abbreviations'!$A$2:$A$52,0))</f>
        <v>Nebraska</v>
      </c>
      <c r="K17" s="12" t="e">
        <f t="shared" ca="1" si="2"/>
        <v>#NAME?</v>
      </c>
      <c r="L17" s="13">
        <f t="shared" ca="1" si="3"/>
        <v>4</v>
      </c>
      <c r="M17" s="13" t="str">
        <f ca="1">IFERROR(__xludf.DUMMYFUNCTION("IF(AND(L17&gt;3,I17&lt;&gt;""AL"",I17&lt;&gt;""AK"",I17&lt;&gt;""AZ"",I17&lt;&gt;""AR"",I17&lt;&gt;""CA"",I17&lt;&gt;""CO"",I17&lt;&gt;""CT"",I17&lt;&gt;""DE"",I17&lt;&gt;""DC"",I17&lt;&gt;""FL"",I17&lt;&gt;""GA"",I17&lt;&gt;""HI"",I17&lt;&gt;""ID"",I17&lt;&gt;""IL"",I17&lt;&gt;""IN"",I17&lt;&gt;""IA"",I17&lt;&gt;""KS"",I17&lt;&gt;""KY"",I17&lt;&gt;""LA"",I17&lt;&gt;""ME"",I1"&amp;"7&lt;&gt;""MD"",I17&lt;&gt;""MA"",I17&lt;&gt;""MI"",I17&lt;&gt;""MN"",I17&lt;&gt;""MS"",I17&lt;&gt;""MO"",I17&lt;&gt;""MT"",I17&lt;&gt;""NE"",I17&lt;&gt;""NV"",I17&lt;&gt;""NH"",I17&lt;&gt;""NJ"",I17&lt;&gt;""NM"",I17&lt;&gt;""NY"",I17&lt;&gt;""NC"",I17&lt;&gt;""ND"",I17&lt;&gt;""OH"",I17&lt;&gt;""OK"",I17&lt;&gt;""OR"",I17&lt;&gt;""PA"",I17&lt;&gt;""RI"",I17&lt;&gt;""SC"",I17&lt;&gt;"&amp;"""SD"",I17&lt;&gt;""TN"",I17&lt;&gt;""TX"",I17&lt;&gt;""UT"",I17&lt;&gt;""VT"",I17&lt;&gt;""VA"",I17&lt;&gt;""WA"",I17&lt;&gt;""WV"",I17&lt;&gt;""WI"",I17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StateInternational'!$G$2:$G$121&lt;&gt;"""")},2,0)),IF(L17=10"&amp;",ArrayFormula(VLOOKUP(QUERY(UNIQUE(RANDBETWEEN(ROW(INDIRECT(""A1:A""&amp;COUNTA('Leaving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7" s="13">
        <f t="shared" ca="1" si="4"/>
        <v>4</v>
      </c>
      <c r="O17" s="13" t="b">
        <f>ISNUMBER(MATCH(C17,'Top 250 HS'!C:C,0))</f>
        <v>0</v>
      </c>
      <c r="P17" s="13" t="str">
        <f ca="1">IFERROR(__xludf.DUMMYFUNCTION("SORTN(FILTER('Top 250 HS'!B:B,'Top 250 HS'!C:C=I17),1,0,randarray(COUNTA(FILTER('Top 250 HS'!B:B,'Top 250 HS'!C:C=I17)),1),TRUE)"),"Skutt Catholic (Omaha)")</f>
        <v>Skutt Catholic (Omaha)</v>
      </c>
      <c r="Q17" s="13" t="b">
        <f>ISNUMBER(MATCH("*"&amp;E17&amp;"*",'Top 1500 HS LatitudeLongitude'!G:G,0))</f>
        <v>1</v>
      </c>
      <c r="R17" s="13" t="str">
        <f ca="1">IFERROR(__xludf.DUMMYFUNCTION("IFS(L17=10,"""",Q17=false,"""",N17=5,"""",Q17=true,SORTN(FILTER('Top 1500 HS LatitudeLongitude'!B:B,'Top 1500 HS LatitudeLongitude'!C:C=I17,'Top 1500 HS LatitudeLongitude'!E:E=H17),1,0,randarray(COUNTA(FILTER('Top 1500 HS LatitudeLongitude'!B:B,'Top 1500 "&amp;"HS LatitudeLongitude'!C:C=I17,'Top 1500 HS LatitudeLongitude'!E:E=H17)),1),TRUE)
)"),"Skutt Catholic (Omaha)")</f>
        <v>Skutt Catholic (Omaha)</v>
      </c>
      <c r="S17" s="13" t="b">
        <f>ISNUMBER(MATCH("*"&amp;H:H&amp;"*",'Public Schools'!C:C,0))</f>
        <v>1</v>
      </c>
      <c r="T17" s="13" t="str">
        <f ca="1">IFERROR(__xludf.DUMMYFUNCTION("IFERROR(IF(AND(R17="""",S17=true), SORTN(FILTER('Public Schools'!A:A,'Public Schools'!B:B=J17,'Public Schools'!C:C=H17),1,0,randarray(COUNTA(FILTER('Public Schools'!A:A,'Public Schools'!B:B=J17,'Public Schools'!C:C=H17)),1),TRUE),""""),"""")"),"")</f>
        <v/>
      </c>
      <c r="U17" s="23" t="str">
        <f t="array" aca="1" ref="U17" ca="1">IF(AND(R17="",T17=""),INDEX('Top 1500 HS LatitudeLongitude'!B$2:B$1501,MATCH(MIN(SQRT(('Top 1500 HS LatitudeLongitude'!H$2:H$1501-F17)^2+('Top 1500 HS LatitudeLongitude'!I$2:I$1501-G17)^2)),SQRT( ('Top 1500 HS LatitudeLongitude'!H$2:H$1501-F17)^2+('Top 1500 HS LatitudeLongitude'!I$2:I$1501-G17)^2),0),1),"")</f>
        <v/>
      </c>
    </row>
    <row r="18" spans="2:21" ht="15.75" customHeight="1">
      <c r="B18" s="8">
        <v>0.76433301919999996</v>
      </c>
      <c r="C18" s="24" t="s">
        <v>219</v>
      </c>
      <c r="D18" s="9" t="s">
        <v>220</v>
      </c>
      <c r="E18" s="42" t="s">
        <v>586</v>
      </c>
      <c r="F18" s="8">
        <v>40.468800000000002</v>
      </c>
      <c r="G18" s="8">
        <v>-80.063000000000002</v>
      </c>
      <c r="H18" s="3" t="str">
        <f t="shared" si="0"/>
        <v>Minneapolis</v>
      </c>
      <c r="I18" s="3" t="str">
        <f t="shared" si="1"/>
        <v>MN</v>
      </c>
      <c r="J18" s="3" t="str">
        <f t="array" ref="J18">INDEX('State Abbreviations'!$B$2:$B$52,MATCH(I18,'State Abbreviations'!$A$2:$A$52,0))</f>
        <v>Minnesota</v>
      </c>
      <c r="K18" s="12" t="e">
        <f t="shared" ca="1" si="2"/>
        <v>#NAME?</v>
      </c>
      <c r="L18" s="13">
        <f t="shared" ca="1" si="3"/>
        <v>5</v>
      </c>
      <c r="M18" s="13" t="str">
        <f ca="1">IFERROR(__xludf.DUMMYFUNCTION("IF(AND(L18&gt;3,I18&lt;&gt;""AL"",I18&lt;&gt;""AK"",I18&lt;&gt;""AZ"",I18&lt;&gt;""AR"",I18&lt;&gt;""CA"",I18&lt;&gt;""CO"",I18&lt;&gt;""CT"",I18&lt;&gt;""DE"",I18&lt;&gt;""DC"",I18&lt;&gt;""FL"",I18&lt;&gt;""GA"",I18&lt;&gt;""HI"",I18&lt;&gt;""ID"",I18&lt;&gt;""IL"",I18&lt;&gt;""IN"",I18&lt;&gt;""IA"",I18&lt;&gt;""KS"",I18&lt;&gt;""KY"",I18&lt;&gt;""LA"",I18&lt;&gt;""ME"",I1"&amp;"8&lt;&gt;""MD"",I18&lt;&gt;""MA"",I18&lt;&gt;""MI"",I18&lt;&gt;""MN"",I18&lt;&gt;""MS"",I18&lt;&gt;""MO"",I18&lt;&gt;""MT"",I18&lt;&gt;""NE"",I18&lt;&gt;""NV"",I18&lt;&gt;""NH"",I18&lt;&gt;""NJ"",I18&lt;&gt;""NM"",I18&lt;&gt;""NY"",I18&lt;&gt;""NC"",I18&lt;&gt;""ND"",I18&lt;&gt;""OH"",I18&lt;&gt;""OK"",I18&lt;&gt;""OR"",I18&lt;&gt;""PA"",I18&lt;&gt;""RI"",I18&lt;&gt;""SC"",I18&lt;&gt;"&amp;"""SD"",I18&lt;&gt;""TN"",I18&lt;&gt;""TX"",I18&lt;&gt;""UT"",I18&lt;&gt;""VT"",I18&lt;&gt;""VA"",I18&lt;&gt;""WA"",I18&lt;&gt;""WV"",I18&lt;&gt;""WI"",I18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StateInternational'!$G$2:$G$121&lt;&gt;"""")},2,0)),IF(L18=10"&amp;",ArrayFormula(VLOOKUP(QUERY(UNIQUE(RANDBETWEEN(ROW(INDIRECT(""A1:A""&amp;COUNTA('Leaving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8" s="13">
        <f t="shared" ca="1" si="4"/>
        <v>5</v>
      </c>
      <c r="O18" s="13" t="b">
        <f>ISNUMBER(MATCH(C18,'Top 250 HS'!C:C,0))</f>
        <v>0</v>
      </c>
      <c r="P18" s="13" t="str">
        <f ca="1">IFERROR(__xludf.DUMMYFUNCTION("SORTN(FILTER('Top 250 HS'!B:B,'Top 250 HS'!C:C=I18),1,0,randarray(COUNTA(FILTER('Top 250 HS'!B:B,'Top 250 HS'!C:C=I18)),1),TRUE)"),"Hopkins (Minnetonka)")</f>
        <v>Hopkins (Minnetonka)</v>
      </c>
      <c r="Q18" s="13" t="b">
        <f>ISNUMBER(MATCH("*"&amp;E18&amp;"*",'Top 1500 HS LatitudeLongitude'!G:G,0))</f>
        <v>1</v>
      </c>
      <c r="R18" s="13" t="str">
        <f ca="1">IFERROR(__xludf.DUMMYFUNCTION("IFS(L18=10,"""",Q18=false,"""",N18=5,"""",Q18=true,SORTN(FILTER('Top 1500 HS LatitudeLongitude'!B:B,'Top 1500 HS LatitudeLongitude'!C:C=I18,'Top 1500 HS LatitudeLongitude'!E:E=H18),1,0,randarray(COUNTA(FILTER('Top 1500 HS LatitudeLongitude'!B:B,'Top 1500 "&amp;"HS LatitudeLongitude'!C:C=I18,'Top 1500 HS LatitudeLongitude'!E:E=H18)),1),TRUE)
)"),"DeLaSalle (Minneapolis)")</f>
        <v>DeLaSalle (Minneapolis)</v>
      </c>
      <c r="S18" s="13" t="b">
        <f>ISNUMBER(MATCH("*"&amp;H:H&amp;"*",'Public Schools'!C:C,0))</f>
        <v>1</v>
      </c>
      <c r="T18" s="13" t="str">
        <f ca="1">IFERROR(__xludf.DUMMYFUNCTION("IFERROR(IF(AND(R18="""",S18=true), SORTN(FILTER('Public Schools'!A:A,'Public Schools'!B:B=J18,'Public Schools'!C:C=H18),1,0,randarray(COUNTA(FILTER('Public Schools'!A:A,'Public Schools'!B:B=J18,'Public Schools'!C:C=H18)),1),TRUE),""""),"""")"),"")</f>
        <v/>
      </c>
      <c r="U18" s="23" t="str">
        <f t="array" aca="1" ref="U18" ca="1">IF(AND(R18="",T18=""),INDEX('Top 1500 HS LatitudeLongitude'!B$2:B$1501,MATCH(MIN(SQRT(('Top 1500 HS LatitudeLongitude'!H$2:H$1501-F18)^2+('Top 1500 HS LatitudeLongitude'!I$2:I$1501-G18)^2)),SQRT( ('Top 1500 HS LatitudeLongitude'!H$2:H$1501-F18)^2+('Top 1500 HS LatitudeLongitude'!I$2:I$1501-G18)^2),0),1),"")</f>
        <v/>
      </c>
    </row>
    <row r="19" spans="2:21" ht="15.75" customHeight="1">
      <c r="B19" s="8">
        <v>0.24064698919999999</v>
      </c>
      <c r="C19" s="9" t="s">
        <v>221</v>
      </c>
      <c r="D19" s="9" t="s">
        <v>222</v>
      </c>
      <c r="E19" s="37" t="s">
        <v>587</v>
      </c>
      <c r="F19" s="8">
        <v>34.135300000000001</v>
      </c>
      <c r="G19" s="8">
        <v>-84.313800000000001</v>
      </c>
      <c r="H19" s="3" t="str">
        <f t="shared" si="0"/>
        <v>Boston</v>
      </c>
      <c r="I19" s="3" t="str">
        <f t="shared" si="1"/>
        <v>MA</v>
      </c>
      <c r="J19" s="3" t="str">
        <f t="array" ref="J19">INDEX('State Abbreviations'!$B$2:$B$52,MATCH(I19,'State Abbreviations'!$A$2:$A$52,0))</f>
        <v>Massachusetts</v>
      </c>
      <c r="K19" s="12" t="e">
        <f t="shared" ca="1" si="2"/>
        <v>#NAME?</v>
      </c>
      <c r="L19" s="13">
        <f t="shared" ca="1" si="3"/>
        <v>7</v>
      </c>
      <c r="M19" s="13" t="str">
        <f ca="1">IFERROR(__xludf.DUMMYFUNCTION("IF(AND(L19&gt;3,I19&lt;&gt;""AL"",I19&lt;&gt;""AK"",I19&lt;&gt;""AZ"",I19&lt;&gt;""AR"",I19&lt;&gt;""CA"",I19&lt;&gt;""CO"",I19&lt;&gt;""CT"",I19&lt;&gt;""DE"",I19&lt;&gt;""DC"",I19&lt;&gt;""FL"",I19&lt;&gt;""GA"",I19&lt;&gt;""HI"",I19&lt;&gt;""ID"",I19&lt;&gt;""IL"",I19&lt;&gt;""IN"",I19&lt;&gt;""IA"",I19&lt;&gt;""KS"",I19&lt;&gt;""KY"",I19&lt;&gt;""LA"",I19&lt;&gt;""ME"",I1"&amp;"9&lt;&gt;""MD"",I19&lt;&gt;""MA"",I19&lt;&gt;""MI"",I19&lt;&gt;""MN"",I19&lt;&gt;""MS"",I19&lt;&gt;""MO"",I19&lt;&gt;""MT"",I19&lt;&gt;""NE"",I19&lt;&gt;""NV"",I19&lt;&gt;""NH"",I19&lt;&gt;""NJ"",I19&lt;&gt;""NM"",I19&lt;&gt;""NY"",I19&lt;&gt;""NC"",I19&lt;&gt;""ND"",I19&lt;&gt;""OH"",I19&lt;&gt;""OK"",I19&lt;&gt;""OR"",I19&lt;&gt;""PA"",I19&lt;&gt;""RI"",I19&lt;&gt;""SC"",I19&lt;&gt;"&amp;"""SD"",I19&lt;&gt;""TN"",I19&lt;&gt;""TX"",I19&lt;&gt;""UT"",I19&lt;&gt;""VT"",I19&lt;&gt;""VA"",I19&lt;&gt;""WA"",I19&lt;&gt;""WV"",I19&lt;&gt;""WI"",I19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StateInternational'!$G$2:$G$121&lt;&gt;"""")},2,0)),IF(L19=10"&amp;",ArrayFormula(VLOOKUP(QUERY(UNIQUE(RANDBETWEEN(ROW(INDIRECT(""A1:A""&amp;COUNTA('Leaving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19" s="13">
        <f t="shared" ca="1" si="4"/>
        <v>1</v>
      </c>
      <c r="O19" s="13" t="b">
        <f>ISNUMBER(MATCH(C19,'Top 250 HS'!C:C,0))</f>
        <v>0</v>
      </c>
      <c r="P19" s="13" t="str">
        <f ca="1">IFERROR(__xludf.DUMMYFUNCTION("SORTN(FILTER('Top 250 HS'!B:B,'Top 250 HS'!C:C=I19),1,0,randarray(COUNTA(FILTER('Top 250 HS'!B:B,'Top 250 HS'!C:C=I19)),1),TRUE)"),"St. John's (Shrewsbury)")</f>
        <v>St. John's (Shrewsbury)</v>
      </c>
      <c r="Q19" s="13" t="b">
        <f>ISNUMBER(MATCH("*"&amp;E19&amp;"*",'Top 1500 HS LatitudeLongitude'!G:G,0))</f>
        <v>1</v>
      </c>
      <c r="R19" s="13" t="str">
        <f ca="1">IFERROR(__xludf.DUMMYFUNCTION("IFS(L19=10,"""",Q19=false,"""",N19=5,"""",Q19=true,SORTN(FILTER('Top 1500 HS LatitudeLongitude'!B:B,'Top 1500 HS LatitudeLongitude'!C:C=I19,'Top 1500 HS LatitudeLongitude'!E:E=H19),1,0,randarray(COUNTA(FILTER('Top 1500 HS LatitudeLongitude'!B:B,'Top 1500 "&amp;"HS LatitudeLongitude'!C:C=I19,'Top 1500 HS LatitudeLongitude'!E:E=H19)),1),TRUE)
)"),"Boston College High (Boston)")</f>
        <v>Boston College High (Boston)</v>
      </c>
      <c r="S19" s="13" t="b">
        <f>ISNUMBER(MATCH("*"&amp;H:H&amp;"*",'Public Schools'!C:C,0))</f>
        <v>1</v>
      </c>
      <c r="T19" s="13" t="str">
        <f ca="1">IFERROR(__xludf.DUMMYFUNCTION("IFERROR(IF(AND(R19="""",S19=true), SORTN(FILTER('Public Schools'!A:A,'Public Schools'!B:B=J19,'Public Schools'!C:C=H19),1,0,randarray(COUNTA(FILTER('Public Schools'!A:A,'Public Schools'!B:B=J19,'Public Schools'!C:C=H19)),1),TRUE),""""),"""")"),"")</f>
        <v/>
      </c>
      <c r="U19" s="23" t="str">
        <f t="array" aca="1" ref="U19" ca="1">IF(AND(R19="",T19=""),INDEX('Top 1500 HS LatitudeLongitude'!B$2:B$1501,MATCH(MIN(SQRT(('Top 1500 HS LatitudeLongitude'!H$2:H$1501-F19)^2+('Top 1500 HS LatitudeLongitude'!I$2:I$1501-G19)^2)),SQRT( ('Top 1500 HS LatitudeLongitude'!H$2:H$1501-F19)^2+('Top 1500 HS LatitudeLongitude'!I$2:I$1501-G19)^2),0),1),"")</f>
        <v/>
      </c>
    </row>
    <row r="20" spans="2:21" ht="15.75" customHeight="1">
      <c r="B20" s="8">
        <v>0.1396847775</v>
      </c>
      <c r="C20" s="9" t="s">
        <v>212</v>
      </c>
      <c r="D20" s="9" t="s">
        <v>223</v>
      </c>
      <c r="E20" s="10" t="s">
        <v>592</v>
      </c>
      <c r="F20" s="8">
        <v>39.592700000000001</v>
      </c>
      <c r="G20" s="8">
        <v>-104.8674</v>
      </c>
      <c r="H20" s="3" t="str">
        <f t="shared" si="0"/>
        <v>Starkville</v>
      </c>
      <c r="I20" s="3" t="str">
        <f t="shared" si="1"/>
        <v>MS</v>
      </c>
      <c r="J20" s="3" t="str">
        <f t="array" ref="J20">INDEX('State Abbreviations'!$B$2:$B$52,MATCH(I20,'State Abbreviations'!$A$2:$A$52,0))</f>
        <v>Mississippi</v>
      </c>
      <c r="K20" s="12" t="e">
        <f t="shared" ca="1" si="2"/>
        <v>#NAME?</v>
      </c>
      <c r="L20" s="13">
        <f t="shared" ca="1" si="3"/>
        <v>6</v>
      </c>
      <c r="M20" s="13" t="str">
        <f ca="1">IFERROR(__xludf.DUMMYFUNCTION("IF(AND(L20&gt;3,I20&lt;&gt;""AL"",I20&lt;&gt;""AK"",I20&lt;&gt;""AZ"",I20&lt;&gt;""AR"",I20&lt;&gt;""CA"",I20&lt;&gt;""CO"",I20&lt;&gt;""CT"",I20&lt;&gt;""DE"",I20&lt;&gt;""DC"",I20&lt;&gt;""FL"",I20&lt;&gt;""GA"",I20&lt;&gt;""HI"",I20&lt;&gt;""ID"",I20&lt;&gt;""IL"",I20&lt;&gt;""IN"",I20&lt;&gt;""IA"",I20&lt;&gt;""KS"",I20&lt;&gt;""KY"",I20&lt;&gt;""LA"",I20&lt;&gt;""ME"",I2"&amp;"0&lt;&gt;""MD"",I20&lt;&gt;""MA"",I20&lt;&gt;""MI"",I20&lt;&gt;""MN"",I20&lt;&gt;""MS"",I20&lt;&gt;""MO"",I20&lt;&gt;""MT"",I20&lt;&gt;""NE"",I20&lt;&gt;""NV"",I20&lt;&gt;""NH"",I20&lt;&gt;""NJ"",I20&lt;&gt;""NM"",I20&lt;&gt;""NY"",I20&lt;&gt;""NC"",I20&lt;&gt;""ND"",I20&lt;&gt;""OH"",I20&lt;&gt;""OK"",I20&lt;&gt;""OR"",I20&lt;&gt;""PA"",I20&lt;&gt;""RI"",I20&lt;&gt;""SC"",I20&lt;&gt;"&amp;"""SD"",I20&lt;&gt;""TN"",I20&lt;&gt;""TX"",I20&lt;&gt;""UT"",I20&lt;&gt;""VT"",I20&lt;&gt;""VA"",I20&lt;&gt;""WA"",I20&lt;&gt;""WV"",I20&lt;&gt;""WI"",I20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StateInternational'!$G$2:$G$121&lt;&gt;"""")},2,0)),IF(L20=10"&amp;",ArrayFormula(VLOOKUP(QUERY(UNIQUE(RANDBETWEEN(ROW(INDIRECT(""A1:A""&amp;COUNTA('Leaving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20" s="13">
        <f t="shared" ca="1" si="4"/>
        <v>2</v>
      </c>
      <c r="O20" s="13" t="b">
        <f>ISNUMBER(MATCH(C20,'Top 250 HS'!C:C,0))</f>
        <v>0</v>
      </c>
      <c r="P20" s="13" t="str">
        <f ca="1">IFERROR(__xludf.DUMMYFUNCTION("SORTN(FILTER('Top 250 HS'!B:B,'Top 250 HS'!C:C=I20),1,0,randarray(COUNTA(FILTER('Top 250 HS'!B:B,'Top 250 HS'!C:C=I20)),1),TRUE)"),"Callaway (Jackson)")</f>
        <v>Callaway (Jackson)</v>
      </c>
      <c r="Q20" s="13" t="b">
        <f>ISNUMBER(MATCH("*"&amp;E20&amp;"*",'Top 1500 HS LatitudeLongitude'!G:G,0))</f>
        <v>1</v>
      </c>
      <c r="R20" s="13" t="str">
        <f ca="1">IFERROR(__xludf.DUMMYFUNCTION("IFS(L20=10,"""",Q20=false,"""",N20=5,"""",Q20=true,SORTN(FILTER('Top 1500 HS LatitudeLongitude'!B:B,'Top 1500 HS LatitudeLongitude'!C:C=I20,'Top 1500 HS LatitudeLongitude'!E:E=H20),1,0,randarray(COUNTA(FILTER('Top 1500 HS LatitudeLongitude'!B:B,'Top 1500 "&amp;"HS LatitudeLongitude'!C:C=I20,'Top 1500 HS LatitudeLongitude'!E:E=H20)),1),TRUE)
)"),"Starkville")</f>
        <v>Starkville</v>
      </c>
      <c r="S20" s="13" t="b">
        <f>ISNUMBER(MATCH("*"&amp;H:H&amp;"*",'Public Schools'!C:C,0))</f>
        <v>1</v>
      </c>
      <c r="T20" s="13" t="str">
        <f ca="1">IFERROR(__xludf.DUMMYFUNCTION("IFERROR(IF(AND(R20="""",S20=true), SORTN(FILTER('Public Schools'!A:A,'Public Schools'!B:B=J20,'Public Schools'!C:C=H20),1,0,randarray(COUNTA(FILTER('Public Schools'!A:A,'Public Schools'!B:B=J20,'Public Schools'!C:C=H20)),1),TRUE),""""),"""")"),"")</f>
        <v/>
      </c>
      <c r="U20" s="23" t="str">
        <f t="array" aca="1" ref="U20" ca="1">IF(AND(R20="",T20=""),INDEX('Top 1500 HS LatitudeLongitude'!B$2:B$1501,MATCH(MIN(SQRT(('Top 1500 HS LatitudeLongitude'!H$2:H$1501-F20)^2+('Top 1500 HS LatitudeLongitude'!I$2:I$1501-G20)^2)),SQRT( ('Top 1500 HS LatitudeLongitude'!H$2:H$1501-F20)^2+('Top 1500 HS LatitudeLongitude'!I$2:I$1501-G20)^2),0),1),"")</f>
        <v/>
      </c>
    </row>
    <row r="21" spans="2:21" ht="15.75" customHeight="1">
      <c r="B21" s="8">
        <v>6.1348684299999998E-2</v>
      </c>
      <c r="C21" s="9" t="s">
        <v>224</v>
      </c>
      <c r="D21" s="9" t="s">
        <v>225</v>
      </c>
      <c r="E21" s="37" t="s">
        <v>594</v>
      </c>
      <c r="F21" s="8">
        <v>33.938200000000002</v>
      </c>
      <c r="G21" s="8">
        <v>-117.39490000000001</v>
      </c>
      <c r="H21" s="3" t="str">
        <f t="shared" si="0"/>
        <v>Glendale</v>
      </c>
      <c r="I21" s="3" t="str">
        <f t="shared" si="1"/>
        <v>AZ</v>
      </c>
      <c r="J21" s="3" t="str">
        <f t="array" ref="J21">INDEX('State Abbreviations'!$B$2:$B$52,MATCH(I21,'State Abbreviations'!$A$2:$A$52,0))</f>
        <v>Arizona</v>
      </c>
      <c r="K21" s="12" t="e">
        <f t="shared" ca="1" si="2"/>
        <v>#NAME?</v>
      </c>
      <c r="L21" s="13">
        <f t="shared" ca="1" si="3"/>
        <v>15</v>
      </c>
      <c r="M21" s="13" t="str">
        <f ca="1">IFERROR(__xludf.DUMMYFUNCTION("IF(AND(L21&gt;3,I21&lt;&gt;""AL"",I21&lt;&gt;""AK"",I21&lt;&gt;""AZ"",I21&lt;&gt;""AR"",I21&lt;&gt;""CA"",I21&lt;&gt;""CO"",I21&lt;&gt;""CT"",I21&lt;&gt;""DE"",I21&lt;&gt;""DC"",I21&lt;&gt;""FL"",I21&lt;&gt;""GA"",I21&lt;&gt;""HI"",I21&lt;&gt;""ID"",I21&lt;&gt;""IL"",I21&lt;&gt;""IN"",I21&lt;&gt;""IA"",I21&lt;&gt;""KS"",I21&lt;&gt;""KY"",I21&lt;&gt;""LA"",I21&lt;&gt;""ME"",I2"&amp;"1&lt;&gt;""MD"",I21&lt;&gt;""MA"",I21&lt;&gt;""MI"",I21&lt;&gt;""MN"",I21&lt;&gt;""MS"",I21&lt;&gt;""MO"",I21&lt;&gt;""MT"",I21&lt;&gt;""NE"",I21&lt;&gt;""NV"",I21&lt;&gt;""NH"",I21&lt;&gt;""NJ"",I21&lt;&gt;""NM"",I21&lt;&gt;""NY"",I21&lt;&gt;""NC"",I21&lt;&gt;""ND"",I21&lt;&gt;""OH"",I21&lt;&gt;""OK"",I21&lt;&gt;""OR"",I21&lt;&gt;""PA"",I21&lt;&gt;""RI"",I21&lt;&gt;""SC"",I21&lt;&gt;"&amp;"""SD"",I21&lt;&gt;""TN"",I21&lt;&gt;""TX"",I21&lt;&gt;""UT"",I21&lt;&gt;""VT"",I21&lt;&gt;""VA"",I21&lt;&gt;""WA"",I21&lt;&gt;""WV"",I21&lt;&gt;""WI"",I21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StateInternational'!$G$2:$G$121&lt;&gt;"""")},2,0)),IF(L21=10"&amp;",ArrayFormula(VLOOKUP(QUERY(UNIQUE(RANDBETWEEN(ROW(INDIRECT(""A1:A""&amp;COUNTA('Leaving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21" s="13">
        <f t="shared" ca="1" si="4"/>
        <v>2</v>
      </c>
      <c r="O21" s="13" t="b">
        <f>ISNUMBER(MATCH(C21,'Top 250 HS'!C:C,0))</f>
        <v>0</v>
      </c>
      <c r="P21" s="13" t="str">
        <f ca="1">IFERROR(__xludf.DUMMYFUNCTION("SORTN(FILTER('Top 250 HS'!B:B,'Top 250 HS'!C:C=I21),1,0,randarray(COUNTA(FILTER('Top 250 HS'!B:B,'Top 250 HS'!C:C=I21)),1),TRUE)"),"Desert Vista (Phoenix)")</f>
        <v>Desert Vista (Phoenix)</v>
      </c>
      <c r="Q21" s="13" t="b">
        <f>ISNUMBER(MATCH("*"&amp;E21&amp;"*",'Top 1500 HS LatitudeLongitude'!G:G,0))</f>
        <v>1</v>
      </c>
      <c r="R21" s="13" t="str">
        <f ca="1">IFERROR(__xludf.DUMMYFUNCTION("IFS(L21=10,"""",Q21=false,"""",N21=5,"""",Q21=true,SORTN(FILTER('Top 1500 HS LatitudeLongitude'!B:B,'Top 1500 HS LatitudeLongitude'!C:C=I21,'Top 1500 HS LatitudeLongitude'!E:E=H21),1,0,randarray(COUNTA(FILTER('Top 1500 HS LatitudeLongitude'!B:B,'Top 1500 "&amp;"HS LatitudeLongitude'!C:C=I21,'Top 1500 HS LatitudeLongitude'!E:E=H21)),1),TRUE)
)"),"Ironwood (Glendale)")</f>
        <v>Ironwood (Glendale)</v>
      </c>
      <c r="S21" s="13" t="b">
        <f>ISNUMBER(MATCH("*"&amp;H:H&amp;"*",'Public Schools'!C:C,0))</f>
        <v>1</v>
      </c>
      <c r="T21" s="13" t="str">
        <f ca="1">IFERROR(__xludf.DUMMYFUNCTION("IFERROR(IF(AND(R21="""",S21=true), SORTN(FILTER('Public Schools'!A:A,'Public Schools'!B:B=J21,'Public Schools'!C:C=H21),1,0,randarray(COUNTA(FILTER('Public Schools'!A:A,'Public Schools'!B:B=J21,'Public Schools'!C:C=H21)),1),TRUE),""""),"""")"),"")</f>
        <v/>
      </c>
      <c r="U21" s="23" t="str">
        <f t="array" aca="1" ref="U21" ca="1">IF(AND(R21="",T21=""),INDEX('Top 1500 HS LatitudeLongitude'!B$2:B$1501,MATCH(MIN(SQRT(('Top 1500 HS LatitudeLongitude'!H$2:H$1501-F21)^2+('Top 1500 HS LatitudeLongitude'!I$2:I$1501-G21)^2)),SQRT( ('Top 1500 HS LatitudeLongitude'!H$2:H$1501-F21)^2+('Top 1500 HS LatitudeLongitude'!I$2:I$1501-G21)^2),0),1),"")</f>
        <v/>
      </c>
    </row>
    <row r="22" spans="2:21" ht="15.75" customHeight="1">
      <c r="B22" s="8">
        <v>0.2138192941</v>
      </c>
      <c r="C22" s="9" t="s">
        <v>226</v>
      </c>
      <c r="D22" s="9" t="s">
        <v>227</v>
      </c>
      <c r="E22" s="10" t="s">
        <v>596</v>
      </c>
      <c r="F22" s="8">
        <v>33.762700000000002</v>
      </c>
      <c r="G22" s="8">
        <v>-84.423100000000005</v>
      </c>
      <c r="H22" s="3" t="str">
        <f t="shared" si="0"/>
        <v>Ottumwa</v>
      </c>
      <c r="I22" s="3" t="str">
        <f t="shared" si="1"/>
        <v>IA</v>
      </c>
      <c r="J22" s="3" t="str">
        <f t="array" ref="J22">INDEX('State Abbreviations'!$B$2:$B$52,MATCH(I22,'State Abbreviations'!$A$2:$A$52,0))</f>
        <v>Iowa</v>
      </c>
      <c r="K22" s="12" t="e">
        <f t="shared" ca="1" si="2"/>
        <v>#NAME?</v>
      </c>
      <c r="L22" s="13">
        <f t="shared" ca="1" si="3"/>
        <v>7</v>
      </c>
      <c r="M22" s="13" t="str">
        <f ca="1">IFERROR(__xludf.DUMMYFUNCTION("IF(AND(L22&gt;3,I22&lt;&gt;""AL"",I22&lt;&gt;""AK"",I22&lt;&gt;""AZ"",I22&lt;&gt;""AR"",I22&lt;&gt;""CA"",I22&lt;&gt;""CO"",I22&lt;&gt;""CT"",I22&lt;&gt;""DE"",I22&lt;&gt;""DC"",I22&lt;&gt;""FL"",I22&lt;&gt;""GA"",I22&lt;&gt;""HI"",I22&lt;&gt;""ID"",I22&lt;&gt;""IL"",I22&lt;&gt;""IN"",I22&lt;&gt;""IA"",I22&lt;&gt;""KS"",I22&lt;&gt;""KY"",I22&lt;&gt;""LA"",I22&lt;&gt;""ME"",I2"&amp;"2&lt;&gt;""MD"",I22&lt;&gt;""MA"",I22&lt;&gt;""MI"",I22&lt;&gt;""MN"",I22&lt;&gt;""MS"",I22&lt;&gt;""MO"",I22&lt;&gt;""MT"",I22&lt;&gt;""NE"",I22&lt;&gt;""NV"",I22&lt;&gt;""NH"",I22&lt;&gt;""NJ"",I22&lt;&gt;""NM"",I22&lt;&gt;""NY"",I22&lt;&gt;""NC"",I22&lt;&gt;""ND"",I22&lt;&gt;""OH"",I22&lt;&gt;""OK"",I22&lt;&gt;""OR"",I22&lt;&gt;""PA"",I22&lt;&gt;""RI"",I22&lt;&gt;""SC"",I22&lt;&gt;"&amp;"""SD"",I22&lt;&gt;""TN"",I22&lt;&gt;""TX"",I22&lt;&gt;""UT"",I22&lt;&gt;""VT"",I22&lt;&gt;""VA"",I22&lt;&gt;""WA"",I22&lt;&gt;""WV"",I22&lt;&gt;""WI"",I22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StateInternational'!$G$2:$G$121&lt;&gt;"""")},2,0)),IF(L22=10"&amp;",ArrayFormula(VLOOKUP(QUERY(UNIQUE(RANDBETWEEN(ROW(INDIRECT(""A1:A""&amp;COUNTA('Leaving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22" s="13">
        <f t="shared" ca="1" si="4"/>
        <v>5</v>
      </c>
      <c r="O22" s="13" t="b">
        <f>ISNUMBER(MATCH(C22,'Top 250 HS'!C:C,0))</f>
        <v>0</v>
      </c>
      <c r="P22" s="13" t="str">
        <f ca="1">IFERROR(__xludf.DUMMYFUNCTION("SORTN(FILTER('Top 250 HS'!B:B,'Top 250 HS'!C:C=I22),1,0,randarray(COUNTA(FILTER('Top 250 HS'!B:B,'Top 250 HS'!C:C=I22)),1),TRUE)"),"Cedar Falls")</f>
        <v>Cedar Falls</v>
      </c>
      <c r="Q22" s="13" t="b">
        <f>ISNUMBER(MATCH("*"&amp;E22&amp;"*",'Top 1500 HS LatitudeLongitude'!G:G,0))</f>
        <v>0</v>
      </c>
      <c r="R22" s="13" t="str">
        <f ca="1">IFERROR(__xludf.DUMMYFUNCTION("IFS(L22=10,"""",Q22=false,"""",N22=5,"""",Q22=true,SORTN(FILTER('Top 1500 HS LatitudeLongitude'!B:B,'Top 1500 HS LatitudeLongitude'!C:C=I22,'Top 1500 HS LatitudeLongitude'!E:E=H22),1,0,randarray(COUNTA(FILTER('Top 1500 HS LatitudeLongitude'!B:B,'Top 1500 "&amp;"HS LatitudeLongitude'!C:C=I22,'Top 1500 HS LatitudeLongitude'!E:E=H22)),1),TRUE)
)"),"")</f>
        <v/>
      </c>
      <c r="S22" s="13" t="b">
        <f>ISNUMBER(MATCH("*"&amp;H:H&amp;"*",'Public Schools'!C:C,0))</f>
        <v>1</v>
      </c>
      <c r="T22" s="13" t="str">
        <f ca="1">IFERROR(__xludf.DUMMYFUNCTION("IFERROR(IF(AND(R22="""",S22=true), SORTN(FILTER('Public Schools'!A:A,'Public Schools'!B:B=J22,'Public Schools'!C:C=H22),1,0,randarray(COUNTA(FILTER('Public Schools'!A:A,'Public Schools'!B:B=J22,'Public Schools'!C:C=H22)),1),TRUE),""""),"""")"),"Ottumwa High School")</f>
        <v>Ottumwa High School</v>
      </c>
      <c r="U22" s="23" t="str">
        <f t="array" aca="1" ref="U22" ca="1">IF(AND(R22="",T22=""),INDEX('Top 1500 HS LatitudeLongitude'!B$2:B$1501,MATCH(MIN(SQRT(('Top 1500 HS LatitudeLongitude'!H$2:H$1501-F22)^2+('Top 1500 HS LatitudeLongitude'!I$2:I$1501-G22)^2)),SQRT( ('Top 1500 HS LatitudeLongitude'!H$2:H$1501-F22)^2+('Top 1500 HS LatitudeLongitude'!I$2:I$1501-G22)^2),0),1),"")</f>
        <v/>
      </c>
    </row>
    <row r="23" spans="2:21" ht="15.75" customHeight="1">
      <c r="B23" s="8">
        <v>0.97408497270000005</v>
      </c>
      <c r="C23" s="9" t="s">
        <v>228</v>
      </c>
      <c r="D23" s="9" t="s">
        <v>229</v>
      </c>
      <c r="E23" s="37" t="s">
        <v>600</v>
      </c>
      <c r="F23" s="8">
        <v>47.541400000000003</v>
      </c>
      <c r="G23" s="8">
        <v>-122.0436</v>
      </c>
      <c r="H23" s="3" t="str">
        <f t="shared" si="0"/>
        <v>Ocean City</v>
      </c>
      <c r="I23" s="3" t="str">
        <f t="shared" si="1"/>
        <v>MD</v>
      </c>
      <c r="J23" s="3" t="str">
        <f t="array" ref="J23">INDEX('State Abbreviations'!$B$2:$B$52,MATCH(I23,'State Abbreviations'!$A$2:$A$52,0))</f>
        <v>Maryland</v>
      </c>
      <c r="K23" s="12" t="e">
        <f t="shared" ca="1" si="2"/>
        <v>#NAME?</v>
      </c>
      <c r="L23" s="13">
        <f t="shared" ca="1" si="3"/>
        <v>11</v>
      </c>
      <c r="M23" s="13" t="str">
        <f ca="1">IFERROR(__xludf.DUMMYFUNCTION("IF(AND(L23&gt;3,I23&lt;&gt;""AL"",I23&lt;&gt;""AK"",I23&lt;&gt;""AZ"",I23&lt;&gt;""AR"",I23&lt;&gt;""CA"",I23&lt;&gt;""CO"",I23&lt;&gt;""CT"",I23&lt;&gt;""DE"",I23&lt;&gt;""DC"",I23&lt;&gt;""FL"",I23&lt;&gt;""GA"",I23&lt;&gt;""HI"",I23&lt;&gt;""ID"",I23&lt;&gt;""IL"",I23&lt;&gt;""IN"",I23&lt;&gt;""IA"",I23&lt;&gt;""KS"",I23&lt;&gt;""KY"",I23&lt;&gt;""LA"",I23&lt;&gt;""ME"",I2"&amp;"3&lt;&gt;""MD"",I23&lt;&gt;""MA"",I23&lt;&gt;""MI"",I23&lt;&gt;""MN"",I23&lt;&gt;""MS"",I23&lt;&gt;""MO"",I23&lt;&gt;""MT"",I23&lt;&gt;""NE"",I23&lt;&gt;""NV"",I23&lt;&gt;""NH"",I23&lt;&gt;""NJ"",I23&lt;&gt;""NM"",I23&lt;&gt;""NY"",I23&lt;&gt;""NC"",I23&lt;&gt;""ND"",I23&lt;&gt;""OH"",I23&lt;&gt;""OK"",I23&lt;&gt;""OR"",I23&lt;&gt;""PA"",I23&lt;&gt;""RI"",I23&lt;&gt;""SC"",I23&lt;&gt;"&amp;"""SD"",I23&lt;&gt;""TN"",I23&lt;&gt;""TX"",I23&lt;&gt;""UT"",I23&lt;&gt;""VT"",I23&lt;&gt;""VA"",I23&lt;&gt;""WA"",I23&lt;&gt;""WV"",I23&lt;&gt;""WI"",I23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StateInternational'!$G$2:$G$121&lt;&gt;"""")},2,0)),IF(L23=10"&amp;",ArrayFormula(VLOOKUP(QUERY(UNIQUE(RANDBETWEEN(ROW(INDIRECT(""A1:A""&amp;COUNTA('Leaving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23" s="13">
        <f t="shared" ca="1" si="4"/>
        <v>4</v>
      </c>
      <c r="O23" s="13" t="b">
        <f>ISNUMBER(MATCH(C23,'Top 250 HS'!C:C,0))</f>
        <v>0</v>
      </c>
      <c r="P23" s="13" t="str">
        <f ca="1">IFERROR(__xludf.DUMMYFUNCTION("SORTN(FILTER('Top 250 HS'!B:B,'Top 250 HS'!C:C=I23),1,0,randarray(COUNTA(FILTER('Top 250 HS'!B:B,'Top 250 HS'!C:C=I23)),1),TRUE)"),"Poly (Baltimore)")</f>
        <v>Poly (Baltimore)</v>
      </c>
      <c r="Q23" s="13" t="b">
        <f>ISNUMBER(MATCH("*"&amp;E23&amp;"*",'Top 1500 HS LatitudeLongitude'!G:G,0))</f>
        <v>0</v>
      </c>
      <c r="R23" s="13" t="str">
        <f ca="1">IFERROR(__xludf.DUMMYFUNCTION("IFS(L23=10,"""",Q23=false,"""",N23=5,"""",Q23=true,SORTN(FILTER('Top 1500 HS LatitudeLongitude'!B:B,'Top 1500 HS LatitudeLongitude'!C:C=I23,'Top 1500 HS LatitudeLongitude'!E:E=H23),1,0,randarray(COUNTA(FILTER('Top 1500 HS LatitudeLongitude'!B:B,'Top 1500 "&amp;"HS LatitudeLongitude'!C:C=I23,'Top 1500 HS LatitudeLongitude'!E:E=H23)),1),TRUE)
)"),"")</f>
        <v/>
      </c>
      <c r="S23" s="13" t="b">
        <f>ISNUMBER(MATCH("*"&amp;H:H&amp;"*",'Public Schools'!C:C,0))</f>
        <v>1</v>
      </c>
      <c r="T23" s="13" t="str">
        <f ca="1">IFERROR(__xludf.DUMMYFUNCTION("IFERROR(IF(AND(R23="""",S23=true), SORTN(FILTER('Public Schools'!A:A,'Public Schools'!B:B=J23,'Public Schools'!C:C=H23),1,0,randarray(COUNTA(FILTER('Public Schools'!A:A,'Public Schools'!B:B=J23,'Public Schools'!C:C=H23)),1),TRUE),""""),"""")"),"")</f>
        <v/>
      </c>
      <c r="U23" s="23" t="str">
        <f t="array" aca="1" ref="U23" ca="1">IF(AND(R23="",T23=""),INDEX('Top 1500 HS LatitudeLongitude'!B$2:B$1501,MATCH(MIN(SQRT(('Top 1500 HS LatitudeLongitude'!H$2:H$1501-F23)^2+('Top 1500 HS LatitudeLongitude'!I$2:I$1501-G23)^2)),SQRT( ('Top 1500 HS LatitudeLongitude'!H$2:H$1501-F23)^2+('Top 1500 HS LatitudeLongitude'!I$2:I$1501-G23)^2),0),1),"")</f>
        <v>Eastside Catholic (Sammamish)</v>
      </c>
    </row>
    <row r="24" spans="2:21" ht="15.75" customHeight="1">
      <c r="B24" s="8">
        <v>0.3628428293</v>
      </c>
      <c r="C24" s="9" t="s">
        <v>114</v>
      </c>
      <c r="D24" s="9" t="s">
        <v>230</v>
      </c>
      <c r="E24" s="10" t="s">
        <v>605</v>
      </c>
      <c r="F24" s="8">
        <v>37.949199999999998</v>
      </c>
      <c r="G24" s="8">
        <v>-87.405100000000004</v>
      </c>
      <c r="H24" s="3" t="str">
        <f t="shared" si="0"/>
        <v>Oviedo</v>
      </c>
      <c r="I24" s="3" t="str">
        <f t="shared" si="1"/>
        <v>FL</v>
      </c>
      <c r="J24" s="3" t="str">
        <f t="array" ref="J24">INDEX('State Abbreviations'!$B$2:$B$52,MATCH(I24,'State Abbreviations'!$A$2:$A$52,0))</f>
        <v>Florida</v>
      </c>
      <c r="K24" s="12" t="e">
        <f t="shared" ca="1" si="2"/>
        <v>#NAME?</v>
      </c>
      <c r="L24" s="13">
        <f t="shared" ca="1" si="3"/>
        <v>9</v>
      </c>
      <c r="M24" s="13" t="str">
        <f ca="1">IFERROR(__xludf.DUMMYFUNCTION("IF(AND(L24&gt;3,I24&lt;&gt;""AL"",I24&lt;&gt;""AK"",I24&lt;&gt;""AZ"",I24&lt;&gt;""AR"",I24&lt;&gt;""CA"",I24&lt;&gt;""CO"",I24&lt;&gt;""CT"",I24&lt;&gt;""DE"",I24&lt;&gt;""DC"",I24&lt;&gt;""FL"",I24&lt;&gt;""GA"",I24&lt;&gt;""HI"",I24&lt;&gt;""ID"",I24&lt;&gt;""IL"",I24&lt;&gt;""IN"",I24&lt;&gt;""IA"",I24&lt;&gt;""KS"",I24&lt;&gt;""KY"",I24&lt;&gt;""LA"",I24&lt;&gt;""ME"",I2"&amp;"4&lt;&gt;""MD"",I24&lt;&gt;""MA"",I24&lt;&gt;""MI"",I24&lt;&gt;""MN"",I24&lt;&gt;""MS"",I24&lt;&gt;""MO"",I24&lt;&gt;""MT"",I24&lt;&gt;""NE"",I24&lt;&gt;""NV"",I24&lt;&gt;""NH"",I24&lt;&gt;""NJ"",I24&lt;&gt;""NM"",I24&lt;&gt;""NY"",I24&lt;&gt;""NC"",I24&lt;&gt;""ND"",I24&lt;&gt;""OH"",I24&lt;&gt;""OK"",I24&lt;&gt;""OR"",I24&lt;&gt;""PA"",I24&lt;&gt;""RI"",I24&lt;&gt;""SC"",I24&lt;&gt;"&amp;"""SD"",I24&lt;&gt;""TN"",I24&lt;&gt;""TX"",I24&lt;&gt;""UT"",I24&lt;&gt;""VT"",I24&lt;&gt;""VA"",I24&lt;&gt;""WA"",I24&lt;&gt;""WV"",I24&lt;&gt;""WI"",I24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StateInternational'!$G$2:$G$121&lt;&gt;"""")},2,0)),IF(L24=10"&amp;",ArrayFormula(VLOOKUP(QUERY(UNIQUE(RANDBETWEEN(ROW(INDIRECT(""A1:A""&amp;COUNTA('Leaving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24" s="13">
        <f t="shared" ca="1" si="4"/>
        <v>5</v>
      </c>
      <c r="O24" s="13" t="b">
        <f>ISNUMBER(MATCH(C24,'Top 250 HS'!C:C,0))</f>
        <v>0</v>
      </c>
      <c r="P24" s="13" t="str">
        <f ca="1">IFERROR(__xludf.DUMMYFUNCTION("SORTN(FILTER('Top 250 HS'!B:B,'Top 250 HS'!C:C=I24),1,0,randarray(COUNTA(FILTER('Top 250 HS'!B:B,'Top 250 HS'!C:C=I24)),1),TRUE)"),"Santa Fe Catholic (Lakeland)")</f>
        <v>Santa Fe Catholic (Lakeland)</v>
      </c>
      <c r="Q24" s="13" t="b">
        <f>ISNUMBER(MATCH("*"&amp;E24&amp;"*",'Top 1500 HS LatitudeLongitude'!G:G,0))</f>
        <v>1</v>
      </c>
      <c r="R24" s="13" t="str">
        <f ca="1">IFERROR(__xludf.DUMMYFUNCTION("IFS(L24=10,"""",Q24=false,"""",N24=5,"""",Q24=true,SORTN(FILTER('Top 1500 HS LatitudeLongitude'!B:B,'Top 1500 HS LatitudeLongitude'!C:C=I24,'Top 1500 HS LatitudeLongitude'!E:E=H24),1,0,randarray(COUNTA(FILTER('Top 1500 HS LatitudeLongitude'!B:B,'Top 1500 "&amp;"HS LatitudeLongitude'!C:C=I24,'Top 1500 HS LatitudeLongitude'!E:E=H24)),1),TRUE)
)"),"Master's Academy (Oviedo)")</f>
        <v>Master's Academy (Oviedo)</v>
      </c>
      <c r="S24" s="13" t="b">
        <f>ISNUMBER(MATCH("*"&amp;H:H&amp;"*",'Public Schools'!C:C,0))</f>
        <v>1</v>
      </c>
      <c r="T24" s="13" t="str">
        <f ca="1">IFERROR(__xludf.DUMMYFUNCTION("IFERROR(IF(AND(R24="""",S24=true), SORTN(FILTER('Public Schools'!A:A,'Public Schools'!B:B=J24,'Public Schools'!C:C=H24),1,0,randarray(COUNTA(FILTER('Public Schools'!A:A,'Public Schools'!B:B=J24,'Public Schools'!C:C=H24)),1),TRUE),""""),"""")"),"")</f>
        <v/>
      </c>
      <c r="U24" s="23" t="str">
        <f t="array" aca="1" ref="U24" ca="1">IF(AND(R24="",T24=""),INDEX('Top 1500 HS LatitudeLongitude'!B$2:B$1501,MATCH(MIN(SQRT(('Top 1500 HS LatitudeLongitude'!H$2:H$1501-F24)^2+('Top 1500 HS LatitudeLongitude'!I$2:I$1501-G24)^2)),SQRT( ('Top 1500 HS LatitudeLongitude'!H$2:H$1501-F24)^2+('Top 1500 HS LatitudeLongitude'!I$2:I$1501-G24)^2),0),1),"")</f>
        <v/>
      </c>
    </row>
    <row r="25" spans="2:21" ht="15.75" customHeight="1">
      <c r="B25" s="8">
        <v>0.568926822</v>
      </c>
      <c r="C25" s="24" t="s">
        <v>148</v>
      </c>
      <c r="D25" s="9" t="s">
        <v>149</v>
      </c>
      <c r="E25" s="25" t="s">
        <v>150</v>
      </c>
      <c r="F25" s="8">
        <v>34.938899999999997</v>
      </c>
      <c r="G25" s="8">
        <v>-79.760599999999997</v>
      </c>
      <c r="H25" s="3" t="str">
        <f t="shared" si="0"/>
        <v>Atlanta</v>
      </c>
      <c r="I25" s="3" t="str">
        <f t="shared" si="1"/>
        <v>GA</v>
      </c>
      <c r="J25" s="3" t="str">
        <f t="array" ref="J25">INDEX('State Abbreviations'!$B$2:$B$52,MATCH(I25,'State Abbreviations'!$A$2:$A$52,0))</f>
        <v>Georgia</v>
      </c>
      <c r="K25" s="12" t="e">
        <f t="shared" ca="1" si="2"/>
        <v>#NAME?</v>
      </c>
      <c r="L25" s="13">
        <f t="shared" ca="1" si="3"/>
        <v>7</v>
      </c>
      <c r="M25" s="13" t="str">
        <f ca="1">IFERROR(__xludf.DUMMYFUNCTION("IF(AND(L25&gt;3,I25&lt;&gt;""AL"",I25&lt;&gt;""AK"",I25&lt;&gt;""AZ"",I25&lt;&gt;""AR"",I25&lt;&gt;""CA"",I25&lt;&gt;""CO"",I25&lt;&gt;""CT"",I25&lt;&gt;""DE"",I25&lt;&gt;""DC"",I25&lt;&gt;""FL"",I25&lt;&gt;""GA"",I25&lt;&gt;""HI"",I25&lt;&gt;""ID"",I25&lt;&gt;""IL"",I25&lt;&gt;""IN"",I25&lt;&gt;""IA"",I25&lt;&gt;""KS"",I25&lt;&gt;""KY"",I25&lt;&gt;""LA"",I25&lt;&gt;""ME"",I2"&amp;"5&lt;&gt;""MD"",I25&lt;&gt;""MA"",I25&lt;&gt;""MI"",I25&lt;&gt;""MN"",I25&lt;&gt;""MS"",I25&lt;&gt;""MO"",I25&lt;&gt;""MT"",I25&lt;&gt;""NE"",I25&lt;&gt;""NV"",I25&lt;&gt;""NH"",I25&lt;&gt;""NJ"",I25&lt;&gt;""NM"",I25&lt;&gt;""NY"",I25&lt;&gt;""NC"",I25&lt;&gt;""ND"",I25&lt;&gt;""OH"",I25&lt;&gt;""OK"",I25&lt;&gt;""OR"",I25&lt;&gt;""PA"",I25&lt;&gt;""RI"",I25&lt;&gt;""SC"",I25&lt;&gt;"&amp;"""SD"",I25&lt;&gt;""TN"",I25&lt;&gt;""TX"",I25&lt;&gt;""UT"",I25&lt;&gt;""VT"",I25&lt;&gt;""VA"",I25&lt;&gt;""WA"",I25&lt;&gt;""WV"",I25&lt;&gt;""WI"",I25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StateInternational'!$G$2:$G$121&lt;&gt;"""")},2,0)),IF(L25=10"&amp;",ArrayFormula(VLOOKUP(QUERY(UNIQUE(RANDBETWEEN(ROW(INDIRECT(""A1:A""&amp;COUNTA('Leaving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25" s="13">
        <f t="shared" ca="1" si="4"/>
        <v>3</v>
      </c>
      <c r="O25" s="13" t="b">
        <f>ISNUMBER(MATCH(C25,'Top 250 HS'!C:C,0))</f>
        <v>0</v>
      </c>
      <c r="P25" s="13" t="str">
        <f ca="1">IFERROR(__xludf.DUMMYFUNCTION("SORTN(FILTER('Top 250 HS'!B:B,'Top 250 HS'!C:C=I25),1,0,randarray(COUNTA(FILTER('Top 250 HS'!B:B,'Top 250 HS'!C:C=I25)),1),TRUE)"),"Grayson (Loganville)")</f>
        <v>Grayson (Loganville)</v>
      </c>
      <c r="Q25" s="13" t="b">
        <f>ISNUMBER(MATCH("*"&amp;E25&amp;"*",'Top 1500 HS LatitudeLongitude'!G:G,0))</f>
        <v>1</v>
      </c>
      <c r="R25" s="13" t="str">
        <f ca="1">IFERROR(__xludf.DUMMYFUNCTION("IFS(L25=10,"""",Q25=false,"""",N25=5,"""",Q25=true,SORTN(FILTER('Top 1500 HS LatitudeLongitude'!B:B,'Top 1500 HS LatitudeLongitude'!C:C=I25,'Top 1500 HS LatitudeLongitude'!E:E=H25),1,0,randarray(COUNTA(FILTER('Top 1500 HS LatitudeLongitude'!B:B,'Top 1500 "&amp;"HS LatitudeLongitude'!C:C=I25,'Top 1500 HS LatitudeLongitude'!E:E=H25)),1),TRUE)
)"),"Pace Academy (Atlanta)")</f>
        <v>Pace Academy (Atlanta)</v>
      </c>
      <c r="S25" s="13" t="b">
        <f>ISNUMBER(MATCH("*"&amp;H:H&amp;"*",'Public Schools'!C:C,0))</f>
        <v>1</v>
      </c>
      <c r="T25" s="13" t="str">
        <f ca="1">IFERROR(__xludf.DUMMYFUNCTION("IFERROR(IF(AND(R25="""",S25=true), SORTN(FILTER('Public Schools'!A:A,'Public Schools'!B:B=J25,'Public Schools'!C:C=H25),1,0,randarray(COUNTA(FILTER('Public Schools'!A:A,'Public Schools'!B:B=J25,'Public Schools'!C:C=H25)),1),TRUE),""""),"""")"),"")</f>
        <v/>
      </c>
      <c r="U25" s="23" t="str">
        <f t="array" aca="1" ref="U25" ca="1">IF(AND(R25="",T25=""),INDEX('Top 1500 HS LatitudeLongitude'!B$2:B$1501,MATCH(MIN(SQRT(('Top 1500 HS LatitudeLongitude'!H$2:H$1501-F25)^2+('Top 1500 HS LatitudeLongitude'!I$2:I$1501-G25)^2)),SQRT( ('Top 1500 HS LatitudeLongitude'!H$2:H$1501-F25)^2+('Top 1500 HS LatitudeLongitude'!I$2:I$1501-G25)^2),0),1),"")</f>
        <v/>
      </c>
    </row>
    <row r="26" spans="2:21" ht="15.75" customHeight="1">
      <c r="B26" s="8">
        <v>0.41197057129999998</v>
      </c>
      <c r="C26" s="24" t="s">
        <v>231</v>
      </c>
      <c r="D26" s="9" t="s">
        <v>232</v>
      </c>
      <c r="E26" s="31" t="s">
        <v>610</v>
      </c>
      <c r="F26" s="8">
        <v>31.0975</v>
      </c>
      <c r="G26" s="8">
        <v>-93.276799999999994</v>
      </c>
      <c r="H26" s="3" t="str">
        <f t="shared" si="0"/>
        <v>Bareclone</v>
      </c>
      <c r="I26" s="3" t="str">
        <f t="shared" si="1"/>
        <v>Spain</v>
      </c>
      <c r="J26" s="3" t="e">
        <f t="array" ref="J26">INDEX('State Abbreviations'!$B$2:$B$52,MATCH(I26,'State Abbreviations'!$A$2:$A$52,0))</f>
        <v>#N/A</v>
      </c>
      <c r="K26" s="33" t="e">
        <f t="shared" ca="1" si="2"/>
        <v>#NAME?</v>
      </c>
      <c r="L26" s="13">
        <f t="shared" ca="1" si="3"/>
        <v>9</v>
      </c>
      <c r="M26" s="36" t="str">
        <f ca="1">IFERROR(__xludf.DUMMYFUNCTION("IF(AND(L26&gt;3,I26&lt;&gt;""AL"",I26&lt;&gt;""AK"",I26&lt;&gt;""AZ"",I26&lt;&gt;""AR"",I26&lt;&gt;""CA"",I26&lt;&gt;""CO"",I26&lt;&gt;""CT"",I26&lt;&gt;""DE"",I26&lt;&gt;""DC"",I26&lt;&gt;""FL"",I26&lt;&gt;""GA"",I26&lt;&gt;""HI"",I26&lt;&gt;""ID"",I26&lt;&gt;""IL"",I26&lt;&gt;""IN"",I26&lt;&gt;""IA"",I26&lt;&gt;""KS"",I26&lt;&gt;""KY"",I26&lt;&gt;""LA"",I26&lt;&gt;""ME"",I2"&amp;"6&lt;&gt;""MD"",I26&lt;&gt;""MA"",I26&lt;&gt;""MI"",I26&lt;&gt;""MN"",I26&lt;&gt;""MS"",I26&lt;&gt;""MO"",I26&lt;&gt;""MT"",I26&lt;&gt;""NE"",I26&lt;&gt;""NV"",I26&lt;&gt;""NH"",I26&lt;&gt;""NJ"",I26&lt;&gt;""NM"",I26&lt;&gt;""NY"",I26&lt;&gt;""NC"",I26&lt;&gt;""ND"",I26&lt;&gt;""OH"",I26&lt;&gt;""OK"",I26&lt;&gt;""OR"",I26&lt;&gt;""PA"",I26&lt;&gt;""RI"",I26&lt;&gt;""SC"",I26&lt;&gt;"&amp;"""SD"",I26&lt;&gt;""TN"",I26&lt;&gt;""TX"",I26&lt;&gt;""UT"",I26&lt;&gt;""VT"",I26&lt;&gt;""VA"",I26&lt;&gt;""WA"",I26&lt;&gt;""WV"",I26&lt;&gt;""WI"",I26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StateInternational'!$G$2:$G$121&lt;&gt;"""")},2,0)),IF(L26=10"&amp;",ArrayFormula(VLOOKUP(QUERY(UNIQUE(RANDBETWEEN(ROW(INDIRECT(""A1:A""&amp;COUNTA('Leaving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StateInternational'!$G$2:$G$121&lt;&gt;"""")},2,0)),""""))"),"Ribet Academy (Los Angeles)")</f>
        <v>Ribet Academy (Los Angeles)</v>
      </c>
      <c r="N26" s="13">
        <f t="shared" ca="1" si="4"/>
        <v>3</v>
      </c>
      <c r="O26" s="13" t="b">
        <f>ISNUMBER(MATCH(C26,'Top 250 HS'!C:C,0))</f>
        <v>0</v>
      </c>
      <c r="P26" s="13" t="str">
        <f ca="1">IFERROR(__xludf.DUMMYFUNCTION("SORTN(FILTER('Top 250 HS'!B:B,'Top 250 HS'!C:C=I26),1,0,randarray(COUNTA(FILTER('Top 250 HS'!B:B,'Top 250 HS'!C:C=I26)),1),TRUE)"),"#N/A")</f>
        <v>#N/A</v>
      </c>
      <c r="Q26" s="13" t="b">
        <f>ISNUMBER(MATCH("*"&amp;E26&amp;"*",'Top 1500 HS LatitudeLongitude'!G:G,0))</f>
        <v>0</v>
      </c>
      <c r="R26" s="13" t="str">
        <f ca="1">IFERROR(__xludf.DUMMYFUNCTION("IFS(L26=10,"""",Q26=false,"""",N26=5,"""",Q26=true,SORTN(FILTER('Top 1500 HS LatitudeLongitude'!B:B,'Top 1500 HS LatitudeLongitude'!C:C=I26,'Top 1500 HS LatitudeLongitude'!E:E=H26),1,0,randarray(COUNTA(FILTER('Top 1500 HS LatitudeLongitude'!B:B,'Top 1500 "&amp;"HS LatitudeLongitude'!C:C=I26,'Top 1500 HS LatitudeLongitude'!E:E=H26)),1),TRUE)
)"),"")</f>
        <v/>
      </c>
      <c r="S26" s="13" t="b">
        <f>ISNUMBER(MATCH("*"&amp;H:H&amp;"*",'Public Schools'!C:C,0))</f>
        <v>0</v>
      </c>
      <c r="T26" s="13" t="str">
        <f ca="1">IFERROR(__xludf.DUMMYFUNCTION("IFERROR(IF(AND(R26="""",S26=true), SORTN(FILTER('Public Schools'!A:A,'Public Schools'!B:B=J26,'Public Schools'!C:C=H26),1,0,randarray(COUNTA(FILTER('Public Schools'!A:A,'Public Schools'!B:B=J26,'Public Schools'!C:C=H26)),1),TRUE),""""),"""")"),"")</f>
        <v/>
      </c>
      <c r="U26" s="23" t="str">
        <f t="array" aca="1" ref="U26" ca="1">IF(AND(R26="",T26=""),INDEX('Top 1500 HS LatitudeLongitude'!B$2:B$1501,MATCH(MIN(SQRT(('Top 1500 HS LatitudeLongitude'!H$2:H$1501-F26)^2+('Top 1500 HS LatitudeLongitude'!I$2:I$1501-G26)^2)),SQRT( ('Top 1500 HS LatitudeLongitude'!H$2:H$1501-F26)^2+('Top 1500 HS LatitudeLongitude'!I$2:I$1501-G26)^2),0),1),"")</f>
        <v>Natchitoches Central (Natchitoches)</v>
      </c>
    </row>
    <row r="27" spans="2:21" ht="15.75" customHeight="1">
      <c r="B27" s="8">
        <v>0.56788835000000004</v>
      </c>
      <c r="C27" s="9" t="s">
        <v>148</v>
      </c>
      <c r="D27" s="9" t="s">
        <v>233</v>
      </c>
      <c r="E27" s="37" t="s">
        <v>613</v>
      </c>
      <c r="F27" s="8">
        <v>35.783999999999999</v>
      </c>
      <c r="G27" s="8">
        <v>-80.871300000000005</v>
      </c>
      <c r="H27" s="3" t="str">
        <f t="shared" si="0"/>
        <v>Swainsboro</v>
      </c>
      <c r="I27" s="3" t="str">
        <f t="shared" si="1"/>
        <v>GA</v>
      </c>
      <c r="J27" s="3" t="str">
        <f t="array" ref="J27">INDEX('State Abbreviations'!$B$2:$B$52,MATCH(I27,'State Abbreviations'!$A$2:$A$52,0))</f>
        <v>Georgia</v>
      </c>
      <c r="K27" s="12" t="e">
        <f t="shared" ca="1" si="2"/>
        <v>#NAME?</v>
      </c>
      <c r="L27" s="13">
        <f t="shared" ca="1" si="3"/>
        <v>4</v>
      </c>
      <c r="M27" s="13" t="str">
        <f ca="1">IFERROR(__xludf.DUMMYFUNCTION("IF(AND(L27&gt;3,I27&lt;&gt;""AL"",I27&lt;&gt;""AK"",I27&lt;&gt;""AZ"",I27&lt;&gt;""AR"",I27&lt;&gt;""CA"",I27&lt;&gt;""CO"",I27&lt;&gt;""CT"",I27&lt;&gt;""DE"",I27&lt;&gt;""DC"",I27&lt;&gt;""FL"",I27&lt;&gt;""GA"",I27&lt;&gt;""HI"",I27&lt;&gt;""ID"",I27&lt;&gt;""IL"",I27&lt;&gt;""IN"",I27&lt;&gt;""IA"",I27&lt;&gt;""KS"",I27&lt;&gt;""KY"",I27&lt;&gt;""LA"",I27&lt;&gt;""ME"",I2"&amp;"7&lt;&gt;""MD"",I27&lt;&gt;""MA"",I27&lt;&gt;""MI"",I27&lt;&gt;""MN"",I27&lt;&gt;""MS"",I27&lt;&gt;""MO"",I27&lt;&gt;""MT"",I27&lt;&gt;""NE"",I27&lt;&gt;""NV"",I27&lt;&gt;""NH"",I27&lt;&gt;""NJ"",I27&lt;&gt;""NM"",I27&lt;&gt;""NY"",I27&lt;&gt;""NC"",I27&lt;&gt;""ND"",I27&lt;&gt;""OH"",I27&lt;&gt;""OK"",I27&lt;&gt;""OR"",I27&lt;&gt;""PA"",I27&lt;&gt;""RI"",I27&lt;&gt;""SC"",I27&lt;&gt;"&amp;"""SD"",I27&lt;&gt;""TN"",I27&lt;&gt;""TX"",I27&lt;&gt;""UT"",I27&lt;&gt;""VT"",I27&lt;&gt;""VA"",I27&lt;&gt;""WA"",I27&lt;&gt;""WV"",I27&lt;&gt;""WI"",I27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StateInternational'!$G$2:$G$121&lt;&gt;"""")},2,0)),IF(L27=10"&amp;",ArrayFormula(VLOOKUP(QUERY(UNIQUE(RANDBETWEEN(ROW(INDIRECT(""A1:A""&amp;COUNTA('Leaving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27" s="13">
        <f t="shared" ca="1" si="4"/>
        <v>3</v>
      </c>
      <c r="O27" s="13" t="b">
        <f>ISNUMBER(MATCH(C27,'Top 250 HS'!C:C,0))</f>
        <v>0</v>
      </c>
      <c r="P27" s="13" t="str">
        <f ca="1">IFERROR(__xludf.DUMMYFUNCTION("SORTN(FILTER('Top 250 HS'!B:B,'Top 250 HS'!C:C=I27),1,0,randarray(COUNTA(FILTER('Top 250 HS'!B:B,'Top 250 HS'!C:C=I27)),1),TRUE)"),"St. Francis (Alpharetta)")</f>
        <v>St. Francis (Alpharetta)</v>
      </c>
      <c r="Q27" s="13" t="b">
        <f>ISNUMBER(MATCH("*"&amp;E27&amp;"*",'Top 1500 HS LatitudeLongitude'!G:G,0))</f>
        <v>1</v>
      </c>
      <c r="R27" s="13" t="str">
        <f ca="1">IFERROR(__xludf.DUMMYFUNCTION("IFS(L27=10,"""",Q27=false,"""",N27=5,"""",Q27=true,SORTN(FILTER('Top 1500 HS LatitudeLongitude'!B:B,'Top 1500 HS LatitudeLongitude'!C:C=I27,'Top 1500 HS LatitudeLongitude'!E:E=H27),1,0,randarray(COUNTA(FILTER('Top 1500 HS LatitudeLongitude'!B:B,'Top 1500 "&amp;"HS LatitudeLongitude'!C:C=I27,'Top 1500 HS LatitudeLongitude'!E:E=H27)),1),TRUE)
)"),"")</f>
        <v/>
      </c>
      <c r="S27" s="13" t="b">
        <f>ISNUMBER(MATCH("*"&amp;H:H&amp;"*",'Public Schools'!C:C,0))</f>
        <v>1</v>
      </c>
      <c r="T27" s="13" t="str">
        <f ca="1">IFERROR(__xludf.DUMMYFUNCTION("IFERROR(IF(AND(R27="""",S27=true), SORTN(FILTER('Public Schools'!A:A,'Public Schools'!B:B=J27,'Public Schools'!C:C=H27),1,0,randarray(COUNTA(FILTER('Public Schools'!A:A,'Public Schools'!B:B=J27,'Public Schools'!C:C=H27)),1),TRUE),""""),"""")"),"Swainsboro High School")</f>
        <v>Swainsboro High School</v>
      </c>
      <c r="U27" s="23" t="str">
        <f t="array" aca="1" ref="U27" ca="1">IF(AND(R27="",T27=""),INDEX('Top 1500 HS LatitudeLongitude'!B$2:B$1501,MATCH(MIN(SQRT(('Top 1500 HS LatitudeLongitude'!H$2:H$1501-F27)^2+('Top 1500 HS LatitudeLongitude'!I$2:I$1501-G27)^2)),SQRT( ('Top 1500 HS LatitudeLongitude'!H$2:H$1501-F27)^2+('Top 1500 HS LatitudeLongitude'!I$2:I$1501-G27)^2),0),1),"")</f>
        <v/>
      </c>
    </row>
    <row r="28" spans="2:21" ht="15.75" customHeight="1">
      <c r="B28" s="8">
        <v>0.95741751819999998</v>
      </c>
      <c r="C28" s="9" t="s">
        <v>47</v>
      </c>
      <c r="D28" s="9" t="s">
        <v>234</v>
      </c>
      <c r="E28" s="10" t="s">
        <v>617</v>
      </c>
      <c r="F28" s="8">
        <v>37.782499999999999</v>
      </c>
      <c r="G28" s="8">
        <v>-79.444000000000003</v>
      </c>
      <c r="H28" s="3" t="str">
        <f t="shared" si="0"/>
        <v>Highland</v>
      </c>
      <c r="I28" s="3" t="str">
        <f t="shared" si="1"/>
        <v>CA</v>
      </c>
      <c r="J28" s="3" t="str">
        <f t="array" ref="J28">INDEX('State Abbreviations'!$B$2:$B$52,MATCH(I28,'State Abbreviations'!$A$2:$A$52,0))</f>
        <v>California</v>
      </c>
      <c r="K28" s="12" t="e">
        <f t="shared" ca="1" si="2"/>
        <v>#NAME?</v>
      </c>
      <c r="L28" s="13">
        <f t="shared" ca="1" si="3"/>
        <v>3</v>
      </c>
      <c r="M28" s="13" t="str">
        <f ca="1">IFERROR(__xludf.DUMMYFUNCTION("IF(AND(L28&gt;3,I28&lt;&gt;""AL"",I28&lt;&gt;""AK"",I28&lt;&gt;""AZ"",I28&lt;&gt;""AR"",I28&lt;&gt;""CA"",I28&lt;&gt;""CO"",I28&lt;&gt;""CT"",I28&lt;&gt;""DE"",I28&lt;&gt;""DC"",I28&lt;&gt;""FL"",I28&lt;&gt;""GA"",I28&lt;&gt;""HI"",I28&lt;&gt;""ID"",I28&lt;&gt;""IL"",I28&lt;&gt;""IN"",I28&lt;&gt;""IA"",I28&lt;&gt;""KS"",I28&lt;&gt;""KY"",I28&lt;&gt;""LA"",I28&lt;&gt;""ME"",I2"&amp;"8&lt;&gt;""MD"",I28&lt;&gt;""MA"",I28&lt;&gt;""MI"",I28&lt;&gt;""MN"",I28&lt;&gt;""MS"",I28&lt;&gt;""MO"",I28&lt;&gt;""MT"",I28&lt;&gt;""NE"",I28&lt;&gt;""NV"",I28&lt;&gt;""NH"",I28&lt;&gt;""NJ"",I28&lt;&gt;""NM"",I28&lt;&gt;""NY"",I28&lt;&gt;""NC"",I28&lt;&gt;""ND"",I28&lt;&gt;""OH"",I28&lt;&gt;""OK"",I28&lt;&gt;""OR"",I28&lt;&gt;""PA"",I28&lt;&gt;""RI"",I28&lt;&gt;""SC"",I28&lt;&gt;"&amp;"""SD"",I28&lt;&gt;""TN"",I28&lt;&gt;""TX"",I28&lt;&gt;""UT"",I28&lt;&gt;""VT"",I28&lt;&gt;""VA"",I28&lt;&gt;""WA"",I28&lt;&gt;""WV"",I28&lt;&gt;""WI"",I28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StateInternational'!$G$2:$G$121&lt;&gt;"""")},2,0)),IF(L28=10"&amp;",ArrayFormula(VLOOKUP(QUERY(UNIQUE(RANDBETWEEN(ROW(INDIRECT(""A1:A""&amp;COUNTA('Leaving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28" s="13">
        <f t="shared" ca="1" si="4"/>
        <v>4</v>
      </c>
      <c r="O28" s="13" t="b">
        <f>ISNUMBER(MATCH(C28,'Top 250 HS'!C:C,0))</f>
        <v>0</v>
      </c>
      <c r="P28" s="13" t="str">
        <f ca="1">IFERROR(__xludf.DUMMYFUNCTION("SORTN(FILTER('Top 250 HS'!B:B,'Top 250 HS'!C:C=I28),1,0,randarray(COUNTA(FILTER('Top 250 HS'!B:B,'Top 250 HS'!C:C=I28)),1),TRUE)"),"Windward (Los Angeles)")</f>
        <v>Windward (Los Angeles)</v>
      </c>
      <c r="Q28" s="13" t="b">
        <f>ISNUMBER(MATCH("*"&amp;E28&amp;"*",'Top 1500 HS LatitudeLongitude'!G:G,0))</f>
        <v>0</v>
      </c>
      <c r="R28" s="13" t="str">
        <f ca="1">IFERROR(__xludf.DUMMYFUNCTION("IFS(L28=10,"""",Q28=false,"""",N28=5,"""",Q28=true,SORTN(FILTER('Top 1500 HS LatitudeLongitude'!B:B,'Top 1500 HS LatitudeLongitude'!C:C=I28,'Top 1500 HS LatitudeLongitude'!E:E=H28),1,0,randarray(COUNTA(FILTER('Top 1500 HS LatitudeLongitude'!B:B,'Top 1500 "&amp;"HS LatitudeLongitude'!C:C=I28,'Top 1500 HS LatitudeLongitude'!E:E=H28)),1),TRUE)
)"),"")</f>
        <v/>
      </c>
      <c r="S28" s="13" t="b">
        <f>ISNUMBER(MATCH("*"&amp;H:H&amp;"*",'Public Schools'!C:C,0))</f>
        <v>1</v>
      </c>
      <c r="T28" s="13" t="str">
        <f ca="1">IFERROR(__xludf.DUMMYFUNCTION("IFERROR(IF(AND(R28="""",S28=true), SORTN(FILTER('Public Schools'!A:A,'Public Schools'!B:B=J28,'Public Schools'!C:C=H28),1,0,randarray(COUNTA(FILTER('Public Schools'!A:A,'Public Schools'!B:B=J28,'Public Schools'!C:C=H28)),1),TRUE),""""),"""")"),"")</f>
        <v/>
      </c>
      <c r="U28" s="23" t="str">
        <f t="array" aca="1" ref="U28" ca="1">IF(AND(R28="",T28=""),INDEX('Top 1500 HS LatitudeLongitude'!B$2:B$1501,MATCH(MIN(SQRT(('Top 1500 HS LatitudeLongitude'!H$2:H$1501-F28)^2+('Top 1500 HS LatitudeLongitude'!I$2:I$1501-G28)^2)),SQRT( ('Top 1500 HS LatitudeLongitude'!H$2:H$1501-F28)^2+('Top 1500 HS LatitudeLongitude'!I$2:I$1501-G28)^2),0),1),"")</f>
        <v>Patrick Henry (Roanoke)</v>
      </c>
    </row>
    <row r="29" spans="2:21" ht="15.75" customHeight="1">
      <c r="B29" s="8">
        <v>5.3013286909999999E-2</v>
      </c>
      <c r="C29" s="9" t="s">
        <v>235</v>
      </c>
      <c r="D29" s="9" t="s">
        <v>236</v>
      </c>
      <c r="E29" s="37" t="s">
        <v>629</v>
      </c>
      <c r="F29" s="8">
        <v>34.113999999999997</v>
      </c>
      <c r="G29" s="8">
        <v>-118.4068</v>
      </c>
      <c r="H29" s="3" t="str">
        <f t="shared" si="0"/>
        <v>Lafayette</v>
      </c>
      <c r="I29" s="3" t="str">
        <f t="shared" si="1"/>
        <v>LA</v>
      </c>
      <c r="J29" s="3" t="str">
        <f t="array" ref="J29">INDEX('State Abbreviations'!$B$2:$B$52,MATCH(I29,'State Abbreviations'!$A$2:$A$52,0))</f>
        <v>Louisiana</v>
      </c>
      <c r="K29" s="12" t="e">
        <f t="shared" ca="1" si="2"/>
        <v>#NAME?</v>
      </c>
      <c r="L29" s="13">
        <f t="shared" ca="1" si="3"/>
        <v>6</v>
      </c>
      <c r="M29" s="13" t="str">
        <f ca="1">IFERROR(__xludf.DUMMYFUNCTION("IF(AND(L29&gt;3,I29&lt;&gt;""AL"",I29&lt;&gt;""AK"",I29&lt;&gt;""AZ"",I29&lt;&gt;""AR"",I29&lt;&gt;""CA"",I29&lt;&gt;""CO"",I29&lt;&gt;""CT"",I29&lt;&gt;""DE"",I29&lt;&gt;""DC"",I29&lt;&gt;""FL"",I29&lt;&gt;""GA"",I29&lt;&gt;""HI"",I29&lt;&gt;""ID"",I29&lt;&gt;""IL"",I29&lt;&gt;""IN"",I29&lt;&gt;""IA"",I29&lt;&gt;""KS"",I29&lt;&gt;""KY"",I29&lt;&gt;""LA"",I29&lt;&gt;""ME"",I2"&amp;"9&lt;&gt;""MD"",I29&lt;&gt;""MA"",I29&lt;&gt;""MI"",I29&lt;&gt;""MN"",I29&lt;&gt;""MS"",I29&lt;&gt;""MO"",I29&lt;&gt;""MT"",I29&lt;&gt;""NE"",I29&lt;&gt;""NV"",I29&lt;&gt;""NH"",I29&lt;&gt;""NJ"",I29&lt;&gt;""NM"",I29&lt;&gt;""NY"",I29&lt;&gt;""NC"",I29&lt;&gt;""ND"",I29&lt;&gt;""OH"",I29&lt;&gt;""OK"",I29&lt;&gt;""OR"",I29&lt;&gt;""PA"",I29&lt;&gt;""RI"",I29&lt;&gt;""SC"",I29&lt;&gt;"&amp;"""SD"",I29&lt;&gt;""TN"",I29&lt;&gt;""TX"",I29&lt;&gt;""UT"",I29&lt;&gt;""VT"",I29&lt;&gt;""VA"",I29&lt;&gt;""WA"",I29&lt;&gt;""WV"",I29&lt;&gt;""WI"",I29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StateInternational'!$G$2:$G$121&lt;&gt;"""")},2,0)),IF(L29=10"&amp;",ArrayFormula(VLOOKUP(QUERY(UNIQUE(RANDBETWEEN(ROW(INDIRECT(""A1:A""&amp;COUNTA('Leaving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29" s="13">
        <f t="shared" ca="1" si="4"/>
        <v>1</v>
      </c>
      <c r="O29" s="13" t="b">
        <f>ISNUMBER(MATCH(C29,'Top 250 HS'!C:C,0))</f>
        <v>0</v>
      </c>
      <c r="P29" s="13" t="str">
        <f ca="1">IFERROR(__xludf.DUMMYFUNCTION("SORTN(FILTER('Top 250 HS'!B:B,'Top 250 HS'!C:C=I29),1,0,randarray(COUNTA(FILTER('Top 250 HS'!B:B,'Top 250 HS'!C:C=I29)),1),TRUE)"),"Scotlandville (Baton Rouge)")</f>
        <v>Scotlandville (Baton Rouge)</v>
      </c>
      <c r="Q29" s="13" t="b">
        <f>ISNUMBER(MATCH("*"&amp;E29&amp;"*",'Top 1500 HS LatitudeLongitude'!G:G,0))</f>
        <v>1</v>
      </c>
      <c r="R29" s="13" t="str">
        <f ca="1">IFERROR(__xludf.DUMMYFUNCTION("IFS(L29=10,"""",Q29=false,"""",N29=5,"""",Q29=true,SORTN(FILTER('Top 1500 HS LatitudeLongitude'!B:B,'Top 1500 HS LatitudeLongitude'!C:C=I29,'Top 1500 HS LatitudeLongitude'!E:E=H29),1,0,randarray(COUNTA(FILTER('Top 1500 HS LatitudeLongitude'!B:B,'Top 1500 "&amp;"HS LatitudeLongitude'!C:C=I29,'Top 1500 HS LatitudeLongitude'!E:E=H29)),1),TRUE)
)"),"St. Thomas More (Lafayette)")</f>
        <v>St. Thomas More (Lafayette)</v>
      </c>
      <c r="S29" s="13" t="b">
        <f>ISNUMBER(MATCH("*"&amp;H:H&amp;"*",'Public Schools'!C:C,0))</f>
        <v>1</v>
      </c>
      <c r="T29" s="13" t="str">
        <f ca="1">IFERROR(__xludf.DUMMYFUNCTION("IFERROR(IF(AND(R29="""",S29=true), SORTN(FILTER('Public Schools'!A:A,'Public Schools'!B:B=J29,'Public Schools'!C:C=H29),1,0,randarray(COUNTA(FILTER('Public Schools'!A:A,'Public Schools'!B:B=J29,'Public Schools'!C:C=H29)),1),TRUE),""""),"""")"),"")</f>
        <v/>
      </c>
      <c r="U29" s="23" t="str">
        <f t="array" aca="1" ref="U29" ca="1">IF(AND(R29="",T29=""),INDEX('Top 1500 HS LatitudeLongitude'!B$2:B$1501,MATCH(MIN(SQRT(('Top 1500 HS LatitudeLongitude'!H$2:H$1501-F29)^2+('Top 1500 HS LatitudeLongitude'!I$2:I$1501-G29)^2)),SQRT( ('Top 1500 HS LatitudeLongitude'!H$2:H$1501-F29)^2+('Top 1500 HS LatitudeLongitude'!I$2:I$1501-G29)^2),0),1),"")</f>
        <v/>
      </c>
    </row>
    <row r="30" spans="2:21" ht="15.75" customHeight="1">
      <c r="B30" s="8">
        <v>2.728542804E-2</v>
      </c>
      <c r="C30" s="9" t="s">
        <v>47</v>
      </c>
      <c r="D30" s="9" t="s">
        <v>237</v>
      </c>
      <c r="E30" s="10" t="s">
        <v>151</v>
      </c>
      <c r="F30" s="8">
        <v>36.126899999999999</v>
      </c>
      <c r="G30" s="8">
        <v>-90.508600000000001</v>
      </c>
      <c r="H30" s="3" t="str">
        <f t="shared" si="0"/>
        <v>San Diego</v>
      </c>
      <c r="I30" s="3" t="str">
        <f t="shared" si="1"/>
        <v>CA</v>
      </c>
      <c r="J30" s="3" t="str">
        <f t="array" ref="J30">INDEX('State Abbreviations'!$B$2:$B$52,MATCH(I30,'State Abbreviations'!$A$2:$A$52,0))</f>
        <v>California</v>
      </c>
      <c r="K30" s="12" t="e">
        <f t="shared" ca="1" si="2"/>
        <v>#NAME?</v>
      </c>
      <c r="L30" s="13">
        <f t="shared" ca="1" si="3"/>
        <v>1</v>
      </c>
      <c r="M30" s="13" t="str">
        <f ca="1">IFERROR(__xludf.DUMMYFUNCTION("IF(AND(L30&gt;3,I30&lt;&gt;""AL"",I30&lt;&gt;""AK"",I30&lt;&gt;""AZ"",I30&lt;&gt;""AR"",I30&lt;&gt;""CA"",I30&lt;&gt;""CO"",I30&lt;&gt;""CT"",I30&lt;&gt;""DE"",I30&lt;&gt;""DC"",I30&lt;&gt;""FL"",I30&lt;&gt;""GA"",I30&lt;&gt;""HI"",I30&lt;&gt;""ID"",I30&lt;&gt;""IL"",I30&lt;&gt;""IN"",I30&lt;&gt;""IA"",I30&lt;&gt;""KS"",I30&lt;&gt;""KY"",I30&lt;&gt;""LA"",I30&lt;&gt;""ME"",I3"&amp;"0&lt;&gt;""MD"",I30&lt;&gt;""MA"",I30&lt;&gt;""MI"",I30&lt;&gt;""MN"",I30&lt;&gt;""MS"",I30&lt;&gt;""MO"",I30&lt;&gt;""MT"",I30&lt;&gt;""NE"",I30&lt;&gt;""NV"",I30&lt;&gt;""NH"",I30&lt;&gt;""NJ"",I30&lt;&gt;""NM"",I30&lt;&gt;""NY"",I30&lt;&gt;""NC"",I30&lt;&gt;""ND"",I30&lt;&gt;""OH"",I30&lt;&gt;""OK"",I30&lt;&gt;""OR"",I30&lt;&gt;""PA"",I30&lt;&gt;""RI"",I30&lt;&gt;""SC"",I30&lt;&gt;"&amp;"""SD"",I30&lt;&gt;""TN"",I30&lt;&gt;""TX"",I30&lt;&gt;""UT"",I30&lt;&gt;""VT"",I30&lt;&gt;""VA"",I30&lt;&gt;""WA"",I30&lt;&gt;""WV"",I30&lt;&gt;""WI"",I30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StateInternational'!$G$2:$G$121&lt;&gt;"""")},2,0)),IF(L30=10"&amp;",ArrayFormula(VLOOKUP(QUERY(UNIQUE(RANDBETWEEN(ROW(INDIRECT(""A1:A""&amp;COUNTA('Leaving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30" s="13">
        <f t="shared" ca="1" si="4"/>
        <v>5</v>
      </c>
      <c r="O30" s="13" t="b">
        <f>ISNUMBER(MATCH(C30,'Top 250 HS'!C:C,0))</f>
        <v>0</v>
      </c>
      <c r="P30" s="13" t="str">
        <f ca="1">IFERROR(__xludf.DUMMYFUNCTION("SORTN(FILTER('Top 250 HS'!B:B,'Top 250 HS'!C:C=I30),1,0,randarray(COUNTA(FILTER('Top 250 HS'!B:B,'Top 250 HS'!C:C=I30)),1),TRUE)"),"Campolindo (Moraga)")</f>
        <v>Campolindo (Moraga)</v>
      </c>
      <c r="Q30" s="13" t="b">
        <f>ISNUMBER(MATCH("*"&amp;E30&amp;"*",'Top 1500 HS LatitudeLongitude'!G:G,0))</f>
        <v>1</v>
      </c>
      <c r="R30" s="13" t="str">
        <f ca="1">IFERROR(__xludf.DUMMYFUNCTION("IFS(L30=10,"""",Q30=false,"""",N30=5,"""",Q30=true,SORTN(FILTER('Top 1500 HS LatitudeLongitude'!B:B,'Top 1500 HS LatitudeLongitude'!C:C=I30,'Top 1500 HS LatitudeLongitude'!E:E=H30),1,0,randarray(COUNTA(FILTER('Top 1500 HS LatitudeLongitude'!B:B,'Top 1500 "&amp;"HS LatitudeLongitude'!C:C=I30,'Top 1500 HS LatitudeLongitude'!E:E=H30)),1),TRUE)
)"),"St. Augustine (San Diego)")</f>
        <v>St. Augustine (San Diego)</v>
      </c>
      <c r="S30" s="13" t="b">
        <f>ISNUMBER(MATCH("*"&amp;H:H&amp;"*",'Public Schools'!C:C,0))</f>
        <v>1</v>
      </c>
      <c r="T30" s="13" t="str">
        <f ca="1">IFERROR(__xludf.DUMMYFUNCTION("IFERROR(IF(AND(R30="""",S30=true), SORTN(FILTER('Public Schools'!A:A,'Public Schools'!B:B=J30,'Public Schools'!C:C=H30),1,0,randarray(COUNTA(FILTER('Public Schools'!A:A,'Public Schools'!B:B=J30,'Public Schools'!C:C=H30)),1),TRUE),""""),"""")"),"")</f>
        <v/>
      </c>
      <c r="U30" s="23" t="str">
        <f t="array" aca="1" ref="U30" ca="1">IF(AND(R30="",T30=""),INDEX('Top 1500 HS LatitudeLongitude'!B$2:B$1501,MATCH(MIN(SQRT(('Top 1500 HS LatitudeLongitude'!H$2:H$1501-F30)^2+('Top 1500 HS LatitudeLongitude'!I$2:I$1501-G30)^2)),SQRT( ('Top 1500 HS LatitudeLongitude'!H$2:H$1501-F30)^2+('Top 1500 HS LatitudeLongitude'!I$2:I$1501-G30)^2),0),1),"")</f>
        <v/>
      </c>
    </row>
    <row r="31" spans="2:21" ht="15.6">
      <c r="B31" s="8">
        <v>0.83725509769999995</v>
      </c>
      <c r="C31" s="9" t="s">
        <v>238</v>
      </c>
      <c r="D31" s="9" t="s">
        <v>188</v>
      </c>
      <c r="E31" s="37" t="s">
        <v>672</v>
      </c>
      <c r="F31" s="8">
        <v>29.787099999999999</v>
      </c>
      <c r="G31" s="8">
        <v>-95.393600000000006</v>
      </c>
      <c r="H31" s="3" t="str">
        <f t="shared" si="0"/>
        <v>New York</v>
      </c>
      <c r="I31" s="3" t="str">
        <f t="shared" si="1"/>
        <v>NY</v>
      </c>
      <c r="J31" s="3" t="str">
        <f t="array" ref="J31">INDEX('State Abbreviations'!$B$2:$B$52,MATCH(I31,'State Abbreviations'!$A$2:$A$52,0))</f>
        <v>New York</v>
      </c>
      <c r="K31" s="94" t="e">
        <f t="shared" ca="1" si="2"/>
        <v>#NAME?</v>
      </c>
      <c r="L31" s="13">
        <f t="shared" ref="L31:L91" ca="1" si="5">RANDBETWEEN(1,20)</f>
        <v>19</v>
      </c>
      <c r="M31" s="13" t="str">
        <f ca="1">IFERROR(__xludf.DUMMYFUNCTION("IF(AND(L31&gt;3,I31&lt;&gt;""AL"",I31&lt;&gt;""AK"",I31&lt;&gt;""AZ"",I31&lt;&gt;""AR"",I31&lt;&gt;""CA"",I31&lt;&gt;""CO"",I31&lt;&gt;""CT"",I31&lt;&gt;""DE"",I31&lt;&gt;""DC"",I31&lt;&gt;""FL"",I31&lt;&gt;""GA"",I31&lt;&gt;""HI"",I31&lt;&gt;""ID"",I31&lt;&gt;""IL"",I31&lt;&gt;""IN"",I31&lt;&gt;""IA"",I31&lt;&gt;""KS"",I31&lt;&gt;""KY"",I31&lt;&gt;""LA"",I31&lt;&gt;""ME"",I3"&amp;"1&lt;&gt;""MD"",I31&lt;&gt;""MA"",I31&lt;&gt;""MI"",I31&lt;&gt;""MN"",I31&lt;&gt;""MS"",I31&lt;&gt;""MO"",I31&lt;&gt;""MT"",I31&lt;&gt;""NE"",I31&lt;&gt;""NV"",I31&lt;&gt;""NH"",I31&lt;&gt;""NJ"",I31&lt;&gt;""NM"",I31&lt;&gt;""NY"",I31&lt;&gt;""NC"",I31&lt;&gt;""ND"",I31&lt;&gt;""OH"",I31&lt;&gt;""OK"",I31&lt;&gt;""OR"",I31&lt;&gt;""PA"",I31&lt;&gt;""RI"",I31&lt;&gt;""SC"",I31&lt;&gt;"&amp;"""SD"",I31&lt;&gt;""TN"",I31&lt;&gt;""TX"",I31&lt;&gt;""UT"",I31&lt;&gt;""VT"",I31&lt;&gt;""VA"",I31&lt;&gt;""WA"",I31&lt;&gt;""WV"",I31&lt;&gt;""WI"",I31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StateInternational'!$G$2:$G$121&lt;&gt;"""")},2,0)),IF(L31=10"&amp;",ArrayFormula(VLOOKUP(QUERY(UNIQUE(RANDBETWEEN(ROW(INDIRECT(""A1:A""&amp;COUNTA('Leaving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31" s="13">
        <f t="shared" ref="N31:N75" ca="1" si="6">RANDBETWEEN(1,7)</f>
        <v>4</v>
      </c>
      <c r="O31" s="13" t="b">
        <f>ISNUMBER(MATCH(C31,'Top 250 HS'!C:C,0))</f>
        <v>0</v>
      </c>
      <c r="P31" s="13" t="str">
        <f ca="1">IFERROR(__xludf.DUMMYFUNCTION("SORTN(FILTER('Top 250 HS'!B:B,'Top 250 HS'!C:C=I31),1,0,randarray(COUNTA(FILTER('Top 250 HS'!B:B,'Top 250 HS'!C:C=I31)),1),TRUE)"),"Long Island Lutheran (Brookville)")</f>
        <v>Long Island Lutheran (Brookville)</v>
      </c>
      <c r="Q31" s="13" t="b">
        <f>ISNUMBER(MATCH("*"&amp;E31&amp;"*",'Top 1500 HS LatitudeLongitude'!G:G,0))</f>
        <v>0</v>
      </c>
      <c r="R31" s="13" t="str">
        <f ca="1">IFERROR(__xludf.DUMMYFUNCTION("IFS(L31=10,"""",Q31=false,"""",N31=5,"""",Q31=true,SORTN(FILTER('Top 1500 HS LatitudeLongitude'!B:B,'Top 1500 HS LatitudeLongitude'!C:C=I31,'Top 1500 HS LatitudeLongitude'!E:E=H31),1,0,randarray(COUNTA(FILTER('Top 1500 HS LatitudeLongitude'!B:B,'Top 1500 "&amp;"HS LatitudeLongitude'!C:C=I31,'Top 1500 HS LatitudeLongitude'!E:E=H31)),1),TRUE)
)"),"")</f>
        <v/>
      </c>
      <c r="S31" s="13" t="b">
        <f>ISNUMBER(MATCH("*"&amp;H:H&amp;"*",'Public Schools'!C:C,0))</f>
        <v>1</v>
      </c>
      <c r="T31" s="13" t="str">
        <f ca="1">IFERROR(__xludf.DUMMYFUNCTION("IFERROR(IF(AND(R31="""",S31=true), SORTN(FILTER('Public Schools'!A:A,'Public Schools'!B:B=J31,'Public Schools'!C:C=H31),1,0,randarray(COUNTA(FILTER('Public Schools'!A:A,'Public Schools'!B:B=J31,'Public Schools'!C:C=H31)),1),TRUE),""""),"""")"),"Innovation Diploma Plus")</f>
        <v>Innovation Diploma Plus</v>
      </c>
      <c r="U31" s="23" t="str">
        <f t="array" aca="1" ref="U31" ca="1">IF(AND(R31="",T31=""),INDEX('Top 1500 HS LatitudeLongitude'!B$2:B$1501,MATCH(MIN(SQRT(('Top 1500 HS LatitudeLongitude'!H$2:H$1501-F31)^2+('Top 1500 HS LatitudeLongitude'!I$2:I$1501-G31)^2)),SQRT( ('Top 1500 HS LatitudeLongitude'!H$2:H$1501-F31)^2+('Top 1500 HS LatitudeLongitude'!I$2:I$1501-G31)^2),0),1),"")</f>
        <v/>
      </c>
    </row>
    <row r="32" spans="2:21" ht="15.6">
      <c r="B32" s="8">
        <v>0.75648979599999999</v>
      </c>
      <c r="C32" s="24" t="s">
        <v>23</v>
      </c>
      <c r="D32" s="9" t="s">
        <v>239</v>
      </c>
      <c r="E32" s="95" t="s">
        <v>698</v>
      </c>
      <c r="F32" s="8">
        <v>40.861499999999999</v>
      </c>
      <c r="G32" s="8">
        <v>-76.787499999999994</v>
      </c>
      <c r="H32" s="3" t="str">
        <f t="shared" si="0"/>
        <v>Homer</v>
      </c>
      <c r="I32" s="3" t="str">
        <f t="shared" si="1"/>
        <v>MI</v>
      </c>
      <c r="J32" s="3" t="str">
        <f t="array" ref="J32">INDEX('State Abbreviations'!$B$2:$B$52,MATCH(I32,'State Abbreviations'!$A$2:$A$52,0))</f>
        <v>Michigan</v>
      </c>
      <c r="K32" s="94" t="e">
        <f t="shared" ca="1" si="2"/>
        <v>#NAME?</v>
      </c>
      <c r="L32" s="13">
        <f t="shared" ca="1" si="5"/>
        <v>7</v>
      </c>
      <c r="M32" s="13" t="str">
        <f ca="1">IFERROR(__xludf.DUMMYFUNCTION("IF(AND(L32&gt;3,I32&lt;&gt;""AL"",I32&lt;&gt;""AK"",I32&lt;&gt;""AZ"",I32&lt;&gt;""AR"",I32&lt;&gt;""CA"",I32&lt;&gt;""CO"",I32&lt;&gt;""CT"",I32&lt;&gt;""DE"",I32&lt;&gt;""DC"",I32&lt;&gt;""FL"",I32&lt;&gt;""GA"",I32&lt;&gt;""HI"",I32&lt;&gt;""ID"",I32&lt;&gt;""IL"",I32&lt;&gt;""IN"",I32&lt;&gt;""IA"",I32&lt;&gt;""KS"",I32&lt;&gt;""KY"",I32&lt;&gt;""LA"",I32&lt;&gt;""ME"",I3"&amp;"2&lt;&gt;""MD"",I32&lt;&gt;""MA"",I32&lt;&gt;""MI"",I32&lt;&gt;""MN"",I32&lt;&gt;""MS"",I32&lt;&gt;""MO"",I32&lt;&gt;""MT"",I32&lt;&gt;""NE"",I32&lt;&gt;""NV"",I32&lt;&gt;""NH"",I32&lt;&gt;""NJ"",I32&lt;&gt;""NM"",I32&lt;&gt;""NY"",I32&lt;&gt;""NC"",I32&lt;&gt;""ND"",I32&lt;&gt;""OH"",I32&lt;&gt;""OK"",I32&lt;&gt;""OR"",I32&lt;&gt;""PA"",I32&lt;&gt;""RI"",I32&lt;&gt;""SC"",I32&lt;&gt;"&amp;"""SD"",I32&lt;&gt;""TN"",I32&lt;&gt;""TX"",I32&lt;&gt;""UT"",I32&lt;&gt;""VT"",I32&lt;&gt;""VA"",I32&lt;&gt;""WA"",I32&lt;&gt;""WV"",I32&lt;&gt;""WI"",I32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StateInternational'!$G$2:$G$121&lt;&gt;"""")},2,0)),IF(L32=10"&amp;",ArrayFormula(VLOOKUP(QUERY(UNIQUE(RANDBETWEEN(ROW(INDIRECT(""A1:A""&amp;COUNTA('Leaving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32" s="13">
        <f t="shared" ca="1" si="6"/>
        <v>3</v>
      </c>
      <c r="O32" s="13" t="b">
        <f>ISNUMBER(MATCH(C32,'Top 250 HS'!C:C,0))</f>
        <v>0</v>
      </c>
      <c r="P32" s="13" t="str">
        <f ca="1">IFERROR(__xludf.DUMMYFUNCTION("SORTN(FILTER('Top 250 HS'!B:B,'Top 250 HS'!C:C=I32),1,0,randarray(COUNTA(FILTER('Top 250 HS'!B:B,'Top 250 HS'!C:C=I32)),1),TRUE)"),"Huron (Ann Arbor)")</f>
        <v>Huron (Ann Arbor)</v>
      </c>
      <c r="Q32" s="13" t="b">
        <f>ISNUMBER(MATCH("*"&amp;E32&amp;"*",'Top 1500 HS LatitudeLongitude'!G:G,0))</f>
        <v>0</v>
      </c>
      <c r="R32" s="13" t="str">
        <f ca="1">IFERROR(__xludf.DUMMYFUNCTION("IFS(L32=10,"""",Q32=false,"""",N32=5,"""",Q32=true,SORTN(FILTER('Top 1500 HS LatitudeLongitude'!B:B,'Top 1500 HS LatitudeLongitude'!C:C=I32,'Top 1500 HS LatitudeLongitude'!E:E=H32),1,0,randarray(COUNTA(FILTER('Top 1500 HS LatitudeLongitude'!B:B,'Top 1500 "&amp;"HS LatitudeLongitude'!C:C=I32,'Top 1500 HS LatitudeLongitude'!E:E=H32)),1),TRUE)
)"),"")</f>
        <v/>
      </c>
      <c r="S32" s="13" t="b">
        <f>ISNUMBER(MATCH("*"&amp;H:H&amp;"*",'Public Schools'!C:C,0))</f>
        <v>1</v>
      </c>
      <c r="T32" s="13" t="str">
        <f ca="1">IFERROR(__xludf.DUMMYFUNCTION("IFERROR(IF(AND(R32="""",S32=true), SORTN(FILTER('Public Schools'!A:A,'Public Schools'!B:B=J32,'Public Schools'!C:C=H32),1,0,randarray(COUNTA(FILTER('Public Schools'!A:A,'Public Schools'!B:B=J32,'Public Schools'!C:C=H32)),1),TRUE),""""),"""")"),"Homer Community High School")</f>
        <v>Homer Community High School</v>
      </c>
      <c r="U32" s="23" t="str">
        <f t="array" aca="1" ref="U32" ca="1">IF(AND(R32="",T32=""),INDEX('Top 1500 HS LatitudeLongitude'!B$2:B$1501,MATCH(MIN(SQRT(('Top 1500 HS LatitudeLongitude'!H$2:H$1501-F32)^2+('Top 1500 HS LatitudeLongitude'!I$2:I$1501-G32)^2)),SQRT( ('Top 1500 HS LatitudeLongitude'!H$2:H$1501-F32)^2+('Top 1500 HS LatitudeLongitude'!I$2:I$1501-G32)^2),0),1),"")</f>
        <v/>
      </c>
    </row>
    <row r="33" spans="2:21" ht="15.6">
      <c r="B33" s="8">
        <v>0.4712055772</v>
      </c>
      <c r="C33" s="24" t="s">
        <v>240</v>
      </c>
      <c r="D33" s="9" t="s">
        <v>241</v>
      </c>
      <c r="E33" s="31" t="s">
        <v>721</v>
      </c>
      <c r="F33" s="8">
        <v>42.275700000000001</v>
      </c>
      <c r="G33" s="8">
        <v>-83.731200000000001</v>
      </c>
      <c r="H33" s="3" t="str">
        <f t="shared" si="0"/>
        <v>London</v>
      </c>
      <c r="I33" s="3" t="str">
        <f t="shared" si="1"/>
        <v>England</v>
      </c>
      <c r="J33" s="3" t="e">
        <f t="array" ref="J33">INDEX('State Abbreviations'!$B$2:$B$52,MATCH(I33,'State Abbreviations'!$A$2:$A$52,0))</f>
        <v>#N/A</v>
      </c>
      <c r="K33" s="96" t="e">
        <f t="shared" ca="1" si="2"/>
        <v>#NAME?</v>
      </c>
      <c r="L33" s="13">
        <f t="shared" ca="1" si="5"/>
        <v>16</v>
      </c>
      <c r="M33" s="36" t="str">
        <f ca="1">IFERROR(__xludf.DUMMYFUNCTION("IF(AND(L33&gt;3,I33&lt;&gt;""AL"",I33&lt;&gt;""AK"",I33&lt;&gt;""AZ"",I33&lt;&gt;""AR"",I33&lt;&gt;""CA"",I33&lt;&gt;""CO"",I33&lt;&gt;""CT"",I33&lt;&gt;""DE"",I33&lt;&gt;""DC"",I33&lt;&gt;""FL"",I33&lt;&gt;""GA"",I33&lt;&gt;""HI"",I33&lt;&gt;""ID"",I33&lt;&gt;""IL"",I33&lt;&gt;""IN"",I33&lt;&gt;""IA"",I33&lt;&gt;""KS"",I33&lt;&gt;""KY"",I33&lt;&gt;""LA"",I33&lt;&gt;""ME"",I3"&amp;"3&lt;&gt;""MD"",I33&lt;&gt;""MA"",I33&lt;&gt;""MI"",I33&lt;&gt;""MN"",I33&lt;&gt;""MS"",I33&lt;&gt;""MO"",I33&lt;&gt;""MT"",I33&lt;&gt;""NE"",I33&lt;&gt;""NV"",I33&lt;&gt;""NH"",I33&lt;&gt;""NJ"",I33&lt;&gt;""NM"",I33&lt;&gt;""NY"",I33&lt;&gt;""NC"",I33&lt;&gt;""ND"",I33&lt;&gt;""OH"",I33&lt;&gt;""OK"",I33&lt;&gt;""OR"",I33&lt;&gt;""PA"",I33&lt;&gt;""RI"",I33&lt;&gt;""SC"",I33&lt;&gt;"&amp;"""SD"",I33&lt;&gt;""TN"",I33&lt;&gt;""TX"",I33&lt;&gt;""UT"",I33&lt;&gt;""VT"",I33&lt;&gt;""VA"",I33&lt;&gt;""WA"",I33&lt;&gt;""WV"",I33&lt;&gt;""WI"",I33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StateInternational'!$G$2:$G$121&lt;&gt;"""")},2,0)),IF(L33=10"&amp;",ArrayFormula(VLOOKUP(QUERY(UNIQUE(RANDBETWEEN(ROW(INDIRECT(""A1:A""&amp;COUNTA('Leaving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StateInternational'!$G$2:$G$121&lt;&gt;"""")},2,0)),""""))"),"Scotlandville (Baton Rouge)")</f>
        <v>Scotlandville (Baton Rouge)</v>
      </c>
      <c r="N33" s="13">
        <f t="shared" ca="1" si="6"/>
        <v>1</v>
      </c>
      <c r="O33" s="13" t="b">
        <f>ISNUMBER(MATCH(C33,'Top 250 HS'!C:C,0))</f>
        <v>0</v>
      </c>
      <c r="P33" s="13" t="str">
        <f ca="1">IFERROR(__xludf.DUMMYFUNCTION("SORTN(FILTER('Top 250 HS'!B:B,'Top 250 HS'!C:C=I33),1,0,randarray(COUNTA(FILTER('Top 250 HS'!B:B,'Top 250 HS'!C:C=I33)),1),TRUE)"),"#N/A")</f>
        <v>#N/A</v>
      </c>
      <c r="Q33" s="13" t="b">
        <f>ISNUMBER(MATCH("*"&amp;E33&amp;"*",'Top 1500 HS LatitudeLongitude'!G:G,0))</f>
        <v>0</v>
      </c>
      <c r="R33" s="13" t="str">
        <f ca="1">IFERROR(__xludf.DUMMYFUNCTION("IFS(L33=10,"""",Q33=false,"""",N33=5,"""",Q33=true,SORTN(FILTER('Top 1500 HS LatitudeLongitude'!B:B,'Top 1500 HS LatitudeLongitude'!C:C=I33,'Top 1500 HS LatitudeLongitude'!E:E=H33),1,0,randarray(COUNTA(FILTER('Top 1500 HS LatitudeLongitude'!B:B,'Top 1500 "&amp;"HS LatitudeLongitude'!C:C=I33,'Top 1500 HS LatitudeLongitude'!E:E=H33)),1),TRUE)
)"),"")</f>
        <v/>
      </c>
      <c r="S33" s="13" t="b">
        <f>ISNUMBER(MATCH("*"&amp;H:H&amp;"*",'Public Schools'!C:C,0))</f>
        <v>1</v>
      </c>
      <c r="T33" s="13" t="str">
        <f ca="1">IFERROR(__xludf.DUMMYFUNCTION("IFERROR(IF(AND(R33="""",S33=true), SORTN(FILTER('Public Schools'!A:A,'Public Schools'!B:B=J33,'Public Schools'!C:C=H33),1,0,randarray(COUNTA(FILTER('Public Schools'!A:A,'Public Schools'!B:B=J33,'Public Schools'!C:C=H33)),1),TRUE),""""),"""")"),"")</f>
        <v/>
      </c>
      <c r="U33" s="23" t="str">
        <f t="array" aca="1" ref="U33" ca="1">IF(AND(R33="",T33=""),INDEX('Top 1500 HS LatitudeLongitude'!B$2:B$1501,MATCH(MIN(SQRT(('Top 1500 HS LatitudeLongitude'!H$2:H$1501-F33)^2+('Top 1500 HS LatitudeLongitude'!I$2:I$1501-G33)^2)),SQRT( ('Top 1500 HS LatitudeLongitude'!H$2:H$1501-F33)^2+('Top 1500 HS LatitudeLongitude'!I$2:I$1501-G33)^2),0),1),"")</f>
        <v>Huron (Ann Arbor)</v>
      </c>
    </row>
    <row r="34" spans="2:21" ht="15.6">
      <c r="B34" s="8">
        <v>0.56631170819999999</v>
      </c>
      <c r="C34" s="9" t="s">
        <v>228</v>
      </c>
      <c r="D34" s="9" t="s">
        <v>242</v>
      </c>
      <c r="E34" s="98" t="s">
        <v>163</v>
      </c>
      <c r="F34" s="8">
        <v>35.119599999999998</v>
      </c>
      <c r="G34" s="8">
        <v>-80.710099999999997</v>
      </c>
      <c r="H34" s="3" t="str">
        <f t="shared" si="0"/>
        <v>Baltimore</v>
      </c>
      <c r="I34" s="3" t="str">
        <f t="shared" si="1"/>
        <v>MD</v>
      </c>
      <c r="J34" s="3" t="str">
        <f t="array" ref="J34">INDEX('State Abbreviations'!$B$2:$B$52,MATCH(I34,'State Abbreviations'!$A$2:$A$52,0))</f>
        <v>Maryland</v>
      </c>
      <c r="K34" s="94" t="e">
        <f t="shared" ca="1" si="2"/>
        <v>#NAME?</v>
      </c>
      <c r="L34" s="13">
        <f t="shared" ca="1" si="5"/>
        <v>6</v>
      </c>
      <c r="M34" s="13" t="str">
        <f ca="1">IFERROR(__xludf.DUMMYFUNCTION("IF(AND(L34&gt;3,I34&lt;&gt;""AL"",I34&lt;&gt;""AK"",I34&lt;&gt;""AZ"",I34&lt;&gt;""AR"",I34&lt;&gt;""CA"",I34&lt;&gt;""CO"",I34&lt;&gt;""CT"",I34&lt;&gt;""DE"",I34&lt;&gt;""DC"",I34&lt;&gt;""FL"",I34&lt;&gt;""GA"",I34&lt;&gt;""HI"",I34&lt;&gt;""ID"",I34&lt;&gt;""IL"",I34&lt;&gt;""IN"",I34&lt;&gt;""IA"",I34&lt;&gt;""KS"",I34&lt;&gt;""KY"",I34&lt;&gt;""LA"",I34&lt;&gt;""ME"",I3"&amp;"4&lt;&gt;""MD"",I34&lt;&gt;""MA"",I34&lt;&gt;""MI"",I34&lt;&gt;""MN"",I34&lt;&gt;""MS"",I34&lt;&gt;""MO"",I34&lt;&gt;""MT"",I34&lt;&gt;""NE"",I34&lt;&gt;""NV"",I34&lt;&gt;""NH"",I34&lt;&gt;""NJ"",I34&lt;&gt;""NM"",I34&lt;&gt;""NY"",I34&lt;&gt;""NC"",I34&lt;&gt;""ND"",I34&lt;&gt;""OH"",I34&lt;&gt;""OK"",I34&lt;&gt;""OR"",I34&lt;&gt;""PA"",I34&lt;&gt;""RI"",I34&lt;&gt;""SC"",I34&lt;&gt;"&amp;"""SD"",I34&lt;&gt;""TN"",I34&lt;&gt;""TX"",I34&lt;&gt;""UT"",I34&lt;&gt;""VT"",I34&lt;&gt;""VA"",I34&lt;&gt;""WA"",I34&lt;&gt;""WV"",I34&lt;&gt;""WI"",I34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StateInternational'!$G$2:$G$121&lt;&gt;"""")},2,0)),IF(L34=10"&amp;",ArrayFormula(VLOOKUP(QUERY(UNIQUE(RANDBETWEEN(ROW(INDIRECT(""A1:A""&amp;COUNTA('Leaving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34" s="13">
        <f t="shared" ca="1" si="6"/>
        <v>4</v>
      </c>
      <c r="O34" s="13" t="b">
        <f>ISNUMBER(MATCH(C34,'Top 250 HS'!C:C,0))</f>
        <v>0</v>
      </c>
      <c r="P34" s="13" t="str">
        <f ca="1">IFERROR(__xludf.DUMMYFUNCTION("SORTN(FILTER('Top 250 HS'!B:B,'Top 250 HS'!C:C=I34),1,0,randarray(COUNTA(FILTER('Top 250 HS'!B:B,'Top 250 HS'!C:C=I34)),1),TRUE)"),"DeMatha (Hyattsville)")</f>
        <v>DeMatha (Hyattsville)</v>
      </c>
      <c r="Q34" s="13" t="b">
        <f>ISNUMBER(MATCH("*"&amp;E34&amp;"*",'Top 1500 HS LatitudeLongitude'!G:G,0))</f>
        <v>1</v>
      </c>
      <c r="R34" s="13" t="str">
        <f ca="1">IFERROR(__xludf.DUMMYFUNCTION("IFS(L34=10,"""",Q34=false,"""",N34=5,"""",Q34=true,SORTN(FILTER('Top 1500 HS LatitudeLongitude'!B:B,'Top 1500 HS LatitudeLongitude'!C:C=I34,'Top 1500 HS LatitudeLongitude'!E:E=H34),1,0,randarray(COUNTA(FILTER('Top 1500 HS LatitudeLongitude'!B:B,'Top 1500 "&amp;"HS LatitudeLongitude'!C:C=I34,'Top 1500 HS LatitudeLongitude'!E:E=H34)),1),TRUE)
)"),"Lake Clifton (Baltimore)")</f>
        <v>Lake Clifton (Baltimore)</v>
      </c>
      <c r="S34" s="13" t="b">
        <f>ISNUMBER(MATCH("*"&amp;H:H&amp;"*",'Public Schools'!C:C,0))</f>
        <v>1</v>
      </c>
      <c r="T34" s="13" t="str">
        <f ca="1">IFERROR(__xludf.DUMMYFUNCTION("IFERROR(IF(AND(R34="""",S34=true), SORTN(FILTER('Public Schools'!A:A,'Public Schools'!B:B=J34,'Public Schools'!C:C=H34),1,0,randarray(COUNTA(FILTER('Public Schools'!A:A,'Public Schools'!B:B=J34,'Public Schools'!C:C=H34)),1),TRUE),""""),"""")"),"")</f>
        <v/>
      </c>
      <c r="U34" s="23" t="str">
        <f t="array" aca="1" ref="U34" ca="1">IF(AND(R34="",T34=""),INDEX('Top 1500 HS LatitudeLongitude'!B$2:B$1501,MATCH(MIN(SQRT(('Top 1500 HS LatitudeLongitude'!H$2:H$1501-F34)^2+('Top 1500 HS LatitudeLongitude'!I$2:I$1501-G34)^2)),SQRT( ('Top 1500 HS LatitudeLongitude'!H$2:H$1501-F34)^2+('Top 1500 HS LatitudeLongitude'!I$2:I$1501-G34)^2),0),1),"")</f>
        <v/>
      </c>
    </row>
    <row r="35" spans="2:21" ht="15.6">
      <c r="B35" s="8">
        <v>0.79366229749999995</v>
      </c>
      <c r="C35" s="9" t="s">
        <v>243</v>
      </c>
      <c r="D35" s="9" t="s">
        <v>244</v>
      </c>
      <c r="E35" s="37" t="s">
        <v>760</v>
      </c>
      <c r="F35" s="8">
        <v>35.104700000000001</v>
      </c>
      <c r="G35" s="8">
        <v>-89.9773</v>
      </c>
      <c r="H35" s="3" t="str">
        <f t="shared" si="0"/>
        <v>Allentown</v>
      </c>
      <c r="I35" s="3" t="str">
        <f t="shared" si="1"/>
        <v>PA</v>
      </c>
      <c r="J35" s="3" t="str">
        <f t="array" ref="J35">INDEX('State Abbreviations'!$B$2:$B$52,MATCH(I35,'State Abbreviations'!$A$2:$A$52,0))</f>
        <v>Pennsylvania</v>
      </c>
      <c r="K35" s="94" t="e">
        <f t="shared" ca="1" si="2"/>
        <v>#NAME?</v>
      </c>
      <c r="L35" s="13">
        <f t="shared" ca="1" si="5"/>
        <v>11</v>
      </c>
      <c r="M35" s="13" t="str">
        <f ca="1">IFERROR(__xludf.DUMMYFUNCTION("IF(AND(L35&gt;3,I35&lt;&gt;""AL"",I35&lt;&gt;""AK"",I35&lt;&gt;""AZ"",I35&lt;&gt;""AR"",I35&lt;&gt;""CA"",I35&lt;&gt;""CO"",I35&lt;&gt;""CT"",I35&lt;&gt;""DE"",I35&lt;&gt;""DC"",I35&lt;&gt;""FL"",I35&lt;&gt;""GA"",I35&lt;&gt;""HI"",I35&lt;&gt;""ID"",I35&lt;&gt;""IL"",I35&lt;&gt;""IN"",I35&lt;&gt;""IA"",I35&lt;&gt;""KS"",I35&lt;&gt;""KY"",I35&lt;&gt;""LA"",I35&lt;&gt;""ME"",I3"&amp;"5&lt;&gt;""MD"",I35&lt;&gt;""MA"",I35&lt;&gt;""MI"",I35&lt;&gt;""MN"",I35&lt;&gt;""MS"",I35&lt;&gt;""MO"",I35&lt;&gt;""MT"",I35&lt;&gt;""NE"",I35&lt;&gt;""NV"",I35&lt;&gt;""NH"",I35&lt;&gt;""NJ"",I35&lt;&gt;""NM"",I35&lt;&gt;""NY"",I35&lt;&gt;""NC"",I35&lt;&gt;""ND"",I35&lt;&gt;""OH"",I35&lt;&gt;""OK"",I35&lt;&gt;""OR"",I35&lt;&gt;""PA"",I35&lt;&gt;""RI"",I35&lt;&gt;""SC"",I35&lt;&gt;"&amp;"""SD"",I35&lt;&gt;""TN"",I35&lt;&gt;""TX"",I35&lt;&gt;""UT"",I35&lt;&gt;""VT"",I35&lt;&gt;""VA"",I35&lt;&gt;""WA"",I35&lt;&gt;""WV"",I35&lt;&gt;""WI"",I35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StateInternational'!$G$2:$G$121&lt;&gt;"""")},2,0)),IF(L35=10"&amp;",ArrayFormula(VLOOKUP(QUERY(UNIQUE(RANDBETWEEN(ROW(INDIRECT(""A1:A""&amp;COUNTA('Leaving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35" s="13">
        <f t="shared" ca="1" si="6"/>
        <v>6</v>
      </c>
      <c r="O35" s="13" t="b">
        <f>ISNUMBER(MATCH(C35,'Top 250 HS'!C:C,0))</f>
        <v>0</v>
      </c>
      <c r="P35" s="13" t="str">
        <f ca="1">IFERROR(__xludf.DUMMYFUNCTION("SORTN(FILTER('Top 250 HS'!B:B,'Top 250 HS'!C:C=I35),1,0,randarray(COUNTA(FILTER('Top 250 HS'!B:B,'Top 250 HS'!C:C=I35)),1),TRUE)"),"Wilson (West Lawn)")</f>
        <v>Wilson (West Lawn)</v>
      </c>
      <c r="Q35" s="13" t="b">
        <f>ISNUMBER(MATCH("*"&amp;E35&amp;"*",'Top 1500 HS LatitudeLongitude'!G:G,0))</f>
        <v>1</v>
      </c>
      <c r="R35" s="13" t="str">
        <f ca="1">IFERROR(__xludf.DUMMYFUNCTION("IFS(L35=10,"""",Q35=false,"""",N35=5,"""",Q35=true,SORTN(FILTER('Top 1500 HS LatitudeLongitude'!B:B,'Top 1500 HS LatitudeLongitude'!C:C=I35,'Top 1500 HS LatitudeLongitude'!E:E=H35),1,0,randarray(COUNTA(FILTER('Top 1500 HS LatitudeLongitude'!B:B,'Top 1500 "&amp;"HS LatitudeLongitude'!C:C=I35,'Top 1500 HS LatitudeLongitude'!E:E=H35)),1),TRUE)
)"),"William Allen (Allentown)")</f>
        <v>William Allen (Allentown)</v>
      </c>
      <c r="S35" s="13" t="b">
        <f>ISNUMBER(MATCH("*"&amp;H:H&amp;"*",'Public Schools'!C:C,0))</f>
        <v>1</v>
      </c>
      <c r="T35" s="13" t="str">
        <f ca="1">IFERROR(__xludf.DUMMYFUNCTION("IFERROR(IF(AND(R35="""",S35=true), SORTN(FILTER('Public Schools'!A:A,'Public Schools'!B:B=J35,'Public Schools'!C:C=H35),1,0,randarray(COUNTA(FILTER('Public Schools'!A:A,'Public Schools'!B:B=J35,'Public Schools'!C:C=H35)),1),TRUE),""""),"""")"),"")</f>
        <v/>
      </c>
      <c r="U35" s="23" t="str">
        <f t="array" aca="1" ref="U35" ca="1">IF(AND(R35="",T35=""),INDEX('Top 1500 HS LatitudeLongitude'!B$2:B$1501,MATCH(MIN(SQRT(('Top 1500 HS LatitudeLongitude'!H$2:H$1501-F35)^2+('Top 1500 HS LatitudeLongitude'!I$2:I$1501-G35)^2)),SQRT( ('Top 1500 HS LatitudeLongitude'!H$2:H$1501-F35)^2+('Top 1500 HS LatitudeLongitude'!I$2:I$1501-G35)^2),0),1),"")</f>
        <v/>
      </c>
    </row>
    <row r="36" spans="2:21" ht="15.6">
      <c r="B36" s="8">
        <v>0.143774123</v>
      </c>
      <c r="C36" s="9" t="s">
        <v>245</v>
      </c>
      <c r="D36" s="9" t="s">
        <v>246</v>
      </c>
      <c r="E36" s="98" t="s">
        <v>784</v>
      </c>
      <c r="F36" s="8">
        <v>41.190899999999999</v>
      </c>
      <c r="G36" s="8">
        <v>-73.195800000000006</v>
      </c>
      <c r="H36" s="3" t="str">
        <f t="shared" si="0"/>
        <v>Kent</v>
      </c>
      <c r="I36" s="3" t="str">
        <f t="shared" si="1"/>
        <v>WA</v>
      </c>
      <c r="J36" s="3" t="str">
        <f t="array" ref="J36">INDEX('State Abbreviations'!$B$2:$B$52,MATCH(I36,'State Abbreviations'!$A$2:$A$52,0))</f>
        <v>Washington</v>
      </c>
      <c r="K36" s="94" t="e">
        <f t="shared" ca="1" si="2"/>
        <v>#NAME?</v>
      </c>
      <c r="L36" s="13">
        <f t="shared" ca="1" si="5"/>
        <v>14</v>
      </c>
      <c r="M36" s="13" t="str">
        <f ca="1">IFERROR(__xludf.DUMMYFUNCTION("IF(AND(L36&gt;3,I36&lt;&gt;""AL"",I36&lt;&gt;""AK"",I36&lt;&gt;""AZ"",I36&lt;&gt;""AR"",I36&lt;&gt;""CA"",I36&lt;&gt;""CO"",I36&lt;&gt;""CT"",I36&lt;&gt;""DE"",I36&lt;&gt;""DC"",I36&lt;&gt;""FL"",I36&lt;&gt;""GA"",I36&lt;&gt;""HI"",I36&lt;&gt;""ID"",I36&lt;&gt;""IL"",I36&lt;&gt;""IN"",I36&lt;&gt;""IA"",I36&lt;&gt;""KS"",I36&lt;&gt;""KY"",I36&lt;&gt;""LA"",I36&lt;&gt;""ME"",I3"&amp;"6&lt;&gt;""MD"",I36&lt;&gt;""MA"",I36&lt;&gt;""MI"",I36&lt;&gt;""MN"",I36&lt;&gt;""MS"",I36&lt;&gt;""MO"",I36&lt;&gt;""MT"",I36&lt;&gt;""NE"",I36&lt;&gt;""NV"",I36&lt;&gt;""NH"",I36&lt;&gt;""NJ"",I36&lt;&gt;""NM"",I36&lt;&gt;""NY"",I36&lt;&gt;""NC"",I36&lt;&gt;""ND"",I36&lt;&gt;""OH"",I36&lt;&gt;""OK"",I36&lt;&gt;""OR"",I36&lt;&gt;""PA"",I36&lt;&gt;""RI"",I36&lt;&gt;""SC"",I36&lt;&gt;"&amp;"""SD"",I36&lt;&gt;""TN"",I36&lt;&gt;""TX"",I36&lt;&gt;""UT"",I36&lt;&gt;""VT"",I36&lt;&gt;""VA"",I36&lt;&gt;""WA"",I36&lt;&gt;""WV"",I36&lt;&gt;""WI"",I36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StateInternational'!$G$2:$G$121&lt;&gt;"""")},2,0)),IF(L36=10"&amp;",ArrayFormula(VLOOKUP(QUERY(UNIQUE(RANDBETWEEN(ROW(INDIRECT(""A1:A""&amp;COUNTA('Leaving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36" s="13">
        <f t="shared" ca="1" si="6"/>
        <v>4</v>
      </c>
      <c r="O36" s="13" t="b">
        <f>ISNUMBER(MATCH(C36,'Top 250 HS'!C:C,0))</f>
        <v>0</v>
      </c>
      <c r="P36" s="13" t="str">
        <f ca="1">IFERROR(__xludf.DUMMYFUNCTION("SORTN(FILTER('Top 250 HS'!B:B,'Top 250 HS'!C:C=I36),1,0,randarray(COUNTA(FILTER('Top 250 HS'!B:B,'Top 250 HS'!C:C=I36)),1),TRUE)"),"Garfield (Seattle)")</f>
        <v>Garfield (Seattle)</v>
      </c>
      <c r="Q36" s="13" t="b">
        <f>ISNUMBER(MATCH("*"&amp;E36&amp;"*",'Top 1500 HS LatitudeLongitude'!G:G,0))</f>
        <v>0</v>
      </c>
      <c r="R36" s="13" t="str">
        <f ca="1">IFERROR(__xludf.DUMMYFUNCTION("IFS(L36=10,"""",Q36=false,"""",N36=5,"""",Q36=true,SORTN(FILTER('Top 1500 HS LatitudeLongitude'!B:B,'Top 1500 HS LatitudeLongitude'!C:C=I36,'Top 1500 HS LatitudeLongitude'!E:E=H36),1,0,randarray(COUNTA(FILTER('Top 1500 HS LatitudeLongitude'!B:B,'Top 1500 "&amp;"HS LatitudeLongitude'!C:C=I36,'Top 1500 HS LatitudeLongitude'!E:E=H36)),1),TRUE)
)"),"")</f>
        <v/>
      </c>
      <c r="S36" s="13" t="b">
        <f>ISNUMBER(MATCH("*"&amp;H:H&amp;"*",'Public Schools'!C:C,0))</f>
        <v>1</v>
      </c>
      <c r="T36" s="13" t="str">
        <f ca="1">IFERROR(__xludf.DUMMYFUNCTION("IFERROR(IF(AND(R36="""",S36=true), SORTN(FILTER('Public Schools'!A:A,'Public Schools'!B:B=J36,'Public Schools'!C:C=H36),1,0,randarray(COUNTA(FILTER('Public Schools'!A:A,'Public Schools'!B:B=J36,'Public Schools'!C:C=H36)),1),TRUE),""""),"""")"),"Kentridge High School")</f>
        <v>Kentridge High School</v>
      </c>
      <c r="U36" s="23" t="str">
        <f t="array" aca="1" ref="U36" ca="1">IF(AND(R36="",T36=""),INDEX('Top 1500 HS LatitudeLongitude'!B$2:B$1501,MATCH(MIN(SQRT(('Top 1500 HS LatitudeLongitude'!H$2:H$1501-F36)^2+('Top 1500 HS LatitudeLongitude'!I$2:I$1501-G36)^2)),SQRT( ('Top 1500 HS LatitudeLongitude'!H$2:H$1501-F36)^2+('Top 1500 HS LatitudeLongitude'!I$2:I$1501-G36)^2),0),1),"")</f>
        <v/>
      </c>
    </row>
    <row r="37" spans="2:21" ht="15.6">
      <c r="B37" s="8">
        <v>0.23305638740000001</v>
      </c>
      <c r="C37" s="9" t="s">
        <v>247</v>
      </c>
      <c r="D37" s="9" t="s">
        <v>248</v>
      </c>
      <c r="E37" s="37" t="s">
        <v>812</v>
      </c>
      <c r="F37" s="8">
        <v>34.033299999999997</v>
      </c>
      <c r="G37" s="8">
        <v>-84.202699999999993</v>
      </c>
      <c r="H37" s="3" t="str">
        <f t="shared" si="0"/>
        <v>Lyndon</v>
      </c>
      <c r="I37" s="3" t="str">
        <f t="shared" si="1"/>
        <v>KY</v>
      </c>
      <c r="J37" s="3" t="str">
        <f t="array" ref="J37">INDEX('State Abbreviations'!$B$2:$B$52,MATCH(I37,'State Abbreviations'!$A$2:$A$52,0))</f>
        <v>Kentucky</v>
      </c>
      <c r="K37" s="94" t="e">
        <f t="shared" ca="1" si="2"/>
        <v>#NAME?</v>
      </c>
      <c r="L37" s="13">
        <f t="shared" ca="1" si="5"/>
        <v>13</v>
      </c>
      <c r="M37" s="13" t="str">
        <f ca="1">IFERROR(__xludf.DUMMYFUNCTION("IF(AND(L37&gt;3,I37&lt;&gt;""AL"",I37&lt;&gt;""AK"",I37&lt;&gt;""AZ"",I37&lt;&gt;""AR"",I37&lt;&gt;""CA"",I37&lt;&gt;""CO"",I37&lt;&gt;""CT"",I37&lt;&gt;""DE"",I37&lt;&gt;""DC"",I37&lt;&gt;""FL"",I37&lt;&gt;""GA"",I37&lt;&gt;""HI"",I37&lt;&gt;""ID"",I37&lt;&gt;""IL"",I37&lt;&gt;""IN"",I37&lt;&gt;""IA"",I37&lt;&gt;""KS"",I37&lt;&gt;""KY"",I37&lt;&gt;""LA"",I37&lt;&gt;""ME"",I3"&amp;"7&lt;&gt;""MD"",I37&lt;&gt;""MA"",I37&lt;&gt;""MI"",I37&lt;&gt;""MN"",I37&lt;&gt;""MS"",I37&lt;&gt;""MO"",I37&lt;&gt;""MT"",I37&lt;&gt;""NE"",I37&lt;&gt;""NV"",I37&lt;&gt;""NH"",I37&lt;&gt;""NJ"",I37&lt;&gt;""NM"",I37&lt;&gt;""NY"",I37&lt;&gt;""NC"",I37&lt;&gt;""ND"",I37&lt;&gt;""OH"",I37&lt;&gt;""OK"",I37&lt;&gt;""OR"",I37&lt;&gt;""PA"",I37&lt;&gt;""RI"",I37&lt;&gt;""SC"",I37&lt;&gt;"&amp;"""SD"",I37&lt;&gt;""TN"",I37&lt;&gt;""TX"",I37&lt;&gt;""UT"",I37&lt;&gt;""VT"",I37&lt;&gt;""VA"",I37&lt;&gt;""WA"",I37&lt;&gt;""WV"",I37&lt;&gt;""WI"",I37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StateInternational'!$G$2:$G$121&lt;&gt;"""")},2,0)),IF(L37=10"&amp;",ArrayFormula(VLOOKUP(QUERY(UNIQUE(RANDBETWEEN(ROW(INDIRECT(""A1:A""&amp;COUNTA('Leaving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37" s="13">
        <f t="shared" ca="1" si="6"/>
        <v>3</v>
      </c>
      <c r="O37" s="13" t="b">
        <f>ISNUMBER(MATCH(C37,'Top 250 HS'!C:C,0))</f>
        <v>0</v>
      </c>
      <c r="P37" s="13" t="str">
        <f ca="1">IFERROR(__xludf.DUMMYFUNCTION("SORTN(FILTER('Top 250 HS'!B:B,'Top 250 HS'!C:C=I37),1,0,randarray(COUNTA(FILTER('Top 250 HS'!B:B,'Top 250 HS'!C:C=I37)),1),TRUE)"),"Male (Louisville)")</f>
        <v>Male (Louisville)</v>
      </c>
      <c r="Q37" s="13" t="b">
        <f>ISNUMBER(MATCH("*"&amp;E37&amp;"*",'Top 1500 HS LatitudeLongitude'!G:G,0))</f>
        <v>0</v>
      </c>
      <c r="R37" s="13" t="str">
        <f ca="1">IFERROR(__xludf.DUMMYFUNCTION("IFS(L37=10,"""",Q37=false,"""",N37=5,"""",Q37=true,SORTN(FILTER('Top 1500 HS LatitudeLongitude'!B:B,'Top 1500 HS LatitudeLongitude'!C:C=I37,'Top 1500 HS LatitudeLongitude'!E:E=H37),1,0,randarray(COUNTA(FILTER('Top 1500 HS LatitudeLongitude'!B:B,'Top 1500 "&amp;"HS LatitudeLongitude'!C:C=I37,'Top 1500 HS LatitudeLongitude'!E:E=H37)),1),TRUE)
)"),"")</f>
        <v/>
      </c>
      <c r="S37" s="13" t="b">
        <f>ISNUMBER(MATCH("*"&amp;H:H&amp;"*",'Public Schools'!C:C,0))</f>
        <v>1</v>
      </c>
      <c r="T37" s="13" t="str">
        <f ca="1">IFERROR(__xludf.DUMMYFUNCTION("IFERROR(IF(AND(R37="""",S37=true), SORTN(FILTER('Public Schools'!A:A,'Public Schools'!B:B=J37,'Public Schools'!C:C=H37),1,0,randarray(COUNTA(FILTER('Public Schools'!A:A,'Public Schools'!B:B=J37,'Public Schools'!C:C=H37)),1),TRUE),""""),"""")"),"")</f>
        <v/>
      </c>
      <c r="U37" s="23" t="str">
        <f t="array" aca="1" ref="U37" ca="1">IF(AND(R37="",T37=""),INDEX('Top 1500 HS LatitudeLongitude'!B$2:B$1501,MATCH(MIN(SQRT(('Top 1500 HS LatitudeLongitude'!H$2:H$1501-F37)^2+('Top 1500 HS LatitudeLongitude'!I$2:I$1501-G37)^2)),SQRT( ('Top 1500 HS LatitudeLongitude'!H$2:H$1501-F37)^2+('Top 1500 HS LatitudeLongitude'!I$2:I$1501-G37)^2),0),1),"")</f>
        <v>Chattahoochee (Alpharetta)</v>
      </c>
    </row>
    <row r="38" spans="2:21" ht="15.6">
      <c r="B38" s="8">
        <v>0.43180222639999999</v>
      </c>
      <c r="C38" s="9" t="s">
        <v>249</v>
      </c>
      <c r="D38" s="9" t="s">
        <v>250</v>
      </c>
      <c r="E38" s="98" t="s">
        <v>838</v>
      </c>
      <c r="F38" s="8">
        <v>39.305100000000003</v>
      </c>
      <c r="G38" s="8">
        <v>-76.614400000000003</v>
      </c>
      <c r="H38" s="3" t="str">
        <f t="shared" si="0"/>
        <v>Pittsboro</v>
      </c>
      <c r="I38" s="3" t="str">
        <f t="shared" si="1"/>
        <v>NC</v>
      </c>
      <c r="J38" s="3" t="str">
        <f t="array" ref="J38">INDEX('State Abbreviations'!$B$2:$B$52,MATCH(I38,'State Abbreviations'!$A$2:$A$52,0))</f>
        <v>North Carolina</v>
      </c>
      <c r="K38" s="94" t="e">
        <f t="shared" ca="1" si="2"/>
        <v>#NAME?</v>
      </c>
      <c r="L38" s="13">
        <f t="shared" ca="1" si="5"/>
        <v>7</v>
      </c>
      <c r="M38" s="13" t="str">
        <f ca="1">IFERROR(__xludf.DUMMYFUNCTION("IF(AND(L38&gt;3,I38&lt;&gt;""AL"",I38&lt;&gt;""AK"",I38&lt;&gt;""AZ"",I38&lt;&gt;""AR"",I38&lt;&gt;""CA"",I38&lt;&gt;""CO"",I38&lt;&gt;""CT"",I38&lt;&gt;""DE"",I38&lt;&gt;""DC"",I38&lt;&gt;""FL"",I38&lt;&gt;""GA"",I38&lt;&gt;""HI"",I38&lt;&gt;""ID"",I38&lt;&gt;""IL"",I38&lt;&gt;""IN"",I38&lt;&gt;""IA"",I38&lt;&gt;""KS"",I38&lt;&gt;""KY"",I38&lt;&gt;""LA"",I38&lt;&gt;""ME"",I3"&amp;"8&lt;&gt;""MD"",I38&lt;&gt;""MA"",I38&lt;&gt;""MI"",I38&lt;&gt;""MN"",I38&lt;&gt;""MS"",I38&lt;&gt;""MO"",I38&lt;&gt;""MT"",I38&lt;&gt;""NE"",I38&lt;&gt;""NV"",I38&lt;&gt;""NH"",I38&lt;&gt;""NJ"",I38&lt;&gt;""NM"",I38&lt;&gt;""NY"",I38&lt;&gt;""NC"",I38&lt;&gt;""ND"",I38&lt;&gt;""OH"",I38&lt;&gt;""OK"",I38&lt;&gt;""OR"",I38&lt;&gt;""PA"",I38&lt;&gt;""RI"",I38&lt;&gt;""SC"",I38&lt;&gt;"&amp;"""SD"",I38&lt;&gt;""TN"",I38&lt;&gt;""TX"",I38&lt;&gt;""UT"",I38&lt;&gt;""VT"",I38&lt;&gt;""VA"",I38&lt;&gt;""WA"",I38&lt;&gt;""WV"",I38&lt;&gt;""WI"",I38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StateInternational'!$G$2:$G$121&lt;&gt;"""")},2,0)),IF(L38=10"&amp;",ArrayFormula(VLOOKUP(QUERY(UNIQUE(RANDBETWEEN(ROW(INDIRECT(""A1:A""&amp;COUNTA('Leaving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38" s="13">
        <f t="shared" ca="1" si="6"/>
        <v>5</v>
      </c>
      <c r="O38" s="13" t="b">
        <f>ISNUMBER(MATCH(C38,'Top 250 HS'!C:C,0))</f>
        <v>0</v>
      </c>
      <c r="P38" s="13" t="str">
        <f ca="1">IFERROR(__xludf.DUMMYFUNCTION("SORTN(FILTER('Top 250 HS'!B:B,'Top 250 HS'!C:C=I38),1,0,randarray(COUNTA(FILTER('Top 250 HS'!B:B,'Top 250 HS'!C:C=I38)),1),TRUE)"),"North Mecklenburg (Huntersville)")</f>
        <v>North Mecklenburg (Huntersville)</v>
      </c>
      <c r="Q38" s="13" t="b">
        <f>ISNUMBER(MATCH("*"&amp;E38&amp;"*",'Top 1500 HS LatitudeLongitude'!G:G,0))</f>
        <v>1</v>
      </c>
      <c r="R38" s="13" t="str">
        <f ca="1">IFERROR(__xludf.DUMMYFUNCTION("IFS(L38=10,"""",Q38=false,"""",N38=5,"""",Q38=true,SORTN(FILTER('Top 1500 HS LatitudeLongitude'!B:B,'Top 1500 HS LatitudeLongitude'!C:C=I38,'Top 1500 HS LatitudeLongitude'!E:E=H38),1,0,randarray(COUNTA(FILTER('Top 1500 HS LatitudeLongitude'!B:B,'Top 1500 "&amp;"HS LatitudeLongitude'!C:C=I38,'Top 1500 HS LatitudeLongitude'!E:E=H38)),1),TRUE)
)"),"#N/A")</f>
        <v>#N/A</v>
      </c>
      <c r="S38" s="13" t="b">
        <f>ISNUMBER(MATCH("*"&amp;H:H&amp;"*",'Public Schools'!C:C,0))</f>
        <v>1</v>
      </c>
      <c r="T38" s="13" t="str">
        <f ca="1">IFERROR(__xludf.DUMMYFUNCTION("IFERROR(IF(AND(R38="""",S38=true), SORTN(FILTER('Public Schools'!A:A,'Public Schools'!B:B=J38,'Public Schools'!C:C=H38),1,0,randarray(COUNTA(FILTER('Public Schools'!A:A,'Public Schools'!B:B=J38,'Public Schools'!C:C=H38)),1),TRUE),""""),"""")"),"")</f>
        <v/>
      </c>
      <c r="U38" s="23" t="str">
        <f t="array" aca="1" ref="U38" ca="1">IF(AND(R38="",T38=""),INDEX('Top 1500 HS LatitudeLongitude'!B$2:B$1501,MATCH(MIN(SQRT(('Top 1500 HS LatitudeLongitude'!H$2:H$1501-F38)^2+('Top 1500 HS LatitudeLongitude'!I$2:I$1501-G38)^2)),SQRT( ('Top 1500 HS LatitudeLongitude'!H$2:H$1501-F38)^2+('Top 1500 HS LatitudeLongitude'!I$2:I$1501-G38)^2),0),1),"")</f>
        <v/>
      </c>
    </row>
    <row r="39" spans="2:21" ht="15.6">
      <c r="B39" s="8">
        <v>0.56726842840000002</v>
      </c>
      <c r="C39" s="9" t="s">
        <v>206</v>
      </c>
      <c r="D39" s="9" t="s">
        <v>251</v>
      </c>
      <c r="E39" s="37" t="s">
        <v>868</v>
      </c>
      <c r="F39" s="8">
        <v>35.274799999999999</v>
      </c>
      <c r="G39" s="8">
        <v>-77.593699999999998</v>
      </c>
      <c r="H39" s="3" t="str">
        <f t="shared" si="0"/>
        <v>San Antonio</v>
      </c>
      <c r="I39" s="3" t="str">
        <f t="shared" si="1"/>
        <v>TX</v>
      </c>
      <c r="J39" s="3" t="str">
        <f t="array" ref="J39">INDEX('State Abbreviations'!$B$2:$B$52,MATCH(I39,'State Abbreviations'!$A$2:$A$52,0))</f>
        <v>Texas</v>
      </c>
      <c r="K39" s="94" t="e">
        <f t="shared" ca="1" si="2"/>
        <v>#NAME?</v>
      </c>
      <c r="L39" s="13">
        <f t="shared" ca="1" si="5"/>
        <v>14</v>
      </c>
      <c r="M39" s="13" t="str">
        <f ca="1">IFERROR(__xludf.DUMMYFUNCTION("IF(AND(L39&gt;3,I39&lt;&gt;""AL"",I39&lt;&gt;""AK"",I39&lt;&gt;""AZ"",I39&lt;&gt;""AR"",I39&lt;&gt;""CA"",I39&lt;&gt;""CO"",I39&lt;&gt;""CT"",I39&lt;&gt;""DE"",I39&lt;&gt;""DC"",I39&lt;&gt;""FL"",I39&lt;&gt;""GA"",I39&lt;&gt;""HI"",I39&lt;&gt;""ID"",I39&lt;&gt;""IL"",I39&lt;&gt;""IN"",I39&lt;&gt;""IA"",I39&lt;&gt;""KS"",I39&lt;&gt;""KY"",I39&lt;&gt;""LA"",I39&lt;&gt;""ME"",I3"&amp;"9&lt;&gt;""MD"",I39&lt;&gt;""MA"",I39&lt;&gt;""MI"",I39&lt;&gt;""MN"",I39&lt;&gt;""MS"",I39&lt;&gt;""MO"",I39&lt;&gt;""MT"",I39&lt;&gt;""NE"",I39&lt;&gt;""NV"",I39&lt;&gt;""NH"",I39&lt;&gt;""NJ"",I39&lt;&gt;""NM"",I39&lt;&gt;""NY"",I39&lt;&gt;""NC"",I39&lt;&gt;""ND"",I39&lt;&gt;""OH"",I39&lt;&gt;""OK"",I39&lt;&gt;""OR"",I39&lt;&gt;""PA"",I39&lt;&gt;""RI"",I39&lt;&gt;""SC"",I39&lt;&gt;"&amp;"""SD"",I39&lt;&gt;""TN"",I39&lt;&gt;""TX"",I39&lt;&gt;""UT"",I39&lt;&gt;""VT"",I39&lt;&gt;""VA"",I39&lt;&gt;""WA"",I39&lt;&gt;""WV"",I39&lt;&gt;""WI"",I39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StateInternational'!$G$2:$G$121&lt;&gt;"""")},2,0)),IF(L39=10"&amp;",ArrayFormula(VLOOKUP(QUERY(UNIQUE(RANDBETWEEN(ROW(INDIRECT(""A1:A""&amp;COUNTA('Leaving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39" s="13">
        <f t="shared" ca="1" si="6"/>
        <v>1</v>
      </c>
      <c r="O39" s="13" t="b">
        <f>ISNUMBER(MATCH(C39,'Top 250 HS'!C:C,0))</f>
        <v>0</v>
      </c>
      <c r="P39" s="13" t="str">
        <f ca="1">IFERROR(__xludf.DUMMYFUNCTION("SORTN(FILTER('Top 250 HS'!B:B,'Top 250 HS'!C:C=I39),1,0,randarray(COUNTA(FILTER('Top 250 HS'!B:B,'Top 250 HS'!C:C=I39)),1),TRUE)"),"Guyer (Denton)")</f>
        <v>Guyer (Denton)</v>
      </c>
      <c r="Q39" s="13" t="b">
        <f>ISNUMBER(MATCH("*"&amp;E39&amp;"*",'Top 1500 HS LatitudeLongitude'!G:G,0))</f>
        <v>1</v>
      </c>
      <c r="R39" s="13" t="str">
        <f ca="1">IFERROR(__xludf.DUMMYFUNCTION("IFS(L39=10,"""",Q39=false,"""",N39=5,"""",Q39=true,SORTN(FILTER('Top 1500 HS LatitudeLongitude'!B:B,'Top 1500 HS LatitudeLongitude'!C:C=I39,'Top 1500 HS LatitudeLongitude'!E:E=H39),1,0,randarray(COUNTA(FILTER('Top 1500 HS LatitudeLongitude'!B:B,'Top 1500 "&amp;"HS LatitudeLongitude'!C:C=I39,'Top 1500 HS LatitudeLongitude'!E:E=H39)),1),TRUE)
)"),"Saint Mary's Hall (San Antonio)")</f>
        <v>Saint Mary's Hall (San Antonio)</v>
      </c>
      <c r="S39" s="13" t="b">
        <f>ISNUMBER(MATCH("*"&amp;H:H&amp;"*",'Public Schools'!C:C,0))</f>
        <v>1</v>
      </c>
      <c r="T39" s="13" t="str">
        <f ca="1">IFERROR(__xludf.DUMMYFUNCTION("IFERROR(IF(AND(R39="""",S39=true), SORTN(FILTER('Public Schools'!A:A,'Public Schools'!B:B=J39,'Public Schools'!C:C=H39),1,0,randarray(COUNTA(FILTER('Public Schools'!A:A,'Public Schools'!B:B=J39,'Public Schools'!C:C=H39)),1),TRUE),""""),"""")"),"")</f>
        <v/>
      </c>
      <c r="U39" s="23" t="str">
        <f t="array" aca="1" ref="U39" ca="1">IF(AND(R39="",T39=""),INDEX('Top 1500 HS LatitudeLongitude'!B$2:B$1501,MATCH(MIN(SQRT(('Top 1500 HS LatitudeLongitude'!H$2:H$1501-F39)^2+('Top 1500 HS LatitudeLongitude'!I$2:I$1501-G39)^2)),SQRT( ('Top 1500 HS LatitudeLongitude'!H$2:H$1501-F39)^2+('Top 1500 HS LatitudeLongitude'!I$2:I$1501-G39)^2),0),1),"")</f>
        <v/>
      </c>
    </row>
    <row r="40" spans="2:21" ht="15.6">
      <c r="B40" s="8">
        <v>0.69322796210000004</v>
      </c>
      <c r="C40" s="9" t="s">
        <v>206</v>
      </c>
      <c r="D40" s="9" t="s">
        <v>252</v>
      </c>
      <c r="E40" s="98" t="s">
        <v>895</v>
      </c>
      <c r="F40" s="8">
        <v>41.099400000000003</v>
      </c>
      <c r="G40" s="8">
        <v>-80.646299999999997</v>
      </c>
      <c r="H40" s="3" t="str">
        <f t="shared" si="0"/>
        <v>Dallas</v>
      </c>
      <c r="I40" s="3" t="str">
        <f t="shared" si="1"/>
        <v>TX</v>
      </c>
      <c r="J40" s="3" t="str">
        <f t="array" ref="J40">INDEX('State Abbreviations'!$B$2:$B$52,MATCH(I40,'State Abbreviations'!$A$2:$A$52,0))</f>
        <v>Texas</v>
      </c>
      <c r="K40" s="94" t="e">
        <f t="shared" ca="1" si="2"/>
        <v>#NAME?</v>
      </c>
      <c r="L40" s="13">
        <f t="shared" ca="1" si="5"/>
        <v>14</v>
      </c>
      <c r="M40" s="13" t="str">
        <f ca="1">IFERROR(__xludf.DUMMYFUNCTION("IF(AND(L40&gt;3,I40&lt;&gt;""AL"",I40&lt;&gt;""AK"",I40&lt;&gt;""AZ"",I40&lt;&gt;""AR"",I40&lt;&gt;""CA"",I40&lt;&gt;""CO"",I40&lt;&gt;""CT"",I40&lt;&gt;""DE"",I40&lt;&gt;""DC"",I40&lt;&gt;""FL"",I40&lt;&gt;""GA"",I40&lt;&gt;""HI"",I40&lt;&gt;""ID"",I40&lt;&gt;""IL"",I40&lt;&gt;""IN"",I40&lt;&gt;""IA"",I40&lt;&gt;""KS"",I40&lt;&gt;""KY"",I40&lt;&gt;""LA"",I40&lt;&gt;""ME"",I4"&amp;"0&lt;&gt;""MD"",I40&lt;&gt;""MA"",I40&lt;&gt;""MI"",I40&lt;&gt;""MN"",I40&lt;&gt;""MS"",I40&lt;&gt;""MO"",I40&lt;&gt;""MT"",I40&lt;&gt;""NE"",I40&lt;&gt;""NV"",I40&lt;&gt;""NH"",I40&lt;&gt;""NJ"",I40&lt;&gt;""NM"",I40&lt;&gt;""NY"",I40&lt;&gt;""NC"",I40&lt;&gt;""ND"",I40&lt;&gt;""OH"",I40&lt;&gt;""OK"",I40&lt;&gt;""OR"",I40&lt;&gt;""PA"",I40&lt;&gt;""RI"",I40&lt;&gt;""SC"",I40&lt;&gt;"&amp;"""SD"",I40&lt;&gt;""TN"",I40&lt;&gt;""TX"",I40&lt;&gt;""UT"",I40&lt;&gt;""VT"",I40&lt;&gt;""VA"",I40&lt;&gt;""WA"",I40&lt;&gt;""WV"",I40&lt;&gt;""WI"",I40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StateInternational'!$G$2:$G$121&lt;&gt;"""")},2,0)),IF(L40=10"&amp;",ArrayFormula(VLOOKUP(QUERY(UNIQUE(RANDBETWEEN(ROW(INDIRECT(""A1:A""&amp;COUNTA('Leaving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40" s="13">
        <f t="shared" ca="1" si="6"/>
        <v>5</v>
      </c>
      <c r="O40" s="13" t="b">
        <f>ISNUMBER(MATCH(C40,'Top 250 HS'!C:C,0))</f>
        <v>0</v>
      </c>
      <c r="P40" s="13" t="str">
        <f ca="1">IFERROR(__xludf.DUMMYFUNCTION("SORTN(FILTER('Top 250 HS'!B:B,'Top 250 HS'!C:C=I40),1,0,randarray(COUNTA(FILTER('Top 250 HS'!B:B,'Top 250 HS'!C:C=I40)),1),TRUE)"),"Guyer (Denton)")</f>
        <v>Guyer (Denton)</v>
      </c>
      <c r="Q40" s="13" t="b">
        <f>ISNUMBER(MATCH("*"&amp;E40&amp;"*",'Top 1500 HS LatitudeLongitude'!G:G,0))</f>
        <v>1</v>
      </c>
      <c r="R40" s="13" t="str">
        <f ca="1">IFERROR(__xludf.DUMMYFUNCTION("IFS(L40=10,"""",Q40=false,"""",N40=5,"""",Q40=true,SORTN(FILTER('Top 1500 HS LatitudeLongitude'!B:B,'Top 1500 HS LatitudeLongitude'!C:C=I40,'Top 1500 HS LatitudeLongitude'!E:E=H40),1,0,randarray(COUNTA(FILTER('Top 1500 HS LatitudeLongitude'!B:B,'Top 1500 "&amp;"HS LatitudeLongitude'!C:C=I40,'Top 1500 HS LatitudeLongitude'!E:E=H40)),1),TRUE)
)"),"Highland Park (Dallas)")</f>
        <v>Highland Park (Dallas)</v>
      </c>
      <c r="S40" s="13" t="b">
        <f>ISNUMBER(MATCH("*"&amp;H:H&amp;"*",'Public Schools'!C:C,0))</f>
        <v>1</v>
      </c>
      <c r="T40" s="13" t="str">
        <f ca="1">IFERROR(__xludf.DUMMYFUNCTION("IFERROR(IF(AND(R40="""",S40=true), SORTN(FILTER('Public Schools'!A:A,'Public Schools'!B:B=J40,'Public Schools'!C:C=H40),1,0,randarray(COUNTA(FILTER('Public Schools'!A:A,'Public Schools'!B:B=J40,'Public Schools'!C:C=H40)),1),TRUE),""""),"""")"),"")</f>
        <v/>
      </c>
      <c r="U40" s="23" t="str">
        <f t="array" aca="1" ref="U40" ca="1">IF(AND(R40="",T40=""),INDEX('Top 1500 HS LatitudeLongitude'!B$2:B$1501,MATCH(MIN(SQRT(('Top 1500 HS LatitudeLongitude'!H$2:H$1501-F40)^2+('Top 1500 HS LatitudeLongitude'!I$2:I$1501-G40)^2)),SQRT( ('Top 1500 HS LatitudeLongitude'!H$2:H$1501-F40)^2+('Top 1500 HS LatitudeLongitude'!I$2:I$1501-G40)^2),0),1),"")</f>
        <v/>
      </c>
    </row>
    <row r="41" spans="2:21" ht="15.6">
      <c r="B41" s="8">
        <v>0.69685349399999996</v>
      </c>
      <c r="C41" s="9" t="s">
        <v>247</v>
      </c>
      <c r="D41" s="9" t="s">
        <v>253</v>
      </c>
      <c r="E41" s="37" t="s">
        <v>920</v>
      </c>
      <c r="F41" s="8">
        <v>41.164099999999998</v>
      </c>
      <c r="G41" s="8">
        <v>-81.520600000000002</v>
      </c>
      <c r="H41" s="3" t="str">
        <f t="shared" si="0"/>
        <v>Edgewood</v>
      </c>
      <c r="I41" s="3" t="str">
        <f t="shared" si="1"/>
        <v>KY</v>
      </c>
      <c r="J41" s="3" t="str">
        <f t="array" ref="J41">INDEX('State Abbreviations'!$B$2:$B$52,MATCH(I41,'State Abbreviations'!$A$2:$A$52,0))</f>
        <v>Kentucky</v>
      </c>
      <c r="K41" s="94" t="e">
        <f t="shared" ca="1" si="2"/>
        <v>#NAME?</v>
      </c>
      <c r="L41" s="13">
        <f t="shared" ca="1" si="5"/>
        <v>4</v>
      </c>
      <c r="M41" s="13" t="str">
        <f ca="1">IFERROR(__xludf.DUMMYFUNCTION("IF(AND(L41&gt;3,I41&lt;&gt;""AL"",I41&lt;&gt;""AK"",I41&lt;&gt;""AZ"",I41&lt;&gt;""AR"",I41&lt;&gt;""CA"",I41&lt;&gt;""CO"",I41&lt;&gt;""CT"",I41&lt;&gt;""DE"",I41&lt;&gt;""DC"",I41&lt;&gt;""FL"",I41&lt;&gt;""GA"",I41&lt;&gt;""HI"",I41&lt;&gt;""ID"",I41&lt;&gt;""IL"",I41&lt;&gt;""IN"",I41&lt;&gt;""IA"",I41&lt;&gt;""KS"",I41&lt;&gt;""KY"",I41&lt;&gt;""LA"",I41&lt;&gt;""ME"",I4"&amp;"1&lt;&gt;""MD"",I41&lt;&gt;""MA"",I41&lt;&gt;""MI"",I41&lt;&gt;""MN"",I41&lt;&gt;""MS"",I41&lt;&gt;""MO"",I41&lt;&gt;""MT"",I41&lt;&gt;""NE"",I41&lt;&gt;""NV"",I41&lt;&gt;""NH"",I41&lt;&gt;""NJ"",I41&lt;&gt;""NM"",I41&lt;&gt;""NY"",I41&lt;&gt;""NC"",I41&lt;&gt;""ND"",I41&lt;&gt;""OH"",I41&lt;&gt;""OK"",I41&lt;&gt;""OR"",I41&lt;&gt;""PA"",I41&lt;&gt;""RI"",I41&lt;&gt;""SC"",I41&lt;&gt;"&amp;"""SD"",I41&lt;&gt;""TN"",I41&lt;&gt;""TX"",I41&lt;&gt;""UT"",I41&lt;&gt;""VT"",I41&lt;&gt;""VA"",I41&lt;&gt;""WA"",I41&lt;&gt;""WV"",I41&lt;&gt;""WI"",I41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StateInternational'!$G$2:$G$121&lt;&gt;"""")},2,0)),IF(L41=10"&amp;",ArrayFormula(VLOOKUP(QUERY(UNIQUE(RANDBETWEEN(ROW(INDIRECT(""A1:A""&amp;COUNTA('Leaving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41" s="13">
        <f t="shared" ca="1" si="6"/>
        <v>7</v>
      </c>
      <c r="O41" s="13" t="b">
        <f>ISNUMBER(MATCH(C41,'Top 250 HS'!C:C,0))</f>
        <v>0</v>
      </c>
      <c r="P41" s="13" t="str">
        <f ca="1">IFERROR(__xludf.DUMMYFUNCTION("SORTN(FILTER('Top 250 HS'!B:B,'Top 250 HS'!C:C=I41),1,0,randarray(COUNTA(FILTER('Top 250 HS'!B:B,'Top 250 HS'!C:C=I41)),1),TRUE)"),"Male (Louisville)")</f>
        <v>Male (Louisville)</v>
      </c>
      <c r="Q41" s="13" t="b">
        <f>ISNUMBER(MATCH("*"&amp;E41&amp;"*",'Top 1500 HS LatitudeLongitude'!G:G,0))</f>
        <v>0</v>
      </c>
      <c r="R41" s="13" t="str">
        <f ca="1">IFERROR(__xludf.DUMMYFUNCTION("IFS(L41=10,"""",Q41=false,"""",N41=5,"""",Q41=true,SORTN(FILTER('Top 1500 HS LatitudeLongitude'!B:B,'Top 1500 HS LatitudeLongitude'!C:C=I41,'Top 1500 HS LatitudeLongitude'!E:E=H41),1,0,randarray(COUNTA(FILTER('Top 1500 HS LatitudeLongitude'!B:B,'Top 1500 "&amp;"HS LatitudeLongitude'!C:C=I41,'Top 1500 HS LatitudeLongitude'!E:E=H41)),1),TRUE)
)"),"")</f>
        <v/>
      </c>
      <c r="S41" s="13" t="b">
        <f>ISNUMBER(MATCH("*"&amp;H:H&amp;"*",'Public Schools'!C:C,0))</f>
        <v>1</v>
      </c>
      <c r="T41" s="13" t="str">
        <f ca="1">IFERROR(__xludf.DUMMYFUNCTION("IFERROR(IF(AND(R41="""",S41=true), SORTN(FILTER('Public Schools'!A:A,'Public Schools'!B:B=J41,'Public Schools'!C:C=H41),1,0,randarray(COUNTA(FILTER('Public Schools'!A:A,'Public Schools'!B:B=J41,'Public Schools'!C:C=H41)),1),TRUE),""""),"""")"),"")</f>
        <v/>
      </c>
      <c r="U41" s="23" t="str">
        <f t="array" aca="1" ref="U41" ca="1">IF(AND(R41="",T41=""),INDEX('Top 1500 HS LatitudeLongitude'!B$2:B$1501,MATCH(MIN(SQRT(('Top 1500 HS LatitudeLongitude'!H$2:H$1501-F41)^2+('Top 1500 HS LatitudeLongitude'!I$2:I$1501-G41)^2)),SQRT( ('Top 1500 HS LatitudeLongitude'!H$2:H$1501-F41)^2+('Top 1500 HS LatitudeLongitude'!I$2:I$1501-G41)^2),0),1),"")</f>
        <v>Walsh Jesuit (Cuyahoga Falls)</v>
      </c>
    </row>
    <row r="42" spans="2:21" ht="15.6">
      <c r="B42" s="8">
        <v>0.27845977770000002</v>
      </c>
      <c r="C42" s="9" t="s">
        <v>254</v>
      </c>
      <c r="D42" s="9" t="s">
        <v>255</v>
      </c>
      <c r="E42" s="98" t="s">
        <v>944</v>
      </c>
      <c r="F42" s="8">
        <v>41.837299999999999</v>
      </c>
      <c r="G42" s="8">
        <v>-87.686099999999996</v>
      </c>
      <c r="H42" s="3" t="str">
        <f t="shared" si="0"/>
        <v>Northlake</v>
      </c>
      <c r="I42" s="3" t="str">
        <f t="shared" si="1"/>
        <v>IL</v>
      </c>
      <c r="J42" s="3" t="str">
        <f t="array" ref="J42">INDEX('State Abbreviations'!$B$2:$B$52,MATCH(I42,'State Abbreviations'!$A$2:$A$52,0))</f>
        <v>Illinois</v>
      </c>
      <c r="K42" s="96" t="e">
        <f t="shared" ca="1" si="2"/>
        <v>#NAME?</v>
      </c>
      <c r="L42" s="13">
        <f t="shared" ca="1" si="5"/>
        <v>17</v>
      </c>
      <c r="M42" s="36" t="str">
        <f ca="1">IFERROR(__xludf.DUMMYFUNCTION("IF(AND(L42&gt;3,I42&lt;&gt;""AL"",I42&lt;&gt;""AK"",I42&lt;&gt;""AZ"",I42&lt;&gt;""AR"",I42&lt;&gt;""CA"",I42&lt;&gt;""CO"",I42&lt;&gt;""CT"",I42&lt;&gt;""DE"",I42&lt;&gt;""DC"",I42&lt;&gt;""FL"",I42&lt;&gt;""GA"",I42&lt;&gt;""HI"",I42&lt;&gt;""ID"",I42&lt;&gt;""IL"",I42&lt;&gt;""IN"",I42&lt;&gt;""IA"",I42&lt;&gt;""KS"",I42&lt;&gt;""KY"",I42&lt;&gt;""LA"",I42&lt;&gt;""ME"",I4"&amp;"2&lt;&gt;""MD"",I42&lt;&gt;""MA"",I42&lt;&gt;""MI"",I42&lt;&gt;""MN"",I42&lt;&gt;""MS"",I42&lt;&gt;""MO"",I42&lt;&gt;""MT"",I42&lt;&gt;""NE"",I42&lt;&gt;""NV"",I42&lt;&gt;""NH"",I42&lt;&gt;""NJ"",I42&lt;&gt;""NM"",I42&lt;&gt;""NY"",I42&lt;&gt;""NC"",I42&lt;&gt;""ND"",I42&lt;&gt;""OH"",I42&lt;&gt;""OK"",I42&lt;&gt;""OR"",I42&lt;&gt;""PA"",I42&lt;&gt;""RI"",I42&lt;&gt;""SC"",I42&lt;&gt;"&amp;"""SD"",I42&lt;&gt;""TN"",I42&lt;&gt;""TX"",I42&lt;&gt;""UT"",I42&lt;&gt;""VT"",I42&lt;&gt;""VA"",I42&lt;&gt;""WA"",I42&lt;&gt;""WV"",I42&lt;&gt;""WI"",I42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StateInternational'!$G$2:$G$121&lt;&gt;"""")},2,0)),IF(L42=10"&amp;",ArrayFormula(VLOOKUP(QUERY(UNIQUE(RANDBETWEEN(ROW(INDIRECT(""A1:A""&amp;COUNTA('Leaving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StateInternational'!$G$2:$G$121&lt;&gt;"""")},2,0)),""""))"),"Sierra Canyon (Chatsworth)")</f>
        <v>Sierra Canyon (Chatsworth)</v>
      </c>
      <c r="N42" s="13">
        <f t="shared" ca="1" si="6"/>
        <v>6</v>
      </c>
      <c r="O42" s="13" t="b">
        <f>ISNUMBER(MATCH(C42,'Top 250 HS'!C:C,0))</f>
        <v>0</v>
      </c>
      <c r="P42" s="13" t="str">
        <f ca="1">IFERROR(__xludf.DUMMYFUNCTION("SORTN(FILTER('Top 250 HS'!B:B,'Top 250 HS'!C:C=I42),1,0,randarray(COUNTA(FILTER('Top 250 HS'!B:B,'Top 250 HS'!C:C=I42)),1),TRUE)"),"Curie (Chicago)")</f>
        <v>Curie (Chicago)</v>
      </c>
      <c r="Q42" s="13" t="b">
        <f>ISNUMBER(MATCH("*"&amp;E42&amp;"*",'Top 1500 HS LatitudeLongitude'!G:G,0))</f>
        <v>0</v>
      </c>
      <c r="R42" s="13" t="str">
        <f ca="1">IFERROR(__xludf.DUMMYFUNCTION("IFS(L42=10,"""",Q42=false,"""",N42=5,"""",Q42=true,SORTN(FILTER('Top 1500 HS LatitudeLongitude'!B:B,'Top 1500 HS LatitudeLongitude'!C:C=I42,'Top 1500 HS LatitudeLongitude'!E:E=H42),1,0,randarray(COUNTA(FILTER('Top 1500 HS LatitudeLongitude'!B:B,'Top 1500 "&amp;"HS LatitudeLongitude'!C:C=I42,'Top 1500 HS LatitudeLongitude'!E:E=H42)),1),TRUE)
)"),"")</f>
        <v/>
      </c>
      <c r="S42" s="13" t="b">
        <f>ISNUMBER(MATCH("*"&amp;H:H&amp;"*",'Public Schools'!C:C,0))</f>
        <v>1</v>
      </c>
      <c r="T42" s="13" t="str">
        <f ca="1">IFERROR(__xludf.DUMMYFUNCTION("IFERROR(IF(AND(R42="""",S42=true), SORTN(FILTER('Public Schools'!A:A,'Public Schools'!B:B=J42,'Public Schools'!C:C=H42),1,0,randarray(COUNTA(FILTER('Public Schools'!A:A,'Public Schools'!B:B=J42,'Public Schools'!C:C=H42)),1),TRUE),""""),"""")"),"West Leyden High School")</f>
        <v>West Leyden High School</v>
      </c>
      <c r="U42" s="23" t="str">
        <f t="array" aca="1" ref="U42" ca="1">IF(AND(R42="",T42=""),INDEX('Top 1500 HS LatitudeLongitude'!B$2:B$1501,MATCH(MIN(SQRT(('Top 1500 HS LatitudeLongitude'!H$2:H$1501-F42)^2+('Top 1500 HS LatitudeLongitude'!I$2:I$1501-G42)^2)),SQRT( ('Top 1500 HS LatitudeLongitude'!H$2:H$1501-F42)^2+('Top 1500 HS LatitudeLongitude'!I$2:I$1501-G42)^2),0),1),"")</f>
        <v/>
      </c>
    </row>
    <row r="43" spans="2:21" ht="15.6">
      <c r="B43" s="8">
        <v>0.40480565289999998</v>
      </c>
      <c r="C43" s="9" t="s">
        <v>256</v>
      </c>
      <c r="D43" s="9" t="s">
        <v>257</v>
      </c>
      <c r="E43" s="37" t="s">
        <v>967</v>
      </c>
      <c r="F43" s="8">
        <v>29.975100000000001</v>
      </c>
      <c r="G43" s="8">
        <v>-92.126499999999993</v>
      </c>
      <c r="H43" s="3" t="str">
        <f t="shared" si="0"/>
        <v>Memphis</v>
      </c>
      <c r="I43" s="3" t="str">
        <f t="shared" si="1"/>
        <v>TN</v>
      </c>
      <c r="J43" s="3" t="str">
        <f t="array" ref="J43">INDEX('State Abbreviations'!$B$2:$B$52,MATCH(I43,'State Abbreviations'!$A$2:$A$52,0))</f>
        <v>Tennessee</v>
      </c>
      <c r="K43" s="94" t="e">
        <f t="shared" ca="1" si="2"/>
        <v>#NAME?</v>
      </c>
      <c r="L43" s="13">
        <f t="shared" ca="1" si="5"/>
        <v>15</v>
      </c>
      <c r="M43" s="13" t="str">
        <f ca="1">IFERROR(__xludf.DUMMYFUNCTION("IF(AND(L43&gt;3,I43&lt;&gt;""AL"",I43&lt;&gt;""AK"",I43&lt;&gt;""AZ"",I43&lt;&gt;""AR"",I43&lt;&gt;""CA"",I43&lt;&gt;""CO"",I43&lt;&gt;""CT"",I43&lt;&gt;""DE"",I43&lt;&gt;""DC"",I43&lt;&gt;""FL"",I43&lt;&gt;""GA"",I43&lt;&gt;""HI"",I43&lt;&gt;""ID"",I43&lt;&gt;""IL"",I43&lt;&gt;""IN"",I43&lt;&gt;""IA"",I43&lt;&gt;""KS"",I43&lt;&gt;""KY"",I43&lt;&gt;""LA"",I43&lt;&gt;""ME"",I4"&amp;"3&lt;&gt;""MD"",I43&lt;&gt;""MA"",I43&lt;&gt;""MI"",I43&lt;&gt;""MN"",I43&lt;&gt;""MS"",I43&lt;&gt;""MO"",I43&lt;&gt;""MT"",I43&lt;&gt;""NE"",I43&lt;&gt;""NV"",I43&lt;&gt;""NH"",I43&lt;&gt;""NJ"",I43&lt;&gt;""NM"",I43&lt;&gt;""NY"",I43&lt;&gt;""NC"",I43&lt;&gt;""ND"",I43&lt;&gt;""OH"",I43&lt;&gt;""OK"",I43&lt;&gt;""OR"",I43&lt;&gt;""PA"",I43&lt;&gt;""RI"",I43&lt;&gt;""SC"",I43&lt;&gt;"&amp;"""SD"",I43&lt;&gt;""TN"",I43&lt;&gt;""TX"",I43&lt;&gt;""UT"",I43&lt;&gt;""VT"",I43&lt;&gt;""VA"",I43&lt;&gt;""WA"",I43&lt;&gt;""WV"",I43&lt;&gt;""WI"",I43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StateInternational'!$G$2:$G$121&lt;&gt;"""")},2,0)),IF(L43=10"&amp;",ArrayFormula(VLOOKUP(QUERY(UNIQUE(RANDBETWEEN(ROW(INDIRECT(""A1:A""&amp;COUNTA('Leaving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43" s="13">
        <f t="shared" ca="1" si="6"/>
        <v>5</v>
      </c>
      <c r="O43" s="13" t="b">
        <f>ISNUMBER(MATCH(C43,'Top 250 HS'!C:C,0))</f>
        <v>0</v>
      </c>
      <c r="P43" s="13" t="str">
        <f ca="1">IFERROR(__xludf.DUMMYFUNCTION("SORTN(FILTER('Top 250 HS'!B:B,'Top 250 HS'!C:C=I43),1,0,randarray(COUNTA(FILTER('Top 250 HS'!B:B,'Top 250 HS'!C:C=I43)),1),TRUE)"),"Whitehaven (Memphis)")</f>
        <v>Whitehaven (Memphis)</v>
      </c>
      <c r="Q43" s="13" t="b">
        <f>ISNUMBER(MATCH("*"&amp;E43&amp;"*",'Top 1500 HS LatitudeLongitude'!G:G,0))</f>
        <v>1</v>
      </c>
      <c r="R43" s="13" t="str">
        <f ca="1">IFERROR(__xludf.DUMMYFUNCTION("IFS(L43=10,"""",Q43=false,"""",N43=5,"""",Q43=true,SORTN(FILTER('Top 1500 HS LatitudeLongitude'!B:B,'Top 1500 HS LatitudeLongitude'!C:C=I43,'Top 1500 HS LatitudeLongitude'!E:E=H43),1,0,randarray(COUNTA(FILTER('Top 1500 HS LatitudeLongitude'!B:B,'Top 1500 "&amp;"HS LatitudeLongitude'!C:C=I43,'Top 1500 HS LatitudeLongitude'!E:E=H43)),1),TRUE)
)"),"Memphis East (Memphis)")</f>
        <v>Memphis East (Memphis)</v>
      </c>
      <c r="S43" s="13" t="b">
        <f>ISNUMBER(MATCH("*"&amp;H:H&amp;"*",'Public Schools'!C:C,0))</f>
        <v>1</v>
      </c>
      <c r="T43" s="13" t="str">
        <f ca="1">IFERROR(__xludf.DUMMYFUNCTION("IFERROR(IF(AND(R43="""",S43=true), SORTN(FILTER('Public Schools'!A:A,'Public Schools'!B:B=J43,'Public Schools'!C:C=H43),1,0,randarray(COUNTA(FILTER('Public Schools'!A:A,'Public Schools'!B:B=J43,'Public Schools'!C:C=H43)),1),TRUE),""""),"""")"),"")</f>
        <v/>
      </c>
      <c r="U43" s="23" t="str">
        <f t="array" aca="1" ref="U43" ca="1">IF(AND(R43="",T43=""),INDEX('Top 1500 HS LatitudeLongitude'!B$2:B$1501,MATCH(MIN(SQRT(('Top 1500 HS LatitudeLongitude'!H$2:H$1501-F43)^2+('Top 1500 HS LatitudeLongitude'!I$2:I$1501-G43)^2)),SQRT( ('Top 1500 HS LatitudeLongitude'!H$2:H$1501-F43)^2+('Top 1500 HS LatitudeLongitude'!I$2:I$1501-G43)^2),0),1),"")</f>
        <v/>
      </c>
    </row>
    <row r="44" spans="2:21" ht="15.6">
      <c r="B44" s="8">
        <v>0.98950557139999995</v>
      </c>
      <c r="C44" s="9" t="s">
        <v>235</v>
      </c>
      <c r="D44" s="9" t="s">
        <v>236</v>
      </c>
      <c r="E44" s="98" t="s">
        <v>629</v>
      </c>
      <c r="F44" s="8">
        <v>44.277700000000003</v>
      </c>
      <c r="G44" s="8">
        <v>-88.264499999999998</v>
      </c>
      <c r="H44" s="3" t="str">
        <f t="shared" si="0"/>
        <v>Lafayette</v>
      </c>
      <c r="I44" s="3" t="str">
        <f t="shared" si="1"/>
        <v>LA</v>
      </c>
      <c r="J44" s="3" t="str">
        <f t="array" ref="J44">INDEX('State Abbreviations'!$B$2:$B$52,MATCH(I44,'State Abbreviations'!$A$2:$A$52,0))</f>
        <v>Louisiana</v>
      </c>
      <c r="K44" s="94" t="e">
        <f t="shared" ca="1" si="2"/>
        <v>#NAME?</v>
      </c>
      <c r="L44" s="13">
        <f t="shared" ca="1" si="5"/>
        <v>19</v>
      </c>
      <c r="M44" s="13" t="str">
        <f ca="1">IFERROR(__xludf.DUMMYFUNCTION("IF(AND(L44&gt;3,I44&lt;&gt;""AL"",I44&lt;&gt;""AK"",I44&lt;&gt;""AZ"",I44&lt;&gt;""AR"",I44&lt;&gt;""CA"",I44&lt;&gt;""CO"",I44&lt;&gt;""CT"",I44&lt;&gt;""DE"",I44&lt;&gt;""DC"",I44&lt;&gt;""FL"",I44&lt;&gt;""GA"",I44&lt;&gt;""HI"",I44&lt;&gt;""ID"",I44&lt;&gt;""IL"",I44&lt;&gt;""IN"",I44&lt;&gt;""IA"",I44&lt;&gt;""KS"",I44&lt;&gt;""KY"",I44&lt;&gt;""LA"",I44&lt;&gt;""ME"",I4"&amp;"4&lt;&gt;""MD"",I44&lt;&gt;""MA"",I44&lt;&gt;""MI"",I44&lt;&gt;""MN"",I44&lt;&gt;""MS"",I44&lt;&gt;""MO"",I44&lt;&gt;""MT"",I44&lt;&gt;""NE"",I44&lt;&gt;""NV"",I44&lt;&gt;""NH"",I44&lt;&gt;""NJ"",I44&lt;&gt;""NM"",I44&lt;&gt;""NY"",I44&lt;&gt;""NC"",I44&lt;&gt;""ND"",I44&lt;&gt;""OH"",I44&lt;&gt;""OK"",I44&lt;&gt;""OR"",I44&lt;&gt;""PA"",I44&lt;&gt;""RI"",I44&lt;&gt;""SC"",I44&lt;&gt;"&amp;"""SD"",I44&lt;&gt;""TN"",I44&lt;&gt;""TX"",I44&lt;&gt;""UT"",I44&lt;&gt;""VT"",I44&lt;&gt;""VA"",I44&lt;&gt;""WA"",I44&lt;&gt;""WV"",I44&lt;&gt;""WI"",I44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StateInternational'!$G$2:$G$121&lt;&gt;"""")},2,0)),IF(L44=10"&amp;",ArrayFormula(VLOOKUP(QUERY(UNIQUE(RANDBETWEEN(ROW(INDIRECT(""A1:A""&amp;COUNTA('Leaving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44" s="13">
        <f t="shared" ca="1" si="6"/>
        <v>5</v>
      </c>
      <c r="O44" s="13" t="b">
        <f>ISNUMBER(MATCH(C44,'Top 250 HS'!C:C,0))</f>
        <v>0</v>
      </c>
      <c r="P44" s="13" t="str">
        <f ca="1">IFERROR(__xludf.DUMMYFUNCTION("SORTN(FILTER('Top 250 HS'!B:B,'Top 250 HS'!C:C=I44),1,0,randarray(COUNTA(FILTER('Top 250 HS'!B:B,'Top 250 HS'!C:C=I44)),1),TRUE)"),"Scotlandville (Baton Rouge)")</f>
        <v>Scotlandville (Baton Rouge)</v>
      </c>
      <c r="Q44" s="13" t="b">
        <f>ISNUMBER(MATCH("*"&amp;E44&amp;"*",'Top 1500 HS LatitudeLongitude'!G:G,0))</f>
        <v>1</v>
      </c>
      <c r="R44" s="13" t="str">
        <f ca="1">IFERROR(__xludf.DUMMYFUNCTION("IFS(L44=10,"""",Q44=false,"""",N44=5,"""",Q44=true,SORTN(FILTER('Top 1500 HS LatitudeLongitude'!B:B,'Top 1500 HS LatitudeLongitude'!C:C=I44,'Top 1500 HS LatitudeLongitude'!E:E=H44),1,0,randarray(COUNTA(FILTER('Top 1500 HS LatitudeLongitude'!B:B,'Top 1500 "&amp;"HS LatitudeLongitude'!C:C=I44,'Top 1500 HS LatitudeLongitude'!E:E=H44)),1),TRUE)
)"),"Lafayette")</f>
        <v>Lafayette</v>
      </c>
      <c r="S44" s="13" t="b">
        <f>ISNUMBER(MATCH("*"&amp;H:H&amp;"*",'Public Schools'!C:C,0))</f>
        <v>1</v>
      </c>
      <c r="T44" s="13" t="str">
        <f ca="1">IFERROR(__xludf.DUMMYFUNCTION("IFERROR(IF(AND(R44="""",S44=true), SORTN(FILTER('Public Schools'!A:A,'Public Schools'!B:B=J44,'Public Schools'!C:C=H44),1,0,randarray(COUNTA(FILTER('Public Schools'!A:A,'Public Schools'!B:B=J44,'Public Schools'!C:C=H44)),1),TRUE),""""),"""")"),"")</f>
        <v/>
      </c>
      <c r="U44" s="23" t="str">
        <f t="array" aca="1" ref="U44" ca="1">IF(AND(R44="",T44=""),INDEX('Top 1500 HS LatitudeLongitude'!B$2:B$1501,MATCH(MIN(SQRT(('Top 1500 HS LatitudeLongitude'!H$2:H$1501-F44)^2+('Top 1500 HS LatitudeLongitude'!I$2:I$1501-G44)^2)),SQRT( ('Top 1500 HS LatitudeLongitude'!H$2:H$1501-F44)^2+('Top 1500 HS LatitudeLongitude'!I$2:I$1501-G44)^2),0),1),"")</f>
        <v/>
      </c>
    </row>
    <row r="45" spans="2:21" ht="15.6">
      <c r="B45" s="8">
        <v>0.6164775763</v>
      </c>
      <c r="C45" s="9" t="s">
        <v>228</v>
      </c>
      <c r="D45" s="9" t="s">
        <v>258</v>
      </c>
      <c r="E45" s="37" t="s">
        <v>1027</v>
      </c>
      <c r="F45" s="8">
        <v>39.6629</v>
      </c>
      <c r="G45" s="8">
        <v>-75.078199999999995</v>
      </c>
      <c r="H45" s="3" t="str">
        <f t="shared" si="0"/>
        <v>Princess Anne</v>
      </c>
      <c r="I45" s="3" t="str">
        <f t="shared" si="1"/>
        <v>MD</v>
      </c>
      <c r="J45" s="3" t="str">
        <f t="array" ref="J45">INDEX('State Abbreviations'!$B$2:$B$52,MATCH(I45,'State Abbreviations'!$A$2:$A$52,0))</f>
        <v>Maryland</v>
      </c>
      <c r="K45" s="94" t="e">
        <f t="shared" ca="1" si="2"/>
        <v>#NAME?</v>
      </c>
      <c r="L45" s="13">
        <f t="shared" ca="1" si="5"/>
        <v>5</v>
      </c>
      <c r="M45" s="13" t="str">
        <f ca="1">IFERROR(__xludf.DUMMYFUNCTION("IF(AND(L45&gt;3,I45&lt;&gt;""AL"",I45&lt;&gt;""AK"",I45&lt;&gt;""AZ"",I45&lt;&gt;""AR"",I45&lt;&gt;""CA"",I45&lt;&gt;""CO"",I45&lt;&gt;""CT"",I45&lt;&gt;""DE"",I45&lt;&gt;""DC"",I45&lt;&gt;""FL"",I45&lt;&gt;""GA"",I45&lt;&gt;""HI"",I45&lt;&gt;""ID"",I45&lt;&gt;""IL"",I45&lt;&gt;""IN"",I45&lt;&gt;""IA"",I45&lt;&gt;""KS"",I45&lt;&gt;""KY"",I45&lt;&gt;""LA"",I45&lt;&gt;""ME"",I4"&amp;"5&lt;&gt;""MD"",I45&lt;&gt;""MA"",I45&lt;&gt;""MI"",I45&lt;&gt;""MN"",I45&lt;&gt;""MS"",I45&lt;&gt;""MO"",I45&lt;&gt;""MT"",I45&lt;&gt;""NE"",I45&lt;&gt;""NV"",I45&lt;&gt;""NH"",I45&lt;&gt;""NJ"",I45&lt;&gt;""NM"",I45&lt;&gt;""NY"",I45&lt;&gt;""NC"",I45&lt;&gt;""ND"",I45&lt;&gt;""OH"",I45&lt;&gt;""OK"",I45&lt;&gt;""OR"",I45&lt;&gt;""PA"",I45&lt;&gt;""RI"",I45&lt;&gt;""SC"",I45&lt;&gt;"&amp;"""SD"",I45&lt;&gt;""TN"",I45&lt;&gt;""TX"",I45&lt;&gt;""UT"",I45&lt;&gt;""VT"",I45&lt;&gt;""VA"",I45&lt;&gt;""WA"",I45&lt;&gt;""WV"",I45&lt;&gt;""WI"",I45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StateInternational'!$G$2:$G$121&lt;&gt;"""")},2,0)),IF(L45=10"&amp;",ArrayFormula(VLOOKUP(QUERY(UNIQUE(RANDBETWEEN(ROW(INDIRECT(""A1:A""&amp;COUNTA('Leaving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45" s="13">
        <f t="shared" ca="1" si="6"/>
        <v>2</v>
      </c>
      <c r="O45" s="13" t="b">
        <f>ISNUMBER(MATCH(C45,'Top 250 HS'!C:C,0))</f>
        <v>0</v>
      </c>
      <c r="P45" s="13" t="str">
        <f ca="1">IFERROR(__xludf.DUMMYFUNCTION("SORTN(FILTER('Top 250 HS'!B:B,'Top 250 HS'!C:C=I45),1,0,randarray(COUNTA(FILTER('Top 250 HS'!B:B,'Top 250 HS'!C:C=I45)),1),TRUE)"),"St. Frances Academy (Baltimore)")</f>
        <v>St. Frances Academy (Baltimore)</v>
      </c>
      <c r="Q45" s="13" t="b">
        <f>ISNUMBER(MATCH("*"&amp;E45&amp;"*",'Top 1500 HS LatitudeLongitude'!G:G,0))</f>
        <v>0</v>
      </c>
      <c r="R45" s="13" t="str">
        <f ca="1">IFERROR(__xludf.DUMMYFUNCTION("IFS(L45=10,"""",Q45=false,"""",N45=5,"""",Q45=true,SORTN(FILTER('Top 1500 HS LatitudeLongitude'!B:B,'Top 1500 HS LatitudeLongitude'!C:C=I45,'Top 1500 HS LatitudeLongitude'!E:E=H45),1,0,randarray(COUNTA(FILTER('Top 1500 HS LatitudeLongitude'!B:B,'Top 1500 "&amp;"HS LatitudeLongitude'!C:C=I45,'Top 1500 HS LatitudeLongitude'!E:E=H45)),1),TRUE)
)"),"")</f>
        <v/>
      </c>
      <c r="S45" s="13" t="b">
        <f>ISNUMBER(MATCH("*"&amp;H:H&amp;"*",'Public Schools'!C:C,0))</f>
        <v>1</v>
      </c>
      <c r="T45" s="13" t="str">
        <f ca="1">IFERROR(__xludf.DUMMYFUNCTION("IFERROR(IF(AND(R45="""",S45=true), SORTN(FILTER('Public Schools'!A:A,'Public Schools'!B:B=J45,'Public Schools'!C:C=H45),1,0,randarray(COUNTA(FILTER('Public Schools'!A:A,'Public Schools'!B:B=J45,'Public Schools'!C:C=H45)),1),TRUE),""""),"""")"),"Washington Academy And High School")</f>
        <v>Washington Academy And High School</v>
      </c>
      <c r="U45" s="23" t="str">
        <f t="array" aca="1" ref="U45" ca="1">IF(AND(R45="",T45=""),INDEX('Top 1500 HS LatitudeLongitude'!B$2:B$1501,MATCH(MIN(SQRT(('Top 1500 HS LatitudeLongitude'!H$2:H$1501-F45)^2+('Top 1500 HS LatitudeLongitude'!I$2:I$1501-G45)^2)),SQRT( ('Top 1500 HS LatitudeLongitude'!H$2:H$1501-F45)^2+('Top 1500 HS LatitudeLongitude'!I$2:I$1501-G45)^2),0),1),"")</f>
        <v/>
      </c>
    </row>
    <row r="46" spans="2:21" ht="15.6">
      <c r="B46" s="8">
        <v>0.32658023069999997</v>
      </c>
      <c r="C46" s="9" t="s">
        <v>47</v>
      </c>
      <c r="D46" s="9" t="s">
        <v>259</v>
      </c>
      <c r="E46" s="98" t="s">
        <v>1060</v>
      </c>
      <c r="F46" s="8">
        <v>41.6496</v>
      </c>
      <c r="G46" s="8">
        <v>-88.617500000000007</v>
      </c>
      <c r="H46" s="3" t="str">
        <f t="shared" si="0"/>
        <v>San Juan Capistrano</v>
      </c>
      <c r="I46" s="3" t="str">
        <f t="shared" si="1"/>
        <v>CA</v>
      </c>
      <c r="J46" s="3" t="str">
        <f t="array" ref="J46">INDEX('State Abbreviations'!$B$2:$B$52,MATCH(I46,'State Abbreviations'!$A$2:$A$52,0))</f>
        <v>California</v>
      </c>
      <c r="K46" s="94" t="e">
        <f t="shared" ca="1" si="2"/>
        <v>#NAME?</v>
      </c>
      <c r="L46" s="13">
        <f t="shared" ca="1" si="5"/>
        <v>16</v>
      </c>
      <c r="M46" s="13" t="str">
        <f ca="1">IFERROR(__xludf.DUMMYFUNCTION("IF(AND(L46&gt;3,I46&lt;&gt;""AL"",I46&lt;&gt;""AK"",I46&lt;&gt;""AZ"",I46&lt;&gt;""AR"",I46&lt;&gt;""CA"",I46&lt;&gt;""CO"",I46&lt;&gt;""CT"",I46&lt;&gt;""DE"",I46&lt;&gt;""DC"",I46&lt;&gt;""FL"",I46&lt;&gt;""GA"",I46&lt;&gt;""HI"",I46&lt;&gt;""ID"",I46&lt;&gt;""IL"",I46&lt;&gt;""IN"",I46&lt;&gt;""IA"",I46&lt;&gt;""KS"",I46&lt;&gt;""KY"",I46&lt;&gt;""LA"",I46&lt;&gt;""ME"",I4"&amp;"6&lt;&gt;""MD"",I46&lt;&gt;""MA"",I46&lt;&gt;""MI"",I46&lt;&gt;""MN"",I46&lt;&gt;""MS"",I46&lt;&gt;""MO"",I46&lt;&gt;""MT"",I46&lt;&gt;""NE"",I46&lt;&gt;""NV"",I46&lt;&gt;""NH"",I46&lt;&gt;""NJ"",I46&lt;&gt;""NM"",I46&lt;&gt;""NY"",I46&lt;&gt;""NC"",I46&lt;&gt;""ND"",I46&lt;&gt;""OH"",I46&lt;&gt;""OK"",I46&lt;&gt;""OR"",I46&lt;&gt;""PA"",I46&lt;&gt;""RI"",I46&lt;&gt;""SC"",I46&lt;&gt;"&amp;"""SD"",I46&lt;&gt;""TN"",I46&lt;&gt;""TX"",I46&lt;&gt;""UT"",I46&lt;&gt;""VT"",I46&lt;&gt;""VA"",I46&lt;&gt;""WA"",I46&lt;&gt;""WV"",I46&lt;&gt;""WI"",I46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StateInternational'!$G$2:$G$121&lt;&gt;"""")},2,0)),IF(L46=10"&amp;",ArrayFormula(VLOOKUP(QUERY(UNIQUE(RANDBETWEEN(ROW(INDIRECT(""A1:A""&amp;COUNTA('Leaving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46" s="13">
        <f t="shared" ca="1" si="6"/>
        <v>7</v>
      </c>
      <c r="O46" s="13" t="b">
        <f>ISNUMBER(MATCH(C46,'Top 250 HS'!C:C,0))</f>
        <v>0</v>
      </c>
      <c r="P46" s="13" t="str">
        <f ca="1">IFERROR(__xludf.DUMMYFUNCTION("SORTN(FILTER('Top 250 HS'!B:B,'Top 250 HS'!C:C=I46),1,0,randarray(COUNTA(FILTER('Top 250 HS'!B:B,'Top 250 HS'!C:C=I46)),1),TRUE)"),"Cathedral Catholic (San Diego)")</f>
        <v>Cathedral Catholic (San Diego)</v>
      </c>
      <c r="Q46" s="13" t="b">
        <f>ISNUMBER(MATCH("*"&amp;E46&amp;"*",'Top 1500 HS LatitudeLongitude'!G:G,0))</f>
        <v>1</v>
      </c>
      <c r="R46" s="13" t="str">
        <f ca="1">IFERROR(__xludf.DUMMYFUNCTION("IFS(L46=10,"""",Q46=false,"""",N46=5,"""",Q46=true,SORTN(FILTER('Top 1500 HS LatitudeLongitude'!B:B,'Top 1500 HS LatitudeLongitude'!C:C=I46,'Top 1500 HS LatitudeLongitude'!E:E=H46),1,0,randarray(COUNTA(FILTER('Top 1500 HS LatitudeLongitude'!B:B,'Top 1500 "&amp;"HS LatitudeLongitude'!C:C=I46,'Top 1500 HS LatitudeLongitude'!E:E=H46)),1),TRUE)
)"),"JSerra Catholic (San Juan Capistrano)")</f>
        <v>JSerra Catholic (San Juan Capistrano)</v>
      </c>
      <c r="S46" s="13" t="b">
        <f>ISNUMBER(MATCH("*"&amp;H:H&amp;"*",'Public Schools'!C:C,0))</f>
        <v>1</v>
      </c>
      <c r="T46" s="13" t="str">
        <f ca="1">IFERROR(__xludf.DUMMYFUNCTION("IFERROR(IF(AND(R46="""",S46=true), SORTN(FILTER('Public Schools'!A:A,'Public Schools'!B:B=J46,'Public Schools'!C:C=H46),1,0,randarray(COUNTA(FILTER('Public Schools'!A:A,'Public Schools'!B:B=J46,'Public Schools'!C:C=H46)),1),TRUE),""""),"""")"),"")</f>
        <v/>
      </c>
      <c r="U46" s="23" t="str">
        <f t="array" aca="1" ref="U46" ca="1">IF(AND(R46="",T46=""),INDEX('Top 1500 HS LatitudeLongitude'!B$2:B$1501,MATCH(MIN(SQRT(('Top 1500 HS LatitudeLongitude'!H$2:H$1501-F46)^2+('Top 1500 HS LatitudeLongitude'!I$2:I$1501-G46)^2)),SQRT( ('Top 1500 HS LatitudeLongitude'!H$2:H$1501-F46)^2+('Top 1500 HS LatitudeLongitude'!I$2:I$1501-G46)^2),0),1),"")</f>
        <v/>
      </c>
    </row>
    <row r="47" spans="2:21" ht="15.6">
      <c r="B47" s="8">
        <v>0.4660151414</v>
      </c>
      <c r="C47" s="9" t="s">
        <v>238</v>
      </c>
      <c r="D47" s="9" t="s">
        <v>188</v>
      </c>
      <c r="E47" s="37" t="s">
        <v>672</v>
      </c>
      <c r="F47" s="8">
        <v>42.383400000000002</v>
      </c>
      <c r="G47" s="8">
        <v>-83.102400000000003</v>
      </c>
      <c r="H47" s="3" t="str">
        <f t="shared" si="0"/>
        <v>New York</v>
      </c>
      <c r="I47" s="3" t="str">
        <f t="shared" si="1"/>
        <v>NY</v>
      </c>
      <c r="J47" s="3" t="str">
        <f t="array" ref="J47">INDEX('State Abbreviations'!$B$2:$B$52,MATCH(I47,'State Abbreviations'!$A$2:$A$52,0))</f>
        <v>New York</v>
      </c>
      <c r="K47" s="94" t="e">
        <f t="shared" ca="1" si="2"/>
        <v>#NAME?</v>
      </c>
      <c r="L47" s="13">
        <f t="shared" ca="1" si="5"/>
        <v>19</v>
      </c>
      <c r="M47" s="13" t="str">
        <f ca="1">IFERROR(__xludf.DUMMYFUNCTION("IF(AND(L47&gt;3,I47&lt;&gt;""AL"",I47&lt;&gt;""AK"",I47&lt;&gt;""AZ"",I47&lt;&gt;""AR"",I47&lt;&gt;""CA"",I47&lt;&gt;""CO"",I47&lt;&gt;""CT"",I47&lt;&gt;""DE"",I47&lt;&gt;""DC"",I47&lt;&gt;""FL"",I47&lt;&gt;""GA"",I47&lt;&gt;""HI"",I47&lt;&gt;""ID"",I47&lt;&gt;""IL"",I47&lt;&gt;""IN"",I47&lt;&gt;""IA"",I47&lt;&gt;""KS"",I47&lt;&gt;""KY"",I47&lt;&gt;""LA"",I47&lt;&gt;""ME"",I4"&amp;"7&lt;&gt;""MD"",I47&lt;&gt;""MA"",I47&lt;&gt;""MI"",I47&lt;&gt;""MN"",I47&lt;&gt;""MS"",I47&lt;&gt;""MO"",I47&lt;&gt;""MT"",I47&lt;&gt;""NE"",I47&lt;&gt;""NV"",I47&lt;&gt;""NH"",I47&lt;&gt;""NJ"",I47&lt;&gt;""NM"",I47&lt;&gt;""NY"",I47&lt;&gt;""NC"",I47&lt;&gt;""ND"",I47&lt;&gt;""OH"",I47&lt;&gt;""OK"",I47&lt;&gt;""OR"",I47&lt;&gt;""PA"",I47&lt;&gt;""RI"",I47&lt;&gt;""SC"",I47&lt;&gt;"&amp;"""SD"",I47&lt;&gt;""TN"",I47&lt;&gt;""TX"",I47&lt;&gt;""UT"",I47&lt;&gt;""VT"",I47&lt;&gt;""VA"",I47&lt;&gt;""WA"",I47&lt;&gt;""WV"",I47&lt;&gt;""WI"",I47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StateInternational'!$G$2:$G$121&lt;&gt;"""")},2,0)),IF(L47=10"&amp;",ArrayFormula(VLOOKUP(QUERY(UNIQUE(RANDBETWEEN(ROW(INDIRECT(""A1:A""&amp;COUNTA('Leaving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47" s="13">
        <f t="shared" ca="1" si="6"/>
        <v>2</v>
      </c>
      <c r="O47" s="13" t="b">
        <f>ISNUMBER(MATCH(C47,'Top 250 HS'!C:C,0))</f>
        <v>0</v>
      </c>
      <c r="P47" s="13" t="str">
        <f ca="1">IFERROR(__xludf.DUMMYFUNCTION("SORTN(FILTER('Top 250 HS'!B:B,'Top 250 HS'!C:C=I47),1,0,randarray(COUNTA(FILTER('Top 250 HS'!B:B,'Top 250 HS'!C:C=I47)),1),TRUE)"),"Long Island Lutheran (Brookville)")</f>
        <v>Long Island Lutheran (Brookville)</v>
      </c>
      <c r="Q47" s="13" t="b">
        <f>ISNUMBER(MATCH("*"&amp;E47&amp;"*",'Top 1500 HS LatitudeLongitude'!G:G,0))</f>
        <v>0</v>
      </c>
      <c r="R47" s="13" t="str">
        <f ca="1">IFERROR(__xludf.DUMMYFUNCTION("IFS(L47=10,"""",Q47=false,"""",N47=5,"""",Q47=true,SORTN(FILTER('Top 1500 HS LatitudeLongitude'!B:B,'Top 1500 HS LatitudeLongitude'!C:C=I47,'Top 1500 HS LatitudeLongitude'!E:E=H47),1,0,randarray(COUNTA(FILTER('Top 1500 HS LatitudeLongitude'!B:B,'Top 1500 "&amp;"HS LatitudeLongitude'!C:C=I47,'Top 1500 HS LatitudeLongitude'!E:E=H47)),1),TRUE)
)"),"")</f>
        <v/>
      </c>
      <c r="S47" s="13" t="b">
        <f>ISNUMBER(MATCH("*"&amp;H:H&amp;"*",'Public Schools'!C:C,0))</f>
        <v>1</v>
      </c>
      <c r="T47" s="13" t="str">
        <f ca="1">IFERROR(__xludf.DUMMYFUNCTION("IFERROR(IF(AND(R47="""",S47=true), SORTN(FILTER('Public Schools'!A:A,'Public Schools'!B:B=J47,'Public Schools'!C:C=H47),1,0,randarray(COUNTA(FILTER('Public Schools'!A:A,'Public Schools'!B:B=J47,'Public Schools'!C:C=H47)),1),TRUE),""""),"""")"),"Lower Manhattan Arts Academy")</f>
        <v>Lower Manhattan Arts Academy</v>
      </c>
      <c r="U47" s="23" t="str">
        <f t="array" aca="1" ref="U47" ca="1">IF(AND(R47="",T47=""),INDEX('Top 1500 HS LatitudeLongitude'!B$2:B$1501,MATCH(MIN(SQRT(('Top 1500 HS LatitudeLongitude'!H$2:H$1501-F47)^2+('Top 1500 HS LatitudeLongitude'!I$2:I$1501-G47)^2)),SQRT( ('Top 1500 HS LatitudeLongitude'!H$2:H$1501-F47)^2+('Top 1500 HS LatitudeLongitude'!I$2:I$1501-G47)^2),0),1),"")</f>
        <v/>
      </c>
    </row>
    <row r="48" spans="2:21" ht="15.6">
      <c r="B48" s="8">
        <v>0.56544379519999999</v>
      </c>
      <c r="C48" s="9" t="s">
        <v>47</v>
      </c>
      <c r="D48" s="9" t="s">
        <v>260</v>
      </c>
      <c r="E48" s="98" t="s">
        <v>1116</v>
      </c>
      <c r="F48" s="8">
        <v>35.482199999999999</v>
      </c>
      <c r="G48" s="8">
        <v>-79.177300000000002</v>
      </c>
      <c r="H48" s="3" t="str">
        <f t="shared" si="0"/>
        <v>Riverside</v>
      </c>
      <c r="I48" s="3" t="str">
        <f t="shared" si="1"/>
        <v>CA</v>
      </c>
      <c r="J48" s="3" t="str">
        <f t="array" ref="J48">INDEX('State Abbreviations'!$B$2:$B$52,MATCH(I48,'State Abbreviations'!$A$2:$A$52,0))</f>
        <v>California</v>
      </c>
      <c r="K48" s="94" t="e">
        <f t="shared" ca="1" si="2"/>
        <v>#NAME?</v>
      </c>
      <c r="L48" s="13">
        <f t="shared" ca="1" si="5"/>
        <v>9</v>
      </c>
      <c r="M48" s="13" t="str">
        <f ca="1">IFERROR(__xludf.DUMMYFUNCTION("IF(AND(L48&gt;3,I48&lt;&gt;""AL"",I48&lt;&gt;""AK"",I48&lt;&gt;""AZ"",I48&lt;&gt;""AR"",I48&lt;&gt;""CA"",I48&lt;&gt;""CO"",I48&lt;&gt;""CT"",I48&lt;&gt;""DE"",I48&lt;&gt;""DC"",I48&lt;&gt;""FL"",I48&lt;&gt;""GA"",I48&lt;&gt;""HI"",I48&lt;&gt;""ID"",I48&lt;&gt;""IL"",I48&lt;&gt;""IN"",I48&lt;&gt;""IA"",I48&lt;&gt;""KS"",I48&lt;&gt;""KY"",I48&lt;&gt;""LA"",I48&lt;&gt;""ME"",I4"&amp;"8&lt;&gt;""MD"",I48&lt;&gt;""MA"",I48&lt;&gt;""MI"",I48&lt;&gt;""MN"",I48&lt;&gt;""MS"",I48&lt;&gt;""MO"",I48&lt;&gt;""MT"",I48&lt;&gt;""NE"",I48&lt;&gt;""NV"",I48&lt;&gt;""NH"",I48&lt;&gt;""NJ"",I48&lt;&gt;""NM"",I48&lt;&gt;""NY"",I48&lt;&gt;""NC"",I48&lt;&gt;""ND"",I48&lt;&gt;""OH"",I48&lt;&gt;""OK"",I48&lt;&gt;""OR"",I48&lt;&gt;""PA"",I48&lt;&gt;""RI"",I48&lt;&gt;""SC"",I48&lt;&gt;"&amp;"""SD"",I48&lt;&gt;""TN"",I48&lt;&gt;""TX"",I48&lt;&gt;""UT"",I48&lt;&gt;""VT"",I48&lt;&gt;""VA"",I48&lt;&gt;""WA"",I48&lt;&gt;""WV"",I48&lt;&gt;""WI"",I48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StateInternational'!$G$2:$G$121&lt;&gt;"""")},2,0)),IF(L48=10"&amp;",ArrayFormula(VLOOKUP(QUERY(UNIQUE(RANDBETWEEN(ROW(INDIRECT(""A1:A""&amp;COUNTA('Leaving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48" s="13">
        <f t="shared" ca="1" si="6"/>
        <v>2</v>
      </c>
      <c r="O48" s="13" t="b">
        <f>ISNUMBER(MATCH(C48,'Top 250 HS'!C:C,0))</f>
        <v>0</v>
      </c>
      <c r="P48" s="13" t="str">
        <f ca="1">IFERROR(__xludf.DUMMYFUNCTION("SORTN(FILTER('Top 250 HS'!B:B,'Top 250 HS'!C:C=I48),1,0,randarray(COUNTA(FILTER('Top 250 HS'!B:B,'Top 250 HS'!C:C=I48)),1),TRUE)"),"Bishop O'Dowd (Oakland)")</f>
        <v>Bishop O'Dowd (Oakland)</v>
      </c>
      <c r="Q48" s="13" t="b">
        <f>ISNUMBER(MATCH("*"&amp;E48&amp;"*",'Top 1500 HS LatitudeLongitude'!G:G,0))</f>
        <v>1</v>
      </c>
      <c r="R48" s="13" t="str">
        <f ca="1">IFERROR(__xludf.DUMMYFUNCTION("IFS(L48=10,"""",Q48=false,"""",N48=5,"""",Q48=true,SORTN(FILTER('Top 1500 HS LatitudeLongitude'!B:B,'Top 1500 HS LatitudeLongitude'!C:C=I48,'Top 1500 HS LatitudeLongitude'!E:E=H48),1,0,randarray(COUNTA(FILTER('Top 1500 HS LatitudeLongitude'!B:B,'Top 1500 "&amp;"HS LatitudeLongitude'!C:C=I48,'Top 1500 HS LatitudeLongitude'!E:E=H48)),1),TRUE)
)"),"Hillcrest (Riverside)")</f>
        <v>Hillcrest (Riverside)</v>
      </c>
      <c r="S48" s="13" t="b">
        <f>ISNUMBER(MATCH("*"&amp;H:H&amp;"*",'Public Schools'!C:C,0))</f>
        <v>1</v>
      </c>
      <c r="T48" s="13" t="str">
        <f ca="1">IFERROR(__xludf.DUMMYFUNCTION("IFERROR(IF(AND(R48="""",S48=true), SORTN(FILTER('Public Schools'!A:A,'Public Schools'!B:B=J48,'Public Schools'!C:C=H48),1,0,randarray(COUNTA(FILTER('Public Schools'!A:A,'Public Schools'!B:B=J48,'Public Schools'!C:C=H48)),1),TRUE),""""),"""")"),"")</f>
        <v/>
      </c>
      <c r="U48" s="23" t="str">
        <f t="array" aca="1" ref="U48" ca="1">IF(AND(R48="",T48=""),INDEX('Top 1500 HS LatitudeLongitude'!B$2:B$1501,MATCH(MIN(SQRT(('Top 1500 HS LatitudeLongitude'!H$2:H$1501-F48)^2+('Top 1500 HS LatitudeLongitude'!I$2:I$1501-G48)^2)),SQRT( ('Top 1500 HS LatitudeLongitude'!H$2:H$1501-F48)^2+('Top 1500 HS LatitudeLongitude'!I$2:I$1501-G48)^2),0),1),"")</f>
        <v/>
      </c>
    </row>
    <row r="49" spans="2:21" ht="15.6">
      <c r="B49" s="8">
        <v>0.47867611459999998</v>
      </c>
      <c r="C49" s="9" t="s">
        <v>206</v>
      </c>
      <c r="D49" s="9" t="s">
        <v>261</v>
      </c>
      <c r="E49" s="37" t="s">
        <v>1144</v>
      </c>
      <c r="F49" s="8">
        <v>42.890900000000002</v>
      </c>
      <c r="G49" s="8">
        <v>-85.706699999999998</v>
      </c>
      <c r="H49" s="3" t="str">
        <f t="shared" si="0"/>
        <v>Cedar Hill</v>
      </c>
      <c r="I49" s="3" t="str">
        <f t="shared" si="1"/>
        <v>TX</v>
      </c>
      <c r="J49" s="3" t="str">
        <f t="array" ref="J49">INDEX('State Abbreviations'!$B$2:$B$52,MATCH(I49,'State Abbreviations'!$A$2:$A$52,0))</f>
        <v>Texas</v>
      </c>
      <c r="K49" s="94" t="e">
        <f t="shared" ca="1" si="2"/>
        <v>#NAME?</v>
      </c>
      <c r="L49" s="13">
        <f t="shared" ca="1" si="5"/>
        <v>19</v>
      </c>
      <c r="M49" s="13" t="str">
        <f ca="1">IFERROR(__xludf.DUMMYFUNCTION("IF(AND(L49&gt;3,I49&lt;&gt;""AL"",I49&lt;&gt;""AK"",I49&lt;&gt;""AZ"",I49&lt;&gt;""AR"",I49&lt;&gt;""CA"",I49&lt;&gt;""CO"",I49&lt;&gt;""CT"",I49&lt;&gt;""DE"",I49&lt;&gt;""DC"",I49&lt;&gt;""FL"",I49&lt;&gt;""GA"",I49&lt;&gt;""HI"",I49&lt;&gt;""ID"",I49&lt;&gt;""IL"",I49&lt;&gt;""IN"",I49&lt;&gt;""IA"",I49&lt;&gt;""KS"",I49&lt;&gt;""KY"",I49&lt;&gt;""LA"",I49&lt;&gt;""ME"",I4"&amp;"9&lt;&gt;""MD"",I49&lt;&gt;""MA"",I49&lt;&gt;""MI"",I49&lt;&gt;""MN"",I49&lt;&gt;""MS"",I49&lt;&gt;""MO"",I49&lt;&gt;""MT"",I49&lt;&gt;""NE"",I49&lt;&gt;""NV"",I49&lt;&gt;""NH"",I49&lt;&gt;""NJ"",I49&lt;&gt;""NM"",I49&lt;&gt;""NY"",I49&lt;&gt;""NC"",I49&lt;&gt;""ND"",I49&lt;&gt;""OH"",I49&lt;&gt;""OK"",I49&lt;&gt;""OR"",I49&lt;&gt;""PA"",I49&lt;&gt;""RI"",I49&lt;&gt;""SC"",I49&lt;&gt;"&amp;"""SD"",I49&lt;&gt;""TN"",I49&lt;&gt;""TX"",I49&lt;&gt;""UT"",I49&lt;&gt;""VT"",I49&lt;&gt;""VA"",I49&lt;&gt;""WA"",I49&lt;&gt;""WV"",I49&lt;&gt;""WI"",I49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StateInternational'!$G$2:$G$121&lt;&gt;"""")},2,0)),IF(L49=10"&amp;",ArrayFormula(VLOOKUP(QUERY(UNIQUE(RANDBETWEEN(ROW(INDIRECT(""A1:A""&amp;COUNTA('Leaving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49" s="13">
        <f t="shared" ca="1" si="6"/>
        <v>6</v>
      </c>
      <c r="O49" s="13" t="b">
        <f>ISNUMBER(MATCH(C49,'Top 250 HS'!C:C,0))</f>
        <v>0</v>
      </c>
      <c r="P49" s="13" t="str">
        <f ca="1">IFERROR(__xludf.DUMMYFUNCTION("SORTN(FILTER('Top 250 HS'!B:B,'Top 250 HS'!C:C=I49),1,0,randarray(COUNTA(FILTER('Top 250 HS'!B:B,'Top 250 HS'!C:C=I49)),1),TRUE)"),"Duncanville")</f>
        <v>Duncanville</v>
      </c>
      <c r="Q49" s="13" t="b">
        <f>ISNUMBER(MATCH("*"&amp;E49&amp;"*",'Top 1500 HS LatitudeLongitude'!G:G,0))</f>
        <v>0</v>
      </c>
      <c r="R49" s="13" t="str">
        <f ca="1">IFERROR(__xludf.DUMMYFUNCTION("IFS(L49=10,"""",Q49=false,"""",N49=5,"""",Q49=true,SORTN(FILTER('Top 1500 HS LatitudeLongitude'!B:B,'Top 1500 HS LatitudeLongitude'!C:C=I49,'Top 1500 HS LatitudeLongitude'!E:E=H49),1,0,randarray(COUNTA(FILTER('Top 1500 HS LatitudeLongitude'!B:B,'Top 1500 "&amp;"HS LatitudeLongitude'!C:C=I49,'Top 1500 HS LatitudeLongitude'!E:E=H49)),1),TRUE)
)"),"")</f>
        <v/>
      </c>
      <c r="S49" s="13" t="b">
        <f>ISNUMBER(MATCH("*"&amp;H:H&amp;"*",'Public Schools'!C:C,0))</f>
        <v>1</v>
      </c>
      <c r="T49" s="13" t="str">
        <f ca="1">IFERROR(__xludf.DUMMYFUNCTION("IFERROR(IF(AND(R49="""",S49=true), SORTN(FILTER('Public Schools'!A:A,'Public Schools'!B:B=J49,'Public Schools'!C:C=H49),1,0,randarray(COUNTA(FILTER('Public Schools'!A:A,'Public Schools'!B:B=J49,'Public Schools'!C:C=H49)),1),TRUE),""""),"""")"),"Cedar Hill Collegiate H S")</f>
        <v>Cedar Hill Collegiate H S</v>
      </c>
      <c r="U49" s="23" t="str">
        <f t="array" aca="1" ref="U49" ca="1">IF(AND(R49="",T49=""),INDEX('Top 1500 HS LatitudeLongitude'!B$2:B$1501,MATCH(MIN(SQRT(('Top 1500 HS LatitudeLongitude'!H$2:H$1501-F49)^2+('Top 1500 HS LatitudeLongitude'!I$2:I$1501-G49)^2)),SQRT( ('Top 1500 HS LatitudeLongitude'!H$2:H$1501-F49)^2+('Top 1500 HS LatitudeLongitude'!I$2:I$1501-G49)^2),0),1),"")</f>
        <v/>
      </c>
    </row>
    <row r="50" spans="2:21" ht="15.6">
      <c r="B50" s="8">
        <v>0.63472296709999998</v>
      </c>
      <c r="C50" s="9" t="s">
        <v>262</v>
      </c>
      <c r="D50" s="9" t="s">
        <v>263</v>
      </c>
      <c r="E50" s="98" t="s">
        <v>1170</v>
      </c>
      <c r="F50" s="8">
        <v>40.694299999999998</v>
      </c>
      <c r="G50" s="8">
        <v>-73.924899999999994</v>
      </c>
      <c r="H50" s="3" t="str">
        <f t="shared" si="0"/>
        <v>Jasper</v>
      </c>
      <c r="I50" s="3" t="str">
        <f t="shared" si="1"/>
        <v>AL</v>
      </c>
      <c r="J50" s="3" t="str">
        <f t="array" ref="J50">INDEX('State Abbreviations'!$B$2:$B$52,MATCH(I50,'State Abbreviations'!$A$2:$A$52,0))</f>
        <v>Alabama</v>
      </c>
      <c r="K50" s="94" t="e">
        <f t="shared" ca="1" si="2"/>
        <v>#NAME?</v>
      </c>
      <c r="L50" s="13">
        <f t="shared" ca="1" si="5"/>
        <v>3</v>
      </c>
      <c r="M50" s="13" t="str">
        <f ca="1">IFERROR(__xludf.DUMMYFUNCTION("IF(AND(L50&gt;3,I50&lt;&gt;""AL"",I50&lt;&gt;""AK"",I50&lt;&gt;""AZ"",I50&lt;&gt;""AR"",I50&lt;&gt;""CA"",I50&lt;&gt;""CO"",I50&lt;&gt;""CT"",I50&lt;&gt;""DE"",I50&lt;&gt;""DC"",I50&lt;&gt;""FL"",I50&lt;&gt;""GA"",I50&lt;&gt;""HI"",I50&lt;&gt;""ID"",I50&lt;&gt;""IL"",I50&lt;&gt;""IN"",I50&lt;&gt;""IA"",I50&lt;&gt;""KS"",I50&lt;&gt;""KY"",I50&lt;&gt;""LA"",I50&lt;&gt;""ME"",I5"&amp;"0&lt;&gt;""MD"",I50&lt;&gt;""MA"",I50&lt;&gt;""MI"",I50&lt;&gt;""MN"",I50&lt;&gt;""MS"",I50&lt;&gt;""MO"",I50&lt;&gt;""MT"",I50&lt;&gt;""NE"",I50&lt;&gt;""NV"",I50&lt;&gt;""NH"",I50&lt;&gt;""NJ"",I50&lt;&gt;""NM"",I50&lt;&gt;""NY"",I50&lt;&gt;""NC"",I50&lt;&gt;""ND"",I50&lt;&gt;""OH"",I50&lt;&gt;""OK"",I50&lt;&gt;""OR"",I50&lt;&gt;""PA"",I50&lt;&gt;""RI"",I50&lt;&gt;""SC"",I50&lt;&gt;"&amp;"""SD"",I50&lt;&gt;""TN"",I50&lt;&gt;""TX"",I50&lt;&gt;""UT"",I50&lt;&gt;""VT"",I50&lt;&gt;""VA"",I50&lt;&gt;""WA"",I50&lt;&gt;""WV"",I50&lt;&gt;""WI"",I50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StateInternational'!$G$2:$G$121&lt;&gt;"""")},2,0)),IF(L50=10"&amp;",ArrayFormula(VLOOKUP(QUERY(UNIQUE(RANDBETWEEN(ROW(INDIRECT(""A1:A""&amp;COUNTA('Leaving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50" s="13">
        <f t="shared" ca="1" si="6"/>
        <v>5</v>
      </c>
      <c r="O50" s="13" t="b">
        <f>ISNUMBER(MATCH(C50,'Top 250 HS'!C:C,0))</f>
        <v>0</v>
      </c>
      <c r="P50" s="13" t="str">
        <f ca="1">IFERROR(__xludf.DUMMYFUNCTION("SORTN(FILTER('Top 250 HS'!B:B,'Top 250 HS'!C:C=I50),1,0,randarray(COUNTA(FILTER('Top 250 HS'!B:B,'Top 250 HS'!C:C=I50)),1),TRUE)"),"Lee (Montgomery)")</f>
        <v>Lee (Montgomery)</v>
      </c>
      <c r="Q50" s="13" t="b">
        <f>ISNUMBER(MATCH("*"&amp;E50&amp;"*",'Top 1500 HS LatitudeLongitude'!G:G,0))</f>
        <v>0</v>
      </c>
      <c r="R50" s="13" t="str">
        <f ca="1">IFERROR(__xludf.DUMMYFUNCTION("IFS(L50=10,"""",Q50=false,"""",N50=5,"""",Q50=true,SORTN(FILTER('Top 1500 HS LatitudeLongitude'!B:B,'Top 1500 HS LatitudeLongitude'!C:C=I50,'Top 1500 HS LatitudeLongitude'!E:E=H50),1,0,randarray(COUNTA(FILTER('Top 1500 HS LatitudeLongitude'!B:B,'Top 1500 "&amp;"HS LatitudeLongitude'!C:C=I50,'Top 1500 HS LatitudeLongitude'!E:E=H50)),1),TRUE)
)"),"")</f>
        <v/>
      </c>
      <c r="S50" s="13" t="b">
        <f>ISNUMBER(MATCH("*"&amp;H:H&amp;"*",'Public Schools'!C:C,0))</f>
        <v>1</v>
      </c>
      <c r="T50" s="13" t="str">
        <f ca="1">IFERROR(__xludf.DUMMYFUNCTION("IFERROR(IF(AND(R50="""",S50=true), SORTN(FILTER('Public Schools'!A:A,'Public Schools'!B:B=J50,'Public Schools'!C:C=H50),1,0,randarray(COUNTA(FILTER('Public Schools'!A:A,'Public Schools'!B:B=J50,'Public Schools'!C:C=H50)),1),TRUE),""""),"""")"),"Jasper High School")</f>
        <v>Jasper High School</v>
      </c>
      <c r="U50" s="23" t="str">
        <f t="array" aca="1" ref="U50" ca="1">IF(AND(R50="",T50=""),INDEX('Top 1500 HS LatitudeLongitude'!B$2:B$1501,MATCH(MIN(SQRT(('Top 1500 HS LatitudeLongitude'!H$2:H$1501-F50)^2+('Top 1500 HS LatitudeLongitude'!I$2:I$1501-G50)^2)),SQRT( ('Top 1500 HS LatitudeLongitude'!H$2:H$1501-F50)^2+('Top 1500 HS LatitudeLongitude'!I$2:I$1501-G50)^2),0),1),"")</f>
        <v/>
      </c>
    </row>
    <row r="51" spans="2:21" ht="15.6">
      <c r="B51" s="8">
        <v>0.42781101059999999</v>
      </c>
      <c r="C51" s="24" t="s">
        <v>264</v>
      </c>
      <c r="D51" s="9" t="s">
        <v>265</v>
      </c>
      <c r="E51" s="25" t="s">
        <v>1199</v>
      </c>
      <c r="F51" s="8">
        <v>39.305100000000003</v>
      </c>
      <c r="G51" s="8">
        <v>-76.614400000000003</v>
      </c>
      <c r="H51" s="3" t="str">
        <f t="shared" si="0"/>
        <v>Eugene</v>
      </c>
      <c r="I51" s="3" t="str">
        <f t="shared" si="1"/>
        <v>OR</v>
      </c>
      <c r="J51" s="3" t="str">
        <f t="array" ref="J51">INDEX('State Abbreviations'!$B$2:$B$52,MATCH(I51,'State Abbreviations'!$A$2:$A$52,0))</f>
        <v>Oregon</v>
      </c>
      <c r="K51" s="94" t="e">
        <f t="shared" ca="1" si="2"/>
        <v>#NAME?</v>
      </c>
      <c r="L51" s="13">
        <f t="shared" ca="1" si="5"/>
        <v>10</v>
      </c>
      <c r="M51" s="13" t="str">
        <f ca="1">IFERROR(__xludf.DUMMYFUNCTION("IF(AND(L51&gt;3,I51&lt;&gt;""AL"",I51&lt;&gt;""AK"",I51&lt;&gt;""AZ"",I51&lt;&gt;""AR"",I51&lt;&gt;""CA"",I51&lt;&gt;""CO"",I51&lt;&gt;""CT"",I51&lt;&gt;""DE"",I51&lt;&gt;""DC"",I51&lt;&gt;""FL"",I51&lt;&gt;""GA"",I51&lt;&gt;""HI"",I51&lt;&gt;""ID"",I51&lt;&gt;""IL"",I51&lt;&gt;""IN"",I51&lt;&gt;""IA"",I51&lt;&gt;""KS"",I51&lt;&gt;""KY"",I51&lt;&gt;""LA"",I51&lt;&gt;""ME"",I5"&amp;"1&lt;&gt;""MD"",I51&lt;&gt;""MA"",I51&lt;&gt;""MI"",I51&lt;&gt;""MN"",I51&lt;&gt;""MS"",I51&lt;&gt;""MO"",I51&lt;&gt;""MT"",I51&lt;&gt;""NE"",I51&lt;&gt;""NV"",I51&lt;&gt;""NH"",I51&lt;&gt;""NJ"",I51&lt;&gt;""NM"",I51&lt;&gt;""NY"",I51&lt;&gt;""NC"",I51&lt;&gt;""ND"",I51&lt;&gt;""OH"",I51&lt;&gt;""OK"",I51&lt;&gt;""OR"",I51&lt;&gt;""PA"",I51&lt;&gt;""RI"",I51&lt;&gt;""SC"",I51&lt;&gt;"&amp;"""SD"",I51&lt;&gt;""TN"",I51&lt;&gt;""TX"",I51&lt;&gt;""UT"",I51&lt;&gt;""VT"",I51&lt;&gt;""VA"",I51&lt;&gt;""WA"",I51&lt;&gt;""WV"",I51&lt;&gt;""WI"",I51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StateInternational'!$G$2:$G$121&lt;&gt;"""")},2,0)),IF(L51=10"&amp;",ArrayFormula(VLOOKUP(QUERY(UNIQUE(RANDBETWEEN(ROW(INDIRECT(""A1:A""&amp;COUNTA('Leaving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51" s="13">
        <f t="shared" ca="1" si="6"/>
        <v>7</v>
      </c>
      <c r="O51" s="13" t="b">
        <f>ISNUMBER(MATCH(C51,'Top 250 HS'!C:C,0))</f>
        <v>0</v>
      </c>
      <c r="P51" s="13" t="str">
        <f ca="1">IFERROR(__xludf.DUMMYFUNCTION("SORTN(FILTER('Top 250 HS'!B:B,'Top 250 HS'!C:C=I51),1,0,randarray(COUNTA(FILTER('Top 250 HS'!B:B,'Top 250 HS'!C:C=I51)),1),TRUE)"),"Churchill (Eugene)")</f>
        <v>Churchill (Eugene)</v>
      </c>
      <c r="Q51" s="13" t="b">
        <f>ISNUMBER(MATCH("*"&amp;E51&amp;"*",'Top 1500 HS LatitudeLongitude'!G:G,0))</f>
        <v>1</v>
      </c>
      <c r="R51" s="13" t="str">
        <f ca="1">IFERROR(__xludf.DUMMYFUNCTION("IFS(L51=10,"""",Q51=false,"""",N51=5,"""",Q51=true,SORTN(FILTER('Top 1500 HS LatitudeLongitude'!B:B,'Top 1500 HS LatitudeLongitude'!C:C=I51,'Top 1500 HS LatitudeLongitude'!E:E=H51),1,0,randarray(COUNTA(FILTER('Top 1500 HS LatitudeLongitude'!B:B,'Top 1500 "&amp;"HS LatitudeLongitude'!C:C=I51,'Top 1500 HS LatitudeLongitude'!E:E=H51)),1),TRUE)
)"),"Churchill (Eugene)")</f>
        <v>Churchill (Eugene)</v>
      </c>
      <c r="S51" s="13" t="b">
        <f>ISNUMBER(MATCH("*"&amp;H:H&amp;"*",'Public Schools'!C:C,0))</f>
        <v>1</v>
      </c>
      <c r="T51" s="13" t="str">
        <f ca="1">IFERROR(__xludf.DUMMYFUNCTION("IFERROR(IF(AND(R51="""",S51=true), SORTN(FILTER('Public Schools'!A:A,'Public Schools'!B:B=J51,'Public Schools'!C:C=H51),1,0,randarray(COUNTA(FILTER('Public Schools'!A:A,'Public Schools'!B:B=J51,'Public Schools'!C:C=H51)),1),TRUE),""""),"""")"),"")</f>
        <v/>
      </c>
      <c r="U51" s="23" t="str">
        <f t="array" aca="1" ref="U51" ca="1">IF(AND(R51="",T51=""),INDEX('Top 1500 HS LatitudeLongitude'!B$2:B$1501,MATCH(MIN(SQRT(('Top 1500 HS LatitudeLongitude'!H$2:H$1501-F51)^2+('Top 1500 HS LatitudeLongitude'!I$2:I$1501-G51)^2)),SQRT( ('Top 1500 HS LatitudeLongitude'!H$2:H$1501-F51)^2+('Top 1500 HS LatitudeLongitude'!I$2:I$1501-G51)^2),0),1),"")</f>
        <v/>
      </c>
    </row>
    <row r="52" spans="2:21" ht="15.6">
      <c r="B52" s="8">
        <v>0.43671307999999998</v>
      </c>
      <c r="C52" s="9" t="s">
        <v>266</v>
      </c>
      <c r="D52" s="9" t="s">
        <v>267</v>
      </c>
      <c r="E52" s="98" t="s">
        <v>1231</v>
      </c>
      <c r="F52" s="8">
        <v>39.305100000000003</v>
      </c>
      <c r="G52" s="8">
        <v>-76.614400000000003</v>
      </c>
      <c r="H52" s="3" t="str">
        <f t="shared" si="0"/>
        <v>Virginia Beach</v>
      </c>
      <c r="I52" s="3" t="str">
        <f t="shared" si="1"/>
        <v>VA</v>
      </c>
      <c r="J52" s="3" t="str">
        <f t="array" ref="J52">INDEX('State Abbreviations'!$B$2:$B$52,MATCH(I52,'State Abbreviations'!$A$2:$A$52,0))</f>
        <v>Virginia</v>
      </c>
      <c r="K52" s="94" t="e">
        <f t="shared" ca="1" si="2"/>
        <v>#NAME?</v>
      </c>
      <c r="L52" s="13">
        <f t="shared" ca="1" si="5"/>
        <v>19</v>
      </c>
      <c r="M52" s="13" t="str">
        <f ca="1">IFERROR(__xludf.DUMMYFUNCTION("IF(AND(L52&gt;3,I52&lt;&gt;""AL"",I52&lt;&gt;""AK"",I52&lt;&gt;""AZ"",I52&lt;&gt;""AR"",I52&lt;&gt;""CA"",I52&lt;&gt;""CO"",I52&lt;&gt;""CT"",I52&lt;&gt;""DE"",I52&lt;&gt;""DC"",I52&lt;&gt;""FL"",I52&lt;&gt;""GA"",I52&lt;&gt;""HI"",I52&lt;&gt;""ID"",I52&lt;&gt;""IL"",I52&lt;&gt;""IN"",I52&lt;&gt;""IA"",I52&lt;&gt;""KS"",I52&lt;&gt;""KY"",I52&lt;&gt;""LA"",I52&lt;&gt;""ME"",I5"&amp;"2&lt;&gt;""MD"",I52&lt;&gt;""MA"",I52&lt;&gt;""MI"",I52&lt;&gt;""MN"",I52&lt;&gt;""MS"",I52&lt;&gt;""MO"",I52&lt;&gt;""MT"",I52&lt;&gt;""NE"",I52&lt;&gt;""NV"",I52&lt;&gt;""NH"",I52&lt;&gt;""NJ"",I52&lt;&gt;""NM"",I52&lt;&gt;""NY"",I52&lt;&gt;""NC"",I52&lt;&gt;""ND"",I52&lt;&gt;""OH"",I52&lt;&gt;""OK"",I52&lt;&gt;""OR"",I52&lt;&gt;""PA"",I52&lt;&gt;""RI"",I52&lt;&gt;""SC"",I52&lt;&gt;"&amp;"""SD"",I52&lt;&gt;""TN"",I52&lt;&gt;""TX"",I52&lt;&gt;""UT"",I52&lt;&gt;""VT"",I52&lt;&gt;""VA"",I52&lt;&gt;""WA"",I52&lt;&gt;""WV"",I52&lt;&gt;""WI"",I52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StateInternational'!$G$2:$G$121&lt;&gt;"""")},2,0)),IF(L52=10"&amp;",ArrayFormula(VLOOKUP(QUERY(UNIQUE(RANDBETWEEN(ROW(INDIRECT(""A1:A""&amp;COUNTA('Leaving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52" s="13">
        <f t="shared" ca="1" si="6"/>
        <v>3</v>
      </c>
      <c r="O52" s="13" t="b">
        <f>ISNUMBER(MATCH(C52,'Top 250 HS'!C:C,0))</f>
        <v>0</v>
      </c>
      <c r="P52" s="13" t="str">
        <f ca="1">IFERROR(__xludf.DUMMYFUNCTION("SORTN(FILTER('Top 250 HS'!B:B,'Top 250 HS'!C:C=I52),1,0,randarray(COUNTA(FILTER('Top 250 HS'!B:B,'Top 250 HS'!C:C=I52)),1),TRUE)"),"Blue Ridge (St. George)")</f>
        <v>Blue Ridge (St. George)</v>
      </c>
      <c r="Q52" s="13" t="b">
        <f>ISNUMBER(MATCH("*"&amp;E52&amp;"*",'Top 1500 HS LatitudeLongitude'!G:G,0))</f>
        <v>1</v>
      </c>
      <c r="R52" s="13" t="str">
        <f ca="1">IFERROR(__xludf.DUMMYFUNCTION("IFS(L52=10,"""",Q52=false,"""",N52=5,"""",Q52=true,SORTN(FILTER('Top 1500 HS LatitudeLongitude'!B:B,'Top 1500 HS LatitudeLongitude'!C:C=I52,'Top 1500 HS LatitudeLongitude'!E:E=H52),1,0,randarray(COUNTA(FILTER('Top 1500 HS LatitudeLongitude'!B:B,'Top 1500 "&amp;"HS LatitudeLongitude'!C:C=I52,'Top 1500 HS LatitudeLongitude'!E:E=H52)),1),TRUE)
)"),"Cape Henry Collegiate (Virginia Beach)")</f>
        <v>Cape Henry Collegiate (Virginia Beach)</v>
      </c>
      <c r="S52" s="13" t="b">
        <f>ISNUMBER(MATCH("*"&amp;H:H&amp;"*",'Public Schools'!C:C,0))</f>
        <v>1</v>
      </c>
      <c r="T52" s="13" t="str">
        <f ca="1">IFERROR(__xludf.DUMMYFUNCTION("IFERROR(IF(AND(R52="""",S52=true), SORTN(FILTER('Public Schools'!A:A,'Public Schools'!B:B=J52,'Public Schools'!C:C=H52),1,0,randarray(COUNTA(FILTER('Public Schools'!A:A,'Public Schools'!B:B=J52,'Public Schools'!C:C=H52)),1),TRUE),""""),"""")"),"")</f>
        <v/>
      </c>
      <c r="U52" s="23" t="str">
        <f t="array" aca="1" ref="U52" ca="1">IF(AND(R52="",T52=""),INDEX('Top 1500 HS LatitudeLongitude'!B$2:B$1501,MATCH(MIN(SQRT(('Top 1500 HS LatitudeLongitude'!H$2:H$1501-F52)^2+('Top 1500 HS LatitudeLongitude'!I$2:I$1501-G52)^2)),SQRT( ('Top 1500 HS LatitudeLongitude'!H$2:H$1501-F52)^2+('Top 1500 HS LatitudeLongitude'!I$2:I$1501-G52)^2),0),1),"")</f>
        <v/>
      </c>
    </row>
    <row r="53" spans="2:21" ht="15.6">
      <c r="B53" s="8">
        <v>0.28534961339999998</v>
      </c>
      <c r="C53" s="9" t="s">
        <v>254</v>
      </c>
      <c r="D53" s="9" t="s">
        <v>268</v>
      </c>
      <c r="E53" s="37" t="s">
        <v>1261</v>
      </c>
      <c r="F53" s="8">
        <v>41.837299999999999</v>
      </c>
      <c r="G53" s="8">
        <v>-87.686099999999996</v>
      </c>
      <c r="H53" s="3" t="str">
        <f t="shared" si="0"/>
        <v>Chicago</v>
      </c>
      <c r="I53" s="3" t="str">
        <f t="shared" si="1"/>
        <v>IL</v>
      </c>
      <c r="J53" s="3" t="str">
        <f t="array" ref="J53">INDEX('State Abbreviations'!$B$2:$B$52,MATCH(I53,'State Abbreviations'!$A$2:$A$52,0))</f>
        <v>Illinois</v>
      </c>
      <c r="K53" s="94" t="e">
        <f t="shared" ca="1" si="2"/>
        <v>#NAME?</v>
      </c>
      <c r="L53" s="13">
        <f t="shared" ca="1" si="5"/>
        <v>4</v>
      </c>
      <c r="M53" s="13" t="str">
        <f ca="1">IFERROR(__xludf.DUMMYFUNCTION("IF(AND(L53&gt;3,I53&lt;&gt;""AL"",I53&lt;&gt;""AK"",I53&lt;&gt;""AZ"",I53&lt;&gt;""AR"",I53&lt;&gt;""CA"",I53&lt;&gt;""CO"",I53&lt;&gt;""CT"",I53&lt;&gt;""DE"",I53&lt;&gt;""DC"",I53&lt;&gt;""FL"",I53&lt;&gt;""GA"",I53&lt;&gt;""HI"",I53&lt;&gt;""ID"",I53&lt;&gt;""IL"",I53&lt;&gt;""IN"",I53&lt;&gt;""IA"",I53&lt;&gt;""KS"",I53&lt;&gt;""KY"",I53&lt;&gt;""LA"",I53&lt;&gt;""ME"",I5"&amp;"3&lt;&gt;""MD"",I53&lt;&gt;""MA"",I53&lt;&gt;""MI"",I53&lt;&gt;""MN"",I53&lt;&gt;""MS"",I53&lt;&gt;""MO"",I53&lt;&gt;""MT"",I53&lt;&gt;""NE"",I53&lt;&gt;""NV"",I53&lt;&gt;""NH"",I53&lt;&gt;""NJ"",I53&lt;&gt;""NM"",I53&lt;&gt;""NY"",I53&lt;&gt;""NC"",I53&lt;&gt;""ND"",I53&lt;&gt;""OH"",I53&lt;&gt;""OK"",I53&lt;&gt;""OR"",I53&lt;&gt;""PA"",I53&lt;&gt;""RI"",I53&lt;&gt;""SC"",I53&lt;&gt;"&amp;"""SD"",I53&lt;&gt;""TN"",I53&lt;&gt;""TX"",I53&lt;&gt;""UT"",I53&lt;&gt;""VT"",I53&lt;&gt;""VA"",I53&lt;&gt;""WA"",I53&lt;&gt;""WV"",I53&lt;&gt;""WI"",I53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StateInternational'!$G$2:$G$121&lt;&gt;"""")},2,0)),IF(L53=10"&amp;",ArrayFormula(VLOOKUP(QUERY(UNIQUE(RANDBETWEEN(ROW(INDIRECT(""A1:A""&amp;COUNTA('Leaving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53" s="13">
        <f t="shared" ca="1" si="6"/>
        <v>7</v>
      </c>
      <c r="O53" s="13" t="b">
        <f>ISNUMBER(MATCH(C53,'Top 250 HS'!C:C,0))</f>
        <v>0</v>
      </c>
      <c r="P53" s="13" t="str">
        <f ca="1">IFERROR(__xludf.DUMMYFUNCTION("SORTN(FILTER('Top 250 HS'!B:B,'Top 250 HS'!C:C=I53),1,0,randarray(COUNTA(FILTER('Top 250 HS'!B:B,'Top 250 HS'!C:C=I53)),1),TRUE)"),"Curie (Chicago)")</f>
        <v>Curie (Chicago)</v>
      </c>
      <c r="Q53" s="13" t="b">
        <f>ISNUMBER(MATCH("*"&amp;E53&amp;"*",'Top 1500 HS LatitudeLongitude'!G:G,0))</f>
        <v>1</v>
      </c>
      <c r="R53" s="13" t="str">
        <f ca="1">IFERROR(__xludf.DUMMYFUNCTION("IFS(L53=10,"""",Q53=false,"""",N53=5,"""",Q53=true,SORTN(FILTER('Top 1500 HS LatitudeLongitude'!B:B,'Top 1500 HS LatitudeLongitude'!C:C=I53,'Top 1500 HS LatitudeLongitude'!E:E=H53),1,0,randarray(COUNTA(FILTER('Top 1500 HS LatitudeLongitude'!B:B,'Top 1500 "&amp;"HS LatitudeLongitude'!C:C=I53,'Top 1500 HS LatitudeLongitude'!E:E=H53)),1),TRUE)
)"),"Lincoln Park (Chicago)")</f>
        <v>Lincoln Park (Chicago)</v>
      </c>
      <c r="S53" s="13" t="b">
        <f>ISNUMBER(MATCH("*"&amp;H:H&amp;"*",'Public Schools'!C:C,0))</f>
        <v>1</v>
      </c>
      <c r="T53" s="13" t="str">
        <f ca="1">IFERROR(__xludf.DUMMYFUNCTION("IFERROR(IF(AND(R53="""",S53=true), SORTN(FILTER('Public Schools'!A:A,'Public Schools'!B:B=J53,'Public Schools'!C:C=H53),1,0,randarray(COUNTA(FILTER('Public Schools'!A:A,'Public Schools'!B:B=J53,'Public Schools'!C:C=H53)),1),TRUE),""""),"""")"),"")</f>
        <v/>
      </c>
      <c r="U53" s="23" t="str">
        <f t="array" aca="1" ref="U53" ca="1">IF(AND(R53="",T53=""),INDEX('Top 1500 HS LatitudeLongitude'!B$2:B$1501,MATCH(MIN(SQRT(('Top 1500 HS LatitudeLongitude'!H$2:H$1501-F53)^2+('Top 1500 HS LatitudeLongitude'!I$2:I$1501-G53)^2)),SQRT( ('Top 1500 HS LatitudeLongitude'!H$2:H$1501-F53)^2+('Top 1500 HS LatitudeLongitude'!I$2:I$1501-G53)^2),0),1),"")</f>
        <v/>
      </c>
    </row>
    <row r="54" spans="2:21" ht="15.6">
      <c r="B54" s="8">
        <v>0.329608085</v>
      </c>
      <c r="C54" s="9" t="s">
        <v>217</v>
      </c>
      <c r="D54" s="9" t="s">
        <v>269</v>
      </c>
      <c r="E54" s="98" t="s">
        <v>1290</v>
      </c>
      <c r="F54" s="8">
        <v>38.209600000000002</v>
      </c>
      <c r="G54" s="8">
        <v>-89.999499999999998</v>
      </c>
      <c r="H54" s="3" t="str">
        <f t="shared" si="0"/>
        <v>North Platte</v>
      </c>
      <c r="I54" s="3" t="str">
        <f t="shared" si="1"/>
        <v>NE</v>
      </c>
      <c r="J54" s="3" t="str">
        <f t="array" ref="J54">INDEX('State Abbreviations'!$B$2:$B$52,MATCH(I54,'State Abbreviations'!$A$2:$A$52,0))</f>
        <v>Nebraska</v>
      </c>
      <c r="K54" s="94" t="e">
        <f t="shared" ca="1" si="2"/>
        <v>#NAME?</v>
      </c>
      <c r="L54" s="13">
        <f t="shared" ca="1" si="5"/>
        <v>1</v>
      </c>
      <c r="M54" s="13" t="str">
        <f ca="1">IFERROR(__xludf.DUMMYFUNCTION("IF(AND(L54&gt;3,I54&lt;&gt;""AL"",I54&lt;&gt;""AK"",I54&lt;&gt;""AZ"",I54&lt;&gt;""AR"",I54&lt;&gt;""CA"",I54&lt;&gt;""CO"",I54&lt;&gt;""CT"",I54&lt;&gt;""DE"",I54&lt;&gt;""DC"",I54&lt;&gt;""FL"",I54&lt;&gt;""GA"",I54&lt;&gt;""HI"",I54&lt;&gt;""ID"",I54&lt;&gt;""IL"",I54&lt;&gt;""IN"",I54&lt;&gt;""IA"",I54&lt;&gt;""KS"",I54&lt;&gt;""KY"",I54&lt;&gt;""LA"",I54&lt;&gt;""ME"",I5"&amp;"4&lt;&gt;""MD"",I54&lt;&gt;""MA"",I54&lt;&gt;""MI"",I54&lt;&gt;""MN"",I54&lt;&gt;""MS"",I54&lt;&gt;""MO"",I54&lt;&gt;""MT"",I54&lt;&gt;""NE"",I54&lt;&gt;""NV"",I54&lt;&gt;""NH"",I54&lt;&gt;""NJ"",I54&lt;&gt;""NM"",I54&lt;&gt;""NY"",I54&lt;&gt;""NC"",I54&lt;&gt;""ND"",I54&lt;&gt;""OH"",I54&lt;&gt;""OK"",I54&lt;&gt;""OR"",I54&lt;&gt;""PA"",I54&lt;&gt;""RI"",I54&lt;&gt;""SC"",I54&lt;&gt;"&amp;"""SD"",I54&lt;&gt;""TN"",I54&lt;&gt;""TX"",I54&lt;&gt;""UT"",I54&lt;&gt;""VT"",I54&lt;&gt;""VA"",I54&lt;&gt;""WA"",I54&lt;&gt;""WV"",I54&lt;&gt;""WI"",I54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StateInternational'!$G$2:$G$121&lt;&gt;"""")},2,0)),IF(L54=10"&amp;",ArrayFormula(VLOOKUP(QUERY(UNIQUE(RANDBETWEEN(ROW(INDIRECT(""A1:A""&amp;COUNTA('Leaving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54" s="13">
        <f t="shared" ca="1" si="6"/>
        <v>3</v>
      </c>
      <c r="O54" s="13" t="b">
        <f>ISNUMBER(MATCH(C54,'Top 250 HS'!C:C,0))</f>
        <v>0</v>
      </c>
      <c r="P54" s="13" t="str">
        <f ca="1">IFERROR(__xludf.DUMMYFUNCTION("SORTN(FILTER('Top 250 HS'!B:B,'Top 250 HS'!C:C=I54),1,0,randarray(COUNTA(FILTER('Top 250 HS'!B:B,'Top 250 HS'!C:C=I54)),1),TRUE)"),"Skutt Catholic (Omaha)")</f>
        <v>Skutt Catholic (Omaha)</v>
      </c>
      <c r="Q54" s="13" t="b">
        <f>ISNUMBER(MATCH("*"&amp;E54&amp;"*",'Top 1500 HS LatitudeLongitude'!G:G,0))</f>
        <v>0</v>
      </c>
      <c r="R54" s="13" t="str">
        <f ca="1">IFERROR(__xludf.DUMMYFUNCTION("IFS(L54=10,"""",Q54=false,"""",N54=5,"""",Q54=true,SORTN(FILTER('Top 1500 HS LatitudeLongitude'!B:B,'Top 1500 HS LatitudeLongitude'!C:C=I54,'Top 1500 HS LatitudeLongitude'!E:E=H54),1,0,randarray(COUNTA(FILTER('Top 1500 HS LatitudeLongitude'!B:B,'Top 1500 "&amp;"HS LatitudeLongitude'!C:C=I54,'Top 1500 HS LatitudeLongitude'!E:E=H54)),1),TRUE)
)"),"")</f>
        <v/>
      </c>
      <c r="S54" s="13" t="b">
        <f>ISNUMBER(MATCH("*"&amp;H:H&amp;"*",'Public Schools'!C:C,0))</f>
        <v>1</v>
      </c>
      <c r="T54" s="13" t="str">
        <f ca="1">IFERROR(__xludf.DUMMYFUNCTION("IFERROR(IF(AND(R54="""",S54=true), SORTN(FILTER('Public Schools'!A:A,'Public Schools'!B:B=J54,'Public Schools'!C:C=H54),1,0,randarray(COUNTA(FILTER('Public Schools'!A:A,'Public Schools'!B:B=J54,'Public Schools'!C:C=H54)),1),TRUE),""""),"""")"),"North Platte High School")</f>
        <v>North Platte High School</v>
      </c>
      <c r="U54" s="23" t="str">
        <f t="array" aca="1" ref="U54" ca="1">IF(AND(R54="",T54=""),INDEX('Top 1500 HS LatitudeLongitude'!B$2:B$1501,MATCH(MIN(SQRT(('Top 1500 HS LatitudeLongitude'!H$2:H$1501-F54)^2+('Top 1500 HS LatitudeLongitude'!I$2:I$1501-G54)^2)),SQRT( ('Top 1500 HS LatitudeLongitude'!H$2:H$1501-F54)^2+('Top 1500 HS LatitudeLongitude'!I$2:I$1501-G54)^2),0),1),"")</f>
        <v/>
      </c>
    </row>
    <row r="55" spans="2:21" ht="15.6">
      <c r="B55" s="8">
        <v>9.7741801439999998E-2</v>
      </c>
      <c r="C55" s="9" t="s">
        <v>270</v>
      </c>
      <c r="D55" s="9" t="s">
        <v>271</v>
      </c>
      <c r="E55" s="37" t="s">
        <v>1309</v>
      </c>
      <c r="F55" s="8">
        <v>37.505299999999998</v>
      </c>
      <c r="G55" s="8">
        <v>-120.8588</v>
      </c>
      <c r="H55" s="3" t="str">
        <f t="shared" si="0"/>
        <v>Caldwell</v>
      </c>
      <c r="I55" s="3" t="str">
        <f t="shared" si="1"/>
        <v>NJ</v>
      </c>
      <c r="J55" s="3" t="str">
        <f t="array" ref="J55">INDEX('State Abbreviations'!$B$2:$B$52,MATCH(I55,'State Abbreviations'!$A$2:$A$52,0))</f>
        <v>New Jersey</v>
      </c>
      <c r="K55" s="94" t="e">
        <f t="shared" ca="1" si="2"/>
        <v>#NAME?</v>
      </c>
      <c r="L55" s="13">
        <f t="shared" ca="1" si="5"/>
        <v>10</v>
      </c>
      <c r="M55" s="13" t="str">
        <f ca="1">IFERROR(__xludf.DUMMYFUNCTION("IF(AND(L55&gt;3,I55&lt;&gt;""AL"",I55&lt;&gt;""AK"",I55&lt;&gt;""AZ"",I55&lt;&gt;""AR"",I55&lt;&gt;""CA"",I55&lt;&gt;""CO"",I55&lt;&gt;""CT"",I55&lt;&gt;""DE"",I55&lt;&gt;""DC"",I55&lt;&gt;""FL"",I55&lt;&gt;""GA"",I55&lt;&gt;""HI"",I55&lt;&gt;""ID"",I55&lt;&gt;""IL"",I55&lt;&gt;""IN"",I55&lt;&gt;""IA"",I55&lt;&gt;""KS"",I55&lt;&gt;""KY"",I55&lt;&gt;""LA"",I55&lt;&gt;""ME"",I5"&amp;"5&lt;&gt;""MD"",I55&lt;&gt;""MA"",I55&lt;&gt;""MI"",I55&lt;&gt;""MN"",I55&lt;&gt;""MS"",I55&lt;&gt;""MO"",I55&lt;&gt;""MT"",I55&lt;&gt;""NE"",I55&lt;&gt;""NV"",I55&lt;&gt;""NH"",I55&lt;&gt;""NJ"",I55&lt;&gt;""NM"",I55&lt;&gt;""NY"",I55&lt;&gt;""NC"",I55&lt;&gt;""ND"",I55&lt;&gt;""OH"",I55&lt;&gt;""OK"",I55&lt;&gt;""OR"",I55&lt;&gt;""PA"",I55&lt;&gt;""RI"",I55&lt;&gt;""SC"",I55&lt;&gt;"&amp;"""SD"",I55&lt;&gt;""TN"",I55&lt;&gt;""TX"",I55&lt;&gt;""UT"",I55&lt;&gt;""VT"",I55&lt;&gt;""VA"",I55&lt;&gt;""WA"",I55&lt;&gt;""WV"",I55&lt;&gt;""WI"",I55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StateInternational'!$G$2:$G$121&lt;&gt;"""")},2,0)),IF(L55=10"&amp;",ArrayFormula(VLOOKUP(QUERY(UNIQUE(RANDBETWEEN(ROW(INDIRECT(""A1:A""&amp;COUNTA('Leaving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55" s="13">
        <f t="shared" ca="1" si="6"/>
        <v>7</v>
      </c>
      <c r="O55" s="13" t="b">
        <f>ISNUMBER(MATCH(C55,'Top 250 HS'!C:C,0))</f>
        <v>0</v>
      </c>
      <c r="P55" s="13" t="str">
        <f ca="1">IFERROR(__xludf.DUMMYFUNCTION("SORTN(FILTER('Top 250 HS'!B:B,'Top 250 HS'!C:C=I55),1,0,randarray(COUNTA(FILTER('Top 250 HS'!B:B,'Top 250 HS'!C:C=I55)),1),TRUE)"),"Bergen Catholic (Oradell)")</f>
        <v>Bergen Catholic (Oradell)</v>
      </c>
      <c r="Q55" s="13" t="b">
        <f>ISNUMBER(MATCH("*"&amp;E55&amp;"*",'Top 1500 HS LatitudeLongitude'!G:G,0))</f>
        <v>0</v>
      </c>
      <c r="R55" s="13" t="str">
        <f ca="1">IFERROR(__xludf.DUMMYFUNCTION("IFS(L55=10,"""",Q55=false,"""",N55=5,"""",Q55=true,SORTN(FILTER('Top 1500 HS LatitudeLongitude'!B:B,'Top 1500 HS LatitudeLongitude'!C:C=I55,'Top 1500 HS LatitudeLongitude'!E:E=H55),1,0,randarray(COUNTA(FILTER('Top 1500 HS LatitudeLongitude'!B:B,'Top 1500 "&amp;"HS LatitudeLongitude'!C:C=I55,'Top 1500 HS LatitudeLongitude'!E:E=H55)),1),TRUE)
)"),"")</f>
        <v/>
      </c>
      <c r="S55" s="13" t="b">
        <f>ISNUMBER(MATCH("*"&amp;H:H&amp;"*",'Public Schools'!C:C,0))</f>
        <v>1</v>
      </c>
      <c r="T55" s="13" t="str">
        <f ca="1">IFERROR(__xludf.DUMMYFUNCTION("IFERROR(IF(AND(R55="""",S55=true), SORTN(FILTER('Public Schools'!A:A,'Public Schools'!B:B=J55,'Public Schools'!C:C=H55),1,0,randarray(COUNTA(FILTER('Public Schools'!A:A,'Public Schools'!B:B=J55,'Public Schools'!C:C=H55)),1),TRUE),""""),"""")"),"")</f>
        <v/>
      </c>
      <c r="U55" s="23" t="str">
        <f t="array" aca="1" ref="U55" ca="1">IF(AND(R55="",T55=""),INDEX('Top 1500 HS LatitudeLongitude'!B$2:B$1501,MATCH(MIN(SQRT(('Top 1500 HS LatitudeLongitude'!H$2:H$1501-F55)^2+('Top 1500 HS LatitudeLongitude'!I$2:I$1501-G55)^2)),SQRT( ('Top 1500 HS LatitudeLongitude'!H$2:H$1501-F55)^2+('Top 1500 HS LatitudeLongitude'!I$2:I$1501-G55)^2),0),1),"")</f>
        <v>Central Catholic (Modesto)</v>
      </c>
    </row>
    <row r="56" spans="2:21" ht="15.6">
      <c r="B56" s="8">
        <v>0.41396186779999999</v>
      </c>
      <c r="C56" s="9" t="s">
        <v>249</v>
      </c>
      <c r="D56" s="9" t="s">
        <v>272</v>
      </c>
      <c r="E56" s="98" t="s">
        <v>1360</v>
      </c>
      <c r="F56" s="8">
        <v>42.318899999999999</v>
      </c>
      <c r="G56" s="8">
        <v>-71.083799999999997</v>
      </c>
      <c r="H56" s="3" t="str">
        <f t="shared" si="0"/>
        <v>Wilmington</v>
      </c>
      <c r="I56" s="3" t="str">
        <f t="shared" si="1"/>
        <v>NC</v>
      </c>
      <c r="J56" s="3" t="str">
        <f t="array" ref="J56">INDEX('State Abbreviations'!$B$2:$B$52,MATCH(I56,'State Abbreviations'!$A$2:$A$52,0))</f>
        <v>North Carolina</v>
      </c>
      <c r="K56" s="94" t="e">
        <f t="shared" ca="1" si="2"/>
        <v>#NAME?</v>
      </c>
      <c r="L56" s="13">
        <f t="shared" ca="1" si="5"/>
        <v>7</v>
      </c>
      <c r="M56" s="13" t="str">
        <f ca="1">IFERROR(__xludf.DUMMYFUNCTION("IF(AND(L56&gt;3,I56&lt;&gt;""AL"",I56&lt;&gt;""AK"",I56&lt;&gt;""AZ"",I56&lt;&gt;""AR"",I56&lt;&gt;""CA"",I56&lt;&gt;""CO"",I56&lt;&gt;""CT"",I56&lt;&gt;""DE"",I56&lt;&gt;""DC"",I56&lt;&gt;""FL"",I56&lt;&gt;""GA"",I56&lt;&gt;""HI"",I56&lt;&gt;""ID"",I56&lt;&gt;""IL"",I56&lt;&gt;""IN"",I56&lt;&gt;""IA"",I56&lt;&gt;""KS"",I56&lt;&gt;""KY"",I56&lt;&gt;""LA"",I56&lt;&gt;""ME"",I5"&amp;"6&lt;&gt;""MD"",I56&lt;&gt;""MA"",I56&lt;&gt;""MI"",I56&lt;&gt;""MN"",I56&lt;&gt;""MS"",I56&lt;&gt;""MO"",I56&lt;&gt;""MT"",I56&lt;&gt;""NE"",I56&lt;&gt;""NV"",I56&lt;&gt;""NH"",I56&lt;&gt;""NJ"",I56&lt;&gt;""NM"",I56&lt;&gt;""NY"",I56&lt;&gt;""NC"",I56&lt;&gt;""ND"",I56&lt;&gt;""OH"",I56&lt;&gt;""OK"",I56&lt;&gt;""OR"",I56&lt;&gt;""PA"",I56&lt;&gt;""RI"",I56&lt;&gt;""SC"",I56&lt;&gt;"&amp;"""SD"",I56&lt;&gt;""TN"",I56&lt;&gt;""TX"",I56&lt;&gt;""UT"",I56&lt;&gt;""VT"",I56&lt;&gt;""VA"",I56&lt;&gt;""WA"",I56&lt;&gt;""WV"",I56&lt;&gt;""WI"",I56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StateInternational'!$G$2:$G$121&lt;&gt;"""")},2,0)),IF(L56=10"&amp;",ArrayFormula(VLOOKUP(QUERY(UNIQUE(RANDBETWEEN(ROW(INDIRECT(""A1:A""&amp;COUNTA('Leaving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56" s="13">
        <f t="shared" ca="1" si="6"/>
        <v>2</v>
      </c>
      <c r="O56" s="13" t="b">
        <f>ISNUMBER(MATCH(C56,'Top 250 HS'!C:C,0))</f>
        <v>0</v>
      </c>
      <c r="P56" s="13" t="str">
        <f ca="1">IFERROR(__xludf.DUMMYFUNCTION("SORTN(FILTER('Top 250 HS'!B:B,'Top 250 HS'!C:C=I56),1,0,randarray(COUNTA(FILTER('Top 250 HS'!B:B,'Top 250 HS'!C:C=I56)),1),TRUE)"),"Combine Academy (Lincolnton)")</f>
        <v>Combine Academy (Lincolnton)</v>
      </c>
      <c r="Q56" s="13" t="b">
        <f>ISNUMBER(MATCH("*"&amp;E56&amp;"*",'Top 1500 HS LatitudeLongitude'!G:G,0))</f>
        <v>0</v>
      </c>
      <c r="R56" s="13" t="str">
        <f ca="1">IFERROR(__xludf.DUMMYFUNCTION("IFS(L56=10,"""",Q56=false,"""",N56=5,"""",Q56=true,SORTN(FILTER('Top 1500 HS LatitudeLongitude'!B:B,'Top 1500 HS LatitudeLongitude'!C:C=I56,'Top 1500 HS LatitudeLongitude'!E:E=H56),1,0,randarray(COUNTA(FILTER('Top 1500 HS LatitudeLongitude'!B:B,'Top 1500 "&amp;"HS LatitudeLongitude'!C:C=I56,'Top 1500 HS LatitudeLongitude'!E:E=H56)),1),TRUE)
)"),"")</f>
        <v/>
      </c>
      <c r="S56" s="13" t="b">
        <f>ISNUMBER(MATCH("*"&amp;H:H&amp;"*",'Public Schools'!C:C,0))</f>
        <v>1</v>
      </c>
      <c r="T56" s="13" t="str">
        <f ca="1">IFERROR(__xludf.DUMMYFUNCTION("IFERROR(IF(AND(R56="""",S56=true), SORTN(FILTER('Public Schools'!A:A,'Public Schools'!B:B=J56,'Public Schools'!C:C=H56),1,0,randarray(COUNTA(FILTER('Public Schools'!A:A,'Public Schools'!B:B=J56,'Public Schools'!C:C=H56)),1),TRUE),""""),"""")"),"Eugene Ashley High School")</f>
        <v>Eugene Ashley High School</v>
      </c>
      <c r="U56" s="23" t="str">
        <f t="array" aca="1" ref="U56" ca="1">IF(AND(R56="",T56=""),INDEX('Top 1500 HS LatitudeLongitude'!B$2:B$1501,MATCH(MIN(SQRT(('Top 1500 HS LatitudeLongitude'!H$2:H$1501-F56)^2+('Top 1500 HS LatitudeLongitude'!I$2:I$1501-G56)^2)),SQRT( ('Top 1500 HS LatitudeLongitude'!H$2:H$1501-F56)^2+('Top 1500 HS LatitudeLongitude'!I$2:I$1501-G56)^2),0),1),"")</f>
        <v/>
      </c>
    </row>
    <row r="57" spans="2:21" ht="15.6">
      <c r="B57" s="8">
        <v>0.35595341479999998</v>
      </c>
      <c r="C57" s="9" t="s">
        <v>273</v>
      </c>
      <c r="D57" s="9" t="s">
        <v>274</v>
      </c>
      <c r="E57" s="37" t="s">
        <v>1393</v>
      </c>
      <c r="F57" s="8">
        <v>41.366599999999998</v>
      </c>
      <c r="G57" s="8">
        <v>-85.055899999999994</v>
      </c>
      <c r="H57" s="3" t="str">
        <f t="shared" si="0"/>
        <v>Saint Louis</v>
      </c>
      <c r="I57" s="3" t="str">
        <f t="shared" si="1"/>
        <v>MO</v>
      </c>
      <c r="J57" s="3" t="str">
        <f t="array" ref="J57">INDEX('State Abbreviations'!$B$2:$B$52,MATCH(I57,'State Abbreviations'!$A$2:$A$52,0))</f>
        <v>Missouri</v>
      </c>
      <c r="K57" s="96" t="e">
        <f t="shared" ca="1" si="2"/>
        <v>#NAME?</v>
      </c>
      <c r="L57" s="13">
        <f t="shared" ca="1" si="5"/>
        <v>9</v>
      </c>
      <c r="M57" s="36" t="str">
        <f ca="1">IFERROR(__xludf.DUMMYFUNCTION("IF(AND(L57&gt;3,I57&lt;&gt;""AL"",I57&lt;&gt;""AK"",I57&lt;&gt;""AZ"",I57&lt;&gt;""AR"",I57&lt;&gt;""CA"",I57&lt;&gt;""CO"",I57&lt;&gt;""CT"",I57&lt;&gt;""DE"",I57&lt;&gt;""DC"",I57&lt;&gt;""FL"",I57&lt;&gt;""GA"",I57&lt;&gt;""HI"",I57&lt;&gt;""ID"",I57&lt;&gt;""IL"",I57&lt;&gt;""IN"",I57&lt;&gt;""IA"",I57&lt;&gt;""KS"",I57&lt;&gt;""KY"",I57&lt;&gt;""LA"",I57&lt;&gt;""ME"",I5"&amp;"7&lt;&gt;""MD"",I57&lt;&gt;""MA"",I57&lt;&gt;""MI"",I57&lt;&gt;""MN"",I57&lt;&gt;""MS"",I57&lt;&gt;""MO"",I57&lt;&gt;""MT"",I57&lt;&gt;""NE"",I57&lt;&gt;""NV"",I57&lt;&gt;""NH"",I57&lt;&gt;""NJ"",I57&lt;&gt;""NM"",I57&lt;&gt;""NY"",I57&lt;&gt;""NC"",I57&lt;&gt;""ND"",I57&lt;&gt;""OH"",I57&lt;&gt;""OK"",I57&lt;&gt;""OR"",I57&lt;&gt;""PA"",I57&lt;&gt;""RI"",I57&lt;&gt;""SC"",I57&lt;&gt;"&amp;"""SD"",I57&lt;&gt;""TN"",I57&lt;&gt;""TX"",I57&lt;&gt;""UT"",I57&lt;&gt;""VT"",I57&lt;&gt;""VA"",I57&lt;&gt;""WA"",I57&lt;&gt;""WV"",I57&lt;&gt;""WI"",I57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StateInternational'!$G$2:$G$121&lt;&gt;"""")},2,0)),IF(L57=10"&amp;",ArrayFormula(VLOOKUP(QUERY(UNIQUE(RANDBETWEEN(ROW(INDIRECT(""A1:A""&amp;COUNTA('Leaving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StateInternational'!$G$2:$G$121&lt;&gt;"""")},2,0)),""""))"),"Harvard-Westlake (Studio City)")</f>
        <v>Harvard-Westlake (Studio City)</v>
      </c>
      <c r="N57" s="13">
        <f t="shared" ca="1" si="6"/>
        <v>4</v>
      </c>
      <c r="O57" s="13" t="b">
        <f>ISNUMBER(MATCH(C57,'Top 250 HS'!C:C,0))</f>
        <v>0</v>
      </c>
      <c r="P57" s="13" t="str">
        <f ca="1">IFERROR(__xludf.DUMMYFUNCTION("SORTN(FILTER('Top 250 HS'!B:B,'Top 250 HS'!C:C=I57),1,0,randarray(COUNTA(FILTER('Top 250 HS'!B:B,'Top 250 HS'!C:C=I57)),1),TRUE)"),"Christian Brothers (St. Louis)")</f>
        <v>Christian Brothers (St. Louis)</v>
      </c>
      <c r="Q57" s="13" t="b">
        <f>ISNUMBER(MATCH("*"&amp;E57&amp;"*",'Top 1500 HS LatitudeLongitude'!G:G,0))</f>
        <v>0</v>
      </c>
      <c r="R57" s="13" t="str">
        <f ca="1">IFERROR(__xludf.DUMMYFUNCTION("IFS(L57=10,"""",Q57=false,"""",N57=5,"""",Q57=true,SORTN(FILTER('Top 1500 HS LatitudeLongitude'!B:B,'Top 1500 HS LatitudeLongitude'!C:C=I57,'Top 1500 HS LatitudeLongitude'!E:E=H57),1,0,randarray(COUNTA(FILTER('Top 1500 HS LatitudeLongitude'!B:B,'Top 1500 "&amp;"HS LatitudeLongitude'!C:C=I57,'Top 1500 HS LatitudeLongitude'!E:E=H57)),1),TRUE)
)"),"")</f>
        <v/>
      </c>
      <c r="S57" s="13" t="b">
        <f>ISNUMBER(MATCH("*"&amp;H:H&amp;"*",'Public Schools'!C:C,0))</f>
        <v>1</v>
      </c>
      <c r="T57" s="13" t="str">
        <f ca="1">IFERROR(__xludf.DUMMYFUNCTION("IFERROR(IF(AND(R57="""",S57=true), SORTN(FILTER('Public Schools'!A:A,'Public Schools'!B:B=J57,'Public Schools'!C:C=H57),1,0,randarray(COUNTA(FILTER('Public Schools'!A:A,'Public Schools'!B:B=J57,'Public Schools'!C:C=H57)),1),TRUE),""""),"""")"),"")</f>
        <v/>
      </c>
      <c r="U57" s="23" t="str">
        <f t="array" aca="1" ref="U57" ca="1">IF(AND(R57="",T57=""),INDEX('Top 1500 HS LatitudeLongitude'!B$2:B$1501,MATCH(MIN(SQRT(('Top 1500 HS LatitudeLongitude'!H$2:H$1501-F57)^2+('Top 1500 HS LatitudeLongitude'!I$2:I$1501-G57)^2)),SQRT( ('Top 1500 HS LatitudeLongitude'!H$2:H$1501-F57)^2+('Top 1500 HS LatitudeLongitude'!I$2:I$1501-G57)^2),0),1),"")</f>
        <v>Carroll (Fort Wayne)</v>
      </c>
    </row>
    <row r="58" spans="2:21" ht="15.6">
      <c r="B58" s="8">
        <v>0.44475999640000002</v>
      </c>
      <c r="C58" s="9" t="s">
        <v>275</v>
      </c>
      <c r="D58" s="9" t="s">
        <v>276</v>
      </c>
      <c r="E58" s="98" t="s">
        <v>1407</v>
      </c>
      <c r="F58" s="8">
        <v>39.134700000000002</v>
      </c>
      <c r="G58" s="8">
        <v>-77.212999999999994</v>
      </c>
      <c r="H58" s="3" t="str">
        <f t="shared" si="0"/>
        <v>Washington</v>
      </c>
      <c r="I58" s="3" t="str">
        <f t="shared" si="1"/>
        <v>DC</v>
      </c>
      <c r="J58" s="3" t="str">
        <f t="array" ref="J58">INDEX('State Abbreviations'!$B$2:$B$52,MATCH(I58,'State Abbreviations'!$A$2:$A$52,0))</f>
        <v>District Of Columbia</v>
      </c>
      <c r="K58" s="94" t="e">
        <f t="shared" ca="1" si="2"/>
        <v>#NAME?</v>
      </c>
      <c r="L58" s="13">
        <f t="shared" ca="1" si="5"/>
        <v>1</v>
      </c>
      <c r="M58" s="13" t="str">
        <f ca="1">IFERROR(__xludf.DUMMYFUNCTION("IF(AND(L58&gt;3,I58&lt;&gt;""AL"",I58&lt;&gt;""AK"",I58&lt;&gt;""AZ"",I58&lt;&gt;""AR"",I58&lt;&gt;""CA"",I58&lt;&gt;""CO"",I58&lt;&gt;""CT"",I58&lt;&gt;""DE"",I58&lt;&gt;""DC"",I58&lt;&gt;""FL"",I58&lt;&gt;""GA"",I58&lt;&gt;""HI"",I58&lt;&gt;""ID"",I58&lt;&gt;""IL"",I58&lt;&gt;""IN"",I58&lt;&gt;""IA"",I58&lt;&gt;""KS"",I58&lt;&gt;""KY"",I58&lt;&gt;""LA"",I58&lt;&gt;""ME"",I5"&amp;"8&lt;&gt;""MD"",I58&lt;&gt;""MA"",I58&lt;&gt;""MI"",I58&lt;&gt;""MN"",I58&lt;&gt;""MS"",I58&lt;&gt;""MO"",I58&lt;&gt;""MT"",I58&lt;&gt;""NE"",I58&lt;&gt;""NV"",I58&lt;&gt;""NH"",I58&lt;&gt;""NJ"",I58&lt;&gt;""NM"",I58&lt;&gt;""NY"",I58&lt;&gt;""NC"",I58&lt;&gt;""ND"",I58&lt;&gt;""OH"",I58&lt;&gt;""OK"",I58&lt;&gt;""OR"",I58&lt;&gt;""PA"",I58&lt;&gt;""RI"",I58&lt;&gt;""SC"",I58&lt;&gt;"&amp;"""SD"",I58&lt;&gt;""TN"",I58&lt;&gt;""TX"",I58&lt;&gt;""UT"",I58&lt;&gt;""VT"",I58&lt;&gt;""VA"",I58&lt;&gt;""WA"",I58&lt;&gt;""WV"",I58&lt;&gt;""WI"",I58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StateInternational'!$G$2:$G$121&lt;&gt;"""")},2,0)),IF(L58=10"&amp;",ArrayFormula(VLOOKUP(QUERY(UNIQUE(RANDBETWEEN(ROW(INDIRECT(""A1:A""&amp;COUNTA('Leaving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58" s="13">
        <f t="shared" ca="1" si="6"/>
        <v>1</v>
      </c>
      <c r="O58" s="13" t="b">
        <f>ISNUMBER(MATCH(C58,'Top 250 HS'!C:C,0))</f>
        <v>0</v>
      </c>
      <c r="P58" s="13" t="str">
        <f ca="1">IFERROR(__xludf.DUMMYFUNCTION("SORTN(FILTER('Top 250 HS'!B:B,'Top 250 HS'!C:C=I58),1,0,randarray(COUNTA(FILTER('Top 250 HS'!B:B,'Top 250 HS'!C:C=I58)),1),TRUE)"),"Gonzaga (Washington)")</f>
        <v>Gonzaga (Washington)</v>
      </c>
      <c r="Q58" s="13" t="b">
        <f>ISNUMBER(MATCH("*"&amp;E58&amp;"*",'Top 1500 HS LatitudeLongitude'!G:G,0))</f>
        <v>1</v>
      </c>
      <c r="R58" s="13" t="str">
        <f ca="1">IFERROR(__xludf.DUMMYFUNCTION("IFS(L58=10,"""",Q58=false,"""",N58=5,"""",Q58=true,SORTN(FILTER('Top 1500 HS LatitudeLongitude'!B:B,'Top 1500 HS LatitudeLongitude'!C:C=I58,'Top 1500 HS LatitudeLongitude'!E:E=H58),1,0,randarray(COUNTA(FILTER('Top 1500 HS LatitudeLongitude'!B:B,'Top 1500 "&amp;"HS LatitudeLongitude'!C:C=I58,'Top 1500 HS LatitudeLongitude'!E:E=H58)),1),TRUE)
)"),"Roosevelt (Washington)")</f>
        <v>Roosevelt (Washington)</v>
      </c>
      <c r="S58" s="13" t="b">
        <f>ISNUMBER(MATCH("*"&amp;H:H&amp;"*",'Public Schools'!C:C,0))</f>
        <v>1</v>
      </c>
      <c r="T58" s="13" t="str">
        <f ca="1">IFERROR(__xludf.DUMMYFUNCTION("IFERROR(IF(AND(R58="""",S58=true), SORTN(FILTER('Public Schools'!A:A,'Public Schools'!B:B=J58,'Public Schools'!C:C=H58),1,0,randarray(COUNTA(FILTER('Public Schools'!A:A,'Public Schools'!B:B=J58,'Public Schools'!C:C=H58)),1),TRUE),""""),"""")"),"")</f>
        <v/>
      </c>
      <c r="U58" s="23" t="str">
        <f t="array" aca="1" ref="U58" ca="1">IF(AND(R58="",T58=""),INDEX('Top 1500 HS LatitudeLongitude'!B$2:B$1501,MATCH(MIN(SQRT(('Top 1500 HS LatitudeLongitude'!H$2:H$1501-F58)^2+('Top 1500 HS LatitudeLongitude'!I$2:I$1501-G58)^2)),SQRT( ('Top 1500 HS LatitudeLongitude'!H$2:H$1501-F58)^2+('Top 1500 HS LatitudeLongitude'!I$2:I$1501-G58)^2),0),1),"")</f>
        <v/>
      </c>
    </row>
    <row r="59" spans="2:21" ht="15.6">
      <c r="B59" s="8">
        <v>0.33695067979999999</v>
      </c>
      <c r="C59" s="9" t="s">
        <v>262</v>
      </c>
      <c r="D59" s="9" t="s">
        <v>277</v>
      </c>
      <c r="E59" s="37" t="s">
        <v>1422</v>
      </c>
      <c r="F59" s="8">
        <v>39.777099999999997</v>
      </c>
      <c r="G59" s="8">
        <v>-86.145799999999994</v>
      </c>
      <c r="H59" s="3" t="str">
        <f t="shared" si="0"/>
        <v>Florala</v>
      </c>
      <c r="I59" s="3" t="str">
        <f t="shared" si="1"/>
        <v>AL</v>
      </c>
      <c r="J59" s="3" t="str">
        <f t="array" ref="J59">INDEX('State Abbreviations'!$B$2:$B$52,MATCH(I59,'State Abbreviations'!$A$2:$A$52,0))</f>
        <v>Alabama</v>
      </c>
      <c r="K59" s="94" t="e">
        <f t="shared" ca="1" si="2"/>
        <v>#NAME?</v>
      </c>
      <c r="L59" s="13">
        <f t="shared" ca="1" si="5"/>
        <v>15</v>
      </c>
      <c r="M59" s="13" t="str">
        <f ca="1">IFERROR(__xludf.DUMMYFUNCTION("IF(AND(L59&gt;3,I59&lt;&gt;""AL"",I59&lt;&gt;""AK"",I59&lt;&gt;""AZ"",I59&lt;&gt;""AR"",I59&lt;&gt;""CA"",I59&lt;&gt;""CO"",I59&lt;&gt;""CT"",I59&lt;&gt;""DE"",I59&lt;&gt;""DC"",I59&lt;&gt;""FL"",I59&lt;&gt;""GA"",I59&lt;&gt;""HI"",I59&lt;&gt;""ID"",I59&lt;&gt;""IL"",I59&lt;&gt;""IN"",I59&lt;&gt;""IA"",I59&lt;&gt;""KS"",I59&lt;&gt;""KY"",I59&lt;&gt;""LA"",I59&lt;&gt;""ME"",I5"&amp;"9&lt;&gt;""MD"",I59&lt;&gt;""MA"",I59&lt;&gt;""MI"",I59&lt;&gt;""MN"",I59&lt;&gt;""MS"",I59&lt;&gt;""MO"",I59&lt;&gt;""MT"",I59&lt;&gt;""NE"",I59&lt;&gt;""NV"",I59&lt;&gt;""NH"",I59&lt;&gt;""NJ"",I59&lt;&gt;""NM"",I59&lt;&gt;""NY"",I59&lt;&gt;""NC"",I59&lt;&gt;""ND"",I59&lt;&gt;""OH"",I59&lt;&gt;""OK"",I59&lt;&gt;""OR"",I59&lt;&gt;""PA"",I59&lt;&gt;""RI"",I59&lt;&gt;""SC"",I59&lt;&gt;"&amp;"""SD"",I59&lt;&gt;""TN"",I59&lt;&gt;""TX"",I59&lt;&gt;""UT"",I59&lt;&gt;""VT"",I59&lt;&gt;""VA"",I59&lt;&gt;""WA"",I59&lt;&gt;""WV"",I59&lt;&gt;""WI"",I59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StateInternational'!$G$2:$G$121&lt;&gt;"""")},2,0)),IF(L59=10"&amp;",ArrayFormula(VLOOKUP(QUERY(UNIQUE(RANDBETWEEN(ROW(INDIRECT(""A1:A""&amp;COUNTA('Leaving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59" s="13">
        <f t="shared" ca="1" si="6"/>
        <v>7</v>
      </c>
      <c r="O59" s="13" t="b">
        <f>ISNUMBER(MATCH(C59,'Top 250 HS'!C:C,0))</f>
        <v>0</v>
      </c>
      <c r="P59" s="13" t="str">
        <f ca="1">IFERROR(__xludf.DUMMYFUNCTION("SORTN(FILTER('Top 250 HS'!B:B,'Top 250 HS'!C:C=I59),1,0,randarray(COUNTA(FILTER('Top 250 HS'!B:B,'Top 250 HS'!C:C=I59)),1),TRUE)"),"Mountain Brook (Birmingham)")</f>
        <v>Mountain Brook (Birmingham)</v>
      </c>
      <c r="Q59" s="13" t="b">
        <f>ISNUMBER(MATCH("*"&amp;E59&amp;"*",'Top 1500 HS LatitudeLongitude'!G:G,0))</f>
        <v>0</v>
      </c>
      <c r="R59" s="13" t="str">
        <f ca="1">IFERROR(__xludf.DUMMYFUNCTION("IFS(L59=10,"""",Q59=false,"""",N59=5,"""",Q59=true,SORTN(FILTER('Top 1500 HS LatitudeLongitude'!B:B,'Top 1500 HS LatitudeLongitude'!C:C=I59,'Top 1500 HS LatitudeLongitude'!E:E=H59),1,0,randarray(COUNTA(FILTER('Top 1500 HS LatitudeLongitude'!B:B,'Top 1500 "&amp;"HS LatitudeLongitude'!C:C=I59,'Top 1500 HS LatitudeLongitude'!E:E=H59)),1),TRUE)
)"),"")</f>
        <v/>
      </c>
      <c r="S59" s="13" t="b">
        <f>ISNUMBER(MATCH("*"&amp;H:H&amp;"*",'Public Schools'!C:C,0))</f>
        <v>1</v>
      </c>
      <c r="T59" s="13" t="str">
        <f ca="1">IFERROR(__xludf.DUMMYFUNCTION("IFERROR(IF(AND(R59="""",S59=true), SORTN(FILTER('Public Schools'!A:A,'Public Schools'!B:B=J59,'Public Schools'!C:C=H59),1,0,randarray(COUNTA(FILTER('Public Schools'!A:A,'Public Schools'!B:B=J59,'Public Schools'!C:C=H59)),1),TRUE),""""),"""")"),"Florala High School")</f>
        <v>Florala High School</v>
      </c>
      <c r="U59" s="23" t="str">
        <f t="array" aca="1" ref="U59" ca="1">IF(AND(R59="",T59=""),INDEX('Top 1500 HS LatitudeLongitude'!B$2:B$1501,MATCH(MIN(SQRT(('Top 1500 HS LatitudeLongitude'!H$2:H$1501-F59)^2+('Top 1500 HS LatitudeLongitude'!I$2:I$1501-G59)^2)),SQRT( ('Top 1500 HS LatitudeLongitude'!H$2:H$1501-F59)^2+('Top 1500 HS LatitudeLongitude'!I$2:I$1501-G59)^2),0),1),"")</f>
        <v/>
      </c>
    </row>
    <row r="60" spans="2:21" ht="15.6">
      <c r="B60" s="8">
        <v>0.2292282007</v>
      </c>
      <c r="C60" s="9" t="s">
        <v>256</v>
      </c>
      <c r="D60" s="9" t="s">
        <v>278</v>
      </c>
      <c r="E60" s="98" t="s">
        <v>1432</v>
      </c>
      <c r="F60" s="8">
        <v>33.936599999999999</v>
      </c>
      <c r="G60" s="8">
        <v>-84.3703</v>
      </c>
      <c r="H60" s="3" t="str">
        <f t="shared" si="0"/>
        <v>Murfreesboro</v>
      </c>
      <c r="I60" s="3" t="str">
        <f t="shared" si="1"/>
        <v>TN</v>
      </c>
      <c r="J60" s="3" t="str">
        <f t="array" ref="J60">INDEX('State Abbreviations'!$B$2:$B$52,MATCH(I60,'State Abbreviations'!$A$2:$A$52,0))</f>
        <v>Tennessee</v>
      </c>
      <c r="K60" s="94" t="e">
        <f t="shared" ca="1" si="2"/>
        <v>#NAME?</v>
      </c>
      <c r="L60" s="13">
        <f t="shared" ca="1" si="5"/>
        <v>2</v>
      </c>
      <c r="M60" s="13" t="str">
        <f ca="1">IFERROR(__xludf.DUMMYFUNCTION("IF(AND(L60&gt;3,I60&lt;&gt;""AL"",I60&lt;&gt;""AK"",I60&lt;&gt;""AZ"",I60&lt;&gt;""AR"",I60&lt;&gt;""CA"",I60&lt;&gt;""CO"",I60&lt;&gt;""CT"",I60&lt;&gt;""DE"",I60&lt;&gt;""DC"",I60&lt;&gt;""FL"",I60&lt;&gt;""GA"",I60&lt;&gt;""HI"",I60&lt;&gt;""ID"",I60&lt;&gt;""IL"",I60&lt;&gt;""IN"",I60&lt;&gt;""IA"",I60&lt;&gt;""KS"",I60&lt;&gt;""KY"",I60&lt;&gt;""LA"",I60&lt;&gt;""ME"",I6"&amp;"0&lt;&gt;""MD"",I60&lt;&gt;""MA"",I60&lt;&gt;""MI"",I60&lt;&gt;""MN"",I60&lt;&gt;""MS"",I60&lt;&gt;""MO"",I60&lt;&gt;""MT"",I60&lt;&gt;""NE"",I60&lt;&gt;""NV"",I60&lt;&gt;""NH"",I60&lt;&gt;""NJ"",I60&lt;&gt;""NM"",I60&lt;&gt;""NY"",I60&lt;&gt;""NC"",I60&lt;&gt;""ND"",I60&lt;&gt;""OH"",I60&lt;&gt;""OK"",I60&lt;&gt;""OR"",I60&lt;&gt;""PA"",I60&lt;&gt;""RI"",I60&lt;&gt;""SC"",I60&lt;&gt;"&amp;"""SD"",I60&lt;&gt;""TN"",I60&lt;&gt;""TX"",I60&lt;&gt;""UT"",I60&lt;&gt;""VT"",I60&lt;&gt;""VA"",I60&lt;&gt;""WA"",I60&lt;&gt;""WV"",I60&lt;&gt;""WI"",I60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StateInternational'!$G$2:$G$121&lt;&gt;"""")},2,0)),IF(L60=10"&amp;",ArrayFormula(VLOOKUP(QUERY(UNIQUE(RANDBETWEEN(ROW(INDIRECT(""A1:A""&amp;COUNTA('Leaving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60" s="13">
        <f t="shared" ca="1" si="6"/>
        <v>3</v>
      </c>
      <c r="O60" s="13" t="b">
        <f>ISNUMBER(MATCH(C60,'Top 250 HS'!C:C,0))</f>
        <v>0</v>
      </c>
      <c r="P60" s="13" t="str">
        <f ca="1">IFERROR(__xludf.DUMMYFUNCTION("SORTN(FILTER('Top 250 HS'!B:B,'Top 250 HS'!C:C=I60),1,0,randarray(COUNTA(FILTER('Top 250 HS'!B:B,'Top 250 HS'!C:C=I60)),1),TRUE)"),"Hamilton Heights Christian Academy (Chattanooga)")</f>
        <v>Hamilton Heights Christian Academy (Chattanooga)</v>
      </c>
      <c r="Q60" s="13" t="b">
        <f>ISNUMBER(MATCH("*"&amp;E60&amp;"*",'Top 1500 HS LatitudeLongitude'!G:G,0))</f>
        <v>1</v>
      </c>
      <c r="R60" s="13" t="str">
        <f ca="1">IFERROR(__xludf.DUMMYFUNCTION("IFS(L60=10,"""",Q60=false,"""",N60=5,"""",Q60=true,SORTN(FILTER('Top 1500 HS LatitudeLongitude'!B:B,'Top 1500 HS LatitudeLongitude'!C:C=I60,'Top 1500 HS LatitudeLongitude'!E:E=H60),1,0,randarray(COUNTA(FILTER('Top 1500 HS LatitudeLongitude'!B:B,'Top 1500 "&amp;"HS LatitudeLongitude'!C:C=I60,'Top 1500 HS LatitudeLongitude'!E:E=H60)),1),TRUE)
)"),"Blackman (Murfreesboro)")</f>
        <v>Blackman (Murfreesboro)</v>
      </c>
      <c r="S60" s="13" t="b">
        <f>ISNUMBER(MATCH("*"&amp;H:H&amp;"*",'Public Schools'!C:C,0))</f>
        <v>1</v>
      </c>
      <c r="T60" s="13" t="str">
        <f ca="1">IFERROR(__xludf.DUMMYFUNCTION("IFERROR(IF(AND(R60="""",S60=true), SORTN(FILTER('Public Schools'!A:A,'Public Schools'!B:B=J60,'Public Schools'!C:C=H60),1,0,randarray(COUNTA(FILTER('Public Schools'!A:A,'Public Schools'!B:B=J60,'Public Schools'!C:C=H60)),1),TRUE),""""),"""")"),"")</f>
        <v/>
      </c>
      <c r="U60" s="23" t="str">
        <f t="array" aca="1" ref="U60" ca="1">IF(AND(R60="",T60=""),INDEX('Top 1500 HS LatitudeLongitude'!B$2:B$1501,MATCH(MIN(SQRT(('Top 1500 HS LatitudeLongitude'!H$2:H$1501-F60)^2+('Top 1500 HS LatitudeLongitude'!I$2:I$1501-G60)^2)),SQRT( ('Top 1500 HS LatitudeLongitude'!H$2:H$1501-F60)^2+('Top 1500 HS LatitudeLongitude'!I$2:I$1501-G60)^2),0),1),"")</f>
        <v/>
      </c>
    </row>
    <row r="61" spans="2:21" ht="15.6">
      <c r="B61" s="8">
        <v>0.1518771465</v>
      </c>
      <c r="C61" s="9" t="s">
        <v>212</v>
      </c>
      <c r="D61" s="9" t="s">
        <v>279</v>
      </c>
      <c r="E61" s="37" t="s">
        <v>1444</v>
      </c>
      <c r="F61" s="8">
        <v>41.547600000000003</v>
      </c>
      <c r="G61" s="8">
        <v>-72.654899999999998</v>
      </c>
      <c r="H61" s="3" t="str">
        <f t="shared" si="0"/>
        <v>Oxford</v>
      </c>
      <c r="I61" s="3" t="str">
        <f t="shared" si="1"/>
        <v>MS</v>
      </c>
      <c r="J61" s="3" t="str">
        <f t="array" ref="J61">INDEX('State Abbreviations'!$B$2:$B$52,MATCH(I61,'State Abbreviations'!$A$2:$A$52,0))</f>
        <v>Mississippi</v>
      </c>
      <c r="K61" s="94" t="e">
        <f t="shared" ca="1" si="2"/>
        <v>#NAME?</v>
      </c>
      <c r="L61" s="13">
        <f t="shared" ca="1" si="5"/>
        <v>8</v>
      </c>
      <c r="M61" s="13" t="str">
        <f ca="1">IFERROR(__xludf.DUMMYFUNCTION("IF(AND(L61&gt;3,I61&lt;&gt;""AL"",I61&lt;&gt;""AK"",I61&lt;&gt;""AZ"",I61&lt;&gt;""AR"",I61&lt;&gt;""CA"",I61&lt;&gt;""CO"",I61&lt;&gt;""CT"",I61&lt;&gt;""DE"",I61&lt;&gt;""DC"",I61&lt;&gt;""FL"",I61&lt;&gt;""GA"",I61&lt;&gt;""HI"",I61&lt;&gt;""ID"",I61&lt;&gt;""IL"",I61&lt;&gt;""IN"",I61&lt;&gt;""IA"",I61&lt;&gt;""KS"",I61&lt;&gt;""KY"",I61&lt;&gt;""LA"",I61&lt;&gt;""ME"",I6"&amp;"1&lt;&gt;""MD"",I61&lt;&gt;""MA"",I61&lt;&gt;""MI"",I61&lt;&gt;""MN"",I61&lt;&gt;""MS"",I61&lt;&gt;""MO"",I61&lt;&gt;""MT"",I61&lt;&gt;""NE"",I61&lt;&gt;""NV"",I61&lt;&gt;""NH"",I61&lt;&gt;""NJ"",I61&lt;&gt;""NM"",I61&lt;&gt;""NY"",I61&lt;&gt;""NC"",I61&lt;&gt;""ND"",I61&lt;&gt;""OH"",I61&lt;&gt;""OK"",I61&lt;&gt;""OR"",I61&lt;&gt;""PA"",I61&lt;&gt;""RI"",I61&lt;&gt;""SC"",I61&lt;&gt;"&amp;"""SD"",I61&lt;&gt;""TN"",I61&lt;&gt;""TX"",I61&lt;&gt;""UT"",I61&lt;&gt;""VT"",I61&lt;&gt;""VA"",I61&lt;&gt;""WA"",I61&lt;&gt;""WV"",I61&lt;&gt;""WI"",I61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StateInternational'!$G$2:$G$121&lt;&gt;"""")},2,0)),IF(L61=10"&amp;",ArrayFormula(VLOOKUP(QUERY(UNIQUE(RANDBETWEEN(ROW(INDIRECT(""A1:A""&amp;COUNTA('Leaving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61" s="13">
        <f t="shared" ca="1" si="6"/>
        <v>7</v>
      </c>
      <c r="O61" s="13" t="b">
        <f>ISNUMBER(MATCH(C61,'Top 250 HS'!C:C,0))</f>
        <v>0</v>
      </c>
      <c r="P61" s="13" t="str">
        <f ca="1">IFERROR(__xludf.DUMMYFUNCTION("SORTN(FILTER('Top 250 HS'!B:B,'Top 250 HS'!C:C=I61),1,0,randarray(COUNTA(FILTER('Top 250 HS'!B:B,'Top 250 HS'!C:C=I61)),1),TRUE)"),"Olive Branch")</f>
        <v>Olive Branch</v>
      </c>
      <c r="Q61" s="13" t="b">
        <f>ISNUMBER(MATCH("*"&amp;E61&amp;"*",'Top 1500 HS LatitudeLongitude'!G:G,0))</f>
        <v>0</v>
      </c>
      <c r="R61" s="13" t="str">
        <f ca="1">IFERROR(__xludf.DUMMYFUNCTION("IFS(L61=10,"""",Q61=false,"""",N61=5,"""",Q61=true,SORTN(FILTER('Top 1500 HS LatitudeLongitude'!B:B,'Top 1500 HS LatitudeLongitude'!C:C=I61,'Top 1500 HS LatitudeLongitude'!E:E=H61),1,0,randarray(COUNTA(FILTER('Top 1500 HS LatitudeLongitude'!B:B,'Top 1500 "&amp;"HS LatitudeLongitude'!C:C=I61,'Top 1500 HS LatitudeLongitude'!E:E=H61)),1),TRUE)
)"),"")</f>
        <v/>
      </c>
      <c r="S61" s="13" t="b">
        <f>ISNUMBER(MATCH("*"&amp;H:H&amp;"*",'Public Schools'!C:C,0))</f>
        <v>1</v>
      </c>
      <c r="T61" s="13" t="str">
        <f ca="1">IFERROR(__xludf.DUMMYFUNCTION("IFERROR(IF(AND(R61="""",S61=true), SORTN(FILTER('Public Schools'!A:A,'Public Schools'!B:B=J61,'Public Schools'!C:C=H61),1,0,randarray(COUNTA(FILTER('Public Schools'!A:A,'Public Schools'!B:B=J61,'Public Schools'!C:C=H61)),1),TRUE),""""),"""")"),"Oxford High School")</f>
        <v>Oxford High School</v>
      </c>
      <c r="U61" s="23" t="str">
        <f t="array" aca="1" ref="U61" ca="1">IF(AND(R61="",T61=""),INDEX('Top 1500 HS LatitudeLongitude'!B$2:B$1501,MATCH(MIN(SQRT(('Top 1500 HS LatitudeLongitude'!H$2:H$1501-F61)^2+('Top 1500 HS LatitudeLongitude'!I$2:I$1501-G61)^2)),SQRT( ('Top 1500 HS LatitudeLongitude'!H$2:H$1501-F61)^2+('Top 1500 HS LatitudeLongitude'!I$2:I$1501-G61)^2),0),1),"")</f>
        <v/>
      </c>
    </row>
    <row r="62" spans="2:21" ht="15.6">
      <c r="B62" s="8">
        <v>0.32898786320000001</v>
      </c>
      <c r="C62" s="9" t="s">
        <v>270</v>
      </c>
      <c r="D62" s="9" t="s">
        <v>280</v>
      </c>
      <c r="E62" s="98" t="s">
        <v>1455</v>
      </c>
      <c r="F62" s="8">
        <v>37.970999999999997</v>
      </c>
      <c r="G62" s="8">
        <v>-89.052999999999997</v>
      </c>
      <c r="H62" s="3" t="str">
        <f t="shared" si="0"/>
        <v>Ramsey</v>
      </c>
      <c r="I62" s="3" t="str">
        <f t="shared" si="1"/>
        <v>NJ</v>
      </c>
      <c r="J62" s="3" t="str">
        <f t="array" ref="J62">INDEX('State Abbreviations'!$B$2:$B$52,MATCH(I62,'State Abbreviations'!$A$2:$A$52,0))</f>
        <v>New Jersey</v>
      </c>
      <c r="K62" s="94" t="e">
        <f t="shared" ca="1" si="2"/>
        <v>#NAME?</v>
      </c>
      <c r="L62" s="13">
        <f t="shared" ca="1" si="5"/>
        <v>5</v>
      </c>
      <c r="M62" s="13" t="str">
        <f ca="1">IFERROR(__xludf.DUMMYFUNCTION("IF(AND(L62&gt;3,I62&lt;&gt;""AL"",I62&lt;&gt;""AK"",I62&lt;&gt;""AZ"",I62&lt;&gt;""AR"",I62&lt;&gt;""CA"",I62&lt;&gt;""CO"",I62&lt;&gt;""CT"",I62&lt;&gt;""DE"",I62&lt;&gt;""DC"",I62&lt;&gt;""FL"",I62&lt;&gt;""GA"",I62&lt;&gt;""HI"",I62&lt;&gt;""ID"",I62&lt;&gt;""IL"",I62&lt;&gt;""IN"",I62&lt;&gt;""IA"",I62&lt;&gt;""KS"",I62&lt;&gt;""KY"",I62&lt;&gt;""LA"",I62&lt;&gt;""ME"",I6"&amp;"2&lt;&gt;""MD"",I62&lt;&gt;""MA"",I62&lt;&gt;""MI"",I62&lt;&gt;""MN"",I62&lt;&gt;""MS"",I62&lt;&gt;""MO"",I62&lt;&gt;""MT"",I62&lt;&gt;""NE"",I62&lt;&gt;""NV"",I62&lt;&gt;""NH"",I62&lt;&gt;""NJ"",I62&lt;&gt;""NM"",I62&lt;&gt;""NY"",I62&lt;&gt;""NC"",I62&lt;&gt;""ND"",I62&lt;&gt;""OH"",I62&lt;&gt;""OK"",I62&lt;&gt;""OR"",I62&lt;&gt;""PA"",I62&lt;&gt;""RI"",I62&lt;&gt;""SC"",I62&lt;&gt;"&amp;"""SD"",I62&lt;&gt;""TN"",I62&lt;&gt;""TX"",I62&lt;&gt;""UT"",I62&lt;&gt;""VT"",I62&lt;&gt;""VA"",I62&lt;&gt;""WA"",I62&lt;&gt;""WV"",I62&lt;&gt;""WI"",I62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StateInternational'!$G$2:$G$121&lt;&gt;"""")},2,0)),IF(L62=10"&amp;",ArrayFormula(VLOOKUP(QUERY(UNIQUE(RANDBETWEEN(ROW(INDIRECT(""A1:A""&amp;COUNTA('Leaving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62" s="13">
        <f t="shared" ca="1" si="6"/>
        <v>6</v>
      </c>
      <c r="O62" s="13" t="b">
        <f>ISNUMBER(MATCH(C62,'Top 250 HS'!C:C,0))</f>
        <v>0</v>
      </c>
      <c r="P62" s="13" t="str">
        <f ca="1">IFERROR(__xludf.DUMMYFUNCTION("SORTN(FILTER('Top 250 HS'!B:B,'Top 250 HS'!C:C=I62),1,0,randarray(COUNTA(FILTER('Top 250 HS'!B:B,'Top 250 HS'!C:C=I62)),1),TRUE)"),"Camden")</f>
        <v>Camden</v>
      </c>
      <c r="Q62" s="13" t="b">
        <f>ISNUMBER(MATCH("*"&amp;E62&amp;"*",'Top 1500 HS LatitudeLongitude'!G:G,0))</f>
        <v>1</v>
      </c>
      <c r="R62" s="13" t="str">
        <f ca="1">IFERROR(__xludf.DUMMYFUNCTION("IFS(L62=10,"""",Q62=false,"""",N62=5,"""",Q62=true,SORTN(FILTER('Top 1500 HS LatitudeLongitude'!B:B,'Top 1500 HS LatitudeLongitude'!C:C=I62,'Top 1500 HS LatitudeLongitude'!E:E=H62),1,0,randarray(COUNTA(FILTER('Top 1500 HS LatitudeLongitude'!B:B,'Top 1500 "&amp;"HS LatitudeLongitude'!C:C=I62,'Top 1500 HS LatitudeLongitude'!E:E=H62)),1),TRUE)
)"),"Don Bosco Prep (Ramsey)")</f>
        <v>Don Bosco Prep (Ramsey)</v>
      </c>
      <c r="S62" s="13" t="b">
        <f>ISNUMBER(MATCH("*"&amp;H:H&amp;"*",'Public Schools'!C:C,0))</f>
        <v>1</v>
      </c>
      <c r="T62" s="13" t="str">
        <f ca="1">IFERROR(__xludf.DUMMYFUNCTION("IFERROR(IF(AND(R62="""",S62=true), SORTN(FILTER('Public Schools'!A:A,'Public Schools'!B:B=J62,'Public Schools'!C:C=H62),1,0,randarray(COUNTA(FILTER('Public Schools'!A:A,'Public Schools'!B:B=J62,'Public Schools'!C:C=H62)),1),TRUE),""""),"""")"),"")</f>
        <v/>
      </c>
      <c r="U62" s="23" t="str">
        <f t="array" aca="1" ref="U62" ca="1">IF(AND(R62="",T62=""),INDEX('Top 1500 HS LatitudeLongitude'!B$2:B$1501,MATCH(MIN(SQRT(('Top 1500 HS LatitudeLongitude'!H$2:H$1501-F62)^2+('Top 1500 HS LatitudeLongitude'!I$2:I$1501-G62)^2)),SQRT( ('Top 1500 HS LatitudeLongitude'!H$2:H$1501-F62)^2+('Top 1500 HS LatitudeLongitude'!I$2:I$1501-G62)^2),0),1),"")</f>
        <v/>
      </c>
    </row>
    <row r="63" spans="2:21" ht="15.6">
      <c r="B63" s="8">
        <v>0.59771854000000002</v>
      </c>
      <c r="C63" s="9" t="s">
        <v>266</v>
      </c>
      <c r="D63" s="9" t="s">
        <v>281</v>
      </c>
      <c r="E63" s="37" t="s">
        <v>1482</v>
      </c>
      <c r="F63" s="8">
        <v>40.857399999999998</v>
      </c>
      <c r="G63" s="8">
        <v>-74.128100000000003</v>
      </c>
      <c r="H63" s="3" t="str">
        <f t="shared" si="0"/>
        <v>Norfolk</v>
      </c>
      <c r="I63" s="3" t="str">
        <f t="shared" si="1"/>
        <v>VA</v>
      </c>
      <c r="J63" s="3" t="str">
        <f t="array" ref="J63">INDEX('State Abbreviations'!$B$2:$B$52,MATCH(I63,'State Abbreviations'!$A$2:$A$52,0))</f>
        <v>Virginia</v>
      </c>
      <c r="K63" s="94" t="e">
        <f t="shared" ca="1" si="2"/>
        <v>#NAME?</v>
      </c>
      <c r="L63" s="13">
        <f t="shared" ca="1" si="5"/>
        <v>20</v>
      </c>
      <c r="M63" s="13" t="str">
        <f ca="1">IFERROR(__xludf.DUMMYFUNCTION("IF(AND(L63&gt;3,I63&lt;&gt;""AL"",I63&lt;&gt;""AK"",I63&lt;&gt;""AZ"",I63&lt;&gt;""AR"",I63&lt;&gt;""CA"",I63&lt;&gt;""CO"",I63&lt;&gt;""CT"",I63&lt;&gt;""DE"",I63&lt;&gt;""DC"",I63&lt;&gt;""FL"",I63&lt;&gt;""GA"",I63&lt;&gt;""HI"",I63&lt;&gt;""ID"",I63&lt;&gt;""IL"",I63&lt;&gt;""IN"",I63&lt;&gt;""IA"",I63&lt;&gt;""KS"",I63&lt;&gt;""KY"",I63&lt;&gt;""LA"",I63&lt;&gt;""ME"",I6"&amp;"3&lt;&gt;""MD"",I63&lt;&gt;""MA"",I63&lt;&gt;""MI"",I63&lt;&gt;""MN"",I63&lt;&gt;""MS"",I63&lt;&gt;""MO"",I63&lt;&gt;""MT"",I63&lt;&gt;""NE"",I63&lt;&gt;""NV"",I63&lt;&gt;""NH"",I63&lt;&gt;""NJ"",I63&lt;&gt;""NM"",I63&lt;&gt;""NY"",I63&lt;&gt;""NC"",I63&lt;&gt;""ND"",I63&lt;&gt;""OH"",I63&lt;&gt;""OK"",I63&lt;&gt;""OR"",I63&lt;&gt;""PA"",I63&lt;&gt;""RI"",I63&lt;&gt;""SC"",I63&lt;&gt;"&amp;"""SD"",I63&lt;&gt;""TN"",I63&lt;&gt;""TX"",I63&lt;&gt;""UT"",I63&lt;&gt;""VT"",I63&lt;&gt;""VA"",I63&lt;&gt;""WA"",I63&lt;&gt;""WV"",I63&lt;&gt;""WI"",I63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StateInternational'!$G$2:$G$121&lt;&gt;"""")},2,0)),IF(L63=10"&amp;",ArrayFormula(VLOOKUP(QUERY(UNIQUE(RANDBETWEEN(ROW(INDIRECT(""A1:A""&amp;COUNTA('Leaving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63" s="13">
        <f t="shared" ca="1" si="6"/>
        <v>6</v>
      </c>
      <c r="O63" s="13" t="b">
        <f>ISNUMBER(MATCH(C63,'Top 250 HS'!C:C,0))</f>
        <v>0</v>
      </c>
      <c r="P63" s="13" t="str">
        <f ca="1">IFERROR(__xludf.DUMMYFUNCTION("SORTN(FILTER('Top 250 HS'!B:B,'Top 250 HS'!C:C=I63),1,0,randarray(COUNTA(FILTER('Top 250 HS'!B:B,'Top 250 HS'!C:C=I63)),1),TRUE)"),"Oak Hill Academy (Mouth of Wilson)")</f>
        <v>Oak Hill Academy (Mouth of Wilson)</v>
      </c>
      <c r="Q63" s="13" t="b">
        <f>ISNUMBER(MATCH("*"&amp;E63&amp;"*",'Top 1500 HS LatitudeLongitude'!G:G,0))</f>
        <v>1</v>
      </c>
      <c r="R63" s="13" t="str">
        <f ca="1">IFERROR(__xludf.DUMMYFUNCTION("IFS(L63=10,"""",Q63=false,"""",N63=5,"""",Q63=true,SORTN(FILTER('Top 1500 HS LatitudeLongitude'!B:B,'Top 1500 HS LatitudeLongitude'!C:C=I63,'Top 1500 HS LatitudeLongitude'!E:E=H63),1,0,randarray(COUNTA(FILTER('Top 1500 HS LatitudeLongitude'!B:B,'Top 1500 "&amp;"HS LatitudeLongitude'!C:C=I63,'Top 1500 HS LatitudeLongitude'!E:E=H63)),1),TRUE)
)"),"Norview (Norfolk)")</f>
        <v>Norview (Norfolk)</v>
      </c>
      <c r="S63" s="13" t="b">
        <f>ISNUMBER(MATCH("*"&amp;H:H&amp;"*",'Public Schools'!C:C,0))</f>
        <v>1</v>
      </c>
      <c r="T63" s="13" t="str">
        <f ca="1">IFERROR(__xludf.DUMMYFUNCTION("IFERROR(IF(AND(R63="""",S63=true), SORTN(FILTER('Public Schools'!A:A,'Public Schools'!B:B=J63,'Public Schools'!C:C=H63),1,0,randarray(COUNTA(FILTER('Public Schools'!A:A,'Public Schools'!B:B=J63,'Public Schools'!C:C=H63)),1),TRUE),""""),"""")"),"")</f>
        <v/>
      </c>
      <c r="U63" s="23" t="str">
        <f t="array" aca="1" ref="U63" ca="1">IF(AND(R63="",T63=""),INDEX('Top 1500 HS LatitudeLongitude'!B$2:B$1501,MATCH(MIN(SQRT(('Top 1500 HS LatitudeLongitude'!H$2:H$1501-F63)^2+('Top 1500 HS LatitudeLongitude'!I$2:I$1501-G63)^2)),SQRT( ('Top 1500 HS LatitudeLongitude'!H$2:H$1501-F63)^2+('Top 1500 HS LatitudeLongitude'!I$2:I$1501-G63)^2),0),1),"")</f>
        <v/>
      </c>
    </row>
    <row r="64" spans="2:21" ht="15.6">
      <c r="B64" s="8">
        <v>0.52608747440000003</v>
      </c>
      <c r="C64" s="9" t="s">
        <v>148</v>
      </c>
      <c r="D64" s="9" t="s">
        <v>282</v>
      </c>
      <c r="E64" s="98" t="s">
        <v>1521</v>
      </c>
      <c r="F64" s="8">
        <v>30.360499999999998</v>
      </c>
      <c r="G64" s="8">
        <v>-89.164500000000004</v>
      </c>
      <c r="H64" s="3" t="str">
        <f t="shared" si="0"/>
        <v>Warner Robins</v>
      </c>
      <c r="I64" s="3" t="str">
        <f t="shared" si="1"/>
        <v>GA</v>
      </c>
      <c r="J64" s="3" t="str">
        <f t="array" ref="J64">INDEX('State Abbreviations'!$B$2:$B$52,MATCH(I64,'State Abbreviations'!$A$2:$A$52,0))</f>
        <v>Georgia</v>
      </c>
      <c r="K64" s="94" t="e">
        <f t="shared" ca="1" si="2"/>
        <v>#NAME?</v>
      </c>
      <c r="L64" s="13">
        <f t="shared" ca="1" si="5"/>
        <v>19</v>
      </c>
      <c r="M64" s="13" t="str">
        <f ca="1">IFERROR(__xludf.DUMMYFUNCTION("IF(AND(L64&gt;3,I64&lt;&gt;""AL"",I64&lt;&gt;""AK"",I64&lt;&gt;""AZ"",I64&lt;&gt;""AR"",I64&lt;&gt;""CA"",I64&lt;&gt;""CO"",I64&lt;&gt;""CT"",I64&lt;&gt;""DE"",I64&lt;&gt;""DC"",I64&lt;&gt;""FL"",I64&lt;&gt;""GA"",I64&lt;&gt;""HI"",I64&lt;&gt;""ID"",I64&lt;&gt;""IL"",I64&lt;&gt;""IN"",I64&lt;&gt;""IA"",I64&lt;&gt;""KS"",I64&lt;&gt;""KY"",I64&lt;&gt;""LA"",I64&lt;&gt;""ME"",I6"&amp;"4&lt;&gt;""MD"",I64&lt;&gt;""MA"",I64&lt;&gt;""MI"",I64&lt;&gt;""MN"",I64&lt;&gt;""MS"",I64&lt;&gt;""MO"",I64&lt;&gt;""MT"",I64&lt;&gt;""NE"",I64&lt;&gt;""NV"",I64&lt;&gt;""NH"",I64&lt;&gt;""NJ"",I64&lt;&gt;""NM"",I64&lt;&gt;""NY"",I64&lt;&gt;""NC"",I64&lt;&gt;""ND"",I64&lt;&gt;""OH"",I64&lt;&gt;""OK"",I64&lt;&gt;""OR"",I64&lt;&gt;""PA"",I64&lt;&gt;""RI"",I64&lt;&gt;""SC"",I64&lt;&gt;"&amp;"""SD"",I64&lt;&gt;""TN"",I64&lt;&gt;""TX"",I64&lt;&gt;""UT"",I64&lt;&gt;""VT"",I64&lt;&gt;""VA"",I64&lt;&gt;""WA"",I64&lt;&gt;""WV"",I64&lt;&gt;""WI"",I64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StateInternational'!$G$2:$G$121&lt;&gt;"""")},2,0)),IF(L64=10"&amp;",ArrayFormula(VLOOKUP(QUERY(UNIQUE(RANDBETWEEN(ROW(INDIRECT(""A1:A""&amp;COUNTA('Leaving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64" s="13">
        <f t="shared" ca="1" si="6"/>
        <v>5</v>
      </c>
      <c r="O64" s="13" t="b">
        <f>ISNUMBER(MATCH(C64,'Top 250 HS'!C:C,0))</f>
        <v>0</v>
      </c>
      <c r="P64" s="13" t="str">
        <f ca="1">IFERROR(__xludf.DUMMYFUNCTION("SORTN(FILTER('Top 250 HS'!B:B,'Top 250 HS'!C:C=I64),1,0,randarray(COUNTA(FILTER('Top 250 HS'!B:B,'Top 250 HS'!C:C=I64)),1),TRUE)"),"St. Francis (Alpharetta)")</f>
        <v>St. Francis (Alpharetta)</v>
      </c>
      <c r="Q64" s="13" t="b">
        <f>ISNUMBER(MATCH("*"&amp;E64&amp;"*",'Top 1500 HS LatitudeLongitude'!G:G,0))</f>
        <v>1</v>
      </c>
      <c r="R64" s="13" t="str">
        <f ca="1">IFERROR(__xludf.DUMMYFUNCTION("IFS(L64=10,"""",Q64=false,"""",N64=5,"""",Q64=true,SORTN(FILTER('Top 1500 HS LatitudeLongitude'!B:B,'Top 1500 HS LatitudeLongitude'!C:C=I64,'Top 1500 HS LatitudeLongitude'!E:E=H64),1,0,randarray(COUNTA(FILTER('Top 1500 HS LatitudeLongitude'!B:B,'Top 1500 "&amp;"HS LatitudeLongitude'!C:C=I64,'Top 1500 HS LatitudeLongitude'!E:E=H64)),1),TRUE)
)"),"Warner Robins")</f>
        <v>Warner Robins</v>
      </c>
      <c r="S64" s="13" t="b">
        <f>ISNUMBER(MATCH("*"&amp;H:H&amp;"*",'Public Schools'!C:C,0))</f>
        <v>1</v>
      </c>
      <c r="T64" s="13" t="str">
        <f ca="1">IFERROR(__xludf.DUMMYFUNCTION("IFERROR(IF(AND(R64="""",S64=true), SORTN(FILTER('Public Schools'!A:A,'Public Schools'!B:B=J64,'Public Schools'!C:C=H64),1,0,randarray(COUNTA(FILTER('Public Schools'!A:A,'Public Schools'!B:B=J64,'Public Schools'!C:C=H64)),1),TRUE),""""),"""")"),"")</f>
        <v/>
      </c>
      <c r="U64" s="23" t="str">
        <f t="array" aca="1" ref="U64" ca="1">IF(AND(R64="",T64=""),INDEX('Top 1500 HS LatitudeLongitude'!B$2:B$1501,MATCH(MIN(SQRT(('Top 1500 HS LatitudeLongitude'!H$2:H$1501-F64)^2+('Top 1500 HS LatitudeLongitude'!I$2:I$1501-G64)^2)),SQRT( ('Top 1500 HS LatitudeLongitude'!H$2:H$1501-F64)^2+('Top 1500 HS LatitudeLongitude'!I$2:I$1501-G64)^2),0),1),"")</f>
        <v/>
      </c>
    </row>
    <row r="65" spans="2:21" ht="15.6">
      <c r="B65" s="8">
        <v>0.95767074610000003</v>
      </c>
      <c r="C65" s="9" t="s">
        <v>249</v>
      </c>
      <c r="D65" s="9" t="s">
        <v>283</v>
      </c>
      <c r="E65" s="37" t="s">
        <v>91</v>
      </c>
      <c r="F65" s="8">
        <v>36.713099999999997</v>
      </c>
      <c r="G65" s="8">
        <v>-78.913499999999999</v>
      </c>
      <c r="H65" s="3" t="str">
        <f t="shared" si="0"/>
        <v>Charlotte</v>
      </c>
      <c r="I65" s="3" t="str">
        <f t="shared" si="1"/>
        <v>NC</v>
      </c>
      <c r="J65" s="3" t="str">
        <f t="array" ref="J65">INDEX('State Abbreviations'!$B$2:$B$52,MATCH(I65,'State Abbreviations'!$A$2:$A$52,0))</f>
        <v>North Carolina</v>
      </c>
      <c r="K65" s="94" t="e">
        <f t="shared" ca="1" si="2"/>
        <v>#NAME?</v>
      </c>
      <c r="L65" s="13">
        <f t="shared" ca="1" si="5"/>
        <v>2</v>
      </c>
      <c r="M65" s="13" t="str">
        <f ca="1">IFERROR(__xludf.DUMMYFUNCTION("IF(AND(L65&gt;3,I65&lt;&gt;""AL"",I65&lt;&gt;""AK"",I65&lt;&gt;""AZ"",I65&lt;&gt;""AR"",I65&lt;&gt;""CA"",I65&lt;&gt;""CO"",I65&lt;&gt;""CT"",I65&lt;&gt;""DE"",I65&lt;&gt;""DC"",I65&lt;&gt;""FL"",I65&lt;&gt;""GA"",I65&lt;&gt;""HI"",I65&lt;&gt;""ID"",I65&lt;&gt;""IL"",I65&lt;&gt;""IN"",I65&lt;&gt;""IA"",I65&lt;&gt;""KS"",I65&lt;&gt;""KY"",I65&lt;&gt;""LA"",I65&lt;&gt;""ME"",I6"&amp;"5&lt;&gt;""MD"",I65&lt;&gt;""MA"",I65&lt;&gt;""MI"",I65&lt;&gt;""MN"",I65&lt;&gt;""MS"",I65&lt;&gt;""MO"",I65&lt;&gt;""MT"",I65&lt;&gt;""NE"",I65&lt;&gt;""NV"",I65&lt;&gt;""NH"",I65&lt;&gt;""NJ"",I65&lt;&gt;""NM"",I65&lt;&gt;""NY"",I65&lt;&gt;""NC"",I65&lt;&gt;""ND"",I65&lt;&gt;""OH"",I65&lt;&gt;""OK"",I65&lt;&gt;""OR"",I65&lt;&gt;""PA"",I65&lt;&gt;""RI"",I65&lt;&gt;""SC"",I65&lt;&gt;"&amp;"""SD"",I65&lt;&gt;""TN"",I65&lt;&gt;""TX"",I65&lt;&gt;""UT"",I65&lt;&gt;""VT"",I65&lt;&gt;""VA"",I65&lt;&gt;""WA"",I65&lt;&gt;""WV"",I65&lt;&gt;""WI"",I65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StateInternational'!$G$2:$G$121&lt;&gt;"""")},2,0)),IF(L65=10"&amp;",ArrayFormula(VLOOKUP(QUERY(UNIQUE(RANDBETWEEN(ROW(INDIRECT(""A1:A""&amp;COUNTA('Leaving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65" s="13">
        <f t="shared" ca="1" si="6"/>
        <v>4</v>
      </c>
      <c r="O65" s="13" t="b">
        <f>ISNUMBER(MATCH(C65,'Top 250 HS'!C:C,0))</f>
        <v>0</v>
      </c>
      <c r="P65" s="13" t="str">
        <f ca="1">IFERROR(__xludf.DUMMYFUNCTION("SORTN(FILTER('Top 250 HS'!B:B,'Top 250 HS'!C:C=I65),1,0,randarray(COUNTA(FILTER('Top 250 HS'!B:B,'Top 250 HS'!C:C=I65)),1),TRUE)"),"Concord First Assembly Academy (Concord)")</f>
        <v>Concord First Assembly Academy (Concord)</v>
      </c>
      <c r="Q65" s="13" t="b">
        <f>ISNUMBER(MATCH("*"&amp;E65&amp;"*",'Top 1500 HS LatitudeLongitude'!G:G,0))</f>
        <v>1</v>
      </c>
      <c r="R65" s="13" t="str">
        <f ca="1">IFERROR(__xludf.DUMMYFUNCTION("IFS(L65=10,"""",Q65=false,"""",N65=5,"""",Q65=true,SORTN(FILTER('Top 1500 HS LatitudeLongitude'!B:B,'Top 1500 HS LatitudeLongitude'!C:C=I65,'Top 1500 HS LatitudeLongitude'!E:E=H65),1,0,randarray(COUNTA(FILTER('Top 1500 HS LatitudeLongitude'!B:B,'Top 1500 "&amp;"HS LatitudeLongitude'!C:C=I65,'Top 1500 HS LatitudeLongitude'!E:E=H65)),1),TRUE)
)"),"Hickory Grove Christian (Charlotte)")</f>
        <v>Hickory Grove Christian (Charlotte)</v>
      </c>
      <c r="S65" s="13" t="b">
        <f>ISNUMBER(MATCH("*"&amp;H:H&amp;"*",'Public Schools'!C:C,0))</f>
        <v>1</v>
      </c>
      <c r="T65" s="13" t="str">
        <f ca="1">IFERROR(__xludf.DUMMYFUNCTION("IFERROR(IF(AND(R65="""",S65=true), SORTN(FILTER('Public Schools'!A:A,'Public Schools'!B:B=J65,'Public Schools'!C:C=H65),1,0,randarray(COUNTA(FILTER('Public Schools'!A:A,'Public Schools'!B:B=J65,'Public Schools'!C:C=H65)),1),TRUE),""""),"""")"),"")</f>
        <v/>
      </c>
      <c r="U65" s="23" t="str">
        <f t="array" aca="1" ref="U65" ca="1">IF(AND(R65="",T65=""),INDEX('Top 1500 HS LatitudeLongitude'!B$2:B$1501,MATCH(MIN(SQRT(('Top 1500 HS LatitudeLongitude'!H$2:H$1501-F65)^2+('Top 1500 HS LatitudeLongitude'!I$2:I$1501-G65)^2)),SQRT( ('Top 1500 HS LatitudeLongitude'!H$2:H$1501-F65)^2+('Top 1500 HS LatitudeLongitude'!I$2:I$1501-G65)^2),0),1),"")</f>
        <v/>
      </c>
    </row>
    <row r="66" spans="2:21" ht="15.6">
      <c r="B66" s="8">
        <v>0.55161284759999996</v>
      </c>
      <c r="C66" s="9" t="s">
        <v>212</v>
      </c>
      <c r="D66" s="9" t="s">
        <v>284</v>
      </c>
      <c r="E66" s="98" t="s">
        <v>1612</v>
      </c>
      <c r="F66" s="8">
        <v>35.084699999999998</v>
      </c>
      <c r="G66" s="8">
        <v>-78.977699999999999</v>
      </c>
      <c r="H66" s="3" t="str">
        <f t="shared" si="0"/>
        <v>Clarksdale</v>
      </c>
      <c r="I66" s="3" t="str">
        <f t="shared" si="1"/>
        <v>MS</v>
      </c>
      <c r="J66" s="3" t="str">
        <f t="array" ref="J66">INDEX('State Abbreviations'!$B$2:$B$52,MATCH(I66,'State Abbreviations'!$A$2:$A$52,0))</f>
        <v>Mississippi</v>
      </c>
      <c r="K66" s="94" t="e">
        <f t="shared" ca="1" si="2"/>
        <v>#NAME?</v>
      </c>
      <c r="L66" s="13">
        <f t="shared" ca="1" si="5"/>
        <v>19</v>
      </c>
      <c r="M66" s="13" t="str">
        <f ca="1">IFERROR(__xludf.DUMMYFUNCTION("IF(AND(L66&gt;3,I66&lt;&gt;""AL"",I66&lt;&gt;""AK"",I66&lt;&gt;""AZ"",I66&lt;&gt;""AR"",I66&lt;&gt;""CA"",I66&lt;&gt;""CO"",I66&lt;&gt;""CT"",I66&lt;&gt;""DE"",I66&lt;&gt;""DC"",I66&lt;&gt;""FL"",I66&lt;&gt;""GA"",I66&lt;&gt;""HI"",I66&lt;&gt;""ID"",I66&lt;&gt;""IL"",I66&lt;&gt;""IN"",I66&lt;&gt;""IA"",I66&lt;&gt;""KS"",I66&lt;&gt;""KY"",I66&lt;&gt;""LA"",I66&lt;&gt;""ME"",I6"&amp;"6&lt;&gt;""MD"",I66&lt;&gt;""MA"",I66&lt;&gt;""MI"",I66&lt;&gt;""MN"",I66&lt;&gt;""MS"",I66&lt;&gt;""MO"",I66&lt;&gt;""MT"",I66&lt;&gt;""NE"",I66&lt;&gt;""NV"",I66&lt;&gt;""NH"",I66&lt;&gt;""NJ"",I66&lt;&gt;""NM"",I66&lt;&gt;""NY"",I66&lt;&gt;""NC"",I66&lt;&gt;""ND"",I66&lt;&gt;""OH"",I66&lt;&gt;""OK"",I66&lt;&gt;""OR"",I66&lt;&gt;""PA"",I66&lt;&gt;""RI"",I66&lt;&gt;""SC"",I66&lt;&gt;"&amp;"""SD"",I66&lt;&gt;""TN"",I66&lt;&gt;""TX"",I66&lt;&gt;""UT"",I66&lt;&gt;""VT"",I66&lt;&gt;""VA"",I66&lt;&gt;""WA"",I66&lt;&gt;""WV"",I66&lt;&gt;""WI"",I66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StateInternational'!$G$2:$G$121&lt;&gt;"""")},2,0)),IF(L66=10"&amp;",ArrayFormula(VLOOKUP(QUERY(UNIQUE(RANDBETWEEN(ROW(INDIRECT(""A1:A""&amp;COUNTA('Leaving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66" s="13">
        <f t="shared" ca="1" si="6"/>
        <v>3</v>
      </c>
      <c r="O66" s="13" t="b">
        <f>ISNUMBER(MATCH(C66,'Top 250 HS'!C:C,0))</f>
        <v>0</v>
      </c>
      <c r="P66" s="13" t="str">
        <f ca="1">IFERROR(__xludf.DUMMYFUNCTION("SORTN(FILTER('Top 250 HS'!B:B,'Top 250 HS'!C:C=I66),1,0,randarray(COUNTA(FILTER('Top 250 HS'!B:B,'Top 250 HS'!C:C=I66)),1),TRUE)"),"Olive Branch")</f>
        <v>Olive Branch</v>
      </c>
      <c r="Q66" s="13" t="b">
        <f>ISNUMBER(MATCH("*"&amp;E66&amp;"*",'Top 1500 HS LatitudeLongitude'!G:G,0))</f>
        <v>1</v>
      </c>
      <c r="R66" s="13" t="str">
        <f ca="1">IFERROR(__xludf.DUMMYFUNCTION("IFS(L66=10,"""",Q66=false,"""",N66=5,"""",Q66=true,SORTN(FILTER('Top 1500 HS LatitudeLongitude'!B:B,'Top 1500 HS LatitudeLongitude'!C:C=I66,'Top 1500 HS LatitudeLongitude'!E:E=H66),1,0,randarray(COUNTA(FILTER('Top 1500 HS LatitudeLongitude'!B:B,'Top 1500 "&amp;"HS LatitudeLongitude'!C:C=I66,'Top 1500 HS LatitudeLongitude'!E:E=H66)),1),TRUE)
)"),"Coahoma Agricultural (Clarksdale)")</f>
        <v>Coahoma Agricultural (Clarksdale)</v>
      </c>
      <c r="S66" s="13" t="b">
        <f>ISNUMBER(MATCH("*"&amp;H:H&amp;"*",'Public Schools'!C:C,0))</f>
        <v>1</v>
      </c>
      <c r="T66" s="13" t="str">
        <f ca="1">IFERROR(__xludf.DUMMYFUNCTION("IFERROR(IF(AND(R66="""",S66=true), SORTN(FILTER('Public Schools'!A:A,'Public Schools'!B:B=J66,'Public Schools'!C:C=H66),1,0,randarray(COUNTA(FILTER('Public Schools'!A:A,'Public Schools'!B:B=J66,'Public Schools'!C:C=H66)),1),TRUE),""""),"""")"),"")</f>
        <v/>
      </c>
      <c r="U66" s="23" t="str">
        <f t="array" aca="1" ref="U66" ca="1">IF(AND(R66="",T66=""),INDEX('Top 1500 HS LatitudeLongitude'!B$2:B$1501,MATCH(MIN(SQRT(('Top 1500 HS LatitudeLongitude'!H$2:H$1501-F66)^2+('Top 1500 HS LatitudeLongitude'!I$2:I$1501-G66)^2)),SQRT( ('Top 1500 HS LatitudeLongitude'!H$2:H$1501-F66)^2+('Top 1500 HS LatitudeLongitude'!I$2:I$1501-G66)^2),0),1),"")</f>
        <v/>
      </c>
    </row>
    <row r="67" spans="2:21" ht="15.6">
      <c r="B67" s="8">
        <v>0.29180741449999997</v>
      </c>
      <c r="C67" s="9" t="s">
        <v>114</v>
      </c>
      <c r="D67" s="9" t="s">
        <v>285</v>
      </c>
      <c r="E67" s="37" t="s">
        <v>1666</v>
      </c>
      <c r="F67" s="8">
        <v>42.259399999999999</v>
      </c>
      <c r="G67" s="8">
        <v>-89.064599999999999</v>
      </c>
      <c r="H67" s="3" t="str">
        <f t="shared" si="0"/>
        <v>Hialeah</v>
      </c>
      <c r="I67" s="3" t="str">
        <f t="shared" si="1"/>
        <v>FL</v>
      </c>
      <c r="J67" s="3" t="str">
        <f t="array" ref="J67">INDEX('State Abbreviations'!$B$2:$B$52,MATCH(I67,'State Abbreviations'!$A$2:$A$52,0))</f>
        <v>Florida</v>
      </c>
      <c r="K67" s="96" t="e">
        <f t="shared" ca="1" si="2"/>
        <v>#NAME?</v>
      </c>
      <c r="L67" s="13">
        <f t="shared" ca="1" si="5"/>
        <v>10</v>
      </c>
      <c r="M67" s="36" t="str">
        <f ca="1">IFERROR(__xludf.DUMMYFUNCTION("IF(AND(L67&gt;3,I67&lt;&gt;""AL"",I67&lt;&gt;""AK"",I67&lt;&gt;""AZ"",I67&lt;&gt;""AR"",I67&lt;&gt;""CA"",I67&lt;&gt;""CO"",I67&lt;&gt;""CT"",I67&lt;&gt;""DE"",I67&lt;&gt;""DC"",I67&lt;&gt;""FL"",I67&lt;&gt;""GA"",I67&lt;&gt;""HI"",I67&lt;&gt;""ID"",I67&lt;&gt;""IL"",I67&lt;&gt;""IN"",I67&lt;&gt;""IA"",I67&lt;&gt;""KS"",I67&lt;&gt;""KY"",I67&lt;&gt;""LA"",I67&lt;&gt;""ME"",I6"&amp;"7&lt;&gt;""MD"",I67&lt;&gt;""MA"",I67&lt;&gt;""MI"",I67&lt;&gt;""MN"",I67&lt;&gt;""MS"",I67&lt;&gt;""MO"",I67&lt;&gt;""MT"",I67&lt;&gt;""NE"",I67&lt;&gt;""NV"",I67&lt;&gt;""NH"",I67&lt;&gt;""NJ"",I67&lt;&gt;""NM"",I67&lt;&gt;""NY"",I67&lt;&gt;""NC"",I67&lt;&gt;""ND"",I67&lt;&gt;""OH"",I67&lt;&gt;""OK"",I67&lt;&gt;""OR"",I67&lt;&gt;""PA"",I67&lt;&gt;""RI"",I67&lt;&gt;""SC"",I67&lt;&gt;"&amp;"""SD"",I67&lt;&gt;""TN"",I67&lt;&gt;""TX"",I67&lt;&gt;""UT"",I67&lt;&gt;""VT"",I67&lt;&gt;""VA"",I67&lt;&gt;""WA"",I67&lt;&gt;""WV"",I67&lt;&gt;""WI"",I67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StateInternational'!$G$2:$G$121&lt;&gt;"""")},2,0)),IF(L67=10"&amp;",ArrayFormula(VLOOKUP(QUERY(UNIQUE(RANDBETWEEN(ROW(INDIRECT(""A1:A""&amp;COUNTA('Leaving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StateInternational'!$G$2:$G$121&lt;&gt;"""")},2,0)),""""))"),"Oak Hill Academy (Mouth of Wilson)")</f>
        <v>Oak Hill Academy (Mouth of Wilson)</v>
      </c>
      <c r="N67" s="13">
        <f t="shared" ca="1" si="6"/>
        <v>5</v>
      </c>
      <c r="O67" s="13" t="b">
        <f>ISNUMBER(MATCH(C67,'Top 250 HS'!C:C,0))</f>
        <v>0</v>
      </c>
      <c r="P67" s="13" t="str">
        <f ca="1">IFERROR(__xludf.DUMMYFUNCTION("SORTN(FILTER('Top 250 HS'!B:B,'Top 250 HS'!C:C=I67),1,0,randarray(COUNTA(FILTER('Top 250 HS'!B:B,'Top 250 HS'!C:C=I67)),1),TRUE)"),"Dillard (Fort Lauderdale)")</f>
        <v>Dillard (Fort Lauderdale)</v>
      </c>
      <c r="Q67" s="13" t="b">
        <f>ISNUMBER(MATCH("*"&amp;E67&amp;"*",'Top 1500 HS LatitudeLongitude'!G:G,0))</f>
        <v>0</v>
      </c>
      <c r="R67" s="13" t="str">
        <f ca="1">IFERROR(__xludf.DUMMYFUNCTION("IFS(L67=10,"""",Q67=false,"""",N67=5,"""",Q67=true,SORTN(FILTER('Top 1500 HS LatitudeLongitude'!B:B,'Top 1500 HS LatitudeLongitude'!C:C=I67,'Top 1500 HS LatitudeLongitude'!E:E=H67),1,0,randarray(COUNTA(FILTER('Top 1500 HS LatitudeLongitude'!B:B,'Top 1500 "&amp;"HS LatitudeLongitude'!C:C=I67,'Top 1500 HS LatitudeLongitude'!E:E=H67)),1),TRUE)
)"),"")</f>
        <v/>
      </c>
      <c r="S67" s="13" t="b">
        <f>ISNUMBER(MATCH("*"&amp;H:H&amp;"*",'Public Schools'!C:C,0))</f>
        <v>1</v>
      </c>
      <c r="T67" s="13" t="str">
        <f ca="1">IFERROR(__xludf.DUMMYFUNCTION("IFERROR(IF(AND(R67="""",S67=true), SORTN(FILTER('Public Schools'!A:A,'Public Schools'!B:B=J67,'Public Schools'!C:C=H67),1,0,randarray(COUNTA(FILTER('Public Schools'!A:A,'Public Schools'!B:B=J67,'Public Schools'!C:C=H67)),1),TRUE),""""),"""")"),"American Senior High School")</f>
        <v>American Senior High School</v>
      </c>
      <c r="U67" s="23" t="str">
        <f t="array" aca="1" ref="U67" ca="1">IF(AND(R67="",T67=""),INDEX('Top 1500 HS LatitudeLongitude'!B$2:B$1501,MATCH(MIN(SQRT(('Top 1500 HS LatitudeLongitude'!H$2:H$1501-F67)^2+('Top 1500 HS LatitudeLongitude'!I$2:I$1501-G67)^2)),SQRT( ('Top 1500 HS LatitudeLongitude'!H$2:H$1501-F67)^2+('Top 1500 HS LatitudeLongitude'!I$2:I$1501-G67)^2),0),1),"")</f>
        <v/>
      </c>
    </row>
    <row r="68" spans="2:21" ht="15.6">
      <c r="B68" s="8">
        <v>0.93195055579999997</v>
      </c>
      <c r="C68" s="9" t="s">
        <v>249</v>
      </c>
      <c r="D68" s="9" t="s">
        <v>286</v>
      </c>
      <c r="E68" s="98" t="s">
        <v>1712</v>
      </c>
      <c r="F68" s="8">
        <v>37.529400000000003</v>
      </c>
      <c r="G68" s="8">
        <v>-77.475499999999997</v>
      </c>
      <c r="H68" s="3" t="str">
        <f t="shared" si="0"/>
        <v>Concord</v>
      </c>
      <c r="I68" s="3" t="str">
        <f t="shared" si="1"/>
        <v>NC</v>
      </c>
      <c r="J68" s="3" t="str">
        <f t="array" ref="J68">INDEX('State Abbreviations'!$B$2:$B$52,MATCH(I68,'State Abbreviations'!$A$2:$A$52,0))</f>
        <v>North Carolina</v>
      </c>
      <c r="K68" s="94" t="e">
        <f t="shared" ca="1" si="2"/>
        <v>#NAME?</v>
      </c>
      <c r="L68" s="13">
        <f t="shared" ca="1" si="5"/>
        <v>3</v>
      </c>
      <c r="M68" s="13" t="str">
        <f ca="1">IFERROR(__xludf.DUMMYFUNCTION("IF(AND(L68&gt;3,I68&lt;&gt;""AL"",I68&lt;&gt;""AK"",I68&lt;&gt;""AZ"",I68&lt;&gt;""AR"",I68&lt;&gt;""CA"",I68&lt;&gt;""CO"",I68&lt;&gt;""CT"",I68&lt;&gt;""DE"",I68&lt;&gt;""DC"",I68&lt;&gt;""FL"",I68&lt;&gt;""GA"",I68&lt;&gt;""HI"",I68&lt;&gt;""ID"",I68&lt;&gt;""IL"",I68&lt;&gt;""IN"",I68&lt;&gt;""IA"",I68&lt;&gt;""KS"",I68&lt;&gt;""KY"",I68&lt;&gt;""LA"",I68&lt;&gt;""ME"",I6"&amp;"8&lt;&gt;""MD"",I68&lt;&gt;""MA"",I68&lt;&gt;""MI"",I68&lt;&gt;""MN"",I68&lt;&gt;""MS"",I68&lt;&gt;""MO"",I68&lt;&gt;""MT"",I68&lt;&gt;""NE"",I68&lt;&gt;""NV"",I68&lt;&gt;""NH"",I68&lt;&gt;""NJ"",I68&lt;&gt;""NM"",I68&lt;&gt;""NY"",I68&lt;&gt;""NC"",I68&lt;&gt;""ND"",I68&lt;&gt;""OH"",I68&lt;&gt;""OK"",I68&lt;&gt;""OR"",I68&lt;&gt;""PA"",I68&lt;&gt;""RI"",I68&lt;&gt;""SC"",I68&lt;&gt;"&amp;"""SD"",I68&lt;&gt;""TN"",I68&lt;&gt;""TX"",I68&lt;&gt;""UT"",I68&lt;&gt;""VT"",I68&lt;&gt;""VA"",I68&lt;&gt;""WA"",I68&lt;&gt;""WV"",I68&lt;&gt;""WI"",I68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StateInternational'!$G$2:$G$121&lt;&gt;"""")},2,0)),IF(L68=10"&amp;",ArrayFormula(VLOOKUP(QUERY(UNIQUE(RANDBETWEEN(ROW(INDIRECT(""A1:A""&amp;COUNTA('Leaving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68" s="13">
        <f t="shared" ca="1" si="6"/>
        <v>4</v>
      </c>
      <c r="O68" s="13" t="b">
        <f>ISNUMBER(MATCH(C68,'Top 250 HS'!C:C,0))</f>
        <v>0</v>
      </c>
      <c r="P68" s="13" t="str">
        <f ca="1">IFERROR(__xludf.DUMMYFUNCTION("SORTN(FILTER('Top 250 HS'!B:B,'Top 250 HS'!C:C=I68),1,0,randarray(COUNTA(FILTER('Top 250 HS'!B:B,'Top 250 HS'!C:C=I68)),1),TRUE)"),"Moravian Prep (Hudson)")</f>
        <v>Moravian Prep (Hudson)</v>
      </c>
      <c r="Q68" s="13" t="b">
        <f>ISNUMBER(MATCH("*"&amp;E68&amp;"*",'Top 1500 HS LatitudeLongitude'!G:G,0))</f>
        <v>1</v>
      </c>
      <c r="R68" s="13" t="str">
        <f ca="1">IFERROR(__xludf.DUMMYFUNCTION("IFS(L68=10,"""",Q68=false,"""",N68=5,"""",Q68=true,SORTN(FILTER('Top 1500 HS LatitudeLongitude'!B:B,'Top 1500 HS LatitudeLongitude'!C:C=I68,'Top 1500 HS LatitudeLongitude'!E:E=H68),1,0,randarray(COUNTA(FILTER('Top 1500 HS LatitudeLongitude'!B:B,'Top 1500 "&amp;"HS LatitudeLongitude'!C:C=I68,'Top 1500 HS LatitudeLongitude'!E:E=H68)),1),TRUE)
)"),"Cannon (Concord)")</f>
        <v>Cannon (Concord)</v>
      </c>
      <c r="S68" s="13" t="b">
        <f>ISNUMBER(MATCH("*"&amp;H:H&amp;"*",'Public Schools'!C:C,0))</f>
        <v>1</v>
      </c>
      <c r="T68" s="13" t="str">
        <f ca="1">IFERROR(__xludf.DUMMYFUNCTION("IFERROR(IF(AND(R68="""",S68=true), SORTN(FILTER('Public Schools'!A:A,'Public Schools'!B:B=J68,'Public Schools'!C:C=H68),1,0,randarray(COUNTA(FILTER('Public Schools'!A:A,'Public Schools'!B:B=J68,'Public Schools'!C:C=H68)),1),TRUE),""""),"""")"),"")</f>
        <v/>
      </c>
      <c r="U68" s="23" t="str">
        <f t="array" aca="1" ref="U68" ca="1">IF(AND(R68="",T68=""),INDEX('Top 1500 HS LatitudeLongitude'!B$2:B$1501,MATCH(MIN(SQRT(('Top 1500 HS LatitudeLongitude'!H$2:H$1501-F68)^2+('Top 1500 HS LatitudeLongitude'!I$2:I$1501-G68)^2)),SQRT( ('Top 1500 HS LatitudeLongitude'!H$2:H$1501-F68)^2+('Top 1500 HS LatitudeLongitude'!I$2:I$1501-G68)^2),0),1),"")</f>
        <v/>
      </c>
    </row>
    <row r="69" spans="2:21" ht="15.6">
      <c r="B69" s="8">
        <v>0.49324481910000001</v>
      </c>
      <c r="C69" s="9" t="s">
        <v>206</v>
      </c>
      <c r="D69" s="9" t="s">
        <v>287</v>
      </c>
      <c r="E69" s="37" t="s">
        <v>1771</v>
      </c>
      <c r="F69" s="8">
        <v>42.332000000000001</v>
      </c>
      <c r="G69" s="8">
        <v>-83.88</v>
      </c>
      <c r="H69" s="3" t="str">
        <f t="shared" si="0"/>
        <v>Hurst</v>
      </c>
      <c r="I69" s="3" t="str">
        <f t="shared" si="1"/>
        <v>TX</v>
      </c>
      <c r="J69" s="3" t="str">
        <f t="array" ref="J69">INDEX('State Abbreviations'!$B$2:$B$52,MATCH(I69,'State Abbreviations'!$A$2:$A$52,0))</f>
        <v>Texas</v>
      </c>
      <c r="K69" s="94" t="e">
        <f t="shared" ca="1" si="2"/>
        <v>#NAME?</v>
      </c>
      <c r="L69" s="13">
        <f t="shared" ca="1" si="5"/>
        <v>6</v>
      </c>
      <c r="M69" s="13" t="str">
        <f ca="1">IFERROR(__xludf.DUMMYFUNCTION("IF(AND(L69&gt;3,I69&lt;&gt;""AL"",I69&lt;&gt;""AK"",I69&lt;&gt;""AZ"",I69&lt;&gt;""AR"",I69&lt;&gt;""CA"",I69&lt;&gt;""CO"",I69&lt;&gt;""CT"",I69&lt;&gt;""DE"",I69&lt;&gt;""DC"",I69&lt;&gt;""FL"",I69&lt;&gt;""GA"",I69&lt;&gt;""HI"",I69&lt;&gt;""ID"",I69&lt;&gt;""IL"",I69&lt;&gt;""IN"",I69&lt;&gt;""IA"",I69&lt;&gt;""KS"",I69&lt;&gt;""KY"",I69&lt;&gt;""LA"",I69&lt;&gt;""ME"",I6"&amp;"9&lt;&gt;""MD"",I69&lt;&gt;""MA"",I69&lt;&gt;""MI"",I69&lt;&gt;""MN"",I69&lt;&gt;""MS"",I69&lt;&gt;""MO"",I69&lt;&gt;""MT"",I69&lt;&gt;""NE"",I69&lt;&gt;""NV"",I69&lt;&gt;""NH"",I69&lt;&gt;""NJ"",I69&lt;&gt;""NM"",I69&lt;&gt;""NY"",I69&lt;&gt;""NC"",I69&lt;&gt;""ND"",I69&lt;&gt;""OH"",I69&lt;&gt;""OK"",I69&lt;&gt;""OR"",I69&lt;&gt;""PA"",I69&lt;&gt;""RI"",I69&lt;&gt;""SC"",I69&lt;&gt;"&amp;"""SD"",I69&lt;&gt;""TN"",I69&lt;&gt;""TX"",I69&lt;&gt;""UT"",I69&lt;&gt;""VT"",I69&lt;&gt;""VA"",I69&lt;&gt;""WA"",I69&lt;&gt;""WV"",I69&lt;&gt;""WI"",I69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StateInternational'!$G$2:$G$121&lt;&gt;"""")},2,0)),IF(L69=10"&amp;",ArrayFormula(VLOOKUP(QUERY(UNIQUE(RANDBETWEEN(ROW(INDIRECT(""A1:A""&amp;COUNTA('Leaving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69" s="13">
        <f t="shared" ca="1" si="6"/>
        <v>5</v>
      </c>
      <c r="O69" s="13" t="b">
        <f>ISNUMBER(MATCH(C69,'Top 250 HS'!C:C,0))</f>
        <v>0</v>
      </c>
      <c r="P69" s="13" t="str">
        <f ca="1">IFERROR(__xludf.DUMMYFUNCTION("SORTN(FILTER('Top 250 HS'!B:B,'Top 250 HS'!C:C=I69),1,0,randarray(COUNTA(FILTER('Top 250 HS'!B:B,'Top 250 HS'!C:C=I69)),1),TRUE)"),"Summer Creek (Houston)")</f>
        <v>Summer Creek (Houston)</v>
      </c>
      <c r="Q69" s="13" t="b">
        <f>ISNUMBER(MATCH("*"&amp;E69&amp;"*",'Top 1500 HS LatitudeLongitude'!G:G,0))</f>
        <v>1</v>
      </c>
      <c r="R69" s="13" t="str">
        <f ca="1">IFERROR(__xludf.DUMMYFUNCTION("IFS(L69=10,"""",Q69=false,"""",N69=5,"""",Q69=true,SORTN(FILTER('Top 1500 HS LatitudeLongitude'!B:B,'Top 1500 HS LatitudeLongitude'!C:C=I69,'Top 1500 HS LatitudeLongitude'!E:E=H69),1,0,randarray(COUNTA(FILTER('Top 1500 HS LatitudeLongitude'!B:B,'Top 1500 "&amp;"HS LatitudeLongitude'!C:C=I69,'Top 1500 HS LatitudeLongitude'!E:E=H69)),1),TRUE)
)"),"Bell (Hurst)")</f>
        <v>Bell (Hurst)</v>
      </c>
      <c r="S69" s="13" t="b">
        <f>ISNUMBER(MATCH("*"&amp;H:H&amp;"*",'Public Schools'!C:C,0))</f>
        <v>1</v>
      </c>
      <c r="T69" s="13" t="str">
        <f ca="1">IFERROR(__xludf.DUMMYFUNCTION("IFERROR(IF(AND(R69="""",S69=true), SORTN(FILTER('Public Schools'!A:A,'Public Schools'!B:B=J69,'Public Schools'!C:C=H69),1,0,randarray(COUNTA(FILTER('Public Schools'!A:A,'Public Schools'!B:B=J69,'Public Schools'!C:C=H69)),1),TRUE),""""),"""")"),"")</f>
        <v/>
      </c>
      <c r="U69" s="23" t="str">
        <f t="array" aca="1" ref="U69" ca="1">IF(AND(R69="",T69=""),INDEX('Top 1500 HS LatitudeLongitude'!B$2:B$1501,MATCH(MIN(SQRT(('Top 1500 HS LatitudeLongitude'!H$2:H$1501-F69)^2+('Top 1500 HS LatitudeLongitude'!I$2:I$1501-G69)^2)),SQRT( ('Top 1500 HS LatitudeLongitude'!H$2:H$1501-F69)^2+('Top 1500 HS LatitudeLongitude'!I$2:I$1501-G69)^2),0),1),"")</f>
        <v/>
      </c>
    </row>
    <row r="70" spans="2:21" ht="15.6">
      <c r="B70" s="8">
        <v>0.85342319749999995</v>
      </c>
      <c r="C70" s="9" t="s">
        <v>288</v>
      </c>
      <c r="D70" s="9" t="s">
        <v>289</v>
      </c>
      <c r="E70" s="98" t="s">
        <v>1823</v>
      </c>
      <c r="F70" s="8">
        <v>32.781300000000002</v>
      </c>
      <c r="G70" s="8">
        <v>-97.346599999999995</v>
      </c>
      <c r="H70" s="3" t="str">
        <f t="shared" si="0"/>
        <v>Hammond</v>
      </c>
      <c r="I70" s="3" t="str">
        <f t="shared" si="1"/>
        <v>IN</v>
      </c>
      <c r="J70" s="3" t="str">
        <f t="array" ref="J70">INDEX('State Abbreviations'!$B$2:$B$52,MATCH(I70,'State Abbreviations'!$A$2:$A$52,0))</f>
        <v>Indiana</v>
      </c>
      <c r="K70" s="94" t="e">
        <f t="shared" ca="1" si="2"/>
        <v>#NAME?</v>
      </c>
      <c r="L70" s="13">
        <f t="shared" ca="1" si="5"/>
        <v>6</v>
      </c>
      <c r="M70" s="13" t="str">
        <f ca="1">IFERROR(__xludf.DUMMYFUNCTION("IF(AND(L70&gt;3,I70&lt;&gt;""AL"",I70&lt;&gt;""AK"",I70&lt;&gt;""AZ"",I70&lt;&gt;""AR"",I70&lt;&gt;""CA"",I70&lt;&gt;""CO"",I70&lt;&gt;""CT"",I70&lt;&gt;""DE"",I70&lt;&gt;""DC"",I70&lt;&gt;""FL"",I70&lt;&gt;""GA"",I70&lt;&gt;""HI"",I70&lt;&gt;""ID"",I70&lt;&gt;""IL"",I70&lt;&gt;""IN"",I70&lt;&gt;""IA"",I70&lt;&gt;""KS"",I70&lt;&gt;""KY"",I70&lt;&gt;""LA"",I70&lt;&gt;""ME"",I7"&amp;"0&lt;&gt;""MD"",I70&lt;&gt;""MA"",I70&lt;&gt;""MI"",I70&lt;&gt;""MN"",I70&lt;&gt;""MS"",I70&lt;&gt;""MO"",I70&lt;&gt;""MT"",I70&lt;&gt;""NE"",I70&lt;&gt;""NV"",I70&lt;&gt;""NH"",I70&lt;&gt;""NJ"",I70&lt;&gt;""NM"",I70&lt;&gt;""NY"",I70&lt;&gt;""NC"",I70&lt;&gt;""ND"",I70&lt;&gt;""OH"",I70&lt;&gt;""OK"",I70&lt;&gt;""OR"",I70&lt;&gt;""PA"",I70&lt;&gt;""RI"",I70&lt;&gt;""SC"",I70&lt;&gt;"&amp;"""SD"",I70&lt;&gt;""TN"",I70&lt;&gt;""TX"",I70&lt;&gt;""UT"",I70&lt;&gt;""VT"",I70&lt;&gt;""VA"",I70&lt;&gt;""WA"",I70&lt;&gt;""WV"",I70&lt;&gt;""WI"",I70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StateInternational'!$G$2:$G$121&lt;&gt;"""")},2,0)),IF(L70=10"&amp;",ArrayFormula(VLOOKUP(QUERY(UNIQUE(RANDBETWEEN(ROW(INDIRECT(""A1:A""&amp;COUNTA('Leaving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0" s="13">
        <f t="shared" ca="1" si="6"/>
        <v>7</v>
      </c>
      <c r="O70" s="13" t="b">
        <f>ISNUMBER(MATCH(C70,'Top 250 HS'!C:C,0))</f>
        <v>0</v>
      </c>
      <c r="P70" s="13" t="str">
        <f ca="1">IFERROR(__xludf.DUMMYFUNCTION("SORTN(FILTER('Top 250 HS'!B:B,'Top 250 HS'!C:C=I70),1,0,randarray(COUNTA(FILTER('Top 250 HS'!B:B,'Top 250 HS'!C:C=I70)),1),TRUE)"),"Lawrence Central (Indianapolis)")</f>
        <v>Lawrence Central (Indianapolis)</v>
      </c>
      <c r="Q70" s="13" t="b">
        <f>ISNUMBER(MATCH("*"&amp;E70&amp;"*",'Top 1500 HS LatitudeLongitude'!G:G,0))</f>
        <v>1</v>
      </c>
      <c r="R70" s="13" t="str">
        <f ca="1">IFERROR(__xludf.DUMMYFUNCTION("IFS(L70=10,"""",Q70=false,"""",N70=5,"""",Q70=true,SORTN(FILTER('Top 1500 HS LatitudeLongitude'!B:B,'Top 1500 HS LatitudeLongitude'!C:C=I70,'Top 1500 HS LatitudeLongitude'!E:E=H70),1,0,randarray(COUNTA(FILTER('Top 1500 HS LatitudeLongitude'!B:B,'Top 1500 "&amp;"HS LatitudeLongitude'!C:C=I70,'Top 1500 HS LatitudeLongitude'!E:E=H70)),1),TRUE)
)"),"Hammond")</f>
        <v>Hammond</v>
      </c>
      <c r="S70" s="13" t="b">
        <f>ISNUMBER(MATCH("*"&amp;H:H&amp;"*",'Public Schools'!C:C,0))</f>
        <v>1</v>
      </c>
      <c r="T70" s="13" t="str">
        <f ca="1">IFERROR(__xludf.DUMMYFUNCTION("IFERROR(IF(AND(R70="""",S70=true), SORTN(FILTER('Public Schools'!A:A,'Public Schools'!B:B=J70,'Public Schools'!C:C=H70),1,0,randarray(COUNTA(FILTER('Public Schools'!A:A,'Public Schools'!B:B=J70,'Public Schools'!C:C=H70)),1),TRUE),""""),"""")"),"")</f>
        <v/>
      </c>
      <c r="U70" s="23" t="str">
        <f t="array" aca="1" ref="U70" ca="1">IF(AND(R70="",T70=""),INDEX('Top 1500 HS LatitudeLongitude'!B$2:B$1501,MATCH(MIN(SQRT(('Top 1500 HS LatitudeLongitude'!H$2:H$1501-F70)^2+('Top 1500 HS LatitudeLongitude'!I$2:I$1501-G70)^2)),SQRT( ('Top 1500 HS LatitudeLongitude'!H$2:H$1501-F70)^2+('Top 1500 HS LatitudeLongitude'!I$2:I$1501-G70)^2),0),1),"")</f>
        <v/>
      </c>
    </row>
    <row r="71" spans="2:21" ht="15.6">
      <c r="B71" s="8">
        <v>2.3203523890000001E-2</v>
      </c>
      <c r="C71" s="9" t="s">
        <v>206</v>
      </c>
      <c r="D71" s="9" t="s">
        <v>290</v>
      </c>
      <c r="E71" s="37" t="s">
        <v>1875</v>
      </c>
      <c r="F71" s="8">
        <v>36.056100000000001</v>
      </c>
      <c r="G71" s="8">
        <v>-90.514899999999997</v>
      </c>
      <c r="H71" s="3" t="str">
        <f t="shared" si="0"/>
        <v>McAllen</v>
      </c>
      <c r="I71" s="3" t="str">
        <f t="shared" si="1"/>
        <v>TX</v>
      </c>
      <c r="J71" s="3" t="str">
        <f t="array" ref="J71">INDEX('State Abbreviations'!$B$2:$B$52,MATCH(I71,'State Abbreviations'!$A$2:$A$52,0))</f>
        <v>Texas</v>
      </c>
      <c r="K71" s="94" t="e">
        <f t="shared" ca="1" si="2"/>
        <v>#NAME?</v>
      </c>
      <c r="L71" s="13">
        <f t="shared" ca="1" si="5"/>
        <v>5</v>
      </c>
      <c r="M71" s="13" t="str">
        <f ca="1">IFERROR(__xludf.DUMMYFUNCTION("IF(AND(L71&gt;3,I71&lt;&gt;""AL"",I71&lt;&gt;""AK"",I71&lt;&gt;""AZ"",I71&lt;&gt;""AR"",I71&lt;&gt;""CA"",I71&lt;&gt;""CO"",I71&lt;&gt;""CT"",I71&lt;&gt;""DE"",I71&lt;&gt;""DC"",I71&lt;&gt;""FL"",I71&lt;&gt;""GA"",I71&lt;&gt;""HI"",I71&lt;&gt;""ID"",I71&lt;&gt;""IL"",I71&lt;&gt;""IN"",I71&lt;&gt;""IA"",I71&lt;&gt;""KS"",I71&lt;&gt;""KY"",I71&lt;&gt;""LA"",I71&lt;&gt;""ME"",I7"&amp;"1&lt;&gt;""MD"",I71&lt;&gt;""MA"",I71&lt;&gt;""MI"",I71&lt;&gt;""MN"",I71&lt;&gt;""MS"",I71&lt;&gt;""MO"",I71&lt;&gt;""MT"",I71&lt;&gt;""NE"",I71&lt;&gt;""NV"",I71&lt;&gt;""NH"",I71&lt;&gt;""NJ"",I71&lt;&gt;""NM"",I71&lt;&gt;""NY"",I71&lt;&gt;""NC"",I71&lt;&gt;""ND"",I71&lt;&gt;""OH"",I71&lt;&gt;""OK"",I71&lt;&gt;""OR"",I71&lt;&gt;""PA"",I71&lt;&gt;""RI"",I71&lt;&gt;""SC"",I71&lt;&gt;"&amp;"""SD"",I71&lt;&gt;""TN"",I71&lt;&gt;""TX"",I71&lt;&gt;""UT"",I71&lt;&gt;""VT"",I71&lt;&gt;""VA"",I71&lt;&gt;""WA"",I71&lt;&gt;""WV"",I71&lt;&gt;""WI"",I71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StateInternational'!$G$2:$G$121&lt;&gt;"""")},2,0)),IF(L71=10"&amp;",ArrayFormula(VLOOKUP(QUERY(UNIQUE(RANDBETWEEN(ROW(INDIRECT(""A1:A""&amp;COUNTA('Leaving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1" s="13">
        <f t="shared" ca="1" si="6"/>
        <v>4</v>
      </c>
      <c r="O71" s="13" t="b">
        <f>ISNUMBER(MATCH(C71,'Top 250 HS'!C:C,0))</f>
        <v>0</v>
      </c>
      <c r="P71" s="13" t="str">
        <f ca="1">IFERROR(__xludf.DUMMYFUNCTION("SORTN(FILTER('Top 250 HS'!B:B,'Top 250 HS'!C:C=I71),1,0,randarray(COUNTA(FILTER('Top 250 HS'!B:B,'Top 250 HS'!C:C=I71)),1),TRUE)"),"Morton Ranch (Katy)")</f>
        <v>Morton Ranch (Katy)</v>
      </c>
      <c r="Q71" s="13" t="b">
        <f>ISNUMBER(MATCH("*"&amp;E71&amp;"*",'Top 1500 HS LatitudeLongitude'!G:G,0))</f>
        <v>0</v>
      </c>
      <c r="R71" s="13" t="str">
        <f ca="1">IFERROR(__xludf.DUMMYFUNCTION("IFS(L71=10,"""",Q71=false,"""",N71=5,"""",Q71=true,SORTN(FILTER('Top 1500 HS LatitudeLongitude'!B:B,'Top 1500 HS LatitudeLongitude'!C:C=I71,'Top 1500 HS LatitudeLongitude'!E:E=H71),1,0,randarray(COUNTA(FILTER('Top 1500 HS LatitudeLongitude'!B:B,'Top 1500 "&amp;"HS LatitudeLongitude'!C:C=I71,'Top 1500 HS LatitudeLongitude'!E:E=H71)),1),TRUE)
)"),"")</f>
        <v/>
      </c>
      <c r="S71" s="13" t="b">
        <f>ISNUMBER(MATCH("*"&amp;H:H&amp;"*",'Public Schools'!C:C,0))</f>
        <v>1</v>
      </c>
      <c r="T71" s="13" t="str">
        <f ca="1">IFERROR(__xludf.DUMMYFUNCTION("IFERROR(IF(AND(R71="""",S71=true), SORTN(FILTER('Public Schools'!A:A,'Public Schools'!B:B=J71,'Public Schools'!C:C=H71),1,0,randarray(COUNTA(FILTER('Public Schools'!A:A,'Public Schools'!B:B=J71,'Public Schools'!C:C=H71)),1),TRUE),""""),"""")"),"Memorial H S")</f>
        <v>Memorial H S</v>
      </c>
      <c r="U71" s="23" t="str">
        <f t="array" aca="1" ref="U71" ca="1">IF(AND(R71="",T71=""),INDEX('Top 1500 HS LatitudeLongitude'!B$2:B$1501,MATCH(MIN(SQRT(('Top 1500 HS LatitudeLongitude'!H$2:H$1501-F71)^2+('Top 1500 HS LatitudeLongitude'!I$2:I$1501-G71)^2)),SQRT( ('Top 1500 HS LatitudeLongitude'!H$2:H$1501-F71)^2+('Top 1500 HS LatitudeLongitude'!I$2:I$1501-G71)^2),0),1),"")</f>
        <v/>
      </c>
    </row>
    <row r="72" spans="2:21" ht="15.6">
      <c r="B72" s="8">
        <v>0.75612217000000004</v>
      </c>
      <c r="C72" s="9" t="s">
        <v>114</v>
      </c>
      <c r="D72" s="9" t="s">
        <v>291</v>
      </c>
      <c r="E72" s="98" t="s">
        <v>1919</v>
      </c>
      <c r="F72" s="8">
        <v>40.323900000000002</v>
      </c>
      <c r="G72" s="8">
        <v>-80.0364</v>
      </c>
      <c r="H72" s="3" t="str">
        <f t="shared" si="0"/>
        <v>Gainesville</v>
      </c>
      <c r="I72" s="3" t="str">
        <f t="shared" si="1"/>
        <v>FL</v>
      </c>
      <c r="J72" s="3" t="str">
        <f t="array" ref="J72">INDEX('State Abbreviations'!$B$2:$B$52,MATCH(I72,'State Abbreviations'!$A$2:$A$52,0))</f>
        <v>Florida</v>
      </c>
      <c r="K72" s="94" t="e">
        <f t="shared" ca="1" si="2"/>
        <v>#NAME?</v>
      </c>
      <c r="L72" s="13">
        <f t="shared" ca="1" si="5"/>
        <v>5</v>
      </c>
      <c r="M72" s="13" t="str">
        <f ca="1">IFERROR(__xludf.DUMMYFUNCTION("IF(AND(L72&gt;3,I72&lt;&gt;""AL"",I72&lt;&gt;""AK"",I72&lt;&gt;""AZ"",I72&lt;&gt;""AR"",I72&lt;&gt;""CA"",I72&lt;&gt;""CO"",I72&lt;&gt;""CT"",I72&lt;&gt;""DE"",I72&lt;&gt;""DC"",I72&lt;&gt;""FL"",I72&lt;&gt;""GA"",I72&lt;&gt;""HI"",I72&lt;&gt;""ID"",I72&lt;&gt;""IL"",I72&lt;&gt;""IN"",I72&lt;&gt;""IA"",I72&lt;&gt;""KS"",I72&lt;&gt;""KY"",I72&lt;&gt;""LA"",I72&lt;&gt;""ME"",I7"&amp;"2&lt;&gt;""MD"",I72&lt;&gt;""MA"",I72&lt;&gt;""MI"",I72&lt;&gt;""MN"",I72&lt;&gt;""MS"",I72&lt;&gt;""MO"",I72&lt;&gt;""MT"",I72&lt;&gt;""NE"",I72&lt;&gt;""NV"",I72&lt;&gt;""NH"",I72&lt;&gt;""NJ"",I72&lt;&gt;""NM"",I72&lt;&gt;""NY"",I72&lt;&gt;""NC"",I72&lt;&gt;""ND"",I72&lt;&gt;""OH"",I72&lt;&gt;""OK"",I72&lt;&gt;""OR"",I72&lt;&gt;""PA"",I72&lt;&gt;""RI"",I72&lt;&gt;""SC"",I72&lt;&gt;"&amp;"""SD"",I72&lt;&gt;""TN"",I72&lt;&gt;""TX"",I72&lt;&gt;""UT"",I72&lt;&gt;""VT"",I72&lt;&gt;""VA"",I72&lt;&gt;""WA"",I72&lt;&gt;""WV"",I72&lt;&gt;""WI"",I72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StateInternational'!$G$2:$G$121&lt;&gt;"""")},2,0)),IF(L72=10"&amp;",ArrayFormula(VLOOKUP(QUERY(UNIQUE(RANDBETWEEN(ROW(INDIRECT(""A1:A""&amp;COUNTA('Leaving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2" s="13">
        <f t="shared" ca="1" si="6"/>
        <v>7</v>
      </c>
      <c r="O72" s="13" t="b">
        <f>ISNUMBER(MATCH(C72,'Top 250 HS'!C:C,0))</f>
        <v>0</v>
      </c>
      <c r="P72" s="13" t="str">
        <f ca="1">IFERROR(__xludf.DUMMYFUNCTION("SORTN(FILTER('Top 250 HS'!B:B,'Top 250 HS'!C:C=I72),1,0,randarray(COUNTA(FILTER('Top 250 HS'!B:B,'Top 250 HS'!C:C=I72)),1),TRUE)"),"Saint Andrew's (Boca Raton)")</f>
        <v>Saint Andrew's (Boca Raton)</v>
      </c>
      <c r="Q72" s="13" t="b">
        <f>ISNUMBER(MATCH("*"&amp;E72&amp;"*",'Top 1500 HS LatitudeLongitude'!G:G,0))</f>
        <v>1</v>
      </c>
      <c r="R72" s="13" t="str">
        <f ca="1">IFERROR(__xludf.DUMMYFUNCTION("IFS(L72=10,"""",Q72=false,"""",N72=5,"""",Q72=true,SORTN(FILTER('Top 1500 HS LatitudeLongitude'!B:B,'Top 1500 HS LatitudeLongitude'!C:C=I72,'Top 1500 HS LatitudeLongitude'!E:E=H72),1,0,randarray(COUNTA(FILTER('Top 1500 HS LatitudeLongitude'!B:B,'Top 1500 "&amp;"HS LatitudeLongitude'!C:C=I72,'Top 1500 HS LatitudeLongitude'!E:E=H72)),1),TRUE)
)"),"The Rock (Gainesville)")</f>
        <v>The Rock (Gainesville)</v>
      </c>
      <c r="S72" s="13" t="b">
        <f>ISNUMBER(MATCH("*"&amp;H:H&amp;"*",'Public Schools'!C:C,0))</f>
        <v>1</v>
      </c>
      <c r="T72" s="13" t="str">
        <f ca="1">IFERROR(__xludf.DUMMYFUNCTION("IFERROR(IF(AND(R72="""",S72=true), SORTN(FILTER('Public Schools'!A:A,'Public Schools'!B:B=J72,'Public Schools'!C:C=H72),1,0,randarray(COUNTA(FILTER('Public Schools'!A:A,'Public Schools'!B:B=J72,'Public Schools'!C:C=H72)),1),TRUE),""""),"""")"),"")</f>
        <v/>
      </c>
      <c r="U72" s="23" t="str">
        <f t="array" aca="1" ref="U72" ca="1">IF(AND(R72="",T72=""),INDEX('Top 1500 HS LatitudeLongitude'!B$2:B$1501,MATCH(MIN(SQRT(('Top 1500 HS LatitudeLongitude'!H$2:H$1501-F72)^2+('Top 1500 HS LatitudeLongitude'!I$2:I$1501-G72)^2)),SQRT( ('Top 1500 HS LatitudeLongitude'!H$2:H$1501-F72)^2+('Top 1500 HS LatitudeLongitude'!I$2:I$1501-G72)^2),0),1),"")</f>
        <v/>
      </c>
    </row>
    <row r="73" spans="2:21" ht="15.6">
      <c r="B73" s="8">
        <v>0.17667966339999999</v>
      </c>
      <c r="C73" s="9" t="s">
        <v>47</v>
      </c>
      <c r="D73" s="9" t="s">
        <v>292</v>
      </c>
      <c r="E73" s="37" t="s">
        <v>1970</v>
      </c>
      <c r="F73" s="8">
        <v>29.540299999999998</v>
      </c>
      <c r="G73" s="8">
        <v>-81.246799999999993</v>
      </c>
      <c r="H73" s="3" t="str">
        <f t="shared" si="0"/>
        <v>Temecula</v>
      </c>
      <c r="I73" s="3" t="str">
        <f t="shared" si="1"/>
        <v>CA</v>
      </c>
      <c r="J73" s="3" t="str">
        <f t="array" ref="J73">INDEX('State Abbreviations'!$B$2:$B$52,MATCH(I73,'State Abbreviations'!$A$2:$A$52,0))</f>
        <v>California</v>
      </c>
      <c r="K73" s="94" t="e">
        <f t="shared" ca="1" si="2"/>
        <v>#NAME?</v>
      </c>
      <c r="L73" s="13">
        <f t="shared" ca="1" si="5"/>
        <v>6</v>
      </c>
      <c r="M73" s="13" t="str">
        <f ca="1">IFERROR(__xludf.DUMMYFUNCTION("IF(AND(L73&gt;3,I73&lt;&gt;""AL"",I73&lt;&gt;""AK"",I73&lt;&gt;""AZ"",I73&lt;&gt;""AR"",I73&lt;&gt;""CA"",I73&lt;&gt;""CO"",I73&lt;&gt;""CT"",I73&lt;&gt;""DE"",I73&lt;&gt;""DC"",I73&lt;&gt;""FL"",I73&lt;&gt;""GA"",I73&lt;&gt;""HI"",I73&lt;&gt;""ID"",I73&lt;&gt;""IL"",I73&lt;&gt;""IN"",I73&lt;&gt;""IA"",I73&lt;&gt;""KS"",I73&lt;&gt;""KY"",I73&lt;&gt;""LA"",I73&lt;&gt;""ME"",I7"&amp;"3&lt;&gt;""MD"",I73&lt;&gt;""MA"",I73&lt;&gt;""MI"",I73&lt;&gt;""MN"",I73&lt;&gt;""MS"",I73&lt;&gt;""MO"",I73&lt;&gt;""MT"",I73&lt;&gt;""NE"",I73&lt;&gt;""NV"",I73&lt;&gt;""NH"",I73&lt;&gt;""NJ"",I73&lt;&gt;""NM"",I73&lt;&gt;""NY"",I73&lt;&gt;""NC"",I73&lt;&gt;""ND"",I73&lt;&gt;""OH"",I73&lt;&gt;""OK"",I73&lt;&gt;""OR"",I73&lt;&gt;""PA"",I73&lt;&gt;""RI"",I73&lt;&gt;""SC"",I73&lt;&gt;"&amp;"""SD"",I73&lt;&gt;""TN"",I73&lt;&gt;""TX"",I73&lt;&gt;""UT"",I73&lt;&gt;""VT"",I73&lt;&gt;""VA"",I73&lt;&gt;""WA"",I73&lt;&gt;""WV"",I73&lt;&gt;""WI"",I73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StateInternational'!$G$2:$G$121&lt;&gt;"""")},2,0)),IF(L73=10"&amp;",ArrayFormula(VLOOKUP(QUERY(UNIQUE(RANDBETWEEN(ROW(INDIRECT(""A1:A""&amp;COUNTA('Leaving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3" s="13">
        <f t="shared" ca="1" si="6"/>
        <v>3</v>
      </c>
      <c r="O73" s="13" t="b">
        <f>ISNUMBER(MATCH(C73,'Top 250 HS'!C:C,0))</f>
        <v>0</v>
      </c>
      <c r="P73" s="13" t="str">
        <f ca="1">IFERROR(__xludf.DUMMYFUNCTION("SORTN(FILTER('Top 250 HS'!B:B,'Top 250 HS'!C:C=I73),1,0,randarray(COUNTA(FILTER('Top 250 HS'!B:B,'Top 250 HS'!C:C=I73)),1),TRUE)"),"Centennial (Corona)")</f>
        <v>Centennial (Corona)</v>
      </c>
      <c r="Q73" s="13" t="b">
        <f>ISNUMBER(MATCH("*"&amp;E73&amp;"*",'Top 1500 HS LatitudeLongitude'!G:G,0))</f>
        <v>1</v>
      </c>
      <c r="R73" s="13" t="str">
        <f ca="1">IFERROR(__xludf.DUMMYFUNCTION("IFS(L73=10,"""",Q73=false,"""",N73=5,"""",Q73=true,SORTN(FILTER('Top 1500 HS LatitudeLongitude'!B:B,'Top 1500 HS LatitudeLongitude'!C:C=I73,'Top 1500 HS LatitudeLongitude'!E:E=H73),1,0,randarray(COUNTA(FILTER('Top 1500 HS LatitudeLongitude'!B:B,'Top 1500 "&amp;"HS LatitudeLongitude'!C:C=I73,'Top 1500 HS LatitudeLongitude'!E:E=H73)),1),TRUE)
)"),"Rancho Christian (Temecula)")</f>
        <v>Rancho Christian (Temecula)</v>
      </c>
      <c r="S73" s="13" t="b">
        <f>ISNUMBER(MATCH("*"&amp;H:H&amp;"*",'Public Schools'!C:C,0))</f>
        <v>1</v>
      </c>
      <c r="T73" s="13" t="str">
        <f ca="1">IFERROR(__xludf.DUMMYFUNCTION("IFERROR(IF(AND(R73="""",S73=true), SORTN(FILTER('Public Schools'!A:A,'Public Schools'!B:B=J73,'Public Schools'!C:C=H73),1,0,randarray(COUNTA(FILTER('Public Schools'!A:A,'Public Schools'!B:B=J73,'Public Schools'!C:C=H73)),1),TRUE),""""),"""")"),"")</f>
        <v/>
      </c>
      <c r="U73" s="23" t="str">
        <f t="array" aca="1" ref="U73" ca="1">IF(AND(R73="",T73=""),INDEX('Top 1500 HS LatitudeLongitude'!B$2:B$1501,MATCH(MIN(SQRT(('Top 1500 HS LatitudeLongitude'!H$2:H$1501-F73)^2+('Top 1500 HS LatitudeLongitude'!I$2:I$1501-G73)^2)),SQRT( ('Top 1500 HS LatitudeLongitude'!H$2:H$1501-F73)^2+('Top 1500 HS LatitudeLongitude'!I$2:I$1501-G73)^2),0),1),"")</f>
        <v/>
      </c>
    </row>
    <row r="74" spans="2:21" ht="15.6">
      <c r="B74" s="8">
        <v>0.97065813160000003</v>
      </c>
      <c r="C74" s="9" t="s">
        <v>206</v>
      </c>
      <c r="D74" s="9" t="s">
        <v>293</v>
      </c>
      <c r="E74" s="98" t="s">
        <v>2014</v>
      </c>
      <c r="F74" s="8">
        <v>47.662500000000001</v>
      </c>
      <c r="G74" s="8">
        <v>-117.2345</v>
      </c>
      <c r="H74" s="3" t="str">
        <f t="shared" si="0"/>
        <v>McKinney</v>
      </c>
      <c r="I74" s="3" t="str">
        <f t="shared" si="1"/>
        <v>TX</v>
      </c>
      <c r="J74" s="3" t="str">
        <f t="array" ref="J74">INDEX('State Abbreviations'!$B$2:$B$52,MATCH(I74,'State Abbreviations'!$A$2:$A$52,0))</f>
        <v>Texas</v>
      </c>
      <c r="K74" s="94" t="e">
        <f t="shared" ca="1" si="2"/>
        <v>#NAME?</v>
      </c>
      <c r="L74" s="13">
        <f t="shared" ca="1" si="5"/>
        <v>14</v>
      </c>
      <c r="M74" s="13" t="str">
        <f ca="1">IFERROR(__xludf.DUMMYFUNCTION("IF(AND(L74&gt;3,I74&lt;&gt;""AL"",I74&lt;&gt;""AK"",I74&lt;&gt;""AZ"",I74&lt;&gt;""AR"",I74&lt;&gt;""CA"",I74&lt;&gt;""CO"",I74&lt;&gt;""CT"",I74&lt;&gt;""DE"",I74&lt;&gt;""DC"",I74&lt;&gt;""FL"",I74&lt;&gt;""GA"",I74&lt;&gt;""HI"",I74&lt;&gt;""ID"",I74&lt;&gt;""IL"",I74&lt;&gt;""IN"",I74&lt;&gt;""IA"",I74&lt;&gt;""KS"",I74&lt;&gt;""KY"",I74&lt;&gt;""LA"",I74&lt;&gt;""ME"",I7"&amp;"4&lt;&gt;""MD"",I74&lt;&gt;""MA"",I74&lt;&gt;""MI"",I74&lt;&gt;""MN"",I74&lt;&gt;""MS"",I74&lt;&gt;""MO"",I74&lt;&gt;""MT"",I74&lt;&gt;""NE"",I74&lt;&gt;""NV"",I74&lt;&gt;""NH"",I74&lt;&gt;""NJ"",I74&lt;&gt;""NM"",I74&lt;&gt;""NY"",I74&lt;&gt;""NC"",I74&lt;&gt;""ND"",I74&lt;&gt;""OH"",I74&lt;&gt;""OK"",I74&lt;&gt;""OR"",I74&lt;&gt;""PA"",I74&lt;&gt;""RI"",I74&lt;&gt;""SC"",I74&lt;&gt;"&amp;"""SD"",I74&lt;&gt;""TN"",I74&lt;&gt;""TX"",I74&lt;&gt;""UT"",I74&lt;&gt;""VT"",I74&lt;&gt;""VA"",I74&lt;&gt;""WA"",I74&lt;&gt;""WV"",I74&lt;&gt;""WI"",I74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StateInternational'!$G$2:$G$121&lt;&gt;"""")},2,0)),IF(L74=10"&amp;",ArrayFormula(VLOOKUP(QUERY(UNIQUE(RANDBETWEEN(ROW(INDIRECT(""A1:A""&amp;COUNTA('Leaving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4" s="13">
        <f t="shared" ca="1" si="6"/>
        <v>7</v>
      </c>
      <c r="O74" s="13" t="b">
        <f>ISNUMBER(MATCH(C74,'Top 250 HS'!C:C,0))</f>
        <v>0</v>
      </c>
      <c r="P74" s="13" t="str">
        <f ca="1">IFERROR(__xludf.DUMMYFUNCTION("SORTN(FILTER('Top 250 HS'!B:B,'Top 250 HS'!C:C=I74),1,0,randarray(COUNTA(FILTER('Top 250 HS'!B:B,'Top 250 HS'!C:C=I74)),1),TRUE)"),"John Paul II (Plano)")</f>
        <v>John Paul II (Plano)</v>
      </c>
      <c r="Q74" s="13" t="b">
        <f>ISNUMBER(MATCH("*"&amp;E74&amp;"*",'Top 1500 HS LatitudeLongitude'!G:G,0))</f>
        <v>1</v>
      </c>
      <c r="R74" s="13" t="str">
        <f ca="1">IFERROR(__xludf.DUMMYFUNCTION("IFS(L74=10,"""",Q74=false,"""",N74=5,"""",Q74=true,SORTN(FILTER('Top 1500 HS LatitudeLongitude'!B:B,'Top 1500 HS LatitudeLongitude'!C:C=I74,'Top 1500 HS LatitudeLongitude'!E:E=H74),1,0,randarray(COUNTA(FILTER('Top 1500 HS LatitudeLongitude'!B:B,'Top 1500 "&amp;"HS LatitudeLongitude'!C:C=I74,'Top 1500 HS LatitudeLongitude'!E:E=H74)),1),TRUE)
)"),"McKinney")</f>
        <v>McKinney</v>
      </c>
      <c r="S74" s="13" t="b">
        <f>ISNUMBER(MATCH("*"&amp;H:H&amp;"*",'Public Schools'!C:C,0))</f>
        <v>1</v>
      </c>
      <c r="T74" s="13" t="str">
        <f ca="1">IFERROR(__xludf.DUMMYFUNCTION("IFERROR(IF(AND(R74="""",S74=true), SORTN(FILTER('Public Schools'!A:A,'Public Schools'!B:B=J74,'Public Schools'!C:C=H74),1,0,randarray(COUNTA(FILTER('Public Schools'!A:A,'Public Schools'!B:B=J74,'Public Schools'!C:C=H74)),1),TRUE),""""),"""")"),"")</f>
        <v/>
      </c>
      <c r="U74" s="23" t="str">
        <f t="array" aca="1" ref="U74" ca="1">IF(AND(R74="",T74=""),INDEX('Top 1500 HS LatitudeLongitude'!B$2:B$1501,MATCH(MIN(SQRT(('Top 1500 HS LatitudeLongitude'!H$2:H$1501-F74)^2+('Top 1500 HS LatitudeLongitude'!I$2:I$1501-G74)^2)),SQRT( ('Top 1500 HS LatitudeLongitude'!H$2:H$1501-F74)^2+('Top 1500 HS LatitudeLongitude'!I$2:I$1501-G74)^2),0),1),"")</f>
        <v/>
      </c>
    </row>
    <row r="75" spans="2:21" ht="15.6">
      <c r="B75" s="8">
        <v>0.44249311419999998</v>
      </c>
      <c r="C75" s="9" t="s">
        <v>288</v>
      </c>
      <c r="D75" s="9" t="s">
        <v>294</v>
      </c>
      <c r="E75" s="37" t="s">
        <v>2071</v>
      </c>
      <c r="F75" s="8">
        <v>39.433399999999999</v>
      </c>
      <c r="G75" s="8">
        <v>-77.415400000000005</v>
      </c>
      <c r="H75" s="3" t="str">
        <f t="shared" si="0"/>
        <v>Indianapolis</v>
      </c>
      <c r="I75" s="3" t="str">
        <f t="shared" si="1"/>
        <v>IN</v>
      </c>
      <c r="J75" s="3" t="str">
        <f t="array" ref="J75">INDEX('State Abbreviations'!$B$2:$B$52,MATCH(I75,'State Abbreviations'!$A$2:$A$52,0))</f>
        <v>Indiana</v>
      </c>
      <c r="K75" s="94" t="e">
        <f t="shared" ca="1" si="2"/>
        <v>#NAME?</v>
      </c>
      <c r="L75" s="13">
        <f t="shared" ca="1" si="5"/>
        <v>17</v>
      </c>
      <c r="M75" s="13" t="str">
        <f ca="1">IFERROR(__xludf.DUMMYFUNCTION("IF(AND(L75&gt;3,I75&lt;&gt;""AL"",I75&lt;&gt;""AK"",I75&lt;&gt;""AZ"",I75&lt;&gt;""AR"",I75&lt;&gt;""CA"",I75&lt;&gt;""CO"",I75&lt;&gt;""CT"",I75&lt;&gt;""DE"",I75&lt;&gt;""DC"",I75&lt;&gt;""FL"",I75&lt;&gt;""GA"",I75&lt;&gt;""HI"",I75&lt;&gt;""ID"",I75&lt;&gt;""IL"",I75&lt;&gt;""IN"",I75&lt;&gt;""IA"",I75&lt;&gt;""KS"",I75&lt;&gt;""KY"",I75&lt;&gt;""LA"",I75&lt;&gt;""ME"",I7"&amp;"5&lt;&gt;""MD"",I75&lt;&gt;""MA"",I75&lt;&gt;""MI"",I75&lt;&gt;""MN"",I75&lt;&gt;""MS"",I75&lt;&gt;""MO"",I75&lt;&gt;""MT"",I75&lt;&gt;""NE"",I75&lt;&gt;""NV"",I75&lt;&gt;""NH"",I75&lt;&gt;""NJ"",I75&lt;&gt;""NM"",I75&lt;&gt;""NY"",I75&lt;&gt;""NC"",I75&lt;&gt;""ND"",I75&lt;&gt;""OH"",I75&lt;&gt;""OK"",I75&lt;&gt;""OR"",I75&lt;&gt;""PA"",I75&lt;&gt;""RI"",I75&lt;&gt;""SC"",I75&lt;&gt;"&amp;"""SD"",I75&lt;&gt;""TN"",I75&lt;&gt;""TX"",I75&lt;&gt;""UT"",I75&lt;&gt;""VT"",I75&lt;&gt;""VA"",I75&lt;&gt;""WA"",I75&lt;&gt;""WV"",I75&lt;&gt;""WI"",I75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StateInternational'!$G$2:$G$121&lt;&gt;"""")},2,0)),IF(L75=10"&amp;",ArrayFormula(VLOOKUP(QUERY(UNIQUE(RANDBETWEEN(ROW(INDIRECT(""A1:A""&amp;COUNTA('Leaving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5" s="13">
        <f t="shared" ca="1" si="6"/>
        <v>3</v>
      </c>
      <c r="O75" s="13" t="b">
        <f>ISNUMBER(MATCH(C75,'Top 250 HS'!C:C,0))</f>
        <v>0</v>
      </c>
      <c r="P75" s="13" t="str">
        <f ca="1">IFERROR(__xludf.DUMMYFUNCTION("SORTN(FILTER('Top 250 HS'!B:B,'Top 250 HS'!C:C=I75),1,0,randarray(COUNTA(FILTER('Top 250 HS'!B:B,'Top 250 HS'!C:C=I75)),1),TRUE)"),"Brownsburg")</f>
        <v>Brownsburg</v>
      </c>
      <c r="Q75" s="13" t="b">
        <f>ISNUMBER(MATCH("*"&amp;E75&amp;"*",'Top 1500 HS LatitudeLongitude'!G:G,0))</f>
        <v>1</v>
      </c>
      <c r="R75" s="13" t="str">
        <f ca="1">IFERROR(__xludf.DUMMYFUNCTION("IFS(L75=10,"""",Q75=false,"""",N75=5,"""",Q75=true,SORTN(FILTER('Top 1500 HS LatitudeLongitude'!B:B,'Top 1500 HS LatitudeLongitude'!C:C=I75,'Top 1500 HS LatitudeLongitude'!E:E=H75),1,0,randarray(COUNTA(FILTER('Top 1500 HS LatitudeLongitude'!B:B,'Top 1500 "&amp;"HS LatitudeLongitude'!C:C=I75,'Top 1500 HS LatitudeLongitude'!E:E=H75)),1),TRUE)
)"),"Lawrence North (Indianapolis)")</f>
        <v>Lawrence North (Indianapolis)</v>
      </c>
      <c r="S75" s="13" t="b">
        <f>ISNUMBER(MATCH("*"&amp;H:H&amp;"*",'Public Schools'!C:C,0))</f>
        <v>1</v>
      </c>
      <c r="T75" s="13" t="str">
        <f ca="1">IFERROR(__xludf.DUMMYFUNCTION("IFERROR(IF(AND(R75="""",S75=true), SORTN(FILTER('Public Schools'!A:A,'Public Schools'!B:B=J75,'Public Schools'!C:C=H75),1,0,randarray(COUNTA(FILTER('Public Schools'!A:A,'Public Schools'!B:B=J75,'Public Schools'!C:C=H75)),1),TRUE),""""),"""")"),"")</f>
        <v/>
      </c>
      <c r="U75" s="23" t="str">
        <f t="array" aca="1" ref="U75" ca="1">IF(AND(R75="",T75=""),INDEX('Top 1500 HS LatitudeLongitude'!B$2:B$1501,MATCH(MIN(SQRT(('Top 1500 HS LatitudeLongitude'!H$2:H$1501-F75)^2+('Top 1500 HS LatitudeLongitude'!I$2:I$1501-G75)^2)),SQRT( ('Top 1500 HS LatitudeLongitude'!H$2:H$1501-F75)^2+('Top 1500 HS LatitudeLongitude'!I$2:I$1501-G75)^2),0),1),"")</f>
        <v/>
      </c>
    </row>
    <row r="76" spans="2:21" ht="15.6">
      <c r="B76" s="8">
        <v>0.33867411289999999</v>
      </c>
      <c r="C76" s="9" t="s">
        <v>254</v>
      </c>
      <c r="D76" s="9" t="s">
        <v>296</v>
      </c>
      <c r="E76" s="98" t="s">
        <v>2120</v>
      </c>
      <c r="F76" s="8">
        <v>39.777099999999997</v>
      </c>
      <c r="G76" s="8">
        <v>-86.145799999999994</v>
      </c>
      <c r="H76" s="3" t="str">
        <f t="shared" si="0"/>
        <v>Northfield</v>
      </c>
      <c r="I76" s="3" t="str">
        <f t="shared" si="1"/>
        <v>IL</v>
      </c>
      <c r="J76" s="3" t="str">
        <f t="array" ref="J76">INDEX('State Abbreviations'!$B$2:$B$52,MATCH(I76,'State Abbreviations'!$A$2:$A$52,0))</f>
        <v>Illinois</v>
      </c>
      <c r="K76" s="94" t="e">
        <f t="shared" ca="1" si="2"/>
        <v>#NAME?</v>
      </c>
      <c r="L76" s="13">
        <f t="shared" ca="1" si="5"/>
        <v>3</v>
      </c>
      <c r="M76" s="13" t="str">
        <f ca="1">IFERROR(__xludf.DUMMYFUNCTION("IF(AND(L76&gt;3,I76&lt;&gt;""AL"",I76&lt;&gt;""AK"",I76&lt;&gt;""AZ"",I76&lt;&gt;""AR"",I76&lt;&gt;""CA"",I76&lt;&gt;""CO"",I76&lt;&gt;""CT"",I76&lt;&gt;""DE"",I76&lt;&gt;""DC"",I76&lt;&gt;""FL"",I76&lt;&gt;""GA"",I76&lt;&gt;""HI"",I76&lt;&gt;""ID"",I76&lt;&gt;""IL"",I76&lt;&gt;""IN"",I76&lt;&gt;""IA"",I76&lt;&gt;""KS"",I76&lt;&gt;""KY"",I76&lt;&gt;""LA"",I76&lt;&gt;""ME"",I7"&amp;"6&lt;&gt;""MD"",I76&lt;&gt;""MA"",I76&lt;&gt;""MI"",I76&lt;&gt;""MN"",I76&lt;&gt;""MS"",I76&lt;&gt;""MO"",I76&lt;&gt;""MT"",I76&lt;&gt;""NE"",I76&lt;&gt;""NV"",I76&lt;&gt;""NH"",I76&lt;&gt;""NJ"",I76&lt;&gt;""NM"",I76&lt;&gt;""NY"",I76&lt;&gt;""NC"",I76&lt;&gt;""ND"",I76&lt;&gt;""OH"",I76&lt;&gt;""OK"",I76&lt;&gt;""OR"",I76&lt;&gt;""PA"",I76&lt;&gt;""RI"",I76&lt;&gt;""SC"",I76&lt;&gt;"&amp;"""SD"",I76&lt;&gt;""TN"",I76&lt;&gt;""TX"",I76&lt;&gt;""UT"",I76&lt;&gt;""VT"",I76&lt;&gt;""VA"",I76&lt;&gt;""WA"",I76&lt;&gt;""WV"",I76&lt;&gt;""WI"",I76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StateInternational'!$G$2:$G$121&lt;&gt;"""")},2,0)),IF(L76=10"&amp;",ArrayFormula(VLOOKUP(QUERY(UNIQUE(RANDBETWEEN(ROW(INDIRECT(""A1:A""&amp;COUNTA('Leaving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6" s="13">
        <f t="shared" ref="N76:N100" ca="1" si="7">RANDBETWEEN(1,10)</f>
        <v>8</v>
      </c>
      <c r="O76" s="13" t="b">
        <f>ISNUMBER(MATCH(C76,'Top 250 HS'!C:C,0))</f>
        <v>0</v>
      </c>
      <c r="P76" s="13" t="str">
        <f ca="1">IFERROR(__xludf.DUMMYFUNCTION("SORTN(FILTER('Top 250 HS'!B:B,'Top 250 HS'!C:C=I76),1,0,randarray(COUNTA(FILTER('Top 250 HS'!B:B,'Top 250 HS'!C:C=I76)),1),TRUE)"),"Curie (Chicago)")</f>
        <v>Curie (Chicago)</v>
      </c>
      <c r="Q76" s="13" t="b">
        <f>ISNUMBER(MATCH("*"&amp;E76&amp;"*",'Top 1500 HS LatitudeLongitude'!G:G,0))</f>
        <v>0</v>
      </c>
      <c r="R76" s="13" t="str">
        <f ca="1">IFERROR(__xludf.DUMMYFUNCTION("IFS(L76=10,"""",Q76=false,"""",N76=5,"""",Q76=true,SORTN(FILTER('Top 1500 HS LatitudeLongitude'!B:B,'Top 1500 HS LatitudeLongitude'!C:C=I76,'Top 1500 HS LatitudeLongitude'!E:E=H76),1,0,randarray(COUNTA(FILTER('Top 1500 HS LatitudeLongitude'!B:B,'Top 1500 "&amp;"HS LatitudeLongitude'!C:C=I76,'Top 1500 HS LatitudeLongitude'!E:E=H76)),1),TRUE)
)"),"")</f>
        <v/>
      </c>
      <c r="S76" s="13" t="b">
        <f>ISNUMBER(MATCH("*"&amp;H:H&amp;"*",'Public Schools'!C:C,0))</f>
        <v>1</v>
      </c>
      <c r="T76" s="13" t="str">
        <f ca="1">IFERROR(__xludf.DUMMYFUNCTION("IFERROR(IF(AND(R76="""",S76=true), SORTN(FILTER('Public Schools'!A:A,'Public Schools'!B:B=J76,'Public Schools'!C:C=H76),1,0,randarray(COUNTA(FILTER('Public Schools'!A:A,'Public Schools'!B:B=J76,'Public Schools'!C:C=H76)),1),TRUE),""""),"""")"),"")</f>
        <v/>
      </c>
      <c r="U76" s="23" t="str">
        <f t="array" aca="1" ref="U76" ca="1">IF(AND(R76="",T76=""),INDEX('Top 1500 HS LatitudeLongitude'!B$2:B$1501,MATCH(MIN(SQRT(('Top 1500 HS LatitudeLongitude'!H$2:H$1501-F76)^2+('Top 1500 HS LatitudeLongitude'!I$2:I$1501-G76)^2)),SQRT( ('Top 1500 HS LatitudeLongitude'!H$2:H$1501-F76)^2+('Top 1500 HS LatitudeLongitude'!I$2:I$1501-G76)^2),0),1),"")</f>
        <v>Cathedral (Indianapolis)</v>
      </c>
    </row>
    <row r="77" spans="2:21" ht="15.6">
      <c r="B77" s="8">
        <v>0.80903638929999999</v>
      </c>
      <c r="C77" s="9" t="s">
        <v>288</v>
      </c>
      <c r="D77" s="9" t="s">
        <v>294</v>
      </c>
      <c r="E77" s="37" t="s">
        <v>2071</v>
      </c>
      <c r="F77" s="8">
        <v>35.653500000000001</v>
      </c>
      <c r="G77" s="8">
        <v>-88.835099999999997</v>
      </c>
      <c r="H77" s="3" t="str">
        <f t="shared" si="0"/>
        <v>Indianapolis</v>
      </c>
      <c r="I77" s="3" t="str">
        <f t="shared" si="1"/>
        <v>IN</v>
      </c>
      <c r="J77" s="3" t="str">
        <f t="array" ref="J77">INDEX('State Abbreviations'!$B$2:$B$52,MATCH(I77,'State Abbreviations'!$A$2:$A$52,0))</f>
        <v>Indiana</v>
      </c>
      <c r="K77" s="94" t="e">
        <f t="shared" ca="1" si="2"/>
        <v>#NAME?</v>
      </c>
      <c r="L77" s="13">
        <f t="shared" ca="1" si="5"/>
        <v>18</v>
      </c>
      <c r="M77" s="13" t="str">
        <f ca="1">IFERROR(__xludf.DUMMYFUNCTION("IF(AND(L77&gt;3,I77&lt;&gt;""AL"",I77&lt;&gt;""AK"",I77&lt;&gt;""AZ"",I77&lt;&gt;""AR"",I77&lt;&gt;""CA"",I77&lt;&gt;""CO"",I77&lt;&gt;""CT"",I77&lt;&gt;""DE"",I77&lt;&gt;""DC"",I77&lt;&gt;""FL"",I77&lt;&gt;""GA"",I77&lt;&gt;""HI"",I77&lt;&gt;""ID"",I77&lt;&gt;""IL"",I77&lt;&gt;""IN"",I77&lt;&gt;""IA"",I77&lt;&gt;""KS"",I77&lt;&gt;""KY"",I77&lt;&gt;""LA"",I77&lt;&gt;""ME"",I7"&amp;"7&lt;&gt;""MD"",I77&lt;&gt;""MA"",I77&lt;&gt;""MI"",I77&lt;&gt;""MN"",I77&lt;&gt;""MS"",I77&lt;&gt;""MO"",I77&lt;&gt;""MT"",I77&lt;&gt;""NE"",I77&lt;&gt;""NV"",I77&lt;&gt;""NH"",I77&lt;&gt;""NJ"",I77&lt;&gt;""NM"",I77&lt;&gt;""NY"",I77&lt;&gt;""NC"",I77&lt;&gt;""ND"",I77&lt;&gt;""OH"",I77&lt;&gt;""OK"",I77&lt;&gt;""OR"",I77&lt;&gt;""PA"",I77&lt;&gt;""RI"",I77&lt;&gt;""SC"",I77&lt;&gt;"&amp;"""SD"",I77&lt;&gt;""TN"",I77&lt;&gt;""TX"",I77&lt;&gt;""UT"",I77&lt;&gt;""VT"",I77&lt;&gt;""VA"",I77&lt;&gt;""WA"",I77&lt;&gt;""WV"",I77&lt;&gt;""WI"",I77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StateInternational'!$G$2:$G$121&lt;&gt;"""")},2,0)),IF(L77=10"&amp;",ArrayFormula(VLOOKUP(QUERY(UNIQUE(RANDBETWEEN(ROW(INDIRECT(""A1:A""&amp;COUNTA('Leaving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7" s="13">
        <f t="shared" ca="1" si="7"/>
        <v>4</v>
      </c>
      <c r="O77" s="13" t="b">
        <f>ISNUMBER(MATCH(C77,'Top 250 HS'!C:C,0))</f>
        <v>0</v>
      </c>
      <c r="P77" s="13" t="str">
        <f ca="1">IFERROR(__xludf.DUMMYFUNCTION("SORTN(FILTER('Top 250 HS'!B:B,'Top 250 HS'!C:C=I77),1,0,randarray(COUNTA(FILTER('Top 250 HS'!B:B,'Top 250 HS'!C:C=I77)),1),TRUE)"),"Lawrence North (Indianapolis)")</f>
        <v>Lawrence North (Indianapolis)</v>
      </c>
      <c r="Q77" s="13" t="b">
        <f>ISNUMBER(MATCH("*"&amp;E77&amp;"*",'Top 1500 HS LatitudeLongitude'!G:G,0))</f>
        <v>1</v>
      </c>
      <c r="R77" s="13" t="str">
        <f ca="1">IFERROR(__xludf.DUMMYFUNCTION("IFS(L77=10,"""",Q77=false,"""",N77=5,"""",Q77=true,SORTN(FILTER('Top 1500 HS LatitudeLongitude'!B:B,'Top 1500 HS LatitudeLongitude'!C:C=I77,'Top 1500 HS LatitudeLongitude'!E:E=H77),1,0,randarray(COUNTA(FILTER('Top 1500 HS LatitudeLongitude'!B:B,'Top 1500 "&amp;"HS LatitudeLongitude'!C:C=I77,'Top 1500 HS LatitudeLongitude'!E:E=H77)),1),TRUE)
)"),"Warren Central (Indianapolis)")</f>
        <v>Warren Central (Indianapolis)</v>
      </c>
      <c r="S77" s="13" t="b">
        <f>ISNUMBER(MATCH("*"&amp;H:H&amp;"*",'Public Schools'!C:C,0))</f>
        <v>1</v>
      </c>
      <c r="T77" s="13" t="str">
        <f ca="1">IFERROR(__xludf.DUMMYFUNCTION("IFERROR(IF(AND(R77="""",S77=true), SORTN(FILTER('Public Schools'!A:A,'Public Schools'!B:B=J77,'Public Schools'!C:C=H77),1,0,randarray(COUNTA(FILTER('Public Schools'!A:A,'Public Schools'!B:B=J77,'Public Schools'!C:C=H77)),1),TRUE),""""),"""")"),"")</f>
        <v/>
      </c>
      <c r="U77" s="23" t="str">
        <f t="array" aca="1" ref="U77" ca="1">IF(AND(R77="",T77=""),INDEX('Top 1500 HS LatitudeLongitude'!B$2:B$1501,MATCH(MIN(SQRT(('Top 1500 HS LatitudeLongitude'!H$2:H$1501-F77)^2+('Top 1500 HS LatitudeLongitude'!I$2:I$1501-G77)^2)),SQRT( ('Top 1500 HS LatitudeLongitude'!H$2:H$1501-F77)^2+('Top 1500 HS LatitudeLongitude'!I$2:I$1501-G77)^2),0),1),"")</f>
        <v/>
      </c>
    </row>
    <row r="78" spans="2:21" ht="15.6">
      <c r="B78" s="8">
        <v>9.3891634789999998E-2</v>
      </c>
      <c r="C78" s="9" t="s">
        <v>256</v>
      </c>
      <c r="D78" s="9" t="s">
        <v>297</v>
      </c>
      <c r="E78" s="98" t="s">
        <v>2230</v>
      </c>
      <c r="F78" s="8">
        <v>39.1357</v>
      </c>
      <c r="G78" s="8">
        <v>-121.63809999999999</v>
      </c>
      <c r="H78" s="3" t="str">
        <f t="shared" si="0"/>
        <v>Jackson</v>
      </c>
      <c r="I78" s="3" t="str">
        <f t="shared" si="1"/>
        <v>TN</v>
      </c>
      <c r="J78" s="3" t="str">
        <f t="array" ref="J78">INDEX('State Abbreviations'!$B$2:$B$52,MATCH(I78,'State Abbreviations'!$A$2:$A$52,0))</f>
        <v>Tennessee</v>
      </c>
      <c r="K78" s="94" t="e">
        <f t="shared" ca="1" si="2"/>
        <v>#NAME?</v>
      </c>
      <c r="L78" s="13">
        <f t="shared" ca="1" si="5"/>
        <v>3</v>
      </c>
      <c r="M78" s="13" t="str">
        <f ca="1">IFERROR(__xludf.DUMMYFUNCTION("IF(AND(L78&gt;3,I78&lt;&gt;""AL"",I78&lt;&gt;""AK"",I78&lt;&gt;""AZ"",I78&lt;&gt;""AR"",I78&lt;&gt;""CA"",I78&lt;&gt;""CO"",I78&lt;&gt;""CT"",I78&lt;&gt;""DE"",I78&lt;&gt;""DC"",I78&lt;&gt;""FL"",I78&lt;&gt;""GA"",I78&lt;&gt;""HI"",I78&lt;&gt;""ID"",I78&lt;&gt;""IL"",I78&lt;&gt;""IN"",I78&lt;&gt;""IA"",I78&lt;&gt;""KS"",I78&lt;&gt;""KY"",I78&lt;&gt;""LA"",I78&lt;&gt;""ME"",I7"&amp;"8&lt;&gt;""MD"",I78&lt;&gt;""MA"",I78&lt;&gt;""MI"",I78&lt;&gt;""MN"",I78&lt;&gt;""MS"",I78&lt;&gt;""MO"",I78&lt;&gt;""MT"",I78&lt;&gt;""NE"",I78&lt;&gt;""NV"",I78&lt;&gt;""NH"",I78&lt;&gt;""NJ"",I78&lt;&gt;""NM"",I78&lt;&gt;""NY"",I78&lt;&gt;""NC"",I78&lt;&gt;""ND"",I78&lt;&gt;""OH"",I78&lt;&gt;""OK"",I78&lt;&gt;""OR"",I78&lt;&gt;""PA"",I78&lt;&gt;""RI"",I78&lt;&gt;""SC"",I78&lt;&gt;"&amp;"""SD"",I78&lt;&gt;""TN"",I78&lt;&gt;""TX"",I78&lt;&gt;""UT"",I78&lt;&gt;""VT"",I78&lt;&gt;""VA"",I78&lt;&gt;""WA"",I78&lt;&gt;""WV"",I78&lt;&gt;""WI"",I78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StateInternational'!$G$2:$G$121&lt;&gt;"""")},2,0)),IF(L78=10"&amp;",ArrayFormula(VLOOKUP(QUERY(UNIQUE(RANDBETWEEN(ROW(INDIRECT(""A1:A""&amp;COUNTA('Leaving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8" s="13">
        <f t="shared" ca="1" si="7"/>
        <v>10</v>
      </c>
      <c r="O78" s="13" t="b">
        <f>ISNUMBER(MATCH(C78,'Top 250 HS'!C:C,0))</f>
        <v>0</v>
      </c>
      <c r="P78" s="13" t="str">
        <f ca="1">IFERROR(__xludf.DUMMYFUNCTION("SORTN(FILTER('Top 250 HS'!B:B,'Top 250 HS'!C:C=I78),1,0,randarray(COUNTA(FILTER('Top 250 HS'!B:B,'Top 250 HS'!C:C=I78)),1),TRUE)"),"Briarcrest Christian (Eads)")</f>
        <v>Briarcrest Christian (Eads)</v>
      </c>
      <c r="Q78" s="13" t="b">
        <f>ISNUMBER(MATCH("*"&amp;E78&amp;"*",'Top 1500 HS LatitudeLongitude'!G:G,0))</f>
        <v>1</v>
      </c>
      <c r="R78" s="13" t="str">
        <f ca="1">IFERROR(__xludf.DUMMYFUNCTION("IFS(L78=10,"""",Q78=false,"""",N78=5,"""",Q78=true,SORTN(FILTER('Top 1500 HS LatitudeLongitude'!B:B,'Top 1500 HS LatitudeLongitude'!C:C=I78,'Top 1500 HS LatitudeLongitude'!E:E=H78),1,0,randarray(COUNTA(FILTER('Top 1500 HS LatitudeLongitude'!B:B,'Top 1500 "&amp;"HS LatitudeLongitude'!C:C=I78,'Top 1500 HS LatitudeLongitude'!E:E=H78)),1),TRUE)
)"),"")</f>
        <v/>
      </c>
      <c r="S78" s="13" t="b">
        <f>ISNUMBER(MATCH("*"&amp;H:H&amp;"*",'Public Schools'!C:C,0))</f>
        <v>1</v>
      </c>
      <c r="T78" s="13" t="str">
        <f ca="1">IFERROR(__xludf.DUMMYFUNCTION("IFERROR(IF(AND(R78="""",S78=true), SORTN(FILTER('Public Schools'!A:A,'Public Schools'!B:B=J78,'Public Schools'!C:C=H78),1,0,randarray(COUNTA(FILTER('Public Schools'!A:A,'Public Schools'!B:B=J78,'Public Schools'!C:C=H78)),1),TRUE),""""),"""")"),"Liberty Technology Magnet High School")</f>
        <v>Liberty Technology Magnet High School</v>
      </c>
      <c r="U78" s="23" t="str">
        <f t="array" aca="1" ref="U78" ca="1">IF(AND(R78="",T78=""),INDEX('Top 1500 HS LatitudeLongitude'!B$2:B$1501,MATCH(MIN(SQRT(('Top 1500 HS LatitudeLongitude'!H$2:H$1501-F78)^2+('Top 1500 HS LatitudeLongitude'!I$2:I$1501-G78)^2)),SQRT( ('Top 1500 HS LatitudeLongitude'!H$2:H$1501-F78)^2+('Top 1500 HS LatitudeLongitude'!I$2:I$1501-G78)^2),0),1),"")</f>
        <v/>
      </c>
    </row>
    <row r="79" spans="2:21" ht="15.6">
      <c r="B79" s="8">
        <v>0.10998621159999999</v>
      </c>
      <c r="C79" s="9" t="s">
        <v>270</v>
      </c>
      <c r="D79" s="9" t="s">
        <v>298</v>
      </c>
      <c r="E79" s="37" t="s">
        <v>2274</v>
      </c>
      <c r="F79" s="8">
        <v>33.923999999999999</v>
      </c>
      <c r="G79" s="8">
        <v>-118.2017</v>
      </c>
      <c r="H79" s="3" t="str">
        <f t="shared" si="0"/>
        <v>Linden</v>
      </c>
      <c r="I79" s="3" t="str">
        <f t="shared" si="1"/>
        <v>NJ</v>
      </c>
      <c r="J79" s="3" t="str">
        <f t="array" ref="J79">INDEX('State Abbreviations'!$B$2:$B$52,MATCH(I79,'State Abbreviations'!$A$2:$A$52,0))</f>
        <v>New Jersey</v>
      </c>
      <c r="K79" s="94" t="e">
        <f t="shared" ca="1" si="2"/>
        <v>#NAME?</v>
      </c>
      <c r="L79" s="13">
        <f t="shared" ca="1" si="5"/>
        <v>11</v>
      </c>
      <c r="M79" s="13" t="str">
        <f ca="1">IFERROR(__xludf.DUMMYFUNCTION("IF(AND(L79&gt;3,I79&lt;&gt;""AL"",I79&lt;&gt;""AK"",I79&lt;&gt;""AZ"",I79&lt;&gt;""AR"",I79&lt;&gt;""CA"",I79&lt;&gt;""CO"",I79&lt;&gt;""CT"",I79&lt;&gt;""DE"",I79&lt;&gt;""DC"",I79&lt;&gt;""FL"",I79&lt;&gt;""GA"",I79&lt;&gt;""HI"",I79&lt;&gt;""ID"",I79&lt;&gt;""IL"",I79&lt;&gt;""IN"",I79&lt;&gt;""IA"",I79&lt;&gt;""KS"",I79&lt;&gt;""KY"",I79&lt;&gt;""LA"",I79&lt;&gt;""ME"",I7"&amp;"9&lt;&gt;""MD"",I79&lt;&gt;""MA"",I79&lt;&gt;""MI"",I79&lt;&gt;""MN"",I79&lt;&gt;""MS"",I79&lt;&gt;""MO"",I79&lt;&gt;""MT"",I79&lt;&gt;""NE"",I79&lt;&gt;""NV"",I79&lt;&gt;""NH"",I79&lt;&gt;""NJ"",I79&lt;&gt;""NM"",I79&lt;&gt;""NY"",I79&lt;&gt;""NC"",I79&lt;&gt;""ND"",I79&lt;&gt;""OH"",I79&lt;&gt;""OK"",I79&lt;&gt;""OR"",I79&lt;&gt;""PA"",I79&lt;&gt;""RI"",I79&lt;&gt;""SC"",I79&lt;&gt;"&amp;"""SD"",I79&lt;&gt;""TN"",I79&lt;&gt;""TX"",I79&lt;&gt;""UT"",I79&lt;&gt;""VT"",I79&lt;&gt;""VA"",I79&lt;&gt;""WA"",I79&lt;&gt;""WV"",I79&lt;&gt;""WI"",I79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StateInternational'!$G$2:$G$121&lt;&gt;"""")},2,0)),IF(L79=10"&amp;",ArrayFormula(VLOOKUP(QUERY(UNIQUE(RANDBETWEEN(ROW(INDIRECT(""A1:A""&amp;COUNTA('Leaving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79" s="13">
        <f t="shared" ca="1" si="7"/>
        <v>7</v>
      </c>
      <c r="O79" s="13" t="b">
        <f>ISNUMBER(MATCH(C79,'Top 250 HS'!C:C,0))</f>
        <v>0</v>
      </c>
      <c r="P79" s="13" t="str">
        <f ca="1">IFERROR(__xludf.DUMMYFUNCTION("SORTN(FILTER('Top 250 HS'!B:B,'Top 250 HS'!C:C=I79),1,0,randarray(COUNTA(FILTER('Top 250 HS'!B:B,'Top 250 HS'!C:C=I79)),1),TRUE)"),"Roselle Catholic (Roselle)")</f>
        <v>Roselle Catholic (Roselle)</v>
      </c>
      <c r="Q79" s="13" t="b">
        <f>ISNUMBER(MATCH("*"&amp;E79&amp;"*",'Top 1500 HS LatitudeLongitude'!G:G,0))</f>
        <v>1</v>
      </c>
      <c r="R79" s="13" t="str">
        <f ca="1">IFERROR(__xludf.DUMMYFUNCTION("IFS(L79=10,"""",Q79=false,"""",N79=5,"""",Q79=true,SORTN(FILTER('Top 1500 HS LatitudeLongitude'!B:B,'Top 1500 HS LatitudeLongitude'!C:C=I79,'Top 1500 HS LatitudeLongitude'!E:E=H79),1,0,randarray(COUNTA(FILTER('Top 1500 HS LatitudeLongitude'!B:B,'Top 1500 "&amp;"HS LatitudeLongitude'!C:C=I79,'Top 1500 HS LatitudeLongitude'!E:E=H79)),1),TRUE)
)"),"Linden")</f>
        <v>Linden</v>
      </c>
      <c r="S79" s="13" t="b">
        <f>ISNUMBER(MATCH("*"&amp;H:H&amp;"*",'Public Schools'!C:C,0))</f>
        <v>1</v>
      </c>
      <c r="T79" s="13" t="str">
        <f ca="1">IFERROR(__xludf.DUMMYFUNCTION("IFERROR(IF(AND(R79="""",S79=true), SORTN(FILTER('Public Schools'!A:A,'Public Schools'!B:B=J79,'Public Schools'!C:C=H79),1,0,randarray(COUNTA(FILTER('Public Schools'!A:A,'Public Schools'!B:B=J79,'Public Schools'!C:C=H79)),1),TRUE),""""),"""")"),"")</f>
        <v/>
      </c>
      <c r="U79" s="23" t="str">
        <f t="array" aca="1" ref="U79" ca="1">IF(AND(R79="",T79=""),INDEX('Top 1500 HS LatitudeLongitude'!B$2:B$1501,MATCH(MIN(SQRT(('Top 1500 HS LatitudeLongitude'!H$2:H$1501-F79)^2+('Top 1500 HS LatitudeLongitude'!I$2:I$1501-G79)^2)),SQRT( ('Top 1500 HS LatitudeLongitude'!H$2:H$1501-F79)^2+('Top 1500 HS LatitudeLongitude'!I$2:I$1501-G79)^2),0),1),"")</f>
        <v/>
      </c>
    </row>
    <row r="80" spans="2:21" ht="15.6">
      <c r="B80" s="8">
        <v>0.71288381720000005</v>
      </c>
      <c r="C80" s="9" t="s">
        <v>288</v>
      </c>
      <c r="D80" s="9" t="s">
        <v>299</v>
      </c>
      <c r="E80" s="98" t="s">
        <v>2315</v>
      </c>
      <c r="F80" s="8">
        <v>39.249400000000001</v>
      </c>
      <c r="G80" s="8">
        <v>-84.345699999999994</v>
      </c>
      <c r="H80" s="3" t="str">
        <f t="shared" si="0"/>
        <v>Jeffersonville</v>
      </c>
      <c r="I80" s="3" t="str">
        <f t="shared" si="1"/>
        <v>IN</v>
      </c>
      <c r="J80" s="3" t="str">
        <f t="array" ref="J80">INDEX('State Abbreviations'!$B$2:$B$52,MATCH(I80,'State Abbreviations'!$A$2:$A$52,0))</f>
        <v>Indiana</v>
      </c>
      <c r="K80" s="94" t="e">
        <f t="shared" ca="1" si="2"/>
        <v>#NAME?</v>
      </c>
      <c r="L80" s="13">
        <f t="shared" ca="1" si="5"/>
        <v>9</v>
      </c>
      <c r="M80" s="13" t="str">
        <f ca="1">IFERROR(__xludf.DUMMYFUNCTION("IF(AND(L80&gt;3,I80&lt;&gt;""AL"",I80&lt;&gt;""AK"",I80&lt;&gt;""AZ"",I80&lt;&gt;""AR"",I80&lt;&gt;""CA"",I80&lt;&gt;""CO"",I80&lt;&gt;""CT"",I80&lt;&gt;""DE"",I80&lt;&gt;""DC"",I80&lt;&gt;""FL"",I80&lt;&gt;""GA"",I80&lt;&gt;""HI"",I80&lt;&gt;""ID"",I80&lt;&gt;""IL"",I80&lt;&gt;""IN"",I80&lt;&gt;""IA"",I80&lt;&gt;""KS"",I80&lt;&gt;""KY"",I80&lt;&gt;""LA"",I80&lt;&gt;""ME"",I8"&amp;"0&lt;&gt;""MD"",I80&lt;&gt;""MA"",I80&lt;&gt;""MI"",I80&lt;&gt;""MN"",I80&lt;&gt;""MS"",I80&lt;&gt;""MO"",I80&lt;&gt;""MT"",I80&lt;&gt;""NE"",I80&lt;&gt;""NV"",I80&lt;&gt;""NH"",I80&lt;&gt;""NJ"",I80&lt;&gt;""NM"",I80&lt;&gt;""NY"",I80&lt;&gt;""NC"",I80&lt;&gt;""ND"",I80&lt;&gt;""OH"",I80&lt;&gt;""OK"",I80&lt;&gt;""OR"",I80&lt;&gt;""PA"",I80&lt;&gt;""RI"",I80&lt;&gt;""SC"",I80&lt;&gt;"&amp;"""SD"",I80&lt;&gt;""TN"",I80&lt;&gt;""TX"",I80&lt;&gt;""UT"",I80&lt;&gt;""VT"",I80&lt;&gt;""VA"",I80&lt;&gt;""WA"",I80&lt;&gt;""WV"",I80&lt;&gt;""WI"",I80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StateInternational'!$G$2:$G$121&lt;&gt;"""")},2,0)),IF(L80=10"&amp;",ArrayFormula(VLOOKUP(QUERY(UNIQUE(RANDBETWEEN(ROW(INDIRECT(""A1:A""&amp;COUNTA('Leaving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0" s="13">
        <f t="shared" ca="1" si="7"/>
        <v>6</v>
      </c>
      <c r="O80" s="13" t="b">
        <f>ISNUMBER(MATCH(C80,'Top 250 HS'!C:C,0))</f>
        <v>0</v>
      </c>
      <c r="P80" s="13" t="str">
        <f ca="1">IFERROR(__xludf.DUMMYFUNCTION("SORTN(FILTER('Top 250 HS'!B:B,'Top 250 HS'!C:C=I80),1,0,randarray(COUNTA(FILTER('Top 250 HS'!B:B,'Top 250 HS'!C:C=I80)),1),TRUE)"),"Lawrence North (Indianapolis)")</f>
        <v>Lawrence North (Indianapolis)</v>
      </c>
      <c r="Q80" s="13" t="b">
        <f>ISNUMBER(MATCH("*"&amp;E80&amp;"*",'Top 1500 HS LatitudeLongitude'!G:G,0))</f>
        <v>1</v>
      </c>
      <c r="R80" s="13" t="str">
        <f ca="1">IFERROR(__xludf.DUMMYFUNCTION("IFS(L80=10,"""",Q80=false,"""",N80=5,"""",Q80=true,SORTN(FILTER('Top 1500 HS LatitudeLongitude'!B:B,'Top 1500 HS LatitudeLongitude'!C:C=I80,'Top 1500 HS LatitudeLongitude'!E:E=H80),1,0,randarray(COUNTA(FILTER('Top 1500 HS LatitudeLongitude'!B:B,'Top 1500 "&amp;"HS LatitudeLongitude'!C:C=I80,'Top 1500 HS LatitudeLongitude'!E:E=H80)),1),TRUE)
)"),"Jeffersonville")</f>
        <v>Jeffersonville</v>
      </c>
      <c r="S80" s="13" t="b">
        <f>ISNUMBER(MATCH("*"&amp;H:H&amp;"*",'Public Schools'!C:C,0))</f>
        <v>1</v>
      </c>
      <c r="T80" s="13" t="str">
        <f ca="1">IFERROR(__xludf.DUMMYFUNCTION("IFERROR(IF(AND(R80="""",S80=true), SORTN(FILTER('Public Schools'!A:A,'Public Schools'!B:B=J80,'Public Schools'!C:C=H80),1,0,randarray(COUNTA(FILTER('Public Schools'!A:A,'Public Schools'!B:B=J80,'Public Schools'!C:C=H80)),1),TRUE),""""),"""")"),"")</f>
        <v/>
      </c>
      <c r="U80" s="23" t="str">
        <f t="array" aca="1" ref="U80" ca="1">IF(AND(R80="",T80=""),INDEX('Top 1500 HS LatitudeLongitude'!B$2:B$1501,MATCH(MIN(SQRT(('Top 1500 HS LatitudeLongitude'!H$2:H$1501-F80)^2+('Top 1500 HS LatitudeLongitude'!I$2:I$1501-G80)^2)),SQRT( ('Top 1500 HS LatitudeLongitude'!H$2:H$1501-F80)^2+('Top 1500 HS LatitudeLongitude'!I$2:I$1501-G80)^2),0),1),"")</f>
        <v/>
      </c>
    </row>
    <row r="81" spans="2:21" ht="15.6">
      <c r="B81" s="8">
        <v>0.91057039880000001</v>
      </c>
      <c r="C81" s="9" t="s">
        <v>300</v>
      </c>
      <c r="D81" s="9" t="s">
        <v>301</v>
      </c>
      <c r="E81" s="37" t="s">
        <v>2356</v>
      </c>
      <c r="F81" s="8">
        <v>26.275200000000002</v>
      </c>
      <c r="G81" s="8">
        <v>-98.564400000000006</v>
      </c>
      <c r="H81" s="3" t="str">
        <f t="shared" si="0"/>
        <v>Holmen</v>
      </c>
      <c r="I81" s="3" t="str">
        <f t="shared" si="1"/>
        <v>WI</v>
      </c>
      <c r="J81" s="3" t="str">
        <f t="array" ref="J81">INDEX('State Abbreviations'!$B$2:$B$52,MATCH(I81,'State Abbreviations'!$A$2:$A$52,0))</f>
        <v>Wisconsin</v>
      </c>
      <c r="K81" s="94" t="e">
        <f t="shared" ca="1" si="2"/>
        <v>#NAME?</v>
      </c>
      <c r="L81" s="13">
        <f t="shared" ca="1" si="5"/>
        <v>14</v>
      </c>
      <c r="M81" s="13" t="str">
        <f ca="1">IFERROR(__xludf.DUMMYFUNCTION("IF(AND(L81&gt;3,I81&lt;&gt;""AL"",I81&lt;&gt;""AK"",I81&lt;&gt;""AZ"",I81&lt;&gt;""AR"",I81&lt;&gt;""CA"",I81&lt;&gt;""CO"",I81&lt;&gt;""CT"",I81&lt;&gt;""DE"",I81&lt;&gt;""DC"",I81&lt;&gt;""FL"",I81&lt;&gt;""GA"",I81&lt;&gt;""HI"",I81&lt;&gt;""ID"",I81&lt;&gt;""IL"",I81&lt;&gt;""IN"",I81&lt;&gt;""IA"",I81&lt;&gt;""KS"",I81&lt;&gt;""KY"",I81&lt;&gt;""LA"",I81&lt;&gt;""ME"",I8"&amp;"1&lt;&gt;""MD"",I81&lt;&gt;""MA"",I81&lt;&gt;""MI"",I81&lt;&gt;""MN"",I81&lt;&gt;""MS"",I81&lt;&gt;""MO"",I81&lt;&gt;""MT"",I81&lt;&gt;""NE"",I81&lt;&gt;""NV"",I81&lt;&gt;""NH"",I81&lt;&gt;""NJ"",I81&lt;&gt;""NM"",I81&lt;&gt;""NY"",I81&lt;&gt;""NC"",I81&lt;&gt;""ND"",I81&lt;&gt;""OH"",I81&lt;&gt;""OK"",I81&lt;&gt;""OR"",I81&lt;&gt;""PA"",I81&lt;&gt;""RI"",I81&lt;&gt;""SC"",I81&lt;&gt;"&amp;"""SD"",I81&lt;&gt;""TN"",I81&lt;&gt;""TX"",I81&lt;&gt;""UT"",I81&lt;&gt;""VT"",I81&lt;&gt;""VA"",I81&lt;&gt;""WA"",I81&lt;&gt;""WV"",I81&lt;&gt;""WI"",I81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StateInternational'!$G$2:$G$121&lt;&gt;"""")},2,0)),IF(L81=10"&amp;",ArrayFormula(VLOOKUP(QUERY(UNIQUE(RANDBETWEEN(ROW(INDIRECT(""A1:A""&amp;COUNTA('Leaving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1" s="13">
        <f t="shared" ca="1" si="7"/>
        <v>3</v>
      </c>
      <c r="O81" s="13" t="b">
        <f>ISNUMBER(MATCH(C81,'Top 250 HS'!C:C,0))</f>
        <v>0</v>
      </c>
      <c r="P81" s="13" t="str">
        <f ca="1">IFERROR(__xludf.DUMMYFUNCTION("SORTN(FILTER('Top 250 HS'!B:B,'Top 250 HS'!C:C=I81),1,0,randarray(COUNTA(FILTER('Top 250 HS'!B:B,'Top 250 HS'!C:C=I81)),1),TRUE)"),"Brookfield Central (Brookfield)")</f>
        <v>Brookfield Central (Brookfield)</v>
      </c>
      <c r="Q81" s="13" t="b">
        <f>ISNUMBER(MATCH("*"&amp;E81&amp;"*",'Top 1500 HS LatitudeLongitude'!G:G,0))</f>
        <v>0</v>
      </c>
      <c r="R81" s="13" t="str">
        <f ca="1">IFERROR(__xludf.DUMMYFUNCTION("IFS(L81=10,"""",Q81=false,"""",N81=5,"""",Q81=true,SORTN(FILTER('Top 1500 HS LatitudeLongitude'!B:B,'Top 1500 HS LatitudeLongitude'!C:C=I81,'Top 1500 HS LatitudeLongitude'!E:E=H81),1,0,randarray(COUNTA(FILTER('Top 1500 HS LatitudeLongitude'!B:B,'Top 1500 "&amp;"HS LatitudeLongitude'!C:C=I81,'Top 1500 HS LatitudeLongitude'!E:E=H81)),1),TRUE)
)"),"")</f>
        <v/>
      </c>
      <c r="S81" s="13" t="b">
        <f>ISNUMBER(MATCH("*"&amp;H:H&amp;"*",'Public Schools'!C:C,0))</f>
        <v>1</v>
      </c>
      <c r="T81" s="13" t="str">
        <f ca="1">IFERROR(__xludf.DUMMYFUNCTION("IFERROR(IF(AND(R81="""",S81=true), SORTN(FILTER('Public Schools'!A:A,'Public Schools'!B:B=J81,'Public Schools'!C:C=H81),1,0,randarray(COUNTA(FILTER('Public Schools'!A:A,'Public Schools'!B:B=J81,'Public Schools'!C:C=H81)),1),TRUE),""""),"""")"),"Holmen High School")</f>
        <v>Holmen High School</v>
      </c>
      <c r="U81" s="23" t="str">
        <f t="array" aca="1" ref="U81" ca="1">IF(AND(R81="",T81=""),INDEX('Top 1500 HS LatitudeLongitude'!B$2:B$1501,MATCH(MIN(SQRT(('Top 1500 HS LatitudeLongitude'!H$2:H$1501-F81)^2+('Top 1500 HS LatitudeLongitude'!I$2:I$1501-G81)^2)),SQRT( ('Top 1500 HS LatitudeLongitude'!H$2:H$1501-F81)^2+('Top 1500 HS LatitudeLongitude'!I$2:I$1501-G81)^2),0),1),"")</f>
        <v/>
      </c>
    </row>
    <row r="82" spans="2:21" ht="15.6">
      <c r="B82" s="8">
        <v>0.3145081596</v>
      </c>
      <c r="C82" s="9" t="s">
        <v>23</v>
      </c>
      <c r="D82" s="9" t="s">
        <v>302</v>
      </c>
      <c r="E82" s="98" t="s">
        <v>2402</v>
      </c>
      <c r="F82" s="8">
        <v>41.604300000000002</v>
      </c>
      <c r="G82" s="8">
        <v>-87.9495</v>
      </c>
      <c r="H82" s="3" t="str">
        <f t="shared" si="0"/>
        <v>Mendon</v>
      </c>
      <c r="I82" s="3" t="str">
        <f t="shared" si="1"/>
        <v>MI</v>
      </c>
      <c r="J82" s="3" t="str">
        <f t="array" ref="J82">INDEX('State Abbreviations'!$B$2:$B$52,MATCH(I82,'State Abbreviations'!$A$2:$A$52,0))</f>
        <v>Michigan</v>
      </c>
      <c r="K82" s="94" t="e">
        <f t="shared" ca="1" si="2"/>
        <v>#NAME?</v>
      </c>
      <c r="L82" s="13">
        <f t="shared" ca="1" si="5"/>
        <v>18</v>
      </c>
      <c r="M82" s="13" t="str">
        <f ca="1">IFERROR(__xludf.DUMMYFUNCTION("IF(AND(L82&gt;3,I82&lt;&gt;""AL"",I82&lt;&gt;""AK"",I82&lt;&gt;""AZ"",I82&lt;&gt;""AR"",I82&lt;&gt;""CA"",I82&lt;&gt;""CO"",I82&lt;&gt;""CT"",I82&lt;&gt;""DE"",I82&lt;&gt;""DC"",I82&lt;&gt;""FL"",I82&lt;&gt;""GA"",I82&lt;&gt;""HI"",I82&lt;&gt;""ID"",I82&lt;&gt;""IL"",I82&lt;&gt;""IN"",I82&lt;&gt;""IA"",I82&lt;&gt;""KS"",I82&lt;&gt;""KY"",I82&lt;&gt;""LA"",I82&lt;&gt;""ME"",I8"&amp;"2&lt;&gt;""MD"",I82&lt;&gt;""MA"",I82&lt;&gt;""MI"",I82&lt;&gt;""MN"",I82&lt;&gt;""MS"",I82&lt;&gt;""MO"",I82&lt;&gt;""MT"",I82&lt;&gt;""NE"",I82&lt;&gt;""NV"",I82&lt;&gt;""NH"",I82&lt;&gt;""NJ"",I82&lt;&gt;""NM"",I82&lt;&gt;""NY"",I82&lt;&gt;""NC"",I82&lt;&gt;""ND"",I82&lt;&gt;""OH"",I82&lt;&gt;""OK"",I82&lt;&gt;""OR"",I82&lt;&gt;""PA"",I82&lt;&gt;""RI"",I82&lt;&gt;""SC"",I82&lt;&gt;"&amp;"""SD"",I82&lt;&gt;""TN"",I82&lt;&gt;""TX"",I82&lt;&gt;""UT"",I82&lt;&gt;""VT"",I82&lt;&gt;""VA"",I82&lt;&gt;""WA"",I82&lt;&gt;""WV"",I82&lt;&gt;""WI"",I82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StateInternational'!$G$2:$G$121&lt;&gt;"""")},2,0)),IF(L82=10"&amp;",ArrayFormula(VLOOKUP(QUERY(UNIQUE(RANDBETWEEN(ROW(INDIRECT(""A1:A""&amp;COUNTA('Leaving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2" s="13">
        <f t="shared" ca="1" si="7"/>
        <v>8</v>
      </c>
      <c r="O82" s="13" t="b">
        <f>ISNUMBER(MATCH(C82,'Top 250 HS'!C:C,0))</f>
        <v>0</v>
      </c>
      <c r="P82" s="13" t="str">
        <f ca="1">IFERROR(__xludf.DUMMYFUNCTION("SORTN(FILTER('Top 250 HS'!B:B,'Top 250 HS'!C:C=I82),1,0,randarray(COUNTA(FILTER('Top 250 HS'!B:B,'Top 250 HS'!C:C=I82)),1),TRUE)"),"St. Mary Prep (Orchard Lake)")</f>
        <v>St. Mary Prep (Orchard Lake)</v>
      </c>
      <c r="Q82" s="13" t="b">
        <f>ISNUMBER(MATCH("*"&amp;E82&amp;"*",'Top 1500 HS LatitudeLongitude'!G:G,0))</f>
        <v>0</v>
      </c>
      <c r="R82" s="13" t="str">
        <f ca="1">IFERROR(__xludf.DUMMYFUNCTION("IFS(L82=10,"""",Q82=false,"""",N82=5,"""",Q82=true,SORTN(FILTER('Top 1500 HS LatitudeLongitude'!B:B,'Top 1500 HS LatitudeLongitude'!C:C=I82,'Top 1500 HS LatitudeLongitude'!E:E=H82),1,0,randarray(COUNTA(FILTER('Top 1500 HS LatitudeLongitude'!B:B,'Top 1500 "&amp;"HS LatitudeLongitude'!C:C=I82,'Top 1500 HS LatitudeLongitude'!E:E=H82)),1),TRUE)
)"),"")</f>
        <v/>
      </c>
      <c r="S82" s="13" t="b">
        <f>ISNUMBER(MATCH("*"&amp;H:H&amp;"*",'Public Schools'!C:C,0))</f>
        <v>1</v>
      </c>
      <c r="T82" s="13" t="str">
        <f ca="1">IFERROR(__xludf.DUMMYFUNCTION("IFERROR(IF(AND(R82="""",S82=true), SORTN(FILTER('Public Schools'!A:A,'Public Schools'!B:B=J82,'Public Schools'!C:C=H82),1,0,randarray(COUNTA(FILTER('Public Schools'!A:A,'Public Schools'!B:B=J82,'Public Schools'!C:C=H82)),1),TRUE),""""),"""")"),"Mendon MiddleHigh School")</f>
        <v>Mendon MiddleHigh School</v>
      </c>
      <c r="U82" s="23" t="str">
        <f t="array" aca="1" ref="U82" ca="1">IF(AND(R82="",T82=""),INDEX('Top 1500 HS LatitudeLongitude'!B$2:B$1501,MATCH(MIN(SQRT(('Top 1500 HS LatitudeLongitude'!H$2:H$1501-F82)^2+('Top 1500 HS LatitudeLongitude'!I$2:I$1501-G82)^2)),SQRT( ('Top 1500 HS LatitudeLongitude'!H$2:H$1501-F82)^2+('Top 1500 HS LatitudeLongitude'!I$2:I$1501-G82)^2),0),1),"")</f>
        <v/>
      </c>
    </row>
    <row r="83" spans="2:21" ht="15.6">
      <c r="B83" s="8">
        <v>0.2908367422</v>
      </c>
      <c r="C83" s="9" t="s">
        <v>238</v>
      </c>
      <c r="D83" s="9" t="s">
        <v>188</v>
      </c>
      <c r="E83" s="37" t="s">
        <v>672</v>
      </c>
      <c r="F83" s="8">
        <v>41.837299999999999</v>
      </c>
      <c r="G83" s="8">
        <v>-87.686099999999996</v>
      </c>
      <c r="H83" s="3" t="str">
        <f t="shared" si="0"/>
        <v>New York</v>
      </c>
      <c r="I83" s="3" t="str">
        <f t="shared" si="1"/>
        <v>NY</v>
      </c>
      <c r="J83" s="3" t="str">
        <f t="array" ref="J83">INDEX('State Abbreviations'!$B$2:$B$52,MATCH(I83,'State Abbreviations'!$A$2:$A$52,0))</f>
        <v>New York</v>
      </c>
      <c r="K83" s="94" t="e">
        <f t="shared" ca="1" si="2"/>
        <v>#NAME?</v>
      </c>
      <c r="L83" s="13">
        <f t="shared" ca="1" si="5"/>
        <v>18</v>
      </c>
      <c r="M83" s="13" t="str">
        <f ca="1">IFERROR(__xludf.DUMMYFUNCTION("IF(AND(L83&gt;3,I83&lt;&gt;""AL"",I83&lt;&gt;""AK"",I83&lt;&gt;""AZ"",I83&lt;&gt;""AR"",I83&lt;&gt;""CA"",I83&lt;&gt;""CO"",I83&lt;&gt;""CT"",I83&lt;&gt;""DE"",I83&lt;&gt;""DC"",I83&lt;&gt;""FL"",I83&lt;&gt;""GA"",I83&lt;&gt;""HI"",I83&lt;&gt;""ID"",I83&lt;&gt;""IL"",I83&lt;&gt;""IN"",I83&lt;&gt;""IA"",I83&lt;&gt;""KS"",I83&lt;&gt;""KY"",I83&lt;&gt;""LA"",I83&lt;&gt;""ME"",I8"&amp;"3&lt;&gt;""MD"",I83&lt;&gt;""MA"",I83&lt;&gt;""MI"",I83&lt;&gt;""MN"",I83&lt;&gt;""MS"",I83&lt;&gt;""MO"",I83&lt;&gt;""MT"",I83&lt;&gt;""NE"",I83&lt;&gt;""NV"",I83&lt;&gt;""NH"",I83&lt;&gt;""NJ"",I83&lt;&gt;""NM"",I83&lt;&gt;""NY"",I83&lt;&gt;""NC"",I83&lt;&gt;""ND"",I83&lt;&gt;""OH"",I83&lt;&gt;""OK"",I83&lt;&gt;""OR"",I83&lt;&gt;""PA"",I83&lt;&gt;""RI"",I83&lt;&gt;""SC"",I83&lt;&gt;"&amp;"""SD"",I83&lt;&gt;""TN"",I83&lt;&gt;""TX"",I83&lt;&gt;""UT"",I83&lt;&gt;""VT"",I83&lt;&gt;""VA"",I83&lt;&gt;""WA"",I83&lt;&gt;""WV"",I83&lt;&gt;""WI"",I83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StateInternational'!$G$2:$G$121&lt;&gt;"""")},2,0)),IF(L83=10"&amp;",ArrayFormula(VLOOKUP(QUERY(UNIQUE(RANDBETWEEN(ROW(INDIRECT(""A1:A""&amp;COUNTA('Leaving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3" s="13">
        <f t="shared" ca="1" si="7"/>
        <v>3</v>
      </c>
      <c r="O83" s="13" t="b">
        <f>ISNUMBER(MATCH(C83,'Top 250 HS'!C:C,0))</f>
        <v>0</v>
      </c>
      <c r="P83" s="13" t="str">
        <f ca="1">IFERROR(__xludf.DUMMYFUNCTION("SORTN(FILTER('Top 250 HS'!B:B,'Top 250 HS'!C:C=I83),1,0,randarray(COUNTA(FILTER('Top 250 HS'!B:B,'Top 250 HS'!C:C=I83)),1),TRUE)"),"Long Island Lutheran (Brookville)")</f>
        <v>Long Island Lutheran (Brookville)</v>
      </c>
      <c r="Q83" s="13" t="b">
        <f>ISNUMBER(MATCH("*"&amp;E83&amp;"*",'Top 1500 HS LatitudeLongitude'!G:G,0))</f>
        <v>0</v>
      </c>
      <c r="R83" s="13" t="str">
        <f ca="1">IFERROR(__xludf.DUMMYFUNCTION("IFS(L83=10,"""",Q83=false,"""",N83=5,"""",Q83=true,SORTN(FILTER('Top 1500 HS LatitudeLongitude'!B:B,'Top 1500 HS LatitudeLongitude'!C:C=I83,'Top 1500 HS LatitudeLongitude'!E:E=H83),1,0,randarray(COUNTA(FILTER('Top 1500 HS LatitudeLongitude'!B:B,'Top 1500 "&amp;"HS LatitudeLongitude'!C:C=I83,'Top 1500 HS LatitudeLongitude'!E:E=H83)),1),TRUE)
)"),"")</f>
        <v/>
      </c>
      <c r="S83" s="13" t="b">
        <f>ISNUMBER(MATCH("*"&amp;H:H&amp;"*",'Public Schools'!C:C,0))</f>
        <v>1</v>
      </c>
      <c r="T83" s="13" t="str">
        <f ca="1">IFERROR(__xludf.DUMMYFUNCTION("IFERROR(IF(AND(R83="""",S83=true), SORTN(FILTER('Public Schools'!A:A,'Public Schools'!B:B=J83,'Public Schools'!C:C=H83),1,0,randarray(COUNTA(FILTER('Public Schools'!A:A,'Public Schools'!B:B=J83,'Public Schools'!C:C=H83)),1),TRUE),""""),"""")"),"Nyc Lab High School For Collaborative Studies")</f>
        <v>Nyc Lab High School For Collaborative Studies</v>
      </c>
      <c r="U83" s="23" t="str">
        <f t="array" aca="1" ref="U83" ca="1">IF(AND(R83="",T83=""),INDEX('Top 1500 HS LatitudeLongitude'!B$2:B$1501,MATCH(MIN(SQRT(('Top 1500 HS LatitudeLongitude'!H$2:H$1501-F83)^2+('Top 1500 HS LatitudeLongitude'!I$2:I$1501-G83)^2)),SQRT( ('Top 1500 HS LatitudeLongitude'!H$2:H$1501-F83)^2+('Top 1500 HS LatitudeLongitude'!I$2:I$1501-G83)^2),0),1),"")</f>
        <v/>
      </c>
    </row>
    <row r="84" spans="2:21" ht="15.6">
      <c r="B84" s="8">
        <v>3.793373958E-2</v>
      </c>
      <c r="C84" s="9" t="s">
        <v>262</v>
      </c>
      <c r="D84" s="9" t="s">
        <v>303</v>
      </c>
      <c r="E84" s="98" t="s">
        <v>2498</v>
      </c>
      <c r="F84" s="8">
        <v>33.310299999999998</v>
      </c>
      <c r="G84" s="8">
        <v>-111.74630000000001</v>
      </c>
      <c r="H84" s="3" t="str">
        <f t="shared" si="0"/>
        <v>Fairfield</v>
      </c>
      <c r="I84" s="3" t="str">
        <f t="shared" si="1"/>
        <v>AL</v>
      </c>
      <c r="J84" s="3" t="str">
        <f t="array" ref="J84">INDEX('State Abbreviations'!$B$2:$B$52,MATCH(I84,'State Abbreviations'!$A$2:$A$52,0))</f>
        <v>Alabama</v>
      </c>
      <c r="K84" s="94" t="e">
        <f t="shared" ca="1" si="2"/>
        <v>#NAME?</v>
      </c>
      <c r="L84" s="13">
        <f t="shared" ca="1" si="5"/>
        <v>9</v>
      </c>
      <c r="M84" s="13" t="str">
        <f ca="1">IFERROR(__xludf.DUMMYFUNCTION("IF(AND(L84&gt;3,I84&lt;&gt;""AL"",I84&lt;&gt;""AK"",I84&lt;&gt;""AZ"",I84&lt;&gt;""AR"",I84&lt;&gt;""CA"",I84&lt;&gt;""CO"",I84&lt;&gt;""CT"",I84&lt;&gt;""DE"",I84&lt;&gt;""DC"",I84&lt;&gt;""FL"",I84&lt;&gt;""GA"",I84&lt;&gt;""HI"",I84&lt;&gt;""ID"",I84&lt;&gt;""IL"",I84&lt;&gt;""IN"",I84&lt;&gt;""IA"",I84&lt;&gt;""KS"",I84&lt;&gt;""KY"",I84&lt;&gt;""LA"",I84&lt;&gt;""ME"",I8"&amp;"4&lt;&gt;""MD"",I84&lt;&gt;""MA"",I84&lt;&gt;""MI"",I84&lt;&gt;""MN"",I84&lt;&gt;""MS"",I84&lt;&gt;""MO"",I84&lt;&gt;""MT"",I84&lt;&gt;""NE"",I84&lt;&gt;""NV"",I84&lt;&gt;""NH"",I84&lt;&gt;""NJ"",I84&lt;&gt;""NM"",I84&lt;&gt;""NY"",I84&lt;&gt;""NC"",I84&lt;&gt;""ND"",I84&lt;&gt;""OH"",I84&lt;&gt;""OK"",I84&lt;&gt;""OR"",I84&lt;&gt;""PA"",I84&lt;&gt;""RI"",I84&lt;&gt;""SC"",I84&lt;&gt;"&amp;"""SD"",I84&lt;&gt;""TN"",I84&lt;&gt;""TX"",I84&lt;&gt;""UT"",I84&lt;&gt;""VT"",I84&lt;&gt;""VA"",I84&lt;&gt;""WA"",I84&lt;&gt;""WV"",I84&lt;&gt;""WI"",I84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StateInternational'!$G$2:$G$121&lt;&gt;"""")},2,0)),IF(L84=10"&amp;",ArrayFormula(VLOOKUP(QUERY(UNIQUE(RANDBETWEEN(ROW(INDIRECT(""A1:A""&amp;COUNTA('Leaving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4" s="13">
        <f t="shared" ca="1" si="7"/>
        <v>3</v>
      </c>
      <c r="O84" s="13" t="b">
        <f>ISNUMBER(MATCH(C84,'Top 250 HS'!C:C,0))</f>
        <v>0</v>
      </c>
      <c r="P84" s="13" t="str">
        <f ca="1">IFERROR(__xludf.DUMMYFUNCTION("SORTN(FILTER('Top 250 HS'!B:B,'Top 250 HS'!C:C=I84),1,0,randarray(COUNTA(FILTER('Top 250 HS'!B:B,'Top 250 HS'!C:C=I84)),1),TRUE)"),"Fairfield")</f>
        <v>Fairfield</v>
      </c>
      <c r="Q84" s="13" t="b">
        <f>ISNUMBER(MATCH("*"&amp;E84&amp;"*",'Top 1500 HS LatitudeLongitude'!G:G,0))</f>
        <v>1</v>
      </c>
      <c r="R84" s="13" t="str">
        <f ca="1">IFERROR(__xludf.DUMMYFUNCTION("IFS(L84=10,"""",Q84=false,"""",N84=5,"""",Q84=true,SORTN(FILTER('Top 1500 HS LatitudeLongitude'!B:B,'Top 1500 HS LatitudeLongitude'!C:C=I84,'Top 1500 HS LatitudeLongitude'!E:E=H84),1,0,randarray(COUNTA(FILTER('Top 1500 HS LatitudeLongitude'!B:B,'Top 1500 "&amp;"HS LatitudeLongitude'!C:C=I84,'Top 1500 HS LatitudeLongitude'!E:E=H84)),1),TRUE)
)"),"Fairfield")</f>
        <v>Fairfield</v>
      </c>
      <c r="S84" s="13" t="b">
        <f>ISNUMBER(MATCH("*"&amp;H:H&amp;"*",'Public Schools'!C:C,0))</f>
        <v>1</v>
      </c>
      <c r="T84" s="13" t="str">
        <f ca="1">IFERROR(__xludf.DUMMYFUNCTION("IFERROR(IF(AND(R84="""",S84=true), SORTN(FILTER('Public Schools'!A:A,'Public Schools'!B:B=J84,'Public Schools'!C:C=H84),1,0,randarray(COUNTA(FILTER('Public Schools'!A:A,'Public Schools'!B:B=J84,'Public Schools'!C:C=H84)),1),TRUE),""""),"""")"),"")</f>
        <v/>
      </c>
      <c r="U84" s="23" t="str">
        <f t="array" aca="1" ref="U84" ca="1">IF(AND(R84="",T84=""),INDEX('Top 1500 HS LatitudeLongitude'!B$2:B$1501,MATCH(MIN(SQRT(('Top 1500 HS LatitudeLongitude'!H$2:H$1501-F84)^2+('Top 1500 HS LatitudeLongitude'!I$2:I$1501-G84)^2)),SQRT( ('Top 1500 HS LatitudeLongitude'!H$2:H$1501-F84)^2+('Top 1500 HS LatitudeLongitude'!I$2:I$1501-G84)^2),0),1),"")</f>
        <v/>
      </c>
    </row>
    <row r="85" spans="2:21" ht="15.6">
      <c r="B85" s="8">
        <v>0.80200575699999999</v>
      </c>
      <c r="C85" s="9" t="s">
        <v>148</v>
      </c>
      <c r="D85" s="9" t="s">
        <v>304</v>
      </c>
      <c r="E85" s="37" t="s">
        <v>2556</v>
      </c>
      <c r="F85" s="8">
        <v>36.171399999999998</v>
      </c>
      <c r="G85" s="8">
        <v>-86.784400000000005</v>
      </c>
      <c r="H85" s="3" t="str">
        <f t="shared" si="0"/>
        <v>Eatonton</v>
      </c>
      <c r="I85" s="3" t="str">
        <f t="shared" si="1"/>
        <v>GA</v>
      </c>
      <c r="J85" s="3" t="str">
        <f t="array" ref="J85">INDEX('State Abbreviations'!$B$2:$B$52,MATCH(I85,'State Abbreviations'!$A$2:$A$52,0))</f>
        <v>Georgia</v>
      </c>
      <c r="K85" s="94" t="e">
        <f t="shared" ca="1" si="2"/>
        <v>#NAME?</v>
      </c>
      <c r="L85" s="13">
        <f t="shared" ca="1" si="5"/>
        <v>12</v>
      </c>
      <c r="M85" s="13" t="str">
        <f ca="1">IFERROR(__xludf.DUMMYFUNCTION("IF(AND(L85&gt;3,I85&lt;&gt;""AL"",I85&lt;&gt;""AK"",I85&lt;&gt;""AZ"",I85&lt;&gt;""AR"",I85&lt;&gt;""CA"",I85&lt;&gt;""CO"",I85&lt;&gt;""CT"",I85&lt;&gt;""DE"",I85&lt;&gt;""DC"",I85&lt;&gt;""FL"",I85&lt;&gt;""GA"",I85&lt;&gt;""HI"",I85&lt;&gt;""ID"",I85&lt;&gt;""IL"",I85&lt;&gt;""IN"",I85&lt;&gt;""IA"",I85&lt;&gt;""KS"",I85&lt;&gt;""KY"",I85&lt;&gt;""LA"",I85&lt;&gt;""ME"",I8"&amp;"5&lt;&gt;""MD"",I85&lt;&gt;""MA"",I85&lt;&gt;""MI"",I85&lt;&gt;""MN"",I85&lt;&gt;""MS"",I85&lt;&gt;""MO"",I85&lt;&gt;""MT"",I85&lt;&gt;""NE"",I85&lt;&gt;""NV"",I85&lt;&gt;""NH"",I85&lt;&gt;""NJ"",I85&lt;&gt;""NM"",I85&lt;&gt;""NY"",I85&lt;&gt;""NC"",I85&lt;&gt;""ND"",I85&lt;&gt;""OH"",I85&lt;&gt;""OK"",I85&lt;&gt;""OR"",I85&lt;&gt;""PA"",I85&lt;&gt;""RI"",I85&lt;&gt;""SC"",I85&lt;&gt;"&amp;"""SD"",I85&lt;&gt;""TN"",I85&lt;&gt;""TX"",I85&lt;&gt;""UT"",I85&lt;&gt;""VT"",I85&lt;&gt;""VA"",I85&lt;&gt;""WA"",I85&lt;&gt;""WV"",I85&lt;&gt;""WI"",I85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StateInternational'!$G$2:$G$121&lt;&gt;"""")},2,0)),IF(L85=10"&amp;",ArrayFormula(VLOOKUP(QUERY(UNIQUE(RANDBETWEEN(ROW(INDIRECT(""A1:A""&amp;COUNTA('Leaving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5" s="13">
        <f t="shared" ca="1" si="7"/>
        <v>5</v>
      </c>
      <c r="O85" s="13" t="b">
        <f>ISNUMBER(MATCH(C85,'Top 250 HS'!C:C,0))</f>
        <v>0</v>
      </c>
      <c r="P85" s="13" t="str">
        <f ca="1">IFERROR(__xludf.DUMMYFUNCTION("SORTN(FILTER('Top 250 HS'!B:B,'Top 250 HS'!C:C=I85),1,0,randarray(COUNTA(FILTER('Top 250 HS'!B:B,'Top 250 HS'!C:C=I85)),1),TRUE)"),"Grayson (Loganville)")</f>
        <v>Grayson (Loganville)</v>
      </c>
      <c r="Q85" s="13" t="b">
        <f>ISNUMBER(MATCH("*"&amp;E85&amp;"*",'Top 1500 HS LatitudeLongitude'!G:G,0))</f>
        <v>0</v>
      </c>
      <c r="R85" s="13" t="str">
        <f ca="1">IFERROR(__xludf.DUMMYFUNCTION("IFS(L85=10,"""",Q85=false,"""",N85=5,"""",Q85=true,SORTN(FILTER('Top 1500 HS LatitudeLongitude'!B:B,'Top 1500 HS LatitudeLongitude'!C:C=I85,'Top 1500 HS LatitudeLongitude'!E:E=H85),1,0,randarray(COUNTA(FILTER('Top 1500 HS LatitudeLongitude'!B:B,'Top 1500 "&amp;"HS LatitudeLongitude'!C:C=I85,'Top 1500 HS LatitudeLongitude'!E:E=H85)),1),TRUE)
)"),"")</f>
        <v/>
      </c>
      <c r="S85" s="13" t="b">
        <f>ISNUMBER(MATCH("*"&amp;H:H&amp;"*",'Public Schools'!C:C,0))</f>
        <v>1</v>
      </c>
      <c r="T85" s="13" t="str">
        <f ca="1">IFERROR(__xludf.DUMMYFUNCTION("IFERROR(IF(AND(R85="""",S85=true), SORTN(FILTER('Public Schools'!A:A,'Public Schools'!B:B=J85,'Public Schools'!C:C=H85),1,0,randarray(COUNTA(FILTER('Public Schools'!A:A,'Public Schools'!B:B=J85,'Public Schools'!C:C=H85)),1),TRUE),""""),"""")"),"Putnam County High School")</f>
        <v>Putnam County High School</v>
      </c>
      <c r="U85" s="23" t="str">
        <f t="array" aca="1" ref="U85" ca="1">IF(AND(R85="",T85=""),INDEX('Top 1500 HS LatitudeLongitude'!B$2:B$1501,MATCH(MIN(SQRT(('Top 1500 HS LatitudeLongitude'!H$2:H$1501-F85)^2+('Top 1500 HS LatitudeLongitude'!I$2:I$1501-G85)^2)),SQRT( ('Top 1500 HS LatitudeLongitude'!H$2:H$1501-F85)^2+('Top 1500 HS LatitudeLongitude'!I$2:I$1501-G85)^2),0),1),"")</f>
        <v/>
      </c>
    </row>
    <row r="86" spans="2:21" ht="15.6">
      <c r="B86" s="8">
        <v>0.65853205039999996</v>
      </c>
      <c r="C86" s="9" t="s">
        <v>245</v>
      </c>
      <c r="D86" s="9" t="s">
        <v>305</v>
      </c>
      <c r="E86" s="98" t="s">
        <v>2600</v>
      </c>
      <c r="F86" s="8">
        <v>40.650100000000002</v>
      </c>
      <c r="G86" s="8">
        <v>-73.949600000000004</v>
      </c>
      <c r="H86" s="3" t="str">
        <f t="shared" si="0"/>
        <v>Marysville</v>
      </c>
      <c r="I86" s="3" t="str">
        <f t="shared" si="1"/>
        <v>WA</v>
      </c>
      <c r="J86" s="3" t="str">
        <f t="array" ref="J86">INDEX('State Abbreviations'!$B$2:$B$52,MATCH(I86,'State Abbreviations'!$A$2:$A$52,0))</f>
        <v>Washington</v>
      </c>
      <c r="K86" s="94" t="e">
        <f t="shared" ca="1" si="2"/>
        <v>#NAME?</v>
      </c>
      <c r="L86" s="13">
        <f t="shared" ca="1" si="5"/>
        <v>20</v>
      </c>
      <c r="M86" s="13" t="str">
        <f ca="1">IFERROR(__xludf.DUMMYFUNCTION("IF(AND(L86&gt;3,I86&lt;&gt;""AL"",I86&lt;&gt;""AK"",I86&lt;&gt;""AZ"",I86&lt;&gt;""AR"",I86&lt;&gt;""CA"",I86&lt;&gt;""CO"",I86&lt;&gt;""CT"",I86&lt;&gt;""DE"",I86&lt;&gt;""DC"",I86&lt;&gt;""FL"",I86&lt;&gt;""GA"",I86&lt;&gt;""HI"",I86&lt;&gt;""ID"",I86&lt;&gt;""IL"",I86&lt;&gt;""IN"",I86&lt;&gt;""IA"",I86&lt;&gt;""KS"",I86&lt;&gt;""KY"",I86&lt;&gt;""LA"",I86&lt;&gt;""ME"",I8"&amp;"6&lt;&gt;""MD"",I86&lt;&gt;""MA"",I86&lt;&gt;""MI"",I86&lt;&gt;""MN"",I86&lt;&gt;""MS"",I86&lt;&gt;""MO"",I86&lt;&gt;""MT"",I86&lt;&gt;""NE"",I86&lt;&gt;""NV"",I86&lt;&gt;""NH"",I86&lt;&gt;""NJ"",I86&lt;&gt;""NM"",I86&lt;&gt;""NY"",I86&lt;&gt;""NC"",I86&lt;&gt;""ND"",I86&lt;&gt;""OH"",I86&lt;&gt;""OK"",I86&lt;&gt;""OR"",I86&lt;&gt;""PA"",I86&lt;&gt;""RI"",I86&lt;&gt;""SC"",I86&lt;&gt;"&amp;"""SD"",I86&lt;&gt;""TN"",I86&lt;&gt;""TX"",I86&lt;&gt;""UT"",I86&lt;&gt;""VT"",I86&lt;&gt;""VA"",I86&lt;&gt;""WA"",I86&lt;&gt;""WV"",I86&lt;&gt;""WI"",I86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StateInternational'!$G$2:$G$121&lt;&gt;"""")},2,0)),IF(L86=10"&amp;",ArrayFormula(VLOOKUP(QUERY(UNIQUE(RANDBETWEEN(ROW(INDIRECT(""A1:A""&amp;COUNTA('Leaving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6" s="13">
        <f t="shared" ca="1" si="7"/>
        <v>5</v>
      </c>
      <c r="O86" s="13" t="b">
        <f>ISNUMBER(MATCH(C86,'Top 250 HS'!C:C,0))</f>
        <v>0</v>
      </c>
      <c r="P86" s="13" t="str">
        <f ca="1">IFERROR(__xludf.DUMMYFUNCTION("SORTN(FILTER('Top 250 HS'!B:B,'Top 250 HS'!C:C=I86),1,0,randarray(COUNTA(FILTER('Top 250 HS'!B:B,'Top 250 HS'!C:C=I86)),1),TRUE)"),"Union (Vancouver)")</f>
        <v>Union (Vancouver)</v>
      </c>
      <c r="Q86" s="13" t="b">
        <f>ISNUMBER(MATCH("*"&amp;E86&amp;"*",'Top 1500 HS LatitudeLongitude'!G:G,0))</f>
        <v>1</v>
      </c>
      <c r="R86" s="13" t="str">
        <f ca="1">IFERROR(__xludf.DUMMYFUNCTION("IFS(L86=10,"""",Q86=false,"""",N86=5,"""",Q86=true,SORTN(FILTER('Top 1500 HS LatitudeLongitude'!B:B,'Top 1500 HS LatitudeLongitude'!C:C=I86,'Top 1500 HS LatitudeLongitude'!E:E=H86),1,0,randarray(COUNTA(FILTER('Top 1500 HS LatitudeLongitude'!B:B,'Top 1500 "&amp;"HS LatitudeLongitude'!C:C=I86,'Top 1500 HS LatitudeLongitude'!E:E=H86)),1),TRUE)
)"),"Marysville-Pilchuck (Marysville)")</f>
        <v>Marysville-Pilchuck (Marysville)</v>
      </c>
      <c r="S86" s="13" t="b">
        <f>ISNUMBER(MATCH("*"&amp;H:H&amp;"*",'Public Schools'!C:C,0))</f>
        <v>1</v>
      </c>
      <c r="T86" s="13" t="str">
        <f ca="1">IFERROR(__xludf.DUMMYFUNCTION("IFERROR(IF(AND(R86="""",S86=true), SORTN(FILTER('Public Schools'!A:A,'Public Schools'!B:B=J86,'Public Schools'!C:C=H86),1,0,randarray(COUNTA(FILTER('Public Schools'!A:A,'Public Schools'!B:B=J86,'Public Schools'!C:C=H86)),1),TRUE),""""),"""")"),"")</f>
        <v/>
      </c>
      <c r="U86" s="23" t="str">
        <f t="array" aca="1" ref="U86" ca="1">IF(AND(R86="",T86=""),INDEX('Top 1500 HS LatitudeLongitude'!B$2:B$1501,MATCH(MIN(SQRT(('Top 1500 HS LatitudeLongitude'!H$2:H$1501-F86)^2+('Top 1500 HS LatitudeLongitude'!I$2:I$1501-G86)^2)),SQRT( ('Top 1500 HS LatitudeLongitude'!H$2:H$1501-F86)^2+('Top 1500 HS LatitudeLongitude'!I$2:I$1501-G86)^2),0),1),"")</f>
        <v/>
      </c>
    </row>
    <row r="87" spans="2:21" ht="15.6">
      <c r="B87" s="8">
        <v>4.779025646E-2</v>
      </c>
      <c r="C87" s="9" t="s">
        <v>306</v>
      </c>
      <c r="D87" s="9" t="s">
        <v>307</v>
      </c>
      <c r="E87" s="37" t="s">
        <v>2639</v>
      </c>
      <c r="F87" s="8">
        <v>34.113999999999997</v>
      </c>
      <c r="G87" s="8">
        <v>-118.4068</v>
      </c>
      <c r="H87" s="3" t="str">
        <f t="shared" si="0"/>
        <v>West Memphis</v>
      </c>
      <c r="I87" s="3" t="str">
        <f t="shared" si="1"/>
        <v>AR</v>
      </c>
      <c r="J87" s="3" t="str">
        <f t="array" ref="J87">INDEX('State Abbreviations'!$B$2:$B$52,MATCH(I87,'State Abbreviations'!$A$2:$A$52,0))</f>
        <v>Arkansas</v>
      </c>
      <c r="K87" s="94" t="e">
        <f t="shared" ca="1" si="2"/>
        <v>#NAME?</v>
      </c>
      <c r="L87" s="13">
        <f t="shared" ca="1" si="5"/>
        <v>7</v>
      </c>
      <c r="M87" s="13" t="str">
        <f ca="1">IFERROR(__xludf.DUMMYFUNCTION("IF(AND(L87&gt;3,I87&lt;&gt;""AL"",I87&lt;&gt;""AK"",I87&lt;&gt;""AZ"",I87&lt;&gt;""AR"",I87&lt;&gt;""CA"",I87&lt;&gt;""CO"",I87&lt;&gt;""CT"",I87&lt;&gt;""DE"",I87&lt;&gt;""DC"",I87&lt;&gt;""FL"",I87&lt;&gt;""GA"",I87&lt;&gt;""HI"",I87&lt;&gt;""ID"",I87&lt;&gt;""IL"",I87&lt;&gt;""IN"",I87&lt;&gt;""IA"",I87&lt;&gt;""KS"",I87&lt;&gt;""KY"",I87&lt;&gt;""LA"",I87&lt;&gt;""ME"",I8"&amp;"7&lt;&gt;""MD"",I87&lt;&gt;""MA"",I87&lt;&gt;""MI"",I87&lt;&gt;""MN"",I87&lt;&gt;""MS"",I87&lt;&gt;""MO"",I87&lt;&gt;""MT"",I87&lt;&gt;""NE"",I87&lt;&gt;""NV"",I87&lt;&gt;""NH"",I87&lt;&gt;""NJ"",I87&lt;&gt;""NM"",I87&lt;&gt;""NY"",I87&lt;&gt;""NC"",I87&lt;&gt;""ND"",I87&lt;&gt;""OH"",I87&lt;&gt;""OK"",I87&lt;&gt;""OR"",I87&lt;&gt;""PA"",I87&lt;&gt;""RI"",I87&lt;&gt;""SC"",I87&lt;&gt;"&amp;"""SD"",I87&lt;&gt;""TN"",I87&lt;&gt;""TX"",I87&lt;&gt;""UT"",I87&lt;&gt;""VT"",I87&lt;&gt;""VA"",I87&lt;&gt;""WA"",I87&lt;&gt;""WV"",I87&lt;&gt;""WI"",I87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StateInternational'!$G$2:$G$121&lt;&gt;"""")},2,0)),IF(L87=10"&amp;",ArrayFormula(VLOOKUP(QUERY(UNIQUE(RANDBETWEEN(ROW(INDIRECT(""A1:A""&amp;COUNTA('Leaving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7" s="13">
        <f t="shared" ca="1" si="7"/>
        <v>1</v>
      </c>
      <c r="O87" s="13" t="b">
        <f>ISNUMBER(MATCH(C87,'Top 250 HS'!C:C,0))</f>
        <v>0</v>
      </c>
      <c r="P87" s="13" t="str">
        <f ca="1">IFERROR(__xludf.DUMMYFUNCTION("SORTN(FILTER('Top 250 HS'!B:B,'Top 250 HS'!C:C=I87),1,0,randarray(COUNTA(FILTER('Top 250 HS'!B:B,'Top 250 HS'!C:C=I87)),1),TRUE)"),"North Little Rock")</f>
        <v>North Little Rock</v>
      </c>
      <c r="Q87" s="13" t="b">
        <f>ISNUMBER(MATCH("*"&amp;E87&amp;"*",'Top 1500 HS LatitudeLongitude'!G:G,0))</f>
        <v>1</v>
      </c>
      <c r="R87" s="13" t="str">
        <f ca="1">IFERROR(__xludf.DUMMYFUNCTION("IFS(L87=10,"""",Q87=false,"""",N87=5,"""",Q87=true,SORTN(FILTER('Top 1500 HS LatitudeLongitude'!B:B,'Top 1500 HS LatitudeLongitude'!C:C=I87,'Top 1500 HS LatitudeLongitude'!E:E=H87),1,0,randarray(COUNTA(FILTER('Top 1500 HS LatitudeLongitude'!B:B,'Top 1500 "&amp;"HS LatitudeLongitude'!C:C=I87,'Top 1500 HS LatitudeLongitude'!E:E=H87)),1),TRUE)
)"),"West Memphis")</f>
        <v>West Memphis</v>
      </c>
      <c r="S87" s="13" t="b">
        <f>ISNUMBER(MATCH("*"&amp;H:H&amp;"*",'Public Schools'!C:C,0))</f>
        <v>1</v>
      </c>
      <c r="T87" s="13" t="str">
        <f ca="1">IFERROR(__xludf.DUMMYFUNCTION("IFERROR(IF(AND(R87="""",S87=true), SORTN(FILTER('Public Schools'!A:A,'Public Schools'!B:B=J87,'Public Schools'!C:C=H87),1,0,randarray(COUNTA(FILTER('Public Schools'!A:A,'Public Schools'!B:B=J87,'Public Schools'!C:C=H87)),1),TRUE),""""),"""")"),"")</f>
        <v/>
      </c>
      <c r="U87" s="23" t="str">
        <f t="array" aca="1" ref="U87" ca="1">IF(AND(R87="",T87=""),INDEX('Top 1500 HS LatitudeLongitude'!B$2:B$1501,MATCH(MIN(SQRT(('Top 1500 HS LatitudeLongitude'!H$2:H$1501-F87)^2+('Top 1500 HS LatitudeLongitude'!I$2:I$1501-G87)^2)),SQRT( ('Top 1500 HS LatitudeLongitude'!H$2:H$1501-F87)^2+('Top 1500 HS LatitudeLongitude'!I$2:I$1501-G87)^2),0),1),"")</f>
        <v/>
      </c>
    </row>
    <row r="88" spans="2:21" ht="15.6">
      <c r="B88" s="8">
        <v>0.20876230430000001</v>
      </c>
      <c r="C88" s="9" t="s">
        <v>270</v>
      </c>
      <c r="D88" s="9" t="s">
        <v>308</v>
      </c>
      <c r="E88" s="98" t="s">
        <v>2691</v>
      </c>
      <c r="F88" s="8">
        <v>28.923999999999999</v>
      </c>
      <c r="G88" s="8">
        <v>-81.93</v>
      </c>
      <c r="H88" s="3" t="str">
        <f t="shared" si="0"/>
        <v>Keansburg</v>
      </c>
      <c r="I88" s="3" t="str">
        <f t="shared" si="1"/>
        <v>NJ</v>
      </c>
      <c r="J88" s="3" t="str">
        <f t="array" ref="J88">INDEX('State Abbreviations'!$B$2:$B$52,MATCH(I88,'State Abbreviations'!$A$2:$A$52,0))</f>
        <v>New Jersey</v>
      </c>
      <c r="K88" s="94" t="e">
        <f t="shared" ca="1" si="2"/>
        <v>#NAME?</v>
      </c>
      <c r="L88" s="13">
        <f t="shared" ca="1" si="5"/>
        <v>5</v>
      </c>
      <c r="M88" s="13" t="str">
        <f ca="1">IFERROR(__xludf.DUMMYFUNCTION("IF(AND(L88&gt;3,I88&lt;&gt;""AL"",I88&lt;&gt;""AK"",I88&lt;&gt;""AZ"",I88&lt;&gt;""AR"",I88&lt;&gt;""CA"",I88&lt;&gt;""CO"",I88&lt;&gt;""CT"",I88&lt;&gt;""DE"",I88&lt;&gt;""DC"",I88&lt;&gt;""FL"",I88&lt;&gt;""GA"",I88&lt;&gt;""HI"",I88&lt;&gt;""ID"",I88&lt;&gt;""IL"",I88&lt;&gt;""IN"",I88&lt;&gt;""IA"",I88&lt;&gt;""KS"",I88&lt;&gt;""KY"",I88&lt;&gt;""LA"",I88&lt;&gt;""ME"",I8"&amp;"8&lt;&gt;""MD"",I88&lt;&gt;""MA"",I88&lt;&gt;""MI"",I88&lt;&gt;""MN"",I88&lt;&gt;""MS"",I88&lt;&gt;""MO"",I88&lt;&gt;""MT"",I88&lt;&gt;""NE"",I88&lt;&gt;""NV"",I88&lt;&gt;""NH"",I88&lt;&gt;""NJ"",I88&lt;&gt;""NM"",I88&lt;&gt;""NY"",I88&lt;&gt;""NC"",I88&lt;&gt;""ND"",I88&lt;&gt;""OH"",I88&lt;&gt;""OK"",I88&lt;&gt;""OR"",I88&lt;&gt;""PA"",I88&lt;&gt;""RI"",I88&lt;&gt;""SC"",I88&lt;&gt;"&amp;"""SD"",I88&lt;&gt;""TN"",I88&lt;&gt;""TX"",I88&lt;&gt;""UT"",I88&lt;&gt;""VT"",I88&lt;&gt;""VA"",I88&lt;&gt;""WA"",I88&lt;&gt;""WV"",I88&lt;&gt;""WI"",I88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StateInternational'!$G$2:$G$121&lt;&gt;"""")},2,0)),IF(L88=10"&amp;",ArrayFormula(VLOOKUP(QUERY(UNIQUE(RANDBETWEEN(ROW(INDIRECT(""A1:A""&amp;COUNTA('Leaving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8" s="13">
        <f t="shared" ca="1" si="7"/>
        <v>8</v>
      </c>
      <c r="O88" s="13" t="b">
        <f>ISNUMBER(MATCH(C88,'Top 250 HS'!C:C,0))</f>
        <v>0</v>
      </c>
      <c r="P88" s="13" t="str">
        <f ca="1">IFERROR(__xludf.DUMMYFUNCTION("SORTN(FILTER('Top 250 HS'!B:B,'Top 250 HS'!C:C=I88),1,0,randarray(COUNTA(FILTER('Top 250 HS'!B:B,'Top 250 HS'!C:C=I88)),1),TRUE)"),"Manasquan")</f>
        <v>Manasquan</v>
      </c>
      <c r="Q88" s="13" t="b">
        <f>ISNUMBER(MATCH("*"&amp;E88&amp;"*",'Top 1500 HS LatitudeLongitude'!G:G,0))</f>
        <v>0</v>
      </c>
      <c r="R88" s="13" t="str">
        <f ca="1">IFERROR(__xludf.DUMMYFUNCTION("IFS(L88=10,"""",Q88=false,"""",N88=5,"""",Q88=true,SORTN(FILTER('Top 1500 HS LatitudeLongitude'!B:B,'Top 1500 HS LatitudeLongitude'!C:C=I88,'Top 1500 HS LatitudeLongitude'!E:E=H88),1,0,randarray(COUNTA(FILTER('Top 1500 HS LatitudeLongitude'!B:B,'Top 1500 "&amp;"HS LatitudeLongitude'!C:C=I88,'Top 1500 HS LatitudeLongitude'!E:E=H88)),1),TRUE)
)"),"")</f>
        <v/>
      </c>
      <c r="S88" s="13" t="b">
        <f>ISNUMBER(MATCH("*"&amp;H:H&amp;"*",'Public Schools'!C:C,0))</f>
        <v>1</v>
      </c>
      <c r="T88" s="13" t="str">
        <f ca="1">IFERROR(__xludf.DUMMYFUNCTION("IFERROR(IF(AND(R88="""",S88=true), SORTN(FILTER('Public Schools'!A:A,'Public Schools'!B:B=J88,'Public Schools'!C:C=H88),1,0,randarray(COUNTA(FILTER('Public Schools'!A:A,'Public Schools'!B:B=J88,'Public Schools'!C:C=H88)),1),TRUE),""""),"""")"),"Keansburg High School")</f>
        <v>Keansburg High School</v>
      </c>
      <c r="U88" s="23" t="str">
        <f t="array" aca="1" ref="U88" ca="1">IF(AND(R88="",T88=""),INDEX('Top 1500 HS LatitudeLongitude'!B$2:B$1501,MATCH(MIN(SQRT(('Top 1500 HS LatitudeLongitude'!H$2:H$1501-F88)^2+('Top 1500 HS LatitudeLongitude'!I$2:I$1501-G88)^2)),SQRT( ('Top 1500 HS LatitudeLongitude'!H$2:H$1501-F88)^2+('Top 1500 HS LatitudeLongitude'!I$2:I$1501-G88)^2),0),1),"")</f>
        <v/>
      </c>
    </row>
    <row r="89" spans="2:21" ht="15.6">
      <c r="B89" s="8">
        <v>0.79503687909999998</v>
      </c>
      <c r="C89" s="9" t="s">
        <v>94</v>
      </c>
      <c r="D89" s="9" t="s">
        <v>309</v>
      </c>
      <c r="E89" s="37" t="s">
        <v>2733</v>
      </c>
      <c r="F89" s="8">
        <v>35.104700000000001</v>
      </c>
      <c r="G89" s="8">
        <v>-89.9773</v>
      </c>
      <c r="H89" s="3" t="str">
        <f t="shared" si="0"/>
        <v>Toledo</v>
      </c>
      <c r="I89" s="3" t="str">
        <f t="shared" si="1"/>
        <v>OH</v>
      </c>
      <c r="J89" s="3" t="str">
        <f t="array" ref="J89">INDEX('State Abbreviations'!$B$2:$B$52,MATCH(I89,'State Abbreviations'!$A$2:$A$52,0))</f>
        <v>Ohio</v>
      </c>
      <c r="K89" s="94" t="e">
        <f t="shared" ca="1" si="2"/>
        <v>#NAME?</v>
      </c>
      <c r="L89" s="13">
        <f t="shared" ca="1" si="5"/>
        <v>18</v>
      </c>
      <c r="M89" s="13" t="str">
        <f ca="1">IFERROR(__xludf.DUMMYFUNCTION("IF(AND(L89&gt;3,I89&lt;&gt;""AL"",I89&lt;&gt;""AK"",I89&lt;&gt;""AZ"",I89&lt;&gt;""AR"",I89&lt;&gt;""CA"",I89&lt;&gt;""CO"",I89&lt;&gt;""CT"",I89&lt;&gt;""DE"",I89&lt;&gt;""DC"",I89&lt;&gt;""FL"",I89&lt;&gt;""GA"",I89&lt;&gt;""HI"",I89&lt;&gt;""ID"",I89&lt;&gt;""IL"",I89&lt;&gt;""IN"",I89&lt;&gt;""IA"",I89&lt;&gt;""KS"",I89&lt;&gt;""KY"",I89&lt;&gt;""LA"",I89&lt;&gt;""ME"",I8"&amp;"9&lt;&gt;""MD"",I89&lt;&gt;""MA"",I89&lt;&gt;""MI"",I89&lt;&gt;""MN"",I89&lt;&gt;""MS"",I89&lt;&gt;""MO"",I89&lt;&gt;""MT"",I89&lt;&gt;""NE"",I89&lt;&gt;""NV"",I89&lt;&gt;""NH"",I89&lt;&gt;""NJ"",I89&lt;&gt;""NM"",I89&lt;&gt;""NY"",I89&lt;&gt;""NC"",I89&lt;&gt;""ND"",I89&lt;&gt;""OH"",I89&lt;&gt;""OK"",I89&lt;&gt;""OR"",I89&lt;&gt;""PA"",I89&lt;&gt;""RI"",I89&lt;&gt;""SC"",I89&lt;&gt;"&amp;"""SD"",I89&lt;&gt;""TN"",I89&lt;&gt;""TX"",I89&lt;&gt;""UT"",I89&lt;&gt;""VT"",I89&lt;&gt;""VA"",I89&lt;&gt;""WA"",I89&lt;&gt;""WV"",I89&lt;&gt;""WI"",I89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StateInternational'!$G$2:$G$121&lt;&gt;"""")},2,0)),IF(L89=10"&amp;",ArrayFormula(VLOOKUP(QUERY(UNIQUE(RANDBETWEEN(ROW(INDIRECT(""A1:A""&amp;COUNTA('Leaving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89" s="13">
        <f t="shared" ca="1" si="7"/>
        <v>3</v>
      </c>
      <c r="O89" s="13" t="b">
        <f>ISNUMBER(MATCH(C89,'Top 250 HS'!C:C,0))</f>
        <v>0</v>
      </c>
      <c r="P89" s="13" t="str">
        <f ca="1">IFERROR(__xludf.DUMMYFUNCTION("SORTN(FILTER('Top 250 HS'!B:B,'Top 250 HS'!C:C=I89),1,0,randarray(COUNTA(FILTER('Top 250 HS'!B:B,'Top 250 HS'!C:C=I89)),1),TRUE)"),"Lincoln (Gahanna)")</f>
        <v>Lincoln (Gahanna)</v>
      </c>
      <c r="Q89" s="13" t="b">
        <f>ISNUMBER(MATCH("*"&amp;E89&amp;"*",'Top 1500 HS LatitudeLongitude'!G:G,0))</f>
        <v>1</v>
      </c>
      <c r="R89" s="13" t="str">
        <f ca="1">IFERROR(__xludf.DUMMYFUNCTION("IFS(L89=10,"""",Q89=false,"""",N89=5,"""",Q89=true,SORTN(FILTER('Top 1500 HS LatitudeLongitude'!B:B,'Top 1500 HS LatitudeLongitude'!C:C=I89,'Top 1500 HS LatitudeLongitude'!E:E=H89),1,0,randarray(COUNTA(FILTER('Top 1500 HS LatitudeLongitude'!B:B,'Top 1500 "&amp;"HS LatitudeLongitude'!C:C=I89,'Top 1500 HS LatitudeLongitude'!E:E=H89)),1),TRUE)
)"),"Rogers (Toledo)")</f>
        <v>Rogers (Toledo)</v>
      </c>
      <c r="S89" s="13" t="b">
        <f>ISNUMBER(MATCH("*"&amp;H:H&amp;"*",'Public Schools'!C:C,0))</f>
        <v>1</v>
      </c>
      <c r="T89" s="13" t="str">
        <f ca="1">IFERROR(__xludf.DUMMYFUNCTION("IFERROR(IF(AND(R89="""",S89=true), SORTN(FILTER('Public Schools'!A:A,'Public Schools'!B:B=J89,'Public Schools'!C:C=H89),1,0,randarray(COUNTA(FILTER('Public Schools'!A:A,'Public Schools'!B:B=J89,'Public Schools'!C:C=H89)),1),TRUE),""""),"""")"),"")</f>
        <v/>
      </c>
      <c r="U89" s="23" t="str">
        <f t="array" aca="1" ref="U89" ca="1">IF(AND(R89="",T89=""),INDEX('Top 1500 HS LatitudeLongitude'!B$2:B$1501,MATCH(MIN(SQRT(('Top 1500 HS LatitudeLongitude'!H$2:H$1501-F89)^2+('Top 1500 HS LatitudeLongitude'!I$2:I$1501-G89)^2)),SQRT( ('Top 1500 HS LatitudeLongitude'!H$2:H$1501-F89)^2+('Top 1500 HS LatitudeLongitude'!I$2:I$1501-G89)^2),0),1),"")</f>
        <v/>
      </c>
    </row>
    <row r="90" spans="2:21" ht="15.6">
      <c r="B90" s="8">
        <v>0.2108927776</v>
      </c>
      <c r="C90" s="9" t="s">
        <v>264</v>
      </c>
      <c r="D90" s="9" t="s">
        <v>310</v>
      </c>
      <c r="E90" s="98" t="s">
        <v>2770</v>
      </c>
      <c r="F90" s="8">
        <v>25.848700000000001</v>
      </c>
      <c r="G90" s="8">
        <v>-80.153499999999994</v>
      </c>
      <c r="H90" s="3" t="str">
        <f t="shared" si="0"/>
        <v>Corvallis</v>
      </c>
      <c r="I90" s="3" t="str">
        <f t="shared" si="1"/>
        <v>OR</v>
      </c>
      <c r="J90" s="3" t="str">
        <f t="array" ref="J90">INDEX('State Abbreviations'!$B$2:$B$52,MATCH(I90,'State Abbreviations'!$A$2:$A$52,0))</f>
        <v>Oregon</v>
      </c>
      <c r="K90" s="94" t="e">
        <f t="shared" ca="1" si="2"/>
        <v>#NAME?</v>
      </c>
      <c r="L90" s="13">
        <f t="shared" ca="1" si="5"/>
        <v>16</v>
      </c>
      <c r="M90" s="13" t="str">
        <f ca="1">IFERROR(__xludf.DUMMYFUNCTION("IF(AND(L90&gt;3,I90&lt;&gt;""AL"",I90&lt;&gt;""AK"",I90&lt;&gt;""AZ"",I90&lt;&gt;""AR"",I90&lt;&gt;""CA"",I90&lt;&gt;""CO"",I90&lt;&gt;""CT"",I90&lt;&gt;""DE"",I90&lt;&gt;""DC"",I90&lt;&gt;""FL"",I90&lt;&gt;""GA"",I90&lt;&gt;""HI"",I90&lt;&gt;""ID"",I90&lt;&gt;""IL"",I90&lt;&gt;""IN"",I90&lt;&gt;""IA"",I90&lt;&gt;""KS"",I90&lt;&gt;""KY"",I90&lt;&gt;""LA"",I90&lt;&gt;""ME"",I9"&amp;"0&lt;&gt;""MD"",I90&lt;&gt;""MA"",I90&lt;&gt;""MI"",I90&lt;&gt;""MN"",I90&lt;&gt;""MS"",I90&lt;&gt;""MO"",I90&lt;&gt;""MT"",I90&lt;&gt;""NE"",I90&lt;&gt;""NV"",I90&lt;&gt;""NH"",I90&lt;&gt;""NJ"",I90&lt;&gt;""NM"",I90&lt;&gt;""NY"",I90&lt;&gt;""NC"",I90&lt;&gt;""ND"",I90&lt;&gt;""OH"",I90&lt;&gt;""OK"",I90&lt;&gt;""OR"",I90&lt;&gt;""PA"",I90&lt;&gt;""RI"",I90&lt;&gt;""SC"",I90&lt;&gt;"&amp;"""SD"",I90&lt;&gt;""TN"",I90&lt;&gt;""TX"",I90&lt;&gt;""UT"",I90&lt;&gt;""VT"",I90&lt;&gt;""VA"",I90&lt;&gt;""WA"",I90&lt;&gt;""WV"",I90&lt;&gt;""WI"",I90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StateInternational'!$G$2:$G$121&lt;&gt;"""")},2,0)),IF(L90=10"&amp;",ArrayFormula(VLOOKUP(QUERY(UNIQUE(RANDBETWEEN(ROW(INDIRECT(""A1:A""&amp;COUNTA('Leaving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90" s="13">
        <f t="shared" ca="1" si="7"/>
        <v>10</v>
      </c>
      <c r="O90" s="13" t="b">
        <f>ISNUMBER(MATCH(C90,'Top 250 HS'!C:C,0))</f>
        <v>0</v>
      </c>
      <c r="P90" s="13" t="str">
        <f ca="1">IFERROR(__xludf.DUMMYFUNCTION("SORTN(FILTER('Top 250 HS'!B:B,'Top 250 HS'!C:C=I90),1,0,randarray(COUNTA(FILTER('Top 250 HS'!B:B,'Top 250 HS'!C:C=I90)),1),TRUE)"),"Churchill (Eugene)")</f>
        <v>Churchill (Eugene)</v>
      </c>
      <c r="Q90" s="13" t="b">
        <f>ISNUMBER(MATCH("*"&amp;E90&amp;"*",'Top 1500 HS LatitudeLongitude'!G:G,0))</f>
        <v>0</v>
      </c>
      <c r="R90" s="13" t="str">
        <f ca="1">IFERROR(__xludf.DUMMYFUNCTION("IFS(L90=10,"""",Q90=false,"""",N90=5,"""",Q90=true,SORTN(FILTER('Top 1500 HS LatitudeLongitude'!B:B,'Top 1500 HS LatitudeLongitude'!C:C=I90,'Top 1500 HS LatitudeLongitude'!E:E=H90),1,0,randarray(COUNTA(FILTER('Top 1500 HS LatitudeLongitude'!B:B,'Top 1500 "&amp;"HS LatitudeLongitude'!C:C=I90,'Top 1500 HS LatitudeLongitude'!E:E=H90)),1),TRUE)
)"),"")</f>
        <v/>
      </c>
      <c r="S90" s="13" t="b">
        <f>ISNUMBER(MATCH("*"&amp;H:H&amp;"*",'Public Schools'!C:C,0))</f>
        <v>1</v>
      </c>
      <c r="T90" s="13" t="str">
        <f ca="1">IFERROR(__xludf.DUMMYFUNCTION("IFERROR(IF(AND(R90="""",S90=true), SORTN(FILTER('Public Schools'!A:A,'Public Schools'!B:B=J90,'Public Schools'!C:C=H90),1,0,randarray(COUNTA(FILTER('Public Schools'!A:A,'Public Schools'!B:B=J90,'Public Schools'!C:C=H90)),1),TRUE),""""),"""")"),"Crescent Valley High School")</f>
        <v>Crescent Valley High School</v>
      </c>
      <c r="U90" s="23" t="str">
        <f t="array" aca="1" ref="U90" ca="1">IF(AND(R90="",T90=""),INDEX('Top 1500 HS LatitudeLongitude'!B$2:B$1501,MATCH(MIN(SQRT(('Top 1500 HS LatitudeLongitude'!H$2:H$1501-F90)^2+('Top 1500 HS LatitudeLongitude'!I$2:I$1501-G90)^2)),SQRT( ('Top 1500 HS LatitudeLongitude'!H$2:H$1501-F90)^2+('Top 1500 HS LatitudeLongitude'!I$2:I$1501-G90)^2),0),1),"")</f>
        <v/>
      </c>
    </row>
    <row r="91" spans="2:21" ht="15.6">
      <c r="B91" s="8">
        <v>0.34582273959999998</v>
      </c>
      <c r="C91" s="9" t="s">
        <v>311</v>
      </c>
      <c r="D91" s="9" t="s">
        <v>312</v>
      </c>
      <c r="E91" s="37" t="s">
        <v>2811</v>
      </c>
      <c r="F91" s="8">
        <v>39.959000000000003</v>
      </c>
      <c r="G91" s="8">
        <v>-85.968000000000004</v>
      </c>
      <c r="H91" s="3" t="str">
        <f t="shared" si="0"/>
        <v>Trakai</v>
      </c>
      <c r="I91" s="3" t="str">
        <f t="shared" si="1"/>
        <v>Lithuania</v>
      </c>
      <c r="J91" s="3" t="e">
        <f t="array" ref="J91">INDEX('State Abbreviations'!$B$2:$B$52,MATCH(I91,'State Abbreviations'!$A$2:$A$52,0))</f>
        <v>#N/A</v>
      </c>
      <c r="K91" s="96" t="e">
        <f t="shared" ca="1" si="2"/>
        <v>#NAME?</v>
      </c>
      <c r="L91" s="13">
        <f t="shared" ca="1" si="5"/>
        <v>9</v>
      </c>
      <c r="M91" s="36" t="str">
        <f ca="1">IFERROR(__xludf.DUMMYFUNCTION("IF(AND(L91&gt;3,I91&lt;&gt;""AL"",I91&lt;&gt;""AK"",I91&lt;&gt;""AZ"",I91&lt;&gt;""AR"",I91&lt;&gt;""CA"",I91&lt;&gt;""CO"",I91&lt;&gt;""CT"",I91&lt;&gt;""DE"",I91&lt;&gt;""DC"",I91&lt;&gt;""FL"",I91&lt;&gt;""GA"",I91&lt;&gt;""HI"",I91&lt;&gt;""ID"",I91&lt;&gt;""IL"",I91&lt;&gt;""IN"",I91&lt;&gt;""IA"",I91&lt;&gt;""KS"",I91&lt;&gt;""KY"",I91&lt;&gt;""LA"",I91&lt;&gt;""ME"",I9"&amp;"1&lt;&gt;""MD"",I91&lt;&gt;""MA"",I91&lt;&gt;""MI"",I91&lt;&gt;""MN"",I91&lt;&gt;""MS"",I91&lt;&gt;""MO"",I91&lt;&gt;""MT"",I91&lt;&gt;""NE"",I91&lt;&gt;""NV"",I91&lt;&gt;""NH"",I91&lt;&gt;""NJ"",I91&lt;&gt;""NM"",I91&lt;&gt;""NY"",I91&lt;&gt;""NC"",I91&lt;&gt;""ND"",I91&lt;&gt;""OH"",I91&lt;&gt;""OK"",I91&lt;&gt;""OR"",I91&lt;&gt;""PA"",I91&lt;&gt;""RI"",I91&lt;&gt;""SC"",I91&lt;&gt;"&amp;"""SD"",I91&lt;&gt;""TN"",I91&lt;&gt;""TX"",I91&lt;&gt;""UT"",I91&lt;&gt;""VT"",I91&lt;&gt;""VA"",I91&lt;&gt;""WA"",I91&lt;&gt;""WV"",I91&lt;&gt;""WI"",I91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StateInternational'!$G$2:$G$121&lt;&gt;"""")},2,0)),IF(L91=10"&amp;",ArrayFormula(VLOOKUP(QUERY(UNIQUE(RANDBETWEEN(ROW(INDIRECT(""A1:A""&amp;COUNTA('Leaving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StateInternational'!$G$2:$G$121&lt;&gt;"""")},2,0)),""""))"),"Etiwanda")</f>
        <v>Etiwanda</v>
      </c>
      <c r="N91" s="13">
        <f t="shared" ca="1" si="7"/>
        <v>9</v>
      </c>
      <c r="O91" s="13" t="b">
        <f>ISNUMBER(MATCH(C91,'Top 250 HS'!C:C,0))</f>
        <v>0</v>
      </c>
      <c r="P91" s="13" t="str">
        <f ca="1">IFERROR(__xludf.DUMMYFUNCTION("SORTN(FILTER('Top 250 HS'!B:B,'Top 250 HS'!C:C=I91),1,0,randarray(COUNTA(FILTER('Top 250 HS'!B:B,'Top 250 HS'!C:C=I91)),1),TRUE)"),"#N/A")</f>
        <v>#N/A</v>
      </c>
      <c r="Q91" s="13" t="b">
        <f>ISNUMBER(MATCH("*"&amp;E91&amp;"*",'Top 1500 HS LatitudeLongitude'!G:G,0))</f>
        <v>0</v>
      </c>
      <c r="R91" s="13" t="str">
        <f ca="1">IFERROR(__xludf.DUMMYFUNCTION("IFS(L91=10,"""",Q91=false,"""",N91=5,"""",Q91=true,SORTN(FILTER('Top 1500 HS LatitudeLongitude'!B:B,'Top 1500 HS LatitudeLongitude'!C:C=I91,'Top 1500 HS LatitudeLongitude'!E:E=H91),1,0,randarray(COUNTA(FILTER('Top 1500 HS LatitudeLongitude'!B:B,'Top 1500 "&amp;"HS LatitudeLongitude'!C:C=I91,'Top 1500 HS LatitudeLongitude'!E:E=H91)),1),TRUE)
)"),"")</f>
        <v/>
      </c>
      <c r="S91" s="13" t="b">
        <f>ISNUMBER(MATCH("*"&amp;H:H&amp;"*",'Public Schools'!C:C,0))</f>
        <v>0</v>
      </c>
      <c r="T91" s="13" t="str">
        <f ca="1">IFERROR(__xludf.DUMMYFUNCTION("IFERROR(IF(AND(R91="""",S91=true), SORTN(FILTER('Public Schools'!A:A,'Public Schools'!B:B=J91,'Public Schools'!C:C=H91),1,0,randarray(COUNTA(FILTER('Public Schools'!A:A,'Public Schools'!B:B=J91,'Public Schools'!C:C=H91)),1),TRUE),""""),"""")"),"")</f>
        <v/>
      </c>
      <c r="U91" s="23" t="str">
        <f t="array" aca="1" ref="U91" ca="1">IF(AND(R91="",T91=""),INDEX('Top 1500 HS LatitudeLongitude'!B$2:B$1501,MATCH(MIN(SQRT(('Top 1500 HS LatitudeLongitude'!H$2:H$1501-F91)^2+('Top 1500 HS LatitudeLongitude'!I$2:I$1501-G91)^2)),SQRT( ('Top 1500 HS LatitudeLongitude'!H$2:H$1501-F91)^2+('Top 1500 HS LatitudeLongitude'!I$2:I$1501-G91)^2),0),1),"")</f>
        <v>Fishers</v>
      </c>
    </row>
    <row r="92" spans="2:21" ht="15.6">
      <c r="B92" s="8">
        <v>0.15640288690000001</v>
      </c>
      <c r="C92" s="9" t="s">
        <v>238</v>
      </c>
      <c r="D92" s="9" t="s">
        <v>313</v>
      </c>
      <c r="E92" s="98" t="s">
        <v>2855</v>
      </c>
      <c r="F92" s="8">
        <v>38.904699999999998</v>
      </c>
      <c r="G92" s="8">
        <v>-77.016300000000001</v>
      </c>
      <c r="H92" s="3" t="str">
        <f t="shared" si="0"/>
        <v>Utica</v>
      </c>
      <c r="I92" s="3" t="str">
        <f t="shared" si="1"/>
        <v>NY</v>
      </c>
      <c r="J92" s="3" t="str">
        <f t="array" ref="J92">INDEX('State Abbreviations'!$B$2:$B$52,MATCH(I92,'State Abbreviations'!$A$2:$A$52,0))</f>
        <v>New York</v>
      </c>
      <c r="K92" s="94" t="e">
        <f t="shared" ca="1" si="2"/>
        <v>#NAME?</v>
      </c>
      <c r="L92" s="13">
        <f t="shared" ref="L92:L151" ca="1" si="8">RANDBETWEEN(1,25)</f>
        <v>24</v>
      </c>
      <c r="M92" s="13" t="str">
        <f ca="1">IFERROR(__xludf.DUMMYFUNCTION("IF(AND(L92&gt;3,I92&lt;&gt;""AL"",I92&lt;&gt;""AK"",I92&lt;&gt;""AZ"",I92&lt;&gt;""AR"",I92&lt;&gt;""CA"",I92&lt;&gt;""CO"",I92&lt;&gt;""CT"",I92&lt;&gt;""DE"",I92&lt;&gt;""DC"",I92&lt;&gt;""FL"",I92&lt;&gt;""GA"",I92&lt;&gt;""HI"",I92&lt;&gt;""ID"",I92&lt;&gt;""IL"",I92&lt;&gt;""IN"",I92&lt;&gt;""IA"",I92&lt;&gt;""KS"",I92&lt;&gt;""KY"",I92&lt;&gt;""LA"",I92&lt;&gt;""ME"",I9"&amp;"2&lt;&gt;""MD"",I92&lt;&gt;""MA"",I92&lt;&gt;""MI"",I92&lt;&gt;""MN"",I92&lt;&gt;""MS"",I92&lt;&gt;""MO"",I92&lt;&gt;""MT"",I92&lt;&gt;""NE"",I92&lt;&gt;""NV"",I92&lt;&gt;""NH"",I92&lt;&gt;""NJ"",I92&lt;&gt;""NM"",I92&lt;&gt;""NY"",I92&lt;&gt;""NC"",I92&lt;&gt;""ND"",I92&lt;&gt;""OH"",I92&lt;&gt;""OK"",I92&lt;&gt;""OR"",I92&lt;&gt;""PA"",I92&lt;&gt;""RI"",I92&lt;&gt;""SC"",I92&lt;&gt;"&amp;"""SD"",I92&lt;&gt;""TN"",I92&lt;&gt;""TX"",I92&lt;&gt;""UT"",I92&lt;&gt;""VT"",I92&lt;&gt;""VA"",I92&lt;&gt;""WA"",I92&lt;&gt;""WV"",I92&lt;&gt;""WI"",I92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StateInternational'!$G$2:$G$121&lt;&gt;"""")},2,0)),IF(L92=10"&amp;",ArrayFormula(VLOOKUP(QUERY(UNIQUE(RANDBETWEEN(ROW(INDIRECT(""A1:A""&amp;COUNTA('Leaving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92" s="13">
        <f t="shared" ca="1" si="7"/>
        <v>4</v>
      </c>
      <c r="O92" s="13" t="b">
        <f>ISNUMBER(MATCH(C92,'Top 250 HS'!C:C,0))</f>
        <v>0</v>
      </c>
      <c r="P92" s="13" t="str">
        <f ca="1">IFERROR(__xludf.DUMMYFUNCTION("SORTN(FILTER('Top 250 HS'!B:B,'Top 250 HS'!C:C=I92),1,0,randarray(COUNTA(FILTER('Top 250 HS'!B:B,'Top 250 HS'!C:C=I92)),1),TRUE)"),"Long Island Lutheran (Brookville)")</f>
        <v>Long Island Lutheran (Brookville)</v>
      </c>
      <c r="Q92" s="13" t="b">
        <f>ISNUMBER(MATCH("*"&amp;E92&amp;"*",'Top 1500 HS LatitudeLongitude'!G:G,0))</f>
        <v>0</v>
      </c>
      <c r="R92" s="13" t="str">
        <f ca="1">IFERROR(__xludf.DUMMYFUNCTION("IFS(L92=10,"""",Q92=false,"""",N92=5,"""",Q92=true,SORTN(FILTER('Top 1500 HS LatitudeLongitude'!B:B,'Top 1500 HS LatitudeLongitude'!C:C=I92,'Top 1500 HS LatitudeLongitude'!E:E=H92),1,0,randarray(COUNTA(FILTER('Top 1500 HS LatitudeLongitude'!B:B,'Top 1500 "&amp;"HS LatitudeLongitude'!C:C=I92,'Top 1500 HS LatitudeLongitude'!E:E=H92)),1),TRUE)
)"),"")</f>
        <v/>
      </c>
      <c r="S92" s="13" t="b">
        <f>ISNUMBER(MATCH("*"&amp;H:H&amp;"*",'Public Schools'!C:C,0))</f>
        <v>1</v>
      </c>
      <c r="T92" s="13" t="str">
        <f ca="1">IFERROR(__xludf.DUMMYFUNCTION("IFERROR(IF(AND(R92="""",S92=true), SORTN(FILTER('Public Schools'!A:A,'Public Schools'!B:B=J92,'Public Schools'!C:C=H92),1,0,randarray(COUNTA(FILTER('Public Schools'!A:A,'Public Schools'!B:B=J92,'Public Schools'!C:C=H92)),1),TRUE),""""),"""")"),"Thomas R Proctor High School")</f>
        <v>Thomas R Proctor High School</v>
      </c>
      <c r="U92" s="23" t="str">
        <f t="array" aca="1" ref="U92" ca="1">IF(AND(R92="",T92=""),INDEX('Top 1500 HS LatitudeLongitude'!B$2:B$1501,MATCH(MIN(SQRT(('Top 1500 HS LatitudeLongitude'!H$2:H$1501-F92)^2+('Top 1500 HS LatitudeLongitude'!I$2:I$1501-G92)^2)),SQRT( ('Top 1500 HS LatitudeLongitude'!H$2:H$1501-F92)^2+('Top 1500 HS LatitudeLongitude'!I$2:I$1501-G92)^2),0),1),"")</f>
        <v/>
      </c>
    </row>
    <row r="93" spans="2:21" ht="15.6">
      <c r="B93" s="8">
        <v>0.53298130499999996</v>
      </c>
      <c r="C93" s="9" t="s">
        <v>314</v>
      </c>
      <c r="D93" s="9" t="s">
        <v>315</v>
      </c>
      <c r="E93" s="37" t="s">
        <v>204</v>
      </c>
      <c r="F93" s="8">
        <v>48.215499999999999</v>
      </c>
      <c r="G93" s="8">
        <v>-114.3262</v>
      </c>
      <c r="H93" s="3" t="str">
        <f t="shared" si="0"/>
        <v>Las Vegas</v>
      </c>
      <c r="I93" s="3" t="str">
        <f t="shared" si="1"/>
        <v>NV</v>
      </c>
      <c r="J93" s="3" t="str">
        <f t="array" ref="J93">INDEX('State Abbreviations'!$B$2:$B$52,MATCH(I93,'State Abbreviations'!$A$2:$A$52,0))</f>
        <v>Nevada</v>
      </c>
      <c r="K93" s="94" t="e">
        <f t="shared" ca="1" si="2"/>
        <v>#NAME?</v>
      </c>
      <c r="L93" s="13">
        <f t="shared" ca="1" si="8"/>
        <v>8</v>
      </c>
      <c r="M93" s="13" t="str">
        <f ca="1">IFERROR(__xludf.DUMMYFUNCTION("IF(AND(L93&gt;3,I93&lt;&gt;""AL"",I93&lt;&gt;""AK"",I93&lt;&gt;""AZ"",I93&lt;&gt;""AR"",I93&lt;&gt;""CA"",I93&lt;&gt;""CO"",I93&lt;&gt;""CT"",I93&lt;&gt;""DE"",I93&lt;&gt;""DC"",I93&lt;&gt;""FL"",I93&lt;&gt;""GA"",I93&lt;&gt;""HI"",I93&lt;&gt;""ID"",I93&lt;&gt;""IL"",I93&lt;&gt;""IN"",I93&lt;&gt;""IA"",I93&lt;&gt;""KS"",I93&lt;&gt;""KY"",I93&lt;&gt;""LA"",I93&lt;&gt;""ME"",I9"&amp;"3&lt;&gt;""MD"",I93&lt;&gt;""MA"",I93&lt;&gt;""MI"",I93&lt;&gt;""MN"",I93&lt;&gt;""MS"",I93&lt;&gt;""MO"",I93&lt;&gt;""MT"",I93&lt;&gt;""NE"",I93&lt;&gt;""NV"",I93&lt;&gt;""NH"",I93&lt;&gt;""NJ"",I93&lt;&gt;""NM"",I93&lt;&gt;""NY"",I93&lt;&gt;""NC"",I93&lt;&gt;""ND"",I93&lt;&gt;""OH"",I93&lt;&gt;""OK"",I93&lt;&gt;""OR"",I93&lt;&gt;""PA"",I93&lt;&gt;""RI"",I93&lt;&gt;""SC"",I93&lt;&gt;"&amp;"""SD"",I93&lt;&gt;""TN"",I93&lt;&gt;""TX"",I93&lt;&gt;""UT"",I93&lt;&gt;""VT"",I93&lt;&gt;""VA"",I93&lt;&gt;""WA"",I93&lt;&gt;""WV"",I93&lt;&gt;""WI"",I93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StateInternational'!$G$2:$G$121&lt;&gt;"""")},2,0)),IF(L93=10"&amp;",ArrayFormula(VLOOKUP(QUERY(UNIQUE(RANDBETWEEN(ROW(INDIRECT(""A1:A""&amp;COUNTA('Leaving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93" s="13">
        <f t="shared" ca="1" si="7"/>
        <v>4</v>
      </c>
      <c r="O93" s="13" t="b">
        <f>ISNUMBER(MATCH(C93,'Top 250 HS'!C:C,0))</f>
        <v>0</v>
      </c>
      <c r="P93" s="13" t="str">
        <f ca="1">IFERROR(__xludf.DUMMYFUNCTION("SORTN(FILTER('Top 250 HS'!B:B,'Top 250 HS'!C:C=I93),1,0,randarray(COUNTA(FILTER('Top 250 HS'!B:B,'Top 250 HS'!C:C=I93)),1),TRUE)"),"Bishop Gorman (Las Vegas)")</f>
        <v>Bishop Gorman (Las Vegas)</v>
      </c>
      <c r="Q93" s="13" t="b">
        <f>ISNUMBER(MATCH("*"&amp;E93&amp;"*",'Top 1500 HS LatitudeLongitude'!G:G,0))</f>
        <v>1</v>
      </c>
      <c r="R93" s="13" t="str">
        <f ca="1">IFERROR(__xludf.DUMMYFUNCTION("IFS(L93=10,"""",Q93=false,"""",N93=5,"""",Q93=true,SORTN(FILTER('Top 1500 HS LatitudeLongitude'!B:B,'Top 1500 HS LatitudeLongitude'!C:C=I93,'Top 1500 HS LatitudeLongitude'!E:E=H93),1,0,randarray(COUNTA(FILTER('Top 1500 HS LatitudeLongitude'!B:B,'Top 1500 "&amp;"HS LatitudeLongitude'!C:C=I93,'Top 1500 HS LatitudeLongitude'!E:E=H93)),1),TRUE)
)"),"Desert Pines (Las Vegas)")</f>
        <v>Desert Pines (Las Vegas)</v>
      </c>
      <c r="S93" s="13" t="b">
        <f>ISNUMBER(MATCH("*"&amp;H:H&amp;"*",'Public Schools'!C:C,0))</f>
        <v>1</v>
      </c>
      <c r="T93" s="13" t="str">
        <f ca="1">IFERROR(__xludf.DUMMYFUNCTION("IFERROR(IF(AND(R93="""",S93=true), SORTN(FILTER('Public Schools'!A:A,'Public Schools'!B:B=J93,'Public Schools'!C:C=H93),1,0,randarray(COUNTA(FILTER('Public Schools'!A:A,'Public Schools'!B:B=J93,'Public Schools'!C:C=H93)),1),TRUE),""""),"""")"),"")</f>
        <v/>
      </c>
      <c r="U93" s="23" t="str">
        <f t="array" aca="1" ref="U93" ca="1">IF(AND(R93="",T93=""),INDEX('Top 1500 HS LatitudeLongitude'!B$2:B$1501,MATCH(MIN(SQRT(('Top 1500 HS LatitudeLongitude'!H$2:H$1501-F93)^2+('Top 1500 HS LatitudeLongitude'!I$2:I$1501-G93)^2)),SQRT( ('Top 1500 HS LatitudeLongitude'!H$2:H$1501-F93)^2+('Top 1500 HS LatitudeLongitude'!I$2:I$1501-G93)^2),0),1),"")</f>
        <v/>
      </c>
    </row>
    <row r="94" spans="2:21" ht="15.6">
      <c r="B94" s="8">
        <v>0.39277894019999998</v>
      </c>
      <c r="C94" s="9" t="s">
        <v>316</v>
      </c>
      <c r="D94" s="9" t="s">
        <v>317</v>
      </c>
      <c r="E94" s="98" t="s">
        <v>2937</v>
      </c>
      <c r="F94" s="8">
        <v>30.4422</v>
      </c>
      <c r="G94" s="8">
        <v>-91.131399999999999</v>
      </c>
      <c r="H94" s="3" t="str">
        <f t="shared" si="0"/>
        <v>Ogden</v>
      </c>
      <c r="I94" s="3" t="str">
        <f t="shared" si="1"/>
        <v>UT</v>
      </c>
      <c r="J94" s="3" t="str">
        <f t="array" ref="J94">INDEX('State Abbreviations'!$B$2:$B$52,MATCH(I94,'State Abbreviations'!$A$2:$A$52,0))</f>
        <v>Utah</v>
      </c>
      <c r="K94" s="94" t="e">
        <f t="shared" ca="1" si="2"/>
        <v>#NAME?</v>
      </c>
      <c r="L94" s="13">
        <f t="shared" ca="1" si="8"/>
        <v>7</v>
      </c>
      <c r="M94" s="13" t="str">
        <f ca="1">IFERROR(__xludf.DUMMYFUNCTION("IF(AND(L94&gt;3,I94&lt;&gt;""AL"",I94&lt;&gt;""AK"",I94&lt;&gt;""AZ"",I94&lt;&gt;""AR"",I94&lt;&gt;""CA"",I94&lt;&gt;""CO"",I94&lt;&gt;""CT"",I94&lt;&gt;""DE"",I94&lt;&gt;""DC"",I94&lt;&gt;""FL"",I94&lt;&gt;""GA"",I94&lt;&gt;""HI"",I94&lt;&gt;""ID"",I94&lt;&gt;""IL"",I94&lt;&gt;""IN"",I94&lt;&gt;""IA"",I94&lt;&gt;""KS"",I94&lt;&gt;""KY"",I94&lt;&gt;""LA"",I94&lt;&gt;""ME"",I9"&amp;"4&lt;&gt;""MD"",I94&lt;&gt;""MA"",I94&lt;&gt;""MI"",I94&lt;&gt;""MN"",I94&lt;&gt;""MS"",I94&lt;&gt;""MO"",I94&lt;&gt;""MT"",I94&lt;&gt;""NE"",I94&lt;&gt;""NV"",I94&lt;&gt;""NH"",I94&lt;&gt;""NJ"",I94&lt;&gt;""NM"",I94&lt;&gt;""NY"",I94&lt;&gt;""NC"",I94&lt;&gt;""ND"",I94&lt;&gt;""OH"",I94&lt;&gt;""OK"",I94&lt;&gt;""OR"",I94&lt;&gt;""PA"",I94&lt;&gt;""RI"",I94&lt;&gt;""SC"",I94&lt;&gt;"&amp;"""SD"",I94&lt;&gt;""TN"",I94&lt;&gt;""TX"",I94&lt;&gt;""UT"",I94&lt;&gt;""VT"",I94&lt;&gt;""VA"",I94&lt;&gt;""WA"",I94&lt;&gt;""WV"",I94&lt;&gt;""WI"",I94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StateInternational'!$G$2:$G$121&lt;&gt;"""")},2,0)),IF(L94=10"&amp;",ArrayFormula(VLOOKUP(QUERY(UNIQUE(RANDBETWEEN(ROW(INDIRECT(""A1:A""&amp;COUNTA('Leaving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94" s="13">
        <f t="shared" ca="1" si="7"/>
        <v>6</v>
      </c>
      <c r="O94" s="13" t="b">
        <f>ISNUMBER(MATCH(C94,'Top 250 HS'!C:C,0))</f>
        <v>0</v>
      </c>
      <c r="P94" s="13" t="str">
        <f ca="1">IFERROR(__xludf.DUMMYFUNCTION("SORTN(FILTER('Top 250 HS'!B:B,'Top 250 HS'!C:C=I94),1,0,randarray(COUNTA(FILTER('Top 250 HS'!B:B,'Top 250 HS'!C:C=I94)),1),TRUE)"),"Fremont (Plain City)")</f>
        <v>Fremont (Plain City)</v>
      </c>
      <c r="Q94" s="13" t="b">
        <f>ISNUMBER(MATCH("*"&amp;E94&amp;"*",'Top 1500 HS LatitudeLongitude'!G:G,0))</f>
        <v>0</v>
      </c>
      <c r="R94" s="13" t="str">
        <f ca="1">IFERROR(__xludf.DUMMYFUNCTION("IFS(L94=10,"""",Q94=false,"""",N94=5,"""",Q94=true,SORTN(FILTER('Top 1500 HS LatitudeLongitude'!B:B,'Top 1500 HS LatitudeLongitude'!C:C=I94,'Top 1500 HS LatitudeLongitude'!E:E=H94),1,0,randarray(COUNTA(FILTER('Top 1500 HS LatitudeLongitude'!B:B,'Top 1500 "&amp;"HS LatitudeLongitude'!C:C=I94,'Top 1500 HS LatitudeLongitude'!E:E=H94)),1),TRUE)
)"),"")</f>
        <v/>
      </c>
      <c r="S94" s="13" t="b">
        <f>ISNUMBER(MATCH("*"&amp;H:H&amp;"*",'Public Schools'!C:C,0))</f>
        <v>1</v>
      </c>
      <c r="T94" s="13" t="str">
        <f ca="1">IFERROR(__xludf.DUMMYFUNCTION("IFERROR(IF(AND(R94="""",S94=true), SORTN(FILTER('Public Schools'!A:A,'Public Schools'!B:B=J94,'Public Schools'!C:C=H94),1,0,randarray(COUNTA(FILTER('Public Schools'!A:A,'Public Schools'!B:B=J94,'Public Schools'!C:C=H94)),1),TRUE),""""),"""")"),"Ben Lomond High School")</f>
        <v>Ben Lomond High School</v>
      </c>
      <c r="U94" s="23" t="str">
        <f t="array" aca="1" ref="U94" ca="1">IF(AND(R94="",T94=""),INDEX('Top 1500 HS LatitudeLongitude'!B$2:B$1501,MATCH(MIN(SQRT(('Top 1500 HS LatitudeLongitude'!H$2:H$1501-F94)^2+('Top 1500 HS LatitudeLongitude'!I$2:I$1501-G94)^2)),SQRT( ('Top 1500 HS LatitudeLongitude'!H$2:H$1501-F94)^2+('Top 1500 HS LatitudeLongitude'!I$2:I$1501-G94)^2),0),1),"")</f>
        <v/>
      </c>
    </row>
    <row r="95" spans="2:21" ht="15.6">
      <c r="B95" s="8">
        <v>0.13781778619999999</v>
      </c>
      <c r="C95" s="9" t="s">
        <v>238</v>
      </c>
      <c r="D95" s="9" t="s">
        <v>318</v>
      </c>
      <c r="E95" s="37" t="s">
        <v>2966</v>
      </c>
      <c r="F95" s="8">
        <v>39.920200000000001</v>
      </c>
      <c r="G95" s="8">
        <v>-104.94450000000001</v>
      </c>
      <c r="H95" s="3" t="str">
        <f t="shared" si="0"/>
        <v>Flushing</v>
      </c>
      <c r="I95" s="3" t="str">
        <f t="shared" si="1"/>
        <v>NY</v>
      </c>
      <c r="J95" s="3" t="str">
        <f t="array" ref="J95">INDEX('State Abbreviations'!$B$2:$B$52,MATCH(I95,'State Abbreviations'!$A$2:$A$52,0))</f>
        <v>New York</v>
      </c>
      <c r="K95" s="94" t="e">
        <f t="shared" ca="1" si="2"/>
        <v>#NAME?</v>
      </c>
      <c r="L95" s="13">
        <f t="shared" ca="1" si="8"/>
        <v>13</v>
      </c>
      <c r="M95" s="13" t="str">
        <f ca="1">IFERROR(__xludf.DUMMYFUNCTION("IF(AND(L95&gt;3,I95&lt;&gt;""AL"",I95&lt;&gt;""AK"",I95&lt;&gt;""AZ"",I95&lt;&gt;""AR"",I95&lt;&gt;""CA"",I95&lt;&gt;""CO"",I95&lt;&gt;""CT"",I95&lt;&gt;""DE"",I95&lt;&gt;""DC"",I95&lt;&gt;""FL"",I95&lt;&gt;""GA"",I95&lt;&gt;""HI"",I95&lt;&gt;""ID"",I95&lt;&gt;""IL"",I95&lt;&gt;""IN"",I95&lt;&gt;""IA"",I95&lt;&gt;""KS"",I95&lt;&gt;""KY"",I95&lt;&gt;""LA"",I95&lt;&gt;""ME"",I9"&amp;"5&lt;&gt;""MD"",I95&lt;&gt;""MA"",I95&lt;&gt;""MI"",I95&lt;&gt;""MN"",I95&lt;&gt;""MS"",I95&lt;&gt;""MO"",I95&lt;&gt;""MT"",I95&lt;&gt;""NE"",I95&lt;&gt;""NV"",I95&lt;&gt;""NH"",I95&lt;&gt;""NJ"",I95&lt;&gt;""NM"",I95&lt;&gt;""NY"",I95&lt;&gt;""NC"",I95&lt;&gt;""ND"",I95&lt;&gt;""OH"",I95&lt;&gt;""OK"",I95&lt;&gt;""OR"",I95&lt;&gt;""PA"",I95&lt;&gt;""RI"",I95&lt;&gt;""SC"",I95&lt;&gt;"&amp;"""SD"",I95&lt;&gt;""TN"",I95&lt;&gt;""TX"",I95&lt;&gt;""UT"",I95&lt;&gt;""VT"",I95&lt;&gt;""VA"",I95&lt;&gt;""WA"",I95&lt;&gt;""WV"",I95&lt;&gt;""WI"",I95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StateInternational'!$G$2:$G$121&lt;&gt;"""")},2,0)),IF(L95=10"&amp;",ArrayFormula(VLOOKUP(QUERY(UNIQUE(RANDBETWEEN(ROW(INDIRECT(""A1:A""&amp;COUNTA('Leaving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95" s="13">
        <f t="shared" ca="1" si="7"/>
        <v>5</v>
      </c>
      <c r="O95" s="13" t="b">
        <f>ISNUMBER(MATCH(C95,'Top 250 HS'!C:C,0))</f>
        <v>0</v>
      </c>
      <c r="P95" s="13" t="str">
        <f ca="1">IFERROR(__xludf.DUMMYFUNCTION("SORTN(FILTER('Top 250 HS'!B:B,'Top 250 HS'!C:C=I95),1,0,randarray(COUNTA(FILTER('Top 250 HS'!B:B,'Top 250 HS'!C:C=I95)),1),TRUE)"),"Long Island Lutheran (Brookville)")</f>
        <v>Long Island Lutheran (Brookville)</v>
      </c>
      <c r="Q95" s="13" t="b">
        <f>ISNUMBER(MATCH("*"&amp;E95&amp;"*",'Top 1500 HS LatitudeLongitude'!G:G,0))</f>
        <v>1</v>
      </c>
      <c r="R95" s="13" t="str">
        <f ca="1">IFERROR(__xludf.DUMMYFUNCTION("IFS(L95=10,"""",Q95=false,"""",N95=5,"""",Q95=true,SORTN(FILTER('Top 1500 HS LatitudeLongitude'!B:B,'Top 1500 HS LatitudeLongitude'!C:C=I95,'Top 1500 HS LatitudeLongitude'!E:E=H95),1,0,randarray(COUNTA(FILTER('Top 1500 HS LatitudeLongitude'!B:B,'Top 1500 "&amp;"HS LatitudeLongitude'!C:C=I95,'Top 1500 HS LatitudeLongitude'!E:E=H95)),1),TRUE)
)"),"St. Francis Prep (Fresh Meadows)")</f>
        <v>St. Francis Prep (Fresh Meadows)</v>
      </c>
      <c r="S95" s="13" t="b">
        <f>ISNUMBER(MATCH("*"&amp;H:H&amp;"*",'Public Schools'!C:C,0))</f>
        <v>1</v>
      </c>
      <c r="T95" s="13" t="str">
        <f ca="1">IFERROR(__xludf.DUMMYFUNCTION("IFERROR(IF(AND(R95="""",S95=true), SORTN(FILTER('Public Schools'!A:A,'Public Schools'!B:B=J95,'Public Schools'!C:C=H95),1,0,randarray(COUNTA(FILTER('Public Schools'!A:A,'Public Schools'!B:B=J95,'Public Schools'!C:C=H95)),1),TRUE),""""),"""")"),"")</f>
        <v/>
      </c>
      <c r="U95" s="23" t="str">
        <f t="array" aca="1" ref="U95" ca="1">IF(AND(R95="",T95=""),INDEX('Top 1500 HS LatitudeLongitude'!B$2:B$1501,MATCH(MIN(SQRT(('Top 1500 HS LatitudeLongitude'!H$2:H$1501-F95)^2+('Top 1500 HS LatitudeLongitude'!I$2:I$1501-G95)^2)),SQRT( ('Top 1500 HS LatitudeLongitude'!H$2:H$1501-F95)^2+('Top 1500 HS LatitudeLongitude'!I$2:I$1501-G95)^2),0),1),"")</f>
        <v/>
      </c>
    </row>
    <row r="96" spans="2:21" ht="15.6">
      <c r="B96" s="8">
        <v>0.61484203790000003</v>
      </c>
      <c r="C96" s="9" t="s">
        <v>47</v>
      </c>
      <c r="D96" s="9" t="s">
        <v>319</v>
      </c>
      <c r="E96" s="98" t="s">
        <v>3003</v>
      </c>
      <c r="F96" s="8">
        <v>40.923900000000003</v>
      </c>
      <c r="G96" s="8">
        <v>-74.3035</v>
      </c>
      <c r="H96" s="3" t="str">
        <f t="shared" si="0"/>
        <v>Taft</v>
      </c>
      <c r="I96" s="3" t="str">
        <f t="shared" si="1"/>
        <v>CA</v>
      </c>
      <c r="J96" s="3" t="str">
        <f t="array" ref="J96">INDEX('State Abbreviations'!$B$2:$B$52,MATCH(I96,'State Abbreviations'!$A$2:$A$52,0))</f>
        <v>California</v>
      </c>
      <c r="K96" s="94" t="e">
        <f t="shared" ca="1" si="2"/>
        <v>#NAME?</v>
      </c>
      <c r="L96" s="13">
        <f t="shared" ca="1" si="8"/>
        <v>4</v>
      </c>
      <c r="M96" s="13" t="str">
        <f ca="1">IFERROR(__xludf.DUMMYFUNCTION("IF(AND(L96&gt;3,I96&lt;&gt;""AL"",I96&lt;&gt;""AK"",I96&lt;&gt;""AZ"",I96&lt;&gt;""AR"",I96&lt;&gt;""CA"",I96&lt;&gt;""CO"",I96&lt;&gt;""CT"",I96&lt;&gt;""DE"",I96&lt;&gt;""DC"",I96&lt;&gt;""FL"",I96&lt;&gt;""GA"",I96&lt;&gt;""HI"",I96&lt;&gt;""ID"",I96&lt;&gt;""IL"",I96&lt;&gt;""IN"",I96&lt;&gt;""IA"",I96&lt;&gt;""KS"",I96&lt;&gt;""KY"",I96&lt;&gt;""LA"",I96&lt;&gt;""ME"",I9"&amp;"6&lt;&gt;""MD"",I96&lt;&gt;""MA"",I96&lt;&gt;""MI"",I96&lt;&gt;""MN"",I96&lt;&gt;""MS"",I96&lt;&gt;""MO"",I96&lt;&gt;""MT"",I96&lt;&gt;""NE"",I96&lt;&gt;""NV"",I96&lt;&gt;""NH"",I96&lt;&gt;""NJ"",I96&lt;&gt;""NM"",I96&lt;&gt;""NY"",I96&lt;&gt;""NC"",I96&lt;&gt;""ND"",I96&lt;&gt;""OH"",I96&lt;&gt;""OK"",I96&lt;&gt;""OR"",I96&lt;&gt;""PA"",I96&lt;&gt;""RI"",I96&lt;&gt;""SC"",I96&lt;&gt;"&amp;"""SD"",I96&lt;&gt;""TN"",I96&lt;&gt;""TX"",I96&lt;&gt;""UT"",I96&lt;&gt;""VT"",I96&lt;&gt;""VA"",I96&lt;&gt;""WA"",I96&lt;&gt;""WV"",I96&lt;&gt;""WI"",I96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StateInternational'!$G$2:$G$121&lt;&gt;"""")},2,0)),IF(L96=10"&amp;",ArrayFormula(VLOOKUP(QUERY(UNIQUE(RANDBETWEEN(ROW(INDIRECT(""A1:A""&amp;COUNTA('Leaving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96" s="13">
        <f t="shared" ca="1" si="7"/>
        <v>6</v>
      </c>
      <c r="O96" s="13" t="b">
        <f>ISNUMBER(MATCH(C96,'Top 250 HS'!C:C,0))</f>
        <v>0</v>
      </c>
      <c r="P96" s="13" t="str">
        <f ca="1">IFERROR(__xludf.DUMMYFUNCTION("SORTN(FILTER('Top 250 HS'!B:B,'Top 250 HS'!C:C=I96),1,0,randarray(COUNTA(FILTER('Top 250 HS'!B:B,'Top 250 HS'!C:C=I96)),1),TRUE)"),"Renaissance Academy (Altadena)")</f>
        <v>Renaissance Academy (Altadena)</v>
      </c>
      <c r="Q96" s="13" t="b">
        <f>ISNUMBER(MATCH("*"&amp;E96&amp;"*",'Top 1500 HS LatitudeLongitude'!G:G,0))</f>
        <v>0</v>
      </c>
      <c r="R96" s="13" t="str">
        <f ca="1">IFERROR(__xludf.DUMMYFUNCTION("IFS(L96=10,"""",Q96=false,"""",N96=5,"""",Q96=true,SORTN(FILTER('Top 1500 HS LatitudeLongitude'!B:B,'Top 1500 HS LatitudeLongitude'!C:C=I96,'Top 1500 HS LatitudeLongitude'!E:E=H96),1,0,randarray(COUNTA(FILTER('Top 1500 HS LatitudeLongitude'!B:B,'Top 1500 "&amp;"HS LatitudeLongitude'!C:C=I96,'Top 1500 HS LatitudeLongitude'!E:E=H96)),1),TRUE)
)"),"")</f>
        <v/>
      </c>
      <c r="S96" s="13" t="b">
        <f>ISNUMBER(MATCH("*"&amp;H:H&amp;"*",'Public Schools'!C:C,0))</f>
        <v>1</v>
      </c>
      <c r="T96" s="13" t="str">
        <f ca="1">IFERROR(__xludf.DUMMYFUNCTION("IFERROR(IF(AND(R96="""",S96=true), SORTN(FILTER('Public Schools'!A:A,'Public Schools'!B:B=J96,'Public Schools'!C:C=H96),1,0,randarray(COUNTA(FILTER('Public Schools'!A:A,'Public Schools'!B:B=J96,'Public Schools'!C:C=H96)),1),TRUE),""""),"""")"),"Taft Union High School")</f>
        <v>Taft Union High School</v>
      </c>
      <c r="U96" s="23" t="str">
        <f t="array" aca="1" ref="U96" ca="1">IF(AND(R96="",T96=""),INDEX('Top 1500 HS LatitudeLongitude'!B$2:B$1501,MATCH(MIN(SQRT(('Top 1500 HS LatitudeLongitude'!H$2:H$1501-F96)^2+('Top 1500 HS LatitudeLongitude'!I$2:I$1501-G96)^2)),SQRT( ('Top 1500 HS LatitudeLongitude'!H$2:H$1501-F96)^2+('Top 1500 HS LatitudeLongitude'!I$2:I$1501-G96)^2),0),1),"")</f>
        <v/>
      </c>
    </row>
    <row r="97" spans="2:21" ht="15.6">
      <c r="B97" s="8">
        <v>0.60551571110000002</v>
      </c>
      <c r="C97" s="9" t="s">
        <v>320</v>
      </c>
      <c r="D97" s="9" t="s">
        <v>321</v>
      </c>
      <c r="E97" s="37" t="s">
        <v>3042</v>
      </c>
      <c r="F97" s="8">
        <v>39.390300000000003</v>
      </c>
      <c r="G97" s="8">
        <v>-75.056100000000001</v>
      </c>
      <c r="H97" s="3" t="str">
        <f t="shared" si="0"/>
        <v>Grand Junction</v>
      </c>
      <c r="I97" s="3" t="str">
        <f t="shared" si="1"/>
        <v>CO</v>
      </c>
      <c r="J97" s="3" t="str">
        <f t="array" ref="J97">INDEX('State Abbreviations'!$B$2:$B$52,MATCH(I97,'State Abbreviations'!$A$2:$A$52,0))</f>
        <v>Colorado</v>
      </c>
      <c r="K97" s="94" t="e">
        <f t="shared" ca="1" si="2"/>
        <v>#NAME?</v>
      </c>
      <c r="L97" s="13">
        <f t="shared" ca="1" si="8"/>
        <v>1</v>
      </c>
      <c r="M97" s="13" t="str">
        <f ca="1">IFERROR(__xludf.DUMMYFUNCTION("IF(AND(L97&gt;3,I97&lt;&gt;""AL"",I97&lt;&gt;""AK"",I97&lt;&gt;""AZ"",I97&lt;&gt;""AR"",I97&lt;&gt;""CA"",I97&lt;&gt;""CO"",I97&lt;&gt;""CT"",I97&lt;&gt;""DE"",I97&lt;&gt;""DC"",I97&lt;&gt;""FL"",I97&lt;&gt;""GA"",I97&lt;&gt;""HI"",I97&lt;&gt;""ID"",I97&lt;&gt;""IL"",I97&lt;&gt;""IN"",I97&lt;&gt;""IA"",I97&lt;&gt;""KS"",I97&lt;&gt;""KY"",I97&lt;&gt;""LA"",I97&lt;&gt;""ME"",I9"&amp;"7&lt;&gt;""MD"",I97&lt;&gt;""MA"",I97&lt;&gt;""MI"",I97&lt;&gt;""MN"",I97&lt;&gt;""MS"",I97&lt;&gt;""MO"",I97&lt;&gt;""MT"",I97&lt;&gt;""NE"",I97&lt;&gt;""NV"",I97&lt;&gt;""NH"",I97&lt;&gt;""NJ"",I97&lt;&gt;""NM"",I97&lt;&gt;""NY"",I97&lt;&gt;""NC"",I97&lt;&gt;""ND"",I97&lt;&gt;""OH"",I97&lt;&gt;""OK"",I97&lt;&gt;""OR"",I97&lt;&gt;""PA"",I97&lt;&gt;""RI"",I97&lt;&gt;""SC"",I97&lt;&gt;"&amp;"""SD"",I97&lt;&gt;""TN"",I97&lt;&gt;""TX"",I97&lt;&gt;""UT"",I97&lt;&gt;""VT"",I97&lt;&gt;""VA"",I97&lt;&gt;""WA"",I97&lt;&gt;""WV"",I97&lt;&gt;""WI"",I97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StateInternational'!$G$2:$G$121&lt;&gt;"""")},2,0)),IF(L97=10"&amp;",ArrayFormula(VLOOKUP(QUERY(UNIQUE(RANDBETWEEN(ROW(INDIRECT(""A1:A""&amp;COUNTA('Leaving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97" s="13">
        <f t="shared" ca="1" si="7"/>
        <v>1</v>
      </c>
      <c r="O97" s="13" t="b">
        <f>ISNUMBER(MATCH(C97,'Top 250 HS'!C:C,0))</f>
        <v>0</v>
      </c>
      <c r="P97" s="13" t="str">
        <f ca="1">IFERROR(__xludf.DUMMYFUNCTION("SORTN(FILTER('Top 250 HS'!B:B,'Top 250 HS'!C:C=I97),1,0,randarray(COUNTA(FILTER('Top 250 HS'!B:B,'Top 250 HS'!C:C=I97)),1),TRUE)"),"#N/A")</f>
        <v>#N/A</v>
      </c>
      <c r="Q97" s="13" t="b">
        <f>ISNUMBER(MATCH("*"&amp;E97&amp;"*",'Top 1500 HS LatitudeLongitude'!G:G,0))</f>
        <v>0</v>
      </c>
      <c r="R97" s="13" t="str">
        <f ca="1">IFERROR(__xludf.DUMMYFUNCTION("IFS(L97=10,"""",Q97=false,"""",N97=5,"""",Q97=true,SORTN(FILTER('Top 1500 HS LatitudeLongitude'!B:B,'Top 1500 HS LatitudeLongitude'!C:C=I97,'Top 1500 HS LatitudeLongitude'!E:E=H97),1,0,randarray(COUNTA(FILTER('Top 1500 HS LatitudeLongitude'!B:B,'Top 1500 "&amp;"HS LatitudeLongitude'!C:C=I97,'Top 1500 HS LatitudeLongitude'!E:E=H97)),1),TRUE)
)"),"")</f>
        <v/>
      </c>
      <c r="S97" s="13" t="b">
        <f>ISNUMBER(MATCH("*"&amp;H:H&amp;"*",'Public Schools'!C:C,0))</f>
        <v>1</v>
      </c>
      <c r="T97" s="13" t="str">
        <f ca="1">IFERROR(__xludf.DUMMYFUNCTION("IFERROR(IF(AND(R97="""",S97=true), SORTN(FILTER('Public Schools'!A:A,'Public Schools'!B:B=J97,'Public Schools'!C:C=H97),1,0,randarray(COUNTA(FILTER('Public Schools'!A:A,'Public Schools'!B:B=J97,'Public Schools'!C:C=H97)),1),TRUE),""""),"""")"),"Central High School")</f>
        <v>Central High School</v>
      </c>
      <c r="U97" s="23" t="str">
        <f t="array" aca="1" ref="U97" ca="1">IF(AND(R97="",T97=""),INDEX('Top 1500 HS LatitudeLongitude'!B$2:B$1501,MATCH(MIN(SQRT(('Top 1500 HS LatitudeLongitude'!H$2:H$1501-F97)^2+('Top 1500 HS LatitudeLongitude'!I$2:I$1501-G97)^2)),SQRT( ('Top 1500 HS LatitudeLongitude'!H$2:H$1501-F97)^2+('Top 1500 HS LatitudeLongitude'!I$2:I$1501-G97)^2),0),1),"")</f>
        <v/>
      </c>
    </row>
    <row r="98" spans="2:21" ht="15.6">
      <c r="B98" s="8">
        <v>0.67055362019999998</v>
      </c>
      <c r="C98" s="9" t="s">
        <v>219</v>
      </c>
      <c r="D98" s="9" t="s">
        <v>322</v>
      </c>
      <c r="E98" s="98" t="s">
        <v>3073</v>
      </c>
      <c r="F98" s="8">
        <v>40.850099999999998</v>
      </c>
      <c r="G98" s="8">
        <v>-73.866200000000006</v>
      </c>
      <c r="H98" s="3" t="str">
        <f t="shared" si="0"/>
        <v>Waconia</v>
      </c>
      <c r="I98" s="3" t="str">
        <f t="shared" si="1"/>
        <v>MN</v>
      </c>
      <c r="J98" s="3" t="str">
        <f t="array" ref="J98">INDEX('State Abbreviations'!$B$2:$B$52,MATCH(I98,'State Abbreviations'!$A$2:$A$52,0))</f>
        <v>Minnesota</v>
      </c>
      <c r="K98" s="94" t="e">
        <f t="shared" ca="1" si="2"/>
        <v>#NAME?</v>
      </c>
      <c r="L98" s="13">
        <f t="shared" ca="1" si="8"/>
        <v>11</v>
      </c>
      <c r="M98" s="13" t="str">
        <f ca="1">IFERROR(__xludf.DUMMYFUNCTION("IF(AND(L98&gt;3,I98&lt;&gt;""AL"",I98&lt;&gt;""AK"",I98&lt;&gt;""AZ"",I98&lt;&gt;""AR"",I98&lt;&gt;""CA"",I98&lt;&gt;""CO"",I98&lt;&gt;""CT"",I98&lt;&gt;""DE"",I98&lt;&gt;""DC"",I98&lt;&gt;""FL"",I98&lt;&gt;""GA"",I98&lt;&gt;""HI"",I98&lt;&gt;""ID"",I98&lt;&gt;""IL"",I98&lt;&gt;""IN"",I98&lt;&gt;""IA"",I98&lt;&gt;""KS"",I98&lt;&gt;""KY"",I98&lt;&gt;""LA"",I98&lt;&gt;""ME"",I9"&amp;"8&lt;&gt;""MD"",I98&lt;&gt;""MA"",I98&lt;&gt;""MI"",I98&lt;&gt;""MN"",I98&lt;&gt;""MS"",I98&lt;&gt;""MO"",I98&lt;&gt;""MT"",I98&lt;&gt;""NE"",I98&lt;&gt;""NV"",I98&lt;&gt;""NH"",I98&lt;&gt;""NJ"",I98&lt;&gt;""NM"",I98&lt;&gt;""NY"",I98&lt;&gt;""NC"",I98&lt;&gt;""ND"",I98&lt;&gt;""OH"",I98&lt;&gt;""OK"",I98&lt;&gt;""OR"",I98&lt;&gt;""PA"",I98&lt;&gt;""RI"",I98&lt;&gt;""SC"",I98&lt;&gt;"&amp;"""SD"",I98&lt;&gt;""TN"",I98&lt;&gt;""TX"",I98&lt;&gt;""UT"",I98&lt;&gt;""VT"",I98&lt;&gt;""VA"",I98&lt;&gt;""WA"",I98&lt;&gt;""WV"",I98&lt;&gt;""WI"",I98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StateInternational'!$G$2:$G$121&lt;&gt;"""")},2,0)),IF(L98=10"&amp;",ArrayFormula(VLOOKUP(QUERY(UNIQUE(RANDBETWEEN(ROW(INDIRECT(""A1:A""&amp;COUNTA('Leaving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98" s="13">
        <f t="shared" ca="1" si="7"/>
        <v>6</v>
      </c>
      <c r="O98" s="13" t="b">
        <f>ISNUMBER(MATCH(C98,'Top 250 HS'!C:C,0))</f>
        <v>0</v>
      </c>
      <c r="P98" s="13" t="str">
        <f ca="1">IFERROR(__xludf.DUMMYFUNCTION("SORTN(FILTER('Top 250 HS'!B:B,'Top 250 HS'!C:C=I98),1,0,randarray(COUNTA(FILTER('Top 250 HS'!B:B,'Top 250 HS'!C:C=I98)),1),TRUE)"),"Hopkins (Minnetonka)")</f>
        <v>Hopkins (Minnetonka)</v>
      </c>
      <c r="Q98" s="13" t="b">
        <f>ISNUMBER(MATCH("*"&amp;E98&amp;"*",'Top 1500 HS LatitudeLongitude'!G:G,0))</f>
        <v>1</v>
      </c>
      <c r="R98" s="13" t="str">
        <f ca="1">IFERROR(__xludf.DUMMYFUNCTION("IFS(L98=10,"""",Q98=false,"""",N98=5,"""",Q98=true,SORTN(FILTER('Top 1500 HS LatitudeLongitude'!B:B,'Top 1500 HS LatitudeLongitude'!C:C=I98,'Top 1500 HS LatitudeLongitude'!E:E=H98),1,0,randarray(COUNTA(FILTER('Top 1500 HS LatitudeLongitude'!B:B,'Top 1500 "&amp;"HS LatitudeLongitude'!C:C=I98,'Top 1500 HS LatitudeLongitude'!E:E=H98)),1),TRUE)
)"),"Waconia")</f>
        <v>Waconia</v>
      </c>
      <c r="S98" s="13" t="b">
        <f>ISNUMBER(MATCH("*"&amp;H:H&amp;"*",'Public Schools'!C:C,0))</f>
        <v>1</v>
      </c>
      <c r="T98" s="13" t="str">
        <f ca="1">IFERROR(__xludf.DUMMYFUNCTION("IFERROR(IF(AND(R98="""",S98=true), SORTN(FILTER('Public Schools'!A:A,'Public Schools'!B:B=J98,'Public Schools'!C:C=H98),1,0,randarray(COUNTA(FILTER('Public Schools'!A:A,'Public Schools'!B:B=J98,'Public Schools'!C:C=H98)),1),TRUE),""""),"""")"),"")</f>
        <v/>
      </c>
      <c r="U98" s="23" t="str">
        <f t="array" aca="1" ref="U98" ca="1">IF(AND(R98="",T98=""),INDEX('Top 1500 HS LatitudeLongitude'!B$2:B$1501,MATCH(MIN(SQRT(('Top 1500 HS LatitudeLongitude'!H$2:H$1501-F98)^2+('Top 1500 HS LatitudeLongitude'!I$2:I$1501-G98)^2)),SQRT( ('Top 1500 HS LatitudeLongitude'!H$2:H$1501-F98)^2+('Top 1500 HS LatitudeLongitude'!I$2:I$1501-G98)^2),0),1),"")</f>
        <v/>
      </c>
    </row>
    <row r="99" spans="2:21" ht="15.6">
      <c r="B99" s="8">
        <v>0.56156123449999995</v>
      </c>
      <c r="C99" s="9" t="s">
        <v>47</v>
      </c>
      <c r="D99" s="9" t="s">
        <v>323</v>
      </c>
      <c r="E99" s="37" t="s">
        <v>3103</v>
      </c>
      <c r="F99" s="8">
        <v>35.927100000000003</v>
      </c>
      <c r="G99" s="8">
        <v>-79.038700000000006</v>
      </c>
      <c r="H99" s="3" t="str">
        <f t="shared" si="0"/>
        <v>Los Angeles</v>
      </c>
      <c r="I99" s="3" t="str">
        <f t="shared" si="1"/>
        <v>CA</v>
      </c>
      <c r="J99" s="3" t="str">
        <f t="array" ref="J99">INDEX('State Abbreviations'!$B$2:$B$52,MATCH(I99,'State Abbreviations'!$A$2:$A$52,0))</f>
        <v>California</v>
      </c>
      <c r="K99" s="94" t="e">
        <f t="shared" ca="1" si="2"/>
        <v>#NAME?</v>
      </c>
      <c r="L99" s="13">
        <f t="shared" ca="1" si="8"/>
        <v>20</v>
      </c>
      <c r="M99" s="13" t="str">
        <f ca="1">IFERROR(__xludf.DUMMYFUNCTION("IF(AND(L99&gt;3,I99&lt;&gt;""AL"",I99&lt;&gt;""AK"",I99&lt;&gt;""AZ"",I99&lt;&gt;""AR"",I99&lt;&gt;""CA"",I99&lt;&gt;""CO"",I99&lt;&gt;""CT"",I99&lt;&gt;""DE"",I99&lt;&gt;""DC"",I99&lt;&gt;""FL"",I99&lt;&gt;""GA"",I99&lt;&gt;""HI"",I99&lt;&gt;""ID"",I99&lt;&gt;""IL"",I99&lt;&gt;""IN"",I99&lt;&gt;""IA"",I99&lt;&gt;""KS"",I99&lt;&gt;""KY"",I99&lt;&gt;""LA"",I99&lt;&gt;""ME"",I9"&amp;"9&lt;&gt;""MD"",I99&lt;&gt;""MA"",I99&lt;&gt;""MI"",I99&lt;&gt;""MN"",I99&lt;&gt;""MS"",I99&lt;&gt;""MO"",I99&lt;&gt;""MT"",I99&lt;&gt;""NE"",I99&lt;&gt;""NV"",I99&lt;&gt;""NH"",I99&lt;&gt;""NJ"",I99&lt;&gt;""NM"",I99&lt;&gt;""NY"",I99&lt;&gt;""NC"",I99&lt;&gt;""ND"",I99&lt;&gt;""OH"",I99&lt;&gt;""OK"",I99&lt;&gt;""OR"",I99&lt;&gt;""PA"",I99&lt;&gt;""RI"",I99&lt;&gt;""SC"",I99&lt;&gt;"&amp;"""SD"",I99&lt;&gt;""TN"",I99&lt;&gt;""TX"",I99&lt;&gt;""UT"",I99&lt;&gt;""VT"",I99&lt;&gt;""VA"",I99&lt;&gt;""WA"",I99&lt;&gt;""WV"",I99&lt;&gt;""WI"",I99&lt;&gt;""WY""),ArrayFormula(VLOOKUP(QUERY(UNIQUE(RANDBETWEEN(ROW(INDIRECT(""A1:A""&amp;COUNTA('Leaving the StateInternational'!$G$2:$G$121)*10))^0,COUNTA('Lea"&amp;"ving the StateInternational'!$G$2:$G$121))),""limit 1""),{ROW(INDIRECT(""A1:A""&amp;COUNTA('Leaving the StateInternational'!$G$2:$G$121))),FILTER('Leaving the StateInternational'!$G$2:$G$121,'Leaving the StateInternational'!$G$2:$G$121&lt;&gt;"""")},2,0)),IF(L99=10"&amp;",ArrayFormula(VLOOKUP(QUERY(UNIQUE(RANDBETWEEN(ROW(INDIRECT(""A1:A""&amp;COUNTA('Leaving the StateInternational'!$G$2:$G$121)*10))^0,COUNTA('Leaving the StateInternational'!$G$2:$G$121))),""limit 1""),{ROW(INDIRECT(""A1:A""&amp;COUNTA('Leaving the StateInternatio"&amp;"nal'!$G$2:$G$121))),FILTER('Leaving the StateInternational'!$G$2:$G$121,'Leaving the StateInternational'!$G$2:$G$121&lt;&gt;"""")},2,0)),""""))"),"")</f>
        <v/>
      </c>
      <c r="N99" s="13">
        <f t="shared" ca="1" si="7"/>
        <v>6</v>
      </c>
      <c r="O99" s="13" t="b">
        <f>ISNUMBER(MATCH(C99,'Top 250 HS'!C:C,0))</f>
        <v>0</v>
      </c>
      <c r="P99" s="13" t="str">
        <f ca="1">IFERROR(__xludf.DUMMYFUNCTION("SORTN(FILTER('Top 250 HS'!B:B,'Top 250 HS'!C:C=I99),1,0,randarray(COUNTA(FILTER('Top 250 HS'!B:B,'Top 250 HS'!C:C=I99)),1),TRUE)"),"Campolindo (Moraga)")</f>
        <v>Campolindo (Moraga)</v>
      </c>
      <c r="Q99" s="13" t="b">
        <f>ISNUMBER(MATCH("*"&amp;E99&amp;"*",'Top 1500 HS LatitudeLongitude'!G:G,0))</f>
        <v>1</v>
      </c>
      <c r="R99" s="13" t="str">
        <f ca="1">IFERROR(__xludf.DUMMYFUNCTION("IFS(L99=10,"""",Q99=false,"""",N99=5,"""",Q99=true,SORTN(FILTER('Top 1500 HS LatitudeLongitude'!B:B,'Top 1500 HS LatitudeLongitude'!C:C=I99,'Top 1500 HS LatitudeLongitude'!E:E=H99),1,0,randarray(COUNTA(FILTER('Top 1500 HS LatitudeLongitude'!B:B,'Top 1500 "&amp;"HS LatitudeLongitude'!C:C=I99,'Top 1500 HS LatitudeLongitude'!E:E=H99)),1),TRUE)
)"),"Windward (Los Angeles)")</f>
        <v>Windward (Los Angeles)</v>
      </c>
      <c r="S99" s="13" t="b">
        <f>ISNUMBER(MATCH("*"&amp;H:H&amp;"*",'Public Schools'!C:C,0))</f>
        <v>1</v>
      </c>
      <c r="T99" s="13" t="str">
        <f ca="1">IFERROR(__xludf.DUMMYFUNCTION("IFERROR(IF(AND(R99="""",S99=true), SORTN(FILTER('Public Schools'!A:A,'Public Schools'!B:B=J99,'Public Schools'!C:C=H99),1,0,randarray(COUNTA(FILTER('Public Schools'!A:A,'Public Schools'!B:B=J99,'Public Schools'!C:C=H99)),1),TRUE),""""),"""")"),"")</f>
        <v/>
      </c>
      <c r="U99" s="23" t="str">
        <f t="array" aca="1" ref="U99" ca="1">IF(AND(R99="",T99=""),INDEX('Top 1500 HS LatitudeLongitude'!B$2:B$1501,MATCH(MIN(SQRT(('Top 1500 HS LatitudeLongitude'!H$2:H$1501-F99)^2+('Top 1500 HS LatitudeLongitude'!I$2:I$1501-G99)^2)),SQRT( ('Top 1500 HS LatitudeLongitude'!H$2:H$1501-F99)^2+('Top 1500 HS LatitudeLongitude'!I$2:I$1501-G99)^2),0),1),"")</f>
        <v/>
      </c>
    </row>
    <row r="100" spans="2:21" ht="15.6">
      <c r="B100" s="8">
        <v>0.54937385090000002</v>
      </c>
      <c r="C100" s="9" t="s">
        <v>306</v>
      </c>
      <c r="D100" s="9" t="s">
        <v>324</v>
      </c>
      <c r="E100" s="98" t="s">
        <v>3141</v>
      </c>
      <c r="F100" s="8">
        <v>36.095999999999997</v>
      </c>
      <c r="G100" s="8">
        <v>-79.827500000000001</v>
      </c>
      <c r="H100" s="3" t="str">
        <f t="shared" si="0"/>
        <v>Searcy</v>
      </c>
      <c r="I100" s="3" t="str">
        <f t="shared" si="1"/>
        <v>AR</v>
      </c>
      <c r="J100" s="3" t="str">
        <f t="array" ref="J100">INDEX('State Abbreviations'!$B$2:$B$52,MATCH(I100,'State Abbreviations'!$A$2:$A$52,0))</f>
        <v>Arkansas</v>
      </c>
      <c r="K100" s="94" t="e">
        <f t="shared" ca="1" si="2"/>
        <v>#NAME?</v>
      </c>
      <c r="L100" s="13">
        <f t="shared" ca="1" si="8"/>
        <v>20</v>
      </c>
      <c r="M100" s="13" t="str">
        <f ca="1">IFERROR(__xludf.DUMMYFUNCTION("IF(AND(L100&gt;3,I100&lt;&gt;""AL"",I100&lt;&gt;""AK"",I100&lt;&gt;""AZ"",I100&lt;&gt;""AR"",I100&lt;&gt;""CA"",I100&lt;&gt;""CO"",I100&lt;&gt;""CT"",I100&lt;&gt;""DE"",I100&lt;&gt;""DC"",I100&lt;&gt;""FL"",I100&lt;&gt;""GA"",I100&lt;&gt;""HI"",I100&lt;&gt;""ID"",I100&lt;&gt;""IL"",I100&lt;&gt;""IN"",I100&lt;&gt;""IA"",I100&lt;&gt;""KS"",I100&lt;&gt;""KY"",I100&lt;&gt;"&amp;"""LA"",I100&lt;&gt;""ME"",I100&lt;&gt;""MD"",I100&lt;&gt;""MA"",I100&lt;&gt;""MI"",I100&lt;&gt;""MN"",I100&lt;&gt;""MS"",I100&lt;&gt;""MO"",I100&lt;&gt;""MT"",I100&lt;&gt;""NE"",I100&lt;&gt;""NV"",I100&lt;&gt;""NH"",I100&lt;&gt;""NJ"",I100&lt;&gt;""NM"",I100&lt;&gt;""NY"",I100&lt;&gt;""NC"",I100&lt;&gt;""ND"",I100&lt;&gt;""OH"",I100&lt;&gt;""OK"",I100&lt;&gt;""OR"",I"&amp;"100&lt;&gt;""PA"",I100&lt;&gt;""RI"",I100&lt;&gt;""SC"",I100&lt;&gt;""SD"",I100&lt;&gt;""TN"",I100&lt;&gt;""TX"",I100&lt;&gt;""UT"",I100&lt;&gt;""VT"",I100&lt;&gt;""VA"",I100&lt;&gt;""WA"",I100&lt;&gt;""WV"",I100&lt;&gt;""WI"",I100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00" s="13">
        <f t="shared" ca="1" si="7"/>
        <v>8</v>
      </c>
      <c r="O100" s="13" t="b">
        <f>ISNUMBER(MATCH(C100,'Top 250 HS'!C:C,0))</f>
        <v>0</v>
      </c>
      <c r="P100" s="13" t="str">
        <f ca="1">IFERROR(__xludf.DUMMYFUNCTION("SORTN(FILTER('Top 250 HS'!B:B,'Top 250 HS'!C:C=I100),1,0,randarray(COUNTA(FILTER('Top 250 HS'!B:B,'Top 250 HS'!C:C=I100)),1),TRUE)"),"Jacksonville")</f>
        <v>Jacksonville</v>
      </c>
      <c r="Q100" s="13" t="b">
        <f>ISNUMBER(MATCH("*"&amp;E100&amp;"*",'Top 1500 HS LatitudeLongitude'!G:G,0))</f>
        <v>0</v>
      </c>
      <c r="R100" s="13" t="str">
        <f ca="1">IFERROR(__xludf.DUMMYFUNCTION("IFS(L100=10,"""",Q100=false,"""",N100=5,"""",Q100=true,SORTN(FILTER('Top 1500 HS LatitudeLongitude'!B:B,'Top 1500 HS LatitudeLongitude'!C:C=I100,'Top 1500 HS LatitudeLongitude'!E:E=H100),1,0,randarray(COUNTA(FILTER('Top 1500 HS LatitudeLongitude'!B:B,'Top"&amp;" 1500 HS LatitudeLongitude'!C:C=I100,'Top 1500 HS LatitudeLongitude'!E:E=H100)),1),TRUE)
)"),"")</f>
        <v/>
      </c>
      <c r="S100" s="13" t="b">
        <f>ISNUMBER(MATCH("*"&amp;H:H&amp;"*",'Public Schools'!C:C,0))</f>
        <v>1</v>
      </c>
      <c r="T100" s="13" t="str">
        <f ca="1">IFERROR(__xludf.DUMMYFUNCTION("IFERROR(IF(AND(R100="""",S100=true), SORTN(FILTER('Public Schools'!A:A,'Public Schools'!B:B=J100,'Public Schools'!C:C=H100),1,0,randarray(COUNTA(FILTER('Public Schools'!A:A,'Public Schools'!B:B=J100,'Public Schools'!C:C=H100)),1),TRUE),""""),"""")"),"Searcy High School")</f>
        <v>Searcy High School</v>
      </c>
      <c r="U100" s="23" t="str">
        <f t="array" aca="1" ref="U100" ca="1">IF(AND(R100="",T100=""),INDEX('Top 1500 HS LatitudeLongitude'!B$2:B$1501,MATCH(MIN(SQRT(('Top 1500 HS LatitudeLongitude'!H$2:H$1501-F100)^2+('Top 1500 HS LatitudeLongitude'!I$2:I$1501-G100)^2)),SQRT( ('Top 1500 HS LatitudeLongitude'!H$2:H$1501-F100)^2+('Top 1500 HS LatitudeLongitude'!I$2:I$1501-G100)^2),0),1),"")</f>
        <v/>
      </c>
    </row>
    <row r="101" spans="2:21" ht="15.6">
      <c r="B101" s="8">
        <v>5.0684788059999999E-2</v>
      </c>
      <c r="C101" s="9" t="s">
        <v>23</v>
      </c>
      <c r="D101" s="9" t="s">
        <v>325</v>
      </c>
      <c r="E101" s="37" t="s">
        <v>3182</v>
      </c>
      <c r="F101" s="8">
        <v>34.113999999999997</v>
      </c>
      <c r="G101" s="8">
        <v>-118.4068</v>
      </c>
      <c r="H101" s="3" t="str">
        <f t="shared" si="0"/>
        <v>Houghton Lake</v>
      </c>
      <c r="I101" s="3" t="str">
        <f t="shared" si="1"/>
        <v>MI</v>
      </c>
      <c r="J101" s="3" t="str">
        <f t="array" ref="J101">INDEX('State Abbreviations'!$B$2:$B$52,MATCH(I101,'State Abbreviations'!$A$2:$A$52,0))</f>
        <v>Michigan</v>
      </c>
      <c r="K101" s="94" t="e">
        <f t="shared" ca="1" si="2"/>
        <v>#NAME?</v>
      </c>
      <c r="L101" s="13">
        <f t="shared" ca="1" si="8"/>
        <v>17</v>
      </c>
      <c r="M101" s="13" t="str">
        <f ca="1">IFERROR(__xludf.DUMMYFUNCTION("IF(AND(L101&gt;3,I101&lt;&gt;""AL"",I101&lt;&gt;""AK"",I101&lt;&gt;""AZ"",I101&lt;&gt;""AR"",I101&lt;&gt;""CA"",I101&lt;&gt;""CO"",I101&lt;&gt;""CT"",I101&lt;&gt;""DE"",I101&lt;&gt;""DC"",I101&lt;&gt;""FL"",I101&lt;&gt;""GA"",I101&lt;&gt;""HI"",I101&lt;&gt;""ID"",I101&lt;&gt;""IL"",I101&lt;&gt;""IN"",I101&lt;&gt;""IA"",I101&lt;&gt;""KS"",I101&lt;&gt;""KY"",I101&lt;&gt;"&amp;"""LA"",I101&lt;&gt;""ME"",I101&lt;&gt;""MD"",I101&lt;&gt;""MA"",I101&lt;&gt;""MI"",I101&lt;&gt;""MN"",I101&lt;&gt;""MS"",I101&lt;&gt;""MO"",I101&lt;&gt;""MT"",I101&lt;&gt;""NE"",I101&lt;&gt;""NV"",I101&lt;&gt;""NH"",I101&lt;&gt;""NJ"",I101&lt;&gt;""NM"",I101&lt;&gt;""NY"",I101&lt;&gt;""NC"",I101&lt;&gt;""ND"",I101&lt;&gt;""OH"",I101&lt;&gt;""OK"",I101&lt;&gt;""OR"",I"&amp;"101&lt;&gt;""PA"",I101&lt;&gt;""RI"",I101&lt;&gt;""SC"",I101&lt;&gt;""SD"",I101&lt;&gt;""TN"",I101&lt;&gt;""TX"",I101&lt;&gt;""UT"",I101&lt;&gt;""VT"",I101&lt;&gt;""VA"",I101&lt;&gt;""WA"",I101&lt;&gt;""WV"",I101&lt;&gt;""WI"",I101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01" s="13">
        <f t="shared" ref="N101:N150" ca="1" si="9">RANDBETWEEN(1,15)</f>
        <v>15</v>
      </c>
      <c r="O101" s="13" t="b">
        <f>ISNUMBER(MATCH(C101,'Top 250 HS'!C:C,0))</f>
        <v>0</v>
      </c>
      <c r="P101" s="13" t="str">
        <f ca="1">IFERROR(__xludf.DUMMYFUNCTION("SORTN(FILTER('Top 250 HS'!B:B,'Top 250 HS'!C:C=I101),1,0,randarray(COUNTA(FILTER('Top 250 HS'!B:B,'Top 250 HS'!C:C=I101)),1),TRUE)"),"Grand Blanc")</f>
        <v>Grand Blanc</v>
      </c>
      <c r="Q101" s="13" t="b">
        <f>ISNUMBER(MATCH("*"&amp;E101&amp;"*",'Top 1500 HS LatitudeLongitude'!G:G,0))</f>
        <v>0</v>
      </c>
      <c r="R101" s="13" t="str">
        <f ca="1">IFERROR(__xludf.DUMMYFUNCTION("IFS(L101=10,"""",Q101=false,"""",N101=5,"""",Q101=true,SORTN(FILTER('Top 1500 HS LatitudeLongitude'!B:B,'Top 1500 HS LatitudeLongitude'!C:C=I101,'Top 1500 HS LatitudeLongitude'!E:E=H101),1,0,randarray(COUNTA(FILTER('Top 1500 HS LatitudeLongitude'!B:B,'Top"&amp;" 1500 HS LatitudeLongitude'!C:C=I101,'Top 1500 HS LatitudeLongitude'!E:E=H101)),1),TRUE)
)"),"")</f>
        <v/>
      </c>
      <c r="S101" s="13" t="b">
        <f>ISNUMBER(MATCH("*"&amp;H:H&amp;"*",'Public Schools'!C:C,0))</f>
        <v>1</v>
      </c>
      <c r="T101" s="13" t="str">
        <f ca="1">IFERROR(__xludf.DUMMYFUNCTION("IFERROR(IF(AND(R101="""",S101=true), SORTN(FILTER('Public Schools'!A:A,'Public Schools'!B:B=J101,'Public Schools'!C:C=H101),1,0,randarray(COUNTA(FILTER('Public Schools'!A:A,'Public Schools'!B:B=J101,'Public Schools'!C:C=H101)),1),TRUE),""""),"""")"),"Houghton Lake High School")</f>
        <v>Houghton Lake High School</v>
      </c>
      <c r="U101" s="23" t="str">
        <f t="array" aca="1" ref="U101" ca="1">IF(AND(R101="",T101=""),INDEX('Top 1500 HS LatitudeLongitude'!B$2:B$1501,MATCH(MIN(SQRT(('Top 1500 HS LatitudeLongitude'!H$2:H$1501-F101)^2+('Top 1500 HS LatitudeLongitude'!I$2:I$1501-G101)^2)),SQRT( ('Top 1500 HS LatitudeLongitude'!H$2:H$1501-F101)^2+('Top 1500 HS LatitudeLongitude'!I$2:I$1501-G101)^2),0),1),"")</f>
        <v/>
      </c>
    </row>
    <row r="102" spans="2:21" ht="15.6">
      <c r="B102" s="8">
        <v>0.84677441379999996</v>
      </c>
      <c r="C102" s="9" t="s">
        <v>238</v>
      </c>
      <c r="D102" s="9" t="s">
        <v>326</v>
      </c>
      <c r="E102" s="98" t="s">
        <v>3228</v>
      </c>
      <c r="F102" s="8">
        <v>29.472200000000001</v>
      </c>
      <c r="G102" s="8">
        <v>-98.524699999999996</v>
      </c>
      <c r="H102" s="3" t="str">
        <f t="shared" si="0"/>
        <v>Brooklyn</v>
      </c>
      <c r="I102" s="3" t="str">
        <f t="shared" si="1"/>
        <v>NY</v>
      </c>
      <c r="J102" s="3" t="str">
        <f t="array" ref="J102">INDEX('State Abbreviations'!$B$2:$B$52,MATCH(I102,'State Abbreviations'!$A$2:$A$52,0))</f>
        <v>New York</v>
      </c>
      <c r="K102" s="94" t="e">
        <f t="shared" ca="1" si="2"/>
        <v>#NAME?</v>
      </c>
      <c r="L102" s="13">
        <f t="shared" ca="1" si="8"/>
        <v>17</v>
      </c>
      <c r="M102" s="13" t="str">
        <f ca="1">IFERROR(__xludf.DUMMYFUNCTION("IF(AND(L102&gt;3,I102&lt;&gt;""AL"",I102&lt;&gt;""AK"",I102&lt;&gt;""AZ"",I102&lt;&gt;""AR"",I102&lt;&gt;""CA"",I102&lt;&gt;""CO"",I102&lt;&gt;""CT"",I102&lt;&gt;""DE"",I102&lt;&gt;""DC"",I102&lt;&gt;""FL"",I102&lt;&gt;""GA"",I102&lt;&gt;""HI"",I102&lt;&gt;""ID"",I102&lt;&gt;""IL"",I102&lt;&gt;""IN"",I102&lt;&gt;""IA"",I102&lt;&gt;""KS"",I102&lt;&gt;""KY"",I102&lt;&gt;"&amp;"""LA"",I102&lt;&gt;""ME"",I102&lt;&gt;""MD"",I102&lt;&gt;""MA"",I102&lt;&gt;""MI"",I102&lt;&gt;""MN"",I102&lt;&gt;""MS"",I102&lt;&gt;""MO"",I102&lt;&gt;""MT"",I102&lt;&gt;""NE"",I102&lt;&gt;""NV"",I102&lt;&gt;""NH"",I102&lt;&gt;""NJ"",I102&lt;&gt;""NM"",I102&lt;&gt;""NY"",I102&lt;&gt;""NC"",I102&lt;&gt;""ND"",I102&lt;&gt;""OH"",I102&lt;&gt;""OK"",I102&lt;&gt;""OR"",I"&amp;"102&lt;&gt;""PA"",I102&lt;&gt;""RI"",I102&lt;&gt;""SC"",I102&lt;&gt;""SD"",I102&lt;&gt;""TN"",I102&lt;&gt;""TX"",I102&lt;&gt;""UT"",I102&lt;&gt;""VT"",I102&lt;&gt;""VA"",I102&lt;&gt;""WA"",I102&lt;&gt;""WV"",I102&lt;&gt;""WI"",I102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02" s="13">
        <f t="shared" ca="1" si="9"/>
        <v>9</v>
      </c>
      <c r="O102" s="13" t="b">
        <f>ISNUMBER(MATCH(C102,'Top 250 HS'!C:C,0))</f>
        <v>0</v>
      </c>
      <c r="P102" s="13" t="str">
        <f ca="1">IFERROR(__xludf.DUMMYFUNCTION("SORTN(FILTER('Top 250 HS'!B:B,'Top 250 HS'!C:C=I102),1,0,randarray(COUNTA(FILTER('Top 250 HS'!B:B,'Top 250 HS'!C:C=I102)),1),TRUE)"),"Mekeel Christian Academy (Schenectady)")</f>
        <v>Mekeel Christian Academy (Schenectady)</v>
      </c>
      <c r="Q102" s="13" t="b">
        <f>ISNUMBER(MATCH("*"&amp;E102&amp;"*",'Top 1500 HS LatitudeLongitude'!G:G,0))</f>
        <v>1</v>
      </c>
      <c r="R102" s="13" t="str">
        <f ca="1">IFERROR(__xludf.DUMMYFUNCTION("IFS(L102=10,"""",Q102=false,"""",N102=5,"""",Q102=true,SORTN(FILTER('Top 1500 HS LatitudeLongitude'!B:B,'Top 1500 HS LatitudeLongitude'!C:C=I102,'Top 1500 HS LatitudeLongitude'!E:E=H102),1,0,randarray(COUNTA(FILTER('Top 1500 HS LatitudeLongitude'!B:B,'Top"&amp;" 1500 HS LatitudeLongitude'!C:C=I102,'Top 1500 HS LatitudeLongitude'!E:E=H102)),1),TRUE)
)"),"South Shore (Brooklyn)")</f>
        <v>South Shore (Brooklyn)</v>
      </c>
      <c r="S102" s="13" t="b">
        <f>ISNUMBER(MATCH("*"&amp;H:H&amp;"*",'Public Schools'!C:C,0))</f>
        <v>1</v>
      </c>
      <c r="T102" s="13" t="str">
        <f ca="1">IFERROR(__xludf.DUMMYFUNCTION("IFERROR(IF(AND(R102="""",S102=true), SORTN(FILTER('Public Schools'!A:A,'Public Schools'!B:B=J102,'Public Schools'!C:C=H102),1,0,randarray(COUNTA(FILTER('Public Schools'!A:A,'Public Schools'!B:B=J102,'Public Schools'!C:C=H102)),1),TRUE),""""),"""")"),"")</f>
        <v/>
      </c>
      <c r="U102" s="23" t="str">
        <f t="array" aca="1" ref="U102" ca="1">IF(AND(R102="",T102=""),INDEX('Top 1500 HS LatitudeLongitude'!B$2:B$1501,MATCH(MIN(SQRT(('Top 1500 HS LatitudeLongitude'!H$2:H$1501-F102)^2+('Top 1500 HS LatitudeLongitude'!I$2:I$1501-G102)^2)),SQRT( ('Top 1500 HS LatitudeLongitude'!H$2:H$1501-F102)^2+('Top 1500 HS LatitudeLongitude'!I$2:I$1501-G102)^2),0),1),"")</f>
        <v/>
      </c>
    </row>
    <row r="103" spans="2:21" ht="15.6">
      <c r="B103" s="8">
        <v>0.44571582170000001</v>
      </c>
      <c r="C103" s="9" t="s">
        <v>238</v>
      </c>
      <c r="D103" s="9" t="s">
        <v>188</v>
      </c>
      <c r="E103" s="37" t="s">
        <v>672</v>
      </c>
      <c r="F103" s="8">
        <v>39.134700000000002</v>
      </c>
      <c r="G103" s="8">
        <v>-77.212999999999994</v>
      </c>
      <c r="H103" s="3" t="str">
        <f t="shared" si="0"/>
        <v>New York</v>
      </c>
      <c r="I103" s="3" t="str">
        <f t="shared" si="1"/>
        <v>NY</v>
      </c>
      <c r="J103" s="3" t="str">
        <f t="array" ref="J103">INDEX('State Abbreviations'!$B$2:$B$52,MATCH(I103,'State Abbreviations'!$A$2:$A$52,0))</f>
        <v>New York</v>
      </c>
      <c r="K103" s="94" t="e">
        <f t="shared" ca="1" si="2"/>
        <v>#NAME?</v>
      </c>
      <c r="L103" s="13">
        <f t="shared" ca="1" si="8"/>
        <v>1</v>
      </c>
      <c r="M103" s="13" t="str">
        <f ca="1">IFERROR(__xludf.DUMMYFUNCTION("IF(AND(L103&gt;3,I103&lt;&gt;""AL"",I103&lt;&gt;""AK"",I103&lt;&gt;""AZ"",I103&lt;&gt;""AR"",I103&lt;&gt;""CA"",I103&lt;&gt;""CO"",I103&lt;&gt;""CT"",I103&lt;&gt;""DE"",I103&lt;&gt;""DC"",I103&lt;&gt;""FL"",I103&lt;&gt;""GA"",I103&lt;&gt;""HI"",I103&lt;&gt;""ID"",I103&lt;&gt;""IL"",I103&lt;&gt;""IN"",I103&lt;&gt;""IA"",I103&lt;&gt;""KS"",I103&lt;&gt;""KY"",I103&lt;&gt;"&amp;"""LA"",I103&lt;&gt;""ME"",I103&lt;&gt;""MD"",I103&lt;&gt;""MA"",I103&lt;&gt;""MI"",I103&lt;&gt;""MN"",I103&lt;&gt;""MS"",I103&lt;&gt;""MO"",I103&lt;&gt;""MT"",I103&lt;&gt;""NE"",I103&lt;&gt;""NV"",I103&lt;&gt;""NH"",I103&lt;&gt;""NJ"",I103&lt;&gt;""NM"",I103&lt;&gt;""NY"",I103&lt;&gt;""NC"",I103&lt;&gt;""ND"",I103&lt;&gt;""OH"",I103&lt;&gt;""OK"",I103&lt;&gt;""OR"",I"&amp;"103&lt;&gt;""PA"",I103&lt;&gt;""RI"",I103&lt;&gt;""SC"",I103&lt;&gt;""SD"",I103&lt;&gt;""TN"",I103&lt;&gt;""TX"",I103&lt;&gt;""UT"",I103&lt;&gt;""VT"",I103&lt;&gt;""VA"",I103&lt;&gt;""WA"",I103&lt;&gt;""WV"",I103&lt;&gt;""WI"",I103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03" s="13">
        <f t="shared" ca="1" si="9"/>
        <v>9</v>
      </c>
      <c r="O103" s="13" t="b">
        <f>ISNUMBER(MATCH(C103,'Top 250 HS'!C:C,0))</f>
        <v>0</v>
      </c>
      <c r="P103" s="13" t="str">
        <f ca="1">IFERROR(__xludf.DUMMYFUNCTION("SORTN(FILTER('Top 250 HS'!B:B,'Top 250 HS'!C:C=I103),1,0,randarray(COUNTA(FILTER('Top 250 HS'!B:B,'Top 250 HS'!C:C=I103)),1),TRUE)"),"Long Island Lutheran (Brookville)")</f>
        <v>Long Island Lutheran (Brookville)</v>
      </c>
      <c r="Q103" s="13" t="b">
        <f>ISNUMBER(MATCH("*"&amp;E103&amp;"*",'Top 1500 HS LatitudeLongitude'!G:G,0))</f>
        <v>0</v>
      </c>
      <c r="R103" s="13" t="str">
        <f ca="1">IFERROR(__xludf.DUMMYFUNCTION("IFS(L103=10,"""",Q103=false,"""",N103=5,"""",Q103=true,SORTN(FILTER('Top 1500 HS LatitudeLongitude'!B:B,'Top 1500 HS LatitudeLongitude'!C:C=I103,'Top 1500 HS LatitudeLongitude'!E:E=H103),1,0,randarray(COUNTA(FILTER('Top 1500 HS LatitudeLongitude'!B:B,'Top"&amp;" 1500 HS LatitudeLongitude'!C:C=I103,'Top 1500 HS LatitudeLongitude'!E:E=H103)),1),TRUE)
)"),"")</f>
        <v/>
      </c>
      <c r="S103" s="13" t="b">
        <f>ISNUMBER(MATCH("*"&amp;H:H&amp;"*",'Public Schools'!C:C,0))</f>
        <v>1</v>
      </c>
      <c r="T103" s="13" t="str">
        <f ca="1">IFERROR(__xludf.DUMMYFUNCTION("IFERROR(IF(AND(R103="""",S103=true), SORTN(FILTER('Public Schools'!A:A,'Public Schools'!B:B=J103,'Public Schools'!C:C=H103),1,0,randarray(COUNTA(FILTER('Public Schools'!A:A,'Public Schools'!B:B=J103,'Public Schools'!C:C=H103)),1),TRUE),""""),"""")"),"Urban Assembly School Of Design And Construction")</f>
        <v>Urban Assembly School Of Design And Construction</v>
      </c>
      <c r="U103" s="23" t="str">
        <f t="array" aca="1" ref="U103" ca="1">IF(AND(R103="",T103=""),INDEX('Top 1500 HS LatitudeLongitude'!B$2:B$1501,MATCH(MIN(SQRT(('Top 1500 HS LatitudeLongitude'!H$2:H$1501-F103)^2+('Top 1500 HS LatitudeLongitude'!I$2:I$1501-G103)^2)),SQRT( ('Top 1500 HS LatitudeLongitude'!H$2:H$1501-F103)^2+('Top 1500 HS LatitudeLongitude'!I$2:I$1501-G103)^2),0),1),"")</f>
        <v/>
      </c>
    </row>
    <row r="104" spans="2:21" ht="15.6">
      <c r="B104" s="8">
        <v>1.6622721869999999E-2</v>
      </c>
      <c r="C104" s="9" t="s">
        <v>262</v>
      </c>
      <c r="D104" s="9" t="s">
        <v>327</v>
      </c>
      <c r="E104" s="98" t="s">
        <v>3318</v>
      </c>
      <c r="F104" s="8">
        <v>31.112400000000001</v>
      </c>
      <c r="G104" s="8">
        <v>-86.046199999999999</v>
      </c>
      <c r="H104" s="3" t="str">
        <f t="shared" si="0"/>
        <v>Athens</v>
      </c>
      <c r="I104" s="3" t="str">
        <f t="shared" si="1"/>
        <v>AL</v>
      </c>
      <c r="J104" s="3" t="str">
        <f t="array" ref="J104">INDEX('State Abbreviations'!$B$2:$B$52,MATCH(I104,'State Abbreviations'!$A$2:$A$52,0))</f>
        <v>Alabama</v>
      </c>
      <c r="K104" s="94" t="e">
        <f t="shared" ca="1" si="2"/>
        <v>#NAME?</v>
      </c>
      <c r="L104" s="13">
        <f t="shared" ca="1" si="8"/>
        <v>8</v>
      </c>
      <c r="M104" s="13" t="str">
        <f ca="1">IFERROR(__xludf.DUMMYFUNCTION("IF(AND(L104&gt;3,I104&lt;&gt;""AL"",I104&lt;&gt;""AK"",I104&lt;&gt;""AZ"",I104&lt;&gt;""AR"",I104&lt;&gt;""CA"",I104&lt;&gt;""CO"",I104&lt;&gt;""CT"",I104&lt;&gt;""DE"",I104&lt;&gt;""DC"",I104&lt;&gt;""FL"",I104&lt;&gt;""GA"",I104&lt;&gt;""HI"",I104&lt;&gt;""ID"",I104&lt;&gt;""IL"",I104&lt;&gt;""IN"",I104&lt;&gt;""IA"",I104&lt;&gt;""KS"",I104&lt;&gt;""KY"",I104&lt;&gt;"&amp;"""LA"",I104&lt;&gt;""ME"",I104&lt;&gt;""MD"",I104&lt;&gt;""MA"",I104&lt;&gt;""MI"",I104&lt;&gt;""MN"",I104&lt;&gt;""MS"",I104&lt;&gt;""MO"",I104&lt;&gt;""MT"",I104&lt;&gt;""NE"",I104&lt;&gt;""NV"",I104&lt;&gt;""NH"",I104&lt;&gt;""NJ"",I104&lt;&gt;""NM"",I104&lt;&gt;""NY"",I104&lt;&gt;""NC"",I104&lt;&gt;""ND"",I104&lt;&gt;""OH"",I104&lt;&gt;""OK"",I104&lt;&gt;""OR"",I"&amp;"104&lt;&gt;""PA"",I104&lt;&gt;""RI"",I104&lt;&gt;""SC"",I104&lt;&gt;""SD"",I104&lt;&gt;""TN"",I104&lt;&gt;""TX"",I104&lt;&gt;""UT"",I104&lt;&gt;""VT"",I104&lt;&gt;""VA"",I104&lt;&gt;""WA"",I104&lt;&gt;""WV"",I104&lt;&gt;""WI"",I104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04" s="13">
        <f t="shared" ca="1" si="9"/>
        <v>1</v>
      </c>
      <c r="O104" s="13" t="b">
        <f>ISNUMBER(MATCH(C104,'Top 250 HS'!C:C,0))</f>
        <v>0</v>
      </c>
      <c r="P104" s="13" t="str">
        <f ca="1">IFERROR(__xludf.DUMMYFUNCTION("SORTN(FILTER('Top 250 HS'!B:B,'Top 250 HS'!C:C=I104),1,0,randarray(COUNTA(FILTER('Top 250 HS'!B:B,'Top 250 HS'!C:C=I104)),1),TRUE)"),"Mountain Brook (Birmingham)")</f>
        <v>Mountain Brook (Birmingham)</v>
      </c>
      <c r="Q104" s="13" t="b">
        <f>ISNUMBER(MATCH("*"&amp;E104&amp;"*",'Top 1500 HS LatitudeLongitude'!G:G,0))</f>
        <v>0</v>
      </c>
      <c r="R104" s="13" t="str">
        <f ca="1">IFERROR(__xludf.DUMMYFUNCTION("IFS(L104=10,"""",Q104=false,"""",N104=5,"""",Q104=true,SORTN(FILTER('Top 1500 HS LatitudeLongitude'!B:B,'Top 1500 HS LatitudeLongitude'!C:C=I104,'Top 1500 HS LatitudeLongitude'!E:E=H104),1,0,randarray(COUNTA(FILTER('Top 1500 HS LatitudeLongitude'!B:B,'Top"&amp;" 1500 HS LatitudeLongitude'!C:C=I104,'Top 1500 HS LatitudeLongitude'!E:E=H104)),1),TRUE)
)"),"")</f>
        <v/>
      </c>
      <c r="S104" s="13" t="b">
        <f>ISNUMBER(MATCH("*"&amp;H:H&amp;"*",'Public Schools'!C:C,0))</f>
        <v>1</v>
      </c>
      <c r="T104" s="13" t="str">
        <f ca="1">IFERROR(__xludf.DUMMYFUNCTION("IFERROR(IF(AND(R104="""",S104=true), SORTN(FILTER('Public Schools'!A:A,'Public Schools'!B:B=J104,'Public Schools'!C:C=H104),1,0,randarray(COUNTA(FILTER('Public Schools'!A:A,'Public Schools'!B:B=J104,'Public Schools'!C:C=H104)),1),TRUE),""""),"""")"),"East Limestone High School")</f>
        <v>East Limestone High School</v>
      </c>
      <c r="U104" s="23" t="str">
        <f t="array" aca="1" ref="U104" ca="1">IF(AND(R104="",T104=""),INDEX('Top 1500 HS LatitudeLongitude'!B$2:B$1501,MATCH(MIN(SQRT(('Top 1500 HS LatitudeLongitude'!H$2:H$1501-F104)^2+('Top 1500 HS LatitudeLongitude'!I$2:I$1501-G104)^2)),SQRT( ('Top 1500 HS LatitudeLongitude'!H$2:H$1501-F104)^2+('Top 1500 HS LatitudeLongitude'!I$2:I$1501-G104)^2),0),1),"")</f>
        <v/>
      </c>
    </row>
    <row r="105" spans="2:21" ht="15.6">
      <c r="B105" s="8">
        <v>0.252880353</v>
      </c>
      <c r="C105" s="9" t="s">
        <v>254</v>
      </c>
      <c r="D105" s="9" t="s">
        <v>268</v>
      </c>
      <c r="E105" s="37" t="s">
        <v>1261</v>
      </c>
      <c r="F105" s="8">
        <v>33.915300000000002</v>
      </c>
      <c r="G105" s="8">
        <v>-84.8416</v>
      </c>
      <c r="H105" s="3" t="str">
        <f t="shared" si="0"/>
        <v>Chicago</v>
      </c>
      <c r="I105" s="3" t="str">
        <f t="shared" si="1"/>
        <v>IL</v>
      </c>
      <c r="J105" s="3" t="str">
        <f t="array" ref="J105">INDEX('State Abbreviations'!$B$2:$B$52,MATCH(I105,'State Abbreviations'!$A$2:$A$52,0))</f>
        <v>Illinois</v>
      </c>
      <c r="K105" s="94" t="e">
        <f t="shared" ca="1" si="2"/>
        <v>#NAME?</v>
      </c>
      <c r="L105" s="13">
        <f t="shared" ca="1" si="8"/>
        <v>13</v>
      </c>
      <c r="M105" s="13" t="str">
        <f ca="1">IFERROR(__xludf.DUMMYFUNCTION("IF(AND(L105&gt;3,I105&lt;&gt;""AL"",I105&lt;&gt;""AK"",I105&lt;&gt;""AZ"",I105&lt;&gt;""AR"",I105&lt;&gt;""CA"",I105&lt;&gt;""CO"",I105&lt;&gt;""CT"",I105&lt;&gt;""DE"",I105&lt;&gt;""DC"",I105&lt;&gt;""FL"",I105&lt;&gt;""GA"",I105&lt;&gt;""HI"",I105&lt;&gt;""ID"",I105&lt;&gt;""IL"",I105&lt;&gt;""IN"",I105&lt;&gt;""IA"",I105&lt;&gt;""KS"",I105&lt;&gt;""KY"",I105&lt;&gt;"&amp;"""LA"",I105&lt;&gt;""ME"",I105&lt;&gt;""MD"",I105&lt;&gt;""MA"",I105&lt;&gt;""MI"",I105&lt;&gt;""MN"",I105&lt;&gt;""MS"",I105&lt;&gt;""MO"",I105&lt;&gt;""MT"",I105&lt;&gt;""NE"",I105&lt;&gt;""NV"",I105&lt;&gt;""NH"",I105&lt;&gt;""NJ"",I105&lt;&gt;""NM"",I105&lt;&gt;""NY"",I105&lt;&gt;""NC"",I105&lt;&gt;""ND"",I105&lt;&gt;""OH"",I105&lt;&gt;""OK"",I105&lt;&gt;""OR"",I"&amp;"105&lt;&gt;""PA"",I105&lt;&gt;""RI"",I105&lt;&gt;""SC"",I105&lt;&gt;""SD"",I105&lt;&gt;""TN"",I105&lt;&gt;""TX"",I105&lt;&gt;""UT"",I105&lt;&gt;""VT"",I105&lt;&gt;""VA"",I105&lt;&gt;""WA"",I105&lt;&gt;""WV"",I105&lt;&gt;""WI"",I105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05" s="13">
        <f t="shared" ca="1" si="9"/>
        <v>1</v>
      </c>
      <c r="O105" s="13" t="b">
        <f>ISNUMBER(MATCH(C105,'Top 250 HS'!C:C,0))</f>
        <v>0</v>
      </c>
      <c r="P105" s="13" t="str">
        <f ca="1">IFERROR(__xludf.DUMMYFUNCTION("SORTN(FILTER('Top 250 HS'!B:B,'Top 250 HS'!C:C=I105),1,0,randarray(COUNTA(FILTER('Top 250 HS'!B:B,'Top 250 HS'!C:C=I105)),1),TRUE)"),"Stevenson (Lincolnshire)")</f>
        <v>Stevenson (Lincolnshire)</v>
      </c>
      <c r="Q105" s="13" t="b">
        <f>ISNUMBER(MATCH("*"&amp;E105&amp;"*",'Top 1500 HS LatitudeLongitude'!G:G,0))</f>
        <v>1</v>
      </c>
      <c r="R105" s="13" t="str">
        <f ca="1">IFERROR(__xludf.DUMMYFUNCTION("IFS(L105=10,"""",Q105=false,"""",N105=5,"""",Q105=true,SORTN(FILTER('Top 1500 HS LatitudeLongitude'!B:B,'Top 1500 HS LatitudeLongitude'!C:C=I105,'Top 1500 HS LatitudeLongitude'!E:E=H105),1,0,randarray(COUNTA(FILTER('Top 1500 HS LatitudeLongitude'!B:B,'Top"&amp;" 1500 HS LatitudeLongitude'!C:C=I105,'Top 1500 HS LatitudeLongitude'!E:E=H105)),1),TRUE)
)"),"Corliss (Chicago)")</f>
        <v>Corliss (Chicago)</v>
      </c>
      <c r="S105" s="13" t="b">
        <f>ISNUMBER(MATCH("*"&amp;H:H&amp;"*",'Public Schools'!C:C,0))</f>
        <v>1</v>
      </c>
      <c r="T105" s="13" t="str">
        <f ca="1">IFERROR(__xludf.DUMMYFUNCTION("IFERROR(IF(AND(R105="""",S105=true), SORTN(FILTER('Public Schools'!A:A,'Public Schools'!B:B=J105,'Public Schools'!C:C=H105),1,0,randarray(COUNTA(FILTER('Public Schools'!A:A,'Public Schools'!B:B=J105,'Public Schools'!C:C=H105)),1),TRUE),""""),"""")"),"")</f>
        <v/>
      </c>
      <c r="U105" s="23" t="str">
        <f t="array" aca="1" ref="U105" ca="1">IF(AND(R105="",T105=""),INDEX('Top 1500 HS LatitudeLongitude'!B$2:B$1501,MATCH(MIN(SQRT(('Top 1500 HS LatitudeLongitude'!H$2:H$1501-F105)^2+('Top 1500 HS LatitudeLongitude'!I$2:I$1501-G105)^2)),SQRT( ('Top 1500 HS LatitudeLongitude'!H$2:H$1501-F105)^2+('Top 1500 HS LatitudeLongitude'!I$2:I$1501-G105)^2),0),1),"")</f>
        <v/>
      </c>
    </row>
    <row r="106" spans="2:21" ht="15.6">
      <c r="B106" s="8">
        <v>0.61218174479999998</v>
      </c>
      <c r="C106" s="9" t="s">
        <v>238</v>
      </c>
      <c r="D106" s="9" t="s">
        <v>326</v>
      </c>
      <c r="E106" s="98" t="s">
        <v>3228</v>
      </c>
      <c r="F106" s="8">
        <v>41.106299999999997</v>
      </c>
      <c r="G106" s="8">
        <v>-74.275400000000005</v>
      </c>
      <c r="H106" s="3" t="str">
        <f t="shared" si="0"/>
        <v>Brooklyn</v>
      </c>
      <c r="I106" s="3" t="str">
        <f t="shared" si="1"/>
        <v>NY</v>
      </c>
      <c r="J106" s="3" t="str">
        <f t="array" ref="J106">INDEX('State Abbreviations'!$B$2:$B$52,MATCH(I106,'State Abbreviations'!$A$2:$A$52,0))</f>
        <v>New York</v>
      </c>
      <c r="K106" s="96" t="e">
        <f t="shared" ca="1" si="2"/>
        <v>#NAME?</v>
      </c>
      <c r="L106" s="13">
        <f t="shared" ca="1" si="8"/>
        <v>22</v>
      </c>
      <c r="M106" s="36" t="str">
        <f ca="1">IFERROR(__xludf.DUMMYFUNCTION("IF(AND(L106&gt;3,I106&lt;&gt;""AL"",I106&lt;&gt;""AK"",I106&lt;&gt;""AZ"",I106&lt;&gt;""AR"",I106&lt;&gt;""CA"",I106&lt;&gt;""CO"",I106&lt;&gt;""CT"",I106&lt;&gt;""DE"",I106&lt;&gt;""DC"",I106&lt;&gt;""FL"",I106&lt;&gt;""GA"",I106&lt;&gt;""HI"",I106&lt;&gt;""ID"",I106&lt;&gt;""IL"",I106&lt;&gt;""IN"",I106&lt;&gt;""IA"",I106&lt;&gt;""KS"",I106&lt;&gt;""KY"",I106&lt;&gt;"&amp;"""LA"",I106&lt;&gt;""ME"",I106&lt;&gt;""MD"",I106&lt;&gt;""MA"",I106&lt;&gt;""MI"",I106&lt;&gt;""MN"",I106&lt;&gt;""MS"",I106&lt;&gt;""MO"",I106&lt;&gt;""MT"",I106&lt;&gt;""NE"",I106&lt;&gt;""NV"",I106&lt;&gt;""NH"",I106&lt;&gt;""NJ"",I106&lt;&gt;""NM"",I106&lt;&gt;""NY"",I106&lt;&gt;""NC"",I106&lt;&gt;""ND"",I106&lt;&gt;""OH"",I106&lt;&gt;""OK"",I106&lt;&gt;""OR"",I"&amp;"106&lt;&gt;""PA"",I106&lt;&gt;""RI"",I106&lt;&gt;""SC"",I106&lt;&gt;""SD"",I106&lt;&gt;""TN"",I106&lt;&gt;""TX"",I106&lt;&gt;""UT"",I106&lt;&gt;""VT"",I106&lt;&gt;""VA"",I106&lt;&gt;""WA"",I106&lt;&gt;""WV"",I106&lt;&gt;""WI"",I106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StateInternational'!$G$2:$G$121&lt;&gt;"""")},2,0)),""""))"),"Duncanville")</f>
        <v>Duncanville</v>
      </c>
      <c r="N106" s="13">
        <f t="shared" ca="1" si="9"/>
        <v>14</v>
      </c>
      <c r="O106" s="13" t="b">
        <f>ISNUMBER(MATCH(C106,'Top 250 HS'!C:C,0))</f>
        <v>0</v>
      </c>
      <c r="P106" s="13" t="str">
        <f ca="1">IFERROR(__xludf.DUMMYFUNCTION("SORTN(FILTER('Top 250 HS'!B:B,'Top 250 HS'!C:C=I106),1,0,randarray(COUNTA(FILTER('Top 250 HS'!B:B,'Top 250 HS'!C:C=I106)),1),TRUE)"),"Long Island Lutheran (Brookville)")</f>
        <v>Long Island Lutheran (Brookville)</v>
      </c>
      <c r="Q106" s="13" t="b">
        <f>ISNUMBER(MATCH("*"&amp;E106&amp;"*",'Top 1500 HS LatitudeLongitude'!G:G,0))</f>
        <v>1</v>
      </c>
      <c r="R106" s="13" t="str">
        <f ca="1">IFERROR(__xludf.DUMMYFUNCTION("IFS(L106=10,"""",Q106=false,"""",N106=5,"""",Q106=true,SORTN(FILTER('Top 1500 HS LatitudeLongitude'!B:B,'Top 1500 HS LatitudeLongitude'!C:C=I106,'Top 1500 HS LatitudeLongitude'!E:E=H106),1,0,randarray(COUNTA(FILTER('Top 1500 HS LatitudeLongitude'!B:B,'Top"&amp;" 1500 HS LatitudeLongitude'!C:C=I106,'Top 1500 HS LatitudeLongitude'!E:E=H106)),1),TRUE)
)"),"")</f>
        <v/>
      </c>
      <c r="S106" s="13" t="b">
        <f>ISNUMBER(MATCH("*"&amp;H:H&amp;"*",'Public Schools'!C:C,0))</f>
        <v>1</v>
      </c>
      <c r="T106" s="13" t="str">
        <f ca="1">IFERROR(__xludf.DUMMYFUNCTION("IFERROR(IF(AND(R106="""",S106=true), SORTN(FILTER('Public Schools'!A:A,'Public Schools'!B:B=J106,'Public Schools'!C:C=H106),1,0,randarray(COUNTA(FILTER('Public Schools'!A:A,'Public Schools'!B:B=J106,'Public Schools'!C:C=H106)),1),TRUE),""""),"""")"),"Aspirations Diploma Plus High School")</f>
        <v>Aspirations Diploma Plus High School</v>
      </c>
      <c r="U106" s="23" t="str">
        <f t="array" aca="1" ref="U106" ca="1">IF(AND(R106="",T106=""),INDEX('Top 1500 HS LatitudeLongitude'!B$2:B$1501,MATCH(MIN(SQRT(('Top 1500 HS LatitudeLongitude'!H$2:H$1501-F106)^2+('Top 1500 HS LatitudeLongitude'!I$2:I$1501-G106)^2)),SQRT( ('Top 1500 HS LatitudeLongitude'!H$2:H$1501-F106)^2+('Top 1500 HS LatitudeLongitude'!I$2:I$1501-G106)^2),0),1),"")</f>
        <v/>
      </c>
    </row>
    <row r="107" spans="2:21" ht="15.6">
      <c r="B107" s="8">
        <v>0.29607112250000001</v>
      </c>
      <c r="C107" s="9" t="s">
        <v>316</v>
      </c>
      <c r="D107" s="9" t="s">
        <v>328</v>
      </c>
      <c r="E107" s="37" t="s">
        <v>3436</v>
      </c>
      <c r="F107" s="8">
        <v>41.7483</v>
      </c>
      <c r="G107" s="8">
        <v>-88.165599999999998</v>
      </c>
      <c r="H107" s="3" t="str">
        <f t="shared" si="0"/>
        <v>Provo</v>
      </c>
      <c r="I107" s="3" t="str">
        <f t="shared" si="1"/>
        <v>UT</v>
      </c>
      <c r="J107" s="3" t="str">
        <f t="array" ref="J107">INDEX('State Abbreviations'!$B$2:$B$52,MATCH(I107,'State Abbreviations'!$A$2:$A$52,0))</f>
        <v>Utah</v>
      </c>
      <c r="K107" s="94" t="e">
        <f t="shared" ca="1" si="2"/>
        <v>#NAME?</v>
      </c>
      <c r="L107" s="13">
        <f t="shared" ca="1" si="8"/>
        <v>6</v>
      </c>
      <c r="M107" s="13" t="str">
        <f ca="1">IFERROR(__xludf.DUMMYFUNCTION("IF(AND(L107&gt;3,I107&lt;&gt;""AL"",I107&lt;&gt;""AK"",I107&lt;&gt;""AZ"",I107&lt;&gt;""AR"",I107&lt;&gt;""CA"",I107&lt;&gt;""CO"",I107&lt;&gt;""CT"",I107&lt;&gt;""DE"",I107&lt;&gt;""DC"",I107&lt;&gt;""FL"",I107&lt;&gt;""GA"",I107&lt;&gt;""HI"",I107&lt;&gt;""ID"",I107&lt;&gt;""IL"",I107&lt;&gt;""IN"",I107&lt;&gt;""IA"",I107&lt;&gt;""KS"",I107&lt;&gt;""KY"",I107&lt;&gt;"&amp;"""LA"",I107&lt;&gt;""ME"",I107&lt;&gt;""MD"",I107&lt;&gt;""MA"",I107&lt;&gt;""MI"",I107&lt;&gt;""MN"",I107&lt;&gt;""MS"",I107&lt;&gt;""MO"",I107&lt;&gt;""MT"",I107&lt;&gt;""NE"",I107&lt;&gt;""NV"",I107&lt;&gt;""NH"",I107&lt;&gt;""NJ"",I107&lt;&gt;""NM"",I107&lt;&gt;""NY"",I107&lt;&gt;""NC"",I107&lt;&gt;""ND"",I107&lt;&gt;""OH"",I107&lt;&gt;""OK"",I107&lt;&gt;""OR"",I"&amp;"107&lt;&gt;""PA"",I107&lt;&gt;""RI"",I107&lt;&gt;""SC"",I107&lt;&gt;""SD"",I107&lt;&gt;""TN"",I107&lt;&gt;""TX"",I107&lt;&gt;""UT"",I107&lt;&gt;""VT"",I107&lt;&gt;""VA"",I107&lt;&gt;""WA"",I107&lt;&gt;""WV"",I107&lt;&gt;""WI"",I107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07" s="13">
        <f t="shared" ca="1" si="9"/>
        <v>6</v>
      </c>
      <c r="O107" s="13" t="b">
        <f>ISNUMBER(MATCH(C107,'Top 250 HS'!C:C,0))</f>
        <v>0</v>
      </c>
      <c r="P107" s="13" t="str">
        <f ca="1">IFERROR(__xludf.DUMMYFUNCTION("SORTN(FILTER('Top 250 HS'!B:B,'Top 250 HS'!C:C=I107),1,0,randarray(COUNTA(FILTER('Top 250 HS'!B:B,'Top 250 HS'!C:C=I107)),1),TRUE)"),"Wasatch Academy (Mt. Pleasant)")</f>
        <v>Wasatch Academy (Mt. Pleasant)</v>
      </c>
      <c r="Q107" s="13" t="b">
        <f>ISNUMBER(MATCH("*"&amp;E107&amp;"*",'Top 1500 HS LatitudeLongitude'!G:G,0))</f>
        <v>1</v>
      </c>
      <c r="R107" s="13" t="str">
        <f ca="1">IFERROR(__xludf.DUMMYFUNCTION("IFS(L107=10,"""",Q107=false,"""",N107=5,"""",Q107=true,SORTN(FILTER('Top 1500 HS LatitudeLongitude'!B:B,'Top 1500 HS LatitudeLongitude'!C:C=I107,'Top 1500 HS LatitudeLongitude'!E:E=H107),1,0,randarray(COUNTA(FILTER('Top 1500 HS LatitudeLongitude'!B:B,'Top"&amp;" 1500 HS LatitudeLongitude'!C:C=I107,'Top 1500 HS LatitudeLongitude'!E:E=H107)),1),TRUE)
)"),"Timpview (Provo)")</f>
        <v>Timpview (Provo)</v>
      </c>
      <c r="S107" s="13" t="b">
        <f>ISNUMBER(MATCH("*"&amp;H:H&amp;"*",'Public Schools'!C:C,0))</f>
        <v>1</v>
      </c>
      <c r="T107" s="13" t="str">
        <f ca="1">IFERROR(__xludf.DUMMYFUNCTION("IFERROR(IF(AND(R107="""",S107=true), SORTN(FILTER('Public Schools'!A:A,'Public Schools'!B:B=J107,'Public Schools'!C:C=H107),1,0,randarray(COUNTA(FILTER('Public Schools'!A:A,'Public Schools'!B:B=J107,'Public Schools'!C:C=H107)),1),TRUE),""""),"""")"),"")</f>
        <v/>
      </c>
      <c r="U107" s="23" t="str">
        <f t="array" aca="1" ref="U107" ca="1">IF(AND(R107="",T107=""),INDEX('Top 1500 HS LatitudeLongitude'!B$2:B$1501,MATCH(MIN(SQRT(('Top 1500 HS LatitudeLongitude'!H$2:H$1501-F107)^2+('Top 1500 HS LatitudeLongitude'!I$2:I$1501-G107)^2)),SQRT( ('Top 1500 HS LatitudeLongitude'!H$2:H$1501-F107)^2+('Top 1500 HS LatitudeLongitude'!I$2:I$1501-G107)^2),0),1),"")</f>
        <v/>
      </c>
    </row>
    <row r="108" spans="2:21" ht="15.6">
      <c r="B108" s="8">
        <v>0.95785169380000001</v>
      </c>
      <c r="C108" s="9" t="s">
        <v>329</v>
      </c>
      <c r="D108" s="9" t="s">
        <v>327</v>
      </c>
      <c r="E108" s="98" t="s">
        <v>3470</v>
      </c>
      <c r="F108" s="8">
        <v>36.838900000000002</v>
      </c>
      <c r="G108" s="8">
        <v>-81.513499999999993</v>
      </c>
      <c r="H108" s="3" t="str">
        <f t="shared" si="0"/>
        <v>Athens</v>
      </c>
      <c r="I108" s="3" t="str">
        <f t="shared" si="1"/>
        <v>Greece</v>
      </c>
      <c r="J108" s="3" t="e">
        <f t="array" ref="J108">INDEX('State Abbreviations'!$B$2:$B$52,MATCH(I108,'State Abbreviations'!$A$2:$A$52,0))</f>
        <v>#N/A</v>
      </c>
      <c r="K108" s="96" t="e">
        <f t="shared" ca="1" si="2"/>
        <v>#NAME?</v>
      </c>
      <c r="L108" s="13">
        <f t="shared" ca="1" si="8"/>
        <v>5</v>
      </c>
      <c r="M108" s="36" t="str">
        <f ca="1">IFERROR(__xludf.DUMMYFUNCTION("IF(AND(L108&gt;3,I108&lt;&gt;""AL"",I108&lt;&gt;""AK"",I108&lt;&gt;""AZ"",I108&lt;&gt;""AR"",I108&lt;&gt;""CA"",I108&lt;&gt;""CO"",I108&lt;&gt;""CT"",I108&lt;&gt;""DE"",I108&lt;&gt;""DC"",I108&lt;&gt;""FL"",I108&lt;&gt;""GA"",I108&lt;&gt;""HI"",I108&lt;&gt;""ID"",I108&lt;&gt;""IL"",I108&lt;&gt;""IN"",I108&lt;&gt;""IA"",I108&lt;&gt;""KS"",I108&lt;&gt;""KY"",I108&lt;&gt;"&amp;"""LA"",I108&lt;&gt;""ME"",I108&lt;&gt;""MD"",I108&lt;&gt;""MA"",I108&lt;&gt;""MI"",I108&lt;&gt;""MN"",I108&lt;&gt;""MS"",I108&lt;&gt;""MO"",I108&lt;&gt;""MT"",I108&lt;&gt;""NE"",I108&lt;&gt;""NV"",I108&lt;&gt;""NH"",I108&lt;&gt;""NJ"",I108&lt;&gt;""NM"",I108&lt;&gt;""NY"",I108&lt;&gt;""NC"",I108&lt;&gt;""ND"",I108&lt;&gt;""OH"",I108&lt;&gt;""OK"",I108&lt;&gt;""OR"",I"&amp;"108&lt;&gt;""PA"",I108&lt;&gt;""RI"",I108&lt;&gt;""SC"",I108&lt;&gt;""SD"",I108&lt;&gt;""TN"",I108&lt;&gt;""TX"",I108&lt;&gt;""UT"",I108&lt;&gt;""VT"",I108&lt;&gt;""VA"",I108&lt;&gt;""WA"",I108&lt;&gt;""WV"",I108&lt;&gt;""WI"",I108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StateInternational'!$G$2:$G$121&lt;&gt;"""")},2,0)),""""))"),"Rancho Christian (Temecula)")</f>
        <v>Rancho Christian (Temecula)</v>
      </c>
      <c r="N108" s="13">
        <f t="shared" ca="1" si="9"/>
        <v>4</v>
      </c>
      <c r="O108" s="13" t="b">
        <f>ISNUMBER(MATCH(C108,'Top 250 HS'!C:C,0))</f>
        <v>0</v>
      </c>
      <c r="P108" s="13" t="str">
        <f ca="1">IFERROR(__xludf.DUMMYFUNCTION("SORTN(FILTER('Top 250 HS'!B:B,'Top 250 HS'!C:C=I108),1,0,randarray(COUNTA(FILTER('Top 250 HS'!B:B,'Top 250 HS'!C:C=I108)),1),TRUE)"),"#N/A")</f>
        <v>#N/A</v>
      </c>
      <c r="Q108" s="13" t="b">
        <f>ISNUMBER(MATCH("*"&amp;E108&amp;"*",'Top 1500 HS LatitudeLongitude'!G:G,0))</f>
        <v>0</v>
      </c>
      <c r="R108" s="13" t="str">
        <f ca="1">IFERROR(__xludf.DUMMYFUNCTION("IFS(L108=10,"""",Q108=false,"""",N108=5,"""",Q108=true,SORTN(FILTER('Top 1500 HS LatitudeLongitude'!B:B,'Top 1500 HS LatitudeLongitude'!C:C=I108,'Top 1500 HS LatitudeLongitude'!E:E=H108),1,0,randarray(COUNTA(FILTER('Top 1500 HS LatitudeLongitude'!B:B,'Top"&amp;" 1500 HS LatitudeLongitude'!C:C=I108,'Top 1500 HS LatitudeLongitude'!E:E=H108)),1),TRUE)
)"),"")</f>
        <v/>
      </c>
      <c r="S108" s="13" t="b">
        <f>ISNUMBER(MATCH("*"&amp;H:H&amp;"*",'Public Schools'!C:C,0))</f>
        <v>1</v>
      </c>
      <c r="T108" s="13" t="str">
        <f ca="1">IFERROR(__xludf.DUMMYFUNCTION("IFERROR(IF(AND(R108="""",S108=true), SORTN(FILTER('Public Schools'!A:A,'Public Schools'!B:B=J108,'Public Schools'!C:C=H108),1,0,randarray(COUNTA(FILTER('Public Schools'!A:A,'Public Schools'!B:B=J108,'Public Schools'!C:C=H108)),1),TRUE),""""),"""")"),"")</f>
        <v/>
      </c>
      <c r="U108" s="23" t="str">
        <f t="array" aca="1" ref="U108" ca="1">IF(AND(R108="",T108=""),INDEX('Top 1500 HS LatitudeLongitude'!B$2:B$1501,MATCH(MIN(SQRT(('Top 1500 HS LatitudeLongitude'!H$2:H$1501-F108)^2+('Top 1500 HS LatitudeLongitude'!I$2:I$1501-G108)^2)),SQRT( ('Top 1500 HS LatitudeLongitude'!H$2:H$1501-F108)^2+('Top 1500 HS LatitudeLongitude'!I$2:I$1501-G108)^2),0),1),"")</f>
        <v>Oak Hill Academy (Mouth of Wilson)</v>
      </c>
    </row>
    <row r="109" spans="2:21" ht="15.6">
      <c r="B109" s="8">
        <v>4.724619737E-2</v>
      </c>
      <c r="C109" s="9" t="s">
        <v>235</v>
      </c>
      <c r="D109" s="9" t="s">
        <v>330</v>
      </c>
      <c r="E109" s="37" t="s">
        <v>3515</v>
      </c>
      <c r="F109" s="8">
        <v>34.113999999999997</v>
      </c>
      <c r="G109" s="8">
        <v>-118.4068</v>
      </c>
      <c r="H109" s="3" t="str">
        <f t="shared" si="0"/>
        <v>Denham Springs</v>
      </c>
      <c r="I109" s="3" t="str">
        <f t="shared" si="1"/>
        <v>LA</v>
      </c>
      <c r="J109" s="3" t="str">
        <f t="array" ref="J109">INDEX('State Abbreviations'!$B$2:$B$52,MATCH(I109,'State Abbreviations'!$A$2:$A$52,0))</f>
        <v>Louisiana</v>
      </c>
      <c r="K109" s="94" t="e">
        <f t="shared" ca="1" si="2"/>
        <v>#NAME?</v>
      </c>
      <c r="L109" s="13">
        <f t="shared" ca="1" si="8"/>
        <v>8</v>
      </c>
      <c r="M109" s="13" t="str">
        <f ca="1">IFERROR(__xludf.DUMMYFUNCTION("IF(AND(L109&gt;3,I109&lt;&gt;""AL"",I109&lt;&gt;""AK"",I109&lt;&gt;""AZ"",I109&lt;&gt;""AR"",I109&lt;&gt;""CA"",I109&lt;&gt;""CO"",I109&lt;&gt;""CT"",I109&lt;&gt;""DE"",I109&lt;&gt;""DC"",I109&lt;&gt;""FL"",I109&lt;&gt;""GA"",I109&lt;&gt;""HI"",I109&lt;&gt;""ID"",I109&lt;&gt;""IL"",I109&lt;&gt;""IN"",I109&lt;&gt;""IA"",I109&lt;&gt;""KS"",I109&lt;&gt;""KY"",I109&lt;&gt;"&amp;"""LA"",I109&lt;&gt;""ME"",I109&lt;&gt;""MD"",I109&lt;&gt;""MA"",I109&lt;&gt;""MI"",I109&lt;&gt;""MN"",I109&lt;&gt;""MS"",I109&lt;&gt;""MO"",I109&lt;&gt;""MT"",I109&lt;&gt;""NE"",I109&lt;&gt;""NV"",I109&lt;&gt;""NH"",I109&lt;&gt;""NJ"",I109&lt;&gt;""NM"",I109&lt;&gt;""NY"",I109&lt;&gt;""NC"",I109&lt;&gt;""ND"",I109&lt;&gt;""OH"",I109&lt;&gt;""OK"",I109&lt;&gt;""OR"",I"&amp;"109&lt;&gt;""PA"",I109&lt;&gt;""RI"",I109&lt;&gt;""SC"",I109&lt;&gt;""SD"",I109&lt;&gt;""TN"",I109&lt;&gt;""TX"",I109&lt;&gt;""UT"",I109&lt;&gt;""VT"",I109&lt;&gt;""VA"",I109&lt;&gt;""WA"",I109&lt;&gt;""WV"",I109&lt;&gt;""WI"",I109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St"&amp;"ateInternational'!$G$2:$G$121&lt;&gt;"""")},2,0)),IF(L109=10,ArrayFormula(VLOOKUP(QUERY(UNIQUE(RANDBETWEEN(ROW(INDIRECT(""A1:A""&amp;COUNTA('Leaving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09" s="13">
        <f t="shared" ca="1" si="9"/>
        <v>6</v>
      </c>
      <c r="O109" s="13" t="b">
        <f>ISNUMBER(MATCH(C109,'Top 250 HS'!C:C,0))</f>
        <v>0</v>
      </c>
      <c r="P109" s="13" t="str">
        <f ca="1">IFERROR(__xludf.DUMMYFUNCTION("SORTN(FILTER('Top 250 HS'!B:B,'Top 250 HS'!C:C=I109),1,0,randarray(COUNTA(FILTER('Top 250 HS'!B:B,'Top 250 HS'!C:C=I109)),1),TRUE)"),"St. Augustine (New Orleans)")</f>
        <v>St. Augustine (New Orleans)</v>
      </c>
      <c r="Q109" s="13" t="b">
        <f>ISNUMBER(MATCH("*"&amp;E109&amp;"*",'Top 1500 HS LatitudeLongitude'!G:G,0))</f>
        <v>0</v>
      </c>
      <c r="R109" s="13" t="str">
        <f ca="1">IFERROR(__xludf.DUMMYFUNCTION("IFS(L109=10,"""",Q109=false,"""",N109=5,"""",Q109=true,SORTN(FILTER('Top 1500 HS LatitudeLongitude'!B:B,'Top 1500 HS LatitudeLongitude'!C:C=I109,'Top 1500 HS LatitudeLongitude'!E:E=H109),1,0,randarray(COUNTA(FILTER('Top 1500 HS LatitudeLongitude'!B:B,'Top"&amp;" 1500 HS LatitudeLongitude'!C:C=I109,'Top 1500 HS LatitudeLongitude'!E:E=H109)),1),TRUE)
)"),"")</f>
        <v/>
      </c>
      <c r="S109" s="13" t="b">
        <f>ISNUMBER(MATCH("*"&amp;H:H&amp;"*",'Public Schools'!C:C,0))</f>
        <v>1</v>
      </c>
      <c r="T109" s="13" t="str">
        <f ca="1">IFERROR(__xludf.DUMMYFUNCTION("IFERROR(IF(AND(R109="""",S109=true), SORTN(FILTER('Public Schools'!A:A,'Public Schools'!B:B=J109,'Public Schools'!C:C=H109),1,0,randarray(COUNTA(FILTER('Public Schools'!A:A,'Public Schools'!B:B=J109,'Public Schools'!C:C=H109)),1),TRUE),""""),"""")"),"Denham Springs High School")</f>
        <v>Denham Springs High School</v>
      </c>
      <c r="U109" s="23" t="str">
        <f t="array" aca="1" ref="U109" ca="1">IF(AND(R109="",T109=""),INDEX('Top 1500 HS LatitudeLongitude'!B$2:B$1501,MATCH(MIN(SQRT(('Top 1500 HS LatitudeLongitude'!H$2:H$1501-F109)^2+('Top 1500 HS LatitudeLongitude'!I$2:I$1501-G109)^2)),SQRT( ('Top 1500 HS LatitudeLongitude'!H$2:H$1501-F109)^2+('Top 1500 HS LatitudeLongitude'!I$2:I$1501-G109)^2),0),1),"")</f>
        <v/>
      </c>
    </row>
    <row r="110" spans="2:21" ht="15.6">
      <c r="B110" s="8">
        <v>0.22208916610000001</v>
      </c>
      <c r="C110" s="9" t="s">
        <v>300</v>
      </c>
      <c r="D110" s="9" t="s">
        <v>331</v>
      </c>
      <c r="E110" s="98" t="s">
        <v>3561</v>
      </c>
      <c r="F110" s="8">
        <v>32.028199999999998</v>
      </c>
      <c r="G110" s="8">
        <v>-81.178399999999996</v>
      </c>
      <c r="H110" s="3" t="str">
        <f t="shared" si="0"/>
        <v>Waukesha</v>
      </c>
      <c r="I110" s="3" t="str">
        <f t="shared" si="1"/>
        <v>WI</v>
      </c>
      <c r="J110" s="3" t="str">
        <f t="array" ref="J110">INDEX('State Abbreviations'!$B$2:$B$52,MATCH(I110,'State Abbreviations'!$A$2:$A$52,0))</f>
        <v>Wisconsin</v>
      </c>
      <c r="K110" s="94" t="e">
        <f t="shared" ca="1" si="2"/>
        <v>#NAME?</v>
      </c>
      <c r="L110" s="13">
        <f t="shared" ca="1" si="8"/>
        <v>17</v>
      </c>
      <c r="M110" s="13" t="str">
        <f ca="1">IFERROR(__xludf.DUMMYFUNCTION("IF(AND(L110&gt;3,I110&lt;&gt;""AL"",I110&lt;&gt;""AK"",I110&lt;&gt;""AZ"",I110&lt;&gt;""AR"",I110&lt;&gt;""CA"",I110&lt;&gt;""CO"",I110&lt;&gt;""CT"",I110&lt;&gt;""DE"",I110&lt;&gt;""DC"",I110&lt;&gt;""FL"",I110&lt;&gt;""GA"",I110&lt;&gt;""HI"",I110&lt;&gt;""ID"",I110&lt;&gt;""IL"",I110&lt;&gt;""IN"",I110&lt;&gt;""IA"",I110&lt;&gt;""KS"",I110&lt;&gt;""KY"",I110&lt;&gt;"&amp;"""LA"",I110&lt;&gt;""ME"",I110&lt;&gt;""MD"",I110&lt;&gt;""MA"",I110&lt;&gt;""MI"",I110&lt;&gt;""MN"",I110&lt;&gt;""MS"",I110&lt;&gt;""MO"",I110&lt;&gt;""MT"",I110&lt;&gt;""NE"",I110&lt;&gt;""NV"",I110&lt;&gt;""NH"",I110&lt;&gt;""NJ"",I110&lt;&gt;""NM"",I110&lt;&gt;""NY"",I110&lt;&gt;""NC"",I110&lt;&gt;""ND"",I110&lt;&gt;""OH"",I110&lt;&gt;""OK"",I110&lt;&gt;""OR"",I"&amp;"110&lt;&gt;""PA"",I110&lt;&gt;""RI"",I110&lt;&gt;""SC"",I110&lt;&gt;""SD"",I110&lt;&gt;""TN"",I110&lt;&gt;""TX"",I110&lt;&gt;""UT"",I110&lt;&gt;""VT"",I110&lt;&gt;""VA"",I110&lt;&gt;""WA"",I110&lt;&gt;""WV"",I110&lt;&gt;""WI"",I110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0" s="13">
        <f t="shared" ca="1" si="9"/>
        <v>7</v>
      </c>
      <c r="O110" s="13" t="b">
        <f>ISNUMBER(MATCH(C110,'Top 250 HS'!C:C,0))</f>
        <v>0</v>
      </c>
      <c r="P110" s="13" t="str">
        <f ca="1">IFERROR(__xludf.DUMMYFUNCTION("SORTN(FILTER('Top 250 HS'!B:B,'Top 250 HS'!C:C=I110),1,0,randarray(COUNTA(FILTER('Top 250 HS'!B:B,'Top 250 HS'!C:C=I110)),1),TRUE)"),"Brookfield Central (Brookfield)")</f>
        <v>Brookfield Central (Brookfield)</v>
      </c>
      <c r="Q110" s="13" t="b">
        <f>ISNUMBER(MATCH("*"&amp;E110&amp;"*",'Top 1500 HS LatitudeLongitude'!G:G,0))</f>
        <v>0</v>
      </c>
      <c r="R110" s="13" t="str">
        <f ca="1">IFERROR(__xludf.DUMMYFUNCTION("IFS(L110=10,"""",Q110=false,"""",N110=5,"""",Q110=true,SORTN(FILTER('Top 1500 HS LatitudeLongitude'!B:B,'Top 1500 HS LatitudeLongitude'!C:C=I110,'Top 1500 HS LatitudeLongitude'!E:E=H110),1,0,randarray(COUNTA(FILTER('Top 1500 HS LatitudeLongitude'!B:B,'Top"&amp;" 1500 HS LatitudeLongitude'!C:C=I110,'Top 1500 HS LatitudeLongitude'!E:E=H110)),1),TRUE)
)"),"")</f>
        <v/>
      </c>
      <c r="S110" s="13" t="b">
        <f>ISNUMBER(MATCH("*"&amp;H:H&amp;"*",'Public Schools'!C:C,0))</f>
        <v>1</v>
      </c>
      <c r="T110" s="13" t="str">
        <f ca="1">IFERROR(__xludf.DUMMYFUNCTION("IFERROR(IF(AND(R110="""",S110=true), SORTN(FILTER('Public Schools'!A:A,'Public Schools'!B:B=J110,'Public Schools'!C:C=H110),1,0,randarray(COUNTA(FILTER('Public Schools'!A:A,'Public Schools'!B:B=J110,'Public Schools'!C:C=H110)),1),TRUE),""""),"""")"),"Eachieve Academy - Wisconsin")</f>
        <v>Eachieve Academy - Wisconsin</v>
      </c>
      <c r="U110" s="23" t="str">
        <f t="array" aca="1" ref="U110" ca="1">IF(AND(R110="",T110=""),INDEX('Top 1500 HS LatitudeLongitude'!B$2:B$1501,MATCH(MIN(SQRT(('Top 1500 HS LatitudeLongitude'!H$2:H$1501-F110)^2+('Top 1500 HS LatitudeLongitude'!I$2:I$1501-G110)^2)),SQRT( ('Top 1500 HS LatitudeLongitude'!H$2:H$1501-F110)^2+('Top 1500 HS LatitudeLongitude'!I$2:I$1501-G110)^2),0),1),"")</f>
        <v/>
      </c>
    </row>
    <row r="111" spans="2:21" ht="15.6">
      <c r="B111" s="8">
        <v>0.81324637690000001</v>
      </c>
      <c r="C111" s="9" t="s">
        <v>47</v>
      </c>
      <c r="D111" s="9" t="s">
        <v>332</v>
      </c>
      <c r="E111" s="37" t="s">
        <v>3614</v>
      </c>
      <c r="F111" s="8">
        <v>35.082999999999998</v>
      </c>
      <c r="G111" s="8">
        <v>-89.782399999999996</v>
      </c>
      <c r="H111" s="3" t="str">
        <f t="shared" si="0"/>
        <v>Loma Linda</v>
      </c>
      <c r="I111" s="3" t="str">
        <f t="shared" si="1"/>
        <v>CA</v>
      </c>
      <c r="J111" s="3" t="str">
        <f t="array" ref="J111">INDEX('State Abbreviations'!$B$2:$B$52,MATCH(I111,'State Abbreviations'!$A$2:$A$52,0))</f>
        <v>California</v>
      </c>
      <c r="K111" s="94" t="e">
        <f t="shared" ca="1" si="2"/>
        <v>#NAME?</v>
      </c>
      <c r="L111" s="13">
        <f t="shared" ca="1" si="8"/>
        <v>2</v>
      </c>
      <c r="M111" s="13" t="str">
        <f ca="1">IFERROR(__xludf.DUMMYFUNCTION("IF(AND(L111&gt;3,I111&lt;&gt;""AL"",I111&lt;&gt;""AK"",I111&lt;&gt;""AZ"",I111&lt;&gt;""AR"",I111&lt;&gt;""CA"",I111&lt;&gt;""CO"",I111&lt;&gt;""CT"",I111&lt;&gt;""DE"",I111&lt;&gt;""DC"",I111&lt;&gt;""FL"",I111&lt;&gt;""GA"",I111&lt;&gt;""HI"",I111&lt;&gt;""ID"",I111&lt;&gt;""IL"",I111&lt;&gt;""IN"",I111&lt;&gt;""IA"",I111&lt;&gt;""KS"",I111&lt;&gt;""KY"",I111&lt;&gt;"&amp;"""LA"",I111&lt;&gt;""ME"",I111&lt;&gt;""MD"",I111&lt;&gt;""MA"",I111&lt;&gt;""MI"",I111&lt;&gt;""MN"",I111&lt;&gt;""MS"",I111&lt;&gt;""MO"",I111&lt;&gt;""MT"",I111&lt;&gt;""NE"",I111&lt;&gt;""NV"",I111&lt;&gt;""NH"",I111&lt;&gt;""NJ"",I111&lt;&gt;""NM"",I111&lt;&gt;""NY"",I111&lt;&gt;""NC"",I111&lt;&gt;""ND"",I111&lt;&gt;""OH"",I111&lt;&gt;""OK"",I111&lt;&gt;""OR"",I"&amp;"111&lt;&gt;""PA"",I111&lt;&gt;""RI"",I111&lt;&gt;""SC"",I111&lt;&gt;""SD"",I111&lt;&gt;""TN"",I111&lt;&gt;""TX"",I111&lt;&gt;""UT"",I111&lt;&gt;""VT"",I111&lt;&gt;""VA"",I111&lt;&gt;""WA"",I111&lt;&gt;""WV"",I111&lt;&gt;""WI"",I111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1" s="13">
        <f t="shared" ca="1" si="9"/>
        <v>12</v>
      </c>
      <c r="O111" s="13" t="b">
        <f>ISNUMBER(MATCH(C111,'Top 250 HS'!C:C,0))</f>
        <v>0</v>
      </c>
      <c r="P111" s="13" t="str">
        <f ca="1">IFERROR(__xludf.DUMMYFUNCTION("SORTN(FILTER('Top 250 HS'!B:B,'Top 250 HS'!C:C=I111),1,0,randarray(COUNTA(FILTER('Top 250 HS'!B:B,'Top 250 HS'!C:C=I111)),1),TRUE)"),"Campolindo (Moraga)")</f>
        <v>Campolindo (Moraga)</v>
      </c>
      <c r="Q111" s="13" t="b">
        <f>ISNUMBER(MATCH("*"&amp;E111&amp;"*",'Top 1500 HS LatitudeLongitude'!G:G,0))</f>
        <v>0</v>
      </c>
      <c r="R111" s="13" t="str">
        <f ca="1">IFERROR(__xludf.DUMMYFUNCTION("IFS(L111=10,"""",Q111=false,"""",N111=5,"""",Q111=true,SORTN(FILTER('Top 1500 HS LatitudeLongitude'!B:B,'Top 1500 HS LatitudeLongitude'!C:C=I111,'Top 1500 HS LatitudeLongitude'!E:E=H111),1,0,randarray(COUNTA(FILTER('Top 1500 HS LatitudeLongitude'!B:B,'Top"&amp;" 1500 HS LatitudeLongitude'!C:C=I111,'Top 1500 HS LatitudeLongitude'!E:E=H111)),1),TRUE)
)"),"")</f>
        <v/>
      </c>
      <c r="S111" s="13" t="b">
        <f>ISNUMBER(MATCH("*"&amp;H:H&amp;"*",'Public Schools'!C:C,0))</f>
        <v>0</v>
      </c>
      <c r="T111" s="13" t="str">
        <f ca="1">IFERROR(__xludf.DUMMYFUNCTION("IFERROR(IF(AND(R111="""",S111=true), SORTN(FILTER('Public Schools'!A:A,'Public Schools'!B:B=J111,'Public Schools'!C:C=H111),1,0,randarray(COUNTA(FILTER('Public Schools'!A:A,'Public Schools'!B:B=J111,'Public Schools'!C:C=H111)),1),TRUE),""""),"""")"),"")</f>
        <v/>
      </c>
      <c r="U111" s="23" t="str">
        <f t="array" aca="1" ref="U111" ca="1">IF(AND(R111="",T111=""),INDEX('Top 1500 HS LatitudeLongitude'!B$2:B$1501,MATCH(MIN(SQRT(('Top 1500 HS LatitudeLongitude'!H$2:H$1501-F111)^2+('Top 1500 HS LatitudeLongitude'!I$2:I$1501-G111)^2)),SQRT( ('Top 1500 HS LatitudeLongitude'!H$2:H$1501-F111)^2+('Top 1500 HS LatitudeLongitude'!I$2:I$1501-G111)^2),0),1),"")</f>
        <v>Houston (Germantown)</v>
      </c>
    </row>
    <row r="112" spans="2:21" ht="15.6">
      <c r="B112" s="8">
        <v>0.3148693997</v>
      </c>
      <c r="C112" s="9" t="s">
        <v>47</v>
      </c>
      <c r="D112" s="9" t="s">
        <v>333</v>
      </c>
      <c r="E112" s="98" t="s">
        <v>3656</v>
      </c>
      <c r="F112" s="8">
        <v>41.879800000000003</v>
      </c>
      <c r="G112" s="8">
        <v>-87.844200000000001</v>
      </c>
      <c r="H112" s="3" t="str">
        <f t="shared" si="0"/>
        <v>Woodland</v>
      </c>
      <c r="I112" s="3" t="str">
        <f t="shared" si="1"/>
        <v>CA</v>
      </c>
      <c r="J112" s="3" t="str">
        <f t="array" ref="J112">INDEX('State Abbreviations'!$B$2:$B$52,MATCH(I112,'State Abbreviations'!$A$2:$A$52,0))</f>
        <v>California</v>
      </c>
      <c r="K112" s="94" t="e">
        <f t="shared" ca="1" si="2"/>
        <v>#NAME?</v>
      </c>
      <c r="L112" s="13">
        <f t="shared" ca="1" si="8"/>
        <v>6</v>
      </c>
      <c r="M112" s="13" t="str">
        <f ca="1">IFERROR(__xludf.DUMMYFUNCTION("IF(AND(L112&gt;3,I112&lt;&gt;""AL"",I112&lt;&gt;""AK"",I112&lt;&gt;""AZ"",I112&lt;&gt;""AR"",I112&lt;&gt;""CA"",I112&lt;&gt;""CO"",I112&lt;&gt;""CT"",I112&lt;&gt;""DE"",I112&lt;&gt;""DC"",I112&lt;&gt;""FL"",I112&lt;&gt;""GA"",I112&lt;&gt;""HI"",I112&lt;&gt;""ID"",I112&lt;&gt;""IL"",I112&lt;&gt;""IN"",I112&lt;&gt;""IA"",I112&lt;&gt;""KS"",I112&lt;&gt;""KY"",I112&lt;&gt;"&amp;"""LA"",I112&lt;&gt;""ME"",I112&lt;&gt;""MD"",I112&lt;&gt;""MA"",I112&lt;&gt;""MI"",I112&lt;&gt;""MN"",I112&lt;&gt;""MS"",I112&lt;&gt;""MO"",I112&lt;&gt;""MT"",I112&lt;&gt;""NE"",I112&lt;&gt;""NV"",I112&lt;&gt;""NH"",I112&lt;&gt;""NJ"",I112&lt;&gt;""NM"",I112&lt;&gt;""NY"",I112&lt;&gt;""NC"",I112&lt;&gt;""ND"",I112&lt;&gt;""OH"",I112&lt;&gt;""OK"",I112&lt;&gt;""OR"",I"&amp;"112&lt;&gt;""PA"",I112&lt;&gt;""RI"",I112&lt;&gt;""SC"",I112&lt;&gt;""SD"",I112&lt;&gt;""TN"",I112&lt;&gt;""TX"",I112&lt;&gt;""UT"",I112&lt;&gt;""VT"",I112&lt;&gt;""VA"",I112&lt;&gt;""WA"",I112&lt;&gt;""WV"",I112&lt;&gt;""WI"",I112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2" s="13">
        <f t="shared" ca="1" si="9"/>
        <v>14</v>
      </c>
      <c r="O112" s="13" t="b">
        <f>ISNUMBER(MATCH(C112,'Top 250 HS'!C:C,0))</f>
        <v>0</v>
      </c>
      <c r="P112" s="13" t="str">
        <f ca="1">IFERROR(__xludf.DUMMYFUNCTION("SORTN(FILTER('Top 250 HS'!B:B,'Top 250 HS'!C:C=I112),1,0,randarray(COUNTA(FILTER('Top 250 HS'!B:B,'Top 250 HS'!C:C=I112)),1),TRUE)"),"Bellarmine College Prep (San Jose)")</f>
        <v>Bellarmine College Prep (San Jose)</v>
      </c>
      <c r="Q112" s="13" t="b">
        <f>ISNUMBER(MATCH("*"&amp;E112&amp;"*",'Top 1500 HS LatitudeLongitude'!G:G,0))</f>
        <v>0</v>
      </c>
      <c r="R112" s="13" t="str">
        <f ca="1">IFERROR(__xludf.DUMMYFUNCTION("IFS(L112=10,"""",Q112=false,"""",N112=5,"""",Q112=true,SORTN(FILTER('Top 1500 HS LatitudeLongitude'!B:B,'Top 1500 HS LatitudeLongitude'!C:C=I112,'Top 1500 HS LatitudeLongitude'!E:E=H112),1,0,randarray(COUNTA(FILTER('Top 1500 HS LatitudeLongitude'!B:B,'Top"&amp;" 1500 HS LatitudeLongitude'!C:C=I112,'Top 1500 HS LatitudeLongitude'!E:E=H112)),1),TRUE)
)"),"")</f>
        <v/>
      </c>
      <c r="S112" s="13" t="b">
        <f>ISNUMBER(MATCH("*"&amp;H:H&amp;"*",'Public Schools'!C:C,0))</f>
        <v>1</v>
      </c>
      <c r="T112" s="13" t="str">
        <f ca="1">IFERROR(__xludf.DUMMYFUNCTION("IFERROR(IF(AND(R112="""",S112=true), SORTN(FILTER('Public Schools'!A:A,'Public Schools'!B:B=J112,'Public Schools'!C:C=H112),1,0,randarray(COUNTA(FILTER('Public Schools'!A:A,'Public Schools'!B:B=J112,'Public Schools'!C:C=H112)),1),TRUE),""""),"""")"),"Woodland Senior High School")</f>
        <v>Woodland Senior High School</v>
      </c>
      <c r="U112" s="23" t="str">
        <f t="array" aca="1" ref="U112" ca="1">IF(AND(R112="",T112=""),INDEX('Top 1500 HS LatitudeLongitude'!B$2:B$1501,MATCH(MIN(SQRT(('Top 1500 HS LatitudeLongitude'!H$2:H$1501-F112)^2+('Top 1500 HS LatitudeLongitude'!I$2:I$1501-G112)^2)),SQRT( ('Top 1500 HS LatitudeLongitude'!H$2:H$1501-F112)^2+('Top 1500 HS LatitudeLongitude'!I$2:I$1501-G112)^2),0),1),"")</f>
        <v/>
      </c>
    </row>
    <row r="113" spans="2:21" ht="15.6">
      <c r="B113" s="8">
        <v>0.54897172490000001</v>
      </c>
      <c r="C113" s="9" t="s">
        <v>23</v>
      </c>
      <c r="D113" s="9" t="s">
        <v>334</v>
      </c>
      <c r="E113" s="37" t="s">
        <v>3704</v>
      </c>
      <c r="F113" s="8">
        <v>36.095999999999997</v>
      </c>
      <c r="G113" s="8">
        <v>-79.827500000000001</v>
      </c>
      <c r="H113" s="3" t="str">
        <f t="shared" si="0"/>
        <v>Waterford</v>
      </c>
      <c r="I113" s="3" t="str">
        <f t="shared" si="1"/>
        <v>MI</v>
      </c>
      <c r="J113" s="3" t="str">
        <f t="array" ref="J113">INDEX('State Abbreviations'!$B$2:$B$52,MATCH(I113,'State Abbreviations'!$A$2:$A$52,0))</f>
        <v>Michigan</v>
      </c>
      <c r="K113" s="94" t="e">
        <f t="shared" ca="1" si="2"/>
        <v>#NAME?</v>
      </c>
      <c r="L113" s="13">
        <f t="shared" ca="1" si="8"/>
        <v>23</v>
      </c>
      <c r="M113" s="13" t="str">
        <f ca="1">IFERROR(__xludf.DUMMYFUNCTION("IF(AND(L113&gt;3,I113&lt;&gt;""AL"",I113&lt;&gt;""AK"",I113&lt;&gt;""AZ"",I113&lt;&gt;""AR"",I113&lt;&gt;""CA"",I113&lt;&gt;""CO"",I113&lt;&gt;""CT"",I113&lt;&gt;""DE"",I113&lt;&gt;""DC"",I113&lt;&gt;""FL"",I113&lt;&gt;""GA"",I113&lt;&gt;""HI"",I113&lt;&gt;""ID"",I113&lt;&gt;""IL"",I113&lt;&gt;""IN"",I113&lt;&gt;""IA"",I113&lt;&gt;""KS"",I113&lt;&gt;""KY"",I113&lt;&gt;"&amp;"""LA"",I113&lt;&gt;""ME"",I113&lt;&gt;""MD"",I113&lt;&gt;""MA"",I113&lt;&gt;""MI"",I113&lt;&gt;""MN"",I113&lt;&gt;""MS"",I113&lt;&gt;""MO"",I113&lt;&gt;""MT"",I113&lt;&gt;""NE"",I113&lt;&gt;""NV"",I113&lt;&gt;""NH"",I113&lt;&gt;""NJ"",I113&lt;&gt;""NM"",I113&lt;&gt;""NY"",I113&lt;&gt;""NC"",I113&lt;&gt;""ND"",I113&lt;&gt;""OH"",I113&lt;&gt;""OK"",I113&lt;&gt;""OR"",I"&amp;"113&lt;&gt;""PA"",I113&lt;&gt;""RI"",I113&lt;&gt;""SC"",I113&lt;&gt;""SD"",I113&lt;&gt;""TN"",I113&lt;&gt;""TX"",I113&lt;&gt;""UT"",I113&lt;&gt;""VT"",I113&lt;&gt;""VA"",I113&lt;&gt;""WA"",I113&lt;&gt;""WV"",I113&lt;&gt;""WI"",I113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3" s="13">
        <f t="shared" ca="1" si="9"/>
        <v>7</v>
      </c>
      <c r="O113" s="13" t="b">
        <f>ISNUMBER(MATCH(C113,'Top 250 HS'!C:C,0))</f>
        <v>0</v>
      </c>
      <c r="P113" s="13" t="str">
        <f ca="1">IFERROR(__xludf.DUMMYFUNCTION("SORTN(FILTER('Top 250 HS'!B:B,'Top 250 HS'!C:C=I113),1,0,randarray(COUNTA(FILTER('Top 250 HS'!B:B,'Top 250 HS'!C:C=I113)),1),TRUE)"),"Grand Blanc")</f>
        <v>Grand Blanc</v>
      </c>
      <c r="Q113" s="13" t="b">
        <f>ISNUMBER(MATCH("*"&amp;E113&amp;"*",'Top 1500 HS LatitudeLongitude'!G:G,0))</f>
        <v>0</v>
      </c>
      <c r="R113" s="13" t="str">
        <f ca="1">IFERROR(__xludf.DUMMYFUNCTION("IFS(L113=10,"""",Q113=false,"""",N113=5,"""",Q113=true,SORTN(FILTER('Top 1500 HS LatitudeLongitude'!B:B,'Top 1500 HS LatitudeLongitude'!C:C=I113,'Top 1500 HS LatitudeLongitude'!E:E=H113),1,0,randarray(COUNTA(FILTER('Top 1500 HS LatitudeLongitude'!B:B,'Top"&amp;" 1500 HS LatitudeLongitude'!C:C=I113,'Top 1500 HS LatitudeLongitude'!E:E=H113)),1),TRUE)
)"),"")</f>
        <v/>
      </c>
      <c r="S113" s="13" t="b">
        <f>ISNUMBER(MATCH("*"&amp;H:H&amp;"*",'Public Schools'!C:C,0))</f>
        <v>1</v>
      </c>
      <c r="T113" s="13" t="str">
        <f ca="1">IFERROR(__xludf.DUMMYFUNCTION("IFERROR(IF(AND(R113="""",S113=true), SORTN(FILTER('Public Schools'!A:A,'Public Schools'!B:B=J113,'Public Schools'!C:C=H113),1,0,randarray(COUNTA(FILTER('Public Schools'!A:A,'Public Schools'!B:B=J113,'Public Schools'!C:C=H113)),1),TRUE),""""),"""")"),"Waterford Kettering High School")</f>
        <v>Waterford Kettering High School</v>
      </c>
      <c r="U113" s="23" t="str">
        <f t="array" aca="1" ref="U113" ca="1">IF(AND(R113="",T113=""),INDEX('Top 1500 HS LatitudeLongitude'!B$2:B$1501,MATCH(MIN(SQRT(('Top 1500 HS LatitudeLongitude'!H$2:H$1501-F113)^2+('Top 1500 HS LatitudeLongitude'!I$2:I$1501-G113)^2)),SQRT( ('Top 1500 HS LatitudeLongitude'!H$2:H$1501-F113)^2+('Top 1500 HS LatitudeLongitude'!I$2:I$1501-G113)^2),0),1),"")</f>
        <v/>
      </c>
    </row>
    <row r="114" spans="2:21" ht="15.6">
      <c r="B114" s="8">
        <v>1.429923018E-3</v>
      </c>
      <c r="C114" s="9" t="s">
        <v>300</v>
      </c>
      <c r="D114" s="9" t="s">
        <v>335</v>
      </c>
      <c r="E114" s="98" t="s">
        <v>3750</v>
      </c>
      <c r="F114" s="8">
        <v>55.356699999999996</v>
      </c>
      <c r="G114" s="8">
        <v>-131.6712</v>
      </c>
      <c r="H114" s="3" t="str">
        <f t="shared" si="0"/>
        <v>Appleton</v>
      </c>
      <c r="I114" s="3" t="str">
        <f t="shared" si="1"/>
        <v>WI</v>
      </c>
      <c r="J114" s="3" t="str">
        <f t="array" ref="J114">INDEX('State Abbreviations'!$B$2:$B$52,MATCH(I114,'State Abbreviations'!$A$2:$A$52,0))</f>
        <v>Wisconsin</v>
      </c>
      <c r="K114" s="94" t="e">
        <f t="shared" ca="1" si="2"/>
        <v>#NAME?</v>
      </c>
      <c r="L114" s="13">
        <f t="shared" ca="1" si="8"/>
        <v>23</v>
      </c>
      <c r="M114" s="13" t="str">
        <f ca="1">IFERROR(__xludf.DUMMYFUNCTION("IF(AND(L114&gt;3,I114&lt;&gt;""AL"",I114&lt;&gt;""AK"",I114&lt;&gt;""AZ"",I114&lt;&gt;""AR"",I114&lt;&gt;""CA"",I114&lt;&gt;""CO"",I114&lt;&gt;""CT"",I114&lt;&gt;""DE"",I114&lt;&gt;""DC"",I114&lt;&gt;""FL"",I114&lt;&gt;""GA"",I114&lt;&gt;""HI"",I114&lt;&gt;""ID"",I114&lt;&gt;""IL"",I114&lt;&gt;""IN"",I114&lt;&gt;""IA"",I114&lt;&gt;""KS"",I114&lt;&gt;""KY"",I114&lt;&gt;"&amp;"""LA"",I114&lt;&gt;""ME"",I114&lt;&gt;""MD"",I114&lt;&gt;""MA"",I114&lt;&gt;""MI"",I114&lt;&gt;""MN"",I114&lt;&gt;""MS"",I114&lt;&gt;""MO"",I114&lt;&gt;""MT"",I114&lt;&gt;""NE"",I114&lt;&gt;""NV"",I114&lt;&gt;""NH"",I114&lt;&gt;""NJ"",I114&lt;&gt;""NM"",I114&lt;&gt;""NY"",I114&lt;&gt;""NC"",I114&lt;&gt;""ND"",I114&lt;&gt;""OH"",I114&lt;&gt;""OK"",I114&lt;&gt;""OR"",I"&amp;"114&lt;&gt;""PA"",I114&lt;&gt;""RI"",I114&lt;&gt;""SC"",I114&lt;&gt;""SD"",I114&lt;&gt;""TN"",I114&lt;&gt;""TX"",I114&lt;&gt;""UT"",I114&lt;&gt;""VT"",I114&lt;&gt;""VA"",I114&lt;&gt;""WA"",I114&lt;&gt;""WV"",I114&lt;&gt;""WI"",I114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4" s="13">
        <f t="shared" ca="1" si="9"/>
        <v>12</v>
      </c>
      <c r="O114" s="13" t="b">
        <f>ISNUMBER(MATCH(C114,'Top 250 HS'!C:C,0))</f>
        <v>0</v>
      </c>
      <c r="P114" s="13" t="str">
        <f ca="1">IFERROR(__xludf.DUMMYFUNCTION("SORTN(FILTER('Top 250 HS'!B:B,'Top 250 HS'!C:C=I114),1,0,randarray(COUNTA(FILTER('Top 250 HS'!B:B,'Top 250 HS'!C:C=I114)),1),TRUE)"),"Brookfield Central (Brookfield)")</f>
        <v>Brookfield Central (Brookfield)</v>
      </c>
      <c r="Q114" s="13" t="b">
        <f>ISNUMBER(MATCH("*"&amp;E114&amp;"*",'Top 1500 HS LatitudeLongitude'!G:G,0))</f>
        <v>0</v>
      </c>
      <c r="R114" s="13" t="str">
        <f ca="1">IFERROR(__xludf.DUMMYFUNCTION("IFS(L114=10,"""",Q114=false,"""",N114=5,"""",Q114=true,SORTN(FILTER('Top 1500 HS LatitudeLongitude'!B:B,'Top 1500 HS LatitudeLongitude'!C:C=I114,'Top 1500 HS LatitudeLongitude'!E:E=H114),1,0,randarray(COUNTA(FILTER('Top 1500 HS LatitudeLongitude'!B:B,'Top"&amp;" 1500 HS LatitudeLongitude'!C:C=I114,'Top 1500 HS LatitudeLongitude'!E:E=H114)),1),TRUE)
)"),"")</f>
        <v/>
      </c>
      <c r="S114" s="13" t="b">
        <f>ISNUMBER(MATCH("*"&amp;H:H&amp;"*",'Public Schools'!C:C,0))</f>
        <v>1</v>
      </c>
      <c r="T114" s="13" t="str">
        <f ca="1">IFERROR(__xludf.DUMMYFUNCTION("IFERROR(IF(AND(R114="""",S114=true), SORTN(FILTER('Public Schools'!A:A,'Public Schools'!B:B=J114,'Public Schools'!C:C=H114),1,0,randarray(COUNTA(FILTER('Public Schools'!A:A,'Public Schools'!B:B=J114,'Public Schools'!C:C=H114)),1),TRUE),""""),"""")"),"Renaissance School")</f>
        <v>Renaissance School</v>
      </c>
      <c r="U114" s="23" t="str">
        <f t="array" aca="1" ref="U114" ca="1">IF(AND(R114="",T114=""),INDEX('Top 1500 HS LatitudeLongitude'!B$2:B$1501,MATCH(MIN(SQRT(('Top 1500 HS LatitudeLongitude'!H$2:H$1501-F114)^2+('Top 1500 HS LatitudeLongitude'!I$2:I$1501-G114)^2)),SQRT( ('Top 1500 HS LatitudeLongitude'!H$2:H$1501-F114)^2+('Top 1500 HS LatitudeLongitude'!I$2:I$1501-G114)^2),0),1),"")</f>
        <v/>
      </c>
    </row>
    <row r="115" spans="2:21" ht="15.6">
      <c r="B115" s="8">
        <v>0.77915749089999997</v>
      </c>
      <c r="C115" s="9" t="s">
        <v>243</v>
      </c>
      <c r="D115" s="9" t="s">
        <v>336</v>
      </c>
      <c r="E115" s="37" t="s">
        <v>3798</v>
      </c>
      <c r="F115" s="8">
        <v>34.178199999999997</v>
      </c>
      <c r="G115" s="8">
        <v>-79.784999999999997</v>
      </c>
      <c r="H115" s="3" t="str">
        <f t="shared" si="0"/>
        <v>Pittsburgh</v>
      </c>
      <c r="I115" s="3" t="str">
        <f t="shared" si="1"/>
        <v>PA</v>
      </c>
      <c r="J115" s="3" t="str">
        <f t="array" ref="J115">INDEX('State Abbreviations'!$B$2:$B$52,MATCH(I115,'State Abbreviations'!$A$2:$A$52,0))</f>
        <v>Pennsylvania</v>
      </c>
      <c r="K115" s="94" t="e">
        <f t="shared" ca="1" si="2"/>
        <v>#NAME?</v>
      </c>
      <c r="L115" s="13">
        <f t="shared" ca="1" si="8"/>
        <v>9</v>
      </c>
      <c r="M115" s="13" t="str">
        <f ca="1">IFERROR(__xludf.DUMMYFUNCTION("IF(AND(L115&gt;3,I115&lt;&gt;""AL"",I115&lt;&gt;""AK"",I115&lt;&gt;""AZ"",I115&lt;&gt;""AR"",I115&lt;&gt;""CA"",I115&lt;&gt;""CO"",I115&lt;&gt;""CT"",I115&lt;&gt;""DE"",I115&lt;&gt;""DC"",I115&lt;&gt;""FL"",I115&lt;&gt;""GA"",I115&lt;&gt;""HI"",I115&lt;&gt;""ID"",I115&lt;&gt;""IL"",I115&lt;&gt;""IN"",I115&lt;&gt;""IA"",I115&lt;&gt;""KS"",I115&lt;&gt;""KY"",I115&lt;&gt;"&amp;"""LA"",I115&lt;&gt;""ME"",I115&lt;&gt;""MD"",I115&lt;&gt;""MA"",I115&lt;&gt;""MI"",I115&lt;&gt;""MN"",I115&lt;&gt;""MS"",I115&lt;&gt;""MO"",I115&lt;&gt;""MT"",I115&lt;&gt;""NE"",I115&lt;&gt;""NV"",I115&lt;&gt;""NH"",I115&lt;&gt;""NJ"",I115&lt;&gt;""NM"",I115&lt;&gt;""NY"",I115&lt;&gt;""NC"",I115&lt;&gt;""ND"",I115&lt;&gt;""OH"",I115&lt;&gt;""OK"",I115&lt;&gt;""OR"",I"&amp;"115&lt;&gt;""PA"",I115&lt;&gt;""RI"",I115&lt;&gt;""SC"",I115&lt;&gt;""SD"",I115&lt;&gt;""TN"",I115&lt;&gt;""TX"",I115&lt;&gt;""UT"",I115&lt;&gt;""VT"",I115&lt;&gt;""VA"",I115&lt;&gt;""WA"",I115&lt;&gt;""WV"",I115&lt;&gt;""WI"",I115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5" s="13">
        <f t="shared" ca="1" si="9"/>
        <v>11</v>
      </c>
      <c r="O115" s="13" t="b">
        <f>ISNUMBER(MATCH(C115,'Top 250 HS'!C:C,0))</f>
        <v>0</v>
      </c>
      <c r="P115" s="13" t="str">
        <f ca="1">IFERROR(__xludf.DUMMYFUNCTION("SORTN(FILTER('Top 250 HS'!B:B,'Top 250 HS'!C:C=I115),1,0,randarray(COUNTA(FILTER('Top 250 HS'!B:B,'Top 250 HS'!C:C=I115)),1),TRUE)"),"Neumann-Goretti (Philadelphia)")</f>
        <v>Neumann-Goretti (Philadelphia)</v>
      </c>
      <c r="Q115" s="13" t="b">
        <f>ISNUMBER(MATCH("*"&amp;E115&amp;"*",'Top 1500 HS LatitudeLongitude'!G:G,0))</f>
        <v>1</v>
      </c>
      <c r="R115" s="13" t="str">
        <f ca="1">IFERROR(__xludf.DUMMYFUNCTION("IFS(L115=10,"""",Q115=false,"""",N115=5,"""",Q115=true,SORTN(FILTER('Top 1500 HS LatitudeLongitude'!B:B,'Top 1500 HS LatitudeLongitude'!C:C=I115,'Top 1500 HS LatitudeLongitude'!E:E=H115),1,0,randarray(COUNTA(FILTER('Top 1500 HS LatitudeLongitude'!B:B,'Top"&amp;" 1500 HS LatitudeLongitude'!C:C=I115,'Top 1500 HS LatitudeLongitude'!E:E=H115)),1),TRUE)
)"),"Upper St. Clair")</f>
        <v>Upper St. Clair</v>
      </c>
      <c r="S115" s="13" t="b">
        <f>ISNUMBER(MATCH("*"&amp;H:H&amp;"*",'Public Schools'!C:C,0))</f>
        <v>1</v>
      </c>
      <c r="T115" s="13" t="str">
        <f ca="1">IFERROR(__xludf.DUMMYFUNCTION("IFERROR(IF(AND(R115="""",S115=true), SORTN(FILTER('Public Schools'!A:A,'Public Schools'!B:B=J115,'Public Schools'!C:C=H115),1,0,randarray(COUNTA(FILTER('Public Schools'!A:A,'Public Schools'!B:B=J115,'Public Schools'!C:C=H115)),1),TRUE),""""),"""")"),"")</f>
        <v/>
      </c>
      <c r="U115" s="23" t="str">
        <f t="array" aca="1" ref="U115" ca="1">IF(AND(R115="",T115=""),INDEX('Top 1500 HS LatitudeLongitude'!B$2:B$1501,MATCH(MIN(SQRT(('Top 1500 HS LatitudeLongitude'!H$2:H$1501-F115)^2+('Top 1500 HS LatitudeLongitude'!I$2:I$1501-G115)^2)),SQRT( ('Top 1500 HS LatitudeLongitude'!H$2:H$1501-F115)^2+('Top 1500 HS LatitudeLongitude'!I$2:I$1501-G115)^2),0),1),"")</f>
        <v/>
      </c>
    </row>
    <row r="116" spans="2:21" ht="15.6">
      <c r="B116" s="8">
        <v>0.90179335510000003</v>
      </c>
      <c r="C116" s="9" t="s">
        <v>148</v>
      </c>
      <c r="D116" s="9" t="s">
        <v>337</v>
      </c>
      <c r="E116" s="98" t="s">
        <v>160</v>
      </c>
      <c r="F116" s="8">
        <v>31.6799</v>
      </c>
      <c r="G116" s="8">
        <v>-106.19029999999999</v>
      </c>
      <c r="H116" s="3" t="str">
        <f t="shared" si="0"/>
        <v>Augusta</v>
      </c>
      <c r="I116" s="3" t="str">
        <f t="shared" si="1"/>
        <v>GA</v>
      </c>
      <c r="J116" s="3" t="str">
        <f t="array" ref="J116">INDEX('State Abbreviations'!$B$2:$B$52,MATCH(I116,'State Abbreviations'!$A$2:$A$52,0))</f>
        <v>Georgia</v>
      </c>
      <c r="K116" s="94" t="e">
        <f t="shared" ca="1" si="2"/>
        <v>#NAME?</v>
      </c>
      <c r="L116" s="13">
        <f t="shared" ca="1" si="8"/>
        <v>8</v>
      </c>
      <c r="M116" s="13" t="str">
        <f ca="1">IFERROR(__xludf.DUMMYFUNCTION("IF(AND(L116&gt;3,I116&lt;&gt;""AL"",I116&lt;&gt;""AK"",I116&lt;&gt;""AZ"",I116&lt;&gt;""AR"",I116&lt;&gt;""CA"",I116&lt;&gt;""CO"",I116&lt;&gt;""CT"",I116&lt;&gt;""DE"",I116&lt;&gt;""DC"",I116&lt;&gt;""FL"",I116&lt;&gt;""GA"",I116&lt;&gt;""HI"",I116&lt;&gt;""ID"",I116&lt;&gt;""IL"",I116&lt;&gt;""IN"",I116&lt;&gt;""IA"",I116&lt;&gt;""KS"",I116&lt;&gt;""KY"",I116&lt;&gt;"&amp;"""LA"",I116&lt;&gt;""ME"",I116&lt;&gt;""MD"",I116&lt;&gt;""MA"",I116&lt;&gt;""MI"",I116&lt;&gt;""MN"",I116&lt;&gt;""MS"",I116&lt;&gt;""MO"",I116&lt;&gt;""MT"",I116&lt;&gt;""NE"",I116&lt;&gt;""NV"",I116&lt;&gt;""NH"",I116&lt;&gt;""NJ"",I116&lt;&gt;""NM"",I116&lt;&gt;""NY"",I116&lt;&gt;""NC"",I116&lt;&gt;""ND"",I116&lt;&gt;""OH"",I116&lt;&gt;""OK"",I116&lt;&gt;""OR"",I"&amp;"116&lt;&gt;""PA"",I116&lt;&gt;""RI"",I116&lt;&gt;""SC"",I116&lt;&gt;""SD"",I116&lt;&gt;""TN"",I116&lt;&gt;""TX"",I116&lt;&gt;""UT"",I116&lt;&gt;""VT"",I116&lt;&gt;""VA"",I116&lt;&gt;""WA"",I116&lt;&gt;""WV"",I116&lt;&gt;""WI"",I116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6" s="13">
        <f t="shared" ca="1" si="9"/>
        <v>13</v>
      </c>
      <c r="O116" s="13" t="b">
        <f>ISNUMBER(MATCH(C116,'Top 250 HS'!C:C,0))</f>
        <v>0</v>
      </c>
      <c r="P116" s="13" t="str">
        <f ca="1">IFERROR(__xludf.DUMMYFUNCTION("SORTN(FILTER('Top 250 HS'!B:B,'Top 250 HS'!C:C=I116),1,0,randarray(COUNTA(FILTER('Top 250 HS'!B:B,'Top 250 HS'!C:C=I116)),1),TRUE)"),"St. Francis (Alpharetta)")</f>
        <v>St. Francis (Alpharetta)</v>
      </c>
      <c r="Q116" s="13" t="b">
        <f>ISNUMBER(MATCH("*"&amp;E116&amp;"*",'Top 1500 HS LatitudeLongitude'!G:G,0))</f>
        <v>1</v>
      </c>
      <c r="R116" s="13" t="str">
        <f ca="1">IFERROR(__xludf.DUMMYFUNCTION("IFS(L116=10,"""",Q116=false,"""",N116=5,"""",Q116=true,SORTN(FILTER('Top 1500 HS LatitudeLongitude'!B:B,'Top 1500 HS LatitudeLongitude'!C:C=I116,'Top 1500 HS LatitudeLongitude'!E:E=H116),1,0,randarray(COUNTA(FILTER('Top 1500 HS LatitudeLongitude'!B:B,'Top"&amp;" 1500 HS LatitudeLongitude'!C:C=I116,'Top 1500 HS LatitudeLongitude'!E:E=H116)),1),TRUE)
)"),"Cross Creek (Augusta)")</f>
        <v>Cross Creek (Augusta)</v>
      </c>
      <c r="S116" s="13" t="b">
        <f>ISNUMBER(MATCH("*"&amp;H:H&amp;"*",'Public Schools'!C:C,0))</f>
        <v>1</v>
      </c>
      <c r="T116" s="13" t="str">
        <f ca="1">IFERROR(__xludf.DUMMYFUNCTION("IFERROR(IF(AND(R116="""",S116=true), SORTN(FILTER('Public Schools'!A:A,'Public Schools'!B:B=J116,'Public Schools'!C:C=H116),1,0,randarray(COUNTA(FILTER('Public Schools'!A:A,'Public Schools'!B:B=J116,'Public Schools'!C:C=H116)),1),TRUE),""""),"""")"),"")</f>
        <v/>
      </c>
      <c r="U116" s="23" t="str">
        <f t="array" aca="1" ref="U116" ca="1">IF(AND(R116="",T116=""),INDEX('Top 1500 HS LatitudeLongitude'!B$2:B$1501,MATCH(MIN(SQRT(('Top 1500 HS LatitudeLongitude'!H$2:H$1501-F116)^2+('Top 1500 HS LatitudeLongitude'!I$2:I$1501-G116)^2)),SQRT( ('Top 1500 HS LatitudeLongitude'!H$2:H$1501-F116)^2+('Top 1500 HS LatitudeLongitude'!I$2:I$1501-G116)^2),0),1),"")</f>
        <v/>
      </c>
    </row>
    <row r="117" spans="2:21" ht="15.6">
      <c r="B117" s="8">
        <v>0.34019533439999999</v>
      </c>
      <c r="C117" s="9" t="s">
        <v>47</v>
      </c>
      <c r="D117" s="9" t="s">
        <v>338</v>
      </c>
      <c r="E117" s="37" t="s">
        <v>3888</v>
      </c>
      <c r="F117" s="8">
        <v>41.088500000000003</v>
      </c>
      <c r="G117" s="8">
        <v>-85.143600000000006</v>
      </c>
      <c r="H117" s="3" t="str">
        <f t="shared" si="0"/>
        <v>Yorba Linda</v>
      </c>
      <c r="I117" s="3" t="str">
        <f t="shared" si="1"/>
        <v>CA</v>
      </c>
      <c r="J117" s="3" t="str">
        <f t="array" ref="J117">INDEX('State Abbreviations'!$B$2:$B$52,MATCH(I117,'State Abbreviations'!$A$2:$A$52,0))</f>
        <v>California</v>
      </c>
      <c r="K117" s="94" t="e">
        <f t="shared" ca="1" si="2"/>
        <v>#NAME?</v>
      </c>
      <c r="L117" s="13">
        <f t="shared" ca="1" si="8"/>
        <v>12</v>
      </c>
      <c r="M117" s="13" t="str">
        <f ca="1">IFERROR(__xludf.DUMMYFUNCTION("IF(AND(L117&gt;3,I117&lt;&gt;""AL"",I117&lt;&gt;""AK"",I117&lt;&gt;""AZ"",I117&lt;&gt;""AR"",I117&lt;&gt;""CA"",I117&lt;&gt;""CO"",I117&lt;&gt;""CT"",I117&lt;&gt;""DE"",I117&lt;&gt;""DC"",I117&lt;&gt;""FL"",I117&lt;&gt;""GA"",I117&lt;&gt;""HI"",I117&lt;&gt;""ID"",I117&lt;&gt;""IL"",I117&lt;&gt;""IN"",I117&lt;&gt;""IA"",I117&lt;&gt;""KS"",I117&lt;&gt;""KY"",I117&lt;&gt;"&amp;"""LA"",I117&lt;&gt;""ME"",I117&lt;&gt;""MD"",I117&lt;&gt;""MA"",I117&lt;&gt;""MI"",I117&lt;&gt;""MN"",I117&lt;&gt;""MS"",I117&lt;&gt;""MO"",I117&lt;&gt;""MT"",I117&lt;&gt;""NE"",I117&lt;&gt;""NV"",I117&lt;&gt;""NH"",I117&lt;&gt;""NJ"",I117&lt;&gt;""NM"",I117&lt;&gt;""NY"",I117&lt;&gt;""NC"",I117&lt;&gt;""ND"",I117&lt;&gt;""OH"",I117&lt;&gt;""OK"",I117&lt;&gt;""OR"",I"&amp;"117&lt;&gt;""PA"",I117&lt;&gt;""RI"",I117&lt;&gt;""SC"",I117&lt;&gt;""SD"",I117&lt;&gt;""TN"",I117&lt;&gt;""TX"",I117&lt;&gt;""UT"",I117&lt;&gt;""VT"",I117&lt;&gt;""VA"",I117&lt;&gt;""WA"",I117&lt;&gt;""WV"",I117&lt;&gt;""WI"",I117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7" s="13">
        <f t="shared" ca="1" si="9"/>
        <v>12</v>
      </c>
      <c r="O117" s="13" t="b">
        <f>ISNUMBER(MATCH(C117,'Top 250 HS'!C:C,0))</f>
        <v>0</v>
      </c>
      <c r="P117" s="13" t="str">
        <f ca="1">IFERROR(__xludf.DUMMYFUNCTION("SORTN(FILTER('Top 250 HS'!B:B,'Top 250 HS'!C:C=I117),1,0,randarray(COUNTA(FILTER('Top 250 HS'!B:B,'Top 250 HS'!C:C=I117)),1),TRUE)"),"Mater Dei (Santa Ana)")</f>
        <v>Mater Dei (Santa Ana)</v>
      </c>
      <c r="Q117" s="13" t="b">
        <f>ISNUMBER(MATCH("*"&amp;E117&amp;"*",'Top 1500 HS LatitudeLongitude'!G:G,0))</f>
        <v>0</v>
      </c>
      <c r="R117" s="13" t="str">
        <f ca="1">IFERROR(__xludf.DUMMYFUNCTION("IFS(L117=10,"""",Q117=false,"""",N117=5,"""",Q117=true,SORTN(FILTER('Top 1500 HS LatitudeLongitude'!B:B,'Top 1500 HS LatitudeLongitude'!C:C=I117,'Top 1500 HS LatitudeLongitude'!E:E=H117),1,0,randarray(COUNTA(FILTER('Top 1500 HS LatitudeLongitude'!B:B,'Top"&amp;" 1500 HS LatitudeLongitude'!C:C=I117,'Top 1500 HS LatitudeLongitude'!E:E=H117)),1),TRUE)
)"),"")</f>
        <v/>
      </c>
      <c r="S117" s="13" t="b">
        <f>ISNUMBER(MATCH("*"&amp;H:H&amp;"*",'Public Schools'!C:C,0))</f>
        <v>1</v>
      </c>
      <c r="T117" s="13" t="str">
        <f ca="1">IFERROR(__xludf.DUMMYFUNCTION("IFERROR(IF(AND(R117="""",S117=true), SORTN(FILTER('Public Schools'!A:A,'Public Schools'!B:B=J117,'Public Schools'!C:C=H117),1,0,randarray(COUNTA(FILTER('Public Schools'!A:A,'Public Schools'!B:B=J117,'Public Schools'!C:C=H117)),1),TRUE),""""),"""")"),"Yorba Linda High School")</f>
        <v>Yorba Linda High School</v>
      </c>
      <c r="U117" s="23" t="str">
        <f t="array" aca="1" ref="U117" ca="1">IF(AND(R117="",T117=""),INDEX('Top 1500 HS LatitudeLongitude'!B$2:B$1501,MATCH(MIN(SQRT(('Top 1500 HS LatitudeLongitude'!H$2:H$1501-F117)^2+('Top 1500 HS LatitudeLongitude'!I$2:I$1501-G117)^2)),SQRT( ('Top 1500 HS LatitudeLongitude'!H$2:H$1501-F117)^2+('Top 1500 HS LatitudeLongitude'!I$2:I$1501-G117)^2),0),1),"")</f>
        <v/>
      </c>
    </row>
    <row r="118" spans="2:21" ht="15.6">
      <c r="B118" s="8">
        <v>0.87978403120000004</v>
      </c>
      <c r="C118" s="9" t="s">
        <v>114</v>
      </c>
      <c r="D118" s="9" t="s">
        <v>339</v>
      </c>
      <c r="E118" s="98" t="s">
        <v>3929</v>
      </c>
      <c r="F118" s="8">
        <v>32.454300000000003</v>
      </c>
      <c r="G118" s="8">
        <v>-99.738399999999999</v>
      </c>
      <c r="H118" s="3" t="str">
        <f t="shared" si="0"/>
        <v>Rockledge</v>
      </c>
      <c r="I118" s="3" t="str">
        <f t="shared" si="1"/>
        <v>FL</v>
      </c>
      <c r="J118" s="3" t="str">
        <f t="array" ref="J118">INDEX('State Abbreviations'!$B$2:$B$52,MATCH(I118,'State Abbreviations'!$A$2:$A$52,0))</f>
        <v>Florida</v>
      </c>
      <c r="K118" s="94" t="e">
        <f t="shared" ca="1" si="2"/>
        <v>#NAME?</v>
      </c>
      <c r="L118" s="13">
        <f t="shared" ca="1" si="8"/>
        <v>18</v>
      </c>
      <c r="M118" s="13" t="str">
        <f ca="1">IFERROR(__xludf.DUMMYFUNCTION("IF(AND(L118&gt;3,I118&lt;&gt;""AL"",I118&lt;&gt;""AK"",I118&lt;&gt;""AZ"",I118&lt;&gt;""AR"",I118&lt;&gt;""CA"",I118&lt;&gt;""CO"",I118&lt;&gt;""CT"",I118&lt;&gt;""DE"",I118&lt;&gt;""DC"",I118&lt;&gt;""FL"",I118&lt;&gt;""GA"",I118&lt;&gt;""HI"",I118&lt;&gt;""ID"",I118&lt;&gt;""IL"",I118&lt;&gt;""IN"",I118&lt;&gt;""IA"",I118&lt;&gt;""KS"",I118&lt;&gt;""KY"",I118&lt;&gt;"&amp;"""LA"",I118&lt;&gt;""ME"",I118&lt;&gt;""MD"",I118&lt;&gt;""MA"",I118&lt;&gt;""MI"",I118&lt;&gt;""MN"",I118&lt;&gt;""MS"",I118&lt;&gt;""MO"",I118&lt;&gt;""MT"",I118&lt;&gt;""NE"",I118&lt;&gt;""NV"",I118&lt;&gt;""NH"",I118&lt;&gt;""NJ"",I118&lt;&gt;""NM"",I118&lt;&gt;""NY"",I118&lt;&gt;""NC"",I118&lt;&gt;""ND"",I118&lt;&gt;""OH"",I118&lt;&gt;""OK"",I118&lt;&gt;""OR"",I"&amp;"118&lt;&gt;""PA"",I118&lt;&gt;""RI"",I118&lt;&gt;""SC"",I118&lt;&gt;""SD"",I118&lt;&gt;""TN"",I118&lt;&gt;""TX"",I118&lt;&gt;""UT"",I118&lt;&gt;""VT"",I118&lt;&gt;""VA"",I118&lt;&gt;""WA"",I118&lt;&gt;""WV"",I118&lt;&gt;""WI"",I118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8" s="13">
        <f t="shared" ca="1" si="9"/>
        <v>14</v>
      </c>
      <c r="O118" s="13" t="b">
        <f>ISNUMBER(MATCH(C118,'Top 250 HS'!C:C,0))</f>
        <v>0</v>
      </c>
      <c r="P118" s="13" t="str">
        <f ca="1">IFERROR(__xludf.DUMMYFUNCTION("SORTN(FILTER('Top 250 HS'!B:B,'Top 250 HS'!C:C=I118),1,0,randarray(COUNTA(FILTER('Top 250 HS'!B:B,'Top 250 HS'!C:C=I118)),1),TRUE)"),"Paxon School For Advanced Studies (Jacksonville)")</f>
        <v>Paxon School For Advanced Studies (Jacksonville)</v>
      </c>
      <c r="Q118" s="13" t="b">
        <f>ISNUMBER(MATCH("*"&amp;E118&amp;"*",'Top 1500 HS LatitudeLongitude'!G:G,0))</f>
        <v>0</v>
      </c>
      <c r="R118" s="13" t="str">
        <f ca="1">IFERROR(__xludf.DUMMYFUNCTION("IFS(L118=10,"""",Q118=false,"""",N118=5,"""",Q118=true,SORTN(FILTER('Top 1500 HS LatitudeLongitude'!B:B,'Top 1500 HS LatitudeLongitude'!C:C=I118,'Top 1500 HS LatitudeLongitude'!E:E=H118),1,0,randarray(COUNTA(FILTER('Top 1500 HS LatitudeLongitude'!B:B,'Top"&amp;" 1500 HS LatitudeLongitude'!C:C=I118,'Top 1500 HS LatitudeLongitude'!E:E=H118)),1),TRUE)
)"),"")</f>
        <v/>
      </c>
      <c r="S118" s="13" t="b">
        <f>ISNUMBER(MATCH("*"&amp;H:H&amp;"*",'Public Schools'!C:C,0))</f>
        <v>1</v>
      </c>
      <c r="T118" s="13" t="str">
        <f ca="1">IFERROR(__xludf.DUMMYFUNCTION("IFERROR(IF(AND(R118="""",S118=true), SORTN(FILTER('Public Schools'!A:A,'Public Schools'!B:B=J118,'Public Schools'!C:C=H118),1,0,randarray(COUNTA(FILTER('Public Schools'!A:A,'Public Schools'!B:B=J118,'Public Schools'!C:C=H118)),1),TRUE),""""),"""")"),"Rockledge Senior High School")</f>
        <v>Rockledge Senior High School</v>
      </c>
      <c r="U118" s="23" t="str">
        <f t="array" aca="1" ref="U118" ca="1">IF(AND(R118="",T118=""),INDEX('Top 1500 HS LatitudeLongitude'!B$2:B$1501,MATCH(MIN(SQRT(('Top 1500 HS LatitudeLongitude'!H$2:H$1501-F118)^2+('Top 1500 HS LatitudeLongitude'!I$2:I$1501-G118)^2)),SQRT( ('Top 1500 HS LatitudeLongitude'!H$2:H$1501-F118)^2+('Top 1500 HS LatitudeLongitude'!I$2:I$1501-G118)^2),0),1),"")</f>
        <v/>
      </c>
    </row>
    <row r="119" spans="2:21" ht="15.6">
      <c r="B119" s="8">
        <v>0.84194144370000001</v>
      </c>
      <c r="C119" s="9" t="s">
        <v>264</v>
      </c>
      <c r="D119" s="9" t="s">
        <v>340</v>
      </c>
      <c r="E119" s="37" t="s">
        <v>3967</v>
      </c>
      <c r="F119" s="8">
        <v>29.472200000000001</v>
      </c>
      <c r="G119" s="8">
        <v>-98.524699999999996</v>
      </c>
      <c r="H119" s="3" t="str">
        <f t="shared" si="0"/>
        <v>Hood River</v>
      </c>
      <c r="I119" s="3" t="str">
        <f t="shared" si="1"/>
        <v>OR</v>
      </c>
      <c r="J119" s="3" t="str">
        <f t="array" ref="J119">INDEX('State Abbreviations'!$B$2:$B$52,MATCH(I119,'State Abbreviations'!$A$2:$A$52,0))</f>
        <v>Oregon</v>
      </c>
      <c r="K119" s="94" t="e">
        <f t="shared" ca="1" si="2"/>
        <v>#NAME?</v>
      </c>
      <c r="L119" s="13">
        <f t="shared" ca="1" si="8"/>
        <v>15</v>
      </c>
      <c r="M119" s="13" t="str">
        <f ca="1">IFERROR(__xludf.DUMMYFUNCTION("IF(AND(L119&gt;3,I119&lt;&gt;""AL"",I119&lt;&gt;""AK"",I119&lt;&gt;""AZ"",I119&lt;&gt;""AR"",I119&lt;&gt;""CA"",I119&lt;&gt;""CO"",I119&lt;&gt;""CT"",I119&lt;&gt;""DE"",I119&lt;&gt;""DC"",I119&lt;&gt;""FL"",I119&lt;&gt;""GA"",I119&lt;&gt;""HI"",I119&lt;&gt;""ID"",I119&lt;&gt;""IL"",I119&lt;&gt;""IN"",I119&lt;&gt;""IA"",I119&lt;&gt;""KS"",I119&lt;&gt;""KY"",I119&lt;&gt;"&amp;"""LA"",I119&lt;&gt;""ME"",I119&lt;&gt;""MD"",I119&lt;&gt;""MA"",I119&lt;&gt;""MI"",I119&lt;&gt;""MN"",I119&lt;&gt;""MS"",I119&lt;&gt;""MO"",I119&lt;&gt;""MT"",I119&lt;&gt;""NE"",I119&lt;&gt;""NV"",I119&lt;&gt;""NH"",I119&lt;&gt;""NJ"",I119&lt;&gt;""NM"",I119&lt;&gt;""NY"",I119&lt;&gt;""NC"",I119&lt;&gt;""ND"",I119&lt;&gt;""OH"",I119&lt;&gt;""OK"",I119&lt;&gt;""OR"",I"&amp;"119&lt;&gt;""PA"",I119&lt;&gt;""RI"",I119&lt;&gt;""SC"",I119&lt;&gt;""SD"",I119&lt;&gt;""TN"",I119&lt;&gt;""TX"",I119&lt;&gt;""UT"",I119&lt;&gt;""VT"",I119&lt;&gt;""VA"",I119&lt;&gt;""WA"",I119&lt;&gt;""WV"",I119&lt;&gt;""WI"",I119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St"&amp;"ateInternational'!$G$2:$G$121&lt;&gt;"""")},2,0)),IF(L119=10,ArrayFormula(VLOOKUP(QUERY(UNIQUE(RANDBETWEEN(ROW(INDIRECT(""A1:A""&amp;COUNTA('Leaving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19" s="13">
        <f t="shared" ca="1" si="9"/>
        <v>11</v>
      </c>
      <c r="O119" s="13" t="b">
        <f>ISNUMBER(MATCH(C119,'Top 250 HS'!C:C,0))</f>
        <v>0</v>
      </c>
      <c r="P119" s="13" t="str">
        <f ca="1">IFERROR(__xludf.DUMMYFUNCTION("SORTN(FILTER('Top 250 HS'!B:B,'Top 250 HS'!C:C=I119),1,0,randarray(COUNTA(FILTER('Top 250 HS'!B:B,'Top 250 HS'!C:C=I119)),1),TRUE)"),"Churchill (Eugene)")</f>
        <v>Churchill (Eugene)</v>
      </c>
      <c r="Q119" s="13" t="b">
        <f>ISNUMBER(MATCH("*"&amp;E119&amp;"*",'Top 1500 HS LatitudeLongitude'!G:G,0))</f>
        <v>0</v>
      </c>
      <c r="R119" s="13" t="str">
        <f ca="1">IFERROR(__xludf.DUMMYFUNCTION("IFS(L119=10,"""",Q119=false,"""",N119=5,"""",Q119=true,SORTN(FILTER('Top 1500 HS LatitudeLongitude'!B:B,'Top 1500 HS LatitudeLongitude'!C:C=I119,'Top 1500 HS LatitudeLongitude'!E:E=H119),1,0,randarray(COUNTA(FILTER('Top 1500 HS LatitudeLongitude'!B:B,'Top"&amp;" 1500 HS LatitudeLongitude'!C:C=I119,'Top 1500 HS LatitudeLongitude'!E:E=H119)),1),TRUE)
)"),"")</f>
        <v/>
      </c>
      <c r="S119" s="13" t="b">
        <f>ISNUMBER(MATCH("*"&amp;H:H&amp;"*",'Public Schools'!C:C,0))</f>
        <v>1</v>
      </c>
      <c r="T119" s="13" t="str">
        <f ca="1">IFERROR(__xludf.DUMMYFUNCTION("IFERROR(IF(AND(R119="""",S119=true), SORTN(FILTER('Public Schools'!A:A,'Public Schools'!B:B=J119,'Public Schools'!C:C=H119),1,0,randarray(COUNTA(FILTER('Public Schools'!A:A,'Public Schools'!B:B=J119,'Public Schools'!C:C=H119)),1),TRUE),""""),"""")"),"Hood River Valley High School")</f>
        <v>Hood River Valley High School</v>
      </c>
      <c r="U119" s="23" t="str">
        <f t="array" aca="1" ref="U119" ca="1">IF(AND(R119="",T119=""),INDEX('Top 1500 HS LatitudeLongitude'!B$2:B$1501,MATCH(MIN(SQRT(('Top 1500 HS LatitudeLongitude'!H$2:H$1501-F119)^2+('Top 1500 HS LatitudeLongitude'!I$2:I$1501-G119)^2)),SQRT( ('Top 1500 HS LatitudeLongitude'!H$2:H$1501-F119)^2+('Top 1500 HS LatitudeLongitude'!I$2:I$1501-G119)^2),0),1),"")</f>
        <v/>
      </c>
    </row>
    <row r="120" spans="2:21" ht="15.6">
      <c r="B120" s="8">
        <v>0.66612326460000004</v>
      </c>
      <c r="C120" s="9" t="s">
        <v>341</v>
      </c>
      <c r="D120" s="9" t="s">
        <v>342</v>
      </c>
      <c r="E120" s="98" t="s">
        <v>4005</v>
      </c>
      <c r="F120" s="8">
        <v>40.7834</v>
      </c>
      <c r="G120" s="8">
        <v>-73.966200000000001</v>
      </c>
      <c r="H120" s="3" t="str">
        <f t="shared" si="0"/>
        <v>Norwich</v>
      </c>
      <c r="I120" s="3" t="str">
        <f t="shared" si="1"/>
        <v>CT</v>
      </c>
      <c r="J120" s="3" t="str">
        <f t="array" ref="J120">INDEX('State Abbreviations'!$B$2:$B$52,MATCH(I120,'State Abbreviations'!$A$2:$A$52,0))</f>
        <v>Connecticut</v>
      </c>
      <c r="K120" s="94" t="e">
        <f t="shared" ca="1" si="2"/>
        <v>#NAME?</v>
      </c>
      <c r="L120" s="13">
        <f t="shared" ca="1" si="8"/>
        <v>9</v>
      </c>
      <c r="M120" s="13" t="str">
        <f ca="1">IFERROR(__xludf.DUMMYFUNCTION("IF(AND(L120&gt;3,I120&lt;&gt;""AL"",I120&lt;&gt;""AK"",I120&lt;&gt;""AZ"",I120&lt;&gt;""AR"",I120&lt;&gt;""CA"",I120&lt;&gt;""CO"",I120&lt;&gt;""CT"",I120&lt;&gt;""DE"",I120&lt;&gt;""DC"",I120&lt;&gt;""FL"",I120&lt;&gt;""GA"",I120&lt;&gt;""HI"",I120&lt;&gt;""ID"",I120&lt;&gt;""IL"",I120&lt;&gt;""IN"",I120&lt;&gt;""IA"",I120&lt;&gt;""KS"",I120&lt;&gt;""KY"",I120&lt;&gt;"&amp;"""LA"",I120&lt;&gt;""ME"",I120&lt;&gt;""MD"",I120&lt;&gt;""MA"",I120&lt;&gt;""MI"",I120&lt;&gt;""MN"",I120&lt;&gt;""MS"",I120&lt;&gt;""MO"",I120&lt;&gt;""MT"",I120&lt;&gt;""NE"",I120&lt;&gt;""NV"",I120&lt;&gt;""NH"",I120&lt;&gt;""NJ"",I120&lt;&gt;""NM"",I120&lt;&gt;""NY"",I120&lt;&gt;""NC"",I120&lt;&gt;""ND"",I120&lt;&gt;""OH"",I120&lt;&gt;""OK"",I120&lt;&gt;""OR"",I"&amp;"120&lt;&gt;""PA"",I120&lt;&gt;""RI"",I120&lt;&gt;""SC"",I120&lt;&gt;""SD"",I120&lt;&gt;""TN"",I120&lt;&gt;""TX"",I120&lt;&gt;""UT"",I120&lt;&gt;""VT"",I120&lt;&gt;""VA"",I120&lt;&gt;""WA"",I120&lt;&gt;""WV"",I120&lt;&gt;""WI"",I120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20" s="13">
        <f t="shared" ca="1" si="9"/>
        <v>4</v>
      </c>
      <c r="O120" s="13" t="b">
        <f>ISNUMBER(MATCH(C120,'Top 250 HS'!C:C,0))</f>
        <v>0</v>
      </c>
      <c r="P120" s="13" t="str">
        <f ca="1">IFERROR(__xludf.DUMMYFUNCTION("SORTN(FILTER('Top 250 HS'!B:B,'Top 250 HS'!C:C=I120),1,0,randarray(COUNTA(FILTER('Top 250 HS'!B:B,'Top 250 HS'!C:C=I120)),1),TRUE)"),"#N/A")</f>
        <v>#N/A</v>
      </c>
      <c r="Q120" s="13" t="b">
        <f>ISNUMBER(MATCH("*"&amp;E120&amp;"*",'Top 1500 HS LatitudeLongitude'!G:G,0))</f>
        <v>1</v>
      </c>
      <c r="R120" s="13" t="str">
        <f ca="1">IFERROR(__xludf.DUMMYFUNCTION("IFS(L120=10,"""",Q120=false,"""",N120=5,"""",Q120=true,SORTN(FILTER('Top 1500 HS LatitudeLongitude'!B:B,'Top 1500 HS LatitudeLongitude'!C:C=I120,'Top 1500 HS LatitudeLongitude'!E:E=H120),1,0,randarray(COUNTA(FILTER('Top 1500 HS LatitudeLongitude'!B:B,'Top"&amp;" 1500 HS LatitudeLongitude'!C:C=I120,'Top 1500 HS LatitudeLongitude'!E:E=H120)),1),TRUE)
)"),"Norwich Free Academy (Norwich)")</f>
        <v>Norwich Free Academy (Norwich)</v>
      </c>
      <c r="S120" s="13" t="b">
        <f>ISNUMBER(MATCH("*"&amp;H:H&amp;"*",'Public Schools'!C:C,0))</f>
        <v>1</v>
      </c>
      <c r="T120" s="13" t="str">
        <f ca="1">IFERROR(__xludf.DUMMYFUNCTION("IFERROR(IF(AND(R120="""",S120=true), SORTN(FILTER('Public Schools'!A:A,'Public Schools'!B:B=J120,'Public Schools'!C:C=H120),1,0,randarray(COUNTA(FILTER('Public Schools'!A:A,'Public Schools'!B:B=J120,'Public Schools'!C:C=H120)),1),TRUE),""""),"""")"),"")</f>
        <v/>
      </c>
      <c r="U120" s="23" t="str">
        <f t="array" aca="1" ref="U120" ca="1">IF(AND(R120="",T120=""),INDEX('Top 1500 HS LatitudeLongitude'!B$2:B$1501,MATCH(MIN(SQRT(('Top 1500 HS LatitudeLongitude'!H$2:H$1501-F120)^2+('Top 1500 HS LatitudeLongitude'!I$2:I$1501-G120)^2)),SQRT( ('Top 1500 HS LatitudeLongitude'!H$2:H$1501-F120)^2+('Top 1500 HS LatitudeLongitude'!I$2:I$1501-G120)^2),0),1),"")</f>
        <v/>
      </c>
    </row>
    <row r="121" spans="2:21" ht="15.6">
      <c r="B121" s="8">
        <v>0.16774636579999999</v>
      </c>
      <c r="C121" s="9" t="s">
        <v>343</v>
      </c>
      <c r="D121" s="9" t="s">
        <v>344</v>
      </c>
      <c r="E121" s="37" t="s">
        <v>4050</v>
      </c>
      <c r="F121" s="8">
        <v>27.9937</v>
      </c>
      <c r="G121" s="8">
        <v>-82.445400000000006</v>
      </c>
      <c r="H121" s="3" t="str">
        <f t="shared" si="0"/>
        <v>Hamilton</v>
      </c>
      <c r="I121" s="3" t="str">
        <f t="shared" si="1"/>
        <v>Canada</v>
      </c>
      <c r="J121" s="3" t="e">
        <f t="array" ref="J121">INDEX('State Abbreviations'!$B$2:$B$52,MATCH(I121,'State Abbreviations'!$A$2:$A$52,0))</f>
        <v>#N/A</v>
      </c>
      <c r="K121" s="96" t="e">
        <f t="shared" ca="1" si="2"/>
        <v>#NAME?</v>
      </c>
      <c r="L121" s="13">
        <f t="shared" ca="1" si="8"/>
        <v>21</v>
      </c>
      <c r="M121" s="36" t="str">
        <f ca="1">IFERROR(__xludf.DUMMYFUNCTION("IF(AND(L121&gt;3,I121&lt;&gt;""AL"",I121&lt;&gt;""AK"",I121&lt;&gt;""AZ"",I121&lt;&gt;""AR"",I121&lt;&gt;""CA"",I121&lt;&gt;""CO"",I121&lt;&gt;""CT"",I121&lt;&gt;""DE"",I121&lt;&gt;""DC"",I121&lt;&gt;""FL"",I121&lt;&gt;""GA"",I121&lt;&gt;""HI"",I121&lt;&gt;""ID"",I121&lt;&gt;""IL"",I121&lt;&gt;""IN"",I121&lt;&gt;""IA"",I121&lt;&gt;""KS"",I121&lt;&gt;""KY"",I121&lt;&gt;"&amp;"""LA"",I121&lt;&gt;""ME"",I121&lt;&gt;""MD"",I121&lt;&gt;""MA"",I121&lt;&gt;""MI"",I121&lt;&gt;""MN"",I121&lt;&gt;""MS"",I121&lt;&gt;""MO"",I121&lt;&gt;""MT"",I121&lt;&gt;""NE"",I121&lt;&gt;""NV"",I121&lt;&gt;""NH"",I121&lt;&gt;""NJ"",I121&lt;&gt;""NM"",I121&lt;&gt;""NY"",I121&lt;&gt;""NC"",I121&lt;&gt;""ND"",I121&lt;&gt;""OH"",I121&lt;&gt;""OK"",I121&lt;&gt;""OR"",I"&amp;"121&lt;&gt;""PA"",I121&lt;&gt;""RI"",I121&lt;&gt;""SC"",I121&lt;&gt;""SD"",I121&lt;&gt;""TN"",I121&lt;&gt;""TX"",I121&lt;&gt;""UT"",I121&lt;&gt;""VT"",I121&lt;&gt;""VA"",I121&lt;&gt;""WA"",I121&lt;&gt;""WV"",I121&lt;&gt;""WI"",I121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StateInternational'!$G$2:$G$121&lt;&gt;"""")},2,0)),""""))"),"Dickinson")</f>
        <v>Dickinson</v>
      </c>
      <c r="N121" s="13">
        <f t="shared" ca="1" si="9"/>
        <v>11</v>
      </c>
      <c r="O121" s="13" t="b">
        <f>ISNUMBER(MATCH(C121,'Top 250 HS'!C:C,0))</f>
        <v>0</v>
      </c>
      <c r="P121" s="13" t="str">
        <f ca="1">IFERROR(__xludf.DUMMYFUNCTION("SORTN(FILTER('Top 250 HS'!B:B,'Top 250 HS'!C:C=I121),1,0,randarray(COUNTA(FILTER('Top 250 HS'!B:B,'Top 250 HS'!C:C=I121)),1),TRUE)"),"#N/A")</f>
        <v>#N/A</v>
      </c>
      <c r="Q121" s="13" t="b">
        <f>ISNUMBER(MATCH("*"&amp;E121&amp;"*",'Top 1500 HS LatitudeLongitude'!G:G,0))</f>
        <v>0</v>
      </c>
      <c r="R121" s="13" t="str">
        <f ca="1">IFERROR(__xludf.DUMMYFUNCTION("IFS(L121=10,"""",Q121=false,"""",N121=5,"""",Q121=true,SORTN(FILTER('Top 1500 HS LatitudeLongitude'!B:B,'Top 1500 HS LatitudeLongitude'!C:C=I121,'Top 1500 HS LatitudeLongitude'!E:E=H121),1,0,randarray(COUNTA(FILTER('Top 1500 HS LatitudeLongitude'!B:B,'Top"&amp;" 1500 HS LatitudeLongitude'!C:C=I121,'Top 1500 HS LatitudeLongitude'!E:E=H121)),1),TRUE)
)"),"")</f>
        <v/>
      </c>
      <c r="S121" s="13" t="b">
        <f>ISNUMBER(MATCH("*"&amp;H:H&amp;"*",'Public Schools'!C:C,0))</f>
        <v>1</v>
      </c>
      <c r="T121" s="13" t="str">
        <f ca="1">IFERROR(__xludf.DUMMYFUNCTION("IFERROR(IF(AND(R121="""",S121=true), SORTN(FILTER('Public Schools'!A:A,'Public Schools'!B:B=J121,'Public Schools'!C:C=H121),1,0,randarray(COUNTA(FILTER('Public Schools'!A:A,'Public Schools'!B:B=J121,'Public Schools'!C:C=H121)),1),TRUE),""""),"""")"),"")</f>
        <v/>
      </c>
      <c r="U121" s="23" t="str">
        <f t="array" aca="1" ref="U121" ca="1">IF(AND(R121="",T121=""),INDEX('Top 1500 HS LatitudeLongitude'!B$2:B$1501,MATCH(MIN(SQRT(('Top 1500 HS LatitudeLongitude'!H$2:H$1501-F121)^2+('Top 1500 HS LatitudeLongitude'!I$2:I$1501-G121)^2)),SQRT( ('Top 1500 HS LatitudeLongitude'!H$2:H$1501-F121)^2+('Top 1500 HS LatitudeLongitude'!I$2:I$1501-G121)^2),0),1),"")</f>
        <v>Tampa Catholic (Tampa)</v>
      </c>
    </row>
    <row r="122" spans="2:21" ht="15.6">
      <c r="B122" s="8">
        <v>0.31103097400000002</v>
      </c>
      <c r="C122" s="9" t="s">
        <v>345</v>
      </c>
      <c r="D122" s="9" t="s">
        <v>346</v>
      </c>
      <c r="E122" s="98" t="s">
        <v>4096</v>
      </c>
      <c r="F122" s="8">
        <v>42.027799999999999</v>
      </c>
      <c r="G122" s="8">
        <v>-87.809899999999999</v>
      </c>
      <c r="H122" s="3" t="str">
        <f t="shared" si="0"/>
        <v>Stockholm</v>
      </c>
      <c r="I122" s="3" t="str">
        <f t="shared" si="1"/>
        <v>Sweden</v>
      </c>
      <c r="J122" s="3" t="e">
        <f t="array" ref="J122">INDEX('State Abbreviations'!$B$2:$B$52,MATCH(I122,'State Abbreviations'!$A$2:$A$52,0))</f>
        <v>#N/A</v>
      </c>
      <c r="K122" s="96" t="e">
        <f t="shared" ca="1" si="2"/>
        <v>#NAME?</v>
      </c>
      <c r="L122" s="13">
        <f t="shared" ca="1" si="8"/>
        <v>18</v>
      </c>
      <c r="M122" s="36" t="str">
        <f ca="1">IFERROR(__xludf.DUMMYFUNCTION("IF(AND(L122&gt;3,I122&lt;&gt;""AL"",I122&lt;&gt;""AK"",I122&lt;&gt;""AZ"",I122&lt;&gt;""AR"",I122&lt;&gt;""CA"",I122&lt;&gt;""CO"",I122&lt;&gt;""CT"",I122&lt;&gt;""DE"",I122&lt;&gt;""DC"",I122&lt;&gt;""FL"",I122&lt;&gt;""GA"",I122&lt;&gt;""HI"",I122&lt;&gt;""ID"",I122&lt;&gt;""IL"",I122&lt;&gt;""IN"",I122&lt;&gt;""IA"",I122&lt;&gt;""KS"",I122&lt;&gt;""KY"",I122&lt;&gt;"&amp;"""LA"",I122&lt;&gt;""ME"",I122&lt;&gt;""MD"",I122&lt;&gt;""MA"",I122&lt;&gt;""MI"",I122&lt;&gt;""MN"",I122&lt;&gt;""MS"",I122&lt;&gt;""MO"",I122&lt;&gt;""MT"",I122&lt;&gt;""NE"",I122&lt;&gt;""NV"",I122&lt;&gt;""NH"",I122&lt;&gt;""NJ"",I122&lt;&gt;""NM"",I122&lt;&gt;""NY"",I122&lt;&gt;""NC"",I122&lt;&gt;""ND"",I122&lt;&gt;""OH"",I122&lt;&gt;""OK"",I122&lt;&gt;""OR"",I"&amp;"122&lt;&gt;""PA"",I122&lt;&gt;""RI"",I122&lt;&gt;""SC"",I122&lt;&gt;""SD"",I122&lt;&gt;""TN"",I122&lt;&gt;""TX"",I122&lt;&gt;""UT"",I122&lt;&gt;""VT"",I122&lt;&gt;""VA"",I122&lt;&gt;""WA"",I122&lt;&gt;""WV"",I122&lt;&gt;""WI"",I122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StateInternational'!$G$2:$G$121&lt;&gt;"""")},2,0)),""""))"),"DeMatha (Hyattsville)")</f>
        <v>DeMatha (Hyattsville)</v>
      </c>
      <c r="N122" s="13">
        <f t="shared" ca="1" si="9"/>
        <v>5</v>
      </c>
      <c r="O122" s="13" t="b">
        <f>ISNUMBER(MATCH(C122,'Top 250 HS'!C:C,0))</f>
        <v>0</v>
      </c>
      <c r="P122" s="13" t="str">
        <f ca="1">IFERROR(__xludf.DUMMYFUNCTION("SORTN(FILTER('Top 250 HS'!B:B,'Top 250 HS'!C:C=I122),1,0,randarray(COUNTA(FILTER('Top 250 HS'!B:B,'Top 250 HS'!C:C=I122)),1),TRUE)"),"#N/A")</f>
        <v>#N/A</v>
      </c>
      <c r="Q122" s="13" t="b">
        <f>ISNUMBER(MATCH("*"&amp;E122&amp;"*",'Top 1500 HS LatitudeLongitude'!G:G,0))</f>
        <v>0</v>
      </c>
      <c r="R122" s="13" t="str">
        <f ca="1">IFERROR(__xludf.DUMMYFUNCTION("IFS(L122=10,"""",Q122=false,"""",N122=5,"""",Q122=true,SORTN(FILTER('Top 1500 HS LatitudeLongitude'!B:B,'Top 1500 HS LatitudeLongitude'!C:C=I122,'Top 1500 HS LatitudeLongitude'!E:E=H122),1,0,randarray(COUNTA(FILTER('Top 1500 HS LatitudeLongitude'!B:B,'Top"&amp;" 1500 HS LatitudeLongitude'!C:C=I122,'Top 1500 HS LatitudeLongitude'!E:E=H122)),1),TRUE)
)"),"")</f>
        <v/>
      </c>
      <c r="S122" s="13" t="b">
        <f>ISNUMBER(MATCH("*"&amp;H:H&amp;"*",'Public Schools'!C:C,0))</f>
        <v>0</v>
      </c>
      <c r="T122" s="13" t="str">
        <f ca="1">IFERROR(__xludf.DUMMYFUNCTION("IFERROR(IF(AND(R122="""",S122=true), SORTN(FILTER('Public Schools'!A:A,'Public Schools'!B:B=J122,'Public Schools'!C:C=H122),1,0,randarray(COUNTA(FILTER('Public Schools'!A:A,'Public Schools'!B:B=J122,'Public Schools'!C:C=H122)),1),TRUE),""""),"""")"),"")</f>
        <v/>
      </c>
      <c r="U122" s="23" t="str">
        <f t="array" aca="1" ref="U122" ca="1">IF(AND(R122="",T122=""),INDEX('Top 1500 HS LatitudeLongitude'!B$2:B$1501,MATCH(MIN(SQRT(('Top 1500 HS LatitudeLongitude'!H$2:H$1501-F122)^2+('Top 1500 HS LatitudeLongitude'!I$2:I$1501-G122)^2)),SQRT( ('Top 1500 HS LatitudeLongitude'!H$2:H$1501-F122)^2+('Top 1500 HS LatitudeLongitude'!I$2:I$1501-G122)^2),0),1),"")</f>
        <v>Niles Notre Dame (Niles)</v>
      </c>
    </row>
    <row r="123" spans="2:21" ht="15.6">
      <c r="B123" s="8">
        <v>0.32766454360000002</v>
      </c>
      <c r="C123" s="9" t="s">
        <v>23</v>
      </c>
      <c r="D123" s="9" t="s">
        <v>347</v>
      </c>
      <c r="E123" s="37" t="s">
        <v>4146</v>
      </c>
      <c r="F123" s="8">
        <v>42.454700000000003</v>
      </c>
      <c r="G123" s="8">
        <v>-88.240399999999994</v>
      </c>
      <c r="H123" s="3" t="str">
        <f t="shared" si="0"/>
        <v>Ann Arbor</v>
      </c>
      <c r="I123" s="3" t="str">
        <f t="shared" si="1"/>
        <v>MI</v>
      </c>
      <c r="J123" s="3" t="str">
        <f t="array" ref="J123">INDEX('State Abbreviations'!$B$2:$B$52,MATCH(I123,'State Abbreviations'!$A$2:$A$52,0))</f>
        <v>Michigan</v>
      </c>
      <c r="K123" s="94" t="e">
        <f t="shared" ca="1" si="2"/>
        <v>#NAME?</v>
      </c>
      <c r="L123" s="13">
        <f t="shared" ca="1" si="8"/>
        <v>24</v>
      </c>
      <c r="M123" s="13" t="str">
        <f ca="1">IFERROR(__xludf.DUMMYFUNCTION("IF(AND(L123&gt;3,I123&lt;&gt;""AL"",I123&lt;&gt;""AK"",I123&lt;&gt;""AZ"",I123&lt;&gt;""AR"",I123&lt;&gt;""CA"",I123&lt;&gt;""CO"",I123&lt;&gt;""CT"",I123&lt;&gt;""DE"",I123&lt;&gt;""DC"",I123&lt;&gt;""FL"",I123&lt;&gt;""GA"",I123&lt;&gt;""HI"",I123&lt;&gt;""ID"",I123&lt;&gt;""IL"",I123&lt;&gt;""IN"",I123&lt;&gt;""IA"",I123&lt;&gt;""KS"",I123&lt;&gt;""KY"",I123&lt;&gt;"&amp;"""LA"",I123&lt;&gt;""ME"",I123&lt;&gt;""MD"",I123&lt;&gt;""MA"",I123&lt;&gt;""MI"",I123&lt;&gt;""MN"",I123&lt;&gt;""MS"",I123&lt;&gt;""MO"",I123&lt;&gt;""MT"",I123&lt;&gt;""NE"",I123&lt;&gt;""NV"",I123&lt;&gt;""NH"",I123&lt;&gt;""NJ"",I123&lt;&gt;""NM"",I123&lt;&gt;""NY"",I123&lt;&gt;""NC"",I123&lt;&gt;""ND"",I123&lt;&gt;""OH"",I123&lt;&gt;""OK"",I123&lt;&gt;""OR"",I"&amp;"123&lt;&gt;""PA"",I123&lt;&gt;""RI"",I123&lt;&gt;""SC"",I123&lt;&gt;""SD"",I123&lt;&gt;""TN"",I123&lt;&gt;""TX"",I123&lt;&gt;""UT"",I123&lt;&gt;""VT"",I123&lt;&gt;""VA"",I123&lt;&gt;""WA"",I123&lt;&gt;""WV"",I123&lt;&gt;""WI"",I123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23" s="13">
        <f t="shared" ca="1" si="9"/>
        <v>13</v>
      </c>
      <c r="O123" s="13" t="b">
        <f>ISNUMBER(MATCH(C123,'Top 250 HS'!C:C,0))</f>
        <v>0</v>
      </c>
      <c r="P123" s="13" t="str">
        <f ca="1">IFERROR(__xludf.DUMMYFUNCTION("SORTN(FILTER('Top 250 HS'!B:B,'Top 250 HS'!C:C=I123),1,0,randarray(COUNTA(FILTER('Top 250 HS'!B:B,'Top 250 HS'!C:C=I123)),1),TRUE)"),"Huron (Ann Arbor)")</f>
        <v>Huron (Ann Arbor)</v>
      </c>
      <c r="Q123" s="13" t="b">
        <f>ISNUMBER(MATCH("*"&amp;E123&amp;"*",'Top 1500 HS LatitudeLongitude'!G:G,0))</f>
        <v>1</v>
      </c>
      <c r="R123" s="13" t="str">
        <f ca="1">IFERROR(__xludf.DUMMYFUNCTION("IFS(L123=10,"""",Q123=false,"""",N123=5,"""",Q123=true,SORTN(FILTER('Top 1500 HS LatitudeLongitude'!B:B,'Top 1500 HS LatitudeLongitude'!C:C=I123,'Top 1500 HS LatitudeLongitude'!E:E=H123),1,0,randarray(COUNTA(FILTER('Top 1500 HS LatitudeLongitude'!B:B,'Top"&amp;" 1500 HS LatitudeLongitude'!C:C=I123,'Top 1500 HS LatitudeLongitude'!E:E=H123)),1),TRUE)
)"),"Huron (Ann Arbor)")</f>
        <v>Huron (Ann Arbor)</v>
      </c>
      <c r="S123" s="13" t="b">
        <f>ISNUMBER(MATCH("*"&amp;H:H&amp;"*",'Public Schools'!C:C,0))</f>
        <v>1</v>
      </c>
      <c r="T123" s="13" t="str">
        <f ca="1">IFERROR(__xludf.DUMMYFUNCTION("IFERROR(IF(AND(R123="""",S123=true), SORTN(FILTER('Public Schools'!A:A,'Public Schools'!B:B=J123,'Public Schools'!C:C=H123),1,0,randarray(COUNTA(FILTER('Public Schools'!A:A,'Public Schools'!B:B=J123,'Public Schools'!C:C=H123)),1),TRUE),""""),"""")"),"")</f>
        <v/>
      </c>
      <c r="U123" s="23" t="str">
        <f t="array" aca="1" ref="U123" ca="1">IF(AND(R123="",T123=""),INDEX('Top 1500 HS LatitudeLongitude'!B$2:B$1501,MATCH(MIN(SQRT(('Top 1500 HS LatitudeLongitude'!H$2:H$1501-F123)^2+('Top 1500 HS LatitudeLongitude'!I$2:I$1501-G123)^2)),SQRT( ('Top 1500 HS LatitudeLongitude'!H$2:H$1501-F123)^2+('Top 1500 HS LatitudeLongitude'!I$2:I$1501-G123)^2),0),1),"")</f>
        <v/>
      </c>
    </row>
    <row r="124" spans="2:21" ht="15.6">
      <c r="B124" s="8">
        <v>0.32902286159999999</v>
      </c>
      <c r="C124" s="9" t="s">
        <v>47</v>
      </c>
      <c r="D124" s="9" t="s">
        <v>348</v>
      </c>
      <c r="E124" s="98" t="s">
        <v>4185</v>
      </c>
      <c r="F124" s="8">
        <v>41.988999999999997</v>
      </c>
      <c r="G124" s="8">
        <v>-87.871700000000004</v>
      </c>
      <c r="H124" s="3" t="str">
        <f t="shared" si="0"/>
        <v>Sacramento</v>
      </c>
      <c r="I124" s="3" t="str">
        <f t="shared" si="1"/>
        <v>CA</v>
      </c>
      <c r="J124" s="3" t="str">
        <f t="array" ref="J124">INDEX('State Abbreviations'!$B$2:$B$52,MATCH(I124,'State Abbreviations'!$A$2:$A$52,0))</f>
        <v>California</v>
      </c>
      <c r="K124" s="94" t="e">
        <f t="shared" ca="1" si="2"/>
        <v>#NAME?</v>
      </c>
      <c r="L124" s="13">
        <f t="shared" ca="1" si="8"/>
        <v>25</v>
      </c>
      <c r="M124" s="13" t="str">
        <f ca="1">IFERROR(__xludf.DUMMYFUNCTION("IF(AND(L124&gt;3,I124&lt;&gt;""AL"",I124&lt;&gt;""AK"",I124&lt;&gt;""AZ"",I124&lt;&gt;""AR"",I124&lt;&gt;""CA"",I124&lt;&gt;""CO"",I124&lt;&gt;""CT"",I124&lt;&gt;""DE"",I124&lt;&gt;""DC"",I124&lt;&gt;""FL"",I124&lt;&gt;""GA"",I124&lt;&gt;""HI"",I124&lt;&gt;""ID"",I124&lt;&gt;""IL"",I124&lt;&gt;""IN"",I124&lt;&gt;""IA"",I124&lt;&gt;""KS"",I124&lt;&gt;""KY"",I124&lt;&gt;"&amp;"""LA"",I124&lt;&gt;""ME"",I124&lt;&gt;""MD"",I124&lt;&gt;""MA"",I124&lt;&gt;""MI"",I124&lt;&gt;""MN"",I124&lt;&gt;""MS"",I124&lt;&gt;""MO"",I124&lt;&gt;""MT"",I124&lt;&gt;""NE"",I124&lt;&gt;""NV"",I124&lt;&gt;""NH"",I124&lt;&gt;""NJ"",I124&lt;&gt;""NM"",I124&lt;&gt;""NY"",I124&lt;&gt;""NC"",I124&lt;&gt;""ND"",I124&lt;&gt;""OH"",I124&lt;&gt;""OK"",I124&lt;&gt;""OR"",I"&amp;"124&lt;&gt;""PA"",I124&lt;&gt;""RI"",I124&lt;&gt;""SC"",I124&lt;&gt;""SD"",I124&lt;&gt;""TN"",I124&lt;&gt;""TX"",I124&lt;&gt;""UT"",I124&lt;&gt;""VT"",I124&lt;&gt;""VA"",I124&lt;&gt;""WA"",I124&lt;&gt;""WV"",I124&lt;&gt;""WI"",I124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24" s="13">
        <f t="shared" ca="1" si="9"/>
        <v>1</v>
      </c>
      <c r="O124" s="13" t="b">
        <f>ISNUMBER(MATCH(C124,'Top 250 HS'!C:C,0))</f>
        <v>0</v>
      </c>
      <c r="P124" s="13" t="str">
        <f ca="1">IFERROR(__xludf.DUMMYFUNCTION("SORTN(FILTER('Top 250 HS'!B:B,'Top 250 HS'!C:C=I124),1,0,randarray(COUNTA(FILTER('Top 250 HS'!B:B,'Top 250 HS'!C:C=I124)),1),TRUE)"),"Prolific Prep of Napa Christian (Napa)")</f>
        <v>Prolific Prep of Napa Christian (Napa)</v>
      </c>
      <c r="Q124" s="13" t="b">
        <f>ISNUMBER(MATCH("*"&amp;E124&amp;"*",'Top 1500 HS LatitudeLongitude'!G:G,0))</f>
        <v>1</v>
      </c>
      <c r="R124" s="13" t="str">
        <f ca="1">IFERROR(__xludf.DUMMYFUNCTION("IFS(L124=10,"""",Q124=false,"""",N124=5,"""",Q124=true,SORTN(FILTER('Top 1500 HS LatitudeLongitude'!B:B,'Top 1500 HS LatitudeLongitude'!C:C=I124,'Top 1500 HS LatitudeLongitude'!E:E=H124),1,0,randarray(COUNTA(FILTER('Top 1500 HS LatitudeLongitude'!B:B,'Top"&amp;" 1500 HS LatitudeLongitude'!C:C=I124,'Top 1500 HS LatitudeLongitude'!E:E=H124)),1),TRUE)
)"),"Sacramento")</f>
        <v>Sacramento</v>
      </c>
      <c r="S124" s="13" t="b">
        <f>ISNUMBER(MATCH("*"&amp;H:H&amp;"*",'Public Schools'!C:C,0))</f>
        <v>1</v>
      </c>
      <c r="T124" s="13" t="str">
        <f ca="1">IFERROR(__xludf.DUMMYFUNCTION("IFERROR(IF(AND(R124="""",S124=true), SORTN(FILTER('Public Schools'!A:A,'Public Schools'!B:B=J124,'Public Schools'!C:C=H124),1,0,randarray(COUNTA(FILTER('Public Schools'!A:A,'Public Schools'!B:B=J124,'Public Schools'!C:C=H124)),1),TRUE),""""),"""")"),"")</f>
        <v/>
      </c>
      <c r="U124" s="23" t="str">
        <f t="array" aca="1" ref="U124" ca="1">IF(AND(R124="",T124=""),INDEX('Top 1500 HS LatitudeLongitude'!B$2:B$1501,MATCH(MIN(SQRT(('Top 1500 HS LatitudeLongitude'!H$2:H$1501-F124)^2+('Top 1500 HS LatitudeLongitude'!I$2:I$1501-G124)^2)),SQRT( ('Top 1500 HS LatitudeLongitude'!H$2:H$1501-F124)^2+('Top 1500 HS LatitudeLongitude'!I$2:I$1501-G124)^2),0),1),"")</f>
        <v/>
      </c>
    </row>
    <row r="125" spans="2:21" ht="15.6">
      <c r="B125" s="8">
        <v>0.2317120365</v>
      </c>
      <c r="C125" s="9" t="s">
        <v>245</v>
      </c>
      <c r="D125" s="9" t="s">
        <v>349</v>
      </c>
      <c r="E125" s="37" t="s">
        <v>4231</v>
      </c>
      <c r="F125" s="8">
        <v>31.5776</v>
      </c>
      <c r="G125" s="8">
        <v>-84.176199999999994</v>
      </c>
      <c r="H125" s="3" t="str">
        <f t="shared" si="0"/>
        <v>Renton</v>
      </c>
      <c r="I125" s="3" t="str">
        <f t="shared" si="1"/>
        <v>WA</v>
      </c>
      <c r="J125" s="3" t="str">
        <f t="array" ref="J125">INDEX('State Abbreviations'!$B$2:$B$52,MATCH(I125,'State Abbreviations'!$A$2:$A$52,0))</f>
        <v>Washington</v>
      </c>
      <c r="K125" s="94" t="e">
        <f t="shared" ca="1" si="2"/>
        <v>#NAME?</v>
      </c>
      <c r="L125" s="13">
        <f t="shared" ca="1" si="8"/>
        <v>3</v>
      </c>
      <c r="M125" s="13" t="str">
        <f ca="1">IFERROR(__xludf.DUMMYFUNCTION("IF(AND(L125&gt;3,I125&lt;&gt;""AL"",I125&lt;&gt;""AK"",I125&lt;&gt;""AZ"",I125&lt;&gt;""AR"",I125&lt;&gt;""CA"",I125&lt;&gt;""CO"",I125&lt;&gt;""CT"",I125&lt;&gt;""DE"",I125&lt;&gt;""DC"",I125&lt;&gt;""FL"",I125&lt;&gt;""GA"",I125&lt;&gt;""HI"",I125&lt;&gt;""ID"",I125&lt;&gt;""IL"",I125&lt;&gt;""IN"",I125&lt;&gt;""IA"",I125&lt;&gt;""KS"",I125&lt;&gt;""KY"",I125&lt;&gt;"&amp;"""LA"",I125&lt;&gt;""ME"",I125&lt;&gt;""MD"",I125&lt;&gt;""MA"",I125&lt;&gt;""MI"",I125&lt;&gt;""MN"",I125&lt;&gt;""MS"",I125&lt;&gt;""MO"",I125&lt;&gt;""MT"",I125&lt;&gt;""NE"",I125&lt;&gt;""NV"",I125&lt;&gt;""NH"",I125&lt;&gt;""NJ"",I125&lt;&gt;""NM"",I125&lt;&gt;""NY"",I125&lt;&gt;""NC"",I125&lt;&gt;""ND"",I125&lt;&gt;""OH"",I125&lt;&gt;""OK"",I125&lt;&gt;""OR"",I"&amp;"125&lt;&gt;""PA"",I125&lt;&gt;""RI"",I125&lt;&gt;""SC"",I125&lt;&gt;""SD"",I125&lt;&gt;""TN"",I125&lt;&gt;""TX"",I125&lt;&gt;""UT"",I125&lt;&gt;""VT"",I125&lt;&gt;""VA"",I125&lt;&gt;""WA"",I125&lt;&gt;""WV"",I125&lt;&gt;""WI"",I125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25" s="13">
        <f t="shared" ca="1" si="9"/>
        <v>15</v>
      </c>
      <c r="O125" s="13" t="b">
        <f>ISNUMBER(MATCH(C125,'Top 250 HS'!C:C,0))</f>
        <v>0</v>
      </c>
      <c r="P125" s="13" t="str">
        <f ca="1">IFERROR(__xludf.DUMMYFUNCTION("SORTN(FILTER('Top 250 HS'!B:B,'Top 250 HS'!C:C=I125),1,0,randarray(COUNTA(FILTER('Top 250 HS'!B:B,'Top 250 HS'!C:C=I125)),1),TRUE)"),"Union (Vancouver)")</f>
        <v>Union (Vancouver)</v>
      </c>
      <c r="Q125" s="13" t="b">
        <f>ISNUMBER(MATCH("*"&amp;E125&amp;"*",'Top 1500 HS LatitudeLongitude'!G:G,0))</f>
        <v>0</v>
      </c>
      <c r="R125" s="13" t="str">
        <f ca="1">IFERROR(__xludf.DUMMYFUNCTION("IFS(L125=10,"""",Q125=false,"""",N125=5,"""",Q125=true,SORTN(FILTER('Top 1500 HS LatitudeLongitude'!B:B,'Top 1500 HS LatitudeLongitude'!C:C=I125,'Top 1500 HS LatitudeLongitude'!E:E=H125),1,0,randarray(COUNTA(FILTER('Top 1500 HS LatitudeLongitude'!B:B,'Top"&amp;" 1500 HS LatitudeLongitude'!C:C=I125,'Top 1500 HS LatitudeLongitude'!E:E=H125)),1),TRUE)
)"),"")</f>
        <v/>
      </c>
      <c r="S125" s="13" t="b">
        <f>ISNUMBER(MATCH("*"&amp;H:H&amp;"*",'Public Schools'!C:C,0))</f>
        <v>1</v>
      </c>
      <c r="T125" s="13" t="str">
        <f ca="1">IFERROR(__xludf.DUMMYFUNCTION("IFERROR(IF(AND(R125="""",S125=true), SORTN(FILTER('Public Schools'!A:A,'Public Schools'!B:B=J125,'Public Schools'!C:C=H125),1,0,randarray(COUNTA(FILTER('Public Schools'!A:A,'Public Schools'!B:B=J125,'Public Schools'!C:C=H125)),1),TRUE),""""),"""")"),"Hazen Senior High School")</f>
        <v>Hazen Senior High School</v>
      </c>
      <c r="U125" s="23" t="str">
        <f t="array" aca="1" ref="U125" ca="1">IF(AND(R125="",T125=""),INDEX('Top 1500 HS LatitudeLongitude'!B$2:B$1501,MATCH(MIN(SQRT(('Top 1500 HS LatitudeLongitude'!H$2:H$1501-F125)^2+('Top 1500 HS LatitudeLongitude'!I$2:I$1501-G125)^2)),SQRT( ('Top 1500 HS LatitudeLongitude'!H$2:H$1501-F125)^2+('Top 1500 HS LatitudeLongitude'!I$2:I$1501-G125)^2),0),1),"")</f>
        <v/>
      </c>
    </row>
    <row r="126" spans="2:21" ht="15.6">
      <c r="B126" s="8">
        <v>0.74184282349999997</v>
      </c>
      <c r="C126" s="9" t="s">
        <v>256</v>
      </c>
      <c r="D126" s="9" t="s">
        <v>350</v>
      </c>
      <c r="E126" s="98" t="s">
        <v>109</v>
      </c>
      <c r="F126" s="8">
        <v>40.007599999999996</v>
      </c>
      <c r="G126" s="8">
        <v>-75.134</v>
      </c>
      <c r="H126" s="3" t="str">
        <f t="shared" si="0"/>
        <v>Nashville</v>
      </c>
      <c r="I126" s="3" t="str">
        <f t="shared" si="1"/>
        <v>TN</v>
      </c>
      <c r="J126" s="3" t="str">
        <f t="array" ref="J126">INDEX('State Abbreviations'!$B$2:$B$52,MATCH(I126,'State Abbreviations'!$A$2:$A$52,0))</f>
        <v>Tennessee</v>
      </c>
      <c r="K126" s="94" t="e">
        <f t="shared" ca="1" si="2"/>
        <v>#NAME?</v>
      </c>
      <c r="L126" s="13">
        <f t="shared" ca="1" si="8"/>
        <v>19</v>
      </c>
      <c r="M126" s="13" t="str">
        <f ca="1">IFERROR(__xludf.DUMMYFUNCTION("IF(AND(L126&gt;3,I126&lt;&gt;""AL"",I126&lt;&gt;""AK"",I126&lt;&gt;""AZ"",I126&lt;&gt;""AR"",I126&lt;&gt;""CA"",I126&lt;&gt;""CO"",I126&lt;&gt;""CT"",I126&lt;&gt;""DE"",I126&lt;&gt;""DC"",I126&lt;&gt;""FL"",I126&lt;&gt;""GA"",I126&lt;&gt;""HI"",I126&lt;&gt;""ID"",I126&lt;&gt;""IL"",I126&lt;&gt;""IN"",I126&lt;&gt;""IA"",I126&lt;&gt;""KS"",I126&lt;&gt;""KY"",I126&lt;&gt;"&amp;"""LA"",I126&lt;&gt;""ME"",I126&lt;&gt;""MD"",I126&lt;&gt;""MA"",I126&lt;&gt;""MI"",I126&lt;&gt;""MN"",I126&lt;&gt;""MS"",I126&lt;&gt;""MO"",I126&lt;&gt;""MT"",I126&lt;&gt;""NE"",I126&lt;&gt;""NV"",I126&lt;&gt;""NH"",I126&lt;&gt;""NJ"",I126&lt;&gt;""NM"",I126&lt;&gt;""NY"",I126&lt;&gt;""NC"",I126&lt;&gt;""ND"",I126&lt;&gt;""OH"",I126&lt;&gt;""OK"",I126&lt;&gt;""OR"",I"&amp;"126&lt;&gt;""PA"",I126&lt;&gt;""RI"",I126&lt;&gt;""SC"",I126&lt;&gt;""SD"",I126&lt;&gt;""TN"",I126&lt;&gt;""TX"",I126&lt;&gt;""UT"",I126&lt;&gt;""VT"",I126&lt;&gt;""VA"",I126&lt;&gt;""WA"",I126&lt;&gt;""WV"",I126&lt;&gt;""WI"",I126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26" s="13">
        <f t="shared" ca="1" si="9"/>
        <v>3</v>
      </c>
      <c r="O126" s="13" t="b">
        <f>ISNUMBER(MATCH(C126,'Top 250 HS'!C:C,0))</f>
        <v>0</v>
      </c>
      <c r="P126" s="13" t="str">
        <f ca="1">IFERROR(__xludf.DUMMYFUNCTION("SORTN(FILTER('Top 250 HS'!B:B,'Top 250 HS'!C:C=I126),1,0,randarray(COUNTA(FILTER('Top 250 HS'!B:B,'Top 250 HS'!C:C=I126)),1),TRUE)"),"Hamilton Heights Christian Academy (Chattanooga)")</f>
        <v>Hamilton Heights Christian Academy (Chattanooga)</v>
      </c>
      <c r="Q126" s="13" t="b">
        <f>ISNUMBER(MATCH("*"&amp;E126&amp;"*",'Top 1500 HS LatitudeLongitude'!G:G,0))</f>
        <v>1</v>
      </c>
      <c r="R126" s="13" t="str">
        <f ca="1">IFERROR(__xludf.DUMMYFUNCTION("IFS(L126=10,"""",Q126=false,"""",N126=5,"""",Q126=true,SORTN(FILTER('Top 1500 HS LatitudeLongitude'!B:B,'Top 1500 HS LatitudeLongitude'!C:C=I126,'Top 1500 HS LatitudeLongitude'!E:E=H126),1,0,randarray(COUNTA(FILTER('Top 1500 HS LatitudeLongitude'!B:B,'Top"&amp;" 1500 HS LatitudeLongitude'!C:C=I126,'Top 1500 HS LatitudeLongitude'!E:E=H126)),1),TRUE)
)"),"Montgomery Bell Academy (Nashville)")</f>
        <v>Montgomery Bell Academy (Nashville)</v>
      </c>
      <c r="S126" s="13" t="b">
        <f>ISNUMBER(MATCH("*"&amp;H:H&amp;"*",'Public Schools'!C:C,0))</f>
        <v>1</v>
      </c>
      <c r="T126" s="13" t="str">
        <f ca="1">IFERROR(__xludf.DUMMYFUNCTION("IFERROR(IF(AND(R126="""",S126=true), SORTN(FILTER('Public Schools'!A:A,'Public Schools'!B:B=J126,'Public Schools'!C:C=H126),1,0,randarray(COUNTA(FILTER('Public Schools'!A:A,'Public Schools'!B:B=J126,'Public Schools'!C:C=H126)),1),TRUE),""""),"""")"),"")</f>
        <v/>
      </c>
      <c r="U126" s="23" t="str">
        <f t="array" aca="1" ref="U126" ca="1">IF(AND(R126="",T126=""),INDEX('Top 1500 HS LatitudeLongitude'!B$2:B$1501,MATCH(MIN(SQRT(('Top 1500 HS LatitudeLongitude'!H$2:H$1501-F126)^2+('Top 1500 HS LatitudeLongitude'!I$2:I$1501-G126)^2)),SQRT( ('Top 1500 HS LatitudeLongitude'!H$2:H$1501-F126)^2+('Top 1500 HS LatitudeLongitude'!I$2:I$1501-G126)^2),0),1),"")</f>
        <v/>
      </c>
    </row>
    <row r="127" spans="2:21" ht="15.6">
      <c r="B127" s="8">
        <v>0.71202411139999999</v>
      </c>
      <c r="C127" s="9" t="s">
        <v>273</v>
      </c>
      <c r="D127" s="9" t="s">
        <v>351</v>
      </c>
      <c r="E127" s="37" t="s">
        <v>4323</v>
      </c>
      <c r="F127" s="8">
        <v>40.805399999999999</v>
      </c>
      <c r="G127" s="8">
        <v>-82.971900000000005</v>
      </c>
      <c r="H127" s="3" t="str">
        <f t="shared" si="0"/>
        <v>Kansas City</v>
      </c>
      <c r="I127" s="3" t="str">
        <f t="shared" si="1"/>
        <v>MO</v>
      </c>
      <c r="J127" s="3" t="str">
        <f t="array" ref="J127">INDEX('State Abbreviations'!$B$2:$B$52,MATCH(I127,'State Abbreviations'!$A$2:$A$52,0))</f>
        <v>Missouri</v>
      </c>
      <c r="K127" s="94" t="e">
        <f t="shared" ca="1" si="2"/>
        <v>#NAME?</v>
      </c>
      <c r="L127" s="13">
        <f t="shared" ca="1" si="8"/>
        <v>4</v>
      </c>
      <c r="M127" s="13" t="str">
        <f ca="1">IFERROR(__xludf.DUMMYFUNCTION("IF(AND(L127&gt;3,I127&lt;&gt;""AL"",I127&lt;&gt;""AK"",I127&lt;&gt;""AZ"",I127&lt;&gt;""AR"",I127&lt;&gt;""CA"",I127&lt;&gt;""CO"",I127&lt;&gt;""CT"",I127&lt;&gt;""DE"",I127&lt;&gt;""DC"",I127&lt;&gt;""FL"",I127&lt;&gt;""GA"",I127&lt;&gt;""HI"",I127&lt;&gt;""ID"",I127&lt;&gt;""IL"",I127&lt;&gt;""IN"",I127&lt;&gt;""IA"",I127&lt;&gt;""KS"",I127&lt;&gt;""KY"",I127&lt;&gt;"&amp;"""LA"",I127&lt;&gt;""ME"",I127&lt;&gt;""MD"",I127&lt;&gt;""MA"",I127&lt;&gt;""MI"",I127&lt;&gt;""MN"",I127&lt;&gt;""MS"",I127&lt;&gt;""MO"",I127&lt;&gt;""MT"",I127&lt;&gt;""NE"",I127&lt;&gt;""NV"",I127&lt;&gt;""NH"",I127&lt;&gt;""NJ"",I127&lt;&gt;""NM"",I127&lt;&gt;""NY"",I127&lt;&gt;""NC"",I127&lt;&gt;""ND"",I127&lt;&gt;""OH"",I127&lt;&gt;""OK"",I127&lt;&gt;""OR"",I"&amp;"127&lt;&gt;""PA"",I127&lt;&gt;""RI"",I127&lt;&gt;""SC"",I127&lt;&gt;""SD"",I127&lt;&gt;""TN"",I127&lt;&gt;""TX"",I127&lt;&gt;""UT"",I127&lt;&gt;""VT"",I127&lt;&gt;""VA"",I127&lt;&gt;""WA"",I127&lt;&gt;""WV"",I127&lt;&gt;""WI"",I127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27" s="13">
        <f t="shared" ca="1" si="9"/>
        <v>2</v>
      </c>
      <c r="O127" s="13" t="b">
        <f>ISNUMBER(MATCH(C127,'Top 250 HS'!C:C,0))</f>
        <v>0</v>
      </c>
      <c r="P127" s="13" t="str">
        <f ca="1">IFERROR(__xludf.DUMMYFUNCTION("SORTN(FILTER('Top 250 HS'!B:B,'Top 250 HS'!C:C=I127),1,0,randarray(COUNTA(FILTER('Top 250 HS'!B:B,'Top 250 HS'!C:C=I127)),1),TRUE)"),"Vashon (St. Louis)")</f>
        <v>Vashon (St. Louis)</v>
      </c>
      <c r="Q127" s="13" t="b">
        <f>ISNUMBER(MATCH("*"&amp;E127&amp;"*",'Top 1500 HS LatitudeLongitude'!G:G,0))</f>
        <v>1</v>
      </c>
      <c r="R127" s="13" t="str">
        <f ca="1">IFERROR(__xludf.DUMMYFUNCTION("IFS(L127=10,"""",Q127=false,"""",N127=5,"""",Q127=true,SORTN(FILTER('Top 1500 HS LatitudeLongitude'!B:B,'Top 1500 HS LatitudeLongitude'!C:C=I127,'Top 1500 HS LatitudeLongitude'!E:E=H127),1,0,randarray(COUNTA(FILTER('Top 1500 HS LatitudeLongitude'!B:B,'Top"&amp;" 1500 HS LatitudeLongitude'!C:C=I127,'Top 1500 HS LatitudeLongitude'!E:E=H127)),1),TRUE)
)"),"Raytown")</f>
        <v>Raytown</v>
      </c>
      <c r="S127" s="13" t="b">
        <f>ISNUMBER(MATCH("*"&amp;H:H&amp;"*",'Public Schools'!C:C,0))</f>
        <v>1</v>
      </c>
      <c r="T127" s="13" t="str">
        <f ca="1">IFERROR(__xludf.DUMMYFUNCTION("IFERROR(IF(AND(R127="""",S127=true), SORTN(FILTER('Public Schools'!A:A,'Public Schools'!B:B=J127,'Public Schools'!C:C=H127),1,0,randarray(COUNTA(FILTER('Public Schools'!A:A,'Public Schools'!B:B=J127,'Public Schools'!C:C=H127)),1),TRUE),""""),"""")"),"")</f>
        <v/>
      </c>
      <c r="U127" s="23" t="str">
        <f t="array" aca="1" ref="U127" ca="1">IF(AND(R127="",T127=""),INDEX('Top 1500 HS LatitudeLongitude'!B$2:B$1501,MATCH(MIN(SQRT(('Top 1500 HS LatitudeLongitude'!H$2:H$1501-F127)^2+('Top 1500 HS LatitudeLongitude'!I$2:I$1501-G127)^2)),SQRT( ('Top 1500 HS LatitudeLongitude'!H$2:H$1501-F127)^2+('Top 1500 HS LatitudeLongitude'!I$2:I$1501-G127)^2),0),1),"")</f>
        <v/>
      </c>
    </row>
    <row r="128" spans="2:21" ht="15.6">
      <c r="B128" s="8">
        <v>0.90740428230000003</v>
      </c>
      <c r="C128" s="9" t="s">
        <v>148</v>
      </c>
      <c r="D128" s="9" t="s">
        <v>352</v>
      </c>
      <c r="E128" s="98" t="s">
        <v>4358</v>
      </c>
      <c r="F128" s="8">
        <v>29.766300000000001</v>
      </c>
      <c r="G128" s="8">
        <v>-95.241100000000003</v>
      </c>
      <c r="H128" s="3" t="str">
        <f t="shared" si="0"/>
        <v>Suwanee</v>
      </c>
      <c r="I128" s="3" t="str">
        <f t="shared" si="1"/>
        <v>GA</v>
      </c>
      <c r="J128" s="3" t="str">
        <f t="array" ref="J128">INDEX('State Abbreviations'!$B$2:$B$52,MATCH(I128,'State Abbreviations'!$A$2:$A$52,0))</f>
        <v>Georgia</v>
      </c>
      <c r="K128" s="94" t="e">
        <f t="shared" ca="1" si="2"/>
        <v>#NAME?</v>
      </c>
      <c r="L128" s="13">
        <f t="shared" ca="1" si="8"/>
        <v>1</v>
      </c>
      <c r="M128" s="13" t="str">
        <f ca="1">IFERROR(__xludf.DUMMYFUNCTION("IF(AND(L128&gt;3,I128&lt;&gt;""AL"",I128&lt;&gt;""AK"",I128&lt;&gt;""AZ"",I128&lt;&gt;""AR"",I128&lt;&gt;""CA"",I128&lt;&gt;""CO"",I128&lt;&gt;""CT"",I128&lt;&gt;""DE"",I128&lt;&gt;""DC"",I128&lt;&gt;""FL"",I128&lt;&gt;""GA"",I128&lt;&gt;""HI"",I128&lt;&gt;""ID"",I128&lt;&gt;""IL"",I128&lt;&gt;""IN"",I128&lt;&gt;""IA"",I128&lt;&gt;""KS"",I128&lt;&gt;""KY"",I128&lt;&gt;"&amp;"""LA"",I128&lt;&gt;""ME"",I128&lt;&gt;""MD"",I128&lt;&gt;""MA"",I128&lt;&gt;""MI"",I128&lt;&gt;""MN"",I128&lt;&gt;""MS"",I128&lt;&gt;""MO"",I128&lt;&gt;""MT"",I128&lt;&gt;""NE"",I128&lt;&gt;""NV"",I128&lt;&gt;""NH"",I128&lt;&gt;""NJ"",I128&lt;&gt;""NM"",I128&lt;&gt;""NY"",I128&lt;&gt;""NC"",I128&lt;&gt;""ND"",I128&lt;&gt;""OH"",I128&lt;&gt;""OK"",I128&lt;&gt;""OR"",I"&amp;"128&lt;&gt;""PA"",I128&lt;&gt;""RI"",I128&lt;&gt;""SC"",I128&lt;&gt;""SD"",I128&lt;&gt;""TN"",I128&lt;&gt;""TX"",I128&lt;&gt;""UT"",I128&lt;&gt;""VT"",I128&lt;&gt;""VA"",I128&lt;&gt;""WA"",I128&lt;&gt;""WV"",I128&lt;&gt;""WI"",I128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28" s="13">
        <f t="shared" ca="1" si="9"/>
        <v>3</v>
      </c>
      <c r="O128" s="13" t="b">
        <f>ISNUMBER(MATCH(C128,'Top 250 HS'!C:C,0))</f>
        <v>0</v>
      </c>
      <c r="P128" s="13" t="str">
        <f ca="1">IFERROR(__xludf.DUMMYFUNCTION("SORTN(FILTER('Top 250 HS'!B:B,'Top 250 HS'!C:C=I128),1,0,randarray(COUNTA(FILTER('Top 250 HS'!B:B,'Top 250 HS'!C:C=I128)),1),TRUE)"),"Pace Academy (Atlanta)")</f>
        <v>Pace Academy (Atlanta)</v>
      </c>
      <c r="Q128" s="13" t="b">
        <f>ISNUMBER(MATCH("*"&amp;E128&amp;"*",'Top 1500 HS LatitudeLongitude'!G:G,0))</f>
        <v>0</v>
      </c>
      <c r="R128" s="13" t="str">
        <f ca="1">IFERROR(__xludf.DUMMYFUNCTION("IFS(L128=10,"""",Q128=false,"""",N128=5,"""",Q128=true,SORTN(FILTER('Top 1500 HS LatitudeLongitude'!B:B,'Top 1500 HS LatitudeLongitude'!C:C=I128,'Top 1500 HS LatitudeLongitude'!E:E=H128),1,0,randarray(COUNTA(FILTER('Top 1500 HS LatitudeLongitude'!B:B,'Top"&amp;" 1500 HS LatitudeLongitude'!C:C=I128,'Top 1500 HS LatitudeLongitude'!E:E=H128)),1),TRUE)
)"),"")</f>
        <v/>
      </c>
      <c r="S128" s="13" t="b">
        <f>ISNUMBER(MATCH("*"&amp;H:H&amp;"*",'Public Schools'!C:C,0))</f>
        <v>1</v>
      </c>
      <c r="T128" s="13" t="str">
        <f ca="1">IFERROR(__xludf.DUMMYFUNCTION("IFERROR(IF(AND(R128="""",S128=true), SORTN(FILTER('Public Schools'!A:A,'Public Schools'!B:B=J128,'Public Schools'!C:C=H128),1,0,randarray(COUNTA(FILTER('Public Schools'!A:A,'Public Schools'!B:B=J128,'Public Schools'!C:C=H128)),1),TRUE),""""),"""")"),"Peachtree Ridge High School")</f>
        <v>Peachtree Ridge High School</v>
      </c>
      <c r="U128" s="23" t="str">
        <f t="array" aca="1" ref="U128" ca="1">IF(AND(R128="",T128=""),INDEX('Top 1500 HS LatitudeLongitude'!B$2:B$1501,MATCH(MIN(SQRT(('Top 1500 HS LatitudeLongitude'!H$2:H$1501-F128)^2+('Top 1500 HS LatitudeLongitude'!I$2:I$1501-G128)^2)),SQRT( ('Top 1500 HS LatitudeLongitude'!H$2:H$1501-F128)^2+('Top 1500 HS LatitudeLongitude'!I$2:I$1501-G128)^2),0),1),"")</f>
        <v/>
      </c>
    </row>
    <row r="129" spans="2:21" ht="15.6">
      <c r="B129" s="8">
        <v>0.47782381330000001</v>
      </c>
      <c r="C129" s="9" t="s">
        <v>320</v>
      </c>
      <c r="D129" s="9" t="s">
        <v>353</v>
      </c>
      <c r="E129" s="37" t="s">
        <v>4394</v>
      </c>
      <c r="F129" s="8">
        <v>42.319200000000002</v>
      </c>
      <c r="G129" s="8">
        <v>-83.380600000000001</v>
      </c>
      <c r="H129" s="3" t="str">
        <f t="shared" si="0"/>
        <v>Aurora</v>
      </c>
      <c r="I129" s="3" t="str">
        <f t="shared" si="1"/>
        <v>CO</v>
      </c>
      <c r="J129" s="3" t="str">
        <f t="array" ref="J129">INDEX('State Abbreviations'!$B$2:$B$52,MATCH(I129,'State Abbreviations'!$A$2:$A$52,0))</f>
        <v>Colorado</v>
      </c>
      <c r="K129" s="94" t="e">
        <f t="shared" ca="1" si="2"/>
        <v>#NAME?</v>
      </c>
      <c r="L129" s="13">
        <f t="shared" ca="1" si="8"/>
        <v>10</v>
      </c>
      <c r="M129" s="13" t="str">
        <f ca="1">IFERROR(__xludf.DUMMYFUNCTION("IF(AND(L129&gt;3,I129&lt;&gt;""AL"",I129&lt;&gt;""AK"",I129&lt;&gt;""AZ"",I129&lt;&gt;""AR"",I129&lt;&gt;""CA"",I129&lt;&gt;""CO"",I129&lt;&gt;""CT"",I129&lt;&gt;""DE"",I129&lt;&gt;""DC"",I129&lt;&gt;""FL"",I129&lt;&gt;""GA"",I129&lt;&gt;""HI"",I129&lt;&gt;""ID"",I129&lt;&gt;""IL"",I129&lt;&gt;""IN"",I129&lt;&gt;""IA"",I129&lt;&gt;""KS"",I129&lt;&gt;""KY"",I129&lt;&gt;"&amp;"""LA"",I129&lt;&gt;""ME"",I129&lt;&gt;""MD"",I129&lt;&gt;""MA"",I129&lt;&gt;""MI"",I129&lt;&gt;""MN"",I129&lt;&gt;""MS"",I129&lt;&gt;""MO"",I129&lt;&gt;""MT"",I129&lt;&gt;""NE"",I129&lt;&gt;""NV"",I129&lt;&gt;""NH"",I129&lt;&gt;""NJ"",I129&lt;&gt;""NM"",I129&lt;&gt;""NY"",I129&lt;&gt;""NC"",I129&lt;&gt;""ND"",I129&lt;&gt;""OH"",I129&lt;&gt;""OK"",I129&lt;&gt;""OR"",I"&amp;"129&lt;&gt;""PA"",I129&lt;&gt;""RI"",I129&lt;&gt;""SC"",I129&lt;&gt;""SD"",I129&lt;&gt;""TN"",I129&lt;&gt;""TX"",I129&lt;&gt;""UT"",I129&lt;&gt;""VT"",I129&lt;&gt;""VA"",I129&lt;&gt;""WA"",I129&lt;&gt;""WV"",I129&lt;&gt;""WI"",I129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St"&amp;"ateInternational'!$G$2:$G$121&lt;&gt;"""")},2,0)),IF(L129=10,ArrayFormula(VLOOKUP(QUERY(UNIQUE(RANDBETWEEN(ROW(INDIRECT(""A1:A""&amp;COUNTA('Leaving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29" s="13">
        <f t="shared" ca="1" si="9"/>
        <v>5</v>
      </c>
      <c r="O129" s="13" t="b">
        <f>ISNUMBER(MATCH(C129,'Top 250 HS'!C:C,0))</f>
        <v>0</v>
      </c>
      <c r="P129" s="13" t="str">
        <f ca="1">IFERROR(__xludf.DUMMYFUNCTION("SORTN(FILTER('Top 250 HS'!B:B,'Top 250 HS'!C:C=I129),1,0,randarray(COUNTA(FILTER('Top 250 HS'!B:B,'Top 250 HS'!C:C=I129)),1),TRUE)"),"#N/A")</f>
        <v>#N/A</v>
      </c>
      <c r="Q129" s="13" t="b">
        <f>ISNUMBER(MATCH("*"&amp;E129&amp;"*",'Top 1500 HS LatitudeLongitude'!G:G,0))</f>
        <v>1</v>
      </c>
      <c r="R129" s="13" t="str">
        <f ca="1">IFERROR(__xludf.DUMMYFUNCTION("IFS(L129=10,"""",Q129=false,"""",N129=5,"""",Q129=true,SORTN(FILTER('Top 1500 HS LatitudeLongitude'!B:B,'Top 1500 HS LatitudeLongitude'!C:C=I129,'Top 1500 HS LatitudeLongitude'!E:E=H129),1,0,randarray(COUNTA(FILTER('Top 1500 HS LatitudeLongitude'!B:B,'Top"&amp;" 1500 HS LatitudeLongitude'!C:C=I129,'Top 1500 HS LatitudeLongitude'!E:E=H129)),1),TRUE)
)"),"Grandview (Aurora)")</f>
        <v>Grandview (Aurora)</v>
      </c>
      <c r="S129" s="13" t="b">
        <f>ISNUMBER(MATCH("*"&amp;H:H&amp;"*",'Public Schools'!C:C,0))</f>
        <v>1</v>
      </c>
      <c r="T129" s="13" t="str">
        <f ca="1">IFERROR(__xludf.DUMMYFUNCTION("IFERROR(IF(AND(R129="""",S129=true), SORTN(FILTER('Public Schools'!A:A,'Public Schools'!B:B=J129,'Public Schools'!C:C=H129),1,0,randarray(COUNTA(FILTER('Public Schools'!A:A,'Public Schools'!B:B=J129,'Public Schools'!C:C=H129)),1),TRUE),""""),"""")"),"")</f>
        <v/>
      </c>
      <c r="U129" s="23" t="str">
        <f t="array" aca="1" ref="U129" ca="1">IF(AND(R129="",T129=""),INDEX('Top 1500 HS LatitudeLongitude'!B$2:B$1501,MATCH(MIN(SQRT(('Top 1500 HS LatitudeLongitude'!H$2:H$1501-F129)^2+('Top 1500 HS LatitudeLongitude'!I$2:I$1501-G129)^2)),SQRT( ('Top 1500 HS LatitudeLongitude'!H$2:H$1501-F129)^2+('Top 1500 HS LatitudeLongitude'!I$2:I$1501-G129)^2),0),1),"")</f>
        <v/>
      </c>
    </row>
    <row r="130" spans="2:21" ht="15.6">
      <c r="B130" s="8">
        <v>0.25905324610000002</v>
      </c>
      <c r="C130" s="9" t="s">
        <v>114</v>
      </c>
      <c r="D130" s="9" t="s">
        <v>354</v>
      </c>
      <c r="E130" s="98" t="s">
        <v>4431</v>
      </c>
      <c r="F130" s="8">
        <v>34.144100000000002</v>
      </c>
      <c r="G130" s="8">
        <v>-84.932699999999997</v>
      </c>
      <c r="H130" s="3" t="str">
        <f t="shared" si="0"/>
        <v>Naples</v>
      </c>
      <c r="I130" s="3" t="str">
        <f t="shared" si="1"/>
        <v>FL</v>
      </c>
      <c r="J130" s="3" t="str">
        <f t="array" ref="J130">INDEX('State Abbreviations'!$B$2:$B$52,MATCH(I130,'State Abbreviations'!$A$2:$A$52,0))</f>
        <v>Florida</v>
      </c>
      <c r="K130" s="94" t="e">
        <f t="shared" ca="1" si="2"/>
        <v>#NAME?</v>
      </c>
      <c r="L130" s="13">
        <f t="shared" ca="1" si="8"/>
        <v>2</v>
      </c>
      <c r="M130" s="13" t="str">
        <f ca="1">IFERROR(__xludf.DUMMYFUNCTION("IF(AND(L130&gt;3,I130&lt;&gt;""AL"",I130&lt;&gt;""AK"",I130&lt;&gt;""AZ"",I130&lt;&gt;""AR"",I130&lt;&gt;""CA"",I130&lt;&gt;""CO"",I130&lt;&gt;""CT"",I130&lt;&gt;""DE"",I130&lt;&gt;""DC"",I130&lt;&gt;""FL"",I130&lt;&gt;""GA"",I130&lt;&gt;""HI"",I130&lt;&gt;""ID"",I130&lt;&gt;""IL"",I130&lt;&gt;""IN"",I130&lt;&gt;""IA"",I130&lt;&gt;""KS"",I130&lt;&gt;""KY"",I130&lt;&gt;"&amp;"""LA"",I130&lt;&gt;""ME"",I130&lt;&gt;""MD"",I130&lt;&gt;""MA"",I130&lt;&gt;""MI"",I130&lt;&gt;""MN"",I130&lt;&gt;""MS"",I130&lt;&gt;""MO"",I130&lt;&gt;""MT"",I130&lt;&gt;""NE"",I130&lt;&gt;""NV"",I130&lt;&gt;""NH"",I130&lt;&gt;""NJ"",I130&lt;&gt;""NM"",I130&lt;&gt;""NY"",I130&lt;&gt;""NC"",I130&lt;&gt;""ND"",I130&lt;&gt;""OH"",I130&lt;&gt;""OK"",I130&lt;&gt;""OR"",I"&amp;"130&lt;&gt;""PA"",I130&lt;&gt;""RI"",I130&lt;&gt;""SC"",I130&lt;&gt;""SD"",I130&lt;&gt;""TN"",I130&lt;&gt;""TX"",I130&lt;&gt;""UT"",I130&lt;&gt;""VT"",I130&lt;&gt;""VA"",I130&lt;&gt;""WA"",I130&lt;&gt;""WV"",I130&lt;&gt;""WI"",I130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0" s="13">
        <f t="shared" ca="1" si="9"/>
        <v>5</v>
      </c>
      <c r="O130" s="13" t="b">
        <f>ISNUMBER(MATCH(C130,'Top 250 HS'!C:C,0))</f>
        <v>0</v>
      </c>
      <c r="P130" s="13" t="str">
        <f ca="1">IFERROR(__xludf.DUMMYFUNCTION("SORTN(FILTER('Top 250 HS'!B:B,'Top 250 HS'!C:C=I130),1,0,randarray(COUNTA(FILTER('Top 250 HS'!B:B,'Top 250 HS'!C:C=I130)),1),TRUE)"),"Tampa Catholic (Tampa)")</f>
        <v>Tampa Catholic (Tampa)</v>
      </c>
      <c r="Q130" s="13" t="b">
        <f>ISNUMBER(MATCH("*"&amp;E130&amp;"*",'Top 1500 HS LatitudeLongitude'!G:G,0))</f>
        <v>1</v>
      </c>
      <c r="R130" s="13" t="str">
        <f ca="1">IFERROR(__xludf.DUMMYFUNCTION("IFS(L130=10,"""",Q130=false,"""",N130=5,"""",Q130=true,SORTN(FILTER('Top 1500 HS LatitudeLongitude'!B:B,'Top 1500 HS LatitudeLongitude'!C:C=I130,'Top 1500 HS LatitudeLongitude'!E:E=H130),1,0,randarray(COUNTA(FILTER('Top 1500 HS LatitudeLongitude'!B:B,'Top"&amp;" 1500 HS LatitudeLongitude'!C:C=I130,'Top 1500 HS LatitudeLongitude'!E:E=H130)),1),TRUE)
)"),"Community School of Naples (Naples)")</f>
        <v>Community School of Naples (Naples)</v>
      </c>
      <c r="S130" s="13" t="b">
        <f>ISNUMBER(MATCH("*"&amp;H:H&amp;"*",'Public Schools'!C:C,0))</f>
        <v>1</v>
      </c>
      <c r="T130" s="13" t="str">
        <f ca="1">IFERROR(__xludf.DUMMYFUNCTION("IFERROR(IF(AND(R130="""",S130=true), SORTN(FILTER('Public Schools'!A:A,'Public Schools'!B:B=J130,'Public Schools'!C:C=H130),1,0,randarray(COUNTA(FILTER('Public Schools'!A:A,'Public Schools'!B:B=J130,'Public Schools'!C:C=H130)),1),TRUE),""""),"""")"),"")</f>
        <v/>
      </c>
      <c r="U130" s="23" t="str">
        <f t="array" aca="1" ref="U130" ca="1">IF(AND(R130="",T130=""),INDEX('Top 1500 HS LatitudeLongitude'!B$2:B$1501,MATCH(MIN(SQRT(('Top 1500 HS LatitudeLongitude'!H$2:H$1501-F130)^2+('Top 1500 HS LatitudeLongitude'!I$2:I$1501-G130)^2)),SQRT( ('Top 1500 HS LatitudeLongitude'!H$2:H$1501-F130)^2+('Top 1500 HS LatitudeLongitude'!I$2:I$1501-G130)^2),0),1),"")</f>
        <v/>
      </c>
    </row>
    <row r="131" spans="2:21" ht="15.6">
      <c r="B131" s="8">
        <v>0.79638513320000004</v>
      </c>
      <c r="C131" s="9" t="s">
        <v>228</v>
      </c>
      <c r="D131" s="9" t="s">
        <v>356</v>
      </c>
      <c r="E131" s="37" t="s">
        <v>4468</v>
      </c>
      <c r="F131" s="8">
        <v>35.104700000000001</v>
      </c>
      <c r="G131" s="8">
        <v>-89.9773</v>
      </c>
      <c r="H131" s="3" t="str">
        <f t="shared" si="0"/>
        <v>Columbia</v>
      </c>
      <c r="I131" s="3" t="str">
        <f t="shared" si="1"/>
        <v>MD</v>
      </c>
      <c r="J131" s="3" t="str">
        <f t="array" ref="J131">INDEX('State Abbreviations'!$B$2:$B$52,MATCH(I131,'State Abbreviations'!$A$2:$A$52,0))</f>
        <v>Maryland</v>
      </c>
      <c r="K131" s="94" t="e">
        <f t="shared" ca="1" si="2"/>
        <v>#NAME?</v>
      </c>
      <c r="L131" s="13">
        <f t="shared" ca="1" si="8"/>
        <v>15</v>
      </c>
      <c r="M131" s="13" t="str">
        <f ca="1">IFERROR(__xludf.DUMMYFUNCTION("IF(AND(L131&gt;3,I131&lt;&gt;""AL"",I131&lt;&gt;""AK"",I131&lt;&gt;""AZ"",I131&lt;&gt;""AR"",I131&lt;&gt;""CA"",I131&lt;&gt;""CO"",I131&lt;&gt;""CT"",I131&lt;&gt;""DE"",I131&lt;&gt;""DC"",I131&lt;&gt;""FL"",I131&lt;&gt;""GA"",I131&lt;&gt;""HI"",I131&lt;&gt;""ID"",I131&lt;&gt;""IL"",I131&lt;&gt;""IN"",I131&lt;&gt;""IA"",I131&lt;&gt;""KS"",I131&lt;&gt;""KY"",I131&lt;&gt;"&amp;"""LA"",I131&lt;&gt;""ME"",I131&lt;&gt;""MD"",I131&lt;&gt;""MA"",I131&lt;&gt;""MI"",I131&lt;&gt;""MN"",I131&lt;&gt;""MS"",I131&lt;&gt;""MO"",I131&lt;&gt;""MT"",I131&lt;&gt;""NE"",I131&lt;&gt;""NV"",I131&lt;&gt;""NH"",I131&lt;&gt;""NJ"",I131&lt;&gt;""NM"",I131&lt;&gt;""NY"",I131&lt;&gt;""NC"",I131&lt;&gt;""ND"",I131&lt;&gt;""OH"",I131&lt;&gt;""OK"",I131&lt;&gt;""OR"",I"&amp;"131&lt;&gt;""PA"",I131&lt;&gt;""RI"",I131&lt;&gt;""SC"",I131&lt;&gt;""SD"",I131&lt;&gt;""TN"",I131&lt;&gt;""TX"",I131&lt;&gt;""UT"",I131&lt;&gt;""VT"",I131&lt;&gt;""VA"",I131&lt;&gt;""WA"",I131&lt;&gt;""WV"",I131&lt;&gt;""WI"",I131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1" s="13">
        <f t="shared" ca="1" si="9"/>
        <v>9</v>
      </c>
      <c r="O131" s="13" t="b">
        <f>ISNUMBER(MATCH(C131,'Top 250 HS'!C:C,0))</f>
        <v>0</v>
      </c>
      <c r="P131" s="13" t="str">
        <f ca="1">IFERROR(__xludf.DUMMYFUNCTION("SORTN(FILTER('Top 250 HS'!B:B,'Top 250 HS'!C:C=I131),1,0,randarray(COUNTA(FILTER('Top 250 HS'!B:B,'Top 250 HS'!C:C=I131)),1),TRUE)"),"DeMatha (Hyattsville)")</f>
        <v>DeMatha (Hyattsville)</v>
      </c>
      <c r="Q131" s="13" t="b">
        <f>ISNUMBER(MATCH("*"&amp;E131&amp;"*",'Top 1500 HS LatitudeLongitude'!G:G,0))</f>
        <v>0</v>
      </c>
      <c r="R131" s="13" t="str">
        <f ca="1">IFERROR(__xludf.DUMMYFUNCTION("IFS(L131=10,"""",Q131=false,"""",N131=5,"""",Q131=true,SORTN(FILTER('Top 1500 HS LatitudeLongitude'!B:B,'Top 1500 HS LatitudeLongitude'!C:C=I131,'Top 1500 HS LatitudeLongitude'!E:E=H131),1,0,randarray(COUNTA(FILTER('Top 1500 HS LatitudeLongitude'!B:B,'Top"&amp;" 1500 HS LatitudeLongitude'!C:C=I131,'Top 1500 HS LatitudeLongitude'!E:E=H131)),1),TRUE)
)"),"")</f>
        <v/>
      </c>
      <c r="S131" s="13" t="b">
        <f>ISNUMBER(MATCH("*"&amp;H:H&amp;"*",'Public Schools'!C:C,0))</f>
        <v>1</v>
      </c>
      <c r="T131" s="13" t="str">
        <f ca="1">IFERROR(__xludf.DUMMYFUNCTION("IFERROR(IF(AND(R131="""",S131=true), SORTN(FILTER('Public Schools'!A:A,'Public Schools'!B:B=J131,'Public Schools'!C:C=H131),1,0,randarray(COUNTA(FILTER('Public Schools'!A:A,'Public Schools'!B:B=J131,'Public Schools'!C:C=H131)),1),TRUE),""""),"""")"),"Oakland Mills High School")</f>
        <v>Oakland Mills High School</v>
      </c>
      <c r="U131" s="23" t="str">
        <f t="array" aca="1" ref="U131" ca="1">IF(AND(R131="",T131=""),INDEX('Top 1500 HS LatitudeLongitude'!B$2:B$1501,MATCH(MIN(SQRT(('Top 1500 HS LatitudeLongitude'!H$2:H$1501-F131)^2+('Top 1500 HS LatitudeLongitude'!I$2:I$1501-G131)^2)),SQRT( ('Top 1500 HS LatitudeLongitude'!H$2:H$1501-F131)^2+('Top 1500 HS LatitudeLongitude'!I$2:I$1501-G131)^2),0),1),"")</f>
        <v/>
      </c>
    </row>
    <row r="132" spans="2:21" ht="15.6">
      <c r="B132" s="8">
        <v>0.2893542368</v>
      </c>
      <c r="C132" s="9" t="s">
        <v>243</v>
      </c>
      <c r="D132" s="9" t="s">
        <v>357</v>
      </c>
      <c r="E132" s="98" t="s">
        <v>4512</v>
      </c>
      <c r="F132" s="8">
        <v>41.837299999999999</v>
      </c>
      <c r="G132" s="8">
        <v>-87.686099999999996</v>
      </c>
      <c r="H132" s="3" t="str">
        <f t="shared" si="0"/>
        <v>Needmore</v>
      </c>
      <c r="I132" s="3" t="str">
        <f t="shared" si="1"/>
        <v>PA</v>
      </c>
      <c r="J132" s="3" t="str">
        <f t="array" ref="J132">INDEX('State Abbreviations'!$B$2:$B$52,MATCH(I132,'State Abbreviations'!$A$2:$A$52,0))</f>
        <v>Pennsylvania</v>
      </c>
      <c r="K132" s="94" t="e">
        <f t="shared" ca="1" si="2"/>
        <v>#NAME?</v>
      </c>
      <c r="L132" s="13">
        <f t="shared" ca="1" si="8"/>
        <v>20</v>
      </c>
      <c r="M132" s="13" t="str">
        <f ca="1">IFERROR(__xludf.DUMMYFUNCTION("IF(AND(L132&gt;3,I132&lt;&gt;""AL"",I132&lt;&gt;""AK"",I132&lt;&gt;""AZ"",I132&lt;&gt;""AR"",I132&lt;&gt;""CA"",I132&lt;&gt;""CO"",I132&lt;&gt;""CT"",I132&lt;&gt;""DE"",I132&lt;&gt;""DC"",I132&lt;&gt;""FL"",I132&lt;&gt;""GA"",I132&lt;&gt;""HI"",I132&lt;&gt;""ID"",I132&lt;&gt;""IL"",I132&lt;&gt;""IN"",I132&lt;&gt;""IA"",I132&lt;&gt;""KS"",I132&lt;&gt;""KY"",I132&lt;&gt;"&amp;"""LA"",I132&lt;&gt;""ME"",I132&lt;&gt;""MD"",I132&lt;&gt;""MA"",I132&lt;&gt;""MI"",I132&lt;&gt;""MN"",I132&lt;&gt;""MS"",I132&lt;&gt;""MO"",I132&lt;&gt;""MT"",I132&lt;&gt;""NE"",I132&lt;&gt;""NV"",I132&lt;&gt;""NH"",I132&lt;&gt;""NJ"",I132&lt;&gt;""NM"",I132&lt;&gt;""NY"",I132&lt;&gt;""NC"",I132&lt;&gt;""ND"",I132&lt;&gt;""OH"",I132&lt;&gt;""OK"",I132&lt;&gt;""OR"",I"&amp;"132&lt;&gt;""PA"",I132&lt;&gt;""RI"",I132&lt;&gt;""SC"",I132&lt;&gt;""SD"",I132&lt;&gt;""TN"",I132&lt;&gt;""TX"",I132&lt;&gt;""UT"",I132&lt;&gt;""VT"",I132&lt;&gt;""VA"",I132&lt;&gt;""WA"",I132&lt;&gt;""WV"",I132&lt;&gt;""WI"",I132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2" s="13">
        <f t="shared" ca="1" si="9"/>
        <v>3</v>
      </c>
      <c r="O132" s="13" t="b">
        <f>ISNUMBER(MATCH(C132,'Top 250 HS'!C:C,0))</f>
        <v>0</v>
      </c>
      <c r="P132" s="13" t="str">
        <f ca="1">IFERROR(__xludf.DUMMYFUNCTION("SORTN(FILTER('Top 250 HS'!B:B,'Top 250 HS'!C:C=I132),1,0,randarray(COUNTA(FILTER('Top 250 HS'!B:B,'Top 250 HS'!C:C=I132)),1),TRUE)"),"Wilson (West Lawn)")</f>
        <v>Wilson (West Lawn)</v>
      </c>
      <c r="Q132" s="13" t="b">
        <f>ISNUMBER(MATCH("*"&amp;E132&amp;"*",'Top 1500 HS LatitudeLongitude'!G:G,0))</f>
        <v>0</v>
      </c>
      <c r="R132" s="13" t="str">
        <f ca="1">IFERROR(__xludf.DUMMYFUNCTION("IFS(L132=10,"""",Q132=false,"""",N132=5,"""",Q132=true,SORTN(FILTER('Top 1500 HS LatitudeLongitude'!B:B,'Top 1500 HS LatitudeLongitude'!C:C=I132,'Top 1500 HS LatitudeLongitude'!E:E=H132),1,0,randarray(COUNTA(FILTER('Top 1500 HS LatitudeLongitude'!B:B,'Top"&amp;" 1500 HS LatitudeLongitude'!C:C=I132,'Top 1500 HS LatitudeLongitude'!E:E=H132)),1),TRUE)
)"),"")</f>
        <v/>
      </c>
      <c r="S132" s="13" t="b">
        <f>ISNUMBER(MATCH("*"&amp;H:H&amp;"*",'Public Schools'!C:C,0))</f>
        <v>0</v>
      </c>
      <c r="T132" s="13" t="str">
        <f ca="1">IFERROR(__xludf.DUMMYFUNCTION("IFERROR(IF(AND(R132="""",S132=true), SORTN(FILTER('Public Schools'!A:A,'Public Schools'!B:B=J132,'Public Schools'!C:C=H132),1,0,randarray(COUNTA(FILTER('Public Schools'!A:A,'Public Schools'!B:B=J132,'Public Schools'!C:C=H132)),1),TRUE),""""),"""")"),"")</f>
        <v/>
      </c>
      <c r="U132" s="23" t="str">
        <f t="array" aca="1" ref="U132" ca="1">IF(AND(R132="",T132=""),INDEX('Top 1500 HS LatitudeLongitude'!B$2:B$1501,MATCH(MIN(SQRT(('Top 1500 HS LatitudeLongitude'!H$2:H$1501-F132)^2+('Top 1500 HS LatitudeLongitude'!I$2:I$1501-G132)^2)),SQRT( ('Top 1500 HS LatitudeLongitude'!H$2:H$1501-F132)^2+('Top 1500 HS LatitudeLongitude'!I$2:I$1501-G132)^2),0),1),"")</f>
        <v>Whitney Young (Chicago)</v>
      </c>
    </row>
    <row r="133" spans="2:21" ht="15.6">
      <c r="B133" s="8">
        <v>4.5915676349999997E-2</v>
      </c>
      <c r="C133" s="9" t="s">
        <v>238</v>
      </c>
      <c r="D133" s="9" t="s">
        <v>358</v>
      </c>
      <c r="E133" s="37" t="s">
        <v>4554</v>
      </c>
      <c r="F133" s="8">
        <v>34.113999999999997</v>
      </c>
      <c r="G133" s="8">
        <v>-118.4068</v>
      </c>
      <c r="H133" s="3" t="str">
        <f t="shared" si="0"/>
        <v>Worcester</v>
      </c>
      <c r="I133" s="3" t="str">
        <f t="shared" si="1"/>
        <v>NY</v>
      </c>
      <c r="J133" s="3" t="str">
        <f t="array" ref="J133">INDEX('State Abbreviations'!$B$2:$B$52,MATCH(I133,'State Abbreviations'!$A$2:$A$52,0))</f>
        <v>New York</v>
      </c>
      <c r="K133" s="94" t="e">
        <f t="shared" ca="1" si="2"/>
        <v>#NAME?</v>
      </c>
      <c r="L133" s="13">
        <f t="shared" ca="1" si="8"/>
        <v>9</v>
      </c>
      <c r="M133" s="13" t="str">
        <f ca="1">IFERROR(__xludf.DUMMYFUNCTION("IF(AND(L133&gt;3,I133&lt;&gt;""AL"",I133&lt;&gt;""AK"",I133&lt;&gt;""AZ"",I133&lt;&gt;""AR"",I133&lt;&gt;""CA"",I133&lt;&gt;""CO"",I133&lt;&gt;""CT"",I133&lt;&gt;""DE"",I133&lt;&gt;""DC"",I133&lt;&gt;""FL"",I133&lt;&gt;""GA"",I133&lt;&gt;""HI"",I133&lt;&gt;""ID"",I133&lt;&gt;""IL"",I133&lt;&gt;""IN"",I133&lt;&gt;""IA"",I133&lt;&gt;""KS"",I133&lt;&gt;""KY"",I133&lt;&gt;"&amp;"""LA"",I133&lt;&gt;""ME"",I133&lt;&gt;""MD"",I133&lt;&gt;""MA"",I133&lt;&gt;""MI"",I133&lt;&gt;""MN"",I133&lt;&gt;""MS"",I133&lt;&gt;""MO"",I133&lt;&gt;""MT"",I133&lt;&gt;""NE"",I133&lt;&gt;""NV"",I133&lt;&gt;""NH"",I133&lt;&gt;""NJ"",I133&lt;&gt;""NM"",I133&lt;&gt;""NY"",I133&lt;&gt;""NC"",I133&lt;&gt;""ND"",I133&lt;&gt;""OH"",I133&lt;&gt;""OK"",I133&lt;&gt;""OR"",I"&amp;"133&lt;&gt;""PA"",I133&lt;&gt;""RI"",I133&lt;&gt;""SC"",I133&lt;&gt;""SD"",I133&lt;&gt;""TN"",I133&lt;&gt;""TX"",I133&lt;&gt;""UT"",I133&lt;&gt;""VT"",I133&lt;&gt;""VA"",I133&lt;&gt;""WA"",I133&lt;&gt;""WV"",I133&lt;&gt;""WI"",I133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3" s="13">
        <f t="shared" ca="1" si="9"/>
        <v>12</v>
      </c>
      <c r="O133" s="13" t="b">
        <f>ISNUMBER(MATCH(C133,'Top 250 HS'!C:C,0))</f>
        <v>0</v>
      </c>
      <c r="P133" s="13" t="str">
        <f ca="1">IFERROR(__xludf.DUMMYFUNCTION("SORTN(FILTER('Top 250 HS'!B:B,'Top 250 HS'!C:C=I133),1,0,randarray(COUNTA(FILTER('Top 250 HS'!B:B,'Top 250 HS'!C:C=I133)),1),TRUE)"),"Long Island Lutheran (Brookville)")</f>
        <v>Long Island Lutheran (Brookville)</v>
      </c>
      <c r="Q133" s="13" t="b">
        <f>ISNUMBER(MATCH("*"&amp;E133&amp;"*",'Top 1500 HS LatitudeLongitude'!G:G,0))</f>
        <v>0</v>
      </c>
      <c r="R133" s="13" t="str">
        <f ca="1">IFERROR(__xludf.DUMMYFUNCTION("IFS(L133=10,"""",Q133=false,"""",N133=5,"""",Q133=true,SORTN(FILTER('Top 1500 HS LatitudeLongitude'!B:B,'Top 1500 HS LatitudeLongitude'!C:C=I133,'Top 1500 HS LatitudeLongitude'!E:E=H133),1,0,randarray(COUNTA(FILTER('Top 1500 HS LatitudeLongitude'!B:B,'Top"&amp;" 1500 HS LatitudeLongitude'!C:C=I133,'Top 1500 HS LatitudeLongitude'!E:E=H133)),1),TRUE)
)"),"")</f>
        <v/>
      </c>
      <c r="S133" s="13" t="b">
        <f>ISNUMBER(MATCH("*"&amp;H:H&amp;"*",'Public Schools'!C:C,0))</f>
        <v>1</v>
      </c>
      <c r="T133" s="13" t="str">
        <f ca="1">IFERROR(__xludf.DUMMYFUNCTION("IFERROR(IF(AND(R133="""",S133=true), SORTN(FILTER('Public Schools'!A:A,'Public Schools'!B:B=J133,'Public Schools'!C:C=H133),1,0,randarray(COUNTA(FILTER('Public Schools'!A:A,'Public Schools'!B:B=J133,'Public Schools'!C:C=H133)),1),TRUE),""""),"""")"),"")</f>
        <v/>
      </c>
      <c r="U133" s="23" t="str">
        <f t="array" aca="1" ref="U133" ca="1">IF(AND(R133="",T133=""),INDEX('Top 1500 HS LatitudeLongitude'!B$2:B$1501,MATCH(MIN(SQRT(('Top 1500 HS LatitudeLongitude'!H$2:H$1501-F133)^2+('Top 1500 HS LatitudeLongitude'!I$2:I$1501-G133)^2)),SQRT( ('Top 1500 HS LatitudeLongitude'!H$2:H$1501-F133)^2+('Top 1500 HS LatitudeLongitude'!I$2:I$1501-G133)^2),0),1),"")</f>
        <v>Harvard-Westlake (Studio City)</v>
      </c>
    </row>
    <row r="134" spans="2:21" ht="15.6">
      <c r="B134" s="8">
        <v>0.1680082856</v>
      </c>
      <c r="C134" s="9" t="s">
        <v>206</v>
      </c>
      <c r="D134" s="9" t="s">
        <v>359</v>
      </c>
      <c r="E134" s="98" t="s">
        <v>4599</v>
      </c>
      <c r="F134" s="8">
        <v>27.9937</v>
      </c>
      <c r="G134" s="8">
        <v>-82.445400000000006</v>
      </c>
      <c r="H134" s="3" t="str">
        <f t="shared" si="0"/>
        <v>Conroe</v>
      </c>
      <c r="I134" s="3" t="str">
        <f t="shared" si="1"/>
        <v>TX</v>
      </c>
      <c r="J134" s="3" t="str">
        <f t="array" ref="J134">INDEX('State Abbreviations'!$B$2:$B$52,MATCH(I134,'State Abbreviations'!$A$2:$A$52,0))</f>
        <v>Texas</v>
      </c>
      <c r="K134" s="94" t="e">
        <f t="shared" ca="1" si="2"/>
        <v>#NAME?</v>
      </c>
      <c r="L134" s="13">
        <f t="shared" ca="1" si="8"/>
        <v>22</v>
      </c>
      <c r="M134" s="13" t="str">
        <f ca="1">IFERROR(__xludf.DUMMYFUNCTION("IF(AND(L134&gt;3,I134&lt;&gt;""AL"",I134&lt;&gt;""AK"",I134&lt;&gt;""AZ"",I134&lt;&gt;""AR"",I134&lt;&gt;""CA"",I134&lt;&gt;""CO"",I134&lt;&gt;""CT"",I134&lt;&gt;""DE"",I134&lt;&gt;""DC"",I134&lt;&gt;""FL"",I134&lt;&gt;""GA"",I134&lt;&gt;""HI"",I134&lt;&gt;""ID"",I134&lt;&gt;""IL"",I134&lt;&gt;""IN"",I134&lt;&gt;""IA"",I134&lt;&gt;""KS"",I134&lt;&gt;""KY"",I134&lt;&gt;"&amp;"""LA"",I134&lt;&gt;""ME"",I134&lt;&gt;""MD"",I134&lt;&gt;""MA"",I134&lt;&gt;""MI"",I134&lt;&gt;""MN"",I134&lt;&gt;""MS"",I134&lt;&gt;""MO"",I134&lt;&gt;""MT"",I134&lt;&gt;""NE"",I134&lt;&gt;""NV"",I134&lt;&gt;""NH"",I134&lt;&gt;""NJ"",I134&lt;&gt;""NM"",I134&lt;&gt;""NY"",I134&lt;&gt;""NC"",I134&lt;&gt;""ND"",I134&lt;&gt;""OH"",I134&lt;&gt;""OK"",I134&lt;&gt;""OR"",I"&amp;"134&lt;&gt;""PA"",I134&lt;&gt;""RI"",I134&lt;&gt;""SC"",I134&lt;&gt;""SD"",I134&lt;&gt;""TN"",I134&lt;&gt;""TX"",I134&lt;&gt;""UT"",I134&lt;&gt;""VT"",I134&lt;&gt;""VA"",I134&lt;&gt;""WA"",I134&lt;&gt;""WV"",I134&lt;&gt;""WI"",I134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4" s="13">
        <f t="shared" ca="1" si="9"/>
        <v>7</v>
      </c>
      <c r="O134" s="13" t="b">
        <f>ISNUMBER(MATCH(C134,'Top 250 HS'!C:C,0))</f>
        <v>0</v>
      </c>
      <c r="P134" s="13" t="str">
        <f ca="1">IFERROR(__xludf.DUMMYFUNCTION("SORTN(FILTER('Top 250 HS'!B:B,'Top 250 HS'!C:C=I134),1,0,randarray(COUNTA(FILTER('Top 250 HS'!B:B,'Top 250 HS'!C:C=I134)),1),TRUE)"),"Dickinson")</f>
        <v>Dickinson</v>
      </c>
      <c r="Q134" s="13" t="b">
        <f>ISNUMBER(MATCH("*"&amp;E134&amp;"*",'Top 1500 HS LatitudeLongitude'!G:G,0))</f>
        <v>0</v>
      </c>
      <c r="R134" s="13" t="str">
        <f ca="1">IFERROR(__xludf.DUMMYFUNCTION("IFS(L134=10,"""",Q134=false,"""",N134=5,"""",Q134=true,SORTN(FILTER('Top 1500 HS LatitudeLongitude'!B:B,'Top 1500 HS LatitudeLongitude'!C:C=I134,'Top 1500 HS LatitudeLongitude'!E:E=H134),1,0,randarray(COUNTA(FILTER('Top 1500 HS LatitudeLongitude'!B:B,'Top"&amp;" 1500 HS LatitudeLongitude'!C:C=I134,'Top 1500 HS LatitudeLongitude'!E:E=H134)),1),TRUE)
)"),"")</f>
        <v/>
      </c>
      <c r="S134" s="13" t="b">
        <f>ISNUMBER(MATCH("*"&amp;H:H&amp;"*",'Public Schools'!C:C,0))</f>
        <v>1</v>
      </c>
      <c r="T134" s="13" t="str">
        <f ca="1">IFERROR(__xludf.DUMMYFUNCTION("IFERROR(IF(AND(R134="""",S134=true), SORTN(FILTER('Public Schools'!A:A,'Public Schools'!B:B=J134,'Public Schools'!C:C=H134),1,0,randarray(COUNTA(FILTER('Public Schools'!A:A,'Public Schools'!B:B=J134,'Public Schools'!C:C=H134)),1),TRUE),""""),"""")"),"Oak Ridge H S")</f>
        <v>Oak Ridge H S</v>
      </c>
      <c r="U134" s="23" t="str">
        <f t="array" aca="1" ref="U134" ca="1">IF(AND(R134="",T134=""),INDEX('Top 1500 HS LatitudeLongitude'!B$2:B$1501,MATCH(MIN(SQRT(('Top 1500 HS LatitudeLongitude'!H$2:H$1501-F134)^2+('Top 1500 HS LatitudeLongitude'!I$2:I$1501-G134)^2)),SQRT( ('Top 1500 HS LatitudeLongitude'!H$2:H$1501-F134)^2+('Top 1500 HS LatitudeLongitude'!I$2:I$1501-G134)^2),0),1),"")</f>
        <v/>
      </c>
    </row>
    <row r="135" spans="2:21" ht="15.6">
      <c r="B135" s="8">
        <v>0.94987703410000002</v>
      </c>
      <c r="C135" s="9" t="s">
        <v>23</v>
      </c>
      <c r="D135" s="9" t="s">
        <v>360</v>
      </c>
      <c r="E135" s="37" t="s">
        <v>4641</v>
      </c>
      <c r="F135" s="8">
        <v>36.695300000000003</v>
      </c>
      <c r="G135" s="8">
        <v>-76.639799999999994</v>
      </c>
      <c r="H135" s="3" t="str">
        <f t="shared" si="0"/>
        <v>East Lansing</v>
      </c>
      <c r="I135" s="3" t="str">
        <f t="shared" si="1"/>
        <v>MI</v>
      </c>
      <c r="J135" s="3" t="str">
        <f t="array" ref="J135">INDEX('State Abbreviations'!$B$2:$B$52,MATCH(I135,'State Abbreviations'!$A$2:$A$52,0))</f>
        <v>Michigan</v>
      </c>
      <c r="K135" s="94" t="e">
        <f t="shared" ca="1" si="2"/>
        <v>#NAME?</v>
      </c>
      <c r="L135" s="13">
        <f t="shared" ca="1" si="8"/>
        <v>15</v>
      </c>
      <c r="M135" s="13" t="str">
        <f ca="1">IFERROR(__xludf.DUMMYFUNCTION("IF(AND(L135&gt;3,I135&lt;&gt;""AL"",I135&lt;&gt;""AK"",I135&lt;&gt;""AZ"",I135&lt;&gt;""AR"",I135&lt;&gt;""CA"",I135&lt;&gt;""CO"",I135&lt;&gt;""CT"",I135&lt;&gt;""DE"",I135&lt;&gt;""DC"",I135&lt;&gt;""FL"",I135&lt;&gt;""GA"",I135&lt;&gt;""HI"",I135&lt;&gt;""ID"",I135&lt;&gt;""IL"",I135&lt;&gt;""IN"",I135&lt;&gt;""IA"",I135&lt;&gt;""KS"",I135&lt;&gt;""KY"",I135&lt;&gt;"&amp;"""LA"",I135&lt;&gt;""ME"",I135&lt;&gt;""MD"",I135&lt;&gt;""MA"",I135&lt;&gt;""MI"",I135&lt;&gt;""MN"",I135&lt;&gt;""MS"",I135&lt;&gt;""MO"",I135&lt;&gt;""MT"",I135&lt;&gt;""NE"",I135&lt;&gt;""NV"",I135&lt;&gt;""NH"",I135&lt;&gt;""NJ"",I135&lt;&gt;""NM"",I135&lt;&gt;""NY"",I135&lt;&gt;""NC"",I135&lt;&gt;""ND"",I135&lt;&gt;""OH"",I135&lt;&gt;""OK"",I135&lt;&gt;""OR"",I"&amp;"135&lt;&gt;""PA"",I135&lt;&gt;""RI"",I135&lt;&gt;""SC"",I135&lt;&gt;""SD"",I135&lt;&gt;""TN"",I135&lt;&gt;""TX"",I135&lt;&gt;""UT"",I135&lt;&gt;""VT"",I135&lt;&gt;""VA"",I135&lt;&gt;""WA"",I135&lt;&gt;""WV"",I135&lt;&gt;""WI"",I135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5" s="13">
        <f t="shared" ca="1" si="9"/>
        <v>13</v>
      </c>
      <c r="O135" s="13" t="b">
        <f>ISNUMBER(MATCH(C135,'Top 250 HS'!C:C,0))</f>
        <v>0</v>
      </c>
      <c r="P135" s="13" t="str">
        <f ca="1">IFERROR(__xludf.DUMMYFUNCTION("SORTN(FILTER('Top 250 HS'!B:B,'Top 250 HS'!C:C=I135),1,0,randarray(COUNTA(FILTER('Top 250 HS'!B:B,'Top 250 HS'!C:C=I135)),1),TRUE)"),"Grand Blanc")</f>
        <v>Grand Blanc</v>
      </c>
      <c r="Q135" s="13" t="b">
        <f>ISNUMBER(MATCH("*"&amp;E135&amp;"*",'Top 1500 HS LatitudeLongitude'!G:G,0))</f>
        <v>1</v>
      </c>
      <c r="R135" s="13" t="str">
        <f ca="1">IFERROR(__xludf.DUMMYFUNCTION("IFS(L135=10,"""",Q135=false,"""",N135=5,"""",Q135=true,SORTN(FILTER('Top 1500 HS LatitudeLongitude'!B:B,'Top 1500 HS LatitudeLongitude'!C:C=I135,'Top 1500 HS LatitudeLongitude'!E:E=H135),1,0,randarray(COUNTA(FILTER('Top 1500 HS LatitudeLongitude'!B:B,'Top"&amp;" 1500 HS LatitudeLongitude'!C:C=I135,'Top 1500 HS LatitudeLongitude'!E:E=H135)),1),TRUE)
)"),"East Lansing")</f>
        <v>East Lansing</v>
      </c>
      <c r="S135" s="13" t="b">
        <f>ISNUMBER(MATCH("*"&amp;H:H&amp;"*",'Public Schools'!C:C,0))</f>
        <v>1</v>
      </c>
      <c r="T135" s="13" t="str">
        <f ca="1">IFERROR(__xludf.DUMMYFUNCTION("IFERROR(IF(AND(R135="""",S135=true), SORTN(FILTER('Public Schools'!A:A,'Public Schools'!B:B=J135,'Public Schools'!C:C=H135),1,0,randarray(COUNTA(FILTER('Public Schools'!A:A,'Public Schools'!B:B=J135,'Public Schools'!C:C=H135)),1),TRUE),""""),"""")"),"")</f>
        <v/>
      </c>
      <c r="U135" s="23" t="str">
        <f t="array" aca="1" ref="U135" ca="1">IF(AND(R135="",T135=""),INDEX('Top 1500 HS LatitudeLongitude'!B$2:B$1501,MATCH(MIN(SQRT(('Top 1500 HS LatitudeLongitude'!H$2:H$1501-F135)^2+('Top 1500 HS LatitudeLongitude'!I$2:I$1501-G135)^2)),SQRT( ('Top 1500 HS LatitudeLongitude'!H$2:H$1501-F135)^2+('Top 1500 HS LatitudeLongitude'!I$2:I$1501-G135)^2),0),1),"")</f>
        <v/>
      </c>
    </row>
    <row r="136" spans="2:21" ht="15.6">
      <c r="B136" s="8">
        <v>0.85963692780000001</v>
      </c>
      <c r="C136" s="9" t="s">
        <v>270</v>
      </c>
      <c r="D136" s="9" t="s">
        <v>361</v>
      </c>
      <c r="E136" s="98" t="s">
        <v>4677</v>
      </c>
      <c r="F136" s="8">
        <v>32.699800000000003</v>
      </c>
      <c r="G136" s="8">
        <v>-97.125100000000003</v>
      </c>
      <c r="H136" s="3" t="str">
        <f t="shared" si="0"/>
        <v>Pompton Lakes</v>
      </c>
      <c r="I136" s="3" t="str">
        <f t="shared" si="1"/>
        <v>NJ</v>
      </c>
      <c r="J136" s="3" t="str">
        <f t="array" ref="J136">INDEX('State Abbreviations'!$B$2:$B$52,MATCH(I136,'State Abbreviations'!$A$2:$A$52,0))</f>
        <v>New Jersey</v>
      </c>
      <c r="K136" s="94" t="e">
        <f t="shared" ca="1" si="2"/>
        <v>#NAME?</v>
      </c>
      <c r="L136" s="13">
        <f t="shared" ca="1" si="8"/>
        <v>25</v>
      </c>
      <c r="M136" s="13" t="str">
        <f ca="1">IFERROR(__xludf.DUMMYFUNCTION("IF(AND(L136&gt;3,I136&lt;&gt;""AL"",I136&lt;&gt;""AK"",I136&lt;&gt;""AZ"",I136&lt;&gt;""AR"",I136&lt;&gt;""CA"",I136&lt;&gt;""CO"",I136&lt;&gt;""CT"",I136&lt;&gt;""DE"",I136&lt;&gt;""DC"",I136&lt;&gt;""FL"",I136&lt;&gt;""GA"",I136&lt;&gt;""HI"",I136&lt;&gt;""ID"",I136&lt;&gt;""IL"",I136&lt;&gt;""IN"",I136&lt;&gt;""IA"",I136&lt;&gt;""KS"",I136&lt;&gt;""KY"",I136&lt;&gt;"&amp;"""LA"",I136&lt;&gt;""ME"",I136&lt;&gt;""MD"",I136&lt;&gt;""MA"",I136&lt;&gt;""MI"",I136&lt;&gt;""MN"",I136&lt;&gt;""MS"",I136&lt;&gt;""MO"",I136&lt;&gt;""MT"",I136&lt;&gt;""NE"",I136&lt;&gt;""NV"",I136&lt;&gt;""NH"",I136&lt;&gt;""NJ"",I136&lt;&gt;""NM"",I136&lt;&gt;""NY"",I136&lt;&gt;""NC"",I136&lt;&gt;""ND"",I136&lt;&gt;""OH"",I136&lt;&gt;""OK"",I136&lt;&gt;""OR"",I"&amp;"136&lt;&gt;""PA"",I136&lt;&gt;""RI"",I136&lt;&gt;""SC"",I136&lt;&gt;""SD"",I136&lt;&gt;""TN"",I136&lt;&gt;""TX"",I136&lt;&gt;""UT"",I136&lt;&gt;""VT"",I136&lt;&gt;""VA"",I136&lt;&gt;""WA"",I136&lt;&gt;""WV"",I136&lt;&gt;""WI"",I136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6" s="13">
        <f t="shared" ca="1" si="9"/>
        <v>12</v>
      </c>
      <c r="O136" s="13" t="b">
        <f>ISNUMBER(MATCH(C136,'Top 250 HS'!C:C,0))</f>
        <v>0</v>
      </c>
      <c r="P136" s="13" t="str">
        <f ca="1">IFERROR(__xludf.DUMMYFUNCTION("SORTN(FILTER('Top 250 HS'!B:B,'Top 250 HS'!C:C=I136),1,0,randarray(COUNTA(FILTER('Top 250 HS'!B:B,'Top 250 HS'!C:C=I136)),1),TRUE)"),"Patrick School (Hillside)")</f>
        <v>Patrick School (Hillside)</v>
      </c>
      <c r="Q136" s="13" t="b">
        <f>ISNUMBER(MATCH("*"&amp;E136&amp;"*",'Top 1500 HS LatitudeLongitude'!G:G,0))</f>
        <v>0</v>
      </c>
      <c r="R136" s="13" t="str">
        <f ca="1">IFERROR(__xludf.DUMMYFUNCTION("IFS(L136=10,"""",Q136=false,"""",N136=5,"""",Q136=true,SORTN(FILTER('Top 1500 HS LatitudeLongitude'!B:B,'Top 1500 HS LatitudeLongitude'!C:C=I136,'Top 1500 HS LatitudeLongitude'!E:E=H136),1,0,randarray(COUNTA(FILTER('Top 1500 HS LatitudeLongitude'!B:B,'Top"&amp;" 1500 HS LatitudeLongitude'!C:C=I136,'Top 1500 HS LatitudeLongitude'!E:E=H136)),1),TRUE)
)"),"")</f>
        <v/>
      </c>
      <c r="S136" s="13" t="b">
        <f>ISNUMBER(MATCH("*"&amp;H:H&amp;"*",'Public Schools'!C:C,0))</f>
        <v>1</v>
      </c>
      <c r="T136" s="13" t="str">
        <f ca="1">IFERROR(__xludf.DUMMYFUNCTION("IFERROR(IF(AND(R136="""",S136=true), SORTN(FILTER('Public Schools'!A:A,'Public Schools'!B:B=J136,'Public Schools'!C:C=H136),1,0,randarray(COUNTA(FILTER('Public Schools'!A:A,'Public Schools'!B:B=J136,'Public Schools'!C:C=H136)),1),TRUE),""""),"""")"),"Pompton Lakes High School")</f>
        <v>Pompton Lakes High School</v>
      </c>
      <c r="U136" s="23" t="str">
        <f t="array" aca="1" ref="U136" ca="1">IF(AND(R136="",T136=""),INDEX('Top 1500 HS LatitudeLongitude'!B$2:B$1501,MATCH(MIN(SQRT(('Top 1500 HS LatitudeLongitude'!H$2:H$1501-F136)^2+('Top 1500 HS LatitudeLongitude'!I$2:I$1501-G136)^2)),SQRT( ('Top 1500 HS LatitudeLongitude'!H$2:H$1501-F136)^2+('Top 1500 HS LatitudeLongitude'!I$2:I$1501-G136)^2),0),1),"")</f>
        <v/>
      </c>
    </row>
    <row r="137" spans="2:21" ht="15.6">
      <c r="B137" s="8">
        <v>0.17221375389999999</v>
      </c>
      <c r="C137" s="9" t="s">
        <v>206</v>
      </c>
      <c r="D137" s="9" t="s">
        <v>362</v>
      </c>
      <c r="E137" s="37" t="s">
        <v>4722</v>
      </c>
      <c r="F137" s="8">
        <v>30.3322</v>
      </c>
      <c r="G137" s="8">
        <v>-81.674899999999994</v>
      </c>
      <c r="H137" s="3" t="str">
        <f t="shared" si="0"/>
        <v>Belton</v>
      </c>
      <c r="I137" s="3" t="str">
        <f t="shared" si="1"/>
        <v>TX</v>
      </c>
      <c r="J137" s="3" t="str">
        <f t="array" ref="J137">INDEX('State Abbreviations'!$B$2:$B$52,MATCH(I137,'State Abbreviations'!$A$2:$A$52,0))</f>
        <v>Texas</v>
      </c>
      <c r="K137" s="94" t="e">
        <f t="shared" ca="1" si="2"/>
        <v>#NAME?</v>
      </c>
      <c r="L137" s="13">
        <f t="shared" ca="1" si="8"/>
        <v>1</v>
      </c>
      <c r="M137" s="13" t="str">
        <f ca="1">IFERROR(__xludf.DUMMYFUNCTION("IF(AND(L137&gt;3,I137&lt;&gt;""AL"",I137&lt;&gt;""AK"",I137&lt;&gt;""AZ"",I137&lt;&gt;""AR"",I137&lt;&gt;""CA"",I137&lt;&gt;""CO"",I137&lt;&gt;""CT"",I137&lt;&gt;""DE"",I137&lt;&gt;""DC"",I137&lt;&gt;""FL"",I137&lt;&gt;""GA"",I137&lt;&gt;""HI"",I137&lt;&gt;""ID"",I137&lt;&gt;""IL"",I137&lt;&gt;""IN"",I137&lt;&gt;""IA"",I137&lt;&gt;""KS"",I137&lt;&gt;""KY"",I137&lt;&gt;"&amp;"""LA"",I137&lt;&gt;""ME"",I137&lt;&gt;""MD"",I137&lt;&gt;""MA"",I137&lt;&gt;""MI"",I137&lt;&gt;""MN"",I137&lt;&gt;""MS"",I137&lt;&gt;""MO"",I137&lt;&gt;""MT"",I137&lt;&gt;""NE"",I137&lt;&gt;""NV"",I137&lt;&gt;""NH"",I137&lt;&gt;""NJ"",I137&lt;&gt;""NM"",I137&lt;&gt;""NY"",I137&lt;&gt;""NC"",I137&lt;&gt;""ND"",I137&lt;&gt;""OH"",I137&lt;&gt;""OK"",I137&lt;&gt;""OR"",I"&amp;"137&lt;&gt;""PA"",I137&lt;&gt;""RI"",I137&lt;&gt;""SC"",I137&lt;&gt;""SD"",I137&lt;&gt;""TN"",I137&lt;&gt;""TX"",I137&lt;&gt;""UT"",I137&lt;&gt;""VT"",I137&lt;&gt;""VA"",I137&lt;&gt;""WA"",I137&lt;&gt;""WV"",I137&lt;&gt;""WI"",I137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7" s="13">
        <f t="shared" ca="1" si="9"/>
        <v>2</v>
      </c>
      <c r="O137" s="13" t="b">
        <f>ISNUMBER(MATCH(C137,'Top 250 HS'!C:C,0))</f>
        <v>0</v>
      </c>
      <c r="P137" s="13" t="str">
        <f ca="1">IFERROR(__xludf.DUMMYFUNCTION("SORTN(FILTER('Top 250 HS'!B:B,'Top 250 HS'!C:C=I137),1,0,randarray(COUNTA(FILTER('Top 250 HS'!B:B,'Top 250 HS'!C:C=I137)),1),TRUE)"),"Centennial (Burleson)")</f>
        <v>Centennial (Burleson)</v>
      </c>
      <c r="Q137" s="13" t="b">
        <f>ISNUMBER(MATCH("*"&amp;E137&amp;"*",'Top 1500 HS LatitudeLongitude'!G:G,0))</f>
        <v>0</v>
      </c>
      <c r="R137" s="13" t="str">
        <f ca="1">IFERROR(__xludf.DUMMYFUNCTION("IFS(L137=10,"""",Q137=false,"""",N137=5,"""",Q137=true,SORTN(FILTER('Top 1500 HS LatitudeLongitude'!B:B,'Top 1500 HS LatitudeLongitude'!C:C=I137,'Top 1500 HS LatitudeLongitude'!E:E=H137),1,0,randarray(COUNTA(FILTER('Top 1500 HS LatitudeLongitude'!B:B,'Top"&amp;" 1500 HS LatitudeLongitude'!C:C=I137,'Top 1500 HS LatitudeLongitude'!E:E=H137)),1),TRUE)
)"),"")</f>
        <v/>
      </c>
      <c r="S137" s="13" t="b">
        <f>ISNUMBER(MATCH("*"&amp;H:H&amp;"*",'Public Schools'!C:C,0))</f>
        <v>1</v>
      </c>
      <c r="T137" s="13" t="str">
        <f ca="1">IFERROR(__xludf.DUMMYFUNCTION("IFERROR(IF(AND(R137="""",S137=true), SORTN(FILTER('Public Schools'!A:A,'Public Schools'!B:B=J137,'Public Schools'!C:C=H137),1,0,randarray(COUNTA(FILTER('Public Schools'!A:A,'Public Schools'!B:B=J137,'Public Schools'!C:C=H137)),1),TRUE),""""),"""")"),"Belton H S")</f>
        <v>Belton H S</v>
      </c>
      <c r="U137" s="23" t="str">
        <f t="array" aca="1" ref="U137" ca="1">IF(AND(R137="",T137=""),INDEX('Top 1500 HS LatitudeLongitude'!B$2:B$1501,MATCH(MIN(SQRT(('Top 1500 HS LatitudeLongitude'!H$2:H$1501-F137)^2+('Top 1500 HS LatitudeLongitude'!I$2:I$1501-G137)^2)),SQRT( ('Top 1500 HS LatitudeLongitude'!H$2:H$1501-F137)^2+('Top 1500 HS LatitudeLongitude'!I$2:I$1501-G137)^2),0),1),"")</f>
        <v/>
      </c>
    </row>
    <row r="138" spans="2:21" ht="15.6">
      <c r="B138" s="8">
        <v>3.2324623769999998E-2</v>
      </c>
      <c r="C138" s="9" t="s">
        <v>217</v>
      </c>
      <c r="D138" s="9" t="s">
        <v>218</v>
      </c>
      <c r="E138" s="98" t="s">
        <v>557</v>
      </c>
      <c r="F138" s="8">
        <v>33.572200000000002</v>
      </c>
      <c r="G138" s="8">
        <v>-112.0891</v>
      </c>
      <c r="H138" s="3" t="str">
        <f t="shared" si="0"/>
        <v>Omaha</v>
      </c>
      <c r="I138" s="3" t="str">
        <f t="shared" si="1"/>
        <v>NE</v>
      </c>
      <c r="J138" s="3" t="str">
        <f t="array" ref="J138">INDEX('State Abbreviations'!$B$2:$B$52,MATCH(I138,'State Abbreviations'!$A$2:$A$52,0))</f>
        <v>Nebraska</v>
      </c>
      <c r="K138" s="94" t="e">
        <f t="shared" ca="1" si="2"/>
        <v>#NAME?</v>
      </c>
      <c r="L138" s="13">
        <f t="shared" ca="1" si="8"/>
        <v>25</v>
      </c>
      <c r="M138" s="13" t="str">
        <f ca="1">IFERROR(__xludf.DUMMYFUNCTION("IF(AND(L138&gt;3,I138&lt;&gt;""AL"",I138&lt;&gt;""AK"",I138&lt;&gt;""AZ"",I138&lt;&gt;""AR"",I138&lt;&gt;""CA"",I138&lt;&gt;""CO"",I138&lt;&gt;""CT"",I138&lt;&gt;""DE"",I138&lt;&gt;""DC"",I138&lt;&gt;""FL"",I138&lt;&gt;""GA"",I138&lt;&gt;""HI"",I138&lt;&gt;""ID"",I138&lt;&gt;""IL"",I138&lt;&gt;""IN"",I138&lt;&gt;""IA"",I138&lt;&gt;""KS"",I138&lt;&gt;""KY"",I138&lt;&gt;"&amp;"""LA"",I138&lt;&gt;""ME"",I138&lt;&gt;""MD"",I138&lt;&gt;""MA"",I138&lt;&gt;""MI"",I138&lt;&gt;""MN"",I138&lt;&gt;""MS"",I138&lt;&gt;""MO"",I138&lt;&gt;""MT"",I138&lt;&gt;""NE"",I138&lt;&gt;""NV"",I138&lt;&gt;""NH"",I138&lt;&gt;""NJ"",I138&lt;&gt;""NM"",I138&lt;&gt;""NY"",I138&lt;&gt;""NC"",I138&lt;&gt;""ND"",I138&lt;&gt;""OH"",I138&lt;&gt;""OK"",I138&lt;&gt;""OR"",I"&amp;"138&lt;&gt;""PA"",I138&lt;&gt;""RI"",I138&lt;&gt;""SC"",I138&lt;&gt;""SD"",I138&lt;&gt;""TN"",I138&lt;&gt;""TX"",I138&lt;&gt;""UT"",I138&lt;&gt;""VT"",I138&lt;&gt;""VA"",I138&lt;&gt;""WA"",I138&lt;&gt;""WV"",I138&lt;&gt;""WI"",I138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8" s="13">
        <f t="shared" ca="1" si="9"/>
        <v>10</v>
      </c>
      <c r="O138" s="13" t="b">
        <f>ISNUMBER(MATCH(C138,'Top 250 HS'!C:C,0))</f>
        <v>0</v>
      </c>
      <c r="P138" s="13" t="str">
        <f ca="1">IFERROR(__xludf.DUMMYFUNCTION("SORTN(FILTER('Top 250 HS'!B:B,'Top 250 HS'!C:C=I138),1,0,randarray(COUNTA(FILTER('Top 250 HS'!B:B,'Top 250 HS'!C:C=I138)),1),TRUE)"),"Skutt Catholic (Omaha)")</f>
        <v>Skutt Catholic (Omaha)</v>
      </c>
      <c r="Q138" s="13" t="b">
        <f>ISNUMBER(MATCH("*"&amp;E138&amp;"*",'Top 1500 HS LatitudeLongitude'!G:G,0))</f>
        <v>1</v>
      </c>
      <c r="R138" s="13" t="str">
        <f ca="1">IFERROR(__xludf.DUMMYFUNCTION("IFS(L138=10,"""",Q138=false,"""",N138=5,"""",Q138=true,SORTN(FILTER('Top 1500 HS LatitudeLongitude'!B:B,'Top 1500 HS LatitudeLongitude'!C:C=I138,'Top 1500 HS LatitudeLongitude'!E:E=H138),1,0,randarray(COUNTA(FILTER('Top 1500 HS LatitudeLongitude'!B:B,'Top"&amp;" 1500 HS LatitudeLongitude'!C:C=I138,'Top 1500 HS LatitudeLongitude'!E:E=H138)),1),TRUE)
)"),"")</f>
        <v/>
      </c>
      <c r="S138" s="13" t="b">
        <f>ISNUMBER(MATCH("*"&amp;H:H&amp;"*",'Public Schools'!C:C,0))</f>
        <v>1</v>
      </c>
      <c r="T138" s="13" t="str">
        <f ca="1">IFERROR(__xludf.DUMMYFUNCTION("IFERROR(IF(AND(R138="""",S138=true), SORTN(FILTER('Public Schools'!A:A,'Public Schools'!B:B=J138,'Public Schools'!C:C=H138),1,0,randarray(COUNTA(FILTER('Public Schools'!A:A,'Public Schools'!B:B=J138,'Public Schools'!C:C=H138)),1),TRUE),""""),"""")"),"Millard South High School")</f>
        <v>Millard South High School</v>
      </c>
      <c r="U138" s="23" t="str">
        <f t="array" aca="1" ref="U138" ca="1">IF(AND(R138="",T138=""),INDEX('Top 1500 HS LatitudeLongitude'!B$2:B$1501,MATCH(MIN(SQRT(('Top 1500 HS LatitudeLongitude'!H$2:H$1501-F138)^2+('Top 1500 HS LatitudeLongitude'!I$2:I$1501-G138)^2)),SQRT( ('Top 1500 HS LatitudeLongitude'!H$2:H$1501-F138)^2+('Top 1500 HS LatitudeLongitude'!I$2:I$1501-G138)^2),0),1),"")</f>
        <v/>
      </c>
    </row>
    <row r="139" spans="2:21" ht="15.6">
      <c r="B139" s="8">
        <v>2.9083652309999999E-3</v>
      </c>
      <c r="C139" s="9" t="s">
        <v>47</v>
      </c>
      <c r="D139" s="9" t="s">
        <v>363</v>
      </c>
      <c r="E139" s="37" t="s">
        <v>4798</v>
      </c>
      <c r="F139" s="8">
        <v>33.5276</v>
      </c>
      <c r="G139" s="8">
        <v>-86.798599999999993</v>
      </c>
      <c r="H139" s="3" t="str">
        <f t="shared" si="0"/>
        <v>Anaheim</v>
      </c>
      <c r="I139" s="3" t="str">
        <f t="shared" si="1"/>
        <v>CA</v>
      </c>
      <c r="J139" s="3" t="str">
        <f t="array" ref="J139">INDEX('State Abbreviations'!$B$2:$B$52,MATCH(I139,'State Abbreviations'!$A$2:$A$52,0))</f>
        <v>California</v>
      </c>
      <c r="K139" s="94" t="e">
        <f t="shared" ca="1" si="2"/>
        <v>#NAME?</v>
      </c>
      <c r="L139" s="13">
        <f t="shared" ca="1" si="8"/>
        <v>21</v>
      </c>
      <c r="M139" s="13" t="str">
        <f ca="1">IFERROR(__xludf.DUMMYFUNCTION("IF(AND(L139&gt;3,I139&lt;&gt;""AL"",I139&lt;&gt;""AK"",I139&lt;&gt;""AZ"",I139&lt;&gt;""AR"",I139&lt;&gt;""CA"",I139&lt;&gt;""CO"",I139&lt;&gt;""CT"",I139&lt;&gt;""DE"",I139&lt;&gt;""DC"",I139&lt;&gt;""FL"",I139&lt;&gt;""GA"",I139&lt;&gt;""HI"",I139&lt;&gt;""ID"",I139&lt;&gt;""IL"",I139&lt;&gt;""IN"",I139&lt;&gt;""IA"",I139&lt;&gt;""KS"",I139&lt;&gt;""KY"",I139&lt;&gt;"&amp;"""LA"",I139&lt;&gt;""ME"",I139&lt;&gt;""MD"",I139&lt;&gt;""MA"",I139&lt;&gt;""MI"",I139&lt;&gt;""MN"",I139&lt;&gt;""MS"",I139&lt;&gt;""MO"",I139&lt;&gt;""MT"",I139&lt;&gt;""NE"",I139&lt;&gt;""NV"",I139&lt;&gt;""NH"",I139&lt;&gt;""NJ"",I139&lt;&gt;""NM"",I139&lt;&gt;""NY"",I139&lt;&gt;""NC"",I139&lt;&gt;""ND"",I139&lt;&gt;""OH"",I139&lt;&gt;""OK"",I139&lt;&gt;""OR"",I"&amp;"139&lt;&gt;""PA"",I139&lt;&gt;""RI"",I139&lt;&gt;""SC"",I139&lt;&gt;""SD"",I139&lt;&gt;""TN"",I139&lt;&gt;""TX"",I139&lt;&gt;""UT"",I139&lt;&gt;""VT"",I139&lt;&gt;""VA"",I139&lt;&gt;""WA"",I139&lt;&gt;""WV"",I139&lt;&gt;""WI"",I139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St"&amp;"ateInternational'!$G$2:$G$121&lt;&gt;"""")},2,0)),IF(L139=10,ArrayFormula(VLOOKUP(QUERY(UNIQUE(RANDBETWEEN(ROW(INDIRECT(""A1:A""&amp;COUNTA('Leaving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39" s="13">
        <f t="shared" ca="1" si="9"/>
        <v>3</v>
      </c>
      <c r="O139" s="13" t="b">
        <f>ISNUMBER(MATCH(C139,'Top 250 HS'!C:C,0))</f>
        <v>0</v>
      </c>
      <c r="P139" s="13" t="str">
        <f ca="1">IFERROR(__xludf.DUMMYFUNCTION("SORTN(FILTER('Top 250 HS'!B:B,'Top 250 HS'!C:C=I139),1,0,randarray(COUNTA(FILTER('Top 250 HS'!B:B,'Top 250 HS'!C:C=I139)),1),TRUE)"),"Archbishop Mitty (San Jose)")</f>
        <v>Archbishop Mitty (San Jose)</v>
      </c>
      <c r="Q139" s="13" t="b">
        <f>ISNUMBER(MATCH("*"&amp;E139&amp;"*",'Top 1500 HS LatitudeLongitude'!G:G,0))</f>
        <v>1</v>
      </c>
      <c r="R139" s="13" t="str">
        <f ca="1">IFERROR(__xludf.DUMMYFUNCTION("IFS(L139=10,"""",Q139=false,"""",N139=5,"""",Q139=true,SORTN(FILTER('Top 1500 HS LatitudeLongitude'!B:B,'Top 1500 HS LatitudeLongitude'!C:C=I139,'Top 1500 HS LatitudeLongitude'!E:E=H139),1,0,randarray(COUNTA(FILTER('Top 1500 HS LatitudeLongitude'!B:B,'Top"&amp;" 1500 HS LatitudeLongitude'!C:C=I139,'Top 1500 HS LatitudeLongitude'!E:E=H139)),1),TRUE)
)"),"Servite (Anaheim)")</f>
        <v>Servite (Anaheim)</v>
      </c>
      <c r="S139" s="13" t="b">
        <f>ISNUMBER(MATCH("*"&amp;H:H&amp;"*",'Public Schools'!C:C,0))</f>
        <v>1</v>
      </c>
      <c r="T139" s="13" t="str">
        <f ca="1">IFERROR(__xludf.DUMMYFUNCTION("IFERROR(IF(AND(R139="""",S139=true), SORTN(FILTER('Public Schools'!A:A,'Public Schools'!B:B=J139,'Public Schools'!C:C=H139),1,0,randarray(COUNTA(FILTER('Public Schools'!A:A,'Public Schools'!B:B=J139,'Public Schools'!C:C=H139)),1),TRUE),""""),"""")"),"")</f>
        <v/>
      </c>
      <c r="U139" s="23" t="str">
        <f t="array" aca="1" ref="U139" ca="1">IF(AND(R139="",T139=""),INDEX('Top 1500 HS LatitudeLongitude'!B$2:B$1501,MATCH(MIN(SQRT(('Top 1500 HS LatitudeLongitude'!H$2:H$1501-F139)^2+('Top 1500 HS LatitudeLongitude'!I$2:I$1501-G139)^2)),SQRT( ('Top 1500 HS LatitudeLongitude'!H$2:H$1501-F139)^2+('Top 1500 HS LatitudeLongitude'!I$2:I$1501-G139)^2),0),1),"")</f>
        <v/>
      </c>
    </row>
    <row r="140" spans="2:21" ht="15.6">
      <c r="B140" s="8">
        <v>0.1534529929</v>
      </c>
      <c r="C140" s="9" t="s">
        <v>206</v>
      </c>
      <c r="D140" s="9" t="s">
        <v>364</v>
      </c>
      <c r="E140" s="98" t="s">
        <v>4844</v>
      </c>
      <c r="F140" s="8">
        <v>38.904699999999998</v>
      </c>
      <c r="G140" s="8">
        <v>-77.016300000000001</v>
      </c>
      <c r="H140" s="3" t="str">
        <f t="shared" si="0"/>
        <v>Coppell</v>
      </c>
      <c r="I140" s="3" t="str">
        <f t="shared" si="1"/>
        <v>TX</v>
      </c>
      <c r="J140" s="3" t="str">
        <f t="array" ref="J140">INDEX('State Abbreviations'!$B$2:$B$52,MATCH(I140,'State Abbreviations'!$A$2:$A$52,0))</f>
        <v>Texas</v>
      </c>
      <c r="K140" s="94" t="e">
        <f t="shared" ca="1" si="2"/>
        <v>#NAME?</v>
      </c>
      <c r="L140" s="13">
        <f t="shared" ca="1" si="8"/>
        <v>16</v>
      </c>
      <c r="M140" s="13" t="str">
        <f ca="1">IFERROR(__xludf.DUMMYFUNCTION("IF(AND(L140&gt;3,I140&lt;&gt;""AL"",I140&lt;&gt;""AK"",I140&lt;&gt;""AZ"",I140&lt;&gt;""AR"",I140&lt;&gt;""CA"",I140&lt;&gt;""CO"",I140&lt;&gt;""CT"",I140&lt;&gt;""DE"",I140&lt;&gt;""DC"",I140&lt;&gt;""FL"",I140&lt;&gt;""GA"",I140&lt;&gt;""HI"",I140&lt;&gt;""ID"",I140&lt;&gt;""IL"",I140&lt;&gt;""IN"",I140&lt;&gt;""IA"",I140&lt;&gt;""KS"",I140&lt;&gt;""KY"",I140&lt;&gt;"&amp;"""LA"",I140&lt;&gt;""ME"",I140&lt;&gt;""MD"",I140&lt;&gt;""MA"",I140&lt;&gt;""MI"",I140&lt;&gt;""MN"",I140&lt;&gt;""MS"",I140&lt;&gt;""MO"",I140&lt;&gt;""MT"",I140&lt;&gt;""NE"",I140&lt;&gt;""NV"",I140&lt;&gt;""NH"",I140&lt;&gt;""NJ"",I140&lt;&gt;""NM"",I140&lt;&gt;""NY"",I140&lt;&gt;""NC"",I140&lt;&gt;""ND"",I140&lt;&gt;""OH"",I140&lt;&gt;""OK"",I140&lt;&gt;""OR"",I"&amp;"140&lt;&gt;""PA"",I140&lt;&gt;""RI"",I140&lt;&gt;""SC"",I140&lt;&gt;""SD"",I140&lt;&gt;""TN"",I140&lt;&gt;""TX"",I140&lt;&gt;""UT"",I140&lt;&gt;""VT"",I140&lt;&gt;""VA"",I140&lt;&gt;""WA"",I140&lt;&gt;""WV"",I140&lt;&gt;""WI"",I140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0" s="13">
        <f t="shared" ca="1" si="9"/>
        <v>9</v>
      </c>
      <c r="O140" s="13" t="b">
        <f>ISNUMBER(MATCH(C140,'Top 250 HS'!C:C,0))</f>
        <v>0</v>
      </c>
      <c r="P140" s="13" t="str">
        <f ca="1">IFERROR(__xludf.DUMMYFUNCTION("SORTN(FILTER('Top 250 HS'!B:B,'Top 250 HS'!C:C=I140),1,0,randarray(COUNTA(FILTER('Top 250 HS'!B:B,'Top 250 HS'!C:C=I140)),1),TRUE)"),"Ellison (Killeen)")</f>
        <v>Ellison (Killeen)</v>
      </c>
      <c r="Q140" s="13" t="b">
        <f>ISNUMBER(MATCH("*"&amp;E140&amp;"*",'Top 1500 HS LatitudeLongitude'!G:G,0))</f>
        <v>1</v>
      </c>
      <c r="R140" s="13" t="str">
        <f ca="1">IFERROR(__xludf.DUMMYFUNCTION("IFS(L140=10,"""",Q140=false,"""",N140=5,"""",Q140=true,SORTN(FILTER('Top 1500 HS LatitudeLongitude'!B:B,'Top 1500 HS LatitudeLongitude'!C:C=I140,'Top 1500 HS LatitudeLongitude'!E:E=H140),1,0,randarray(COUNTA(FILTER('Top 1500 HS LatitudeLongitude'!B:B,'Top"&amp;" 1500 HS LatitudeLongitude'!C:C=I140,'Top 1500 HS LatitudeLongitude'!E:E=H140)),1),TRUE)
)"),"Universal Academy (Irving)")</f>
        <v>Universal Academy (Irving)</v>
      </c>
      <c r="S140" s="13" t="b">
        <f>ISNUMBER(MATCH("*"&amp;H:H&amp;"*",'Public Schools'!C:C,0))</f>
        <v>1</v>
      </c>
      <c r="T140" s="13" t="str">
        <f ca="1">IFERROR(__xludf.DUMMYFUNCTION("IFERROR(IF(AND(R140="""",S140=true), SORTN(FILTER('Public Schools'!A:A,'Public Schools'!B:B=J140,'Public Schools'!C:C=H140),1,0,randarray(COUNTA(FILTER('Public Schools'!A:A,'Public Schools'!B:B=J140,'Public Schools'!C:C=H140)),1),TRUE),""""),"""")"),"")</f>
        <v/>
      </c>
      <c r="U140" s="23" t="str">
        <f t="array" aca="1" ref="U140" ca="1">IF(AND(R140="",T140=""),INDEX('Top 1500 HS LatitudeLongitude'!B$2:B$1501,MATCH(MIN(SQRT(('Top 1500 HS LatitudeLongitude'!H$2:H$1501-F140)^2+('Top 1500 HS LatitudeLongitude'!I$2:I$1501-G140)^2)),SQRT( ('Top 1500 HS LatitudeLongitude'!H$2:H$1501-F140)^2+('Top 1500 HS LatitudeLongitude'!I$2:I$1501-G140)^2),0),1),"")</f>
        <v/>
      </c>
    </row>
    <row r="141" spans="2:21" ht="15.6">
      <c r="B141" s="8">
        <v>0.3949756914</v>
      </c>
      <c r="C141" s="9" t="s">
        <v>148</v>
      </c>
      <c r="D141" s="9" t="s">
        <v>365</v>
      </c>
      <c r="E141" s="37" t="s">
        <v>4886</v>
      </c>
      <c r="F141" s="8">
        <v>32.465899999999998</v>
      </c>
      <c r="G141" s="8">
        <v>-93.795900000000003</v>
      </c>
      <c r="H141" s="3" t="str">
        <f t="shared" si="0"/>
        <v>Dalton</v>
      </c>
      <c r="I141" s="3" t="str">
        <f t="shared" si="1"/>
        <v>GA</v>
      </c>
      <c r="J141" s="3" t="str">
        <f t="array" ref="J141">INDEX('State Abbreviations'!$B$2:$B$52,MATCH(I141,'State Abbreviations'!$A$2:$A$52,0))</f>
        <v>Georgia</v>
      </c>
      <c r="K141" s="94" t="e">
        <f t="shared" ca="1" si="2"/>
        <v>#NAME?</v>
      </c>
      <c r="L141" s="13">
        <f t="shared" ca="1" si="8"/>
        <v>15</v>
      </c>
      <c r="M141" s="13" t="str">
        <f ca="1">IFERROR(__xludf.DUMMYFUNCTION("IF(AND(L141&gt;3,I141&lt;&gt;""AL"",I141&lt;&gt;""AK"",I141&lt;&gt;""AZ"",I141&lt;&gt;""AR"",I141&lt;&gt;""CA"",I141&lt;&gt;""CO"",I141&lt;&gt;""CT"",I141&lt;&gt;""DE"",I141&lt;&gt;""DC"",I141&lt;&gt;""FL"",I141&lt;&gt;""GA"",I141&lt;&gt;""HI"",I141&lt;&gt;""ID"",I141&lt;&gt;""IL"",I141&lt;&gt;""IN"",I141&lt;&gt;""IA"",I141&lt;&gt;""KS"",I141&lt;&gt;""KY"",I141&lt;&gt;"&amp;"""LA"",I141&lt;&gt;""ME"",I141&lt;&gt;""MD"",I141&lt;&gt;""MA"",I141&lt;&gt;""MI"",I141&lt;&gt;""MN"",I141&lt;&gt;""MS"",I141&lt;&gt;""MO"",I141&lt;&gt;""MT"",I141&lt;&gt;""NE"",I141&lt;&gt;""NV"",I141&lt;&gt;""NH"",I141&lt;&gt;""NJ"",I141&lt;&gt;""NM"",I141&lt;&gt;""NY"",I141&lt;&gt;""NC"",I141&lt;&gt;""ND"",I141&lt;&gt;""OH"",I141&lt;&gt;""OK"",I141&lt;&gt;""OR"",I"&amp;"141&lt;&gt;""PA"",I141&lt;&gt;""RI"",I141&lt;&gt;""SC"",I141&lt;&gt;""SD"",I141&lt;&gt;""TN"",I141&lt;&gt;""TX"",I141&lt;&gt;""UT"",I141&lt;&gt;""VT"",I141&lt;&gt;""VA"",I141&lt;&gt;""WA"",I141&lt;&gt;""WV"",I141&lt;&gt;""WI"",I141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1" s="13">
        <f t="shared" ca="1" si="9"/>
        <v>1</v>
      </c>
      <c r="O141" s="13" t="b">
        <f>ISNUMBER(MATCH(C141,'Top 250 HS'!C:C,0))</f>
        <v>0</v>
      </c>
      <c r="P141" s="13" t="str">
        <f ca="1">IFERROR(__xludf.DUMMYFUNCTION("SORTN(FILTER('Top 250 HS'!B:B,'Top 250 HS'!C:C=I141),1,0,randarray(COUNTA(FILTER('Top 250 HS'!B:B,'Top 250 HS'!C:C=I141)),1),TRUE)"),"St. Francis (Alpharetta)")</f>
        <v>St. Francis (Alpharetta)</v>
      </c>
      <c r="Q141" s="13" t="b">
        <f>ISNUMBER(MATCH("*"&amp;E141&amp;"*",'Top 1500 HS LatitudeLongitude'!G:G,0))</f>
        <v>0</v>
      </c>
      <c r="R141" s="13" t="str">
        <f ca="1">IFERROR(__xludf.DUMMYFUNCTION("IFS(L141=10,"""",Q141=false,"""",N141=5,"""",Q141=true,SORTN(FILTER('Top 1500 HS LatitudeLongitude'!B:B,'Top 1500 HS LatitudeLongitude'!C:C=I141,'Top 1500 HS LatitudeLongitude'!E:E=H141),1,0,randarray(COUNTA(FILTER('Top 1500 HS LatitudeLongitude'!B:B,'Top"&amp;" 1500 HS LatitudeLongitude'!C:C=I141,'Top 1500 HS LatitudeLongitude'!E:E=H141)),1),TRUE)
)"),"")</f>
        <v/>
      </c>
      <c r="S141" s="13" t="b">
        <f>ISNUMBER(MATCH("*"&amp;H:H&amp;"*",'Public Schools'!C:C,0))</f>
        <v>1</v>
      </c>
      <c r="T141" s="13" t="str">
        <f ca="1">IFERROR(__xludf.DUMMYFUNCTION("IFERROR(IF(AND(R141="""",S141=true), SORTN(FILTER('Public Schools'!A:A,'Public Schools'!B:B=J141,'Public Schools'!C:C=H141),1,0,randarray(COUNTA(FILTER('Public Schools'!A:A,'Public Schools'!B:B=J141,'Public Schools'!C:C=H141)),1),TRUE),""""),"""")"),"Southeast Whitfield County High School")</f>
        <v>Southeast Whitfield County High School</v>
      </c>
      <c r="U141" s="23" t="str">
        <f t="array" aca="1" ref="U141" ca="1">IF(AND(R141="",T141=""),INDEX('Top 1500 HS LatitudeLongitude'!B$2:B$1501,MATCH(MIN(SQRT(('Top 1500 HS LatitudeLongitude'!H$2:H$1501-F141)^2+('Top 1500 HS LatitudeLongitude'!I$2:I$1501-G141)^2)),SQRT( ('Top 1500 HS LatitudeLongitude'!H$2:H$1501-F141)^2+('Top 1500 HS LatitudeLongitude'!I$2:I$1501-G141)^2),0),1),"")</f>
        <v/>
      </c>
    </row>
    <row r="142" spans="2:21" ht="15.6">
      <c r="B142" s="8">
        <v>0.14005195870000001</v>
      </c>
      <c r="C142" s="9" t="s">
        <v>206</v>
      </c>
      <c r="D142" s="9" t="s">
        <v>366</v>
      </c>
      <c r="E142" s="98" t="s">
        <v>4929</v>
      </c>
      <c r="F142" s="8">
        <v>39.994599999999998</v>
      </c>
      <c r="G142" s="8">
        <v>-105.0996</v>
      </c>
      <c r="H142" s="3" t="str">
        <f t="shared" si="0"/>
        <v>Mercedes</v>
      </c>
      <c r="I142" s="3" t="str">
        <f t="shared" si="1"/>
        <v>TX</v>
      </c>
      <c r="J142" s="3" t="str">
        <f t="array" ref="J142">INDEX('State Abbreviations'!$B$2:$B$52,MATCH(I142,'State Abbreviations'!$A$2:$A$52,0))</f>
        <v>Texas</v>
      </c>
      <c r="K142" s="94" t="e">
        <f t="shared" ca="1" si="2"/>
        <v>#NAME?</v>
      </c>
      <c r="L142" s="13">
        <f t="shared" ca="1" si="8"/>
        <v>15</v>
      </c>
      <c r="M142" s="13" t="str">
        <f ca="1">IFERROR(__xludf.DUMMYFUNCTION("IF(AND(L142&gt;3,I142&lt;&gt;""AL"",I142&lt;&gt;""AK"",I142&lt;&gt;""AZ"",I142&lt;&gt;""AR"",I142&lt;&gt;""CA"",I142&lt;&gt;""CO"",I142&lt;&gt;""CT"",I142&lt;&gt;""DE"",I142&lt;&gt;""DC"",I142&lt;&gt;""FL"",I142&lt;&gt;""GA"",I142&lt;&gt;""HI"",I142&lt;&gt;""ID"",I142&lt;&gt;""IL"",I142&lt;&gt;""IN"",I142&lt;&gt;""IA"",I142&lt;&gt;""KS"",I142&lt;&gt;""KY"",I142&lt;&gt;"&amp;"""LA"",I142&lt;&gt;""ME"",I142&lt;&gt;""MD"",I142&lt;&gt;""MA"",I142&lt;&gt;""MI"",I142&lt;&gt;""MN"",I142&lt;&gt;""MS"",I142&lt;&gt;""MO"",I142&lt;&gt;""MT"",I142&lt;&gt;""NE"",I142&lt;&gt;""NV"",I142&lt;&gt;""NH"",I142&lt;&gt;""NJ"",I142&lt;&gt;""NM"",I142&lt;&gt;""NY"",I142&lt;&gt;""NC"",I142&lt;&gt;""ND"",I142&lt;&gt;""OH"",I142&lt;&gt;""OK"",I142&lt;&gt;""OR"",I"&amp;"142&lt;&gt;""PA"",I142&lt;&gt;""RI"",I142&lt;&gt;""SC"",I142&lt;&gt;""SD"",I142&lt;&gt;""TN"",I142&lt;&gt;""TX"",I142&lt;&gt;""UT"",I142&lt;&gt;""VT"",I142&lt;&gt;""VA"",I142&lt;&gt;""WA"",I142&lt;&gt;""WV"",I142&lt;&gt;""WI"",I142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2" s="13">
        <f t="shared" ca="1" si="9"/>
        <v>2</v>
      </c>
      <c r="O142" s="13" t="b">
        <f>ISNUMBER(MATCH(C142,'Top 250 HS'!C:C,0))</f>
        <v>0</v>
      </c>
      <c r="P142" s="13" t="str">
        <f ca="1">IFERROR(__xludf.DUMMYFUNCTION("SORTN(FILTER('Top 250 HS'!B:B,'Top 250 HS'!C:C=I142),1,0,randarray(COUNTA(FILTER('Top 250 HS'!B:B,'Top 250 HS'!C:C=I142)),1),TRUE)"),"Grand Prairie")</f>
        <v>Grand Prairie</v>
      </c>
      <c r="Q142" s="13" t="b">
        <f>ISNUMBER(MATCH("*"&amp;E142&amp;"*",'Top 1500 HS LatitudeLongitude'!G:G,0))</f>
        <v>0</v>
      </c>
      <c r="R142" s="13" t="str">
        <f ca="1">IFERROR(__xludf.DUMMYFUNCTION("IFS(L142=10,"""",Q142=false,"""",N142=5,"""",Q142=true,SORTN(FILTER('Top 1500 HS LatitudeLongitude'!B:B,'Top 1500 HS LatitudeLongitude'!C:C=I142,'Top 1500 HS LatitudeLongitude'!E:E=H142),1,0,randarray(COUNTA(FILTER('Top 1500 HS LatitudeLongitude'!B:B,'Top"&amp;" 1500 HS LatitudeLongitude'!C:C=I142,'Top 1500 HS LatitudeLongitude'!E:E=H142)),1),TRUE)
)"),"")</f>
        <v/>
      </c>
      <c r="S142" s="13" t="b">
        <f>ISNUMBER(MATCH("*"&amp;H:H&amp;"*",'Public Schools'!C:C,0))</f>
        <v>1</v>
      </c>
      <c r="T142" s="13" t="str">
        <f ca="1">IFERROR(__xludf.DUMMYFUNCTION("IFERROR(IF(AND(R142="""",S142=true), SORTN(FILTER('Public Schools'!A:A,'Public Schools'!B:B=J142,'Public Schools'!C:C=H142),1,0,randarray(COUNTA(FILTER('Public Schools'!A:A,'Public Schools'!B:B=J142,'Public Schools'!C:C=H142)),1),TRUE),""""),"""")"),"Mercedes H S")</f>
        <v>Mercedes H S</v>
      </c>
      <c r="U142" s="23" t="str">
        <f t="array" aca="1" ref="U142" ca="1">IF(AND(R142="",T142=""),INDEX('Top 1500 HS LatitudeLongitude'!B$2:B$1501,MATCH(MIN(SQRT(('Top 1500 HS LatitudeLongitude'!H$2:H$1501-F142)^2+('Top 1500 HS LatitudeLongitude'!I$2:I$1501-G142)^2)),SQRT( ('Top 1500 HS LatitudeLongitude'!H$2:H$1501-F142)^2+('Top 1500 HS LatitudeLongitude'!I$2:I$1501-G142)^2),0),1),"")</f>
        <v/>
      </c>
    </row>
    <row r="143" spans="2:21" ht="15.6">
      <c r="B143" s="8">
        <v>0.50733942750000005</v>
      </c>
      <c r="C143" s="9" t="s">
        <v>23</v>
      </c>
      <c r="D143" s="9" t="s">
        <v>367</v>
      </c>
      <c r="E143" s="37" t="s">
        <v>4970</v>
      </c>
      <c r="F143" s="8">
        <v>39.123899999999999</v>
      </c>
      <c r="G143" s="8">
        <v>-94.554100000000005</v>
      </c>
      <c r="H143" s="3" t="str">
        <f t="shared" si="0"/>
        <v>New Baltimore</v>
      </c>
      <c r="I143" s="3" t="str">
        <f t="shared" si="1"/>
        <v>MI</v>
      </c>
      <c r="J143" s="3" t="str">
        <f t="array" ref="J143">INDEX('State Abbreviations'!$B$2:$B$52,MATCH(I143,'State Abbreviations'!$A$2:$A$52,0))</f>
        <v>Michigan</v>
      </c>
      <c r="K143" s="94" t="e">
        <f t="shared" ca="1" si="2"/>
        <v>#NAME?</v>
      </c>
      <c r="L143" s="13">
        <f t="shared" ca="1" si="8"/>
        <v>14</v>
      </c>
      <c r="M143" s="13" t="str">
        <f ca="1">IFERROR(__xludf.DUMMYFUNCTION("IF(AND(L143&gt;3,I143&lt;&gt;""AL"",I143&lt;&gt;""AK"",I143&lt;&gt;""AZ"",I143&lt;&gt;""AR"",I143&lt;&gt;""CA"",I143&lt;&gt;""CO"",I143&lt;&gt;""CT"",I143&lt;&gt;""DE"",I143&lt;&gt;""DC"",I143&lt;&gt;""FL"",I143&lt;&gt;""GA"",I143&lt;&gt;""HI"",I143&lt;&gt;""ID"",I143&lt;&gt;""IL"",I143&lt;&gt;""IN"",I143&lt;&gt;""IA"",I143&lt;&gt;""KS"",I143&lt;&gt;""KY"",I143&lt;&gt;"&amp;"""LA"",I143&lt;&gt;""ME"",I143&lt;&gt;""MD"",I143&lt;&gt;""MA"",I143&lt;&gt;""MI"",I143&lt;&gt;""MN"",I143&lt;&gt;""MS"",I143&lt;&gt;""MO"",I143&lt;&gt;""MT"",I143&lt;&gt;""NE"",I143&lt;&gt;""NV"",I143&lt;&gt;""NH"",I143&lt;&gt;""NJ"",I143&lt;&gt;""NM"",I143&lt;&gt;""NY"",I143&lt;&gt;""NC"",I143&lt;&gt;""ND"",I143&lt;&gt;""OH"",I143&lt;&gt;""OK"",I143&lt;&gt;""OR"",I"&amp;"143&lt;&gt;""PA"",I143&lt;&gt;""RI"",I143&lt;&gt;""SC"",I143&lt;&gt;""SD"",I143&lt;&gt;""TN"",I143&lt;&gt;""TX"",I143&lt;&gt;""UT"",I143&lt;&gt;""VT"",I143&lt;&gt;""VA"",I143&lt;&gt;""WA"",I143&lt;&gt;""WV"",I143&lt;&gt;""WI"",I143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3" s="13">
        <f t="shared" ca="1" si="9"/>
        <v>15</v>
      </c>
      <c r="O143" s="13" t="b">
        <f>ISNUMBER(MATCH(C143,'Top 250 HS'!C:C,0))</f>
        <v>0</v>
      </c>
      <c r="P143" s="13" t="str">
        <f ca="1">IFERROR(__xludf.DUMMYFUNCTION("SORTN(FILTER('Top 250 HS'!B:B,'Top 250 HS'!C:C=I143),1,0,randarray(COUNTA(FILTER('Top 250 HS'!B:B,'Top 250 HS'!C:C=I143)),1),TRUE)"),"Huron (Ann Arbor)")</f>
        <v>Huron (Ann Arbor)</v>
      </c>
      <c r="Q143" s="13" t="b">
        <f>ISNUMBER(MATCH("*"&amp;E143&amp;"*",'Top 1500 HS LatitudeLongitude'!G:G,0))</f>
        <v>0</v>
      </c>
      <c r="R143" s="13" t="str">
        <f ca="1">IFERROR(__xludf.DUMMYFUNCTION("IFS(L143=10,"""",Q143=false,"""",N143=5,"""",Q143=true,SORTN(FILTER('Top 1500 HS LatitudeLongitude'!B:B,'Top 1500 HS LatitudeLongitude'!C:C=I143,'Top 1500 HS LatitudeLongitude'!E:E=H143),1,0,randarray(COUNTA(FILTER('Top 1500 HS LatitudeLongitude'!B:B,'Top"&amp;" 1500 HS LatitudeLongitude'!C:C=I143,'Top 1500 HS LatitudeLongitude'!E:E=H143)),1),TRUE)
)"),"")</f>
        <v/>
      </c>
      <c r="S143" s="13" t="b">
        <f>ISNUMBER(MATCH("*"&amp;H:H&amp;"*",'Public Schools'!C:C,0))</f>
        <v>0</v>
      </c>
      <c r="T143" s="13" t="str">
        <f ca="1">IFERROR(__xludf.DUMMYFUNCTION("IFERROR(IF(AND(R143="""",S143=true), SORTN(FILTER('Public Schools'!A:A,'Public Schools'!B:B=J143,'Public Schools'!C:C=H143),1,0,randarray(COUNTA(FILTER('Public Schools'!A:A,'Public Schools'!B:B=J143,'Public Schools'!C:C=H143)),1),TRUE),""""),"""")"),"")</f>
        <v/>
      </c>
      <c r="U143" s="23" t="str">
        <f t="array" aca="1" ref="U143" ca="1">IF(AND(R143="",T143=""),INDEX('Top 1500 HS LatitudeLongitude'!B$2:B$1501,MATCH(MIN(SQRT(('Top 1500 HS LatitudeLongitude'!H$2:H$1501-F143)^2+('Top 1500 HS LatitudeLongitude'!I$2:I$1501-G143)^2)),SQRT( ('Top 1500 HS LatitudeLongitude'!H$2:H$1501-F143)^2+('Top 1500 HS LatitudeLongitude'!I$2:I$1501-G143)^2),0),1),"")</f>
        <v>North Kansas City</v>
      </c>
    </row>
    <row r="144" spans="2:21" ht="15.6">
      <c r="B144" s="8">
        <v>0.65433047769999997</v>
      </c>
      <c r="C144" s="9" t="s">
        <v>206</v>
      </c>
      <c r="D144" s="9" t="s">
        <v>368</v>
      </c>
      <c r="E144" s="98" t="s">
        <v>5012</v>
      </c>
      <c r="F144" s="8">
        <v>40.650100000000002</v>
      </c>
      <c r="G144" s="8">
        <v>-73.949600000000004</v>
      </c>
      <c r="H144" s="3" t="str">
        <f t="shared" si="0"/>
        <v>Houston</v>
      </c>
      <c r="I144" s="3" t="str">
        <f t="shared" si="1"/>
        <v>TX</v>
      </c>
      <c r="J144" s="3" t="str">
        <f t="array" ref="J144">INDEX('State Abbreviations'!$B$2:$B$52,MATCH(I144,'State Abbreviations'!$A$2:$A$52,0))</f>
        <v>Texas</v>
      </c>
      <c r="K144" s="94" t="e">
        <f t="shared" ca="1" si="2"/>
        <v>#NAME?</v>
      </c>
      <c r="L144" s="13">
        <f t="shared" ca="1" si="8"/>
        <v>8</v>
      </c>
      <c r="M144" s="13" t="str">
        <f ca="1">IFERROR(__xludf.DUMMYFUNCTION("IF(AND(L144&gt;3,I144&lt;&gt;""AL"",I144&lt;&gt;""AK"",I144&lt;&gt;""AZ"",I144&lt;&gt;""AR"",I144&lt;&gt;""CA"",I144&lt;&gt;""CO"",I144&lt;&gt;""CT"",I144&lt;&gt;""DE"",I144&lt;&gt;""DC"",I144&lt;&gt;""FL"",I144&lt;&gt;""GA"",I144&lt;&gt;""HI"",I144&lt;&gt;""ID"",I144&lt;&gt;""IL"",I144&lt;&gt;""IN"",I144&lt;&gt;""IA"",I144&lt;&gt;""KS"",I144&lt;&gt;""KY"",I144&lt;&gt;"&amp;"""LA"",I144&lt;&gt;""ME"",I144&lt;&gt;""MD"",I144&lt;&gt;""MA"",I144&lt;&gt;""MI"",I144&lt;&gt;""MN"",I144&lt;&gt;""MS"",I144&lt;&gt;""MO"",I144&lt;&gt;""MT"",I144&lt;&gt;""NE"",I144&lt;&gt;""NV"",I144&lt;&gt;""NH"",I144&lt;&gt;""NJ"",I144&lt;&gt;""NM"",I144&lt;&gt;""NY"",I144&lt;&gt;""NC"",I144&lt;&gt;""ND"",I144&lt;&gt;""OH"",I144&lt;&gt;""OK"",I144&lt;&gt;""OR"",I"&amp;"144&lt;&gt;""PA"",I144&lt;&gt;""RI"",I144&lt;&gt;""SC"",I144&lt;&gt;""SD"",I144&lt;&gt;""TN"",I144&lt;&gt;""TX"",I144&lt;&gt;""UT"",I144&lt;&gt;""VT"",I144&lt;&gt;""VA"",I144&lt;&gt;""WA"",I144&lt;&gt;""WV"",I144&lt;&gt;""WI"",I144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4" s="13">
        <f t="shared" ca="1" si="9"/>
        <v>13</v>
      </c>
      <c r="O144" s="13" t="b">
        <f>ISNUMBER(MATCH(C144,'Top 250 HS'!C:C,0))</f>
        <v>0</v>
      </c>
      <c r="P144" s="13" t="str">
        <f ca="1">IFERROR(__xludf.DUMMYFUNCTION("SORTN(FILTER('Top 250 HS'!B:B,'Top 250 HS'!C:C=I144),1,0,randarray(COUNTA(FILTER('Top 250 HS'!B:B,'Top 250 HS'!C:C=I144)),1),TRUE)"),"Brandeis (San Antonio)")</f>
        <v>Brandeis (San Antonio)</v>
      </c>
      <c r="Q144" s="13" t="b">
        <f>ISNUMBER(MATCH("*"&amp;E144&amp;"*",'Top 1500 HS LatitudeLongitude'!G:G,0))</f>
        <v>1</v>
      </c>
      <c r="R144" s="13" t="str">
        <f ca="1">IFERROR(__xludf.DUMMYFUNCTION("IFS(L144=10,"""",Q144=false,"""",N144=5,"""",Q144=true,SORTN(FILTER('Top 1500 HS LatitudeLongitude'!B:B,'Top 1500 HS LatitudeLongitude'!C:C=I144,'Top 1500 HS LatitudeLongitude'!E:E=H144),1,0,randarray(COUNTA(FILTER('Top 1500 HS LatitudeLongitude'!B:B,'Top"&amp;" 1500 HS LatitudeLongitude'!C:C=I144,'Top 1500 HS LatitudeLongitude'!E:E=H144)),1),TRUE)
)"),"Yates (Houston)")</f>
        <v>Yates (Houston)</v>
      </c>
      <c r="S144" s="13" t="b">
        <f>ISNUMBER(MATCH("*"&amp;H:H&amp;"*",'Public Schools'!C:C,0))</f>
        <v>1</v>
      </c>
      <c r="T144" s="13" t="str">
        <f ca="1">IFERROR(__xludf.DUMMYFUNCTION("IFERROR(IF(AND(R144="""",S144=true), SORTN(FILTER('Public Schools'!A:A,'Public Schools'!B:B=J144,'Public Schools'!C:C=H144),1,0,randarray(COUNTA(FILTER('Public Schools'!A:A,'Public Schools'!B:B=J144,'Public Schools'!C:C=H144)),1),TRUE),""""),"""")"),"")</f>
        <v/>
      </c>
      <c r="U144" s="23" t="str">
        <f t="array" aca="1" ref="U144" ca="1">IF(AND(R144="",T144=""),INDEX('Top 1500 HS LatitudeLongitude'!B$2:B$1501,MATCH(MIN(SQRT(('Top 1500 HS LatitudeLongitude'!H$2:H$1501-F144)^2+('Top 1500 HS LatitudeLongitude'!I$2:I$1501-G144)^2)),SQRT( ('Top 1500 HS LatitudeLongitude'!H$2:H$1501-F144)^2+('Top 1500 HS LatitudeLongitude'!I$2:I$1501-G144)^2),0),1),"")</f>
        <v/>
      </c>
    </row>
    <row r="145" spans="2:21" ht="15.6">
      <c r="B145" s="8">
        <v>0.87100494390000005</v>
      </c>
      <c r="C145" s="9" t="s">
        <v>369</v>
      </c>
      <c r="D145" s="9" t="s">
        <v>370</v>
      </c>
      <c r="E145" s="37" t="s">
        <v>5052</v>
      </c>
      <c r="F145" s="8">
        <v>35.1999</v>
      </c>
      <c r="G145" s="8">
        <v>-101.8297</v>
      </c>
      <c r="H145" s="3" t="str">
        <f t="shared" si="0"/>
        <v>Grand Forks</v>
      </c>
      <c r="I145" s="3" t="str">
        <f t="shared" si="1"/>
        <v>ND</v>
      </c>
      <c r="J145" s="3" t="str">
        <f t="array" ref="J145">INDEX('State Abbreviations'!$B$2:$B$52,MATCH(I145,'State Abbreviations'!$A$2:$A$52,0))</f>
        <v>North Dakota</v>
      </c>
      <c r="K145" s="94" t="e">
        <f t="shared" ca="1" si="2"/>
        <v>#NAME?</v>
      </c>
      <c r="L145" s="13">
        <f t="shared" ca="1" si="8"/>
        <v>10</v>
      </c>
      <c r="M145" s="13" t="str">
        <f ca="1">IFERROR(__xludf.DUMMYFUNCTION("IF(AND(L145&gt;3,I145&lt;&gt;""AL"",I145&lt;&gt;""AK"",I145&lt;&gt;""AZ"",I145&lt;&gt;""AR"",I145&lt;&gt;""CA"",I145&lt;&gt;""CO"",I145&lt;&gt;""CT"",I145&lt;&gt;""DE"",I145&lt;&gt;""DC"",I145&lt;&gt;""FL"",I145&lt;&gt;""GA"",I145&lt;&gt;""HI"",I145&lt;&gt;""ID"",I145&lt;&gt;""IL"",I145&lt;&gt;""IN"",I145&lt;&gt;""IA"",I145&lt;&gt;""KS"",I145&lt;&gt;""KY"",I145&lt;&gt;"&amp;"""LA"",I145&lt;&gt;""ME"",I145&lt;&gt;""MD"",I145&lt;&gt;""MA"",I145&lt;&gt;""MI"",I145&lt;&gt;""MN"",I145&lt;&gt;""MS"",I145&lt;&gt;""MO"",I145&lt;&gt;""MT"",I145&lt;&gt;""NE"",I145&lt;&gt;""NV"",I145&lt;&gt;""NH"",I145&lt;&gt;""NJ"",I145&lt;&gt;""NM"",I145&lt;&gt;""NY"",I145&lt;&gt;""NC"",I145&lt;&gt;""ND"",I145&lt;&gt;""OH"",I145&lt;&gt;""OK"",I145&lt;&gt;""OR"",I"&amp;"145&lt;&gt;""PA"",I145&lt;&gt;""RI"",I145&lt;&gt;""SC"",I145&lt;&gt;""SD"",I145&lt;&gt;""TN"",I145&lt;&gt;""TX"",I145&lt;&gt;""UT"",I145&lt;&gt;""VT"",I145&lt;&gt;""VA"",I145&lt;&gt;""WA"",I145&lt;&gt;""WV"",I145&lt;&gt;""WI"",I145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5" s="13">
        <f t="shared" ca="1" si="9"/>
        <v>6</v>
      </c>
      <c r="O145" s="13" t="b">
        <f>ISNUMBER(MATCH(C145,'Top 250 HS'!C:C,0))</f>
        <v>0</v>
      </c>
      <c r="P145" s="13" t="str">
        <f ca="1">IFERROR(__xludf.DUMMYFUNCTION("SORTN(FILTER('Top 250 HS'!B:B,'Top 250 HS'!C:C=I145),1,0,randarray(COUNTA(FILTER('Top 250 HS'!B:B,'Top 250 HS'!C:C=I145)),1),TRUE)"),"#N/A")</f>
        <v>#N/A</v>
      </c>
      <c r="Q145" s="13" t="b">
        <f>ISNUMBER(MATCH("*"&amp;E145&amp;"*",'Top 1500 HS LatitudeLongitude'!G:G,0))</f>
        <v>0</v>
      </c>
      <c r="R145" s="13" t="str">
        <f ca="1">IFERROR(__xludf.DUMMYFUNCTION("IFS(L145=10,"""",Q145=false,"""",N145=5,"""",Q145=true,SORTN(FILTER('Top 1500 HS LatitudeLongitude'!B:B,'Top 1500 HS LatitudeLongitude'!C:C=I145,'Top 1500 HS LatitudeLongitude'!E:E=H145),1,0,randarray(COUNTA(FILTER('Top 1500 HS LatitudeLongitude'!B:B,'Top"&amp;" 1500 HS LatitudeLongitude'!C:C=I145,'Top 1500 HS LatitudeLongitude'!E:E=H145)),1),TRUE)
)"),"")</f>
        <v/>
      </c>
      <c r="S145" s="13" t="b">
        <f>ISNUMBER(MATCH("*"&amp;H:H&amp;"*",'Public Schools'!C:C,0))</f>
        <v>1</v>
      </c>
      <c r="T145" s="13" t="str">
        <f ca="1">IFERROR(__xludf.DUMMYFUNCTION("IFERROR(IF(AND(R145="""",S145=true), SORTN(FILTER('Public Schools'!A:A,'Public Schools'!B:B=J145,'Public Schools'!C:C=H145),1,0,randarray(COUNTA(FILTER('Public Schools'!A:A,'Public Schools'!B:B=J145,'Public Schools'!C:C=H145)),1),TRUE),""""),"""")"),"Central High School")</f>
        <v>Central High School</v>
      </c>
      <c r="U145" s="23" t="str">
        <f t="array" aca="1" ref="U145" ca="1">IF(AND(R145="",T145=""),INDEX('Top 1500 HS LatitudeLongitude'!B$2:B$1501,MATCH(MIN(SQRT(('Top 1500 HS LatitudeLongitude'!H$2:H$1501-F145)^2+('Top 1500 HS LatitudeLongitude'!I$2:I$1501-G145)^2)),SQRT( ('Top 1500 HS LatitudeLongitude'!H$2:H$1501-F145)^2+('Top 1500 HS LatitudeLongitude'!I$2:I$1501-G145)^2),0),1),"")</f>
        <v/>
      </c>
    </row>
    <row r="146" spans="2:21" ht="15.6">
      <c r="B146" s="8">
        <v>0.45205603929999999</v>
      </c>
      <c r="C146" s="9" t="s">
        <v>254</v>
      </c>
      <c r="D146" s="9" t="s">
        <v>268</v>
      </c>
      <c r="E146" s="98" t="s">
        <v>1261</v>
      </c>
      <c r="F146" s="8">
        <v>39.095500000000001</v>
      </c>
      <c r="G146" s="8">
        <v>-76.862899999999996</v>
      </c>
      <c r="H146" s="3" t="str">
        <f t="shared" si="0"/>
        <v>Chicago</v>
      </c>
      <c r="I146" s="3" t="str">
        <f t="shared" si="1"/>
        <v>IL</v>
      </c>
      <c r="J146" s="3" t="str">
        <f t="array" ref="J146">INDEX('State Abbreviations'!$B$2:$B$52,MATCH(I146,'State Abbreviations'!$A$2:$A$52,0))</f>
        <v>Illinois</v>
      </c>
      <c r="K146" s="94" t="e">
        <f t="shared" ca="1" si="2"/>
        <v>#NAME?</v>
      </c>
      <c r="L146" s="13">
        <f t="shared" ca="1" si="8"/>
        <v>6</v>
      </c>
      <c r="M146" s="13" t="str">
        <f ca="1">IFERROR(__xludf.DUMMYFUNCTION("IF(AND(L146&gt;3,I146&lt;&gt;""AL"",I146&lt;&gt;""AK"",I146&lt;&gt;""AZ"",I146&lt;&gt;""AR"",I146&lt;&gt;""CA"",I146&lt;&gt;""CO"",I146&lt;&gt;""CT"",I146&lt;&gt;""DE"",I146&lt;&gt;""DC"",I146&lt;&gt;""FL"",I146&lt;&gt;""GA"",I146&lt;&gt;""HI"",I146&lt;&gt;""ID"",I146&lt;&gt;""IL"",I146&lt;&gt;""IN"",I146&lt;&gt;""IA"",I146&lt;&gt;""KS"",I146&lt;&gt;""KY"",I146&lt;&gt;"&amp;"""LA"",I146&lt;&gt;""ME"",I146&lt;&gt;""MD"",I146&lt;&gt;""MA"",I146&lt;&gt;""MI"",I146&lt;&gt;""MN"",I146&lt;&gt;""MS"",I146&lt;&gt;""MO"",I146&lt;&gt;""MT"",I146&lt;&gt;""NE"",I146&lt;&gt;""NV"",I146&lt;&gt;""NH"",I146&lt;&gt;""NJ"",I146&lt;&gt;""NM"",I146&lt;&gt;""NY"",I146&lt;&gt;""NC"",I146&lt;&gt;""ND"",I146&lt;&gt;""OH"",I146&lt;&gt;""OK"",I146&lt;&gt;""OR"",I"&amp;"146&lt;&gt;""PA"",I146&lt;&gt;""RI"",I146&lt;&gt;""SC"",I146&lt;&gt;""SD"",I146&lt;&gt;""TN"",I146&lt;&gt;""TX"",I146&lt;&gt;""UT"",I146&lt;&gt;""VT"",I146&lt;&gt;""VA"",I146&lt;&gt;""WA"",I146&lt;&gt;""WV"",I146&lt;&gt;""WI"",I146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6" s="13">
        <f t="shared" ca="1" si="9"/>
        <v>8</v>
      </c>
      <c r="O146" s="13" t="b">
        <f>ISNUMBER(MATCH(C146,'Top 250 HS'!C:C,0))</f>
        <v>0</v>
      </c>
      <c r="P146" s="13" t="str">
        <f ca="1">IFERROR(__xludf.DUMMYFUNCTION("SORTN(FILTER('Top 250 HS'!B:B,'Top 250 HS'!C:C=I146),1,0,randarray(COUNTA(FILTER('Top 250 HS'!B:B,'Top 250 HS'!C:C=I146)),1),TRUE)"),"Curie (Chicago)")</f>
        <v>Curie (Chicago)</v>
      </c>
      <c r="Q146" s="13" t="b">
        <f>ISNUMBER(MATCH("*"&amp;E146&amp;"*",'Top 1500 HS LatitudeLongitude'!G:G,0))</f>
        <v>1</v>
      </c>
      <c r="R146" s="13" t="str">
        <f ca="1">IFERROR(__xludf.DUMMYFUNCTION("IFS(L146=10,"""",Q146=false,"""",N146=5,"""",Q146=true,SORTN(FILTER('Top 1500 HS LatitudeLongitude'!B:B,'Top 1500 HS LatitudeLongitude'!C:C=I146,'Top 1500 HS LatitudeLongitude'!E:E=H146),1,0,randarray(COUNTA(FILTER('Top 1500 HS LatitudeLongitude'!B:B,'Top"&amp;" 1500 HS LatitudeLongitude'!C:C=I146,'Top 1500 HS LatitudeLongitude'!E:E=H146)),1),TRUE)
)"),"Curie (Chicago)")</f>
        <v>Curie (Chicago)</v>
      </c>
      <c r="S146" s="13" t="b">
        <f>ISNUMBER(MATCH("*"&amp;H:H&amp;"*",'Public Schools'!C:C,0))</f>
        <v>1</v>
      </c>
      <c r="T146" s="13" t="str">
        <f ca="1">IFERROR(__xludf.DUMMYFUNCTION("IFERROR(IF(AND(R146="""",S146=true), SORTN(FILTER('Public Schools'!A:A,'Public Schools'!B:B=J146,'Public Schools'!C:C=H146),1,0,randarray(COUNTA(FILTER('Public Schools'!A:A,'Public Schools'!B:B=J146,'Public Schools'!C:C=H146)),1),TRUE),""""),"""")"),"")</f>
        <v/>
      </c>
      <c r="U146" s="23" t="str">
        <f t="array" aca="1" ref="U146" ca="1">IF(AND(R146="",T146=""),INDEX('Top 1500 HS LatitudeLongitude'!B$2:B$1501,MATCH(MIN(SQRT(('Top 1500 HS LatitudeLongitude'!H$2:H$1501-F146)^2+('Top 1500 HS LatitudeLongitude'!I$2:I$1501-G146)^2)),SQRT( ('Top 1500 HS LatitudeLongitude'!H$2:H$1501-F146)^2+('Top 1500 HS LatitudeLongitude'!I$2:I$1501-G146)^2),0),1),"")</f>
        <v/>
      </c>
    </row>
    <row r="147" spans="2:21" ht="15.6">
      <c r="B147" s="8">
        <v>0.1146865351</v>
      </c>
      <c r="C147" s="9" t="s">
        <v>219</v>
      </c>
      <c r="D147" s="9" t="s">
        <v>371</v>
      </c>
      <c r="E147" s="37" t="s">
        <v>5126</v>
      </c>
      <c r="F147" s="8">
        <v>37.990499999999997</v>
      </c>
      <c r="G147" s="8">
        <v>-122.5222</v>
      </c>
      <c r="H147" s="3" t="str">
        <f t="shared" si="0"/>
        <v>Osseo</v>
      </c>
      <c r="I147" s="3" t="str">
        <f t="shared" si="1"/>
        <v>MN</v>
      </c>
      <c r="J147" s="3" t="str">
        <f t="array" ref="J147">INDEX('State Abbreviations'!$B$2:$B$52,MATCH(I147,'State Abbreviations'!$A$2:$A$52,0))</f>
        <v>Minnesota</v>
      </c>
      <c r="K147" s="94" t="e">
        <f t="shared" ca="1" si="2"/>
        <v>#NAME?</v>
      </c>
      <c r="L147" s="13">
        <f t="shared" ca="1" si="8"/>
        <v>8</v>
      </c>
      <c r="M147" s="13" t="str">
        <f ca="1">IFERROR(__xludf.DUMMYFUNCTION("IF(AND(L147&gt;3,I147&lt;&gt;""AL"",I147&lt;&gt;""AK"",I147&lt;&gt;""AZ"",I147&lt;&gt;""AR"",I147&lt;&gt;""CA"",I147&lt;&gt;""CO"",I147&lt;&gt;""CT"",I147&lt;&gt;""DE"",I147&lt;&gt;""DC"",I147&lt;&gt;""FL"",I147&lt;&gt;""GA"",I147&lt;&gt;""HI"",I147&lt;&gt;""ID"",I147&lt;&gt;""IL"",I147&lt;&gt;""IN"",I147&lt;&gt;""IA"",I147&lt;&gt;""KS"",I147&lt;&gt;""KY"",I147&lt;&gt;"&amp;"""LA"",I147&lt;&gt;""ME"",I147&lt;&gt;""MD"",I147&lt;&gt;""MA"",I147&lt;&gt;""MI"",I147&lt;&gt;""MN"",I147&lt;&gt;""MS"",I147&lt;&gt;""MO"",I147&lt;&gt;""MT"",I147&lt;&gt;""NE"",I147&lt;&gt;""NV"",I147&lt;&gt;""NH"",I147&lt;&gt;""NJ"",I147&lt;&gt;""NM"",I147&lt;&gt;""NY"",I147&lt;&gt;""NC"",I147&lt;&gt;""ND"",I147&lt;&gt;""OH"",I147&lt;&gt;""OK"",I147&lt;&gt;""OR"",I"&amp;"147&lt;&gt;""PA"",I147&lt;&gt;""RI"",I147&lt;&gt;""SC"",I147&lt;&gt;""SD"",I147&lt;&gt;""TN"",I147&lt;&gt;""TX"",I147&lt;&gt;""UT"",I147&lt;&gt;""VT"",I147&lt;&gt;""VA"",I147&lt;&gt;""WA"",I147&lt;&gt;""WV"",I147&lt;&gt;""WI"",I147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7" s="13">
        <f t="shared" ca="1" si="9"/>
        <v>15</v>
      </c>
      <c r="O147" s="13" t="b">
        <f>ISNUMBER(MATCH(C147,'Top 250 HS'!C:C,0))</f>
        <v>0</v>
      </c>
      <c r="P147" s="13" t="str">
        <f ca="1">IFERROR(__xludf.DUMMYFUNCTION("SORTN(FILTER('Top 250 HS'!B:B,'Top 250 HS'!C:C=I147),1,0,randarray(COUNTA(FILTER('Top 250 HS'!B:B,'Top 250 HS'!C:C=I147)),1),TRUE)"),"Eden Prairie")</f>
        <v>Eden Prairie</v>
      </c>
      <c r="Q147" s="13" t="b">
        <f>ISNUMBER(MATCH("*"&amp;E147&amp;"*",'Top 1500 HS LatitudeLongitude'!G:G,0))</f>
        <v>0</v>
      </c>
      <c r="R147" s="13" t="str">
        <f ca="1">IFERROR(__xludf.DUMMYFUNCTION("IFS(L147=10,"""",Q147=false,"""",N147=5,"""",Q147=true,SORTN(FILTER('Top 1500 HS LatitudeLongitude'!B:B,'Top 1500 HS LatitudeLongitude'!C:C=I147,'Top 1500 HS LatitudeLongitude'!E:E=H147),1,0,randarray(COUNTA(FILTER('Top 1500 HS LatitudeLongitude'!B:B,'Top"&amp;" 1500 HS LatitudeLongitude'!C:C=I147,'Top 1500 HS LatitudeLongitude'!E:E=H147)),1),TRUE)
)"),"")</f>
        <v/>
      </c>
      <c r="S147" s="13" t="b">
        <f>ISNUMBER(MATCH("*"&amp;H:H&amp;"*",'Public Schools'!C:C,0))</f>
        <v>1</v>
      </c>
      <c r="T147" s="13" t="str">
        <f ca="1">IFERROR(__xludf.DUMMYFUNCTION("IFERROR(IF(AND(R147="""",S147=true), SORTN(FILTER('Public Schools'!A:A,'Public Schools'!B:B=J147,'Public Schools'!C:C=H147),1,0,randarray(COUNTA(FILTER('Public Schools'!A:A,'Public Schools'!B:B=J147,'Public Schools'!C:C=H147)),1),TRUE),""""),"""")"),"Osseo Senior High School")</f>
        <v>Osseo Senior High School</v>
      </c>
      <c r="U147" s="23" t="str">
        <f t="array" aca="1" ref="U147" ca="1">IF(AND(R147="",T147=""),INDEX('Top 1500 HS LatitudeLongitude'!B$2:B$1501,MATCH(MIN(SQRT(('Top 1500 HS LatitudeLongitude'!H$2:H$1501-F147)^2+('Top 1500 HS LatitudeLongitude'!I$2:I$1501-G147)^2)),SQRT( ('Top 1500 HS LatitudeLongitude'!H$2:H$1501-F147)^2+('Top 1500 HS LatitudeLongitude'!I$2:I$1501-G147)^2),0),1),"")</f>
        <v/>
      </c>
    </row>
    <row r="148" spans="2:21" ht="15.6">
      <c r="B148" s="8">
        <v>0.1459677559</v>
      </c>
      <c r="C148" s="9" t="s">
        <v>206</v>
      </c>
      <c r="D148" s="9" t="s">
        <v>368</v>
      </c>
      <c r="E148" s="98" t="s">
        <v>5012</v>
      </c>
      <c r="F148" s="8">
        <v>41.311199999999999</v>
      </c>
      <c r="G148" s="8">
        <v>-72.924499999999995</v>
      </c>
      <c r="H148" s="3" t="str">
        <f t="shared" si="0"/>
        <v>Houston</v>
      </c>
      <c r="I148" s="3" t="str">
        <f t="shared" si="1"/>
        <v>TX</v>
      </c>
      <c r="J148" s="3" t="str">
        <f t="array" ref="J148">INDEX('State Abbreviations'!$B$2:$B$52,MATCH(I148,'State Abbreviations'!$A$2:$A$52,0))</f>
        <v>Texas</v>
      </c>
      <c r="K148" s="94" t="e">
        <f t="shared" ca="1" si="2"/>
        <v>#NAME?</v>
      </c>
      <c r="L148" s="13">
        <f t="shared" ca="1" si="8"/>
        <v>2</v>
      </c>
      <c r="M148" s="13" t="str">
        <f ca="1">IFERROR(__xludf.DUMMYFUNCTION("IF(AND(L148&gt;3,I148&lt;&gt;""AL"",I148&lt;&gt;""AK"",I148&lt;&gt;""AZ"",I148&lt;&gt;""AR"",I148&lt;&gt;""CA"",I148&lt;&gt;""CO"",I148&lt;&gt;""CT"",I148&lt;&gt;""DE"",I148&lt;&gt;""DC"",I148&lt;&gt;""FL"",I148&lt;&gt;""GA"",I148&lt;&gt;""HI"",I148&lt;&gt;""ID"",I148&lt;&gt;""IL"",I148&lt;&gt;""IN"",I148&lt;&gt;""IA"",I148&lt;&gt;""KS"",I148&lt;&gt;""KY"",I148&lt;&gt;"&amp;"""LA"",I148&lt;&gt;""ME"",I148&lt;&gt;""MD"",I148&lt;&gt;""MA"",I148&lt;&gt;""MI"",I148&lt;&gt;""MN"",I148&lt;&gt;""MS"",I148&lt;&gt;""MO"",I148&lt;&gt;""MT"",I148&lt;&gt;""NE"",I148&lt;&gt;""NV"",I148&lt;&gt;""NH"",I148&lt;&gt;""NJ"",I148&lt;&gt;""NM"",I148&lt;&gt;""NY"",I148&lt;&gt;""NC"",I148&lt;&gt;""ND"",I148&lt;&gt;""OH"",I148&lt;&gt;""OK"",I148&lt;&gt;""OR"",I"&amp;"148&lt;&gt;""PA"",I148&lt;&gt;""RI"",I148&lt;&gt;""SC"",I148&lt;&gt;""SD"",I148&lt;&gt;""TN"",I148&lt;&gt;""TX"",I148&lt;&gt;""UT"",I148&lt;&gt;""VT"",I148&lt;&gt;""VA"",I148&lt;&gt;""WA"",I148&lt;&gt;""WV"",I148&lt;&gt;""WI"",I148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8" s="13">
        <f t="shared" ca="1" si="9"/>
        <v>14</v>
      </c>
      <c r="O148" s="13" t="b">
        <f>ISNUMBER(MATCH(C148,'Top 250 HS'!C:C,0))</f>
        <v>0</v>
      </c>
      <c r="P148" s="13" t="str">
        <f ca="1">IFERROR(__xludf.DUMMYFUNCTION("SORTN(FILTER('Top 250 HS'!B:B,'Top 250 HS'!C:C=I148),1,0,randarray(COUNTA(FILTER('Top 250 HS'!B:B,'Top 250 HS'!C:C=I148)),1),TRUE)"),"Duncanville")</f>
        <v>Duncanville</v>
      </c>
      <c r="Q148" s="13" t="b">
        <f>ISNUMBER(MATCH("*"&amp;E148&amp;"*",'Top 1500 HS LatitudeLongitude'!G:G,0))</f>
        <v>1</v>
      </c>
      <c r="R148" s="13" t="str">
        <f ca="1">IFERROR(__xludf.DUMMYFUNCTION("IFS(L148=10,"""",Q148=false,"""",N148=5,"""",Q148=true,SORTN(FILTER('Top 1500 HS LatitudeLongitude'!B:B,'Top 1500 HS LatitudeLongitude'!C:C=I148,'Top 1500 HS LatitudeLongitude'!E:E=H148),1,0,randarray(COUNTA(FILTER('Top 1500 HS LatitudeLongitude'!B:B,'Top"&amp;" 1500 HS LatitudeLongitude'!C:C=I148,'Top 1500 HS LatitudeLongitude'!E:E=H148)),1),TRUE)
)"),"Cypress Creek (Houston)")</f>
        <v>Cypress Creek (Houston)</v>
      </c>
      <c r="S148" s="13" t="b">
        <f>ISNUMBER(MATCH("*"&amp;H:H&amp;"*",'Public Schools'!C:C,0))</f>
        <v>1</v>
      </c>
      <c r="T148" s="13" t="str">
        <f ca="1">IFERROR(__xludf.DUMMYFUNCTION("IFERROR(IF(AND(R148="""",S148=true), SORTN(FILTER('Public Schools'!A:A,'Public Schools'!B:B=J148,'Public Schools'!C:C=H148),1,0,randarray(COUNTA(FILTER('Public Schools'!A:A,'Public Schools'!B:B=J148,'Public Schools'!C:C=H148)),1),TRUE),""""),"""")"),"")</f>
        <v/>
      </c>
      <c r="U148" s="23" t="str">
        <f t="array" aca="1" ref="U148" ca="1">IF(AND(R148="",T148=""),INDEX('Top 1500 HS LatitudeLongitude'!B$2:B$1501,MATCH(MIN(SQRT(('Top 1500 HS LatitudeLongitude'!H$2:H$1501-F148)^2+('Top 1500 HS LatitudeLongitude'!I$2:I$1501-G148)^2)),SQRT( ('Top 1500 HS LatitudeLongitude'!H$2:H$1501-F148)^2+('Top 1500 HS LatitudeLongitude'!I$2:I$1501-G148)^2),0),1),"")</f>
        <v/>
      </c>
    </row>
    <row r="149" spans="2:21" ht="15.6">
      <c r="B149" s="8">
        <v>0.97482395109999997</v>
      </c>
      <c r="C149" s="9" t="s">
        <v>206</v>
      </c>
      <c r="D149" s="9" t="s">
        <v>372</v>
      </c>
      <c r="E149" s="37" t="s">
        <v>5205</v>
      </c>
      <c r="F149" s="8">
        <v>47.444400000000002</v>
      </c>
      <c r="G149" s="8">
        <v>-122.2985</v>
      </c>
      <c r="H149" s="3" t="str">
        <f t="shared" si="0"/>
        <v>Lubbock</v>
      </c>
      <c r="I149" s="3" t="str">
        <f t="shared" si="1"/>
        <v>TX</v>
      </c>
      <c r="J149" s="3" t="str">
        <f t="array" ref="J149">INDEX('State Abbreviations'!$B$2:$B$52,MATCH(I149,'State Abbreviations'!$A$2:$A$52,0))</f>
        <v>Texas</v>
      </c>
      <c r="K149" s="94" t="e">
        <f t="shared" ca="1" si="2"/>
        <v>#NAME?</v>
      </c>
      <c r="L149" s="13">
        <f t="shared" ca="1" si="8"/>
        <v>14</v>
      </c>
      <c r="M149" s="13" t="str">
        <f ca="1">IFERROR(__xludf.DUMMYFUNCTION("IF(AND(L149&gt;3,I149&lt;&gt;""AL"",I149&lt;&gt;""AK"",I149&lt;&gt;""AZ"",I149&lt;&gt;""AR"",I149&lt;&gt;""CA"",I149&lt;&gt;""CO"",I149&lt;&gt;""CT"",I149&lt;&gt;""DE"",I149&lt;&gt;""DC"",I149&lt;&gt;""FL"",I149&lt;&gt;""GA"",I149&lt;&gt;""HI"",I149&lt;&gt;""ID"",I149&lt;&gt;""IL"",I149&lt;&gt;""IN"",I149&lt;&gt;""IA"",I149&lt;&gt;""KS"",I149&lt;&gt;""KY"",I149&lt;&gt;"&amp;"""LA"",I149&lt;&gt;""ME"",I149&lt;&gt;""MD"",I149&lt;&gt;""MA"",I149&lt;&gt;""MI"",I149&lt;&gt;""MN"",I149&lt;&gt;""MS"",I149&lt;&gt;""MO"",I149&lt;&gt;""MT"",I149&lt;&gt;""NE"",I149&lt;&gt;""NV"",I149&lt;&gt;""NH"",I149&lt;&gt;""NJ"",I149&lt;&gt;""NM"",I149&lt;&gt;""NY"",I149&lt;&gt;""NC"",I149&lt;&gt;""ND"",I149&lt;&gt;""OH"",I149&lt;&gt;""OK"",I149&lt;&gt;""OR"",I"&amp;"149&lt;&gt;""PA"",I149&lt;&gt;""RI"",I149&lt;&gt;""SC"",I149&lt;&gt;""SD"",I149&lt;&gt;""TN"",I149&lt;&gt;""TX"",I149&lt;&gt;""UT"",I149&lt;&gt;""VT"",I149&lt;&gt;""VA"",I149&lt;&gt;""WA"",I149&lt;&gt;""WV"",I149&lt;&gt;""WI"",I149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St"&amp;"ateInternational'!$G$2:$G$121&lt;&gt;"""")},2,0)),IF(L149=10,ArrayFormula(VLOOKUP(QUERY(UNIQUE(RANDBETWEEN(ROW(INDIRECT(""A1:A""&amp;COUNTA('Leaving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49" s="13">
        <f t="shared" ca="1" si="9"/>
        <v>12</v>
      </c>
      <c r="O149" s="13" t="b">
        <f>ISNUMBER(MATCH(C149,'Top 250 HS'!C:C,0))</f>
        <v>0</v>
      </c>
      <c r="P149" s="13" t="str">
        <f ca="1">IFERROR(__xludf.DUMMYFUNCTION("SORTN(FILTER('Top 250 HS'!B:B,'Top 250 HS'!C:C=I149),1,0,randarray(COUNTA(FILTER('Top 250 HS'!B:B,'Top 250 HS'!C:C=I149)),1),TRUE)"),"Dickinson")</f>
        <v>Dickinson</v>
      </c>
      <c r="Q149" s="13" t="b">
        <f>ISNUMBER(MATCH("*"&amp;E149&amp;"*",'Top 1500 HS LatitudeLongitude'!G:G,0))</f>
        <v>1</v>
      </c>
      <c r="R149" s="13" t="str">
        <f ca="1">IFERROR(__xludf.DUMMYFUNCTION("IFS(L149=10,"""",Q149=false,"""",N149=5,"""",Q149=true,SORTN(FILTER('Top 1500 HS LatitudeLongitude'!B:B,'Top 1500 HS LatitudeLongitude'!C:C=I149,'Top 1500 HS LatitudeLongitude'!E:E=H149),1,0,randarray(COUNTA(FILTER('Top 1500 HS LatitudeLongitude'!B:B,'Top"&amp;" 1500 HS LatitudeLongitude'!C:C=I149,'Top 1500 HS LatitudeLongitude'!E:E=H149)),1),TRUE)
)"),"Frenship (Wolfforth)")</f>
        <v>Frenship (Wolfforth)</v>
      </c>
      <c r="S149" s="13" t="b">
        <f>ISNUMBER(MATCH("*"&amp;H:H&amp;"*",'Public Schools'!C:C,0))</f>
        <v>1</v>
      </c>
      <c r="T149" s="13" t="str">
        <f ca="1">IFERROR(__xludf.DUMMYFUNCTION("IFERROR(IF(AND(R149="""",S149=true), SORTN(FILTER('Public Schools'!A:A,'Public Schools'!B:B=J149,'Public Schools'!C:C=H149),1,0,randarray(COUNTA(FILTER('Public Schools'!A:A,'Public Schools'!B:B=J149,'Public Schools'!C:C=H149)),1),TRUE),""""),"""")"),"")</f>
        <v/>
      </c>
      <c r="U149" s="23" t="str">
        <f t="array" aca="1" ref="U149" ca="1">IF(AND(R149="",T149=""),INDEX('Top 1500 HS LatitudeLongitude'!B$2:B$1501,MATCH(MIN(SQRT(('Top 1500 HS LatitudeLongitude'!H$2:H$1501-F149)^2+('Top 1500 HS LatitudeLongitude'!I$2:I$1501-G149)^2)),SQRT( ('Top 1500 HS LatitudeLongitude'!H$2:H$1501-F149)^2+('Top 1500 HS LatitudeLongitude'!I$2:I$1501-G149)^2),0),1),"")</f>
        <v/>
      </c>
    </row>
    <row r="150" spans="2:21" ht="15.6">
      <c r="B150" s="8">
        <v>0.83550931240000004</v>
      </c>
      <c r="C150" s="9" t="s">
        <v>238</v>
      </c>
      <c r="D150" s="9" t="s">
        <v>373</v>
      </c>
      <c r="E150" s="98" t="s">
        <v>5244</v>
      </c>
      <c r="F150" s="8">
        <v>29.787099999999999</v>
      </c>
      <c r="G150" s="8">
        <v>-95.393600000000006</v>
      </c>
      <c r="H150" s="3" t="str">
        <f t="shared" si="0"/>
        <v>Holmes</v>
      </c>
      <c r="I150" s="3" t="str">
        <f t="shared" si="1"/>
        <v>NY</v>
      </c>
      <c r="J150" s="3" t="str">
        <f t="array" ref="J150">INDEX('State Abbreviations'!$B$2:$B$52,MATCH(I150,'State Abbreviations'!$A$2:$A$52,0))</f>
        <v>New York</v>
      </c>
      <c r="K150" s="94" t="e">
        <f t="shared" ca="1" si="2"/>
        <v>#NAME?</v>
      </c>
      <c r="L150" s="13">
        <f t="shared" ca="1" si="8"/>
        <v>16</v>
      </c>
      <c r="M150" s="13" t="str">
        <f ca="1">IFERROR(__xludf.DUMMYFUNCTION("IF(AND(L150&gt;3,I150&lt;&gt;""AL"",I150&lt;&gt;""AK"",I150&lt;&gt;""AZ"",I150&lt;&gt;""AR"",I150&lt;&gt;""CA"",I150&lt;&gt;""CO"",I150&lt;&gt;""CT"",I150&lt;&gt;""DE"",I150&lt;&gt;""DC"",I150&lt;&gt;""FL"",I150&lt;&gt;""GA"",I150&lt;&gt;""HI"",I150&lt;&gt;""ID"",I150&lt;&gt;""IL"",I150&lt;&gt;""IN"",I150&lt;&gt;""IA"",I150&lt;&gt;""KS"",I150&lt;&gt;""KY"",I150&lt;&gt;"&amp;"""LA"",I150&lt;&gt;""ME"",I150&lt;&gt;""MD"",I150&lt;&gt;""MA"",I150&lt;&gt;""MI"",I150&lt;&gt;""MN"",I150&lt;&gt;""MS"",I150&lt;&gt;""MO"",I150&lt;&gt;""MT"",I150&lt;&gt;""NE"",I150&lt;&gt;""NV"",I150&lt;&gt;""NH"",I150&lt;&gt;""NJ"",I150&lt;&gt;""NM"",I150&lt;&gt;""NY"",I150&lt;&gt;""NC"",I150&lt;&gt;""ND"",I150&lt;&gt;""OH"",I150&lt;&gt;""OK"",I150&lt;&gt;""OR"",I"&amp;"150&lt;&gt;""PA"",I150&lt;&gt;""RI"",I150&lt;&gt;""SC"",I150&lt;&gt;""SD"",I150&lt;&gt;""TN"",I150&lt;&gt;""TX"",I150&lt;&gt;""UT"",I150&lt;&gt;""VT"",I150&lt;&gt;""VA"",I150&lt;&gt;""WA"",I150&lt;&gt;""WV"",I150&lt;&gt;""WI"",I150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50" s="13">
        <f t="shared" ca="1" si="9"/>
        <v>10</v>
      </c>
      <c r="O150" s="13" t="b">
        <f>ISNUMBER(MATCH(C150,'Top 250 HS'!C:C,0))</f>
        <v>0</v>
      </c>
      <c r="P150" s="13" t="str">
        <f ca="1">IFERROR(__xludf.DUMMYFUNCTION("SORTN(FILTER('Top 250 HS'!B:B,'Top 250 HS'!C:C=I150),1,0,randarray(COUNTA(FILTER('Top 250 HS'!B:B,'Top 250 HS'!C:C=I150)),1),TRUE)"),"South Shore (Brooklyn)")</f>
        <v>South Shore (Brooklyn)</v>
      </c>
      <c r="Q150" s="13" t="b">
        <f>ISNUMBER(MATCH("*"&amp;E150&amp;"*",'Top 1500 HS LatitudeLongitude'!G:G,0))</f>
        <v>0</v>
      </c>
      <c r="R150" s="13" t="str">
        <f ca="1">IFERROR(__xludf.DUMMYFUNCTION("IFS(L150=10,"""",Q150=false,"""",N150=5,"""",Q150=true,SORTN(FILTER('Top 1500 HS LatitudeLongitude'!B:B,'Top 1500 HS LatitudeLongitude'!C:C=I150,'Top 1500 HS LatitudeLongitude'!E:E=H150),1,0,randarray(COUNTA(FILTER('Top 1500 HS LatitudeLongitude'!B:B,'Top"&amp;" 1500 HS LatitudeLongitude'!C:C=I150,'Top 1500 HS LatitudeLongitude'!E:E=H150)),1),TRUE)
)"),"")</f>
        <v/>
      </c>
      <c r="S150" s="13" t="b">
        <f>ISNUMBER(MATCH("*"&amp;H:H&amp;"*",'Public Schools'!C:C,0))</f>
        <v>0</v>
      </c>
      <c r="T150" s="13" t="str">
        <f ca="1">IFERROR(__xludf.DUMMYFUNCTION("IFERROR(IF(AND(R150="""",S150=true), SORTN(FILTER('Public Schools'!A:A,'Public Schools'!B:B=J150,'Public Schools'!C:C=H150),1,0,randarray(COUNTA(FILTER('Public Schools'!A:A,'Public Schools'!B:B=J150,'Public Schools'!C:C=H150)),1),TRUE),""""),"""")"),"")</f>
        <v/>
      </c>
      <c r="U150" s="23" t="str">
        <f t="array" aca="1" ref="U150" ca="1">IF(AND(R150="",T150=""),INDEX('Top 1500 HS LatitudeLongitude'!B$2:B$1501,MATCH(MIN(SQRT(('Top 1500 HS LatitudeLongitude'!H$2:H$1501-F150)^2+('Top 1500 HS LatitudeLongitude'!I$2:I$1501-G150)^2)),SQRT( ('Top 1500 HS LatitudeLongitude'!H$2:H$1501-F150)^2+('Top 1500 HS LatitudeLongitude'!I$2:I$1501-G150)^2),0),1),"")</f>
        <v>Houston Math Science &amp; Tech (Houston)</v>
      </c>
    </row>
    <row r="151" spans="2:21" ht="15.6">
      <c r="B151" s="8">
        <v>0.7661140233</v>
      </c>
      <c r="C151" s="9" t="s">
        <v>47</v>
      </c>
      <c r="D151" s="9" t="s">
        <v>374</v>
      </c>
      <c r="E151" s="37" t="s">
        <v>5283</v>
      </c>
      <c r="F151" s="8">
        <v>40.602899999999998</v>
      </c>
      <c r="G151" s="8">
        <v>-75.396100000000004</v>
      </c>
      <c r="H151" s="3" t="str">
        <f t="shared" si="0"/>
        <v>Montclair</v>
      </c>
      <c r="I151" s="3" t="str">
        <f t="shared" si="1"/>
        <v>CA</v>
      </c>
      <c r="J151" s="3" t="str">
        <f t="array" ref="J151">INDEX('State Abbreviations'!$B$2:$B$52,MATCH(I151,'State Abbreviations'!$A$2:$A$52,0))</f>
        <v>California</v>
      </c>
      <c r="K151" s="119" t="e">
        <f t="shared" ca="1" si="2"/>
        <v>#NAME?</v>
      </c>
      <c r="L151" s="13">
        <f t="shared" ca="1" si="8"/>
        <v>17</v>
      </c>
      <c r="M151" s="13" t="str">
        <f ca="1">IFERROR(__xludf.DUMMYFUNCTION("IF(AND(L151&gt;5,I151&lt;&gt;""AL"",I151&lt;&gt;""AK"",I151&lt;&gt;""AZ"",I151&lt;&gt;""AR"",I151&lt;&gt;""CA"",I151&lt;&gt;""CO"",I151&lt;&gt;""CT"",I151&lt;&gt;""DE"",I151&lt;&gt;""DC"",I151&lt;&gt;""FL"",I151&lt;&gt;""GA"",I151&lt;&gt;""HI"",I151&lt;&gt;""ID"",I151&lt;&gt;""IL"",I151&lt;&gt;""IN"",I151&lt;&gt;""IA"",I151&lt;&gt;""KS"",I151&lt;&gt;""KY"",I151&lt;&gt;"&amp;"""LA"",I151&lt;&gt;""ME"",I151&lt;&gt;""MD"",I151&lt;&gt;""MA"",I151&lt;&gt;""MI"",I151&lt;&gt;""MN"",I151&lt;&gt;""MS"",I151&lt;&gt;""MO"",I151&lt;&gt;""MT"",I151&lt;&gt;""NE"",I151&lt;&gt;""NV"",I151&lt;&gt;""NH"",I151&lt;&gt;""NJ"",I151&lt;&gt;""NM"",I151&lt;&gt;""NY"",I151&lt;&gt;""NC"",I151&lt;&gt;""ND"",I151&lt;&gt;""OH"",I151&lt;&gt;""OK"",I151&lt;&gt;""OR"",I"&amp;"151&lt;&gt;""PA"",I151&lt;&gt;""RI"",I151&lt;&gt;""SC"",I151&lt;&gt;""SD"",I151&lt;&gt;""TN"",I151&lt;&gt;""TX"",I151&lt;&gt;""UT"",I151&lt;&gt;""VT"",I151&lt;&gt;""VA"",I151&lt;&gt;""WA"",I151&lt;&gt;""WV"",I151&lt;&gt;""WI"",I151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51" s="13">
        <f t="shared" ref="N151:N250" ca="1" si="10">RANDBETWEEN(1,20)</f>
        <v>17</v>
      </c>
      <c r="O151" s="13" t="b">
        <f>ISNUMBER(MATCH(C151,'Top 250 HS'!C:C,0))</f>
        <v>0</v>
      </c>
      <c r="P151" s="13" t="str">
        <f ca="1">IFERROR(__xludf.DUMMYFUNCTION("SORTN(FILTER('Top 250 HS'!B:B,'Top 250 HS'!C:C=I151),1,0,randarray(COUNTA(FILTER('Top 250 HS'!B:B,'Top 250 HS'!C:C=I151)),1),TRUE)"),"Santa Clarita Christian (Canyon Country)")</f>
        <v>Santa Clarita Christian (Canyon Country)</v>
      </c>
      <c r="Q151" s="13" t="b">
        <f>ISNUMBER(MATCH("*"&amp;E151&amp;"*",'Top 1500 HS LatitudeLongitude'!G:G,0))</f>
        <v>0</v>
      </c>
      <c r="R151" s="13" t="str">
        <f ca="1">IFERROR(__xludf.DUMMYFUNCTION("IFS(L151=10,"""",Q151=false,"""",N151=5,"""",Q151=true,SORTN(FILTER('Top 1500 HS LatitudeLongitude'!B:B,'Top 1500 HS LatitudeLongitude'!C:C=I151,'Top 1500 HS LatitudeLongitude'!E:E=H151),1,0,randarray(COUNTA(FILTER('Top 1500 HS LatitudeLongitude'!B:B,'Top"&amp;" 1500 HS LatitudeLongitude'!C:C=I151,'Top 1500 HS LatitudeLongitude'!E:E=H151)),1),TRUE)
)"),"")</f>
        <v/>
      </c>
      <c r="S151" s="13" t="b">
        <f>ISNUMBER(MATCH("*"&amp;H:H&amp;"*",'Public Schools'!C:C,0))</f>
        <v>1</v>
      </c>
      <c r="T151" s="13" t="str">
        <f ca="1">IFERROR(__xludf.DUMMYFUNCTION("IFERROR(IF(AND(R151="""",S151=true), SORTN(FILTER('Public Schools'!A:A,'Public Schools'!B:B=J151,'Public Schools'!C:C=H151),1,0,randarray(COUNTA(FILTER('Public Schools'!A:A,'Public Schools'!B:B=J151,'Public Schools'!C:C=H151)),1),TRUE),""""),"""")"),"Montclair High School")</f>
        <v>Montclair High School</v>
      </c>
      <c r="U151" s="23" t="str">
        <f t="array" aca="1" ref="U151" ca="1">IF(AND(R151="",T151=""),INDEX('Top 1500 HS LatitudeLongitude'!B$2:B$1501,MATCH(MIN(SQRT(('Top 1500 HS LatitudeLongitude'!H$2:H$1501-F151)^2+('Top 1500 HS LatitudeLongitude'!I$2:I$1501-G151)^2)),SQRT( ('Top 1500 HS LatitudeLongitude'!H$2:H$1501-F151)^2+('Top 1500 HS LatitudeLongitude'!I$2:I$1501-G151)^2),0),1),"")</f>
        <v/>
      </c>
    </row>
    <row r="152" spans="2:21" ht="15.6">
      <c r="B152" s="8">
        <v>0.47804471939999998</v>
      </c>
      <c r="C152" s="9" t="s">
        <v>243</v>
      </c>
      <c r="D152" s="9" t="s">
        <v>336</v>
      </c>
      <c r="E152" s="120" t="s">
        <v>3798</v>
      </c>
      <c r="F152" s="8">
        <v>42.485999999999997</v>
      </c>
      <c r="G152" s="8">
        <v>-83.377099999999999</v>
      </c>
      <c r="H152" s="3" t="str">
        <f t="shared" si="0"/>
        <v>Pittsburgh</v>
      </c>
      <c r="I152" s="3" t="str">
        <f t="shared" si="1"/>
        <v>PA</v>
      </c>
      <c r="J152" s="3" t="str">
        <f t="array" ref="J152">INDEX('State Abbreviations'!$B$2:$B$52,MATCH(I152,'State Abbreviations'!$A$2:$A$52,0))</f>
        <v>Pennsylvania</v>
      </c>
      <c r="K152" s="119" t="e">
        <f t="shared" ca="1" si="2"/>
        <v>#NAME?</v>
      </c>
      <c r="L152" s="13">
        <f t="shared" ref="L152:L250" ca="1" si="11">RANDBETWEEN(1,30)</f>
        <v>12</v>
      </c>
      <c r="M152" s="13" t="str">
        <f ca="1">IFERROR(__xludf.DUMMYFUNCTION("IF(AND(L152&gt;5,I152&lt;&gt;""AL"",I152&lt;&gt;""AK"",I152&lt;&gt;""AZ"",I152&lt;&gt;""AR"",I152&lt;&gt;""CA"",I152&lt;&gt;""CO"",I152&lt;&gt;""CT"",I152&lt;&gt;""DE"",I152&lt;&gt;""DC"",I152&lt;&gt;""FL"",I152&lt;&gt;""GA"",I152&lt;&gt;""HI"",I152&lt;&gt;""ID"",I152&lt;&gt;""IL"",I152&lt;&gt;""IN"",I152&lt;&gt;""IA"",I152&lt;&gt;""KS"",I152&lt;&gt;""KY"",I152&lt;&gt;"&amp;"""LA"",I152&lt;&gt;""ME"",I152&lt;&gt;""MD"",I152&lt;&gt;""MA"",I152&lt;&gt;""MI"",I152&lt;&gt;""MN"",I152&lt;&gt;""MS"",I152&lt;&gt;""MO"",I152&lt;&gt;""MT"",I152&lt;&gt;""NE"",I152&lt;&gt;""NV"",I152&lt;&gt;""NH"",I152&lt;&gt;""NJ"",I152&lt;&gt;""NM"",I152&lt;&gt;""NY"",I152&lt;&gt;""NC"",I152&lt;&gt;""ND"",I152&lt;&gt;""OH"",I152&lt;&gt;""OK"",I152&lt;&gt;""OR"",I"&amp;"152&lt;&gt;""PA"",I152&lt;&gt;""RI"",I152&lt;&gt;""SC"",I152&lt;&gt;""SD"",I152&lt;&gt;""TN"",I152&lt;&gt;""TX"",I152&lt;&gt;""UT"",I152&lt;&gt;""VT"",I152&lt;&gt;""VA"",I152&lt;&gt;""WA"",I152&lt;&gt;""WV"",I152&lt;&gt;""WI"",I152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52" s="13">
        <f t="shared" ca="1" si="10"/>
        <v>19</v>
      </c>
      <c r="O152" s="13" t="b">
        <f>ISNUMBER(MATCH(C152,'Top 250 HS'!C:C,0))</f>
        <v>0</v>
      </c>
      <c r="P152" s="13" t="str">
        <f ca="1">IFERROR(__xludf.DUMMYFUNCTION("SORTN(FILTER('Top 250 HS'!B:B,'Top 250 HS'!C:C=I152),1,0,randarray(COUNTA(FILTER('Top 250 HS'!B:B,'Top 250 HS'!C:C=I152)),1),TRUE)"),"Methacton (Norristown)")</f>
        <v>Methacton (Norristown)</v>
      </c>
      <c r="Q152" s="13" t="b">
        <f>ISNUMBER(MATCH("*"&amp;E152&amp;"*",'Top 1500 HS LatitudeLongitude'!G:G,0))</f>
        <v>1</v>
      </c>
      <c r="R152" s="13" t="str">
        <f ca="1">IFERROR(__xludf.DUMMYFUNCTION("IFS(L152=10,"""",Q152=false,"""",N152=5,"""",Q152=true,SORTN(FILTER('Top 1500 HS LatitudeLongitude'!B:B,'Top 1500 HS LatitudeLongitude'!C:C=I152,'Top 1500 HS LatitudeLongitude'!E:E=H152),1,0,randarray(COUNTA(FILTER('Top 1500 HS LatitudeLongitude'!B:B,'Top"&amp;" 1500 HS LatitudeLongitude'!C:C=I152,'Top 1500 HS LatitudeLongitude'!E:E=H152)),1),TRUE)
)"),"Mt. Lebanon (Pittsburgh)")</f>
        <v>Mt. Lebanon (Pittsburgh)</v>
      </c>
      <c r="S152" s="13" t="b">
        <f>ISNUMBER(MATCH("*"&amp;H:H&amp;"*",'Public Schools'!C:C,0))</f>
        <v>1</v>
      </c>
      <c r="T152" s="13" t="str">
        <f ca="1">IFERROR(__xludf.DUMMYFUNCTION("IFERROR(IF(AND(R152="""",S152=true), SORTN(FILTER('Public Schools'!A:A,'Public Schools'!B:B=J152,'Public Schools'!C:C=H152),1,0,randarray(COUNTA(FILTER('Public Schools'!A:A,'Public Schools'!B:B=J152,'Public Schools'!C:C=H152)),1),TRUE),""""),"""")"),"")</f>
        <v/>
      </c>
      <c r="U152" s="23" t="str">
        <f t="array" aca="1" ref="U152" ca="1">IF(AND(R152="",T152=""),INDEX('Top 1500 HS LatitudeLongitude'!B$2:B$1501,MATCH(MIN(SQRT(('Top 1500 HS LatitudeLongitude'!H$2:H$1501-F152)^2+('Top 1500 HS LatitudeLongitude'!I$2:I$1501-G152)^2)),SQRT( ('Top 1500 HS LatitudeLongitude'!H$2:H$1501-F152)^2+('Top 1500 HS LatitudeLongitude'!I$2:I$1501-G152)^2),0),1),"")</f>
        <v/>
      </c>
    </row>
    <row r="153" spans="2:21" ht="15.6">
      <c r="B153" s="8">
        <v>0.1227966767</v>
      </c>
      <c r="C153" s="9" t="s">
        <v>343</v>
      </c>
      <c r="D153" s="9" t="s">
        <v>375</v>
      </c>
      <c r="E153" s="37" t="s">
        <v>5372</v>
      </c>
      <c r="F153" s="8">
        <v>33.9801</v>
      </c>
      <c r="G153" s="8">
        <v>-118.1798</v>
      </c>
      <c r="H153" s="3" t="str">
        <f t="shared" si="0"/>
        <v>Quebec City</v>
      </c>
      <c r="I153" s="3" t="str">
        <f t="shared" si="1"/>
        <v>Canada</v>
      </c>
      <c r="J153" s="3" t="e">
        <f t="array" ref="J153">INDEX('State Abbreviations'!$B$2:$B$52,MATCH(I153,'State Abbreviations'!$A$2:$A$52,0))</f>
        <v>#N/A</v>
      </c>
      <c r="K153" s="121" t="e">
        <f t="shared" ca="1" si="2"/>
        <v>#NAME?</v>
      </c>
      <c r="L153" s="13">
        <f t="shared" ca="1" si="11"/>
        <v>28</v>
      </c>
      <c r="M153" s="36" t="str">
        <f ca="1">IFERROR(__xludf.DUMMYFUNCTION("IF(AND(L153&gt;5,I153&lt;&gt;""AL"",I153&lt;&gt;""AK"",I153&lt;&gt;""AZ"",I153&lt;&gt;""AR"",I153&lt;&gt;""CA"",I153&lt;&gt;""CO"",I153&lt;&gt;""CT"",I153&lt;&gt;""DE"",I153&lt;&gt;""DC"",I153&lt;&gt;""FL"",I153&lt;&gt;""GA"",I153&lt;&gt;""HI"",I153&lt;&gt;""ID"",I153&lt;&gt;""IL"",I153&lt;&gt;""IN"",I153&lt;&gt;""IA"",I153&lt;&gt;""KS"",I153&lt;&gt;""KY"",I153&lt;&gt;"&amp;"""LA"",I153&lt;&gt;""ME"",I153&lt;&gt;""MD"",I153&lt;&gt;""MA"",I153&lt;&gt;""MI"",I153&lt;&gt;""MN"",I153&lt;&gt;""MS"",I153&lt;&gt;""MO"",I153&lt;&gt;""MT"",I153&lt;&gt;""NE"",I153&lt;&gt;""NV"",I153&lt;&gt;""NH"",I153&lt;&gt;""NJ"",I153&lt;&gt;""NM"",I153&lt;&gt;""NY"",I153&lt;&gt;""NC"",I153&lt;&gt;""ND"",I153&lt;&gt;""OH"",I153&lt;&gt;""OK"",I153&lt;&gt;""OR"",I"&amp;"153&lt;&gt;""PA"",I153&lt;&gt;""RI"",I153&lt;&gt;""SC"",I153&lt;&gt;""SD"",I153&lt;&gt;""TN"",I153&lt;&gt;""TX"",I153&lt;&gt;""UT"",I153&lt;&gt;""VT"",I153&lt;&gt;""VA"",I153&lt;&gt;""WA"",I153&lt;&gt;""WV"",I153&lt;&gt;""WI"",I153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StateInternational'!$G$2:$G$121&lt;&gt;"""")},2,0)),""""))"),"Campolindo (Moraga)")</f>
        <v>Campolindo (Moraga)</v>
      </c>
      <c r="N153" s="13">
        <f t="shared" ca="1" si="10"/>
        <v>16</v>
      </c>
      <c r="O153" s="13" t="b">
        <f>ISNUMBER(MATCH(C153,'Top 250 HS'!C:C,0))</f>
        <v>0</v>
      </c>
      <c r="P153" s="13" t="str">
        <f ca="1">IFERROR(__xludf.DUMMYFUNCTION("SORTN(FILTER('Top 250 HS'!B:B,'Top 250 HS'!C:C=I153),1,0,randarray(COUNTA(FILTER('Top 250 HS'!B:B,'Top 250 HS'!C:C=I153)),1),TRUE)"),"#N/A")</f>
        <v>#N/A</v>
      </c>
      <c r="Q153" s="13" t="b">
        <f>ISNUMBER(MATCH("*"&amp;E153&amp;"*",'Top 1500 HS LatitudeLongitude'!G:G,0))</f>
        <v>0</v>
      </c>
      <c r="R153" s="13" t="str">
        <f ca="1">IFERROR(__xludf.DUMMYFUNCTION("IFS(L153=10,"""",Q153=false,"""",N153=5,"""",Q153=true,SORTN(FILTER('Top 1500 HS LatitudeLongitude'!B:B,'Top 1500 HS LatitudeLongitude'!C:C=I153,'Top 1500 HS LatitudeLongitude'!E:E=H153),1,0,randarray(COUNTA(FILTER('Top 1500 HS LatitudeLongitude'!B:B,'Top"&amp;" 1500 HS LatitudeLongitude'!C:C=I153,'Top 1500 HS LatitudeLongitude'!E:E=H153)),1),TRUE)
)"),"")</f>
        <v/>
      </c>
      <c r="S153" s="13" t="b">
        <f>ISNUMBER(MATCH("*"&amp;H:H&amp;"*",'Public Schools'!C:C,0))</f>
        <v>0</v>
      </c>
      <c r="T153" s="13" t="str">
        <f ca="1">IFERROR(__xludf.DUMMYFUNCTION("IFERROR(IF(AND(R153="""",S153=true), SORTN(FILTER('Public Schools'!A:A,'Public Schools'!B:B=J153,'Public Schools'!C:C=H153),1,0,randarray(COUNTA(FILTER('Public Schools'!A:A,'Public Schools'!B:B=J153,'Public Schools'!C:C=H153)),1),TRUE),""""),"""")"),"")</f>
        <v/>
      </c>
      <c r="U153" s="23" t="str">
        <f t="array" aca="1" ref="U153" ca="1">IF(AND(R153="",T153=""),INDEX('Top 1500 HS LatitudeLongitude'!B$2:B$1501,MATCH(MIN(SQRT(('Top 1500 HS LatitudeLongitude'!H$2:H$1501-F153)^2+('Top 1500 HS LatitudeLongitude'!I$2:I$1501-G153)^2)),SQRT( ('Top 1500 HS LatitudeLongitude'!H$2:H$1501-F153)^2+('Top 1500 HS LatitudeLongitude'!I$2:I$1501-G153)^2),0),1),"")</f>
        <v>Lynwood</v>
      </c>
    </row>
    <row r="154" spans="2:21" ht="15.6">
      <c r="B154" s="8">
        <v>0.78869632170000004</v>
      </c>
      <c r="C154" s="9" t="s">
        <v>256</v>
      </c>
      <c r="D154" s="9" t="s">
        <v>127</v>
      </c>
      <c r="E154" s="120" t="s">
        <v>5422</v>
      </c>
      <c r="F154" s="8">
        <v>32.959299999999999</v>
      </c>
      <c r="G154" s="8">
        <v>-81.2363</v>
      </c>
      <c r="H154" s="3" t="str">
        <f t="shared" si="0"/>
        <v>Cleveland</v>
      </c>
      <c r="I154" s="3" t="str">
        <f t="shared" si="1"/>
        <v>TN</v>
      </c>
      <c r="J154" s="3" t="str">
        <f t="array" ref="J154">INDEX('State Abbreviations'!$B$2:$B$52,MATCH(I154,'State Abbreviations'!$A$2:$A$52,0))</f>
        <v>Tennessee</v>
      </c>
      <c r="K154" s="119" t="e">
        <f t="shared" ca="1" si="2"/>
        <v>#NAME?</v>
      </c>
      <c r="L154" s="13">
        <f t="shared" ca="1" si="11"/>
        <v>4</v>
      </c>
      <c r="M154" s="13" t="str">
        <f ca="1">IFERROR(__xludf.DUMMYFUNCTION("IF(AND(L154&gt;5,I154&lt;&gt;""AL"",I154&lt;&gt;""AK"",I154&lt;&gt;""AZ"",I154&lt;&gt;""AR"",I154&lt;&gt;""CA"",I154&lt;&gt;""CO"",I154&lt;&gt;""CT"",I154&lt;&gt;""DE"",I154&lt;&gt;""DC"",I154&lt;&gt;""FL"",I154&lt;&gt;""GA"",I154&lt;&gt;""HI"",I154&lt;&gt;""ID"",I154&lt;&gt;""IL"",I154&lt;&gt;""IN"",I154&lt;&gt;""IA"",I154&lt;&gt;""KS"",I154&lt;&gt;""KY"",I154&lt;&gt;"&amp;"""LA"",I154&lt;&gt;""ME"",I154&lt;&gt;""MD"",I154&lt;&gt;""MA"",I154&lt;&gt;""MI"",I154&lt;&gt;""MN"",I154&lt;&gt;""MS"",I154&lt;&gt;""MO"",I154&lt;&gt;""MT"",I154&lt;&gt;""NE"",I154&lt;&gt;""NV"",I154&lt;&gt;""NH"",I154&lt;&gt;""NJ"",I154&lt;&gt;""NM"",I154&lt;&gt;""NY"",I154&lt;&gt;""NC"",I154&lt;&gt;""ND"",I154&lt;&gt;""OH"",I154&lt;&gt;""OK"",I154&lt;&gt;""OR"",I"&amp;"154&lt;&gt;""PA"",I154&lt;&gt;""RI"",I154&lt;&gt;""SC"",I154&lt;&gt;""SD"",I154&lt;&gt;""TN"",I154&lt;&gt;""TX"",I154&lt;&gt;""UT"",I154&lt;&gt;""VT"",I154&lt;&gt;""VA"",I154&lt;&gt;""WA"",I154&lt;&gt;""WV"",I154&lt;&gt;""WI"",I154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54" s="13">
        <f t="shared" ca="1" si="10"/>
        <v>12</v>
      </c>
      <c r="O154" s="13" t="b">
        <f>ISNUMBER(MATCH(C154,'Top 250 HS'!C:C,0))</f>
        <v>0</v>
      </c>
      <c r="P154" s="13" t="str">
        <f ca="1">IFERROR(__xludf.DUMMYFUNCTION("SORTN(FILTER('Top 250 HS'!B:B,'Top 250 HS'!C:C=I154),1,0,randarray(COUNTA(FILTER('Top 250 HS'!B:B,'Top 250 HS'!C:C=I154)),1),TRUE)"),"Whitehaven (Memphis)")</f>
        <v>Whitehaven (Memphis)</v>
      </c>
      <c r="Q154" s="13" t="b">
        <f>ISNUMBER(MATCH("*"&amp;E154&amp;"*",'Top 1500 HS LatitudeLongitude'!G:G,0))</f>
        <v>1</v>
      </c>
      <c r="R154" s="13" t="str">
        <f ca="1">IFERROR(__xludf.DUMMYFUNCTION("IFS(L154=10,"""",Q154=false,"""",N154=5,"""",Q154=true,SORTN(FILTER('Top 1500 HS LatitudeLongitude'!B:B,'Top 1500 HS LatitudeLongitude'!C:C=I154,'Top 1500 HS LatitudeLongitude'!E:E=H154),1,0,randarray(COUNTA(FILTER('Top 1500 HS LatitudeLongitude'!B:B,'Top"&amp;" 1500 HS LatitudeLongitude'!C:C=I154,'Top 1500 HS LatitudeLongitude'!E:E=H154)),1),TRUE)
)"),"Cleveland")</f>
        <v>Cleveland</v>
      </c>
      <c r="S154" s="13" t="b">
        <f>ISNUMBER(MATCH("*"&amp;H:H&amp;"*",'Public Schools'!C:C,0))</f>
        <v>1</v>
      </c>
      <c r="T154" s="13" t="str">
        <f ca="1">IFERROR(__xludf.DUMMYFUNCTION("IFERROR(IF(AND(R154="""",S154=true), SORTN(FILTER('Public Schools'!A:A,'Public Schools'!B:B=J154,'Public Schools'!C:C=H154),1,0,randarray(COUNTA(FILTER('Public Schools'!A:A,'Public Schools'!B:B=J154,'Public Schools'!C:C=H154)),1),TRUE),""""),"""")"),"")</f>
        <v/>
      </c>
      <c r="U154" s="23" t="str">
        <f t="array" aca="1" ref="U154" ca="1">IF(AND(R154="",T154=""),INDEX('Top 1500 HS LatitudeLongitude'!B$2:B$1501,MATCH(MIN(SQRT(('Top 1500 HS LatitudeLongitude'!H$2:H$1501-F154)^2+('Top 1500 HS LatitudeLongitude'!I$2:I$1501-G154)^2)),SQRT( ('Top 1500 HS LatitudeLongitude'!H$2:H$1501-F154)^2+('Top 1500 HS LatitudeLongitude'!I$2:I$1501-G154)^2),0),1),"")</f>
        <v/>
      </c>
    </row>
    <row r="155" spans="2:21" ht="15.6">
      <c r="B155" s="8">
        <v>0.23660239420000001</v>
      </c>
      <c r="C155" s="9" t="s">
        <v>254</v>
      </c>
      <c r="D155" s="9" t="s">
        <v>268</v>
      </c>
      <c r="E155" s="37" t="s">
        <v>1261</v>
      </c>
      <c r="F155" s="8">
        <v>33.863999999999997</v>
      </c>
      <c r="G155" s="8">
        <v>-84.516900000000007</v>
      </c>
      <c r="H155" s="3" t="str">
        <f t="shared" si="0"/>
        <v>Chicago</v>
      </c>
      <c r="I155" s="3" t="str">
        <f t="shared" si="1"/>
        <v>IL</v>
      </c>
      <c r="J155" s="3" t="str">
        <f t="array" ref="J155">INDEX('State Abbreviations'!$B$2:$B$52,MATCH(I155,'State Abbreviations'!$A$2:$A$52,0))</f>
        <v>Illinois</v>
      </c>
      <c r="K155" s="119" t="e">
        <f t="shared" ca="1" si="2"/>
        <v>#NAME?</v>
      </c>
      <c r="L155" s="13">
        <f t="shared" ca="1" si="11"/>
        <v>25</v>
      </c>
      <c r="M155" s="13" t="str">
        <f ca="1">IFERROR(__xludf.DUMMYFUNCTION("IF(AND(L155&gt;5,I155&lt;&gt;""AL"",I155&lt;&gt;""AK"",I155&lt;&gt;""AZ"",I155&lt;&gt;""AR"",I155&lt;&gt;""CA"",I155&lt;&gt;""CO"",I155&lt;&gt;""CT"",I155&lt;&gt;""DE"",I155&lt;&gt;""DC"",I155&lt;&gt;""FL"",I155&lt;&gt;""GA"",I155&lt;&gt;""HI"",I155&lt;&gt;""ID"",I155&lt;&gt;""IL"",I155&lt;&gt;""IN"",I155&lt;&gt;""IA"",I155&lt;&gt;""KS"",I155&lt;&gt;""KY"",I155&lt;&gt;"&amp;"""LA"",I155&lt;&gt;""ME"",I155&lt;&gt;""MD"",I155&lt;&gt;""MA"",I155&lt;&gt;""MI"",I155&lt;&gt;""MN"",I155&lt;&gt;""MS"",I155&lt;&gt;""MO"",I155&lt;&gt;""MT"",I155&lt;&gt;""NE"",I155&lt;&gt;""NV"",I155&lt;&gt;""NH"",I155&lt;&gt;""NJ"",I155&lt;&gt;""NM"",I155&lt;&gt;""NY"",I155&lt;&gt;""NC"",I155&lt;&gt;""ND"",I155&lt;&gt;""OH"",I155&lt;&gt;""OK"",I155&lt;&gt;""OR"",I"&amp;"155&lt;&gt;""PA"",I155&lt;&gt;""RI"",I155&lt;&gt;""SC"",I155&lt;&gt;""SD"",I155&lt;&gt;""TN"",I155&lt;&gt;""TX"",I155&lt;&gt;""UT"",I155&lt;&gt;""VT"",I155&lt;&gt;""VA"",I155&lt;&gt;""WA"",I155&lt;&gt;""WV"",I155&lt;&gt;""WI"",I155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55" s="13">
        <f t="shared" ca="1" si="10"/>
        <v>6</v>
      </c>
      <c r="O155" s="13" t="b">
        <f>ISNUMBER(MATCH(C155,'Top 250 HS'!C:C,0))</f>
        <v>0</v>
      </c>
      <c r="P155" s="13" t="str">
        <f ca="1">IFERROR(__xludf.DUMMYFUNCTION("SORTN(FILTER('Top 250 HS'!B:B,'Top 250 HS'!C:C=I155),1,0,randarray(COUNTA(FILTER('Top 250 HS'!B:B,'Top 250 HS'!C:C=I155)),1),TRUE)"),"Whitney Young (Chicago)")</f>
        <v>Whitney Young (Chicago)</v>
      </c>
      <c r="Q155" s="13" t="b">
        <f>ISNUMBER(MATCH("*"&amp;E155&amp;"*",'Top 1500 HS LatitudeLongitude'!G:G,0))</f>
        <v>1</v>
      </c>
      <c r="R155" s="13" t="str">
        <f ca="1">IFERROR(__xludf.DUMMYFUNCTION("IFS(L155=10,"""",Q155=false,"""",N155=5,"""",Q155=true,SORTN(FILTER('Top 1500 HS LatitudeLongitude'!B:B,'Top 1500 HS LatitudeLongitude'!C:C=I155,'Top 1500 HS LatitudeLongitude'!E:E=H155),1,0,randarray(COUNTA(FILTER('Top 1500 HS LatitudeLongitude'!B:B,'Top"&amp;" 1500 HS LatitudeLongitude'!C:C=I155,'Top 1500 HS LatitudeLongitude'!E:E=H155)),1),TRUE)
)"),"Whitney Young (Chicago)")</f>
        <v>Whitney Young (Chicago)</v>
      </c>
      <c r="S155" s="13" t="b">
        <f>ISNUMBER(MATCH("*"&amp;H:H&amp;"*",'Public Schools'!C:C,0))</f>
        <v>1</v>
      </c>
      <c r="T155" s="13" t="str">
        <f ca="1">IFERROR(__xludf.DUMMYFUNCTION("IFERROR(IF(AND(R155="""",S155=true), SORTN(FILTER('Public Schools'!A:A,'Public Schools'!B:B=J155,'Public Schools'!C:C=H155),1,0,randarray(COUNTA(FILTER('Public Schools'!A:A,'Public Schools'!B:B=J155,'Public Schools'!C:C=H155)),1),TRUE),""""),"""")"),"")</f>
        <v/>
      </c>
      <c r="U155" s="23" t="str">
        <f t="array" aca="1" ref="U155" ca="1">IF(AND(R155="",T155=""),INDEX('Top 1500 HS LatitudeLongitude'!B$2:B$1501,MATCH(MIN(SQRT(('Top 1500 HS LatitudeLongitude'!H$2:H$1501-F155)^2+('Top 1500 HS LatitudeLongitude'!I$2:I$1501-G155)^2)),SQRT( ('Top 1500 HS LatitudeLongitude'!H$2:H$1501-F155)^2+('Top 1500 HS LatitudeLongitude'!I$2:I$1501-G155)^2),0),1),"")</f>
        <v/>
      </c>
    </row>
    <row r="156" spans="2:21" ht="15.6">
      <c r="B156" s="8">
        <v>0.21246315220000001</v>
      </c>
      <c r="C156" s="9" t="s">
        <v>238</v>
      </c>
      <c r="D156" s="9" t="s">
        <v>376</v>
      </c>
      <c r="E156" s="120" t="s">
        <v>5509</v>
      </c>
      <c r="F156" s="8">
        <v>30.775500000000001</v>
      </c>
      <c r="G156" s="8">
        <v>-85.540499999999994</v>
      </c>
      <c r="H156" s="3" t="str">
        <f t="shared" si="0"/>
        <v>Ballston Spa</v>
      </c>
      <c r="I156" s="3" t="str">
        <f t="shared" si="1"/>
        <v>NY</v>
      </c>
      <c r="J156" s="3" t="str">
        <f t="array" ref="J156">INDEX('State Abbreviations'!$B$2:$B$52,MATCH(I156,'State Abbreviations'!$A$2:$A$52,0))</f>
        <v>New York</v>
      </c>
      <c r="K156" s="119" t="e">
        <f t="shared" ca="1" si="2"/>
        <v>#NAME?</v>
      </c>
      <c r="L156" s="13">
        <f t="shared" ca="1" si="11"/>
        <v>11</v>
      </c>
      <c r="M156" s="13" t="str">
        <f ca="1">IFERROR(__xludf.DUMMYFUNCTION("IF(AND(L156&gt;5,I156&lt;&gt;""AL"",I156&lt;&gt;""AK"",I156&lt;&gt;""AZ"",I156&lt;&gt;""AR"",I156&lt;&gt;""CA"",I156&lt;&gt;""CO"",I156&lt;&gt;""CT"",I156&lt;&gt;""DE"",I156&lt;&gt;""DC"",I156&lt;&gt;""FL"",I156&lt;&gt;""GA"",I156&lt;&gt;""HI"",I156&lt;&gt;""ID"",I156&lt;&gt;""IL"",I156&lt;&gt;""IN"",I156&lt;&gt;""IA"",I156&lt;&gt;""KS"",I156&lt;&gt;""KY"",I156&lt;&gt;"&amp;"""LA"",I156&lt;&gt;""ME"",I156&lt;&gt;""MD"",I156&lt;&gt;""MA"",I156&lt;&gt;""MI"",I156&lt;&gt;""MN"",I156&lt;&gt;""MS"",I156&lt;&gt;""MO"",I156&lt;&gt;""MT"",I156&lt;&gt;""NE"",I156&lt;&gt;""NV"",I156&lt;&gt;""NH"",I156&lt;&gt;""NJ"",I156&lt;&gt;""NM"",I156&lt;&gt;""NY"",I156&lt;&gt;""NC"",I156&lt;&gt;""ND"",I156&lt;&gt;""OH"",I156&lt;&gt;""OK"",I156&lt;&gt;""OR"",I"&amp;"156&lt;&gt;""PA"",I156&lt;&gt;""RI"",I156&lt;&gt;""SC"",I156&lt;&gt;""SD"",I156&lt;&gt;""TN"",I156&lt;&gt;""TX"",I156&lt;&gt;""UT"",I156&lt;&gt;""VT"",I156&lt;&gt;""VA"",I156&lt;&gt;""WA"",I156&lt;&gt;""WV"",I156&lt;&gt;""WI"",I156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56" s="13">
        <f t="shared" ca="1" si="10"/>
        <v>20</v>
      </c>
      <c r="O156" s="13" t="b">
        <f>ISNUMBER(MATCH(C156,'Top 250 HS'!C:C,0))</f>
        <v>0</v>
      </c>
      <c r="P156" s="13" t="str">
        <f ca="1">IFERROR(__xludf.DUMMYFUNCTION("SORTN(FILTER('Top 250 HS'!B:B,'Top 250 HS'!C:C=I156),1,0,randarray(COUNTA(FILTER('Top 250 HS'!B:B,'Top 250 HS'!C:C=I156)),1),TRUE)"),"Long Island Lutheran (Brookville)")</f>
        <v>Long Island Lutheran (Brookville)</v>
      </c>
      <c r="Q156" s="13" t="b">
        <f>ISNUMBER(MATCH("*"&amp;E156&amp;"*",'Top 1500 HS LatitudeLongitude'!G:G,0))</f>
        <v>0</v>
      </c>
      <c r="R156" s="13" t="str">
        <f ca="1">IFERROR(__xludf.DUMMYFUNCTION("IFS(L156=10,"""",Q156=false,"""",N156=5,"""",Q156=true,SORTN(FILTER('Top 1500 HS LatitudeLongitude'!B:B,'Top 1500 HS LatitudeLongitude'!C:C=I156,'Top 1500 HS LatitudeLongitude'!E:E=H156),1,0,randarray(COUNTA(FILTER('Top 1500 HS LatitudeLongitude'!B:B,'Top"&amp;" 1500 HS LatitudeLongitude'!C:C=I156,'Top 1500 HS LatitudeLongitude'!E:E=H156)),1),TRUE)
)"),"")</f>
        <v/>
      </c>
      <c r="S156" s="13" t="b">
        <f>ISNUMBER(MATCH("*"&amp;H:H&amp;"*",'Public Schools'!C:C,0))</f>
        <v>1</v>
      </c>
      <c r="T156" s="13" t="str">
        <f ca="1">IFERROR(__xludf.DUMMYFUNCTION("IFERROR(IF(AND(R156="""",S156=true), SORTN(FILTER('Public Schools'!A:A,'Public Schools'!B:B=J156,'Public Schools'!C:C=H156),1,0,randarray(COUNTA(FILTER('Public Schools'!A:A,'Public Schools'!B:B=J156,'Public Schools'!C:C=H156)),1),TRUE),""""),"""")"),"Ballston Spa Senior High School")</f>
        <v>Ballston Spa Senior High School</v>
      </c>
      <c r="U156" s="23" t="str">
        <f t="array" aca="1" ref="U156" ca="1">IF(AND(R156="",T156=""),INDEX('Top 1500 HS LatitudeLongitude'!B$2:B$1501,MATCH(MIN(SQRT(('Top 1500 HS LatitudeLongitude'!H$2:H$1501-F156)^2+('Top 1500 HS LatitudeLongitude'!I$2:I$1501-G156)^2)),SQRT( ('Top 1500 HS LatitudeLongitude'!H$2:H$1501-F156)^2+('Top 1500 HS LatitudeLongitude'!I$2:I$1501-G156)^2),0),1),"")</f>
        <v/>
      </c>
    </row>
    <row r="157" spans="2:21" ht="15.6">
      <c r="B157" s="8">
        <v>0.94125059200000005</v>
      </c>
      <c r="C157" s="9" t="s">
        <v>94</v>
      </c>
      <c r="D157" s="9" t="s">
        <v>377</v>
      </c>
      <c r="E157" s="37" t="s">
        <v>5549</v>
      </c>
      <c r="F157" s="8">
        <v>37.105200000000004</v>
      </c>
      <c r="G157" s="8">
        <v>-76.518500000000003</v>
      </c>
      <c r="H157" s="3" t="str">
        <f t="shared" si="0"/>
        <v>Orrville</v>
      </c>
      <c r="I157" s="3" t="str">
        <f t="shared" si="1"/>
        <v>OH</v>
      </c>
      <c r="J157" s="3" t="str">
        <f t="array" ref="J157">INDEX('State Abbreviations'!$B$2:$B$52,MATCH(I157,'State Abbreviations'!$A$2:$A$52,0))</f>
        <v>Ohio</v>
      </c>
      <c r="K157" s="119" t="e">
        <f t="shared" ca="1" si="2"/>
        <v>#NAME?</v>
      </c>
      <c r="L157" s="13">
        <f t="shared" ca="1" si="11"/>
        <v>7</v>
      </c>
      <c r="M157" s="13" t="str">
        <f ca="1">IFERROR(__xludf.DUMMYFUNCTION("IF(AND(L157&gt;5,I157&lt;&gt;""AL"",I157&lt;&gt;""AK"",I157&lt;&gt;""AZ"",I157&lt;&gt;""AR"",I157&lt;&gt;""CA"",I157&lt;&gt;""CO"",I157&lt;&gt;""CT"",I157&lt;&gt;""DE"",I157&lt;&gt;""DC"",I157&lt;&gt;""FL"",I157&lt;&gt;""GA"",I157&lt;&gt;""HI"",I157&lt;&gt;""ID"",I157&lt;&gt;""IL"",I157&lt;&gt;""IN"",I157&lt;&gt;""IA"",I157&lt;&gt;""KS"",I157&lt;&gt;""KY"",I157&lt;&gt;"&amp;"""LA"",I157&lt;&gt;""ME"",I157&lt;&gt;""MD"",I157&lt;&gt;""MA"",I157&lt;&gt;""MI"",I157&lt;&gt;""MN"",I157&lt;&gt;""MS"",I157&lt;&gt;""MO"",I157&lt;&gt;""MT"",I157&lt;&gt;""NE"",I157&lt;&gt;""NV"",I157&lt;&gt;""NH"",I157&lt;&gt;""NJ"",I157&lt;&gt;""NM"",I157&lt;&gt;""NY"",I157&lt;&gt;""NC"",I157&lt;&gt;""ND"",I157&lt;&gt;""OH"",I157&lt;&gt;""OK"",I157&lt;&gt;""OR"",I"&amp;"157&lt;&gt;""PA"",I157&lt;&gt;""RI"",I157&lt;&gt;""SC"",I157&lt;&gt;""SD"",I157&lt;&gt;""TN"",I157&lt;&gt;""TX"",I157&lt;&gt;""UT"",I157&lt;&gt;""VT"",I157&lt;&gt;""VA"",I157&lt;&gt;""WA"",I157&lt;&gt;""WV"",I157&lt;&gt;""WI"",I157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57" s="13">
        <f t="shared" ca="1" si="10"/>
        <v>13</v>
      </c>
      <c r="O157" s="13" t="b">
        <f>ISNUMBER(MATCH(C157,'Top 250 HS'!C:C,0))</f>
        <v>0</v>
      </c>
      <c r="P157" s="13" t="str">
        <f ca="1">IFERROR(__xludf.DUMMYFUNCTION("SORTN(FILTER('Top 250 HS'!B:B,'Top 250 HS'!C:C=I157),1,0,randarray(COUNTA(FILTER('Top 250 HS'!B:B,'Top 250 HS'!C:C=I157)),1),TRUE)"),"St. Vincent-St. Mary (Akron)")</f>
        <v>St. Vincent-St. Mary (Akron)</v>
      </c>
      <c r="Q157" s="13" t="b">
        <f>ISNUMBER(MATCH("*"&amp;E157&amp;"*",'Top 1500 HS LatitudeLongitude'!G:G,0))</f>
        <v>0</v>
      </c>
      <c r="R157" s="13" t="str">
        <f ca="1">IFERROR(__xludf.DUMMYFUNCTION("IFS(L157=10,"""",Q157=false,"""",N157=5,"""",Q157=true,SORTN(FILTER('Top 1500 HS LatitudeLongitude'!B:B,'Top 1500 HS LatitudeLongitude'!C:C=I157,'Top 1500 HS LatitudeLongitude'!E:E=H157),1,0,randarray(COUNTA(FILTER('Top 1500 HS LatitudeLongitude'!B:B,'Top"&amp;" 1500 HS LatitudeLongitude'!C:C=I157,'Top 1500 HS LatitudeLongitude'!E:E=H157)),1),TRUE)
)"),"")</f>
        <v/>
      </c>
      <c r="S157" s="13" t="b">
        <f>ISNUMBER(MATCH("*"&amp;H:H&amp;"*",'Public Schools'!C:C,0))</f>
        <v>1</v>
      </c>
      <c r="T157" s="13" t="str">
        <f ca="1">IFERROR(__xludf.DUMMYFUNCTION("IFERROR(IF(AND(R157="""",S157=true), SORTN(FILTER('Public Schools'!A:A,'Public Schools'!B:B=J157,'Public Schools'!C:C=H157),1,0,randarray(COUNTA(FILTER('Public Schools'!A:A,'Public Schools'!B:B=J157,'Public Schools'!C:C=H157)),1),TRUE),""""),"""")"),"Orrville High School")</f>
        <v>Orrville High School</v>
      </c>
      <c r="U157" s="23" t="str">
        <f t="array" aca="1" ref="U157" ca="1">IF(AND(R157="",T157=""),INDEX('Top 1500 HS LatitudeLongitude'!B$2:B$1501,MATCH(MIN(SQRT(('Top 1500 HS LatitudeLongitude'!H$2:H$1501-F157)^2+('Top 1500 HS LatitudeLongitude'!I$2:I$1501-G157)^2)),SQRT( ('Top 1500 HS LatitudeLongitude'!H$2:H$1501-F157)^2+('Top 1500 HS LatitudeLongitude'!I$2:I$1501-G157)^2),0),1),"")</f>
        <v/>
      </c>
    </row>
    <row r="158" spans="2:21" ht="15.6">
      <c r="B158" s="8">
        <v>0.92291177540000002</v>
      </c>
      <c r="C158" s="9" t="s">
        <v>235</v>
      </c>
      <c r="D158" s="9" t="s">
        <v>378</v>
      </c>
      <c r="E158" s="120" t="s">
        <v>5587</v>
      </c>
      <c r="F158" s="8">
        <v>40.6599</v>
      </c>
      <c r="G158" s="8">
        <v>-111.82259999999999</v>
      </c>
      <c r="H158" s="3" t="str">
        <f t="shared" si="0"/>
        <v>Breaux Bridge</v>
      </c>
      <c r="I158" s="3" t="str">
        <f t="shared" si="1"/>
        <v>LA</v>
      </c>
      <c r="J158" s="3" t="str">
        <f t="array" ref="J158">INDEX('State Abbreviations'!$B$2:$B$52,MATCH(I158,'State Abbreviations'!$A$2:$A$52,0))</f>
        <v>Louisiana</v>
      </c>
      <c r="K158" s="119" t="e">
        <f t="shared" ca="1" si="2"/>
        <v>#NAME?</v>
      </c>
      <c r="L158" s="13">
        <f t="shared" ca="1" si="11"/>
        <v>27</v>
      </c>
      <c r="M158" s="13" t="str">
        <f ca="1">IFERROR(__xludf.DUMMYFUNCTION("IF(AND(L158&gt;5,I158&lt;&gt;""AL"",I158&lt;&gt;""AK"",I158&lt;&gt;""AZ"",I158&lt;&gt;""AR"",I158&lt;&gt;""CA"",I158&lt;&gt;""CO"",I158&lt;&gt;""CT"",I158&lt;&gt;""DE"",I158&lt;&gt;""DC"",I158&lt;&gt;""FL"",I158&lt;&gt;""GA"",I158&lt;&gt;""HI"",I158&lt;&gt;""ID"",I158&lt;&gt;""IL"",I158&lt;&gt;""IN"",I158&lt;&gt;""IA"",I158&lt;&gt;""KS"",I158&lt;&gt;""KY"",I158&lt;&gt;"&amp;"""LA"",I158&lt;&gt;""ME"",I158&lt;&gt;""MD"",I158&lt;&gt;""MA"",I158&lt;&gt;""MI"",I158&lt;&gt;""MN"",I158&lt;&gt;""MS"",I158&lt;&gt;""MO"",I158&lt;&gt;""MT"",I158&lt;&gt;""NE"",I158&lt;&gt;""NV"",I158&lt;&gt;""NH"",I158&lt;&gt;""NJ"",I158&lt;&gt;""NM"",I158&lt;&gt;""NY"",I158&lt;&gt;""NC"",I158&lt;&gt;""ND"",I158&lt;&gt;""OH"",I158&lt;&gt;""OK"",I158&lt;&gt;""OR"",I"&amp;"158&lt;&gt;""PA"",I158&lt;&gt;""RI"",I158&lt;&gt;""SC"",I158&lt;&gt;""SD"",I158&lt;&gt;""TN"",I158&lt;&gt;""TX"",I158&lt;&gt;""UT"",I158&lt;&gt;""VT"",I158&lt;&gt;""VA"",I158&lt;&gt;""WA"",I158&lt;&gt;""WV"",I158&lt;&gt;""WI"",I158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58" s="13">
        <f t="shared" ca="1" si="10"/>
        <v>8</v>
      </c>
      <c r="O158" s="13" t="b">
        <f>ISNUMBER(MATCH(C158,'Top 250 HS'!C:C,0))</f>
        <v>0</v>
      </c>
      <c r="P158" s="13" t="str">
        <f ca="1">IFERROR(__xludf.DUMMYFUNCTION("SORTN(FILTER('Top 250 HS'!B:B,'Top 250 HS'!C:C=I158),1,0,randarray(COUNTA(FILTER('Top 250 HS'!B:B,'Top 250 HS'!C:C=I158)),1),TRUE)"),"Scotlandville (Baton Rouge)")</f>
        <v>Scotlandville (Baton Rouge)</v>
      </c>
      <c r="Q158" s="13" t="b">
        <f>ISNUMBER(MATCH("*"&amp;E158&amp;"*",'Top 1500 HS LatitudeLongitude'!G:G,0))</f>
        <v>1</v>
      </c>
      <c r="R158" s="13" t="str">
        <f ca="1">IFERROR(__xludf.DUMMYFUNCTION("IFS(L158=10,"""",Q158=false,"""",N158=5,"""",Q158=true,SORTN(FILTER('Top 1500 HS LatitudeLongitude'!B:B,'Top 1500 HS LatitudeLongitude'!C:C=I158,'Top 1500 HS LatitudeLongitude'!E:E=H158),1,0,randarray(COUNTA(FILTER('Top 1500 HS LatitudeLongitude'!B:B,'Top"&amp;" 1500 HS LatitudeLongitude'!C:C=I158,'Top 1500 HS LatitudeLongitude'!E:E=H158)),1),TRUE)
)"),"Breaux Bridge")</f>
        <v>Breaux Bridge</v>
      </c>
      <c r="S158" s="13" t="b">
        <f>ISNUMBER(MATCH("*"&amp;H:H&amp;"*",'Public Schools'!C:C,0))</f>
        <v>1</v>
      </c>
      <c r="T158" s="13" t="str">
        <f ca="1">IFERROR(__xludf.DUMMYFUNCTION("IFERROR(IF(AND(R158="""",S158=true), SORTN(FILTER('Public Schools'!A:A,'Public Schools'!B:B=J158,'Public Schools'!C:C=H158),1,0,randarray(COUNTA(FILTER('Public Schools'!A:A,'Public Schools'!B:B=J158,'Public Schools'!C:C=H158)),1),TRUE),""""),"""")"),"")</f>
        <v/>
      </c>
      <c r="U158" s="23" t="str">
        <f t="array" aca="1" ref="U158" ca="1">IF(AND(R158="",T158=""),INDEX('Top 1500 HS LatitudeLongitude'!B$2:B$1501,MATCH(MIN(SQRT(('Top 1500 HS LatitudeLongitude'!H$2:H$1501-F158)^2+('Top 1500 HS LatitudeLongitude'!I$2:I$1501-G158)^2)),SQRT( ('Top 1500 HS LatitudeLongitude'!H$2:H$1501-F158)^2+('Top 1500 HS LatitudeLongitude'!I$2:I$1501-G158)^2),0),1),"")</f>
        <v/>
      </c>
    </row>
    <row r="159" spans="2:21" ht="15.6">
      <c r="B159" s="8">
        <v>0.3305651436</v>
      </c>
      <c r="C159" s="9" t="s">
        <v>206</v>
      </c>
      <c r="D159" s="9" t="s">
        <v>118</v>
      </c>
      <c r="E159" s="37" t="s">
        <v>208</v>
      </c>
      <c r="F159" s="8">
        <v>40.524799999999999</v>
      </c>
      <c r="G159" s="8">
        <v>-89.490600000000001</v>
      </c>
      <c r="H159" s="3" t="str">
        <f t="shared" si="0"/>
        <v>Grand Prairie</v>
      </c>
      <c r="I159" s="3" t="str">
        <f t="shared" si="1"/>
        <v>TX</v>
      </c>
      <c r="J159" s="3" t="str">
        <f t="array" ref="J159">INDEX('State Abbreviations'!$B$2:$B$52,MATCH(I159,'State Abbreviations'!$A$2:$A$52,0))</f>
        <v>Texas</v>
      </c>
      <c r="K159" s="119" t="e">
        <f t="shared" ca="1" si="2"/>
        <v>#NAME?</v>
      </c>
      <c r="L159" s="13">
        <f t="shared" ca="1" si="11"/>
        <v>14</v>
      </c>
      <c r="M159" s="13" t="str">
        <f ca="1">IFERROR(__xludf.DUMMYFUNCTION("IF(AND(L159&gt;5,I159&lt;&gt;""AL"",I159&lt;&gt;""AK"",I159&lt;&gt;""AZ"",I159&lt;&gt;""AR"",I159&lt;&gt;""CA"",I159&lt;&gt;""CO"",I159&lt;&gt;""CT"",I159&lt;&gt;""DE"",I159&lt;&gt;""DC"",I159&lt;&gt;""FL"",I159&lt;&gt;""GA"",I159&lt;&gt;""HI"",I159&lt;&gt;""ID"",I159&lt;&gt;""IL"",I159&lt;&gt;""IN"",I159&lt;&gt;""IA"",I159&lt;&gt;""KS"",I159&lt;&gt;""KY"",I159&lt;&gt;"&amp;"""LA"",I159&lt;&gt;""ME"",I159&lt;&gt;""MD"",I159&lt;&gt;""MA"",I159&lt;&gt;""MI"",I159&lt;&gt;""MN"",I159&lt;&gt;""MS"",I159&lt;&gt;""MO"",I159&lt;&gt;""MT"",I159&lt;&gt;""NE"",I159&lt;&gt;""NV"",I159&lt;&gt;""NH"",I159&lt;&gt;""NJ"",I159&lt;&gt;""NM"",I159&lt;&gt;""NY"",I159&lt;&gt;""NC"",I159&lt;&gt;""ND"",I159&lt;&gt;""OH"",I159&lt;&gt;""OK"",I159&lt;&gt;""OR"",I"&amp;"159&lt;&gt;""PA"",I159&lt;&gt;""RI"",I159&lt;&gt;""SC"",I159&lt;&gt;""SD"",I159&lt;&gt;""TN"",I159&lt;&gt;""TX"",I159&lt;&gt;""UT"",I159&lt;&gt;""VT"",I159&lt;&gt;""VA"",I159&lt;&gt;""WA"",I159&lt;&gt;""WV"",I159&lt;&gt;""WI"",I159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St"&amp;"ateInternational'!$G$2:$G$121&lt;&gt;"""")},2,0)),IF(L159=10,ArrayFormula(VLOOKUP(QUERY(UNIQUE(RANDBETWEEN(ROW(INDIRECT(""A1:A""&amp;COUNTA('Leaving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59" s="13">
        <f t="shared" ca="1" si="10"/>
        <v>11</v>
      </c>
      <c r="O159" s="13" t="b">
        <f>ISNUMBER(MATCH(C159,'Top 250 HS'!C:C,0))</f>
        <v>0</v>
      </c>
      <c r="P159" s="13" t="str">
        <f ca="1">IFERROR(__xludf.DUMMYFUNCTION("SORTN(FILTER('Top 250 HS'!B:B,'Top 250 HS'!C:C=I159),1,0,randarray(COUNTA(FILTER('Top 250 HS'!B:B,'Top 250 HS'!C:C=I159)),1),TRUE)"),"Guyer (Denton)")</f>
        <v>Guyer (Denton)</v>
      </c>
      <c r="Q159" s="13" t="b">
        <f>ISNUMBER(MATCH("*"&amp;E159&amp;"*",'Top 1500 HS LatitudeLongitude'!G:G,0))</f>
        <v>1</v>
      </c>
      <c r="R159" s="13" t="str">
        <f ca="1">IFERROR(__xludf.DUMMYFUNCTION("IFS(L159=10,"""",Q159=false,"""",N159=5,"""",Q159=true,SORTN(FILTER('Top 1500 HS LatitudeLongitude'!B:B,'Top 1500 HS LatitudeLongitude'!C:C=I159,'Top 1500 HS LatitudeLongitude'!E:E=H159),1,0,randarray(COUNTA(FILTER('Top 1500 HS LatitudeLongitude'!B:B,'Top"&amp;" 1500 HS LatitudeLongitude'!C:C=I159,'Top 1500 HS LatitudeLongitude'!E:E=H159)),1),TRUE)
)"),"Grand Prairie")</f>
        <v>Grand Prairie</v>
      </c>
      <c r="S159" s="13" t="b">
        <f>ISNUMBER(MATCH("*"&amp;H:H&amp;"*",'Public Schools'!C:C,0))</f>
        <v>1</v>
      </c>
      <c r="T159" s="13" t="str">
        <f ca="1">IFERROR(__xludf.DUMMYFUNCTION("IFERROR(IF(AND(R159="""",S159=true), SORTN(FILTER('Public Schools'!A:A,'Public Schools'!B:B=J159,'Public Schools'!C:C=H159),1,0,randarray(COUNTA(FILTER('Public Schools'!A:A,'Public Schools'!B:B=J159,'Public Schools'!C:C=H159)),1),TRUE),""""),"""")"),"")</f>
        <v/>
      </c>
      <c r="U159" s="23" t="str">
        <f t="array" aca="1" ref="U159" ca="1">IF(AND(R159="",T159=""),INDEX('Top 1500 HS LatitudeLongitude'!B$2:B$1501,MATCH(MIN(SQRT(('Top 1500 HS LatitudeLongitude'!H$2:H$1501-F159)^2+('Top 1500 HS LatitudeLongitude'!I$2:I$1501-G159)^2)),SQRT( ('Top 1500 HS LatitudeLongitude'!H$2:H$1501-F159)^2+('Top 1500 HS LatitudeLongitude'!I$2:I$1501-G159)^2),0),1),"")</f>
        <v/>
      </c>
    </row>
    <row r="160" spans="2:21" ht="15.6">
      <c r="B160" s="8">
        <v>0.37917279380000002</v>
      </c>
      <c r="C160" s="9" t="s">
        <v>94</v>
      </c>
      <c r="D160" s="9" t="s">
        <v>379</v>
      </c>
      <c r="E160" s="120" t="s">
        <v>5661</v>
      </c>
      <c r="F160" s="8">
        <v>38.042299999999997</v>
      </c>
      <c r="G160" s="8">
        <v>-84.458699999999993</v>
      </c>
      <c r="H160" s="3" t="str">
        <f t="shared" si="0"/>
        <v>Bellbrook</v>
      </c>
      <c r="I160" s="3" t="str">
        <f t="shared" si="1"/>
        <v>OH</v>
      </c>
      <c r="J160" s="3" t="str">
        <f t="array" ref="J160">INDEX('State Abbreviations'!$B$2:$B$52,MATCH(I160,'State Abbreviations'!$A$2:$A$52,0))</f>
        <v>Ohio</v>
      </c>
      <c r="K160" s="119" t="e">
        <f t="shared" ca="1" si="2"/>
        <v>#NAME?</v>
      </c>
      <c r="L160" s="13">
        <f t="shared" ca="1" si="11"/>
        <v>24</v>
      </c>
      <c r="M160" s="13" t="str">
        <f ca="1">IFERROR(__xludf.DUMMYFUNCTION("IF(AND(L160&gt;5,I160&lt;&gt;""AL"",I160&lt;&gt;""AK"",I160&lt;&gt;""AZ"",I160&lt;&gt;""AR"",I160&lt;&gt;""CA"",I160&lt;&gt;""CO"",I160&lt;&gt;""CT"",I160&lt;&gt;""DE"",I160&lt;&gt;""DC"",I160&lt;&gt;""FL"",I160&lt;&gt;""GA"",I160&lt;&gt;""HI"",I160&lt;&gt;""ID"",I160&lt;&gt;""IL"",I160&lt;&gt;""IN"",I160&lt;&gt;""IA"",I160&lt;&gt;""KS"",I160&lt;&gt;""KY"",I160&lt;&gt;"&amp;"""LA"",I160&lt;&gt;""ME"",I160&lt;&gt;""MD"",I160&lt;&gt;""MA"",I160&lt;&gt;""MI"",I160&lt;&gt;""MN"",I160&lt;&gt;""MS"",I160&lt;&gt;""MO"",I160&lt;&gt;""MT"",I160&lt;&gt;""NE"",I160&lt;&gt;""NV"",I160&lt;&gt;""NH"",I160&lt;&gt;""NJ"",I160&lt;&gt;""NM"",I160&lt;&gt;""NY"",I160&lt;&gt;""NC"",I160&lt;&gt;""ND"",I160&lt;&gt;""OH"",I160&lt;&gt;""OK"",I160&lt;&gt;""OR"",I"&amp;"160&lt;&gt;""PA"",I160&lt;&gt;""RI"",I160&lt;&gt;""SC"",I160&lt;&gt;""SD"",I160&lt;&gt;""TN"",I160&lt;&gt;""TX"",I160&lt;&gt;""UT"",I160&lt;&gt;""VT"",I160&lt;&gt;""VA"",I160&lt;&gt;""WA"",I160&lt;&gt;""WV"",I160&lt;&gt;""WI"",I160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0" s="13">
        <f t="shared" ca="1" si="10"/>
        <v>14</v>
      </c>
      <c r="O160" s="13" t="b">
        <f>ISNUMBER(MATCH(C160,'Top 250 HS'!C:C,0))</f>
        <v>0</v>
      </c>
      <c r="P160" s="13" t="str">
        <f ca="1">IFERROR(__xludf.DUMMYFUNCTION("SORTN(FILTER('Top 250 HS'!B:B,'Top 250 HS'!C:C=I160),1,0,randarray(COUNTA(FILTER('Top 250 HS'!B:B,'Top 250 HS'!C:C=I160)),1),TRUE)"),"St. Vincent-St. Mary (Akron)")</f>
        <v>St. Vincent-St. Mary (Akron)</v>
      </c>
      <c r="Q160" s="13" t="b">
        <f>ISNUMBER(MATCH("*"&amp;E160&amp;"*",'Top 1500 HS LatitudeLongitude'!G:G,0))</f>
        <v>0</v>
      </c>
      <c r="R160" s="13" t="str">
        <f ca="1">IFERROR(__xludf.DUMMYFUNCTION("IFS(L160=10,"""",Q160=false,"""",N160=5,"""",Q160=true,SORTN(FILTER('Top 1500 HS LatitudeLongitude'!B:B,'Top 1500 HS LatitudeLongitude'!C:C=I160,'Top 1500 HS LatitudeLongitude'!E:E=H160),1,0,randarray(COUNTA(FILTER('Top 1500 HS LatitudeLongitude'!B:B,'Top"&amp;" 1500 HS LatitudeLongitude'!C:C=I160,'Top 1500 HS LatitudeLongitude'!E:E=H160)),1),TRUE)
)"),"")</f>
        <v/>
      </c>
      <c r="S160" s="13" t="b">
        <f>ISNUMBER(MATCH("*"&amp;H:H&amp;"*",'Public Schools'!C:C,0))</f>
        <v>1</v>
      </c>
      <c r="T160" s="13" t="str">
        <f ca="1">IFERROR(__xludf.DUMMYFUNCTION("IFERROR(IF(AND(R160="""",S160=true), SORTN(FILTER('Public Schools'!A:A,'Public Schools'!B:B=J160,'Public Schools'!C:C=H160),1,0,randarray(COUNTA(FILTER('Public Schools'!A:A,'Public Schools'!B:B=J160,'Public Schools'!C:C=H160)),1),TRUE),""""),"""")"),"Bellbrook High School")</f>
        <v>Bellbrook High School</v>
      </c>
      <c r="U160" s="23" t="str">
        <f t="array" aca="1" ref="U160" ca="1">IF(AND(R160="",T160=""),INDEX('Top 1500 HS LatitudeLongitude'!B$2:B$1501,MATCH(MIN(SQRT(('Top 1500 HS LatitudeLongitude'!H$2:H$1501-F160)^2+('Top 1500 HS LatitudeLongitude'!I$2:I$1501-G160)^2)),SQRT( ('Top 1500 HS LatitudeLongitude'!H$2:H$1501-F160)^2+('Top 1500 HS LatitudeLongitude'!I$2:I$1501-G160)^2),0),1),"")</f>
        <v/>
      </c>
    </row>
    <row r="161" spans="2:21" ht="15.6">
      <c r="B161" s="8">
        <v>0.48065405880000001</v>
      </c>
      <c r="C161" s="9" t="s">
        <v>23</v>
      </c>
      <c r="D161" s="9" t="s">
        <v>380</v>
      </c>
      <c r="E161" s="37" t="s">
        <v>5708</v>
      </c>
      <c r="F161" s="8">
        <v>42.116</v>
      </c>
      <c r="G161" s="8">
        <v>-86.448400000000007</v>
      </c>
      <c r="H161" s="3" t="str">
        <f t="shared" si="0"/>
        <v>Monroe</v>
      </c>
      <c r="I161" s="3" t="str">
        <f t="shared" si="1"/>
        <v>MI</v>
      </c>
      <c r="J161" s="3" t="str">
        <f t="array" ref="J161">INDEX('State Abbreviations'!$B$2:$B$52,MATCH(I161,'State Abbreviations'!$A$2:$A$52,0))</f>
        <v>Michigan</v>
      </c>
      <c r="K161" s="119" t="e">
        <f t="shared" ca="1" si="2"/>
        <v>#NAME?</v>
      </c>
      <c r="L161" s="13">
        <f t="shared" ca="1" si="11"/>
        <v>23</v>
      </c>
      <c r="M161" s="13" t="str">
        <f ca="1">IFERROR(__xludf.DUMMYFUNCTION("IF(AND(L161&gt;5,I161&lt;&gt;""AL"",I161&lt;&gt;""AK"",I161&lt;&gt;""AZ"",I161&lt;&gt;""AR"",I161&lt;&gt;""CA"",I161&lt;&gt;""CO"",I161&lt;&gt;""CT"",I161&lt;&gt;""DE"",I161&lt;&gt;""DC"",I161&lt;&gt;""FL"",I161&lt;&gt;""GA"",I161&lt;&gt;""HI"",I161&lt;&gt;""ID"",I161&lt;&gt;""IL"",I161&lt;&gt;""IN"",I161&lt;&gt;""IA"",I161&lt;&gt;""KS"",I161&lt;&gt;""KY"",I161&lt;&gt;"&amp;"""LA"",I161&lt;&gt;""ME"",I161&lt;&gt;""MD"",I161&lt;&gt;""MA"",I161&lt;&gt;""MI"",I161&lt;&gt;""MN"",I161&lt;&gt;""MS"",I161&lt;&gt;""MO"",I161&lt;&gt;""MT"",I161&lt;&gt;""NE"",I161&lt;&gt;""NV"",I161&lt;&gt;""NH"",I161&lt;&gt;""NJ"",I161&lt;&gt;""NM"",I161&lt;&gt;""NY"",I161&lt;&gt;""NC"",I161&lt;&gt;""ND"",I161&lt;&gt;""OH"",I161&lt;&gt;""OK"",I161&lt;&gt;""OR"",I"&amp;"161&lt;&gt;""PA"",I161&lt;&gt;""RI"",I161&lt;&gt;""SC"",I161&lt;&gt;""SD"",I161&lt;&gt;""TN"",I161&lt;&gt;""TX"",I161&lt;&gt;""UT"",I161&lt;&gt;""VT"",I161&lt;&gt;""VA"",I161&lt;&gt;""WA"",I161&lt;&gt;""WV"",I161&lt;&gt;""WI"",I161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1" s="13">
        <f t="shared" ca="1" si="10"/>
        <v>7</v>
      </c>
      <c r="O161" s="13" t="b">
        <f>ISNUMBER(MATCH(C161,'Top 250 HS'!C:C,0))</f>
        <v>0</v>
      </c>
      <c r="P161" s="13" t="str">
        <f ca="1">IFERROR(__xludf.DUMMYFUNCTION("SORTN(FILTER('Top 250 HS'!B:B,'Top 250 HS'!C:C=I161),1,0,randarray(COUNTA(FILTER('Top 250 HS'!B:B,'Top 250 HS'!C:C=I161)),1),TRUE)"),"St. Mary Prep (Orchard Lake)")</f>
        <v>St. Mary Prep (Orchard Lake)</v>
      </c>
      <c r="Q161" s="13" t="b">
        <f>ISNUMBER(MATCH("*"&amp;E161&amp;"*",'Top 1500 HS LatitudeLongitude'!G:G,0))</f>
        <v>0</v>
      </c>
      <c r="R161" s="13" t="str">
        <f ca="1">IFERROR(__xludf.DUMMYFUNCTION("IFS(L161=10,"""",Q161=false,"""",N161=5,"""",Q161=true,SORTN(FILTER('Top 1500 HS LatitudeLongitude'!B:B,'Top 1500 HS LatitudeLongitude'!C:C=I161,'Top 1500 HS LatitudeLongitude'!E:E=H161),1,0,randarray(COUNTA(FILTER('Top 1500 HS LatitudeLongitude'!B:B,'Top"&amp;" 1500 HS LatitudeLongitude'!C:C=I161,'Top 1500 HS LatitudeLongitude'!E:E=H161)),1),TRUE)
)"),"")</f>
        <v/>
      </c>
      <c r="S161" s="13" t="b">
        <f>ISNUMBER(MATCH("*"&amp;H:H&amp;"*",'Public Schools'!C:C,0))</f>
        <v>1</v>
      </c>
      <c r="T161" s="13" t="str">
        <f ca="1">IFERROR(__xludf.DUMMYFUNCTION("IFERROR(IF(AND(R161="""",S161=true), SORTN(FILTER('Public Schools'!A:A,'Public Schools'!B:B=J161,'Public Schools'!C:C=H161),1,0,randarray(COUNTA(FILTER('Public Schools'!A:A,'Public Schools'!B:B=J161,'Public Schools'!C:C=H161)),1),TRUE),""""),"""")"),"Monroe High School")</f>
        <v>Monroe High School</v>
      </c>
      <c r="U161" s="23" t="str">
        <f t="array" aca="1" ref="U161" ca="1">IF(AND(R161="",T161=""),INDEX('Top 1500 HS LatitudeLongitude'!B$2:B$1501,MATCH(MIN(SQRT(('Top 1500 HS LatitudeLongitude'!H$2:H$1501-F161)^2+('Top 1500 HS LatitudeLongitude'!I$2:I$1501-G161)^2)),SQRT( ('Top 1500 HS LatitudeLongitude'!H$2:H$1501-F161)^2+('Top 1500 HS LatitudeLongitude'!I$2:I$1501-G161)^2),0),1),"")</f>
        <v/>
      </c>
    </row>
    <row r="162" spans="2:21" ht="15.6">
      <c r="B162" s="8">
        <v>0.18304883129999999</v>
      </c>
      <c r="C162" s="9" t="s">
        <v>300</v>
      </c>
      <c r="D162" s="9" t="s">
        <v>381</v>
      </c>
      <c r="E162" s="120" t="s">
        <v>5746</v>
      </c>
      <c r="F162" s="8">
        <v>27.057700000000001</v>
      </c>
      <c r="G162" s="8">
        <v>-82.197599999999994</v>
      </c>
      <c r="H162" s="3" t="str">
        <f t="shared" si="0"/>
        <v>Juneau</v>
      </c>
      <c r="I162" s="3" t="str">
        <f t="shared" si="1"/>
        <v>WI</v>
      </c>
      <c r="J162" s="3" t="str">
        <f t="array" ref="J162">INDEX('State Abbreviations'!$B$2:$B$52,MATCH(I162,'State Abbreviations'!$A$2:$A$52,0))</f>
        <v>Wisconsin</v>
      </c>
      <c r="K162" s="119" t="e">
        <f t="shared" ca="1" si="2"/>
        <v>#NAME?</v>
      </c>
      <c r="L162" s="13">
        <f t="shared" ca="1" si="11"/>
        <v>22</v>
      </c>
      <c r="M162" s="13" t="str">
        <f ca="1">IFERROR(__xludf.DUMMYFUNCTION("IF(AND(L162&gt;5,I162&lt;&gt;""AL"",I162&lt;&gt;""AK"",I162&lt;&gt;""AZ"",I162&lt;&gt;""AR"",I162&lt;&gt;""CA"",I162&lt;&gt;""CO"",I162&lt;&gt;""CT"",I162&lt;&gt;""DE"",I162&lt;&gt;""DC"",I162&lt;&gt;""FL"",I162&lt;&gt;""GA"",I162&lt;&gt;""HI"",I162&lt;&gt;""ID"",I162&lt;&gt;""IL"",I162&lt;&gt;""IN"",I162&lt;&gt;""IA"",I162&lt;&gt;""KS"",I162&lt;&gt;""KY"",I162&lt;&gt;"&amp;"""LA"",I162&lt;&gt;""ME"",I162&lt;&gt;""MD"",I162&lt;&gt;""MA"",I162&lt;&gt;""MI"",I162&lt;&gt;""MN"",I162&lt;&gt;""MS"",I162&lt;&gt;""MO"",I162&lt;&gt;""MT"",I162&lt;&gt;""NE"",I162&lt;&gt;""NV"",I162&lt;&gt;""NH"",I162&lt;&gt;""NJ"",I162&lt;&gt;""NM"",I162&lt;&gt;""NY"",I162&lt;&gt;""NC"",I162&lt;&gt;""ND"",I162&lt;&gt;""OH"",I162&lt;&gt;""OK"",I162&lt;&gt;""OR"",I"&amp;"162&lt;&gt;""PA"",I162&lt;&gt;""RI"",I162&lt;&gt;""SC"",I162&lt;&gt;""SD"",I162&lt;&gt;""TN"",I162&lt;&gt;""TX"",I162&lt;&gt;""UT"",I162&lt;&gt;""VT"",I162&lt;&gt;""VA"",I162&lt;&gt;""WA"",I162&lt;&gt;""WV"",I162&lt;&gt;""WI"",I162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2" s="13">
        <f t="shared" ca="1" si="10"/>
        <v>10</v>
      </c>
      <c r="O162" s="13" t="b">
        <f>ISNUMBER(MATCH(C162,'Top 250 HS'!C:C,0))</f>
        <v>0</v>
      </c>
      <c r="P162" s="13" t="str">
        <f ca="1">IFERROR(__xludf.DUMMYFUNCTION("SORTN(FILTER('Top 250 HS'!B:B,'Top 250 HS'!C:C=I162),1,0,randarray(COUNTA(FILTER('Top 250 HS'!B:B,'Top 250 HS'!C:C=I162)),1),TRUE)"),"St. Catherine's (Racine)")</f>
        <v>St. Catherine's (Racine)</v>
      </c>
      <c r="Q162" s="13" t="b">
        <f>ISNUMBER(MATCH("*"&amp;E162&amp;"*",'Top 1500 HS LatitudeLongitude'!G:G,0))</f>
        <v>0</v>
      </c>
      <c r="R162" s="13" t="str">
        <f ca="1">IFERROR(__xludf.DUMMYFUNCTION("IFS(L162=10,"""",Q162=false,"""",N162=5,"""",Q162=true,SORTN(FILTER('Top 1500 HS LatitudeLongitude'!B:B,'Top 1500 HS LatitudeLongitude'!C:C=I162,'Top 1500 HS LatitudeLongitude'!E:E=H162),1,0,randarray(COUNTA(FILTER('Top 1500 HS LatitudeLongitude'!B:B,'Top"&amp;" 1500 HS LatitudeLongitude'!C:C=I162,'Top 1500 HS LatitudeLongitude'!E:E=H162)),1),TRUE)
)"),"")</f>
        <v/>
      </c>
      <c r="S162" s="13" t="b">
        <f>ISNUMBER(MATCH("*"&amp;H:H&amp;"*",'Public Schools'!C:C,0))</f>
        <v>1</v>
      </c>
      <c r="T162" s="13" t="str">
        <f ca="1">IFERROR(__xludf.DUMMYFUNCTION("IFERROR(IF(AND(R162="""",S162=true), SORTN(FILTER('Public Schools'!A:A,'Public Schools'!B:B=J162,'Public Schools'!C:C=H162),1,0,randarray(COUNTA(FILTER('Public Schools'!A:A,'Public Schools'!B:B=J162,'Public Schools'!C:C=H162)),1),TRUE),""""),"""")"),"Dodgeland High School")</f>
        <v>Dodgeland High School</v>
      </c>
      <c r="U162" s="23" t="str">
        <f t="array" aca="1" ref="U162" ca="1">IF(AND(R162="",T162=""),INDEX('Top 1500 HS LatitudeLongitude'!B$2:B$1501,MATCH(MIN(SQRT(('Top 1500 HS LatitudeLongitude'!H$2:H$1501-F162)^2+('Top 1500 HS LatitudeLongitude'!I$2:I$1501-G162)^2)),SQRT( ('Top 1500 HS LatitudeLongitude'!H$2:H$1501-F162)^2+('Top 1500 HS LatitudeLongitude'!I$2:I$1501-G162)^2),0),1),"")</f>
        <v/>
      </c>
    </row>
    <row r="163" spans="2:21" ht="15.6">
      <c r="B163" s="8">
        <v>0.68731811799999998</v>
      </c>
      <c r="C163" s="9" t="s">
        <v>224</v>
      </c>
      <c r="D163" s="9" t="s">
        <v>382</v>
      </c>
      <c r="E163" s="37" t="s">
        <v>5785</v>
      </c>
      <c r="F163" s="8">
        <v>39.985900000000001</v>
      </c>
      <c r="G163" s="8">
        <v>-82.985200000000006</v>
      </c>
      <c r="H163" s="3" t="str">
        <f t="shared" si="0"/>
        <v>Prescott</v>
      </c>
      <c r="I163" s="3" t="str">
        <f t="shared" si="1"/>
        <v>AZ</v>
      </c>
      <c r="J163" s="3" t="str">
        <f t="array" ref="J163">INDEX('State Abbreviations'!$B$2:$B$52,MATCH(I163,'State Abbreviations'!$A$2:$A$52,0))</f>
        <v>Arizona</v>
      </c>
      <c r="K163" s="119" t="e">
        <f t="shared" ca="1" si="2"/>
        <v>#NAME?</v>
      </c>
      <c r="L163" s="13">
        <f t="shared" ca="1" si="11"/>
        <v>27</v>
      </c>
      <c r="M163" s="13" t="str">
        <f ca="1">IFERROR(__xludf.DUMMYFUNCTION("IF(AND(L163&gt;5,I163&lt;&gt;""AL"",I163&lt;&gt;""AK"",I163&lt;&gt;""AZ"",I163&lt;&gt;""AR"",I163&lt;&gt;""CA"",I163&lt;&gt;""CO"",I163&lt;&gt;""CT"",I163&lt;&gt;""DE"",I163&lt;&gt;""DC"",I163&lt;&gt;""FL"",I163&lt;&gt;""GA"",I163&lt;&gt;""HI"",I163&lt;&gt;""ID"",I163&lt;&gt;""IL"",I163&lt;&gt;""IN"",I163&lt;&gt;""IA"",I163&lt;&gt;""KS"",I163&lt;&gt;""KY"",I163&lt;&gt;"&amp;"""LA"",I163&lt;&gt;""ME"",I163&lt;&gt;""MD"",I163&lt;&gt;""MA"",I163&lt;&gt;""MI"",I163&lt;&gt;""MN"",I163&lt;&gt;""MS"",I163&lt;&gt;""MO"",I163&lt;&gt;""MT"",I163&lt;&gt;""NE"",I163&lt;&gt;""NV"",I163&lt;&gt;""NH"",I163&lt;&gt;""NJ"",I163&lt;&gt;""NM"",I163&lt;&gt;""NY"",I163&lt;&gt;""NC"",I163&lt;&gt;""ND"",I163&lt;&gt;""OH"",I163&lt;&gt;""OK"",I163&lt;&gt;""OR"",I"&amp;"163&lt;&gt;""PA"",I163&lt;&gt;""RI"",I163&lt;&gt;""SC"",I163&lt;&gt;""SD"",I163&lt;&gt;""TN"",I163&lt;&gt;""TX"",I163&lt;&gt;""UT"",I163&lt;&gt;""VT"",I163&lt;&gt;""VA"",I163&lt;&gt;""WA"",I163&lt;&gt;""WV"",I163&lt;&gt;""WI"",I163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3" s="13">
        <f t="shared" ca="1" si="10"/>
        <v>6</v>
      </c>
      <c r="O163" s="13" t="b">
        <f>ISNUMBER(MATCH(C163,'Top 250 HS'!C:C,0))</f>
        <v>0</v>
      </c>
      <c r="P163" s="13" t="str">
        <f ca="1">IFERROR(__xludf.DUMMYFUNCTION("SORTN(FILTER('Top 250 HS'!B:B,'Top 250 HS'!C:C=I163),1,0,randarray(COUNTA(FILTER('Top 250 HS'!B:B,'Top 250 HS'!C:C=I163)),1),TRUE)"),"Hillcrest Prep (Phoenix)")</f>
        <v>Hillcrest Prep (Phoenix)</v>
      </c>
      <c r="Q163" s="13" t="b">
        <f>ISNUMBER(MATCH("*"&amp;E163&amp;"*",'Top 1500 HS LatitudeLongitude'!G:G,0))</f>
        <v>0</v>
      </c>
      <c r="R163" s="13" t="str">
        <f ca="1">IFERROR(__xludf.DUMMYFUNCTION("IFS(L163=10,"""",Q163=false,"""",N163=5,"""",Q163=true,SORTN(FILTER('Top 1500 HS LatitudeLongitude'!B:B,'Top 1500 HS LatitudeLongitude'!C:C=I163,'Top 1500 HS LatitudeLongitude'!E:E=H163),1,0,randarray(COUNTA(FILTER('Top 1500 HS LatitudeLongitude'!B:B,'Top"&amp;" 1500 HS LatitudeLongitude'!C:C=I163,'Top 1500 HS LatitudeLongitude'!E:E=H163)),1),TRUE)
)"),"")</f>
        <v/>
      </c>
      <c r="S163" s="13" t="b">
        <f>ISNUMBER(MATCH("*"&amp;H:H&amp;"*",'Public Schools'!C:C,0))</f>
        <v>1</v>
      </c>
      <c r="T163" s="13" t="str">
        <f ca="1">IFERROR(__xludf.DUMMYFUNCTION("IFERROR(IF(AND(R163="""",S163=true), SORTN(FILTER('Public Schools'!A:A,'Public Schools'!B:B=J163,'Public Schools'!C:C=H163),1,0,randarray(COUNTA(FILTER('Public Schools'!A:A,'Public Schools'!B:B=J163,'Public Schools'!C:C=H163)),1),TRUE),""""),"""")"),"Aspire  High School")</f>
        <v>Aspire  High School</v>
      </c>
      <c r="U163" s="23" t="str">
        <f t="array" aca="1" ref="U163" ca="1">IF(AND(R163="",T163=""),INDEX('Top 1500 HS LatitudeLongitude'!B$2:B$1501,MATCH(MIN(SQRT(('Top 1500 HS LatitudeLongitude'!H$2:H$1501-F163)^2+('Top 1500 HS LatitudeLongitude'!I$2:I$1501-G163)^2)),SQRT( ('Top 1500 HS LatitudeLongitude'!H$2:H$1501-F163)^2+('Top 1500 HS LatitudeLongitude'!I$2:I$1501-G163)^2),0),1),"")</f>
        <v/>
      </c>
    </row>
    <row r="164" spans="2:21" ht="15.6">
      <c r="B164" s="8">
        <v>0.48968517169999998</v>
      </c>
      <c r="C164" s="9" t="s">
        <v>23</v>
      </c>
      <c r="D164" s="9" t="s">
        <v>383</v>
      </c>
      <c r="E164" s="120" t="s">
        <v>202</v>
      </c>
      <c r="F164" s="8">
        <v>42.536700000000003</v>
      </c>
      <c r="G164" s="8">
        <v>-83.150400000000005</v>
      </c>
      <c r="H164" s="3" t="str">
        <f t="shared" si="0"/>
        <v>Saginaw</v>
      </c>
      <c r="I164" s="3" t="str">
        <f t="shared" si="1"/>
        <v>MI</v>
      </c>
      <c r="J164" s="3" t="str">
        <f t="array" ref="J164">INDEX('State Abbreviations'!$B$2:$B$52,MATCH(I164,'State Abbreviations'!$A$2:$A$52,0))</f>
        <v>Michigan</v>
      </c>
      <c r="K164" s="119" t="e">
        <f t="shared" ca="1" si="2"/>
        <v>#NAME?</v>
      </c>
      <c r="L164" s="13">
        <f t="shared" ca="1" si="11"/>
        <v>9</v>
      </c>
      <c r="M164" s="13" t="str">
        <f ca="1">IFERROR(__xludf.DUMMYFUNCTION("IF(AND(L164&gt;5,I164&lt;&gt;""AL"",I164&lt;&gt;""AK"",I164&lt;&gt;""AZ"",I164&lt;&gt;""AR"",I164&lt;&gt;""CA"",I164&lt;&gt;""CO"",I164&lt;&gt;""CT"",I164&lt;&gt;""DE"",I164&lt;&gt;""DC"",I164&lt;&gt;""FL"",I164&lt;&gt;""GA"",I164&lt;&gt;""HI"",I164&lt;&gt;""ID"",I164&lt;&gt;""IL"",I164&lt;&gt;""IN"",I164&lt;&gt;""IA"",I164&lt;&gt;""KS"",I164&lt;&gt;""KY"",I164&lt;&gt;"&amp;"""LA"",I164&lt;&gt;""ME"",I164&lt;&gt;""MD"",I164&lt;&gt;""MA"",I164&lt;&gt;""MI"",I164&lt;&gt;""MN"",I164&lt;&gt;""MS"",I164&lt;&gt;""MO"",I164&lt;&gt;""MT"",I164&lt;&gt;""NE"",I164&lt;&gt;""NV"",I164&lt;&gt;""NH"",I164&lt;&gt;""NJ"",I164&lt;&gt;""NM"",I164&lt;&gt;""NY"",I164&lt;&gt;""NC"",I164&lt;&gt;""ND"",I164&lt;&gt;""OH"",I164&lt;&gt;""OK"",I164&lt;&gt;""OR"",I"&amp;"164&lt;&gt;""PA"",I164&lt;&gt;""RI"",I164&lt;&gt;""SC"",I164&lt;&gt;""SD"",I164&lt;&gt;""TN"",I164&lt;&gt;""TX"",I164&lt;&gt;""UT"",I164&lt;&gt;""VT"",I164&lt;&gt;""VA"",I164&lt;&gt;""WA"",I164&lt;&gt;""WV"",I164&lt;&gt;""WI"",I164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4" s="13">
        <f t="shared" ca="1" si="10"/>
        <v>12</v>
      </c>
      <c r="O164" s="13" t="b">
        <f>ISNUMBER(MATCH(C164,'Top 250 HS'!C:C,0))</f>
        <v>0</v>
      </c>
      <c r="P164" s="13" t="str">
        <f ca="1">IFERROR(__xludf.DUMMYFUNCTION("SORTN(FILTER('Top 250 HS'!B:B,'Top 250 HS'!C:C=I164),1,0,randarray(COUNTA(FILTER('Top 250 HS'!B:B,'Top 250 HS'!C:C=I164)),1),TRUE)"),"Hudsonville")</f>
        <v>Hudsonville</v>
      </c>
      <c r="Q164" s="13" t="b">
        <f>ISNUMBER(MATCH("*"&amp;E164&amp;"*",'Top 1500 HS LatitudeLongitude'!G:G,0))</f>
        <v>1</v>
      </c>
      <c r="R164" s="13" t="str">
        <f ca="1">IFERROR(__xludf.DUMMYFUNCTION("IFS(L164=10,"""",Q164=false,"""",N164=5,"""",Q164=true,SORTN(FILTER('Top 1500 HS LatitudeLongitude'!B:B,'Top 1500 HS LatitudeLongitude'!C:C=I164,'Top 1500 HS LatitudeLongitude'!E:E=H164),1,0,randarray(COUNTA(FILTER('Top 1500 HS LatitudeLongitude'!B:B,'Top"&amp;" 1500 HS LatitudeLongitude'!C:C=I164,'Top 1500 HS LatitudeLongitude'!E:E=H164)),1),TRUE)
)"),"Bridgeport")</f>
        <v>Bridgeport</v>
      </c>
      <c r="S164" s="13" t="b">
        <f>ISNUMBER(MATCH("*"&amp;H:H&amp;"*",'Public Schools'!C:C,0))</f>
        <v>1</v>
      </c>
      <c r="T164" s="13" t="str">
        <f ca="1">IFERROR(__xludf.DUMMYFUNCTION("IFERROR(IF(AND(R164="""",S164=true), SORTN(FILTER('Public Schools'!A:A,'Public Schools'!B:B=J164,'Public Schools'!C:C=H164),1,0,randarray(COUNTA(FILTER('Public Schools'!A:A,'Public Schools'!B:B=J164,'Public Schools'!C:C=H164)),1),TRUE),""""),"""")"),"")</f>
        <v/>
      </c>
      <c r="U164" s="23" t="str">
        <f t="array" aca="1" ref="U164" ca="1">IF(AND(R164="",T164=""),INDEX('Top 1500 HS LatitudeLongitude'!B$2:B$1501,MATCH(MIN(SQRT(('Top 1500 HS LatitudeLongitude'!H$2:H$1501-F164)^2+('Top 1500 HS LatitudeLongitude'!I$2:I$1501-G164)^2)),SQRT( ('Top 1500 HS LatitudeLongitude'!H$2:H$1501-F164)^2+('Top 1500 HS LatitudeLongitude'!I$2:I$1501-G164)^2),0),1),"")</f>
        <v/>
      </c>
    </row>
    <row r="165" spans="2:21" ht="15.6">
      <c r="B165" s="8">
        <v>0.1671643598</v>
      </c>
      <c r="C165" s="9" t="s">
        <v>384</v>
      </c>
      <c r="D165" s="9" t="s">
        <v>385</v>
      </c>
      <c r="E165" s="37" t="s">
        <v>5866</v>
      </c>
      <c r="F165" s="8">
        <v>27.9937</v>
      </c>
      <c r="G165" s="8">
        <v>-82.445400000000006</v>
      </c>
      <c r="H165" s="3" t="str">
        <f t="shared" si="0"/>
        <v>Fanrock</v>
      </c>
      <c r="I165" s="3" t="str">
        <f t="shared" si="1"/>
        <v>WV</v>
      </c>
      <c r="J165" s="3" t="str">
        <f t="array" ref="J165">INDEX('State Abbreviations'!$B$2:$B$52,MATCH(I165,'State Abbreviations'!$A$2:$A$52,0))</f>
        <v>West Virginia</v>
      </c>
      <c r="K165" s="119" t="e">
        <f t="shared" ca="1" si="2"/>
        <v>#NAME?</v>
      </c>
      <c r="L165" s="13">
        <f t="shared" ca="1" si="11"/>
        <v>10</v>
      </c>
      <c r="M165" s="13" t="str">
        <f ca="1">IFERROR(__xludf.DUMMYFUNCTION("IF(AND(L165&gt;5,I165&lt;&gt;""AL"",I165&lt;&gt;""AK"",I165&lt;&gt;""AZ"",I165&lt;&gt;""AR"",I165&lt;&gt;""CA"",I165&lt;&gt;""CO"",I165&lt;&gt;""CT"",I165&lt;&gt;""DE"",I165&lt;&gt;""DC"",I165&lt;&gt;""FL"",I165&lt;&gt;""GA"",I165&lt;&gt;""HI"",I165&lt;&gt;""ID"",I165&lt;&gt;""IL"",I165&lt;&gt;""IN"",I165&lt;&gt;""IA"",I165&lt;&gt;""KS"",I165&lt;&gt;""KY"",I165&lt;&gt;"&amp;"""LA"",I165&lt;&gt;""ME"",I165&lt;&gt;""MD"",I165&lt;&gt;""MA"",I165&lt;&gt;""MI"",I165&lt;&gt;""MN"",I165&lt;&gt;""MS"",I165&lt;&gt;""MO"",I165&lt;&gt;""MT"",I165&lt;&gt;""NE"",I165&lt;&gt;""NV"",I165&lt;&gt;""NH"",I165&lt;&gt;""NJ"",I165&lt;&gt;""NM"",I165&lt;&gt;""NY"",I165&lt;&gt;""NC"",I165&lt;&gt;""ND"",I165&lt;&gt;""OH"",I165&lt;&gt;""OK"",I165&lt;&gt;""OR"",I"&amp;"165&lt;&gt;""PA"",I165&lt;&gt;""RI"",I165&lt;&gt;""SC"",I165&lt;&gt;""SD"",I165&lt;&gt;""TN"",I165&lt;&gt;""TX"",I165&lt;&gt;""UT"",I165&lt;&gt;""VT"",I165&lt;&gt;""VA"",I165&lt;&gt;""WA"",I165&lt;&gt;""WV"",I165&lt;&gt;""WI"",I165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5" s="13">
        <f t="shared" ca="1" si="10"/>
        <v>7</v>
      </c>
      <c r="O165" s="13" t="b">
        <f>ISNUMBER(MATCH(C165,'Top 250 HS'!C:C,0))</f>
        <v>0</v>
      </c>
      <c r="P165" s="13" t="str">
        <f ca="1">IFERROR(__xludf.DUMMYFUNCTION("SORTN(FILTER('Top 250 HS'!B:B,'Top 250 HS'!C:C=I165),1,0,randarray(COUNTA(FILTER('Top 250 HS'!B:B,'Top 250 HS'!C:C=I165)),1),TRUE)"),"Huntington St. Joseph Prep (Huntington)")</f>
        <v>Huntington St. Joseph Prep (Huntington)</v>
      </c>
      <c r="Q165" s="13" t="b">
        <f>ISNUMBER(MATCH("*"&amp;E165&amp;"*",'Top 1500 HS LatitudeLongitude'!G:G,0))</f>
        <v>0</v>
      </c>
      <c r="R165" s="13" t="str">
        <f ca="1">IFERROR(__xludf.DUMMYFUNCTION("IFS(L165=10,"""",Q165=false,"""",N165=5,"""",Q165=true,SORTN(FILTER('Top 1500 HS LatitudeLongitude'!B:B,'Top 1500 HS LatitudeLongitude'!C:C=I165,'Top 1500 HS LatitudeLongitude'!E:E=H165),1,0,randarray(COUNTA(FILTER('Top 1500 HS LatitudeLongitude'!B:B,'Top"&amp;" 1500 HS LatitudeLongitude'!C:C=I165,'Top 1500 HS LatitudeLongitude'!E:E=H165)),1),TRUE)
)"),"")</f>
        <v/>
      </c>
      <c r="S165" s="13" t="b">
        <f>ISNUMBER(MATCH("*"&amp;H:H&amp;"*",'Public Schools'!C:C,0))</f>
        <v>0</v>
      </c>
      <c r="T165" s="13" t="str">
        <f ca="1">IFERROR(__xludf.DUMMYFUNCTION("IFERROR(IF(AND(R165="""",S165=true), SORTN(FILTER('Public Schools'!A:A,'Public Schools'!B:B=J165,'Public Schools'!C:C=H165),1,0,randarray(COUNTA(FILTER('Public Schools'!A:A,'Public Schools'!B:B=J165,'Public Schools'!C:C=H165)),1),TRUE),""""),"""")"),"")</f>
        <v/>
      </c>
      <c r="U165" s="23" t="str">
        <f t="array" aca="1" ref="U165" ca="1">IF(AND(R165="",T165=""),INDEX('Top 1500 HS LatitudeLongitude'!B$2:B$1501,MATCH(MIN(SQRT(('Top 1500 HS LatitudeLongitude'!H$2:H$1501-F165)^2+('Top 1500 HS LatitudeLongitude'!I$2:I$1501-G165)^2)),SQRT( ('Top 1500 HS LatitudeLongitude'!H$2:H$1501-F165)^2+('Top 1500 HS LatitudeLongitude'!I$2:I$1501-G165)^2),0),1),"")</f>
        <v>Tampa Catholic (Tampa)</v>
      </c>
    </row>
    <row r="166" spans="2:21" ht="15.6">
      <c r="B166" s="8">
        <v>0.1605461628</v>
      </c>
      <c r="C166" s="9" t="s">
        <v>245</v>
      </c>
      <c r="D166" s="9" t="s">
        <v>386</v>
      </c>
      <c r="E166" s="120" t="s">
        <v>5907</v>
      </c>
      <c r="F166" s="8">
        <v>39.734900000000003</v>
      </c>
      <c r="G166" s="8">
        <v>-75.528599999999997</v>
      </c>
      <c r="H166" s="3" t="str">
        <f t="shared" si="0"/>
        <v>Tacoma</v>
      </c>
      <c r="I166" s="3" t="str">
        <f t="shared" si="1"/>
        <v>WA</v>
      </c>
      <c r="J166" s="3" t="str">
        <f t="array" ref="J166">INDEX('State Abbreviations'!$B$2:$B$52,MATCH(I166,'State Abbreviations'!$A$2:$A$52,0))</f>
        <v>Washington</v>
      </c>
      <c r="K166" s="119" t="e">
        <f t="shared" ca="1" si="2"/>
        <v>#NAME?</v>
      </c>
      <c r="L166" s="13">
        <f t="shared" ca="1" si="11"/>
        <v>8</v>
      </c>
      <c r="M166" s="13" t="str">
        <f ca="1">IFERROR(__xludf.DUMMYFUNCTION("IF(AND(L166&gt;5,I166&lt;&gt;""AL"",I166&lt;&gt;""AK"",I166&lt;&gt;""AZ"",I166&lt;&gt;""AR"",I166&lt;&gt;""CA"",I166&lt;&gt;""CO"",I166&lt;&gt;""CT"",I166&lt;&gt;""DE"",I166&lt;&gt;""DC"",I166&lt;&gt;""FL"",I166&lt;&gt;""GA"",I166&lt;&gt;""HI"",I166&lt;&gt;""ID"",I166&lt;&gt;""IL"",I166&lt;&gt;""IN"",I166&lt;&gt;""IA"",I166&lt;&gt;""KS"",I166&lt;&gt;""KY"",I166&lt;&gt;"&amp;"""LA"",I166&lt;&gt;""ME"",I166&lt;&gt;""MD"",I166&lt;&gt;""MA"",I166&lt;&gt;""MI"",I166&lt;&gt;""MN"",I166&lt;&gt;""MS"",I166&lt;&gt;""MO"",I166&lt;&gt;""MT"",I166&lt;&gt;""NE"",I166&lt;&gt;""NV"",I166&lt;&gt;""NH"",I166&lt;&gt;""NJ"",I166&lt;&gt;""NM"",I166&lt;&gt;""NY"",I166&lt;&gt;""NC"",I166&lt;&gt;""ND"",I166&lt;&gt;""OH"",I166&lt;&gt;""OK"",I166&lt;&gt;""OR"",I"&amp;"166&lt;&gt;""PA"",I166&lt;&gt;""RI"",I166&lt;&gt;""SC"",I166&lt;&gt;""SD"",I166&lt;&gt;""TN"",I166&lt;&gt;""TX"",I166&lt;&gt;""UT"",I166&lt;&gt;""VT"",I166&lt;&gt;""VA"",I166&lt;&gt;""WA"",I166&lt;&gt;""WV"",I166&lt;&gt;""WI"",I166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6" s="13">
        <f t="shared" ca="1" si="10"/>
        <v>12</v>
      </c>
      <c r="O166" s="13" t="b">
        <f>ISNUMBER(MATCH(C166,'Top 250 HS'!C:C,0))</f>
        <v>0</v>
      </c>
      <c r="P166" s="13" t="str">
        <f ca="1">IFERROR(__xludf.DUMMYFUNCTION("SORTN(FILTER('Top 250 HS'!B:B,'Top 250 HS'!C:C=I166),1,0,randarray(COUNTA(FILTER('Top 250 HS'!B:B,'Top 250 HS'!C:C=I166)),1),TRUE)"),"Garfield (Seattle)")</f>
        <v>Garfield (Seattle)</v>
      </c>
      <c r="Q166" s="13" t="b">
        <f>ISNUMBER(MATCH("*"&amp;E166&amp;"*",'Top 1500 HS LatitudeLongitude'!G:G,0))</f>
        <v>1</v>
      </c>
      <c r="R166" s="13" t="str">
        <f ca="1">IFERROR(__xludf.DUMMYFUNCTION("IFS(L166=10,"""",Q166=false,"""",N166=5,"""",Q166=true,SORTN(FILTER('Top 1500 HS LatitudeLongitude'!B:B,'Top 1500 HS LatitudeLongitude'!C:C=I166,'Top 1500 HS LatitudeLongitude'!E:E=H166),1,0,randarray(COUNTA(FILTER('Top 1500 HS LatitudeLongitude'!B:B,'Top"&amp;" 1500 HS LatitudeLongitude'!C:C=I166,'Top 1500 HS LatitudeLongitude'!E:E=H166)),1),TRUE)
)"),"Life Christian Academy (Tacoma)")</f>
        <v>Life Christian Academy (Tacoma)</v>
      </c>
      <c r="S166" s="13" t="b">
        <f>ISNUMBER(MATCH("*"&amp;H:H&amp;"*",'Public Schools'!C:C,0))</f>
        <v>1</v>
      </c>
      <c r="T166" s="13" t="str">
        <f ca="1">IFERROR(__xludf.DUMMYFUNCTION("IFERROR(IF(AND(R166="""",S166=true), SORTN(FILTER('Public Schools'!A:A,'Public Schools'!B:B=J166,'Public Schools'!C:C=H166),1,0,randarray(COUNTA(FILTER('Public Schools'!A:A,'Public Schools'!B:B=J166,'Public Schools'!C:C=H166)),1),TRUE),""""),"""")"),"")</f>
        <v/>
      </c>
      <c r="U166" s="23" t="str">
        <f t="array" aca="1" ref="U166" ca="1">IF(AND(R166="",T166=""),INDEX('Top 1500 HS LatitudeLongitude'!B$2:B$1501,MATCH(MIN(SQRT(('Top 1500 HS LatitudeLongitude'!H$2:H$1501-F166)^2+('Top 1500 HS LatitudeLongitude'!I$2:I$1501-G166)^2)),SQRT( ('Top 1500 HS LatitudeLongitude'!H$2:H$1501-F166)^2+('Top 1500 HS LatitudeLongitude'!I$2:I$1501-G166)^2),0),1),"")</f>
        <v/>
      </c>
    </row>
    <row r="167" spans="2:21" ht="15.6">
      <c r="B167" s="8">
        <v>0.72218908879999999</v>
      </c>
      <c r="C167" s="9" t="s">
        <v>219</v>
      </c>
      <c r="D167" s="9" t="s">
        <v>387</v>
      </c>
      <c r="E167" s="37" t="s">
        <v>5958</v>
      </c>
      <c r="F167" s="8">
        <v>36.128399999999999</v>
      </c>
      <c r="G167" s="8">
        <v>-95.903700000000001</v>
      </c>
      <c r="H167" s="3" t="str">
        <f t="shared" si="0"/>
        <v>Saint Paul</v>
      </c>
      <c r="I167" s="3" t="str">
        <f t="shared" si="1"/>
        <v>MN</v>
      </c>
      <c r="J167" s="3" t="str">
        <f t="array" ref="J167">INDEX('State Abbreviations'!$B$2:$B$52,MATCH(I167,'State Abbreviations'!$A$2:$A$52,0))</f>
        <v>Minnesota</v>
      </c>
      <c r="K167" s="119" t="e">
        <f t="shared" ca="1" si="2"/>
        <v>#NAME?</v>
      </c>
      <c r="L167" s="13">
        <f t="shared" ca="1" si="11"/>
        <v>29</v>
      </c>
      <c r="M167" s="13" t="str">
        <f ca="1">IFERROR(__xludf.DUMMYFUNCTION("IF(AND(L167&gt;5,I167&lt;&gt;""AL"",I167&lt;&gt;""AK"",I167&lt;&gt;""AZ"",I167&lt;&gt;""AR"",I167&lt;&gt;""CA"",I167&lt;&gt;""CO"",I167&lt;&gt;""CT"",I167&lt;&gt;""DE"",I167&lt;&gt;""DC"",I167&lt;&gt;""FL"",I167&lt;&gt;""GA"",I167&lt;&gt;""HI"",I167&lt;&gt;""ID"",I167&lt;&gt;""IL"",I167&lt;&gt;""IN"",I167&lt;&gt;""IA"",I167&lt;&gt;""KS"",I167&lt;&gt;""KY"",I167&lt;&gt;"&amp;"""LA"",I167&lt;&gt;""ME"",I167&lt;&gt;""MD"",I167&lt;&gt;""MA"",I167&lt;&gt;""MI"",I167&lt;&gt;""MN"",I167&lt;&gt;""MS"",I167&lt;&gt;""MO"",I167&lt;&gt;""MT"",I167&lt;&gt;""NE"",I167&lt;&gt;""NV"",I167&lt;&gt;""NH"",I167&lt;&gt;""NJ"",I167&lt;&gt;""NM"",I167&lt;&gt;""NY"",I167&lt;&gt;""NC"",I167&lt;&gt;""ND"",I167&lt;&gt;""OH"",I167&lt;&gt;""OK"",I167&lt;&gt;""OR"",I"&amp;"167&lt;&gt;""PA"",I167&lt;&gt;""RI"",I167&lt;&gt;""SC"",I167&lt;&gt;""SD"",I167&lt;&gt;""TN"",I167&lt;&gt;""TX"",I167&lt;&gt;""UT"",I167&lt;&gt;""VT"",I167&lt;&gt;""VA"",I167&lt;&gt;""WA"",I167&lt;&gt;""WV"",I167&lt;&gt;""WI"",I167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7" s="13">
        <f t="shared" ca="1" si="10"/>
        <v>6</v>
      </c>
      <c r="O167" s="13" t="b">
        <f>ISNUMBER(MATCH(C167,'Top 250 HS'!C:C,0))</f>
        <v>0</v>
      </c>
      <c r="P167" s="13" t="str">
        <f ca="1">IFERROR(__xludf.DUMMYFUNCTION("SORTN(FILTER('Top 250 HS'!B:B,'Top 250 HS'!C:C=I167),1,0,randarray(COUNTA(FILTER('Top 250 HS'!B:B,'Top 250 HS'!C:C=I167)),1),TRUE)"),"Hopkins (Minnetonka)")</f>
        <v>Hopkins (Minnetonka)</v>
      </c>
      <c r="Q167" s="13" t="b">
        <f>ISNUMBER(MATCH("*"&amp;E167&amp;"*",'Top 1500 HS LatitudeLongitude'!G:G,0))</f>
        <v>0</v>
      </c>
      <c r="R167" s="13" t="str">
        <f ca="1">IFERROR(__xludf.DUMMYFUNCTION("IFS(L167=10,"""",Q167=false,"""",N167=5,"""",Q167=true,SORTN(FILTER('Top 1500 HS LatitudeLongitude'!B:B,'Top 1500 HS LatitudeLongitude'!C:C=I167,'Top 1500 HS LatitudeLongitude'!E:E=H167),1,0,randarray(COUNTA(FILTER('Top 1500 HS LatitudeLongitude'!B:B,'Top"&amp;" 1500 HS LatitudeLongitude'!C:C=I167,'Top 1500 HS LatitudeLongitude'!E:E=H167)),1),TRUE)
)"),"")</f>
        <v/>
      </c>
      <c r="S167" s="13" t="b">
        <f>ISNUMBER(MATCH("*"&amp;H:H&amp;"*",'Public Schools'!C:C,0))</f>
        <v>1</v>
      </c>
      <c r="T167" s="13" t="str">
        <f ca="1">IFERROR(__xludf.DUMMYFUNCTION("IFERROR(IF(AND(R167="""",S167=true), SORTN(FILTER('Public Schools'!A:A,'Public Schools'!B:B=J167,'Public Schools'!C:C=H167),1,0,randarray(COUNTA(FILTER('Public Schools'!A:A,'Public Schools'!B:B=J167,'Public Schools'!C:C=H167)),1),TRUE),""""),"""")"),"Johnson Senior High School")</f>
        <v>Johnson Senior High School</v>
      </c>
      <c r="U167" s="23" t="str">
        <f t="array" aca="1" ref="U167" ca="1">IF(AND(R167="",T167=""),INDEX('Top 1500 HS LatitudeLongitude'!B$2:B$1501,MATCH(MIN(SQRT(('Top 1500 HS LatitudeLongitude'!H$2:H$1501-F167)^2+('Top 1500 HS LatitudeLongitude'!I$2:I$1501-G167)^2)),SQRT( ('Top 1500 HS LatitudeLongitude'!H$2:H$1501-F167)^2+('Top 1500 HS LatitudeLongitude'!I$2:I$1501-G167)^2),0),1),"")</f>
        <v/>
      </c>
    </row>
    <row r="168" spans="2:21" ht="15.6">
      <c r="B168" s="8">
        <v>3.1571921750000002E-2</v>
      </c>
      <c r="C168" s="9" t="s">
        <v>320</v>
      </c>
      <c r="D168" s="9" t="s">
        <v>388</v>
      </c>
      <c r="E168" s="120" t="s">
        <v>6001</v>
      </c>
      <c r="F168" s="8">
        <v>33.572200000000002</v>
      </c>
      <c r="G168" s="8">
        <v>-112.0891</v>
      </c>
      <c r="H168" s="3" t="str">
        <f t="shared" si="0"/>
        <v>Colorado Springs</v>
      </c>
      <c r="I168" s="3" t="str">
        <f t="shared" si="1"/>
        <v>CO</v>
      </c>
      <c r="J168" s="3" t="str">
        <f t="array" ref="J168">INDEX('State Abbreviations'!$B$2:$B$52,MATCH(I168,'State Abbreviations'!$A$2:$A$52,0))</f>
        <v>Colorado</v>
      </c>
      <c r="K168" s="119" t="e">
        <f t="shared" ca="1" si="2"/>
        <v>#NAME?</v>
      </c>
      <c r="L168" s="13">
        <f t="shared" ca="1" si="11"/>
        <v>13</v>
      </c>
      <c r="M168" s="13" t="str">
        <f ca="1">IFERROR(__xludf.DUMMYFUNCTION("IF(AND(L168&gt;5,I168&lt;&gt;""AL"",I168&lt;&gt;""AK"",I168&lt;&gt;""AZ"",I168&lt;&gt;""AR"",I168&lt;&gt;""CA"",I168&lt;&gt;""CO"",I168&lt;&gt;""CT"",I168&lt;&gt;""DE"",I168&lt;&gt;""DC"",I168&lt;&gt;""FL"",I168&lt;&gt;""GA"",I168&lt;&gt;""HI"",I168&lt;&gt;""ID"",I168&lt;&gt;""IL"",I168&lt;&gt;""IN"",I168&lt;&gt;""IA"",I168&lt;&gt;""KS"",I168&lt;&gt;""KY"",I168&lt;&gt;"&amp;"""LA"",I168&lt;&gt;""ME"",I168&lt;&gt;""MD"",I168&lt;&gt;""MA"",I168&lt;&gt;""MI"",I168&lt;&gt;""MN"",I168&lt;&gt;""MS"",I168&lt;&gt;""MO"",I168&lt;&gt;""MT"",I168&lt;&gt;""NE"",I168&lt;&gt;""NV"",I168&lt;&gt;""NH"",I168&lt;&gt;""NJ"",I168&lt;&gt;""NM"",I168&lt;&gt;""NY"",I168&lt;&gt;""NC"",I168&lt;&gt;""ND"",I168&lt;&gt;""OH"",I168&lt;&gt;""OK"",I168&lt;&gt;""OR"",I"&amp;"168&lt;&gt;""PA"",I168&lt;&gt;""RI"",I168&lt;&gt;""SC"",I168&lt;&gt;""SD"",I168&lt;&gt;""TN"",I168&lt;&gt;""TX"",I168&lt;&gt;""UT"",I168&lt;&gt;""VT"",I168&lt;&gt;""VA"",I168&lt;&gt;""WA"",I168&lt;&gt;""WV"",I168&lt;&gt;""WI"",I168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8" s="13">
        <f t="shared" ca="1" si="10"/>
        <v>1</v>
      </c>
      <c r="O168" s="13" t="b">
        <f>ISNUMBER(MATCH(C168,'Top 250 HS'!C:C,0))</f>
        <v>0</v>
      </c>
      <c r="P168" s="13" t="str">
        <f ca="1">IFERROR(__xludf.DUMMYFUNCTION("SORTN(FILTER('Top 250 HS'!B:B,'Top 250 HS'!C:C=I168),1,0,randarray(COUNTA(FILTER('Top 250 HS'!B:B,'Top 250 HS'!C:C=I168)),1),TRUE)"),"#N/A")</f>
        <v>#N/A</v>
      </c>
      <c r="Q168" s="13" t="b">
        <f>ISNUMBER(MATCH("*"&amp;E168&amp;"*",'Top 1500 HS LatitudeLongitude'!G:G,0))</f>
        <v>1</v>
      </c>
      <c r="R168" s="13" t="str">
        <f ca="1">IFERROR(__xludf.DUMMYFUNCTION("IFS(L168=10,"""",Q168=false,"""",N168=5,"""",Q168=true,SORTN(FILTER('Top 1500 HS LatitudeLongitude'!B:B,'Top 1500 HS LatitudeLongitude'!C:C=I168,'Top 1500 HS LatitudeLongitude'!E:E=H168),1,0,randarray(COUNTA(FILTER('Top 1500 HS LatitudeLongitude'!B:B,'Top"&amp;" 1500 HS LatitudeLongitude'!C:C=I168,'Top 1500 HS LatitudeLongitude'!E:E=H168)),1),TRUE)
)"),"The Vanguard School (Colorado Springs)")</f>
        <v>The Vanguard School (Colorado Springs)</v>
      </c>
      <c r="S168" s="13" t="b">
        <f>ISNUMBER(MATCH("*"&amp;H:H&amp;"*",'Public Schools'!C:C,0))</f>
        <v>1</v>
      </c>
      <c r="T168" s="13" t="str">
        <f ca="1">IFERROR(__xludf.DUMMYFUNCTION("IFERROR(IF(AND(R168="""",S168=true), SORTN(FILTER('Public Schools'!A:A,'Public Schools'!B:B=J168,'Public Schools'!C:C=H168),1,0,randarray(COUNTA(FILTER('Public Schools'!A:A,'Public Schools'!B:B=J168,'Public Schools'!C:C=H168)),1),TRUE),""""),"""")"),"")</f>
        <v/>
      </c>
      <c r="U168" s="23" t="str">
        <f t="array" aca="1" ref="U168" ca="1">IF(AND(R168="",T168=""),INDEX('Top 1500 HS LatitudeLongitude'!B$2:B$1501,MATCH(MIN(SQRT(('Top 1500 HS LatitudeLongitude'!H$2:H$1501-F168)^2+('Top 1500 HS LatitudeLongitude'!I$2:I$1501-G168)^2)),SQRT( ('Top 1500 HS LatitudeLongitude'!H$2:H$1501-F168)^2+('Top 1500 HS LatitudeLongitude'!I$2:I$1501-G168)^2),0),1),"")</f>
        <v/>
      </c>
    </row>
    <row r="169" spans="2:21" ht="15.6">
      <c r="B169" s="8">
        <v>0.57836873030000002</v>
      </c>
      <c r="C169" s="9" t="s">
        <v>245</v>
      </c>
      <c r="D169" s="9" t="s">
        <v>389</v>
      </c>
      <c r="E169" s="37" t="s">
        <v>6037</v>
      </c>
      <c r="F169" s="8">
        <v>35.3553</v>
      </c>
      <c r="G169" s="8">
        <v>-81.093800000000002</v>
      </c>
      <c r="H169" s="3" t="str">
        <f t="shared" si="0"/>
        <v>Chewelah</v>
      </c>
      <c r="I169" s="3" t="str">
        <f t="shared" si="1"/>
        <v>WA</v>
      </c>
      <c r="J169" s="3" t="str">
        <f t="array" ref="J169">INDEX('State Abbreviations'!$B$2:$B$52,MATCH(I169,'State Abbreviations'!$A$2:$A$52,0))</f>
        <v>Washington</v>
      </c>
      <c r="K169" s="119" t="e">
        <f t="shared" ca="1" si="2"/>
        <v>#NAME?</v>
      </c>
      <c r="L169" s="13">
        <f t="shared" ca="1" si="11"/>
        <v>29</v>
      </c>
      <c r="M169" s="13" t="str">
        <f ca="1">IFERROR(__xludf.DUMMYFUNCTION("IF(AND(L169&gt;5,I169&lt;&gt;""AL"",I169&lt;&gt;""AK"",I169&lt;&gt;""AZ"",I169&lt;&gt;""AR"",I169&lt;&gt;""CA"",I169&lt;&gt;""CO"",I169&lt;&gt;""CT"",I169&lt;&gt;""DE"",I169&lt;&gt;""DC"",I169&lt;&gt;""FL"",I169&lt;&gt;""GA"",I169&lt;&gt;""HI"",I169&lt;&gt;""ID"",I169&lt;&gt;""IL"",I169&lt;&gt;""IN"",I169&lt;&gt;""IA"",I169&lt;&gt;""KS"",I169&lt;&gt;""KY"",I169&lt;&gt;"&amp;"""LA"",I169&lt;&gt;""ME"",I169&lt;&gt;""MD"",I169&lt;&gt;""MA"",I169&lt;&gt;""MI"",I169&lt;&gt;""MN"",I169&lt;&gt;""MS"",I169&lt;&gt;""MO"",I169&lt;&gt;""MT"",I169&lt;&gt;""NE"",I169&lt;&gt;""NV"",I169&lt;&gt;""NH"",I169&lt;&gt;""NJ"",I169&lt;&gt;""NM"",I169&lt;&gt;""NY"",I169&lt;&gt;""NC"",I169&lt;&gt;""ND"",I169&lt;&gt;""OH"",I169&lt;&gt;""OK"",I169&lt;&gt;""OR"",I"&amp;"169&lt;&gt;""PA"",I169&lt;&gt;""RI"",I169&lt;&gt;""SC"",I169&lt;&gt;""SD"",I169&lt;&gt;""TN"",I169&lt;&gt;""TX"",I169&lt;&gt;""UT"",I169&lt;&gt;""VT"",I169&lt;&gt;""VA"",I169&lt;&gt;""WA"",I169&lt;&gt;""WV"",I169&lt;&gt;""WI"",I169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St"&amp;"ateInternational'!$G$2:$G$121&lt;&gt;"""")},2,0)),IF(L169=10,ArrayFormula(VLOOKUP(QUERY(UNIQUE(RANDBETWEEN(ROW(INDIRECT(""A1:A""&amp;COUNTA('Leaving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69" s="13">
        <f t="shared" ca="1" si="10"/>
        <v>1</v>
      </c>
      <c r="O169" s="13" t="b">
        <f>ISNUMBER(MATCH(C169,'Top 250 HS'!C:C,0))</f>
        <v>0</v>
      </c>
      <c r="P169" s="13" t="str">
        <f ca="1">IFERROR(__xludf.DUMMYFUNCTION("SORTN(FILTER('Top 250 HS'!B:B,'Top 250 HS'!C:C=I169),1,0,randarray(COUNTA(FILTER('Top 250 HS'!B:B,'Top 250 HS'!C:C=I169)),1),TRUE)"),"Mount Si (Snoqualmie)")</f>
        <v>Mount Si (Snoqualmie)</v>
      </c>
      <c r="Q169" s="13" t="b">
        <f>ISNUMBER(MATCH("*"&amp;E169&amp;"*",'Top 1500 HS LatitudeLongitude'!G:G,0))</f>
        <v>0</v>
      </c>
      <c r="R169" s="13" t="str">
        <f ca="1">IFERROR(__xludf.DUMMYFUNCTION("IFS(L169=10,"""",Q169=false,"""",N169=5,"""",Q169=true,SORTN(FILTER('Top 1500 HS LatitudeLongitude'!B:B,'Top 1500 HS LatitudeLongitude'!C:C=I169,'Top 1500 HS LatitudeLongitude'!E:E=H169),1,0,randarray(COUNTA(FILTER('Top 1500 HS LatitudeLongitude'!B:B,'Top"&amp;" 1500 HS LatitudeLongitude'!C:C=I169,'Top 1500 HS LatitudeLongitude'!E:E=H169)),1),TRUE)
)"),"")</f>
        <v/>
      </c>
      <c r="S169" s="13" t="b">
        <f>ISNUMBER(MATCH("*"&amp;H:H&amp;"*",'Public Schools'!C:C,0))</f>
        <v>1</v>
      </c>
      <c r="T169" s="13" t="str">
        <f ca="1">IFERROR(__xludf.DUMMYFUNCTION("IFERROR(IF(AND(R169="""",S169=true), SORTN(FILTER('Public Schools'!A:A,'Public Schools'!B:B=J169,'Public Schools'!C:C=H169),1,0,randarray(COUNTA(FILTER('Public Schools'!A:A,'Public Schools'!B:B=J169,'Public Schools'!C:C=H169)),1),TRUE),""""),"""")"),"Jenkins Junior/Senior High School")</f>
        <v>Jenkins Junior/Senior High School</v>
      </c>
      <c r="U169" s="23" t="str">
        <f t="array" aca="1" ref="U169" ca="1">IF(AND(R169="",T169=""),INDEX('Top 1500 HS LatitudeLongitude'!B$2:B$1501,MATCH(MIN(SQRT(('Top 1500 HS LatitudeLongitude'!H$2:H$1501-F169)^2+('Top 1500 HS LatitudeLongitude'!I$2:I$1501-G169)^2)),SQRT( ('Top 1500 HS LatitudeLongitude'!H$2:H$1501-F169)^2+('Top 1500 HS LatitudeLongitude'!I$2:I$1501-G169)^2),0),1),"")</f>
        <v/>
      </c>
    </row>
    <row r="170" spans="2:21" ht="15.6">
      <c r="B170" s="8">
        <v>0.8806818716</v>
      </c>
      <c r="C170" s="9" t="s">
        <v>245</v>
      </c>
      <c r="D170" s="9" t="s">
        <v>390</v>
      </c>
      <c r="E170" s="120" t="s">
        <v>6083</v>
      </c>
      <c r="F170" s="8">
        <v>29.558499999999999</v>
      </c>
      <c r="G170" s="8">
        <v>-95.320099999999996</v>
      </c>
      <c r="H170" s="3" t="str">
        <f t="shared" si="0"/>
        <v>Lynnwood</v>
      </c>
      <c r="I170" s="3" t="str">
        <f t="shared" si="1"/>
        <v>WA</v>
      </c>
      <c r="J170" s="3" t="str">
        <f t="array" ref="J170">INDEX('State Abbreviations'!$B$2:$B$52,MATCH(I170,'State Abbreviations'!$A$2:$A$52,0))</f>
        <v>Washington</v>
      </c>
      <c r="K170" s="119" t="e">
        <f t="shared" ca="1" si="2"/>
        <v>#NAME?</v>
      </c>
      <c r="L170" s="13">
        <f t="shared" ca="1" si="11"/>
        <v>28</v>
      </c>
      <c r="M170" s="13" t="str">
        <f ca="1">IFERROR(__xludf.DUMMYFUNCTION("IF(AND(L170&gt;5,I170&lt;&gt;""AL"",I170&lt;&gt;""AK"",I170&lt;&gt;""AZ"",I170&lt;&gt;""AR"",I170&lt;&gt;""CA"",I170&lt;&gt;""CO"",I170&lt;&gt;""CT"",I170&lt;&gt;""DE"",I170&lt;&gt;""DC"",I170&lt;&gt;""FL"",I170&lt;&gt;""GA"",I170&lt;&gt;""HI"",I170&lt;&gt;""ID"",I170&lt;&gt;""IL"",I170&lt;&gt;""IN"",I170&lt;&gt;""IA"",I170&lt;&gt;""KS"",I170&lt;&gt;""KY"",I170&lt;&gt;"&amp;"""LA"",I170&lt;&gt;""ME"",I170&lt;&gt;""MD"",I170&lt;&gt;""MA"",I170&lt;&gt;""MI"",I170&lt;&gt;""MN"",I170&lt;&gt;""MS"",I170&lt;&gt;""MO"",I170&lt;&gt;""MT"",I170&lt;&gt;""NE"",I170&lt;&gt;""NV"",I170&lt;&gt;""NH"",I170&lt;&gt;""NJ"",I170&lt;&gt;""NM"",I170&lt;&gt;""NY"",I170&lt;&gt;""NC"",I170&lt;&gt;""ND"",I170&lt;&gt;""OH"",I170&lt;&gt;""OK"",I170&lt;&gt;""OR"",I"&amp;"170&lt;&gt;""PA"",I170&lt;&gt;""RI"",I170&lt;&gt;""SC"",I170&lt;&gt;""SD"",I170&lt;&gt;""TN"",I170&lt;&gt;""TX"",I170&lt;&gt;""UT"",I170&lt;&gt;""VT"",I170&lt;&gt;""VA"",I170&lt;&gt;""WA"",I170&lt;&gt;""WV"",I170&lt;&gt;""WI"",I170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0" s="13">
        <f t="shared" ca="1" si="10"/>
        <v>20</v>
      </c>
      <c r="O170" s="13" t="b">
        <f>ISNUMBER(MATCH(C170,'Top 250 HS'!C:C,0))</f>
        <v>0</v>
      </c>
      <c r="P170" s="13" t="str">
        <f ca="1">IFERROR(__xludf.DUMMYFUNCTION("SORTN(FILTER('Top 250 HS'!B:B,'Top 250 HS'!C:C=I170),1,0,randarray(COUNTA(FILTER('Top 250 HS'!B:B,'Top 250 HS'!C:C=I170)),1),TRUE)"),"Garfield (Seattle)")</f>
        <v>Garfield (Seattle)</v>
      </c>
      <c r="Q170" s="13" t="b">
        <f>ISNUMBER(MATCH("*"&amp;E170&amp;"*",'Top 1500 HS LatitudeLongitude'!G:G,0))</f>
        <v>0</v>
      </c>
      <c r="R170" s="13" t="str">
        <f ca="1">IFERROR(__xludf.DUMMYFUNCTION("IFS(L170=10,"""",Q170=false,"""",N170=5,"""",Q170=true,SORTN(FILTER('Top 1500 HS LatitudeLongitude'!B:B,'Top 1500 HS LatitudeLongitude'!C:C=I170,'Top 1500 HS LatitudeLongitude'!E:E=H170),1,0,randarray(COUNTA(FILTER('Top 1500 HS LatitudeLongitude'!B:B,'Top"&amp;" 1500 HS LatitudeLongitude'!C:C=I170,'Top 1500 HS LatitudeLongitude'!E:E=H170)),1),TRUE)
)"),"")</f>
        <v/>
      </c>
      <c r="S170" s="13" t="b">
        <f>ISNUMBER(MATCH("*"&amp;H:H&amp;"*",'Public Schools'!C:C,0))</f>
        <v>1</v>
      </c>
      <c r="T170" s="13" t="str">
        <f ca="1">IFERROR(__xludf.DUMMYFUNCTION("IFERROR(IF(AND(R170="""",S170=true), SORTN(FILTER('Public Schools'!A:A,'Public Schools'!B:B=J170,'Public Schools'!C:C=H170),1,0,randarray(COUNTA(FILTER('Public Schools'!A:A,'Public Schools'!B:B=J170,'Public Schools'!C:C=H170)),1),TRUE),""""),"""")"),"Meadowdale High School")</f>
        <v>Meadowdale High School</v>
      </c>
      <c r="U170" s="23" t="str">
        <f t="array" aca="1" ref="U170" ca="1">IF(AND(R170="",T170=""),INDEX('Top 1500 HS LatitudeLongitude'!B$2:B$1501,MATCH(MIN(SQRT(('Top 1500 HS LatitudeLongitude'!H$2:H$1501-F170)^2+('Top 1500 HS LatitudeLongitude'!I$2:I$1501-G170)^2)),SQRT( ('Top 1500 HS LatitudeLongitude'!H$2:H$1501-F170)^2+('Top 1500 HS LatitudeLongitude'!I$2:I$1501-G170)^2),0),1),"")</f>
        <v/>
      </c>
    </row>
    <row r="171" spans="2:21" ht="15.6">
      <c r="B171" s="8">
        <v>0.70268760539999997</v>
      </c>
      <c r="C171" s="9" t="s">
        <v>245</v>
      </c>
      <c r="D171" s="9" t="s">
        <v>391</v>
      </c>
      <c r="E171" s="37" t="s">
        <v>6126</v>
      </c>
      <c r="F171" s="8">
        <v>39.339300000000001</v>
      </c>
      <c r="G171" s="8">
        <v>-82.993700000000004</v>
      </c>
      <c r="H171" s="3" t="str">
        <f t="shared" si="0"/>
        <v>Edmonds</v>
      </c>
      <c r="I171" s="3" t="str">
        <f t="shared" si="1"/>
        <v>WA</v>
      </c>
      <c r="J171" s="3" t="str">
        <f t="array" ref="J171">INDEX('State Abbreviations'!$B$2:$B$52,MATCH(I171,'State Abbreviations'!$A$2:$A$52,0))</f>
        <v>Washington</v>
      </c>
      <c r="K171" s="119" t="e">
        <f t="shared" ca="1" si="2"/>
        <v>#NAME?</v>
      </c>
      <c r="L171" s="13">
        <f t="shared" ca="1" si="11"/>
        <v>19</v>
      </c>
      <c r="M171" s="13" t="str">
        <f ca="1">IFERROR(__xludf.DUMMYFUNCTION("IF(AND(L171&gt;5,I171&lt;&gt;""AL"",I171&lt;&gt;""AK"",I171&lt;&gt;""AZ"",I171&lt;&gt;""AR"",I171&lt;&gt;""CA"",I171&lt;&gt;""CO"",I171&lt;&gt;""CT"",I171&lt;&gt;""DE"",I171&lt;&gt;""DC"",I171&lt;&gt;""FL"",I171&lt;&gt;""GA"",I171&lt;&gt;""HI"",I171&lt;&gt;""ID"",I171&lt;&gt;""IL"",I171&lt;&gt;""IN"",I171&lt;&gt;""IA"",I171&lt;&gt;""KS"",I171&lt;&gt;""KY"",I171&lt;&gt;"&amp;"""LA"",I171&lt;&gt;""ME"",I171&lt;&gt;""MD"",I171&lt;&gt;""MA"",I171&lt;&gt;""MI"",I171&lt;&gt;""MN"",I171&lt;&gt;""MS"",I171&lt;&gt;""MO"",I171&lt;&gt;""MT"",I171&lt;&gt;""NE"",I171&lt;&gt;""NV"",I171&lt;&gt;""NH"",I171&lt;&gt;""NJ"",I171&lt;&gt;""NM"",I171&lt;&gt;""NY"",I171&lt;&gt;""NC"",I171&lt;&gt;""ND"",I171&lt;&gt;""OH"",I171&lt;&gt;""OK"",I171&lt;&gt;""OR"",I"&amp;"171&lt;&gt;""PA"",I171&lt;&gt;""RI"",I171&lt;&gt;""SC"",I171&lt;&gt;""SD"",I171&lt;&gt;""TN"",I171&lt;&gt;""TX"",I171&lt;&gt;""UT"",I171&lt;&gt;""VT"",I171&lt;&gt;""VA"",I171&lt;&gt;""WA"",I171&lt;&gt;""WV"",I171&lt;&gt;""WI"",I171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1" s="13">
        <f t="shared" ca="1" si="10"/>
        <v>15</v>
      </c>
      <c r="O171" s="13" t="b">
        <f>ISNUMBER(MATCH(C171,'Top 250 HS'!C:C,0))</f>
        <v>0</v>
      </c>
      <c r="P171" s="13" t="str">
        <f ca="1">IFERROR(__xludf.DUMMYFUNCTION("SORTN(FILTER('Top 250 HS'!B:B,'Top 250 HS'!C:C=I171),1,0,randarray(COUNTA(FILTER('Top 250 HS'!B:B,'Top 250 HS'!C:C=I171)),1),TRUE)"),"Eastside Catholic (Sammamish)")</f>
        <v>Eastside Catholic (Sammamish)</v>
      </c>
      <c r="Q171" s="13" t="b">
        <f>ISNUMBER(MATCH("*"&amp;E171&amp;"*",'Top 1500 HS LatitudeLongitude'!G:G,0))</f>
        <v>0</v>
      </c>
      <c r="R171" s="13" t="str">
        <f ca="1">IFERROR(__xludf.DUMMYFUNCTION("IFS(L171=10,"""",Q171=false,"""",N171=5,"""",Q171=true,SORTN(FILTER('Top 1500 HS LatitudeLongitude'!B:B,'Top 1500 HS LatitudeLongitude'!C:C=I171,'Top 1500 HS LatitudeLongitude'!E:E=H171),1,0,randarray(COUNTA(FILTER('Top 1500 HS LatitudeLongitude'!B:B,'Top"&amp;" 1500 HS LatitudeLongitude'!C:C=I171,'Top 1500 HS LatitudeLongitude'!E:E=H171)),1),TRUE)
)"),"")</f>
        <v/>
      </c>
      <c r="S171" s="13" t="b">
        <f>ISNUMBER(MATCH("*"&amp;H:H&amp;"*",'Public Schools'!C:C,0))</f>
        <v>1</v>
      </c>
      <c r="T171" s="13" t="str">
        <f ca="1">IFERROR(__xludf.DUMMYFUNCTION("IFERROR(IF(AND(R171="""",S171=true), SORTN(FILTER('Public Schools'!A:A,'Public Schools'!B:B=J171,'Public Schools'!C:C=H171),1,0,randarray(COUNTA(FILTER('Public Schools'!A:A,'Public Schools'!B:B=J171,'Public Schools'!C:C=H171)),1),TRUE),""""),"""")"),"Edmonds Woodway High School")</f>
        <v>Edmonds Woodway High School</v>
      </c>
      <c r="U171" s="23" t="str">
        <f t="array" aca="1" ref="U171" ca="1">IF(AND(R171="",T171=""),INDEX('Top 1500 HS LatitudeLongitude'!B$2:B$1501,MATCH(MIN(SQRT(('Top 1500 HS LatitudeLongitude'!H$2:H$1501-F171)^2+('Top 1500 HS LatitudeLongitude'!I$2:I$1501-G171)^2)),SQRT( ('Top 1500 HS LatitudeLongitude'!H$2:H$1501-F171)^2+('Top 1500 HS LatitudeLongitude'!I$2:I$1501-G171)^2),0),1),"")</f>
        <v/>
      </c>
    </row>
    <row r="172" spans="2:21" ht="15.6">
      <c r="B172" s="8">
        <v>0.89869033760000006</v>
      </c>
      <c r="C172" s="9" t="s">
        <v>270</v>
      </c>
      <c r="D172" s="9" t="s">
        <v>392</v>
      </c>
      <c r="E172" s="120" t="s">
        <v>6143</v>
      </c>
      <c r="F172" s="8">
        <v>29.589200000000002</v>
      </c>
      <c r="G172" s="8">
        <v>-97.965599999999995</v>
      </c>
      <c r="H172" s="3" t="str">
        <f t="shared" si="0"/>
        <v>Edison</v>
      </c>
      <c r="I172" s="3" t="str">
        <f t="shared" si="1"/>
        <v>NJ</v>
      </c>
      <c r="J172" s="3" t="str">
        <f t="array" ref="J172">INDEX('State Abbreviations'!$B$2:$B$52,MATCH(I172,'State Abbreviations'!$A$2:$A$52,0))</f>
        <v>New Jersey</v>
      </c>
      <c r="K172" s="119" t="e">
        <f t="shared" ca="1" si="2"/>
        <v>#NAME?</v>
      </c>
      <c r="L172" s="13">
        <f t="shared" ca="1" si="11"/>
        <v>3</v>
      </c>
      <c r="M172" s="13" t="str">
        <f ca="1">IFERROR(__xludf.DUMMYFUNCTION("IF(AND(L172&gt;5,I172&lt;&gt;""AL"",I172&lt;&gt;""AK"",I172&lt;&gt;""AZ"",I172&lt;&gt;""AR"",I172&lt;&gt;""CA"",I172&lt;&gt;""CO"",I172&lt;&gt;""CT"",I172&lt;&gt;""DE"",I172&lt;&gt;""DC"",I172&lt;&gt;""FL"",I172&lt;&gt;""GA"",I172&lt;&gt;""HI"",I172&lt;&gt;""ID"",I172&lt;&gt;""IL"",I172&lt;&gt;""IN"",I172&lt;&gt;""IA"",I172&lt;&gt;""KS"",I172&lt;&gt;""KY"",I172&lt;&gt;"&amp;"""LA"",I172&lt;&gt;""ME"",I172&lt;&gt;""MD"",I172&lt;&gt;""MA"",I172&lt;&gt;""MI"",I172&lt;&gt;""MN"",I172&lt;&gt;""MS"",I172&lt;&gt;""MO"",I172&lt;&gt;""MT"",I172&lt;&gt;""NE"",I172&lt;&gt;""NV"",I172&lt;&gt;""NH"",I172&lt;&gt;""NJ"",I172&lt;&gt;""NM"",I172&lt;&gt;""NY"",I172&lt;&gt;""NC"",I172&lt;&gt;""ND"",I172&lt;&gt;""OH"",I172&lt;&gt;""OK"",I172&lt;&gt;""OR"",I"&amp;"172&lt;&gt;""PA"",I172&lt;&gt;""RI"",I172&lt;&gt;""SC"",I172&lt;&gt;""SD"",I172&lt;&gt;""TN"",I172&lt;&gt;""TX"",I172&lt;&gt;""UT"",I172&lt;&gt;""VT"",I172&lt;&gt;""VA"",I172&lt;&gt;""WA"",I172&lt;&gt;""WV"",I172&lt;&gt;""WI"",I172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2" s="13">
        <f t="shared" ca="1" si="10"/>
        <v>2</v>
      </c>
      <c r="O172" s="13" t="b">
        <f>ISNUMBER(MATCH(C172,'Top 250 HS'!C:C,0))</f>
        <v>0</v>
      </c>
      <c r="P172" s="13" t="str">
        <f ca="1">IFERROR(__xludf.DUMMYFUNCTION("SORTN(FILTER('Top 250 HS'!B:B,'Top 250 HS'!C:C=I172),1,0,randarray(COUNTA(FILTER('Top 250 HS'!B:B,'Top 250 HS'!C:C=I172)),1),TRUE)"),"Elizabeth")</f>
        <v>Elizabeth</v>
      </c>
      <c r="Q172" s="13" t="b">
        <f>ISNUMBER(MATCH("*"&amp;E172&amp;"*",'Top 1500 HS LatitudeLongitude'!G:G,0))</f>
        <v>0</v>
      </c>
      <c r="R172" s="13" t="str">
        <f ca="1">IFERROR(__xludf.DUMMYFUNCTION("IFS(L172=10,"""",Q172=false,"""",N172=5,"""",Q172=true,SORTN(FILTER('Top 1500 HS LatitudeLongitude'!B:B,'Top 1500 HS LatitudeLongitude'!C:C=I172,'Top 1500 HS LatitudeLongitude'!E:E=H172),1,0,randarray(COUNTA(FILTER('Top 1500 HS LatitudeLongitude'!B:B,'Top"&amp;" 1500 HS LatitudeLongitude'!C:C=I172,'Top 1500 HS LatitudeLongitude'!E:E=H172)),1),TRUE)
)"),"")</f>
        <v/>
      </c>
      <c r="S172" s="13" t="b">
        <f>ISNUMBER(MATCH("*"&amp;H:H&amp;"*",'Public Schools'!C:C,0))</f>
        <v>1</v>
      </c>
      <c r="T172" s="13" t="str">
        <f ca="1">IFERROR(__xludf.DUMMYFUNCTION("IFERROR(IF(AND(R172="""",S172=true), SORTN(FILTER('Public Schools'!A:A,'Public Schools'!B:B=J172,'Public Schools'!C:C=H172),1,0,randarray(COUNTA(FILTER('Public Schools'!A:A,'Public Schools'!B:B=J172,'Public Schools'!C:C=H172)),1),TRUE),""""),"""")"),"Edison High School")</f>
        <v>Edison High School</v>
      </c>
      <c r="U172" s="23" t="str">
        <f t="array" aca="1" ref="U172" ca="1">IF(AND(R172="",T172=""),INDEX('Top 1500 HS LatitudeLongitude'!B$2:B$1501,MATCH(MIN(SQRT(('Top 1500 HS LatitudeLongitude'!H$2:H$1501-F172)^2+('Top 1500 HS LatitudeLongitude'!I$2:I$1501-G172)^2)),SQRT( ('Top 1500 HS LatitudeLongitude'!H$2:H$1501-F172)^2+('Top 1500 HS LatitudeLongitude'!I$2:I$1501-G172)^2),0),1),"")</f>
        <v/>
      </c>
    </row>
    <row r="173" spans="2:21" ht="15.6">
      <c r="B173" s="8">
        <v>0.93179867750000001</v>
      </c>
      <c r="C173" s="9" t="s">
        <v>288</v>
      </c>
      <c r="D173" s="9" t="s">
        <v>393</v>
      </c>
      <c r="E173" s="37" t="s">
        <v>6179</v>
      </c>
      <c r="F173" s="8">
        <v>37.529400000000003</v>
      </c>
      <c r="G173" s="8">
        <v>-77.475499999999997</v>
      </c>
      <c r="H173" s="3" t="str">
        <f t="shared" si="0"/>
        <v>Terre Haute</v>
      </c>
      <c r="I173" s="3" t="str">
        <f t="shared" si="1"/>
        <v>IN</v>
      </c>
      <c r="J173" s="3" t="str">
        <f t="array" ref="J173">INDEX('State Abbreviations'!$B$2:$B$52,MATCH(I173,'State Abbreviations'!$A$2:$A$52,0))</f>
        <v>Indiana</v>
      </c>
      <c r="K173" s="119" t="e">
        <f t="shared" ca="1" si="2"/>
        <v>#NAME?</v>
      </c>
      <c r="L173" s="13">
        <f t="shared" ca="1" si="11"/>
        <v>5</v>
      </c>
      <c r="M173" s="13" t="str">
        <f ca="1">IFERROR(__xludf.DUMMYFUNCTION("IF(AND(L173&gt;5,I173&lt;&gt;""AL"",I173&lt;&gt;""AK"",I173&lt;&gt;""AZ"",I173&lt;&gt;""AR"",I173&lt;&gt;""CA"",I173&lt;&gt;""CO"",I173&lt;&gt;""CT"",I173&lt;&gt;""DE"",I173&lt;&gt;""DC"",I173&lt;&gt;""FL"",I173&lt;&gt;""GA"",I173&lt;&gt;""HI"",I173&lt;&gt;""ID"",I173&lt;&gt;""IL"",I173&lt;&gt;""IN"",I173&lt;&gt;""IA"",I173&lt;&gt;""KS"",I173&lt;&gt;""KY"",I173&lt;&gt;"&amp;"""LA"",I173&lt;&gt;""ME"",I173&lt;&gt;""MD"",I173&lt;&gt;""MA"",I173&lt;&gt;""MI"",I173&lt;&gt;""MN"",I173&lt;&gt;""MS"",I173&lt;&gt;""MO"",I173&lt;&gt;""MT"",I173&lt;&gt;""NE"",I173&lt;&gt;""NV"",I173&lt;&gt;""NH"",I173&lt;&gt;""NJ"",I173&lt;&gt;""NM"",I173&lt;&gt;""NY"",I173&lt;&gt;""NC"",I173&lt;&gt;""ND"",I173&lt;&gt;""OH"",I173&lt;&gt;""OK"",I173&lt;&gt;""OR"",I"&amp;"173&lt;&gt;""PA"",I173&lt;&gt;""RI"",I173&lt;&gt;""SC"",I173&lt;&gt;""SD"",I173&lt;&gt;""TN"",I173&lt;&gt;""TX"",I173&lt;&gt;""UT"",I173&lt;&gt;""VT"",I173&lt;&gt;""VA"",I173&lt;&gt;""WA"",I173&lt;&gt;""WV"",I173&lt;&gt;""WI"",I173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3" s="13">
        <f t="shared" ca="1" si="10"/>
        <v>18</v>
      </c>
      <c r="O173" s="13" t="b">
        <f>ISNUMBER(MATCH(C173,'Top 250 HS'!C:C,0))</f>
        <v>0</v>
      </c>
      <c r="P173" s="13" t="str">
        <f ca="1">IFERROR(__xludf.DUMMYFUNCTION("SORTN(FILTER('Top 250 HS'!B:B,'Top 250 HS'!C:C=I173),1,0,randarray(COUNTA(FILTER('Top 250 HS'!B:B,'Top 250 HS'!C:C=I173)),1),TRUE)"),"La Lumiere (La Porte)")</f>
        <v>La Lumiere (La Porte)</v>
      </c>
      <c r="Q173" s="13" t="b">
        <f>ISNUMBER(MATCH("*"&amp;E173&amp;"*",'Top 1500 HS LatitudeLongitude'!G:G,0))</f>
        <v>0</v>
      </c>
      <c r="R173" s="13" t="str">
        <f ca="1">IFERROR(__xludf.DUMMYFUNCTION("IFS(L173=10,"""",Q173=false,"""",N173=5,"""",Q173=true,SORTN(FILTER('Top 1500 HS LatitudeLongitude'!B:B,'Top 1500 HS LatitudeLongitude'!C:C=I173,'Top 1500 HS LatitudeLongitude'!E:E=H173),1,0,randarray(COUNTA(FILTER('Top 1500 HS LatitudeLongitude'!B:B,'Top"&amp;" 1500 HS LatitudeLongitude'!C:C=I173,'Top 1500 HS LatitudeLongitude'!E:E=H173)),1),TRUE)
)"),"")</f>
        <v/>
      </c>
      <c r="S173" s="13" t="b">
        <f>ISNUMBER(MATCH("*"&amp;H:H&amp;"*",'Public Schools'!C:C,0))</f>
        <v>1</v>
      </c>
      <c r="T173" s="13" t="str">
        <f ca="1">IFERROR(__xludf.DUMMYFUNCTION("IFERROR(IF(AND(R173="""",S173=true), SORTN(FILTER('Public Schools'!A:A,'Public Schools'!B:B=J173,'Public Schools'!C:C=H173),1,0,randarray(COUNTA(FILTER('Public Schools'!A:A,'Public Schools'!B:B=J173,'Public Schools'!C:C=H173)),1),TRUE),""""),"""")"),"Terre Haute South Vigo High School")</f>
        <v>Terre Haute South Vigo High School</v>
      </c>
      <c r="U173" s="23" t="str">
        <f t="array" aca="1" ref="U173" ca="1">IF(AND(R173="",T173=""),INDEX('Top 1500 HS LatitudeLongitude'!B$2:B$1501,MATCH(MIN(SQRT(('Top 1500 HS LatitudeLongitude'!H$2:H$1501-F173)^2+('Top 1500 HS LatitudeLongitude'!I$2:I$1501-G173)^2)),SQRT( ('Top 1500 HS LatitudeLongitude'!H$2:H$1501-F173)^2+('Top 1500 HS LatitudeLongitude'!I$2:I$1501-G173)^2),0),1),"")</f>
        <v/>
      </c>
    </row>
    <row r="174" spans="2:21" ht="15.6">
      <c r="B174" s="8">
        <v>0.13077358040000001</v>
      </c>
      <c r="C174" s="9" t="s">
        <v>369</v>
      </c>
      <c r="D174" s="9" t="s">
        <v>370</v>
      </c>
      <c r="E174" s="120" t="s">
        <v>5052</v>
      </c>
      <c r="F174" s="8">
        <v>37.822600000000001</v>
      </c>
      <c r="G174" s="8">
        <v>-122.23009999999999</v>
      </c>
      <c r="H174" s="3" t="str">
        <f t="shared" si="0"/>
        <v>Grand Forks</v>
      </c>
      <c r="I174" s="3" t="str">
        <f t="shared" si="1"/>
        <v>ND</v>
      </c>
      <c r="J174" s="3" t="str">
        <f t="array" ref="J174">INDEX('State Abbreviations'!$B$2:$B$52,MATCH(I174,'State Abbreviations'!$A$2:$A$52,0))</f>
        <v>North Dakota</v>
      </c>
      <c r="K174" s="119" t="e">
        <f t="shared" ca="1" si="2"/>
        <v>#NAME?</v>
      </c>
      <c r="L174" s="13">
        <f t="shared" ca="1" si="11"/>
        <v>2</v>
      </c>
      <c r="M174" s="13" t="str">
        <f ca="1">IFERROR(__xludf.DUMMYFUNCTION("IF(AND(L174&gt;5,I174&lt;&gt;""AL"",I174&lt;&gt;""AK"",I174&lt;&gt;""AZ"",I174&lt;&gt;""AR"",I174&lt;&gt;""CA"",I174&lt;&gt;""CO"",I174&lt;&gt;""CT"",I174&lt;&gt;""DE"",I174&lt;&gt;""DC"",I174&lt;&gt;""FL"",I174&lt;&gt;""GA"",I174&lt;&gt;""HI"",I174&lt;&gt;""ID"",I174&lt;&gt;""IL"",I174&lt;&gt;""IN"",I174&lt;&gt;""IA"",I174&lt;&gt;""KS"",I174&lt;&gt;""KY"",I174&lt;&gt;"&amp;"""LA"",I174&lt;&gt;""ME"",I174&lt;&gt;""MD"",I174&lt;&gt;""MA"",I174&lt;&gt;""MI"",I174&lt;&gt;""MN"",I174&lt;&gt;""MS"",I174&lt;&gt;""MO"",I174&lt;&gt;""MT"",I174&lt;&gt;""NE"",I174&lt;&gt;""NV"",I174&lt;&gt;""NH"",I174&lt;&gt;""NJ"",I174&lt;&gt;""NM"",I174&lt;&gt;""NY"",I174&lt;&gt;""NC"",I174&lt;&gt;""ND"",I174&lt;&gt;""OH"",I174&lt;&gt;""OK"",I174&lt;&gt;""OR"",I"&amp;"174&lt;&gt;""PA"",I174&lt;&gt;""RI"",I174&lt;&gt;""SC"",I174&lt;&gt;""SD"",I174&lt;&gt;""TN"",I174&lt;&gt;""TX"",I174&lt;&gt;""UT"",I174&lt;&gt;""VT"",I174&lt;&gt;""VA"",I174&lt;&gt;""WA"",I174&lt;&gt;""WV"",I174&lt;&gt;""WI"",I174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4" s="13">
        <f t="shared" ca="1" si="10"/>
        <v>11</v>
      </c>
      <c r="O174" s="13" t="b">
        <f>ISNUMBER(MATCH(C174,'Top 250 HS'!C:C,0))</f>
        <v>0</v>
      </c>
      <c r="P174" s="13" t="str">
        <f ca="1">IFERROR(__xludf.DUMMYFUNCTION("SORTN(FILTER('Top 250 HS'!B:B,'Top 250 HS'!C:C=I174),1,0,randarray(COUNTA(FILTER('Top 250 HS'!B:B,'Top 250 HS'!C:C=I174)),1),TRUE)"),"#N/A")</f>
        <v>#N/A</v>
      </c>
      <c r="Q174" s="13" t="b">
        <f>ISNUMBER(MATCH("*"&amp;E174&amp;"*",'Top 1500 HS LatitudeLongitude'!G:G,0))</f>
        <v>0</v>
      </c>
      <c r="R174" s="13" t="str">
        <f ca="1">IFERROR(__xludf.DUMMYFUNCTION("IFS(L174=10,"""",Q174=false,"""",N174=5,"""",Q174=true,SORTN(FILTER('Top 1500 HS LatitudeLongitude'!B:B,'Top 1500 HS LatitudeLongitude'!C:C=I174,'Top 1500 HS LatitudeLongitude'!E:E=H174),1,0,randarray(COUNTA(FILTER('Top 1500 HS LatitudeLongitude'!B:B,'Top"&amp;" 1500 HS LatitudeLongitude'!C:C=I174,'Top 1500 HS LatitudeLongitude'!E:E=H174)),1),TRUE)
)"),"")</f>
        <v/>
      </c>
      <c r="S174" s="13" t="b">
        <f>ISNUMBER(MATCH("*"&amp;H:H&amp;"*",'Public Schools'!C:C,0))</f>
        <v>1</v>
      </c>
      <c r="T174" s="13" t="str">
        <f ca="1">IFERROR(__xludf.DUMMYFUNCTION("IFERROR(IF(AND(R174="""",S174=true), SORTN(FILTER('Public Schools'!A:A,'Public Schools'!B:B=J174,'Public Schools'!C:C=H174),1,0,randarray(COUNTA(FILTER('Public Schools'!A:A,'Public Schools'!B:B=J174,'Public Schools'!C:C=H174)),1),TRUE),""""),"""")"),"Community Alternative High School")</f>
        <v>Community Alternative High School</v>
      </c>
      <c r="U174" s="23" t="str">
        <f t="array" aca="1" ref="U174" ca="1">IF(AND(R174="",T174=""),INDEX('Top 1500 HS LatitudeLongitude'!B$2:B$1501,MATCH(MIN(SQRT(('Top 1500 HS LatitudeLongitude'!H$2:H$1501-F174)^2+('Top 1500 HS LatitudeLongitude'!I$2:I$1501-G174)^2)),SQRT( ('Top 1500 HS LatitudeLongitude'!H$2:H$1501-F174)^2+('Top 1500 HS LatitudeLongitude'!I$2:I$1501-G174)^2),0),1),"")</f>
        <v/>
      </c>
    </row>
    <row r="175" spans="2:21" ht="15.6">
      <c r="B175" s="8">
        <v>0.339038175</v>
      </c>
      <c r="C175" s="9" t="s">
        <v>47</v>
      </c>
      <c r="D175" s="9" t="s">
        <v>394</v>
      </c>
      <c r="E175" s="37" t="s">
        <v>6262</v>
      </c>
      <c r="F175" s="8">
        <v>39.777099999999997</v>
      </c>
      <c r="G175" s="8">
        <v>-86.145799999999994</v>
      </c>
      <c r="H175" s="3" t="str">
        <f t="shared" si="0"/>
        <v>Milpitas</v>
      </c>
      <c r="I175" s="3" t="str">
        <f t="shared" si="1"/>
        <v>CA</v>
      </c>
      <c r="J175" s="3" t="str">
        <f t="array" ref="J175">INDEX('State Abbreviations'!$B$2:$B$52,MATCH(I175,'State Abbreviations'!$A$2:$A$52,0))</f>
        <v>California</v>
      </c>
      <c r="K175" s="119" t="e">
        <f t="shared" ca="1" si="2"/>
        <v>#NAME?</v>
      </c>
      <c r="L175" s="13">
        <f t="shared" ca="1" si="11"/>
        <v>29</v>
      </c>
      <c r="M175" s="13" t="str">
        <f ca="1">IFERROR(__xludf.DUMMYFUNCTION("IF(AND(L175&gt;5,I175&lt;&gt;""AL"",I175&lt;&gt;""AK"",I175&lt;&gt;""AZ"",I175&lt;&gt;""AR"",I175&lt;&gt;""CA"",I175&lt;&gt;""CO"",I175&lt;&gt;""CT"",I175&lt;&gt;""DE"",I175&lt;&gt;""DC"",I175&lt;&gt;""FL"",I175&lt;&gt;""GA"",I175&lt;&gt;""HI"",I175&lt;&gt;""ID"",I175&lt;&gt;""IL"",I175&lt;&gt;""IN"",I175&lt;&gt;""IA"",I175&lt;&gt;""KS"",I175&lt;&gt;""KY"",I175&lt;&gt;"&amp;"""LA"",I175&lt;&gt;""ME"",I175&lt;&gt;""MD"",I175&lt;&gt;""MA"",I175&lt;&gt;""MI"",I175&lt;&gt;""MN"",I175&lt;&gt;""MS"",I175&lt;&gt;""MO"",I175&lt;&gt;""MT"",I175&lt;&gt;""NE"",I175&lt;&gt;""NV"",I175&lt;&gt;""NH"",I175&lt;&gt;""NJ"",I175&lt;&gt;""NM"",I175&lt;&gt;""NY"",I175&lt;&gt;""NC"",I175&lt;&gt;""ND"",I175&lt;&gt;""OH"",I175&lt;&gt;""OK"",I175&lt;&gt;""OR"",I"&amp;"175&lt;&gt;""PA"",I175&lt;&gt;""RI"",I175&lt;&gt;""SC"",I175&lt;&gt;""SD"",I175&lt;&gt;""TN"",I175&lt;&gt;""TX"",I175&lt;&gt;""UT"",I175&lt;&gt;""VT"",I175&lt;&gt;""VA"",I175&lt;&gt;""WA"",I175&lt;&gt;""WV"",I175&lt;&gt;""WI"",I175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5" s="13">
        <f t="shared" ca="1" si="10"/>
        <v>9</v>
      </c>
      <c r="O175" s="13" t="b">
        <f>ISNUMBER(MATCH(C175,'Top 250 HS'!C:C,0))</f>
        <v>0</v>
      </c>
      <c r="P175" s="13" t="str">
        <f ca="1">IFERROR(__xludf.DUMMYFUNCTION("SORTN(FILTER('Top 250 HS'!B:B,'Top 250 HS'!C:C=I175),1,0,randarray(COUNTA(FILTER('Top 250 HS'!B:B,'Top 250 HS'!C:C=I175)),1),TRUE)"),"Campolindo (Moraga)")</f>
        <v>Campolindo (Moraga)</v>
      </c>
      <c r="Q175" s="13" t="b">
        <f>ISNUMBER(MATCH("*"&amp;E175&amp;"*",'Top 1500 HS LatitudeLongitude'!G:G,0))</f>
        <v>0</v>
      </c>
      <c r="R175" s="13" t="str">
        <f ca="1">IFERROR(__xludf.DUMMYFUNCTION("IFS(L175=10,"""",Q175=false,"""",N175=5,"""",Q175=true,SORTN(FILTER('Top 1500 HS LatitudeLongitude'!B:B,'Top 1500 HS LatitudeLongitude'!C:C=I175,'Top 1500 HS LatitudeLongitude'!E:E=H175),1,0,randarray(COUNTA(FILTER('Top 1500 HS LatitudeLongitude'!B:B,'Top"&amp;" 1500 HS LatitudeLongitude'!C:C=I175,'Top 1500 HS LatitudeLongitude'!E:E=H175)),1),TRUE)
)"),"")</f>
        <v/>
      </c>
      <c r="S175" s="13" t="b">
        <f>ISNUMBER(MATCH("*"&amp;H:H&amp;"*",'Public Schools'!C:C,0))</f>
        <v>1</v>
      </c>
      <c r="T175" s="13" t="str">
        <f ca="1">IFERROR(__xludf.DUMMYFUNCTION("IFERROR(IF(AND(R175="""",S175=true), SORTN(FILTER('Public Schools'!A:A,'Public Schools'!B:B=J175,'Public Schools'!C:C=H175),1,0,randarray(COUNTA(FILTER('Public Schools'!A:A,'Public Schools'!B:B=J175,'Public Schools'!C:C=H175)),1),TRUE),""""),"""")"),"Milpitas High School")</f>
        <v>Milpitas High School</v>
      </c>
      <c r="U175" s="23" t="str">
        <f t="array" aca="1" ref="U175" ca="1">IF(AND(R175="",T175=""),INDEX('Top 1500 HS LatitudeLongitude'!B$2:B$1501,MATCH(MIN(SQRT(('Top 1500 HS LatitudeLongitude'!H$2:H$1501-F175)^2+('Top 1500 HS LatitudeLongitude'!I$2:I$1501-G175)^2)),SQRT( ('Top 1500 HS LatitudeLongitude'!H$2:H$1501-F175)^2+('Top 1500 HS LatitudeLongitude'!I$2:I$1501-G175)^2),0),1),"")</f>
        <v/>
      </c>
    </row>
    <row r="176" spans="2:21" ht="15.6">
      <c r="B176" s="8">
        <v>0.59957378230000002</v>
      </c>
      <c r="C176" s="9" t="s">
        <v>238</v>
      </c>
      <c r="D176" s="9" t="s">
        <v>395</v>
      </c>
      <c r="E176" s="120" t="s">
        <v>6309</v>
      </c>
      <c r="F176" s="8">
        <v>40.487000000000002</v>
      </c>
      <c r="G176" s="8">
        <v>-74.444999999999993</v>
      </c>
      <c r="H176" s="3" t="str">
        <f t="shared" si="0"/>
        <v>Wantagh</v>
      </c>
      <c r="I176" s="3" t="str">
        <f t="shared" si="1"/>
        <v>NY</v>
      </c>
      <c r="J176" s="3" t="str">
        <f t="array" ref="J176">INDEX('State Abbreviations'!$B$2:$B$52,MATCH(I176,'State Abbreviations'!$A$2:$A$52,0))</f>
        <v>New York</v>
      </c>
      <c r="K176" s="119" t="e">
        <f t="shared" ca="1" si="2"/>
        <v>#NAME?</v>
      </c>
      <c r="L176" s="13">
        <f t="shared" ca="1" si="11"/>
        <v>11</v>
      </c>
      <c r="M176" s="13" t="str">
        <f ca="1">IFERROR(__xludf.DUMMYFUNCTION("IF(AND(L176&gt;5,I176&lt;&gt;""AL"",I176&lt;&gt;""AK"",I176&lt;&gt;""AZ"",I176&lt;&gt;""AR"",I176&lt;&gt;""CA"",I176&lt;&gt;""CO"",I176&lt;&gt;""CT"",I176&lt;&gt;""DE"",I176&lt;&gt;""DC"",I176&lt;&gt;""FL"",I176&lt;&gt;""GA"",I176&lt;&gt;""HI"",I176&lt;&gt;""ID"",I176&lt;&gt;""IL"",I176&lt;&gt;""IN"",I176&lt;&gt;""IA"",I176&lt;&gt;""KS"",I176&lt;&gt;""KY"",I176&lt;&gt;"&amp;"""LA"",I176&lt;&gt;""ME"",I176&lt;&gt;""MD"",I176&lt;&gt;""MA"",I176&lt;&gt;""MI"",I176&lt;&gt;""MN"",I176&lt;&gt;""MS"",I176&lt;&gt;""MO"",I176&lt;&gt;""MT"",I176&lt;&gt;""NE"",I176&lt;&gt;""NV"",I176&lt;&gt;""NH"",I176&lt;&gt;""NJ"",I176&lt;&gt;""NM"",I176&lt;&gt;""NY"",I176&lt;&gt;""NC"",I176&lt;&gt;""ND"",I176&lt;&gt;""OH"",I176&lt;&gt;""OK"",I176&lt;&gt;""OR"",I"&amp;"176&lt;&gt;""PA"",I176&lt;&gt;""RI"",I176&lt;&gt;""SC"",I176&lt;&gt;""SD"",I176&lt;&gt;""TN"",I176&lt;&gt;""TX"",I176&lt;&gt;""UT"",I176&lt;&gt;""VT"",I176&lt;&gt;""VA"",I176&lt;&gt;""WA"",I176&lt;&gt;""WV"",I176&lt;&gt;""WI"",I176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6" s="13">
        <f t="shared" ca="1" si="10"/>
        <v>20</v>
      </c>
      <c r="O176" s="13" t="b">
        <f>ISNUMBER(MATCH(C176,'Top 250 HS'!C:C,0))</f>
        <v>0</v>
      </c>
      <c r="P176" s="13" t="str">
        <f ca="1">IFERROR(__xludf.DUMMYFUNCTION("SORTN(FILTER('Top 250 HS'!B:B,'Top 250 HS'!C:C=I176),1,0,randarray(COUNTA(FILTER('Top 250 HS'!B:B,'Top 250 HS'!C:C=I176)),1),TRUE)"),"Long Island Lutheran (Brookville)")</f>
        <v>Long Island Lutheran (Brookville)</v>
      </c>
      <c r="Q176" s="13" t="b">
        <f>ISNUMBER(MATCH("*"&amp;E176&amp;"*",'Top 1500 HS LatitudeLongitude'!G:G,0))</f>
        <v>0</v>
      </c>
      <c r="R176" s="13" t="str">
        <f ca="1">IFERROR(__xludf.DUMMYFUNCTION("IFS(L176=10,"""",Q176=false,"""",N176=5,"""",Q176=true,SORTN(FILTER('Top 1500 HS LatitudeLongitude'!B:B,'Top 1500 HS LatitudeLongitude'!C:C=I176,'Top 1500 HS LatitudeLongitude'!E:E=H176),1,0,randarray(COUNTA(FILTER('Top 1500 HS LatitudeLongitude'!B:B,'Top"&amp;" 1500 HS LatitudeLongitude'!C:C=I176,'Top 1500 HS LatitudeLongitude'!E:E=H176)),1),TRUE)
)"),"")</f>
        <v/>
      </c>
      <c r="S176" s="13" t="b">
        <f>ISNUMBER(MATCH("*"&amp;H:H&amp;"*",'Public Schools'!C:C,0))</f>
        <v>1</v>
      </c>
      <c r="T176" s="13" t="str">
        <f ca="1">IFERROR(__xludf.DUMMYFUNCTION("IFERROR(IF(AND(R176="""",S176=true), SORTN(FILTER('Public Schools'!A:A,'Public Schools'!B:B=J176,'Public Schools'!C:C=H176),1,0,randarray(COUNTA(FILTER('Public Schools'!A:A,'Public Schools'!B:B=J176,'Public Schools'!C:C=H176)),1),TRUE),""""),"""")"),"Wantagh Senior High School")</f>
        <v>Wantagh Senior High School</v>
      </c>
      <c r="U176" s="23" t="str">
        <f t="array" aca="1" ref="U176" ca="1">IF(AND(R176="",T176=""),INDEX('Top 1500 HS LatitudeLongitude'!B$2:B$1501,MATCH(MIN(SQRT(('Top 1500 HS LatitudeLongitude'!H$2:H$1501-F176)^2+('Top 1500 HS LatitudeLongitude'!I$2:I$1501-G176)^2)),SQRT( ('Top 1500 HS LatitudeLongitude'!H$2:H$1501-F176)^2+('Top 1500 HS LatitudeLongitude'!I$2:I$1501-G176)^2),0),1),"")</f>
        <v/>
      </c>
    </row>
    <row r="177" spans="2:21" ht="15.6">
      <c r="B177" s="8">
        <v>0.38280577380000003</v>
      </c>
      <c r="C177" s="9" t="s">
        <v>47</v>
      </c>
      <c r="D177" s="9" t="s">
        <v>396</v>
      </c>
      <c r="E177" s="37" t="s">
        <v>6353</v>
      </c>
      <c r="F177" s="8">
        <v>39.085500000000003</v>
      </c>
      <c r="G177" s="8">
        <v>-84.486800000000002</v>
      </c>
      <c r="H177" s="3" t="str">
        <f t="shared" si="0"/>
        <v>Van Nuys</v>
      </c>
      <c r="I177" s="3" t="str">
        <f t="shared" si="1"/>
        <v>CA</v>
      </c>
      <c r="J177" s="3" t="str">
        <f t="array" ref="J177">INDEX('State Abbreviations'!$B$2:$B$52,MATCH(I177,'State Abbreviations'!$A$2:$A$52,0))</f>
        <v>California</v>
      </c>
      <c r="K177" s="119" t="e">
        <f t="shared" ca="1" si="2"/>
        <v>#NAME?</v>
      </c>
      <c r="L177" s="13">
        <f t="shared" ca="1" si="11"/>
        <v>19</v>
      </c>
      <c r="M177" s="13" t="str">
        <f ca="1">IFERROR(__xludf.DUMMYFUNCTION("IF(AND(L177&gt;5,I177&lt;&gt;""AL"",I177&lt;&gt;""AK"",I177&lt;&gt;""AZ"",I177&lt;&gt;""AR"",I177&lt;&gt;""CA"",I177&lt;&gt;""CO"",I177&lt;&gt;""CT"",I177&lt;&gt;""DE"",I177&lt;&gt;""DC"",I177&lt;&gt;""FL"",I177&lt;&gt;""GA"",I177&lt;&gt;""HI"",I177&lt;&gt;""ID"",I177&lt;&gt;""IL"",I177&lt;&gt;""IN"",I177&lt;&gt;""IA"",I177&lt;&gt;""KS"",I177&lt;&gt;""KY"",I177&lt;&gt;"&amp;"""LA"",I177&lt;&gt;""ME"",I177&lt;&gt;""MD"",I177&lt;&gt;""MA"",I177&lt;&gt;""MI"",I177&lt;&gt;""MN"",I177&lt;&gt;""MS"",I177&lt;&gt;""MO"",I177&lt;&gt;""MT"",I177&lt;&gt;""NE"",I177&lt;&gt;""NV"",I177&lt;&gt;""NH"",I177&lt;&gt;""NJ"",I177&lt;&gt;""NM"",I177&lt;&gt;""NY"",I177&lt;&gt;""NC"",I177&lt;&gt;""ND"",I177&lt;&gt;""OH"",I177&lt;&gt;""OK"",I177&lt;&gt;""OR"",I"&amp;"177&lt;&gt;""PA"",I177&lt;&gt;""RI"",I177&lt;&gt;""SC"",I177&lt;&gt;""SD"",I177&lt;&gt;""TN"",I177&lt;&gt;""TX"",I177&lt;&gt;""UT"",I177&lt;&gt;""VT"",I177&lt;&gt;""VA"",I177&lt;&gt;""WA"",I177&lt;&gt;""WV"",I177&lt;&gt;""WI"",I177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7" s="13">
        <f t="shared" ca="1" si="10"/>
        <v>11</v>
      </c>
      <c r="O177" s="13" t="b">
        <f>ISNUMBER(MATCH(C177,'Top 250 HS'!C:C,0))</f>
        <v>0</v>
      </c>
      <c r="P177" s="13" t="str">
        <f ca="1">IFERROR(__xludf.DUMMYFUNCTION("SORTN(FILTER('Top 250 HS'!B:B,'Top 250 HS'!C:C=I177),1,0,randarray(COUNTA(FILTER('Top 250 HS'!B:B,'Top 250 HS'!C:C=I177)),1),TRUE)"),"Mater Dei (Santa Ana)")</f>
        <v>Mater Dei (Santa Ana)</v>
      </c>
      <c r="Q177" s="13" t="b">
        <f>ISNUMBER(MATCH("*"&amp;E177&amp;"*",'Top 1500 HS LatitudeLongitude'!G:G,0))</f>
        <v>0</v>
      </c>
      <c r="R177" s="13" t="str">
        <f ca="1">IFERROR(__xludf.DUMMYFUNCTION("IFS(L177=10,"""",Q177=false,"""",N177=5,"""",Q177=true,SORTN(FILTER('Top 1500 HS LatitudeLongitude'!B:B,'Top 1500 HS LatitudeLongitude'!C:C=I177,'Top 1500 HS LatitudeLongitude'!E:E=H177),1,0,randarray(COUNTA(FILTER('Top 1500 HS LatitudeLongitude'!B:B,'Top"&amp;" 1500 HS LatitudeLongitude'!C:C=I177,'Top 1500 HS LatitudeLongitude'!E:E=H177)),1),TRUE)
)"),"")</f>
        <v/>
      </c>
      <c r="S177" s="13" t="b">
        <f>ISNUMBER(MATCH("*"&amp;H:H&amp;"*",'Public Schools'!C:C,0))</f>
        <v>1</v>
      </c>
      <c r="T177" s="13" t="str">
        <f ca="1">IFERROR(__xludf.DUMMYFUNCTION("IFERROR(IF(AND(R177="""",S177=true), SORTN(FILTER('Public Schools'!A:A,'Public Schools'!B:B=J177,'Public Schools'!C:C=H177),1,0,randarray(COUNTA(FILTER('Public Schools'!A:A,'Public Schools'!B:B=J177,'Public Schools'!C:C=H177)),1),TRUE),""""),"""")"),"Robert Fulton College Preparatory")</f>
        <v>Robert Fulton College Preparatory</v>
      </c>
      <c r="U177" s="23" t="str">
        <f t="array" aca="1" ref="U177" ca="1">IF(AND(R177="",T177=""),INDEX('Top 1500 HS LatitudeLongitude'!B$2:B$1501,MATCH(MIN(SQRT(('Top 1500 HS LatitudeLongitude'!H$2:H$1501-F177)^2+('Top 1500 HS LatitudeLongitude'!I$2:I$1501-G177)^2)),SQRT( ('Top 1500 HS LatitudeLongitude'!H$2:H$1501-F177)^2+('Top 1500 HS LatitudeLongitude'!I$2:I$1501-G177)^2),0),1),"")</f>
        <v/>
      </c>
    </row>
    <row r="178" spans="2:21" ht="15.6">
      <c r="B178" s="8">
        <v>0.73666358539999999</v>
      </c>
      <c r="C178" s="9" t="s">
        <v>47</v>
      </c>
      <c r="D178" s="9" t="s">
        <v>397</v>
      </c>
      <c r="E178" s="120" t="s">
        <v>6397</v>
      </c>
      <c r="F178" s="8">
        <v>42.069099999999999</v>
      </c>
      <c r="G178" s="8">
        <v>-124.3004</v>
      </c>
      <c r="H178" s="3" t="str">
        <f t="shared" si="0"/>
        <v>Sebastopol</v>
      </c>
      <c r="I178" s="3" t="str">
        <f t="shared" si="1"/>
        <v>CA</v>
      </c>
      <c r="J178" s="3" t="str">
        <f t="array" ref="J178">INDEX('State Abbreviations'!$B$2:$B$52,MATCH(I178,'State Abbreviations'!$A$2:$A$52,0))</f>
        <v>California</v>
      </c>
      <c r="K178" s="119" t="e">
        <f t="shared" ca="1" si="2"/>
        <v>#NAME?</v>
      </c>
      <c r="L178" s="13">
        <f t="shared" ca="1" si="11"/>
        <v>10</v>
      </c>
      <c r="M178" s="13" t="str">
        <f ca="1">IFERROR(__xludf.DUMMYFUNCTION("IF(AND(L178&gt;5,I178&lt;&gt;""AL"",I178&lt;&gt;""AK"",I178&lt;&gt;""AZ"",I178&lt;&gt;""AR"",I178&lt;&gt;""CA"",I178&lt;&gt;""CO"",I178&lt;&gt;""CT"",I178&lt;&gt;""DE"",I178&lt;&gt;""DC"",I178&lt;&gt;""FL"",I178&lt;&gt;""GA"",I178&lt;&gt;""HI"",I178&lt;&gt;""ID"",I178&lt;&gt;""IL"",I178&lt;&gt;""IN"",I178&lt;&gt;""IA"",I178&lt;&gt;""KS"",I178&lt;&gt;""KY"",I178&lt;&gt;"&amp;"""LA"",I178&lt;&gt;""ME"",I178&lt;&gt;""MD"",I178&lt;&gt;""MA"",I178&lt;&gt;""MI"",I178&lt;&gt;""MN"",I178&lt;&gt;""MS"",I178&lt;&gt;""MO"",I178&lt;&gt;""MT"",I178&lt;&gt;""NE"",I178&lt;&gt;""NV"",I178&lt;&gt;""NH"",I178&lt;&gt;""NJ"",I178&lt;&gt;""NM"",I178&lt;&gt;""NY"",I178&lt;&gt;""NC"",I178&lt;&gt;""ND"",I178&lt;&gt;""OH"",I178&lt;&gt;""OK"",I178&lt;&gt;""OR"",I"&amp;"178&lt;&gt;""PA"",I178&lt;&gt;""RI"",I178&lt;&gt;""SC"",I178&lt;&gt;""SD"",I178&lt;&gt;""TN"",I178&lt;&gt;""TX"",I178&lt;&gt;""UT"",I178&lt;&gt;""VT"",I178&lt;&gt;""VA"",I178&lt;&gt;""WA"",I178&lt;&gt;""WV"",I178&lt;&gt;""WI"",I178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8" s="13">
        <f t="shared" ca="1" si="10"/>
        <v>1</v>
      </c>
      <c r="O178" s="13" t="b">
        <f>ISNUMBER(MATCH(C178,'Top 250 HS'!C:C,0))</f>
        <v>0</v>
      </c>
      <c r="P178" s="13" t="str">
        <f ca="1">IFERROR(__xludf.DUMMYFUNCTION("SORTN(FILTER('Top 250 HS'!B:B,'Top 250 HS'!C:C=I178),1,0,randarray(COUNTA(FILTER('Top 250 HS'!B:B,'Top 250 HS'!C:C=I178)),1),TRUE)"),"Sierra Canyon (Chatsworth)")</f>
        <v>Sierra Canyon (Chatsworth)</v>
      </c>
      <c r="Q178" s="13" t="b">
        <f>ISNUMBER(MATCH("*"&amp;E178&amp;"*",'Top 1500 HS LatitudeLongitude'!G:G,0))</f>
        <v>0</v>
      </c>
      <c r="R178" s="13" t="str">
        <f ca="1">IFERROR(__xludf.DUMMYFUNCTION("IFS(L178=10,"""",Q178=false,"""",N178=5,"""",Q178=true,SORTN(FILTER('Top 1500 HS LatitudeLongitude'!B:B,'Top 1500 HS LatitudeLongitude'!C:C=I178,'Top 1500 HS LatitudeLongitude'!E:E=H178),1,0,randarray(COUNTA(FILTER('Top 1500 HS LatitudeLongitude'!B:B,'Top"&amp;" 1500 HS LatitudeLongitude'!C:C=I178,'Top 1500 HS LatitudeLongitude'!E:E=H178)),1),TRUE)
)"),"")</f>
        <v/>
      </c>
      <c r="S178" s="13" t="b">
        <f>ISNUMBER(MATCH("*"&amp;H:H&amp;"*",'Public Schools'!C:C,0))</f>
        <v>1</v>
      </c>
      <c r="T178" s="13" t="str">
        <f ca="1">IFERROR(__xludf.DUMMYFUNCTION("IFERROR(IF(AND(R178="""",S178=true), SORTN(FILTER('Public Schools'!A:A,'Public Schools'!B:B=J178,'Public Schools'!C:C=H178),1,0,randarray(COUNTA(FILTER('Public Schools'!A:A,'Public Schools'!B:B=J178,'Public Schools'!C:C=H178)),1),TRUE),""""),"""")"),"Analy High School")</f>
        <v>Analy High School</v>
      </c>
      <c r="U178" s="23" t="str">
        <f t="array" aca="1" ref="U178" ca="1">IF(AND(R178="",T178=""),INDEX('Top 1500 HS LatitudeLongitude'!B$2:B$1501,MATCH(MIN(SQRT(('Top 1500 HS LatitudeLongitude'!H$2:H$1501-F178)^2+('Top 1500 HS LatitudeLongitude'!I$2:I$1501-G178)^2)),SQRT( ('Top 1500 HS LatitudeLongitude'!H$2:H$1501-F178)^2+('Top 1500 HS LatitudeLongitude'!I$2:I$1501-G178)^2),0),1),"")</f>
        <v/>
      </c>
    </row>
    <row r="179" spans="2:21" ht="15.6">
      <c r="B179" s="8">
        <v>0.55451252019999997</v>
      </c>
      <c r="C179" s="9" t="s">
        <v>226</v>
      </c>
      <c r="D179" s="9" t="s">
        <v>398</v>
      </c>
      <c r="E179" s="37" t="s">
        <v>6442</v>
      </c>
      <c r="F179" s="8">
        <v>34.21</v>
      </c>
      <c r="G179" s="8">
        <v>-77.885999999999996</v>
      </c>
      <c r="H179" s="3" t="str">
        <f t="shared" si="0"/>
        <v>Mount Pleasant</v>
      </c>
      <c r="I179" s="3" t="str">
        <f t="shared" si="1"/>
        <v>IA</v>
      </c>
      <c r="J179" s="3" t="str">
        <f t="array" ref="J179">INDEX('State Abbreviations'!$B$2:$B$52,MATCH(I179,'State Abbreviations'!$A$2:$A$52,0))</f>
        <v>Iowa</v>
      </c>
      <c r="K179" s="119" t="e">
        <f t="shared" ca="1" si="2"/>
        <v>#NAME?</v>
      </c>
      <c r="L179" s="13">
        <f t="shared" ca="1" si="11"/>
        <v>7</v>
      </c>
      <c r="M179" s="13" t="str">
        <f ca="1">IFERROR(__xludf.DUMMYFUNCTION("IF(AND(L179&gt;5,I179&lt;&gt;""AL"",I179&lt;&gt;""AK"",I179&lt;&gt;""AZ"",I179&lt;&gt;""AR"",I179&lt;&gt;""CA"",I179&lt;&gt;""CO"",I179&lt;&gt;""CT"",I179&lt;&gt;""DE"",I179&lt;&gt;""DC"",I179&lt;&gt;""FL"",I179&lt;&gt;""GA"",I179&lt;&gt;""HI"",I179&lt;&gt;""ID"",I179&lt;&gt;""IL"",I179&lt;&gt;""IN"",I179&lt;&gt;""IA"",I179&lt;&gt;""KS"",I179&lt;&gt;""KY"",I179&lt;&gt;"&amp;"""LA"",I179&lt;&gt;""ME"",I179&lt;&gt;""MD"",I179&lt;&gt;""MA"",I179&lt;&gt;""MI"",I179&lt;&gt;""MN"",I179&lt;&gt;""MS"",I179&lt;&gt;""MO"",I179&lt;&gt;""MT"",I179&lt;&gt;""NE"",I179&lt;&gt;""NV"",I179&lt;&gt;""NH"",I179&lt;&gt;""NJ"",I179&lt;&gt;""NM"",I179&lt;&gt;""NY"",I179&lt;&gt;""NC"",I179&lt;&gt;""ND"",I179&lt;&gt;""OH"",I179&lt;&gt;""OK"",I179&lt;&gt;""OR"",I"&amp;"179&lt;&gt;""PA"",I179&lt;&gt;""RI"",I179&lt;&gt;""SC"",I179&lt;&gt;""SD"",I179&lt;&gt;""TN"",I179&lt;&gt;""TX"",I179&lt;&gt;""UT"",I179&lt;&gt;""VT"",I179&lt;&gt;""VA"",I179&lt;&gt;""WA"",I179&lt;&gt;""WV"",I179&lt;&gt;""WI"",I179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St"&amp;"ateInternational'!$G$2:$G$121&lt;&gt;"""")},2,0)),IF(L179=10,ArrayFormula(VLOOKUP(QUERY(UNIQUE(RANDBETWEEN(ROW(INDIRECT(""A1:A""&amp;COUNTA('Leaving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79" s="13">
        <f t="shared" ca="1" si="10"/>
        <v>19</v>
      </c>
      <c r="O179" s="13" t="b">
        <f>ISNUMBER(MATCH(C179,'Top 250 HS'!C:C,0))</f>
        <v>0</v>
      </c>
      <c r="P179" s="13" t="str">
        <f ca="1">IFERROR(__xludf.DUMMYFUNCTION("SORTN(FILTER('Top 250 HS'!B:B,'Top 250 HS'!C:C=I179),1,0,randarray(COUNTA(FILTER('Top 250 HS'!B:B,'Top 250 HS'!C:C=I179)),1),TRUE)"),"Cedar Falls")</f>
        <v>Cedar Falls</v>
      </c>
      <c r="Q179" s="13" t="b">
        <f>ISNUMBER(MATCH("*"&amp;E179&amp;"*",'Top 1500 HS LatitudeLongitude'!G:G,0))</f>
        <v>0</v>
      </c>
      <c r="R179" s="13" t="str">
        <f ca="1">IFERROR(__xludf.DUMMYFUNCTION("IFS(L179=10,"""",Q179=false,"""",N179=5,"""",Q179=true,SORTN(FILTER('Top 1500 HS LatitudeLongitude'!B:B,'Top 1500 HS LatitudeLongitude'!C:C=I179,'Top 1500 HS LatitudeLongitude'!E:E=H179),1,0,randarray(COUNTA(FILTER('Top 1500 HS LatitudeLongitude'!B:B,'Top"&amp;" 1500 HS LatitudeLongitude'!C:C=I179,'Top 1500 HS LatitudeLongitude'!E:E=H179)),1),TRUE)
)"),"")</f>
        <v/>
      </c>
      <c r="S179" s="13" t="b">
        <f>ISNUMBER(MATCH("*"&amp;H:H&amp;"*",'Public Schools'!C:C,0))</f>
        <v>1</v>
      </c>
      <c r="T179" s="13" t="str">
        <f ca="1">IFERROR(__xludf.DUMMYFUNCTION("IFERROR(IF(AND(R179="""",S179=true), SORTN(FILTER('Public Schools'!A:A,'Public Schools'!B:B=J179,'Public Schools'!C:C=H179),1,0,randarray(COUNTA(FILTER('Public Schools'!A:A,'Public Schools'!B:B=J179,'Public Schools'!C:C=H179)),1),TRUE),""""),"""")"),"Mount Pleasant High School")</f>
        <v>Mount Pleasant High School</v>
      </c>
      <c r="U179" s="23" t="str">
        <f t="array" aca="1" ref="U179" ca="1">IF(AND(R179="",T179=""),INDEX('Top 1500 HS LatitudeLongitude'!B$2:B$1501,MATCH(MIN(SQRT(('Top 1500 HS LatitudeLongitude'!H$2:H$1501-F179)^2+('Top 1500 HS LatitudeLongitude'!I$2:I$1501-G179)^2)),SQRT( ('Top 1500 HS LatitudeLongitude'!H$2:H$1501-F179)^2+('Top 1500 HS LatitudeLongitude'!I$2:I$1501-G179)^2),0),1),"")</f>
        <v/>
      </c>
    </row>
    <row r="180" spans="2:21" ht="15.6">
      <c r="B180" s="8">
        <v>0.63036991959999999</v>
      </c>
      <c r="C180" s="9" t="s">
        <v>212</v>
      </c>
      <c r="D180" s="9" t="s">
        <v>399</v>
      </c>
      <c r="E180" s="120" t="s">
        <v>6486</v>
      </c>
      <c r="F180" s="8">
        <v>36.014499999999998</v>
      </c>
      <c r="G180" s="8">
        <v>-115.03619999999999</v>
      </c>
      <c r="H180" s="3" t="str">
        <f t="shared" si="0"/>
        <v>Saltillo</v>
      </c>
      <c r="I180" s="3" t="str">
        <f t="shared" si="1"/>
        <v>MS</v>
      </c>
      <c r="J180" s="3" t="str">
        <f t="array" ref="J180">INDEX('State Abbreviations'!$B$2:$B$52,MATCH(I180,'State Abbreviations'!$A$2:$A$52,0))</f>
        <v>Mississippi</v>
      </c>
      <c r="K180" s="119" t="e">
        <f t="shared" ca="1" si="2"/>
        <v>#NAME?</v>
      </c>
      <c r="L180" s="13">
        <f t="shared" ca="1" si="11"/>
        <v>5</v>
      </c>
      <c r="M180" s="13" t="str">
        <f ca="1">IFERROR(__xludf.DUMMYFUNCTION("IF(AND(L180&gt;5,I180&lt;&gt;""AL"",I180&lt;&gt;""AK"",I180&lt;&gt;""AZ"",I180&lt;&gt;""AR"",I180&lt;&gt;""CA"",I180&lt;&gt;""CO"",I180&lt;&gt;""CT"",I180&lt;&gt;""DE"",I180&lt;&gt;""DC"",I180&lt;&gt;""FL"",I180&lt;&gt;""GA"",I180&lt;&gt;""HI"",I180&lt;&gt;""ID"",I180&lt;&gt;""IL"",I180&lt;&gt;""IN"",I180&lt;&gt;""IA"",I180&lt;&gt;""KS"",I180&lt;&gt;""KY"",I180&lt;&gt;"&amp;"""LA"",I180&lt;&gt;""ME"",I180&lt;&gt;""MD"",I180&lt;&gt;""MA"",I180&lt;&gt;""MI"",I180&lt;&gt;""MN"",I180&lt;&gt;""MS"",I180&lt;&gt;""MO"",I180&lt;&gt;""MT"",I180&lt;&gt;""NE"",I180&lt;&gt;""NV"",I180&lt;&gt;""NH"",I180&lt;&gt;""NJ"",I180&lt;&gt;""NM"",I180&lt;&gt;""NY"",I180&lt;&gt;""NC"",I180&lt;&gt;""ND"",I180&lt;&gt;""OH"",I180&lt;&gt;""OK"",I180&lt;&gt;""OR"",I"&amp;"180&lt;&gt;""PA"",I180&lt;&gt;""RI"",I180&lt;&gt;""SC"",I180&lt;&gt;""SD"",I180&lt;&gt;""TN"",I180&lt;&gt;""TX"",I180&lt;&gt;""UT"",I180&lt;&gt;""VT"",I180&lt;&gt;""VA"",I180&lt;&gt;""WA"",I180&lt;&gt;""WV"",I180&lt;&gt;""WI"",I180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80" s="13">
        <f t="shared" ca="1" si="10"/>
        <v>15</v>
      </c>
      <c r="O180" s="13" t="b">
        <f>ISNUMBER(MATCH(C180,'Top 250 HS'!C:C,0))</f>
        <v>0</v>
      </c>
      <c r="P180" s="13" t="str">
        <f ca="1">IFERROR(__xludf.DUMMYFUNCTION("SORTN(FILTER('Top 250 HS'!B:B,'Top 250 HS'!C:C=I180),1,0,randarray(COUNTA(FILTER('Top 250 HS'!B:B,'Top 250 HS'!C:C=I180)),1),TRUE)"),"Callaway (Jackson)")</f>
        <v>Callaway (Jackson)</v>
      </c>
      <c r="Q180" s="13" t="b">
        <f>ISNUMBER(MATCH("*"&amp;E180&amp;"*",'Top 1500 HS LatitudeLongitude'!G:G,0))</f>
        <v>0</v>
      </c>
      <c r="R180" s="13" t="str">
        <f ca="1">IFERROR(__xludf.DUMMYFUNCTION("IFS(L180=10,"""",Q180=false,"""",N180=5,"""",Q180=true,SORTN(FILTER('Top 1500 HS LatitudeLongitude'!B:B,'Top 1500 HS LatitudeLongitude'!C:C=I180,'Top 1500 HS LatitudeLongitude'!E:E=H180),1,0,randarray(COUNTA(FILTER('Top 1500 HS LatitudeLongitude'!B:B,'Top"&amp;" 1500 HS LatitudeLongitude'!C:C=I180,'Top 1500 HS LatitudeLongitude'!E:E=H180)),1),TRUE)
)"),"")</f>
        <v/>
      </c>
      <c r="S180" s="13" t="b">
        <f>ISNUMBER(MATCH("*"&amp;H:H&amp;"*",'Public Schools'!C:C,0))</f>
        <v>1</v>
      </c>
      <c r="T180" s="13" t="str">
        <f ca="1">IFERROR(__xludf.DUMMYFUNCTION("IFERROR(IF(AND(R180="""",S180=true), SORTN(FILTER('Public Schools'!A:A,'Public Schools'!B:B=J180,'Public Schools'!C:C=H180),1,0,randarray(COUNTA(FILTER('Public Schools'!A:A,'Public Schools'!B:B=J180,'Public Schools'!C:C=H180)),1),TRUE),""""),"""")"),"Saltillo High School")</f>
        <v>Saltillo High School</v>
      </c>
      <c r="U180" s="23" t="str">
        <f t="array" aca="1" ref="U180" ca="1">IF(AND(R180="",T180=""),INDEX('Top 1500 HS LatitudeLongitude'!B$2:B$1501,MATCH(MIN(SQRT(('Top 1500 HS LatitudeLongitude'!H$2:H$1501-F180)^2+('Top 1500 HS LatitudeLongitude'!I$2:I$1501-G180)^2)),SQRT( ('Top 1500 HS LatitudeLongitude'!H$2:H$1501-F180)^2+('Top 1500 HS LatitudeLongitude'!I$2:I$1501-G180)^2),0),1),"")</f>
        <v/>
      </c>
    </row>
    <row r="181" spans="2:21" ht="15.6">
      <c r="B181" s="8">
        <v>0.84264483010000002</v>
      </c>
      <c r="C181" s="9" t="s">
        <v>114</v>
      </c>
      <c r="D181" s="9" t="s">
        <v>167</v>
      </c>
      <c r="E181" s="37" t="s">
        <v>6530</v>
      </c>
      <c r="F181" s="8">
        <v>29.472200000000001</v>
      </c>
      <c r="G181" s="8">
        <v>-98.524699999999996</v>
      </c>
      <c r="H181" s="3" t="str">
        <f t="shared" si="0"/>
        <v>Orlando</v>
      </c>
      <c r="I181" s="3" t="str">
        <f t="shared" si="1"/>
        <v>FL</v>
      </c>
      <c r="J181" s="3" t="str">
        <f t="array" ref="J181">INDEX('State Abbreviations'!$B$2:$B$52,MATCH(I181,'State Abbreviations'!$A$2:$A$52,0))</f>
        <v>Florida</v>
      </c>
      <c r="K181" s="119" t="e">
        <f t="shared" ca="1" si="2"/>
        <v>#NAME?</v>
      </c>
      <c r="L181" s="13">
        <f t="shared" ca="1" si="11"/>
        <v>18</v>
      </c>
      <c r="M181" s="13" t="str">
        <f ca="1">IFERROR(__xludf.DUMMYFUNCTION("IF(AND(L181&gt;5,I181&lt;&gt;""AL"",I181&lt;&gt;""AK"",I181&lt;&gt;""AZ"",I181&lt;&gt;""AR"",I181&lt;&gt;""CA"",I181&lt;&gt;""CO"",I181&lt;&gt;""CT"",I181&lt;&gt;""DE"",I181&lt;&gt;""DC"",I181&lt;&gt;""FL"",I181&lt;&gt;""GA"",I181&lt;&gt;""HI"",I181&lt;&gt;""ID"",I181&lt;&gt;""IL"",I181&lt;&gt;""IN"",I181&lt;&gt;""IA"",I181&lt;&gt;""KS"",I181&lt;&gt;""KY"",I181&lt;&gt;"&amp;"""LA"",I181&lt;&gt;""ME"",I181&lt;&gt;""MD"",I181&lt;&gt;""MA"",I181&lt;&gt;""MI"",I181&lt;&gt;""MN"",I181&lt;&gt;""MS"",I181&lt;&gt;""MO"",I181&lt;&gt;""MT"",I181&lt;&gt;""NE"",I181&lt;&gt;""NV"",I181&lt;&gt;""NH"",I181&lt;&gt;""NJ"",I181&lt;&gt;""NM"",I181&lt;&gt;""NY"",I181&lt;&gt;""NC"",I181&lt;&gt;""ND"",I181&lt;&gt;""OH"",I181&lt;&gt;""OK"",I181&lt;&gt;""OR"",I"&amp;"181&lt;&gt;""PA"",I181&lt;&gt;""RI"",I181&lt;&gt;""SC"",I181&lt;&gt;""SD"",I181&lt;&gt;""TN"",I181&lt;&gt;""TX"",I181&lt;&gt;""UT"",I181&lt;&gt;""VT"",I181&lt;&gt;""VA"",I181&lt;&gt;""WA"",I181&lt;&gt;""WV"",I181&lt;&gt;""WI"",I181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81" s="13">
        <f t="shared" ca="1" si="10"/>
        <v>5</v>
      </c>
      <c r="O181" s="13" t="b">
        <f>ISNUMBER(MATCH(C181,'Top 250 HS'!C:C,0))</f>
        <v>0</v>
      </c>
      <c r="P181" s="13" t="str">
        <f ca="1">IFERROR(__xludf.DUMMYFUNCTION("SORTN(FILTER('Top 250 HS'!B:B,'Top 250 HS'!C:C=I181),1,0,randarray(COUNTA(FILTER('Top 250 HS'!B:B,'Top 250 HS'!C:C=I181)),1),TRUE)"),"Saint Andrew's (Boca Raton)")</f>
        <v>Saint Andrew's (Boca Raton)</v>
      </c>
      <c r="Q181" s="13" t="b">
        <f>ISNUMBER(MATCH("*"&amp;E181&amp;"*",'Top 1500 HS LatitudeLongitude'!G:G,0))</f>
        <v>1</v>
      </c>
      <c r="R181" s="13" t="str">
        <f ca="1">IFERROR(__xludf.DUMMYFUNCTION("IFS(L181=10,"""",Q181=false,"""",N181=5,"""",Q181=true,SORTN(FILTER('Top 1500 HS LatitudeLongitude'!B:B,'Top 1500 HS LatitudeLongitude'!C:C=I181,'Top 1500 HS LatitudeLongitude'!E:E=H181),1,0,randarray(COUNTA(FILTER('Top 1500 HS LatitudeLongitude'!B:B,'Top"&amp;" 1500 HS LatitudeLongitude'!C:C=I181,'Top 1500 HS LatitudeLongitude'!E:E=H181)),1),TRUE)
)"),"West Oaks Academy (Orlando)")</f>
        <v>West Oaks Academy (Orlando)</v>
      </c>
      <c r="S181" s="13" t="b">
        <f>ISNUMBER(MATCH("*"&amp;H:H&amp;"*",'Public Schools'!C:C,0))</f>
        <v>1</v>
      </c>
      <c r="T181" s="13" t="str">
        <f ca="1">IFERROR(__xludf.DUMMYFUNCTION("IFERROR(IF(AND(R181="""",S181=true), SORTN(FILTER('Public Schools'!A:A,'Public Schools'!B:B=J181,'Public Schools'!C:C=H181),1,0,randarray(COUNTA(FILTER('Public Schools'!A:A,'Public Schools'!B:B=J181,'Public Schools'!C:C=H181)),1),TRUE),""""),"""")"),"")</f>
        <v/>
      </c>
      <c r="U181" s="23" t="str">
        <f t="array" aca="1" ref="U181" ca="1">IF(AND(R181="",T181=""),INDEX('Top 1500 HS LatitudeLongitude'!B$2:B$1501,MATCH(MIN(SQRT(('Top 1500 HS LatitudeLongitude'!H$2:H$1501-F181)^2+('Top 1500 HS LatitudeLongitude'!I$2:I$1501-G181)^2)),SQRT( ('Top 1500 HS LatitudeLongitude'!H$2:H$1501-F181)^2+('Top 1500 HS LatitudeLongitude'!I$2:I$1501-G181)^2),0),1),"")</f>
        <v/>
      </c>
    </row>
    <row r="182" spans="2:21" ht="15.6">
      <c r="B182" s="8">
        <v>0.19193842890000001</v>
      </c>
      <c r="C182" s="9" t="s">
        <v>254</v>
      </c>
      <c r="D182" s="9" t="s">
        <v>400</v>
      </c>
      <c r="E182" s="120" t="s">
        <v>6569</v>
      </c>
      <c r="F182" s="8">
        <v>27.908799999999999</v>
      </c>
      <c r="G182" s="8">
        <v>-82.7714</v>
      </c>
      <c r="H182" s="3" t="str">
        <f t="shared" si="0"/>
        <v>Champaign</v>
      </c>
      <c r="I182" s="3" t="str">
        <f t="shared" si="1"/>
        <v>IL</v>
      </c>
      <c r="J182" s="3" t="str">
        <f t="array" ref="J182">INDEX('State Abbreviations'!$B$2:$B$52,MATCH(I182,'State Abbreviations'!$A$2:$A$52,0))</f>
        <v>Illinois</v>
      </c>
      <c r="K182" s="119" t="e">
        <f t="shared" ca="1" si="2"/>
        <v>#NAME?</v>
      </c>
      <c r="L182" s="13">
        <f t="shared" ca="1" si="11"/>
        <v>6</v>
      </c>
      <c r="M182" s="13" t="str">
        <f ca="1">IFERROR(__xludf.DUMMYFUNCTION("IF(AND(L182&gt;5,I182&lt;&gt;""AL"",I182&lt;&gt;""AK"",I182&lt;&gt;""AZ"",I182&lt;&gt;""AR"",I182&lt;&gt;""CA"",I182&lt;&gt;""CO"",I182&lt;&gt;""CT"",I182&lt;&gt;""DE"",I182&lt;&gt;""DC"",I182&lt;&gt;""FL"",I182&lt;&gt;""GA"",I182&lt;&gt;""HI"",I182&lt;&gt;""ID"",I182&lt;&gt;""IL"",I182&lt;&gt;""IN"",I182&lt;&gt;""IA"",I182&lt;&gt;""KS"",I182&lt;&gt;""KY"",I182&lt;&gt;"&amp;"""LA"",I182&lt;&gt;""ME"",I182&lt;&gt;""MD"",I182&lt;&gt;""MA"",I182&lt;&gt;""MI"",I182&lt;&gt;""MN"",I182&lt;&gt;""MS"",I182&lt;&gt;""MO"",I182&lt;&gt;""MT"",I182&lt;&gt;""NE"",I182&lt;&gt;""NV"",I182&lt;&gt;""NH"",I182&lt;&gt;""NJ"",I182&lt;&gt;""NM"",I182&lt;&gt;""NY"",I182&lt;&gt;""NC"",I182&lt;&gt;""ND"",I182&lt;&gt;""OH"",I182&lt;&gt;""OK"",I182&lt;&gt;""OR"",I"&amp;"182&lt;&gt;""PA"",I182&lt;&gt;""RI"",I182&lt;&gt;""SC"",I182&lt;&gt;""SD"",I182&lt;&gt;""TN"",I182&lt;&gt;""TX"",I182&lt;&gt;""UT"",I182&lt;&gt;""VT"",I182&lt;&gt;""VA"",I182&lt;&gt;""WA"",I182&lt;&gt;""WV"",I182&lt;&gt;""WI"",I182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82" s="13">
        <f t="shared" ca="1" si="10"/>
        <v>10</v>
      </c>
      <c r="O182" s="13" t="b">
        <f>ISNUMBER(MATCH(C182,'Top 250 HS'!C:C,0))</f>
        <v>0</v>
      </c>
      <c r="P182" s="13" t="str">
        <f ca="1">IFERROR(__xludf.DUMMYFUNCTION("SORTN(FILTER('Top 250 HS'!B:B,'Top 250 HS'!C:C=I182),1,0,randarray(COUNTA(FILTER('Top 250 HS'!B:B,'Top 250 HS'!C:C=I182)),1),TRUE)"),"Curie (Chicago)")</f>
        <v>Curie (Chicago)</v>
      </c>
      <c r="Q182" s="13" t="b">
        <f>ISNUMBER(MATCH("*"&amp;E182&amp;"*",'Top 1500 HS LatitudeLongitude'!G:G,0))</f>
        <v>0</v>
      </c>
      <c r="R182" s="13" t="str">
        <f ca="1">IFERROR(__xludf.DUMMYFUNCTION("IFS(L182=10,"""",Q182=false,"""",N182=5,"""",Q182=true,SORTN(FILTER('Top 1500 HS LatitudeLongitude'!B:B,'Top 1500 HS LatitudeLongitude'!C:C=I182,'Top 1500 HS LatitudeLongitude'!E:E=H182),1,0,randarray(COUNTA(FILTER('Top 1500 HS LatitudeLongitude'!B:B,'Top"&amp;" 1500 HS LatitudeLongitude'!C:C=I182,'Top 1500 HS LatitudeLongitude'!E:E=H182)),1),TRUE)
)"),"")</f>
        <v/>
      </c>
      <c r="S182" s="13" t="b">
        <f>ISNUMBER(MATCH("*"&amp;H:H&amp;"*",'Public Schools'!C:C,0))</f>
        <v>1</v>
      </c>
      <c r="T182" s="13" t="str">
        <f ca="1">IFERROR(__xludf.DUMMYFUNCTION("IFERROR(IF(AND(R182="""",S182=true), SORTN(FILTER('Public Schools'!A:A,'Public Schools'!B:B=J182,'Public Schools'!C:C=H182),1,0,randarray(COUNTA(FILTER('Public Schools'!A:A,'Public Schools'!B:B=J182,'Public Schools'!C:C=H182)),1),TRUE),""""),"""")"),"Novak Academy")</f>
        <v>Novak Academy</v>
      </c>
      <c r="U182" s="23" t="str">
        <f t="array" aca="1" ref="U182" ca="1">IF(AND(R182="",T182=""),INDEX('Top 1500 HS LatitudeLongitude'!B$2:B$1501,MATCH(MIN(SQRT(('Top 1500 HS LatitudeLongitude'!H$2:H$1501-F182)^2+('Top 1500 HS LatitudeLongitude'!I$2:I$1501-G182)^2)),SQRT( ('Top 1500 HS LatitudeLongitude'!H$2:H$1501-F182)^2+('Top 1500 HS LatitudeLongitude'!I$2:I$1501-G182)^2),0),1),"")</f>
        <v/>
      </c>
    </row>
    <row r="183" spans="2:21" ht="15.6">
      <c r="B183" s="8">
        <v>0.29337951779999999</v>
      </c>
      <c r="C183" s="9" t="s">
        <v>206</v>
      </c>
      <c r="D183" s="9" t="s">
        <v>251</v>
      </c>
      <c r="E183" s="37" t="s">
        <v>868</v>
      </c>
      <c r="F183" s="8">
        <v>41.763800000000003</v>
      </c>
      <c r="G183" s="8">
        <v>-88.290099999999995</v>
      </c>
      <c r="H183" s="3" t="str">
        <f t="shared" si="0"/>
        <v>San Antonio</v>
      </c>
      <c r="I183" s="3" t="str">
        <f t="shared" si="1"/>
        <v>TX</v>
      </c>
      <c r="J183" s="3" t="str">
        <f t="array" ref="J183">INDEX('State Abbreviations'!$B$2:$B$52,MATCH(I183,'State Abbreviations'!$A$2:$A$52,0))</f>
        <v>Texas</v>
      </c>
      <c r="K183" s="119" t="e">
        <f t="shared" ca="1" si="2"/>
        <v>#NAME?</v>
      </c>
      <c r="L183" s="13">
        <f t="shared" ca="1" si="11"/>
        <v>14</v>
      </c>
      <c r="M183" s="13" t="str">
        <f ca="1">IFERROR(__xludf.DUMMYFUNCTION("IF(AND(L183&gt;5,I183&lt;&gt;""AL"",I183&lt;&gt;""AK"",I183&lt;&gt;""AZ"",I183&lt;&gt;""AR"",I183&lt;&gt;""CA"",I183&lt;&gt;""CO"",I183&lt;&gt;""CT"",I183&lt;&gt;""DE"",I183&lt;&gt;""DC"",I183&lt;&gt;""FL"",I183&lt;&gt;""GA"",I183&lt;&gt;""HI"",I183&lt;&gt;""ID"",I183&lt;&gt;""IL"",I183&lt;&gt;""IN"",I183&lt;&gt;""IA"",I183&lt;&gt;""KS"",I183&lt;&gt;""KY"",I183&lt;&gt;"&amp;"""LA"",I183&lt;&gt;""ME"",I183&lt;&gt;""MD"",I183&lt;&gt;""MA"",I183&lt;&gt;""MI"",I183&lt;&gt;""MN"",I183&lt;&gt;""MS"",I183&lt;&gt;""MO"",I183&lt;&gt;""MT"",I183&lt;&gt;""NE"",I183&lt;&gt;""NV"",I183&lt;&gt;""NH"",I183&lt;&gt;""NJ"",I183&lt;&gt;""NM"",I183&lt;&gt;""NY"",I183&lt;&gt;""NC"",I183&lt;&gt;""ND"",I183&lt;&gt;""OH"",I183&lt;&gt;""OK"",I183&lt;&gt;""OR"",I"&amp;"183&lt;&gt;""PA"",I183&lt;&gt;""RI"",I183&lt;&gt;""SC"",I183&lt;&gt;""SD"",I183&lt;&gt;""TN"",I183&lt;&gt;""TX"",I183&lt;&gt;""UT"",I183&lt;&gt;""VT"",I183&lt;&gt;""VA"",I183&lt;&gt;""WA"",I183&lt;&gt;""WV"",I183&lt;&gt;""WI"",I183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83" s="13">
        <f t="shared" ca="1" si="10"/>
        <v>9</v>
      </c>
      <c r="O183" s="13" t="b">
        <f>ISNUMBER(MATCH(C183,'Top 250 HS'!C:C,0))</f>
        <v>0</v>
      </c>
      <c r="P183" s="13" t="str">
        <f ca="1">IFERROR(__xludf.DUMMYFUNCTION("SORTN(FILTER('Top 250 HS'!B:B,'Top 250 HS'!C:C=I183),1,0,randarray(COUNTA(FILTER('Top 250 HS'!B:B,'Top 250 HS'!C:C=I183)),1),TRUE)"),"Fort Bend Hightower (Missouri City)")</f>
        <v>Fort Bend Hightower (Missouri City)</v>
      </c>
      <c r="Q183" s="13" t="b">
        <f>ISNUMBER(MATCH("*"&amp;E183&amp;"*",'Top 1500 HS LatitudeLongitude'!G:G,0))</f>
        <v>1</v>
      </c>
      <c r="R183" s="13" t="str">
        <f ca="1">IFERROR(__xludf.DUMMYFUNCTION("IFS(L183=10,"""",Q183=false,"""",N183=5,"""",Q183=true,SORTN(FILTER('Top 1500 HS LatitudeLongitude'!B:B,'Top 1500 HS LatitudeLongitude'!C:C=I183,'Top 1500 HS LatitudeLongitude'!E:E=H183),1,0,randarray(COUNTA(FILTER('Top 1500 HS LatitudeLongitude'!B:B,'Top"&amp;" 1500 HS LatitudeLongitude'!C:C=I183,'Top 1500 HS LatitudeLongitude'!E:E=H183)),1),TRUE)
)"),"Harlan (San Antonio)")</f>
        <v>Harlan (San Antonio)</v>
      </c>
      <c r="S183" s="13" t="b">
        <f>ISNUMBER(MATCH("*"&amp;H:H&amp;"*",'Public Schools'!C:C,0))</f>
        <v>1</v>
      </c>
      <c r="T183" s="13" t="str">
        <f ca="1">IFERROR(__xludf.DUMMYFUNCTION("IFERROR(IF(AND(R183="""",S183=true), SORTN(FILTER('Public Schools'!A:A,'Public Schools'!B:B=J183,'Public Schools'!C:C=H183),1,0,randarray(COUNTA(FILTER('Public Schools'!A:A,'Public Schools'!B:B=J183,'Public Schools'!C:C=H183)),1),TRUE),""""),"""")"),"")</f>
        <v/>
      </c>
      <c r="U183" s="23" t="str">
        <f t="array" aca="1" ref="U183" ca="1">IF(AND(R183="",T183=""),INDEX('Top 1500 HS LatitudeLongitude'!B$2:B$1501,MATCH(MIN(SQRT(('Top 1500 HS LatitudeLongitude'!H$2:H$1501-F183)^2+('Top 1500 HS LatitudeLongitude'!I$2:I$1501-G183)^2)),SQRT( ('Top 1500 HS LatitudeLongitude'!H$2:H$1501-F183)^2+('Top 1500 HS LatitudeLongitude'!I$2:I$1501-G183)^2),0),1),"")</f>
        <v/>
      </c>
    </row>
    <row r="184" spans="2:21" ht="15.6">
      <c r="B184" s="8">
        <v>9.8905390760000003E-2</v>
      </c>
      <c r="C184" s="9" t="s">
        <v>256</v>
      </c>
      <c r="D184" s="9" t="s">
        <v>257</v>
      </c>
      <c r="E184" s="120" t="s">
        <v>967</v>
      </c>
      <c r="F184" s="8">
        <v>32.801699999999997</v>
      </c>
      <c r="G184" s="8">
        <v>-116.96040000000001</v>
      </c>
      <c r="H184" s="3" t="str">
        <f t="shared" si="0"/>
        <v>Memphis</v>
      </c>
      <c r="I184" s="3" t="str">
        <f t="shared" si="1"/>
        <v>TN</v>
      </c>
      <c r="J184" s="3" t="str">
        <f t="array" ref="J184">INDEX('State Abbreviations'!$B$2:$B$52,MATCH(I184,'State Abbreviations'!$A$2:$A$52,0))</f>
        <v>Tennessee</v>
      </c>
      <c r="K184" s="119" t="e">
        <f t="shared" ca="1" si="2"/>
        <v>#NAME?</v>
      </c>
      <c r="L184" s="13">
        <f t="shared" ca="1" si="11"/>
        <v>6</v>
      </c>
      <c r="M184" s="13" t="str">
        <f ca="1">IFERROR(__xludf.DUMMYFUNCTION("IF(AND(L184&gt;5,I184&lt;&gt;""AL"",I184&lt;&gt;""AK"",I184&lt;&gt;""AZ"",I184&lt;&gt;""AR"",I184&lt;&gt;""CA"",I184&lt;&gt;""CO"",I184&lt;&gt;""CT"",I184&lt;&gt;""DE"",I184&lt;&gt;""DC"",I184&lt;&gt;""FL"",I184&lt;&gt;""GA"",I184&lt;&gt;""HI"",I184&lt;&gt;""ID"",I184&lt;&gt;""IL"",I184&lt;&gt;""IN"",I184&lt;&gt;""IA"",I184&lt;&gt;""KS"",I184&lt;&gt;""KY"",I184&lt;&gt;"&amp;"""LA"",I184&lt;&gt;""ME"",I184&lt;&gt;""MD"",I184&lt;&gt;""MA"",I184&lt;&gt;""MI"",I184&lt;&gt;""MN"",I184&lt;&gt;""MS"",I184&lt;&gt;""MO"",I184&lt;&gt;""MT"",I184&lt;&gt;""NE"",I184&lt;&gt;""NV"",I184&lt;&gt;""NH"",I184&lt;&gt;""NJ"",I184&lt;&gt;""NM"",I184&lt;&gt;""NY"",I184&lt;&gt;""NC"",I184&lt;&gt;""ND"",I184&lt;&gt;""OH"",I184&lt;&gt;""OK"",I184&lt;&gt;""OR"",I"&amp;"184&lt;&gt;""PA"",I184&lt;&gt;""RI"",I184&lt;&gt;""SC"",I184&lt;&gt;""SD"",I184&lt;&gt;""TN"",I184&lt;&gt;""TX"",I184&lt;&gt;""UT"",I184&lt;&gt;""VT"",I184&lt;&gt;""VA"",I184&lt;&gt;""WA"",I184&lt;&gt;""WV"",I184&lt;&gt;""WI"",I184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84" s="13">
        <f t="shared" ca="1" si="10"/>
        <v>7</v>
      </c>
      <c r="O184" s="13" t="b">
        <f>ISNUMBER(MATCH(C184,'Top 250 HS'!C:C,0))</f>
        <v>0</v>
      </c>
      <c r="P184" s="13" t="str">
        <f ca="1">IFERROR(__xludf.DUMMYFUNCTION("SORTN(FILTER('Top 250 HS'!B:B,'Top 250 HS'!C:C=I184),1,0,randarray(COUNTA(FILTER('Top 250 HS'!B:B,'Top 250 HS'!C:C=I184)),1),TRUE)"),"Whitehaven (Memphis)")</f>
        <v>Whitehaven (Memphis)</v>
      </c>
      <c r="Q184" s="13" t="b">
        <f>ISNUMBER(MATCH("*"&amp;E184&amp;"*",'Top 1500 HS LatitudeLongitude'!G:G,0))</f>
        <v>1</v>
      </c>
      <c r="R184" s="13" t="str">
        <f ca="1">IFERROR(__xludf.DUMMYFUNCTION("IFS(L184=10,"""",Q184=false,"""",N184=5,"""",Q184=true,SORTN(FILTER('Top 1500 HS LatitudeLongitude'!B:B,'Top 1500 HS LatitudeLongitude'!C:C=I184,'Top 1500 HS LatitudeLongitude'!E:E=H184),1,0,randarray(COUNTA(FILTER('Top 1500 HS LatitudeLongitude'!B:B,'Top"&amp;" 1500 HS LatitudeLongitude'!C:C=I184,'Top 1500 HS LatitudeLongitude'!E:E=H184)),1),TRUE)
)"),"")</f>
        <v/>
      </c>
      <c r="S184" s="13" t="b">
        <f>ISNUMBER(MATCH("*"&amp;H:H&amp;"*",'Public Schools'!C:C,0))</f>
        <v>1</v>
      </c>
      <c r="T184" s="13" t="str">
        <f ca="1">IFERROR(__xludf.DUMMYFUNCTION("IFERROR(IF(AND(R184="""",S184=true), SORTN(FILTER('Public Schools'!A:A,'Public Schools'!B:B=J184,'Public Schools'!C:C=H184),1,0,randarray(COUNTA(FILTER('Public Schools'!A:A,'Public Schools'!B:B=J184,'Public Schools'!C:C=H184)),1),TRUE),""""),"""")"),"Memphis School Of Excellence")</f>
        <v>Memphis School Of Excellence</v>
      </c>
      <c r="U184" s="23" t="str">
        <f t="array" aca="1" ref="U184" ca="1">IF(AND(R184="",T184=""),INDEX('Top 1500 HS LatitudeLongitude'!B$2:B$1501,MATCH(MIN(SQRT(('Top 1500 HS LatitudeLongitude'!H$2:H$1501-F184)^2+('Top 1500 HS LatitudeLongitude'!I$2:I$1501-G184)^2)),SQRT( ('Top 1500 HS LatitudeLongitude'!H$2:H$1501-F184)^2+('Top 1500 HS LatitudeLongitude'!I$2:I$1501-G184)^2),0),1),"")</f>
        <v/>
      </c>
    </row>
    <row r="185" spans="2:21" ht="15.6">
      <c r="B185" s="8">
        <v>4.8118324169999997E-2</v>
      </c>
      <c r="C185" s="9" t="s">
        <v>245</v>
      </c>
      <c r="D185" s="9" t="s">
        <v>401</v>
      </c>
      <c r="E185" s="37" t="s">
        <v>6679</v>
      </c>
      <c r="F185" s="8">
        <v>34.113999999999997</v>
      </c>
      <c r="G185" s="8">
        <v>-118.4068</v>
      </c>
      <c r="H185" s="3" t="str">
        <f t="shared" si="0"/>
        <v>Puyallup</v>
      </c>
      <c r="I185" s="3" t="str">
        <f t="shared" si="1"/>
        <v>WA</v>
      </c>
      <c r="J185" s="3" t="str">
        <f t="array" ref="J185">INDEX('State Abbreviations'!$B$2:$B$52,MATCH(I185,'State Abbreviations'!$A$2:$A$52,0))</f>
        <v>Washington</v>
      </c>
      <c r="K185" s="121" t="e">
        <f t="shared" ca="1" si="2"/>
        <v>#NAME?</v>
      </c>
      <c r="L185" s="13">
        <f t="shared" ca="1" si="11"/>
        <v>10</v>
      </c>
      <c r="M185" s="36" t="str">
        <f ca="1">IFERROR(__xludf.DUMMYFUNCTION("IF(AND(L185&gt;5,I185&lt;&gt;""AL"",I185&lt;&gt;""AK"",I185&lt;&gt;""AZ"",I185&lt;&gt;""AR"",I185&lt;&gt;""CA"",I185&lt;&gt;""CO"",I185&lt;&gt;""CT"",I185&lt;&gt;""DE"",I185&lt;&gt;""DC"",I185&lt;&gt;""FL"",I185&lt;&gt;""GA"",I185&lt;&gt;""HI"",I185&lt;&gt;""ID"",I185&lt;&gt;""IL"",I185&lt;&gt;""IN"",I185&lt;&gt;""IA"",I185&lt;&gt;""KS"",I185&lt;&gt;""KY"",I185&lt;&gt;"&amp;"""LA"",I185&lt;&gt;""ME"",I185&lt;&gt;""MD"",I185&lt;&gt;""MA"",I185&lt;&gt;""MI"",I185&lt;&gt;""MN"",I185&lt;&gt;""MS"",I185&lt;&gt;""MO"",I185&lt;&gt;""MT"",I185&lt;&gt;""NE"",I185&lt;&gt;""NV"",I185&lt;&gt;""NH"",I185&lt;&gt;""NJ"",I185&lt;&gt;""NM"",I185&lt;&gt;""NY"",I185&lt;&gt;""NC"",I185&lt;&gt;""ND"",I185&lt;&gt;""OH"",I185&lt;&gt;""OK"",I185&lt;&gt;""OR"",I"&amp;"185&lt;&gt;""PA"",I185&lt;&gt;""RI"",I185&lt;&gt;""SC"",I185&lt;&gt;""SD"",I185&lt;&gt;""TN"",I185&lt;&gt;""TX"",I185&lt;&gt;""UT"",I185&lt;&gt;""VT"",I185&lt;&gt;""VA"",I185&lt;&gt;""WA"",I185&lt;&gt;""WV"",I185&lt;&gt;""WI"",I185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StateInternational'!$G$2:$G$121&lt;&gt;"""")},2,0)),""""))"),"St. Vincent-St. Mary (Akron)")</f>
        <v>St. Vincent-St. Mary (Akron)</v>
      </c>
      <c r="N185" s="13">
        <f t="shared" ca="1" si="10"/>
        <v>9</v>
      </c>
      <c r="O185" s="13" t="b">
        <f>ISNUMBER(MATCH(C185,'Top 250 HS'!C:C,0))</f>
        <v>0</v>
      </c>
      <c r="P185" s="13" t="str">
        <f ca="1">IFERROR(__xludf.DUMMYFUNCTION("SORTN(FILTER('Top 250 HS'!B:B,'Top 250 HS'!C:C=I185),1,0,randarray(COUNTA(FILTER('Top 250 HS'!B:B,'Top 250 HS'!C:C=I185)),1),TRUE)"),"Eastside Catholic (Sammamish)")</f>
        <v>Eastside Catholic (Sammamish)</v>
      </c>
      <c r="Q185" s="13" t="b">
        <f>ISNUMBER(MATCH("*"&amp;E185&amp;"*",'Top 1500 HS LatitudeLongitude'!G:G,0))</f>
        <v>0</v>
      </c>
      <c r="R185" s="13" t="str">
        <f ca="1">IFERROR(__xludf.DUMMYFUNCTION("IFS(L185=10,"""",Q185=false,"""",N185=5,"""",Q185=true,SORTN(FILTER('Top 1500 HS LatitudeLongitude'!B:B,'Top 1500 HS LatitudeLongitude'!C:C=I185,'Top 1500 HS LatitudeLongitude'!E:E=H185),1,0,randarray(COUNTA(FILTER('Top 1500 HS LatitudeLongitude'!B:B,'Top"&amp;" 1500 HS LatitudeLongitude'!C:C=I185,'Top 1500 HS LatitudeLongitude'!E:E=H185)),1),TRUE)
)"),"")</f>
        <v/>
      </c>
      <c r="S185" s="13" t="b">
        <f>ISNUMBER(MATCH("*"&amp;H:H&amp;"*",'Public Schools'!C:C,0))</f>
        <v>1</v>
      </c>
      <c r="T185" s="13" t="str">
        <f ca="1">IFERROR(__xludf.DUMMYFUNCTION("IFERROR(IF(AND(R185="""",S185=true), SORTN(FILTER('Public Schools'!A:A,'Public Schools'!B:B=J185,'Public Schools'!C:C=H185),1,0,randarray(COUNTA(FILTER('Public Schools'!A:A,'Public Schools'!B:B=J185,'Public Schools'!C:C=H185)),1),TRUE),""""),"""")"),"Rogers High School")</f>
        <v>Rogers High School</v>
      </c>
      <c r="U185" s="23" t="str">
        <f t="array" aca="1" ref="U185" ca="1">IF(AND(R185="",T185=""),INDEX('Top 1500 HS LatitudeLongitude'!B$2:B$1501,MATCH(MIN(SQRT(('Top 1500 HS LatitudeLongitude'!H$2:H$1501-F185)^2+('Top 1500 HS LatitudeLongitude'!I$2:I$1501-G185)^2)),SQRT( ('Top 1500 HS LatitudeLongitude'!H$2:H$1501-F185)^2+('Top 1500 HS LatitudeLongitude'!I$2:I$1501-G185)^2),0),1),"")</f>
        <v/>
      </c>
    </row>
    <row r="186" spans="2:21" ht="15.6">
      <c r="B186" s="8">
        <v>0.69765299179999996</v>
      </c>
      <c r="C186" s="9" t="s">
        <v>228</v>
      </c>
      <c r="D186" s="9" t="s">
        <v>242</v>
      </c>
      <c r="E186" s="120" t="s">
        <v>163</v>
      </c>
      <c r="F186" s="8">
        <v>40.485999999999997</v>
      </c>
      <c r="G186" s="8">
        <v>-81.440200000000004</v>
      </c>
      <c r="H186" s="3" t="str">
        <f t="shared" si="0"/>
        <v>Baltimore</v>
      </c>
      <c r="I186" s="3" t="str">
        <f t="shared" si="1"/>
        <v>MD</v>
      </c>
      <c r="J186" s="3" t="str">
        <f t="array" ref="J186">INDEX('State Abbreviations'!$B$2:$B$52,MATCH(I186,'State Abbreviations'!$A$2:$A$52,0))</f>
        <v>Maryland</v>
      </c>
      <c r="K186" s="119" t="e">
        <f t="shared" ca="1" si="2"/>
        <v>#NAME?</v>
      </c>
      <c r="L186" s="13">
        <f t="shared" ca="1" si="11"/>
        <v>29</v>
      </c>
      <c r="M186" s="13" t="str">
        <f ca="1">IFERROR(__xludf.DUMMYFUNCTION("IF(AND(L186&gt;5,I186&lt;&gt;""AL"",I186&lt;&gt;""AK"",I186&lt;&gt;""AZ"",I186&lt;&gt;""AR"",I186&lt;&gt;""CA"",I186&lt;&gt;""CO"",I186&lt;&gt;""CT"",I186&lt;&gt;""DE"",I186&lt;&gt;""DC"",I186&lt;&gt;""FL"",I186&lt;&gt;""GA"",I186&lt;&gt;""HI"",I186&lt;&gt;""ID"",I186&lt;&gt;""IL"",I186&lt;&gt;""IN"",I186&lt;&gt;""IA"",I186&lt;&gt;""KS"",I186&lt;&gt;""KY"",I186&lt;&gt;"&amp;"""LA"",I186&lt;&gt;""ME"",I186&lt;&gt;""MD"",I186&lt;&gt;""MA"",I186&lt;&gt;""MI"",I186&lt;&gt;""MN"",I186&lt;&gt;""MS"",I186&lt;&gt;""MO"",I186&lt;&gt;""MT"",I186&lt;&gt;""NE"",I186&lt;&gt;""NV"",I186&lt;&gt;""NH"",I186&lt;&gt;""NJ"",I186&lt;&gt;""NM"",I186&lt;&gt;""NY"",I186&lt;&gt;""NC"",I186&lt;&gt;""ND"",I186&lt;&gt;""OH"",I186&lt;&gt;""OK"",I186&lt;&gt;""OR"",I"&amp;"186&lt;&gt;""PA"",I186&lt;&gt;""RI"",I186&lt;&gt;""SC"",I186&lt;&gt;""SD"",I186&lt;&gt;""TN"",I186&lt;&gt;""TX"",I186&lt;&gt;""UT"",I186&lt;&gt;""VT"",I186&lt;&gt;""VA"",I186&lt;&gt;""WA"",I186&lt;&gt;""WV"",I186&lt;&gt;""WI"",I186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86" s="13">
        <f t="shared" ca="1" si="10"/>
        <v>5</v>
      </c>
      <c r="O186" s="13" t="b">
        <f>ISNUMBER(MATCH(C186,'Top 250 HS'!C:C,0))</f>
        <v>0</v>
      </c>
      <c r="P186" s="13" t="str">
        <f ca="1">IFERROR(__xludf.DUMMYFUNCTION("SORTN(FILTER('Top 250 HS'!B:B,'Top 250 HS'!C:C=I186),1,0,randarray(COUNTA(FILTER('Top 250 HS'!B:B,'Top 250 HS'!C:C=I186)),1),TRUE)"),"DeMatha (Hyattsville)")</f>
        <v>DeMatha (Hyattsville)</v>
      </c>
      <c r="Q186" s="13" t="b">
        <f>ISNUMBER(MATCH("*"&amp;E186&amp;"*",'Top 1500 HS LatitudeLongitude'!G:G,0))</f>
        <v>1</v>
      </c>
      <c r="R186" s="13" t="str">
        <f ca="1">IFERROR(__xludf.DUMMYFUNCTION("IFS(L186=10,"""",Q186=false,"""",N186=5,"""",Q186=true,SORTN(FILTER('Top 1500 HS LatitudeLongitude'!B:B,'Top 1500 HS LatitudeLongitude'!C:C=I186,'Top 1500 HS LatitudeLongitude'!E:E=H186),1,0,randarray(COUNTA(FILTER('Top 1500 HS LatitudeLongitude'!B:B,'Top"&amp;" 1500 HS LatitudeLongitude'!C:C=I186,'Top 1500 HS LatitudeLongitude'!E:E=H186)),1),TRUE)
)"),"Mount St. Joseph (Baltimore)")</f>
        <v>Mount St. Joseph (Baltimore)</v>
      </c>
      <c r="S186" s="13" t="b">
        <f>ISNUMBER(MATCH("*"&amp;H:H&amp;"*",'Public Schools'!C:C,0))</f>
        <v>1</v>
      </c>
      <c r="T186" s="13" t="str">
        <f ca="1">IFERROR(__xludf.DUMMYFUNCTION("IFERROR(IF(AND(R186="""",S186=true), SORTN(FILTER('Public Schools'!A:A,'Public Schools'!B:B=J186,'Public Schools'!C:C=H186),1,0,randarray(COUNTA(FILTER('Public Schools'!A:A,'Public Schools'!B:B=J186,'Public Schools'!C:C=H186)),1),TRUE),""""),"""")"),"")</f>
        <v/>
      </c>
      <c r="U186" s="23" t="str">
        <f t="array" aca="1" ref="U186" ca="1">IF(AND(R186="",T186=""),INDEX('Top 1500 HS LatitudeLongitude'!B$2:B$1501,MATCH(MIN(SQRT(('Top 1500 HS LatitudeLongitude'!H$2:H$1501-F186)^2+('Top 1500 HS LatitudeLongitude'!I$2:I$1501-G186)^2)),SQRT( ('Top 1500 HS LatitudeLongitude'!H$2:H$1501-F186)^2+('Top 1500 HS LatitudeLongitude'!I$2:I$1501-G186)^2),0),1),"")</f>
        <v/>
      </c>
    </row>
    <row r="187" spans="2:21" ht="15.6">
      <c r="B187" s="8">
        <v>0.32292421960000001</v>
      </c>
      <c r="C187" s="9" t="s">
        <v>212</v>
      </c>
      <c r="D187" s="9" t="s">
        <v>297</v>
      </c>
      <c r="E187" s="37" t="s">
        <v>6762</v>
      </c>
      <c r="F187" s="8">
        <v>42.005400000000002</v>
      </c>
      <c r="G187" s="8">
        <v>-87.732900000000001</v>
      </c>
      <c r="H187" s="3" t="str">
        <f t="shared" si="0"/>
        <v>Jackson</v>
      </c>
      <c r="I187" s="3" t="str">
        <f t="shared" si="1"/>
        <v>MS</v>
      </c>
      <c r="J187" s="3" t="str">
        <f t="array" ref="J187">INDEX('State Abbreviations'!$B$2:$B$52,MATCH(I187,'State Abbreviations'!$A$2:$A$52,0))</f>
        <v>Mississippi</v>
      </c>
      <c r="K187" s="119" t="e">
        <f t="shared" ca="1" si="2"/>
        <v>#NAME?</v>
      </c>
      <c r="L187" s="13">
        <f t="shared" ca="1" si="11"/>
        <v>6</v>
      </c>
      <c r="M187" s="13" t="str">
        <f ca="1">IFERROR(__xludf.DUMMYFUNCTION("IF(AND(L187&gt;5,I187&lt;&gt;""AL"",I187&lt;&gt;""AK"",I187&lt;&gt;""AZ"",I187&lt;&gt;""AR"",I187&lt;&gt;""CA"",I187&lt;&gt;""CO"",I187&lt;&gt;""CT"",I187&lt;&gt;""DE"",I187&lt;&gt;""DC"",I187&lt;&gt;""FL"",I187&lt;&gt;""GA"",I187&lt;&gt;""HI"",I187&lt;&gt;""ID"",I187&lt;&gt;""IL"",I187&lt;&gt;""IN"",I187&lt;&gt;""IA"",I187&lt;&gt;""KS"",I187&lt;&gt;""KY"",I187&lt;&gt;"&amp;"""LA"",I187&lt;&gt;""ME"",I187&lt;&gt;""MD"",I187&lt;&gt;""MA"",I187&lt;&gt;""MI"",I187&lt;&gt;""MN"",I187&lt;&gt;""MS"",I187&lt;&gt;""MO"",I187&lt;&gt;""MT"",I187&lt;&gt;""NE"",I187&lt;&gt;""NV"",I187&lt;&gt;""NH"",I187&lt;&gt;""NJ"",I187&lt;&gt;""NM"",I187&lt;&gt;""NY"",I187&lt;&gt;""NC"",I187&lt;&gt;""ND"",I187&lt;&gt;""OH"",I187&lt;&gt;""OK"",I187&lt;&gt;""OR"",I"&amp;"187&lt;&gt;""PA"",I187&lt;&gt;""RI"",I187&lt;&gt;""SC"",I187&lt;&gt;""SD"",I187&lt;&gt;""TN"",I187&lt;&gt;""TX"",I187&lt;&gt;""UT"",I187&lt;&gt;""VT"",I187&lt;&gt;""VA"",I187&lt;&gt;""WA"",I187&lt;&gt;""WV"",I187&lt;&gt;""WI"",I187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87" s="13">
        <f t="shared" ca="1" si="10"/>
        <v>9</v>
      </c>
      <c r="O187" s="13" t="b">
        <f>ISNUMBER(MATCH(C187,'Top 250 HS'!C:C,0))</f>
        <v>0</v>
      </c>
      <c r="P187" s="13" t="str">
        <f ca="1">IFERROR(__xludf.DUMMYFUNCTION("SORTN(FILTER('Top 250 HS'!B:B,'Top 250 HS'!C:C=I187),1,0,randarray(COUNTA(FILTER('Top 250 HS'!B:B,'Top 250 HS'!C:C=I187)),1),TRUE)"),"Callaway (Jackson)")</f>
        <v>Callaway (Jackson)</v>
      </c>
      <c r="Q187" s="13" t="b">
        <f>ISNUMBER(MATCH("*"&amp;E187&amp;"*",'Top 1500 HS LatitudeLongitude'!G:G,0))</f>
        <v>1</v>
      </c>
      <c r="R187" s="13" t="str">
        <f ca="1">IFERROR(__xludf.DUMMYFUNCTION("IFS(L187=10,"""",Q187=false,"""",N187=5,"""",Q187=true,SORTN(FILTER('Top 1500 HS LatitudeLongitude'!B:B,'Top 1500 HS LatitudeLongitude'!C:C=I187,'Top 1500 HS LatitudeLongitude'!E:E=H187),1,0,randarray(COUNTA(FILTER('Top 1500 HS LatitudeLongitude'!B:B,'Top"&amp;" 1500 HS LatitudeLongitude'!C:C=I187,'Top 1500 HS LatitudeLongitude'!E:E=H187)),1),TRUE)
)"),"Callaway (Jackson)")</f>
        <v>Callaway (Jackson)</v>
      </c>
      <c r="S187" s="13" t="b">
        <f>ISNUMBER(MATCH("*"&amp;H:H&amp;"*",'Public Schools'!C:C,0))</f>
        <v>1</v>
      </c>
      <c r="T187" s="13" t="str">
        <f ca="1">IFERROR(__xludf.DUMMYFUNCTION("IFERROR(IF(AND(R187="""",S187=true), SORTN(FILTER('Public Schools'!A:A,'Public Schools'!B:B=J187,'Public Schools'!C:C=H187),1,0,randarray(COUNTA(FILTER('Public Schools'!A:A,'Public Schools'!B:B=J187,'Public Schools'!C:C=H187)),1),TRUE),""""),"""")"),"")</f>
        <v/>
      </c>
      <c r="U187" s="23" t="str">
        <f t="array" aca="1" ref="U187" ca="1">IF(AND(R187="",T187=""),INDEX('Top 1500 HS LatitudeLongitude'!B$2:B$1501,MATCH(MIN(SQRT(('Top 1500 HS LatitudeLongitude'!H$2:H$1501-F187)^2+('Top 1500 HS LatitudeLongitude'!I$2:I$1501-G187)^2)),SQRT( ('Top 1500 HS LatitudeLongitude'!H$2:H$1501-F187)^2+('Top 1500 HS LatitudeLongitude'!I$2:I$1501-G187)^2),0),1),"")</f>
        <v/>
      </c>
    </row>
    <row r="188" spans="2:21" ht="15.6">
      <c r="B188" s="8">
        <v>0.54290030489999996</v>
      </c>
      <c r="C188" s="9" t="s">
        <v>235</v>
      </c>
      <c r="D188" s="9" t="s">
        <v>402</v>
      </c>
      <c r="E188" s="120" t="s">
        <v>6800</v>
      </c>
      <c r="F188" s="8">
        <v>35.832299999999996</v>
      </c>
      <c r="G188" s="8">
        <v>-78.644099999999995</v>
      </c>
      <c r="H188" s="3" t="str">
        <f t="shared" si="0"/>
        <v>Dry Prong</v>
      </c>
      <c r="I188" s="3" t="str">
        <f t="shared" si="1"/>
        <v>LA</v>
      </c>
      <c r="J188" s="3" t="str">
        <f t="array" ref="J188">INDEX('State Abbreviations'!$B$2:$B$52,MATCH(I188,'State Abbreviations'!$A$2:$A$52,0))</f>
        <v>Louisiana</v>
      </c>
      <c r="K188" s="119" t="e">
        <f t="shared" ca="1" si="2"/>
        <v>#NAME?</v>
      </c>
      <c r="L188" s="13">
        <f t="shared" ca="1" si="11"/>
        <v>8</v>
      </c>
      <c r="M188" s="13" t="str">
        <f ca="1">IFERROR(__xludf.DUMMYFUNCTION("IF(AND(L188&gt;5,I188&lt;&gt;""AL"",I188&lt;&gt;""AK"",I188&lt;&gt;""AZ"",I188&lt;&gt;""AR"",I188&lt;&gt;""CA"",I188&lt;&gt;""CO"",I188&lt;&gt;""CT"",I188&lt;&gt;""DE"",I188&lt;&gt;""DC"",I188&lt;&gt;""FL"",I188&lt;&gt;""GA"",I188&lt;&gt;""HI"",I188&lt;&gt;""ID"",I188&lt;&gt;""IL"",I188&lt;&gt;""IN"",I188&lt;&gt;""IA"",I188&lt;&gt;""KS"",I188&lt;&gt;""KY"",I188&lt;&gt;"&amp;"""LA"",I188&lt;&gt;""ME"",I188&lt;&gt;""MD"",I188&lt;&gt;""MA"",I188&lt;&gt;""MI"",I188&lt;&gt;""MN"",I188&lt;&gt;""MS"",I188&lt;&gt;""MO"",I188&lt;&gt;""MT"",I188&lt;&gt;""NE"",I188&lt;&gt;""NV"",I188&lt;&gt;""NH"",I188&lt;&gt;""NJ"",I188&lt;&gt;""NM"",I188&lt;&gt;""NY"",I188&lt;&gt;""NC"",I188&lt;&gt;""ND"",I188&lt;&gt;""OH"",I188&lt;&gt;""OK"",I188&lt;&gt;""OR"",I"&amp;"188&lt;&gt;""PA"",I188&lt;&gt;""RI"",I188&lt;&gt;""SC"",I188&lt;&gt;""SD"",I188&lt;&gt;""TN"",I188&lt;&gt;""TX"",I188&lt;&gt;""UT"",I188&lt;&gt;""VT"",I188&lt;&gt;""VA"",I188&lt;&gt;""WA"",I188&lt;&gt;""WV"",I188&lt;&gt;""WI"",I188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88" s="13">
        <f t="shared" ca="1" si="10"/>
        <v>9</v>
      </c>
      <c r="O188" s="13" t="b">
        <f>ISNUMBER(MATCH(C188,'Top 250 HS'!C:C,0))</f>
        <v>0</v>
      </c>
      <c r="P188" s="13" t="str">
        <f ca="1">IFERROR(__xludf.DUMMYFUNCTION("SORTN(FILTER('Top 250 HS'!B:B,'Top 250 HS'!C:C=I188),1,0,randarray(COUNTA(FILTER('Top 250 HS'!B:B,'Top 250 HS'!C:C=I188)),1),TRUE)"),"Peabody (Alexandria)")</f>
        <v>Peabody (Alexandria)</v>
      </c>
      <c r="Q188" s="13" t="b">
        <f>ISNUMBER(MATCH("*"&amp;E188&amp;"*",'Top 1500 HS LatitudeLongitude'!G:G,0))</f>
        <v>0</v>
      </c>
      <c r="R188" s="13" t="str">
        <f ca="1">IFERROR(__xludf.DUMMYFUNCTION("IFS(L188=10,"""",Q188=false,"""",N188=5,"""",Q188=true,SORTN(FILTER('Top 1500 HS LatitudeLongitude'!B:B,'Top 1500 HS LatitudeLongitude'!C:C=I188,'Top 1500 HS LatitudeLongitude'!E:E=H188),1,0,randarray(COUNTA(FILTER('Top 1500 HS LatitudeLongitude'!B:B,'Top"&amp;" 1500 HS LatitudeLongitude'!C:C=I188,'Top 1500 HS LatitudeLongitude'!E:E=H188)),1),TRUE)
)"),"")</f>
        <v/>
      </c>
      <c r="S188" s="13" t="b">
        <f>ISNUMBER(MATCH("*"&amp;H:H&amp;"*",'Public Schools'!C:C,0))</f>
        <v>1</v>
      </c>
      <c r="T188" s="13" t="str">
        <f ca="1">IFERROR(__xludf.DUMMYFUNCTION("IFERROR(IF(AND(R188="""",S188=true), SORTN(FILTER('Public Schools'!A:A,'Public Schools'!B:B=J188,'Public Schools'!C:C=H188),1,0,randarray(COUNTA(FILTER('Public Schools'!A:A,'Public Schools'!B:B=J188,'Public Schools'!C:C=H188)),1),TRUE),""""),"""")"),"Grant High School")</f>
        <v>Grant High School</v>
      </c>
      <c r="U188" s="23" t="str">
        <f t="array" aca="1" ref="U188" ca="1">IF(AND(R188="",T188=""),INDEX('Top 1500 HS LatitudeLongitude'!B$2:B$1501,MATCH(MIN(SQRT(('Top 1500 HS LatitudeLongitude'!H$2:H$1501-F188)^2+('Top 1500 HS LatitudeLongitude'!I$2:I$1501-G188)^2)),SQRT( ('Top 1500 HS LatitudeLongitude'!H$2:H$1501-F188)^2+('Top 1500 HS LatitudeLongitude'!I$2:I$1501-G188)^2),0),1),"")</f>
        <v/>
      </c>
    </row>
    <row r="189" spans="2:21" ht="15.6">
      <c r="B189" s="8">
        <v>4.0893461700000001E-2</v>
      </c>
      <c r="C189" s="9" t="s">
        <v>47</v>
      </c>
      <c r="D189" s="9" t="s">
        <v>403</v>
      </c>
      <c r="E189" s="37" t="s">
        <v>6837</v>
      </c>
      <c r="F189" s="8">
        <v>32.906999999999996</v>
      </c>
      <c r="G189" s="8">
        <v>-111.7623</v>
      </c>
      <c r="H189" s="3" t="str">
        <f t="shared" si="0"/>
        <v>Torrance</v>
      </c>
      <c r="I189" s="3" t="str">
        <f t="shared" si="1"/>
        <v>CA</v>
      </c>
      <c r="J189" s="3" t="str">
        <f t="array" ref="J189">INDEX('State Abbreviations'!$B$2:$B$52,MATCH(I189,'State Abbreviations'!$A$2:$A$52,0))</f>
        <v>California</v>
      </c>
      <c r="K189" s="119" t="e">
        <f t="shared" ca="1" si="2"/>
        <v>#NAME?</v>
      </c>
      <c r="L189" s="13">
        <f t="shared" ca="1" si="11"/>
        <v>4</v>
      </c>
      <c r="M189" s="13" t="str">
        <f ca="1">IFERROR(__xludf.DUMMYFUNCTION("IF(AND(L189&gt;5,I189&lt;&gt;""AL"",I189&lt;&gt;""AK"",I189&lt;&gt;""AZ"",I189&lt;&gt;""AR"",I189&lt;&gt;""CA"",I189&lt;&gt;""CO"",I189&lt;&gt;""CT"",I189&lt;&gt;""DE"",I189&lt;&gt;""DC"",I189&lt;&gt;""FL"",I189&lt;&gt;""GA"",I189&lt;&gt;""HI"",I189&lt;&gt;""ID"",I189&lt;&gt;""IL"",I189&lt;&gt;""IN"",I189&lt;&gt;""IA"",I189&lt;&gt;""KS"",I189&lt;&gt;""KY"",I189&lt;&gt;"&amp;"""LA"",I189&lt;&gt;""ME"",I189&lt;&gt;""MD"",I189&lt;&gt;""MA"",I189&lt;&gt;""MI"",I189&lt;&gt;""MN"",I189&lt;&gt;""MS"",I189&lt;&gt;""MO"",I189&lt;&gt;""MT"",I189&lt;&gt;""NE"",I189&lt;&gt;""NV"",I189&lt;&gt;""NH"",I189&lt;&gt;""NJ"",I189&lt;&gt;""NM"",I189&lt;&gt;""NY"",I189&lt;&gt;""NC"",I189&lt;&gt;""ND"",I189&lt;&gt;""OH"",I189&lt;&gt;""OK"",I189&lt;&gt;""OR"",I"&amp;"189&lt;&gt;""PA"",I189&lt;&gt;""RI"",I189&lt;&gt;""SC"",I189&lt;&gt;""SD"",I189&lt;&gt;""TN"",I189&lt;&gt;""TX"",I189&lt;&gt;""UT"",I189&lt;&gt;""VT"",I189&lt;&gt;""VA"",I189&lt;&gt;""WA"",I189&lt;&gt;""WV"",I189&lt;&gt;""WI"",I189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St"&amp;"ateInternational'!$G$2:$G$121&lt;&gt;"""")},2,0)),IF(L189=10,ArrayFormula(VLOOKUP(QUERY(UNIQUE(RANDBETWEEN(ROW(INDIRECT(""A1:A""&amp;COUNTA('Leaving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89" s="13">
        <f t="shared" ca="1" si="10"/>
        <v>4</v>
      </c>
      <c r="O189" s="13" t="b">
        <f>ISNUMBER(MATCH(C189,'Top 250 HS'!C:C,0))</f>
        <v>0</v>
      </c>
      <c r="P189" s="13" t="str">
        <f ca="1">IFERROR(__xludf.DUMMYFUNCTION("SORTN(FILTER('Top 250 HS'!B:B,'Top 250 HS'!C:C=I189),1,0,randarray(COUNTA(FILTER('Top 250 HS'!B:B,'Top 250 HS'!C:C=I189)),1),TRUE)"),"Renaissance Academy (Altadena)")</f>
        <v>Renaissance Academy (Altadena)</v>
      </c>
      <c r="Q189" s="13" t="b">
        <f>ISNUMBER(MATCH("*"&amp;E189&amp;"*",'Top 1500 HS LatitudeLongitude'!G:G,0))</f>
        <v>1</v>
      </c>
      <c r="R189" s="13" t="str">
        <f ca="1">IFERROR(__xludf.DUMMYFUNCTION("IFS(L189=10,"""",Q189=false,"""",N189=5,"""",Q189=true,SORTN(FILTER('Top 1500 HS LatitudeLongitude'!B:B,'Top 1500 HS LatitudeLongitude'!C:C=I189,'Top 1500 HS LatitudeLongitude'!E:E=H189),1,0,randarray(COUNTA(FILTER('Top 1500 HS LatitudeLongitude'!B:B,'Top"&amp;" 1500 HS LatitudeLongitude'!C:C=I189,'Top 1500 HS LatitudeLongitude'!E:E=H189)),1),TRUE)
)"),"Bishop Montgomery (Torrance)")</f>
        <v>Bishop Montgomery (Torrance)</v>
      </c>
      <c r="S189" s="13" t="b">
        <f>ISNUMBER(MATCH("*"&amp;H:H&amp;"*",'Public Schools'!C:C,0))</f>
        <v>1</v>
      </c>
      <c r="T189" s="13" t="str">
        <f ca="1">IFERROR(__xludf.DUMMYFUNCTION("IFERROR(IF(AND(R189="""",S189=true), SORTN(FILTER('Public Schools'!A:A,'Public Schools'!B:B=J189,'Public Schools'!C:C=H189),1,0,randarray(COUNTA(FILTER('Public Schools'!A:A,'Public Schools'!B:B=J189,'Public Schools'!C:C=H189)),1),TRUE),""""),"""")"),"")</f>
        <v/>
      </c>
      <c r="U189" s="23" t="str">
        <f t="array" aca="1" ref="U189" ca="1">IF(AND(R189="",T189=""),INDEX('Top 1500 HS LatitudeLongitude'!B$2:B$1501,MATCH(MIN(SQRT(('Top 1500 HS LatitudeLongitude'!H$2:H$1501-F189)^2+('Top 1500 HS LatitudeLongitude'!I$2:I$1501-G189)^2)),SQRT( ('Top 1500 HS LatitudeLongitude'!H$2:H$1501-F189)^2+('Top 1500 HS LatitudeLongitude'!I$2:I$1501-G189)^2),0),1),"")</f>
        <v/>
      </c>
    </row>
    <row r="190" spans="2:21" ht="15.6">
      <c r="B190" s="8">
        <v>0.97989897010000004</v>
      </c>
      <c r="C190" s="9" t="s">
        <v>254</v>
      </c>
      <c r="D190" s="9" t="s">
        <v>268</v>
      </c>
      <c r="E190" s="120" t="s">
        <v>1261</v>
      </c>
      <c r="F190" s="8">
        <v>43.064</v>
      </c>
      <c r="G190" s="8">
        <v>-87.966899999999995</v>
      </c>
      <c r="H190" s="3" t="str">
        <f t="shared" si="0"/>
        <v>Chicago</v>
      </c>
      <c r="I190" s="3" t="str">
        <f t="shared" si="1"/>
        <v>IL</v>
      </c>
      <c r="J190" s="3" t="str">
        <f t="array" ref="J190">INDEX('State Abbreviations'!$B$2:$B$52,MATCH(I190,'State Abbreviations'!$A$2:$A$52,0))</f>
        <v>Illinois</v>
      </c>
      <c r="K190" s="119" t="e">
        <f t="shared" ca="1" si="2"/>
        <v>#NAME?</v>
      </c>
      <c r="L190" s="13">
        <f t="shared" ca="1" si="11"/>
        <v>22</v>
      </c>
      <c r="M190" s="13" t="str">
        <f ca="1">IFERROR(__xludf.DUMMYFUNCTION("IF(AND(L190&gt;5,I190&lt;&gt;""AL"",I190&lt;&gt;""AK"",I190&lt;&gt;""AZ"",I190&lt;&gt;""AR"",I190&lt;&gt;""CA"",I190&lt;&gt;""CO"",I190&lt;&gt;""CT"",I190&lt;&gt;""DE"",I190&lt;&gt;""DC"",I190&lt;&gt;""FL"",I190&lt;&gt;""GA"",I190&lt;&gt;""HI"",I190&lt;&gt;""ID"",I190&lt;&gt;""IL"",I190&lt;&gt;""IN"",I190&lt;&gt;""IA"",I190&lt;&gt;""KS"",I190&lt;&gt;""KY"",I190&lt;&gt;"&amp;"""LA"",I190&lt;&gt;""ME"",I190&lt;&gt;""MD"",I190&lt;&gt;""MA"",I190&lt;&gt;""MI"",I190&lt;&gt;""MN"",I190&lt;&gt;""MS"",I190&lt;&gt;""MO"",I190&lt;&gt;""MT"",I190&lt;&gt;""NE"",I190&lt;&gt;""NV"",I190&lt;&gt;""NH"",I190&lt;&gt;""NJ"",I190&lt;&gt;""NM"",I190&lt;&gt;""NY"",I190&lt;&gt;""NC"",I190&lt;&gt;""ND"",I190&lt;&gt;""OH"",I190&lt;&gt;""OK"",I190&lt;&gt;""OR"",I"&amp;"190&lt;&gt;""PA"",I190&lt;&gt;""RI"",I190&lt;&gt;""SC"",I190&lt;&gt;""SD"",I190&lt;&gt;""TN"",I190&lt;&gt;""TX"",I190&lt;&gt;""UT"",I190&lt;&gt;""VT"",I190&lt;&gt;""VA"",I190&lt;&gt;""WA"",I190&lt;&gt;""WV"",I190&lt;&gt;""WI"",I190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0" s="13">
        <f t="shared" ca="1" si="10"/>
        <v>3</v>
      </c>
      <c r="O190" s="13" t="b">
        <f>ISNUMBER(MATCH(C190,'Top 250 HS'!C:C,0))</f>
        <v>0</v>
      </c>
      <c r="P190" s="13" t="str">
        <f ca="1">IFERROR(__xludf.DUMMYFUNCTION("SORTN(FILTER('Top 250 HS'!B:B,'Top 250 HS'!C:C=I190),1,0,randarray(COUNTA(FILTER('Top 250 HS'!B:B,'Top 250 HS'!C:C=I190)),1),TRUE)"),"Stevenson (Lincolnshire)")</f>
        <v>Stevenson (Lincolnshire)</v>
      </c>
      <c r="Q190" s="13" t="b">
        <f>ISNUMBER(MATCH("*"&amp;E190&amp;"*",'Top 1500 HS LatitudeLongitude'!G:G,0))</f>
        <v>1</v>
      </c>
      <c r="R190" s="13" t="str">
        <f ca="1">IFERROR(__xludf.DUMMYFUNCTION("IFS(L190=10,"""",Q190=false,"""",N190=5,"""",Q190=true,SORTN(FILTER('Top 1500 HS LatitudeLongitude'!B:B,'Top 1500 HS LatitudeLongitude'!C:C=I190,'Top 1500 HS LatitudeLongitude'!E:E=H190),1,0,randarray(COUNTA(FILTER('Top 1500 HS LatitudeLongitude'!B:B,'Top"&amp;" 1500 HS LatitudeLongitude'!C:C=I190,'Top 1500 HS LatitudeLongitude'!E:E=H190)),1),TRUE)
)"),"Whitney Young (Chicago)")</f>
        <v>Whitney Young (Chicago)</v>
      </c>
      <c r="S190" s="13" t="b">
        <f>ISNUMBER(MATCH("*"&amp;H:H&amp;"*",'Public Schools'!C:C,0))</f>
        <v>1</v>
      </c>
      <c r="T190" s="13" t="str">
        <f ca="1">IFERROR(__xludf.DUMMYFUNCTION("IFERROR(IF(AND(R190="""",S190=true), SORTN(FILTER('Public Schools'!A:A,'Public Schools'!B:B=J190,'Public Schools'!C:C=H190),1,0,randarray(COUNTA(FILTER('Public Schools'!A:A,'Public Schools'!B:B=J190,'Public Schools'!C:C=H190)),1),TRUE),""""),"""")"),"")</f>
        <v/>
      </c>
      <c r="U190" s="23" t="str">
        <f t="array" aca="1" ref="U190" ca="1">IF(AND(R190="",T190=""),INDEX('Top 1500 HS LatitudeLongitude'!B$2:B$1501,MATCH(MIN(SQRT(('Top 1500 HS LatitudeLongitude'!H$2:H$1501-F190)^2+('Top 1500 HS LatitudeLongitude'!I$2:I$1501-G190)^2)),SQRT( ('Top 1500 HS LatitudeLongitude'!H$2:H$1501-F190)^2+('Top 1500 HS LatitudeLongitude'!I$2:I$1501-G190)^2),0),1),"")</f>
        <v/>
      </c>
    </row>
    <row r="191" spans="2:21" ht="15.6">
      <c r="B191" s="8">
        <v>0.9908702023</v>
      </c>
      <c r="C191" s="9" t="s">
        <v>114</v>
      </c>
      <c r="D191" s="9" t="s">
        <v>404</v>
      </c>
      <c r="E191" s="37" t="s">
        <v>6914</v>
      </c>
      <c r="F191" s="8">
        <v>43.631399999999999</v>
      </c>
      <c r="G191" s="8">
        <v>-88.737899999999996</v>
      </c>
      <c r="H191" s="3" t="str">
        <f t="shared" si="0"/>
        <v>Apopka</v>
      </c>
      <c r="I191" s="3" t="str">
        <f t="shared" si="1"/>
        <v>FL</v>
      </c>
      <c r="J191" s="3" t="str">
        <f t="array" ref="J191">INDEX('State Abbreviations'!$B$2:$B$52,MATCH(I191,'State Abbreviations'!$A$2:$A$52,0))</f>
        <v>Florida</v>
      </c>
      <c r="K191" s="119" t="e">
        <f t="shared" ca="1" si="2"/>
        <v>#NAME?</v>
      </c>
      <c r="L191" s="13">
        <f t="shared" ca="1" si="11"/>
        <v>13</v>
      </c>
      <c r="M191" s="13" t="str">
        <f ca="1">IFERROR(__xludf.DUMMYFUNCTION("IF(AND(L191&gt;5,I191&lt;&gt;""AL"",I191&lt;&gt;""AK"",I191&lt;&gt;""AZ"",I191&lt;&gt;""AR"",I191&lt;&gt;""CA"",I191&lt;&gt;""CO"",I191&lt;&gt;""CT"",I191&lt;&gt;""DE"",I191&lt;&gt;""DC"",I191&lt;&gt;""FL"",I191&lt;&gt;""GA"",I191&lt;&gt;""HI"",I191&lt;&gt;""ID"",I191&lt;&gt;""IL"",I191&lt;&gt;""IN"",I191&lt;&gt;""IA"",I191&lt;&gt;""KS"",I191&lt;&gt;""KY"",I191&lt;&gt;"&amp;"""LA"",I191&lt;&gt;""ME"",I191&lt;&gt;""MD"",I191&lt;&gt;""MA"",I191&lt;&gt;""MI"",I191&lt;&gt;""MN"",I191&lt;&gt;""MS"",I191&lt;&gt;""MO"",I191&lt;&gt;""MT"",I191&lt;&gt;""NE"",I191&lt;&gt;""NV"",I191&lt;&gt;""NH"",I191&lt;&gt;""NJ"",I191&lt;&gt;""NM"",I191&lt;&gt;""NY"",I191&lt;&gt;""NC"",I191&lt;&gt;""ND"",I191&lt;&gt;""OH"",I191&lt;&gt;""OK"",I191&lt;&gt;""OR"",I"&amp;"191&lt;&gt;""PA"",I191&lt;&gt;""RI"",I191&lt;&gt;""SC"",I191&lt;&gt;""SD"",I191&lt;&gt;""TN"",I191&lt;&gt;""TX"",I191&lt;&gt;""UT"",I191&lt;&gt;""VT"",I191&lt;&gt;""VA"",I191&lt;&gt;""WA"",I191&lt;&gt;""WV"",I191&lt;&gt;""WI"",I191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1" s="13">
        <f t="shared" ca="1" si="10"/>
        <v>17</v>
      </c>
      <c r="O191" s="13" t="b">
        <f>ISNUMBER(MATCH(C191,'Top 250 HS'!C:C,0))</f>
        <v>0</v>
      </c>
      <c r="P191" s="13" t="str">
        <f ca="1">IFERROR(__xludf.DUMMYFUNCTION("SORTN(FILTER('Top 250 HS'!B:B,'Top 250 HS'!C:C=I191),1,0,randarray(COUNTA(FILTER('Top 250 HS'!B:B,'Top 250 HS'!C:C=I191)),1),TRUE)"),"Central Pointe Christian Academy (Kissimmee)")</f>
        <v>Central Pointe Christian Academy (Kissimmee)</v>
      </c>
      <c r="Q191" s="13" t="b">
        <f>ISNUMBER(MATCH("*"&amp;E191&amp;"*",'Top 1500 HS LatitudeLongitude'!G:G,0))</f>
        <v>1</v>
      </c>
      <c r="R191" s="13" t="str">
        <f ca="1">IFERROR(__xludf.DUMMYFUNCTION("IFS(L191=10,"""",Q191=false,"""",N191=5,"""",Q191=true,SORTN(FILTER('Top 1500 HS LatitudeLongitude'!B:B,'Top 1500 HS LatitudeLongitude'!C:C=I191,'Top 1500 HS LatitudeLongitude'!E:E=H191),1,0,randarray(COUNTA(FILTER('Top 1500 HS LatitudeLongitude'!B:B,'Top"&amp;" 1500 HS LatitudeLongitude'!C:C=I191,'Top 1500 HS LatitudeLongitude'!E:E=H191)),1),TRUE)
)"),"Apopka")</f>
        <v>Apopka</v>
      </c>
      <c r="S191" s="13" t="b">
        <f>ISNUMBER(MATCH("*"&amp;H:H&amp;"*",'Public Schools'!C:C,0))</f>
        <v>1</v>
      </c>
      <c r="T191" s="13" t="str">
        <f ca="1">IFERROR(__xludf.DUMMYFUNCTION("IFERROR(IF(AND(R191="""",S191=true), SORTN(FILTER('Public Schools'!A:A,'Public Schools'!B:B=J191,'Public Schools'!C:C=H191),1,0,randarray(COUNTA(FILTER('Public Schools'!A:A,'Public Schools'!B:B=J191,'Public Schools'!C:C=H191)),1),TRUE),""""),"""")"),"")</f>
        <v/>
      </c>
      <c r="U191" s="23" t="str">
        <f t="array" aca="1" ref="U191" ca="1">IF(AND(R191="",T191=""),INDEX('Top 1500 HS LatitudeLongitude'!B$2:B$1501,MATCH(MIN(SQRT(('Top 1500 HS LatitudeLongitude'!H$2:H$1501-F191)^2+('Top 1500 HS LatitudeLongitude'!I$2:I$1501-G191)^2)),SQRT( ('Top 1500 HS LatitudeLongitude'!H$2:H$1501-F191)^2+('Top 1500 HS LatitudeLongitude'!I$2:I$1501-G191)^2),0),1),"")</f>
        <v/>
      </c>
    </row>
    <row r="192" spans="2:21" ht="15.6">
      <c r="B192" s="8">
        <v>0.89805184920000003</v>
      </c>
      <c r="C192" s="9" t="s">
        <v>238</v>
      </c>
      <c r="D192" s="9" t="s">
        <v>326</v>
      </c>
      <c r="E192" s="120" t="s">
        <v>3228</v>
      </c>
      <c r="F192" s="8">
        <v>32.954500000000003</v>
      </c>
      <c r="G192" s="8">
        <v>-97.150300000000001</v>
      </c>
      <c r="H192" s="3" t="str">
        <f t="shared" si="0"/>
        <v>Brooklyn</v>
      </c>
      <c r="I192" s="3" t="str">
        <f t="shared" si="1"/>
        <v>NY</v>
      </c>
      <c r="J192" s="3" t="str">
        <f t="array" ref="J192">INDEX('State Abbreviations'!$B$2:$B$52,MATCH(I192,'State Abbreviations'!$A$2:$A$52,0))</f>
        <v>New York</v>
      </c>
      <c r="K192" s="119" t="e">
        <f t="shared" ca="1" si="2"/>
        <v>#NAME?</v>
      </c>
      <c r="L192" s="13">
        <f t="shared" ca="1" si="11"/>
        <v>24</v>
      </c>
      <c r="M192" s="13" t="str">
        <f ca="1">IFERROR(__xludf.DUMMYFUNCTION("IF(AND(L192&gt;5,I192&lt;&gt;""AL"",I192&lt;&gt;""AK"",I192&lt;&gt;""AZ"",I192&lt;&gt;""AR"",I192&lt;&gt;""CA"",I192&lt;&gt;""CO"",I192&lt;&gt;""CT"",I192&lt;&gt;""DE"",I192&lt;&gt;""DC"",I192&lt;&gt;""FL"",I192&lt;&gt;""GA"",I192&lt;&gt;""HI"",I192&lt;&gt;""ID"",I192&lt;&gt;""IL"",I192&lt;&gt;""IN"",I192&lt;&gt;""IA"",I192&lt;&gt;""KS"",I192&lt;&gt;""KY"",I192&lt;&gt;"&amp;"""LA"",I192&lt;&gt;""ME"",I192&lt;&gt;""MD"",I192&lt;&gt;""MA"",I192&lt;&gt;""MI"",I192&lt;&gt;""MN"",I192&lt;&gt;""MS"",I192&lt;&gt;""MO"",I192&lt;&gt;""MT"",I192&lt;&gt;""NE"",I192&lt;&gt;""NV"",I192&lt;&gt;""NH"",I192&lt;&gt;""NJ"",I192&lt;&gt;""NM"",I192&lt;&gt;""NY"",I192&lt;&gt;""NC"",I192&lt;&gt;""ND"",I192&lt;&gt;""OH"",I192&lt;&gt;""OK"",I192&lt;&gt;""OR"",I"&amp;"192&lt;&gt;""PA"",I192&lt;&gt;""RI"",I192&lt;&gt;""SC"",I192&lt;&gt;""SD"",I192&lt;&gt;""TN"",I192&lt;&gt;""TX"",I192&lt;&gt;""UT"",I192&lt;&gt;""VT"",I192&lt;&gt;""VA"",I192&lt;&gt;""WA"",I192&lt;&gt;""WV"",I192&lt;&gt;""WI"",I192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2" s="13">
        <f t="shared" ca="1" si="10"/>
        <v>16</v>
      </c>
      <c r="O192" s="13" t="b">
        <f>ISNUMBER(MATCH(C192,'Top 250 HS'!C:C,0))</f>
        <v>0</v>
      </c>
      <c r="P192" s="13" t="str">
        <f ca="1">IFERROR(__xludf.DUMMYFUNCTION("SORTN(FILTER('Top 250 HS'!B:B,'Top 250 HS'!C:C=I192),1,0,randarray(COUNTA(FILTER('Top 250 HS'!B:B,'Top 250 HS'!C:C=I192)),1),TRUE)"),"Long Island Lutheran (Brookville)")</f>
        <v>Long Island Lutheran (Brookville)</v>
      </c>
      <c r="Q192" s="13" t="b">
        <f>ISNUMBER(MATCH("*"&amp;E192&amp;"*",'Top 1500 HS LatitudeLongitude'!G:G,0))</f>
        <v>1</v>
      </c>
      <c r="R192" s="13" t="str">
        <f ca="1">IFERROR(__xludf.DUMMYFUNCTION("IFS(L192=10,"""",Q192=false,"""",N192=5,"""",Q192=true,SORTN(FILTER('Top 1500 HS LatitudeLongitude'!B:B,'Top 1500 HS LatitudeLongitude'!C:C=I192,'Top 1500 HS LatitudeLongitude'!E:E=H192),1,0,randarray(COUNTA(FILTER('Top 1500 HS LatitudeLongitude'!B:B,'Top"&amp;" 1500 HS LatitudeLongitude'!C:C=I192,'Top 1500 HS LatitudeLongitude'!E:E=H192)),1),TRUE)
)"),"Boys &amp; Girls (Brooklyn)")</f>
        <v>Boys &amp; Girls (Brooklyn)</v>
      </c>
      <c r="S192" s="13" t="b">
        <f>ISNUMBER(MATCH("*"&amp;H:H&amp;"*",'Public Schools'!C:C,0))</f>
        <v>1</v>
      </c>
      <c r="T192" s="13" t="str">
        <f ca="1">IFERROR(__xludf.DUMMYFUNCTION("IFERROR(IF(AND(R192="""",S192=true), SORTN(FILTER('Public Schools'!A:A,'Public Schools'!B:B=J192,'Public Schools'!C:C=H192),1,0,randarray(COUNTA(FILTER('Public Schools'!A:A,'Public Schools'!B:B=J192,'Public Schools'!C:C=H192)),1),TRUE),""""),"""")"),"")</f>
        <v/>
      </c>
      <c r="U192" s="23" t="str">
        <f t="array" aca="1" ref="U192" ca="1">IF(AND(R192="",T192=""),INDEX('Top 1500 HS LatitudeLongitude'!B$2:B$1501,MATCH(MIN(SQRT(('Top 1500 HS LatitudeLongitude'!H$2:H$1501-F192)^2+('Top 1500 HS LatitudeLongitude'!I$2:I$1501-G192)^2)),SQRT( ('Top 1500 HS LatitudeLongitude'!H$2:H$1501-F192)^2+('Top 1500 HS LatitudeLongitude'!I$2:I$1501-G192)^2),0),1),"")</f>
        <v/>
      </c>
    </row>
    <row r="193" spans="2:21" ht="15.6">
      <c r="B193" s="8">
        <v>4.7611344540000003E-2</v>
      </c>
      <c r="C193" s="9" t="s">
        <v>256</v>
      </c>
      <c r="D193" s="9" t="s">
        <v>405</v>
      </c>
      <c r="E193" s="37" t="s">
        <v>6986</v>
      </c>
      <c r="F193" s="8">
        <v>34.113999999999997</v>
      </c>
      <c r="G193" s="8">
        <v>-118.4068</v>
      </c>
      <c r="H193" s="3" t="str">
        <f t="shared" si="0"/>
        <v>Greeneville</v>
      </c>
      <c r="I193" s="3" t="str">
        <f t="shared" si="1"/>
        <v>TN</v>
      </c>
      <c r="J193" s="3" t="str">
        <f t="array" ref="J193">INDEX('State Abbreviations'!$B$2:$B$52,MATCH(I193,'State Abbreviations'!$A$2:$A$52,0))</f>
        <v>Tennessee</v>
      </c>
      <c r="K193" s="119" t="e">
        <f t="shared" ca="1" si="2"/>
        <v>#NAME?</v>
      </c>
      <c r="L193" s="13">
        <f t="shared" ca="1" si="11"/>
        <v>19</v>
      </c>
      <c r="M193" s="13" t="str">
        <f ca="1">IFERROR(__xludf.DUMMYFUNCTION("IF(AND(L193&gt;5,I193&lt;&gt;""AL"",I193&lt;&gt;""AK"",I193&lt;&gt;""AZ"",I193&lt;&gt;""AR"",I193&lt;&gt;""CA"",I193&lt;&gt;""CO"",I193&lt;&gt;""CT"",I193&lt;&gt;""DE"",I193&lt;&gt;""DC"",I193&lt;&gt;""FL"",I193&lt;&gt;""GA"",I193&lt;&gt;""HI"",I193&lt;&gt;""ID"",I193&lt;&gt;""IL"",I193&lt;&gt;""IN"",I193&lt;&gt;""IA"",I193&lt;&gt;""KS"",I193&lt;&gt;""KY"",I193&lt;&gt;"&amp;"""LA"",I193&lt;&gt;""ME"",I193&lt;&gt;""MD"",I193&lt;&gt;""MA"",I193&lt;&gt;""MI"",I193&lt;&gt;""MN"",I193&lt;&gt;""MS"",I193&lt;&gt;""MO"",I193&lt;&gt;""MT"",I193&lt;&gt;""NE"",I193&lt;&gt;""NV"",I193&lt;&gt;""NH"",I193&lt;&gt;""NJ"",I193&lt;&gt;""NM"",I193&lt;&gt;""NY"",I193&lt;&gt;""NC"",I193&lt;&gt;""ND"",I193&lt;&gt;""OH"",I193&lt;&gt;""OK"",I193&lt;&gt;""OR"",I"&amp;"193&lt;&gt;""PA"",I193&lt;&gt;""RI"",I193&lt;&gt;""SC"",I193&lt;&gt;""SD"",I193&lt;&gt;""TN"",I193&lt;&gt;""TX"",I193&lt;&gt;""UT"",I193&lt;&gt;""VT"",I193&lt;&gt;""VA"",I193&lt;&gt;""WA"",I193&lt;&gt;""WV"",I193&lt;&gt;""WI"",I193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3" s="13">
        <f t="shared" ca="1" si="10"/>
        <v>6</v>
      </c>
      <c r="O193" s="13" t="b">
        <f>ISNUMBER(MATCH(C193,'Top 250 HS'!C:C,0))</f>
        <v>0</v>
      </c>
      <c r="P193" s="13" t="str">
        <f ca="1">IFERROR(__xludf.DUMMYFUNCTION("SORTN(FILTER('Top 250 HS'!B:B,'Top 250 HS'!C:C=I193),1,0,randarray(COUNTA(FILTER('Top 250 HS'!B:B,'Top 250 HS'!C:C=I193)),1),TRUE)"),"Whitehaven (Memphis)")</f>
        <v>Whitehaven (Memphis)</v>
      </c>
      <c r="Q193" s="13" t="b">
        <f>ISNUMBER(MATCH("*"&amp;E193&amp;"*",'Top 1500 HS LatitudeLongitude'!G:G,0))</f>
        <v>1</v>
      </c>
      <c r="R193" s="13" t="str">
        <f ca="1">IFERROR(__xludf.DUMMYFUNCTION("IFS(L193=10,"""",Q193=false,"""",N193=5,"""",Q193=true,SORTN(FILTER('Top 1500 HS LatitudeLongitude'!B:B,'Top 1500 HS LatitudeLongitude'!C:C=I193,'Top 1500 HS LatitudeLongitude'!E:E=H193),1,0,randarray(COUNTA(FILTER('Top 1500 HS LatitudeLongitude'!B:B,'Top"&amp;" 1500 HS LatitudeLongitude'!C:C=I193,'Top 1500 HS LatitudeLongitude'!E:E=H193)),1),TRUE)
)"),"Greeneville")</f>
        <v>Greeneville</v>
      </c>
      <c r="S193" s="13" t="b">
        <f>ISNUMBER(MATCH("*"&amp;H:H&amp;"*",'Public Schools'!C:C,0))</f>
        <v>1</v>
      </c>
      <c r="T193" s="13" t="str">
        <f ca="1">IFERROR(__xludf.DUMMYFUNCTION("IFERROR(IF(AND(R193="""",S193=true), SORTN(FILTER('Public Schools'!A:A,'Public Schools'!B:B=J193,'Public Schools'!C:C=H193),1,0,randarray(COUNTA(FILTER('Public Schools'!A:A,'Public Schools'!B:B=J193,'Public Schools'!C:C=H193)),1),TRUE),""""),"""")"),"")</f>
        <v/>
      </c>
      <c r="U193" s="23" t="str">
        <f t="array" aca="1" ref="U193" ca="1">IF(AND(R193="",T193=""),INDEX('Top 1500 HS LatitudeLongitude'!B$2:B$1501,MATCH(MIN(SQRT(('Top 1500 HS LatitudeLongitude'!H$2:H$1501-F193)^2+('Top 1500 HS LatitudeLongitude'!I$2:I$1501-G193)^2)),SQRT( ('Top 1500 HS LatitudeLongitude'!H$2:H$1501-F193)^2+('Top 1500 HS LatitudeLongitude'!I$2:I$1501-G193)^2),0),1),"")</f>
        <v/>
      </c>
    </row>
    <row r="194" spans="2:21" ht="15.6">
      <c r="B194" s="8">
        <v>0.21837807449999999</v>
      </c>
      <c r="C194" s="9" t="s">
        <v>406</v>
      </c>
      <c r="D194" s="9" t="s">
        <v>407</v>
      </c>
      <c r="E194" s="120" t="s">
        <v>7030</v>
      </c>
      <c r="F194" s="8">
        <v>33.762700000000002</v>
      </c>
      <c r="G194" s="8">
        <v>-84.423100000000005</v>
      </c>
      <c r="H194" s="3" t="str">
        <f t="shared" si="0"/>
        <v>Calais</v>
      </c>
      <c r="I194" s="3" t="str">
        <f t="shared" si="1"/>
        <v>ME</v>
      </c>
      <c r="J194" s="3" t="str">
        <f t="array" ref="J194">INDEX('State Abbreviations'!$B$2:$B$52,MATCH(I194,'State Abbreviations'!$A$2:$A$52,0))</f>
        <v>Maine</v>
      </c>
      <c r="K194" s="119" t="e">
        <f t="shared" ca="1" si="2"/>
        <v>#NAME?</v>
      </c>
      <c r="L194" s="13">
        <f t="shared" ca="1" si="11"/>
        <v>29</v>
      </c>
      <c r="M194" s="13" t="str">
        <f ca="1">IFERROR(__xludf.DUMMYFUNCTION("IF(AND(L194&gt;5,I194&lt;&gt;""AL"",I194&lt;&gt;""AK"",I194&lt;&gt;""AZ"",I194&lt;&gt;""AR"",I194&lt;&gt;""CA"",I194&lt;&gt;""CO"",I194&lt;&gt;""CT"",I194&lt;&gt;""DE"",I194&lt;&gt;""DC"",I194&lt;&gt;""FL"",I194&lt;&gt;""GA"",I194&lt;&gt;""HI"",I194&lt;&gt;""ID"",I194&lt;&gt;""IL"",I194&lt;&gt;""IN"",I194&lt;&gt;""IA"",I194&lt;&gt;""KS"",I194&lt;&gt;""KY"",I194&lt;&gt;"&amp;"""LA"",I194&lt;&gt;""ME"",I194&lt;&gt;""MD"",I194&lt;&gt;""MA"",I194&lt;&gt;""MI"",I194&lt;&gt;""MN"",I194&lt;&gt;""MS"",I194&lt;&gt;""MO"",I194&lt;&gt;""MT"",I194&lt;&gt;""NE"",I194&lt;&gt;""NV"",I194&lt;&gt;""NH"",I194&lt;&gt;""NJ"",I194&lt;&gt;""NM"",I194&lt;&gt;""NY"",I194&lt;&gt;""NC"",I194&lt;&gt;""ND"",I194&lt;&gt;""OH"",I194&lt;&gt;""OK"",I194&lt;&gt;""OR"",I"&amp;"194&lt;&gt;""PA"",I194&lt;&gt;""RI"",I194&lt;&gt;""SC"",I194&lt;&gt;""SD"",I194&lt;&gt;""TN"",I194&lt;&gt;""TX"",I194&lt;&gt;""UT"",I194&lt;&gt;""VT"",I194&lt;&gt;""VA"",I194&lt;&gt;""WA"",I194&lt;&gt;""WV"",I194&lt;&gt;""WI"",I194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4" s="13">
        <f t="shared" ca="1" si="10"/>
        <v>17</v>
      </c>
      <c r="O194" s="13" t="b">
        <f>ISNUMBER(MATCH(C194,'Top 250 HS'!C:C,0))</f>
        <v>0</v>
      </c>
      <c r="P194" s="13" t="str">
        <f ca="1">IFERROR(__xludf.DUMMYFUNCTION("SORTN(FILTER('Top 250 HS'!B:B,'Top 250 HS'!C:C=I194),1,0,randarray(COUNTA(FILTER('Top 250 HS'!B:B,'Top 250 HS'!C:C=I194)),1),TRUE)"),"Caribou")</f>
        <v>Caribou</v>
      </c>
      <c r="Q194" s="13" t="b">
        <f>ISNUMBER(MATCH("*"&amp;E194&amp;"*",'Top 1500 HS LatitudeLongitude'!G:G,0))</f>
        <v>0</v>
      </c>
      <c r="R194" s="13" t="str">
        <f ca="1">IFERROR(__xludf.DUMMYFUNCTION("IFS(L194=10,"""",Q194=false,"""",N194=5,"""",Q194=true,SORTN(FILTER('Top 1500 HS LatitudeLongitude'!B:B,'Top 1500 HS LatitudeLongitude'!C:C=I194,'Top 1500 HS LatitudeLongitude'!E:E=H194),1,0,randarray(COUNTA(FILTER('Top 1500 HS LatitudeLongitude'!B:B,'Top"&amp;" 1500 HS LatitudeLongitude'!C:C=I194,'Top 1500 HS LatitudeLongitude'!E:E=H194)),1),TRUE)
)"),"")</f>
        <v/>
      </c>
      <c r="S194" s="13" t="b">
        <f>ISNUMBER(MATCH("*"&amp;H:H&amp;"*",'Public Schools'!C:C,0))</f>
        <v>1</v>
      </c>
      <c r="T194" s="13" t="str">
        <f ca="1">IFERROR(__xludf.DUMMYFUNCTION("IFERROR(IF(AND(R194="""",S194=true), SORTN(FILTER('Public Schools'!A:A,'Public Schools'!B:B=J194,'Public Schools'!C:C=H194),1,0,randarray(COUNTA(FILTER('Public Schools'!A:A,'Public Schools'!B:B=J194,'Public Schools'!C:C=H194)),1),TRUE),""""),"""")"),"Calais Middle/High School")</f>
        <v>Calais Middle/High School</v>
      </c>
      <c r="U194" s="23" t="str">
        <f t="array" aca="1" ref="U194" ca="1">IF(AND(R194="",T194=""),INDEX('Top 1500 HS LatitudeLongitude'!B$2:B$1501,MATCH(MIN(SQRT(('Top 1500 HS LatitudeLongitude'!H$2:H$1501-F194)^2+('Top 1500 HS LatitudeLongitude'!I$2:I$1501-G194)^2)),SQRT( ('Top 1500 HS LatitudeLongitude'!H$2:H$1501-F194)^2+('Top 1500 HS LatitudeLongitude'!I$2:I$1501-G194)^2),0),1),"")</f>
        <v/>
      </c>
    </row>
    <row r="195" spans="2:21" ht="15.6">
      <c r="B195" s="8">
        <v>0.81067225600000004</v>
      </c>
      <c r="C195" s="9" t="s">
        <v>249</v>
      </c>
      <c r="D195" s="9" t="s">
        <v>408</v>
      </c>
      <c r="E195" s="37" t="s">
        <v>7067</v>
      </c>
      <c r="F195" s="8">
        <v>35.233699999999999</v>
      </c>
      <c r="G195" s="8">
        <v>-89.819500000000005</v>
      </c>
      <c r="H195" s="3" t="str">
        <f t="shared" si="0"/>
        <v>Godwin</v>
      </c>
      <c r="I195" s="3" t="str">
        <f t="shared" si="1"/>
        <v>NC</v>
      </c>
      <c r="J195" s="3" t="str">
        <f t="array" ref="J195">INDEX('State Abbreviations'!$B$2:$B$52,MATCH(I195,'State Abbreviations'!$A$2:$A$52,0))</f>
        <v>North Carolina</v>
      </c>
      <c r="K195" s="119" t="e">
        <f t="shared" ca="1" si="2"/>
        <v>#NAME?</v>
      </c>
      <c r="L195" s="13">
        <f t="shared" ca="1" si="11"/>
        <v>22</v>
      </c>
      <c r="M195" s="13" t="str">
        <f ca="1">IFERROR(__xludf.DUMMYFUNCTION("IF(AND(L195&gt;5,I195&lt;&gt;""AL"",I195&lt;&gt;""AK"",I195&lt;&gt;""AZ"",I195&lt;&gt;""AR"",I195&lt;&gt;""CA"",I195&lt;&gt;""CO"",I195&lt;&gt;""CT"",I195&lt;&gt;""DE"",I195&lt;&gt;""DC"",I195&lt;&gt;""FL"",I195&lt;&gt;""GA"",I195&lt;&gt;""HI"",I195&lt;&gt;""ID"",I195&lt;&gt;""IL"",I195&lt;&gt;""IN"",I195&lt;&gt;""IA"",I195&lt;&gt;""KS"",I195&lt;&gt;""KY"",I195&lt;&gt;"&amp;"""LA"",I195&lt;&gt;""ME"",I195&lt;&gt;""MD"",I195&lt;&gt;""MA"",I195&lt;&gt;""MI"",I195&lt;&gt;""MN"",I195&lt;&gt;""MS"",I195&lt;&gt;""MO"",I195&lt;&gt;""MT"",I195&lt;&gt;""NE"",I195&lt;&gt;""NV"",I195&lt;&gt;""NH"",I195&lt;&gt;""NJ"",I195&lt;&gt;""NM"",I195&lt;&gt;""NY"",I195&lt;&gt;""NC"",I195&lt;&gt;""ND"",I195&lt;&gt;""OH"",I195&lt;&gt;""OK"",I195&lt;&gt;""OR"",I"&amp;"195&lt;&gt;""PA"",I195&lt;&gt;""RI"",I195&lt;&gt;""SC"",I195&lt;&gt;""SD"",I195&lt;&gt;""TN"",I195&lt;&gt;""TX"",I195&lt;&gt;""UT"",I195&lt;&gt;""VT"",I195&lt;&gt;""VA"",I195&lt;&gt;""WA"",I195&lt;&gt;""WV"",I195&lt;&gt;""WI"",I195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5" s="13">
        <f t="shared" ca="1" si="10"/>
        <v>16</v>
      </c>
      <c r="O195" s="13" t="b">
        <f>ISNUMBER(MATCH(C195,'Top 250 HS'!C:C,0))</f>
        <v>0</v>
      </c>
      <c r="P195" s="13" t="str">
        <f ca="1">IFERROR(__xludf.DUMMYFUNCTION("SORTN(FILTER('Top 250 HS'!B:B,'Top 250 HS'!C:C=I195),1,0,randarray(COUNTA(FILTER('Top 250 HS'!B:B,'Top 250 HS'!C:C=I195)),1),TRUE)"),"Davidson Day (Davidson)")</f>
        <v>Davidson Day (Davidson)</v>
      </c>
      <c r="Q195" s="13" t="b">
        <f>ISNUMBER(MATCH("*"&amp;E195&amp;"*",'Top 1500 HS LatitudeLongitude'!G:G,0))</f>
        <v>0</v>
      </c>
      <c r="R195" s="13" t="str">
        <f ca="1">IFERROR(__xludf.DUMMYFUNCTION("IFS(L195=10,"""",Q195=false,"""",N195=5,"""",Q195=true,SORTN(FILTER('Top 1500 HS LatitudeLongitude'!B:B,'Top 1500 HS LatitudeLongitude'!C:C=I195,'Top 1500 HS LatitudeLongitude'!E:E=H195),1,0,randarray(COUNTA(FILTER('Top 1500 HS LatitudeLongitude'!B:B,'Top"&amp;" 1500 HS LatitudeLongitude'!C:C=I195,'Top 1500 HS LatitudeLongitude'!E:E=H195)),1),TRUE)
)"),"")</f>
        <v/>
      </c>
      <c r="S195" s="13" t="b">
        <f>ISNUMBER(MATCH("*"&amp;H:H&amp;"*",'Public Schools'!C:C,0))</f>
        <v>0</v>
      </c>
      <c r="T195" s="13" t="str">
        <f ca="1">IFERROR(__xludf.DUMMYFUNCTION("IFERROR(IF(AND(R195="""",S195=true), SORTN(FILTER('Public Schools'!A:A,'Public Schools'!B:B=J195,'Public Schools'!C:C=H195),1,0,randarray(COUNTA(FILTER('Public Schools'!A:A,'Public Schools'!B:B=J195,'Public Schools'!C:C=H195)),1),TRUE),""""),"""")"),"")</f>
        <v/>
      </c>
      <c r="U195" s="23" t="str">
        <f t="array" aca="1" ref="U195" ca="1">IF(AND(R195="",T195=""),INDEX('Top 1500 HS LatitudeLongitude'!B$2:B$1501,MATCH(MIN(SQRT(('Top 1500 HS LatitudeLongitude'!H$2:H$1501-F195)^2+('Top 1500 HS LatitudeLongitude'!I$2:I$1501-G195)^2)),SQRT( ('Top 1500 HS LatitudeLongitude'!H$2:H$1501-F195)^2+('Top 1500 HS LatitudeLongitude'!I$2:I$1501-G195)^2),0),1),"")</f>
        <v>Bartlett</v>
      </c>
    </row>
    <row r="196" spans="2:21" ht="15.6">
      <c r="B196" s="8">
        <v>0.7406510395</v>
      </c>
      <c r="C196" s="9" t="s">
        <v>148</v>
      </c>
      <c r="D196" s="9" t="s">
        <v>409</v>
      </c>
      <c r="E196" s="120" t="s">
        <v>7110</v>
      </c>
      <c r="F196" s="8">
        <v>40.007599999999996</v>
      </c>
      <c r="G196" s="8">
        <v>-75.134</v>
      </c>
      <c r="H196" s="3" t="str">
        <f t="shared" si="0"/>
        <v>Statesboro</v>
      </c>
      <c r="I196" s="3" t="str">
        <f t="shared" si="1"/>
        <v>GA</v>
      </c>
      <c r="J196" s="3" t="str">
        <f t="array" ref="J196">INDEX('State Abbreviations'!$B$2:$B$52,MATCH(I196,'State Abbreviations'!$A$2:$A$52,0))</f>
        <v>Georgia</v>
      </c>
      <c r="K196" s="119" t="e">
        <f t="shared" ca="1" si="2"/>
        <v>#NAME?</v>
      </c>
      <c r="L196" s="13">
        <f t="shared" ca="1" si="11"/>
        <v>3</v>
      </c>
      <c r="M196" s="13" t="str">
        <f ca="1">IFERROR(__xludf.DUMMYFUNCTION("IF(AND(L196&gt;5,I196&lt;&gt;""AL"",I196&lt;&gt;""AK"",I196&lt;&gt;""AZ"",I196&lt;&gt;""AR"",I196&lt;&gt;""CA"",I196&lt;&gt;""CO"",I196&lt;&gt;""CT"",I196&lt;&gt;""DE"",I196&lt;&gt;""DC"",I196&lt;&gt;""FL"",I196&lt;&gt;""GA"",I196&lt;&gt;""HI"",I196&lt;&gt;""ID"",I196&lt;&gt;""IL"",I196&lt;&gt;""IN"",I196&lt;&gt;""IA"",I196&lt;&gt;""KS"",I196&lt;&gt;""KY"",I196&lt;&gt;"&amp;"""LA"",I196&lt;&gt;""ME"",I196&lt;&gt;""MD"",I196&lt;&gt;""MA"",I196&lt;&gt;""MI"",I196&lt;&gt;""MN"",I196&lt;&gt;""MS"",I196&lt;&gt;""MO"",I196&lt;&gt;""MT"",I196&lt;&gt;""NE"",I196&lt;&gt;""NV"",I196&lt;&gt;""NH"",I196&lt;&gt;""NJ"",I196&lt;&gt;""NM"",I196&lt;&gt;""NY"",I196&lt;&gt;""NC"",I196&lt;&gt;""ND"",I196&lt;&gt;""OH"",I196&lt;&gt;""OK"",I196&lt;&gt;""OR"",I"&amp;"196&lt;&gt;""PA"",I196&lt;&gt;""RI"",I196&lt;&gt;""SC"",I196&lt;&gt;""SD"",I196&lt;&gt;""TN"",I196&lt;&gt;""TX"",I196&lt;&gt;""UT"",I196&lt;&gt;""VT"",I196&lt;&gt;""VA"",I196&lt;&gt;""WA"",I196&lt;&gt;""WV"",I196&lt;&gt;""WI"",I196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6" s="13">
        <f t="shared" ca="1" si="10"/>
        <v>19</v>
      </c>
      <c r="O196" s="13" t="b">
        <f>ISNUMBER(MATCH(C196,'Top 250 HS'!C:C,0))</f>
        <v>0</v>
      </c>
      <c r="P196" s="13" t="str">
        <f ca="1">IFERROR(__xludf.DUMMYFUNCTION("SORTN(FILTER('Top 250 HS'!B:B,'Top 250 HS'!C:C=I196),1,0,randarray(COUNTA(FILTER('Top 250 HS'!B:B,'Top 250 HS'!C:C=I196)),1),TRUE)"),"South Cobb (Austell)")</f>
        <v>South Cobb (Austell)</v>
      </c>
      <c r="Q196" s="13" t="b">
        <f>ISNUMBER(MATCH("*"&amp;E196&amp;"*",'Top 1500 HS LatitudeLongitude'!G:G,0))</f>
        <v>0</v>
      </c>
      <c r="R196" s="13" t="str">
        <f ca="1">IFERROR(__xludf.DUMMYFUNCTION("IFS(L196=10,"""",Q196=false,"""",N196=5,"""",Q196=true,SORTN(FILTER('Top 1500 HS LatitudeLongitude'!B:B,'Top 1500 HS LatitudeLongitude'!C:C=I196,'Top 1500 HS LatitudeLongitude'!E:E=H196),1,0,randarray(COUNTA(FILTER('Top 1500 HS LatitudeLongitude'!B:B,'Top"&amp;" 1500 HS LatitudeLongitude'!C:C=I196,'Top 1500 HS LatitudeLongitude'!E:E=H196)),1),TRUE)
)"),"")</f>
        <v/>
      </c>
      <c r="S196" s="13" t="b">
        <f>ISNUMBER(MATCH("*"&amp;H:H&amp;"*",'Public Schools'!C:C,0))</f>
        <v>1</v>
      </c>
      <c r="T196" s="13" t="str">
        <f ca="1">IFERROR(__xludf.DUMMYFUNCTION("IFERROR(IF(AND(R196="""",S196=true), SORTN(FILTER('Public Schools'!A:A,'Public Schools'!B:B=J196,'Public Schools'!C:C=H196),1,0,randarray(COUNTA(FILTER('Public Schools'!A:A,'Public Schools'!B:B=J196,'Public Schools'!C:C=H196)),1),TRUE),""""),"""")"),"Statesboro Steam Academy")</f>
        <v>Statesboro Steam Academy</v>
      </c>
      <c r="U196" s="23" t="str">
        <f t="array" aca="1" ref="U196" ca="1">IF(AND(R196="",T196=""),INDEX('Top 1500 HS LatitudeLongitude'!B$2:B$1501,MATCH(MIN(SQRT(('Top 1500 HS LatitudeLongitude'!H$2:H$1501-F196)^2+('Top 1500 HS LatitudeLongitude'!I$2:I$1501-G196)^2)),SQRT( ('Top 1500 HS LatitudeLongitude'!H$2:H$1501-F196)^2+('Top 1500 HS LatitudeLongitude'!I$2:I$1501-G196)^2),0),1),"")</f>
        <v/>
      </c>
    </row>
    <row r="197" spans="2:21" ht="15.6">
      <c r="B197" s="8">
        <v>0.99116558980000002</v>
      </c>
      <c r="C197" s="9" t="s">
        <v>206</v>
      </c>
      <c r="D197" s="9" t="s">
        <v>368</v>
      </c>
      <c r="E197" s="37" t="s">
        <v>5012</v>
      </c>
      <c r="F197" s="8">
        <v>43.940300000000001</v>
      </c>
      <c r="G197" s="8">
        <v>-90.808400000000006</v>
      </c>
      <c r="H197" s="3" t="str">
        <f t="shared" si="0"/>
        <v>Houston</v>
      </c>
      <c r="I197" s="3" t="str">
        <f t="shared" si="1"/>
        <v>TX</v>
      </c>
      <c r="J197" s="3" t="str">
        <f t="array" ref="J197">INDEX('State Abbreviations'!$B$2:$B$52,MATCH(I197,'State Abbreviations'!$A$2:$A$52,0))</f>
        <v>Texas</v>
      </c>
      <c r="K197" s="119" t="e">
        <f t="shared" ca="1" si="2"/>
        <v>#NAME?</v>
      </c>
      <c r="L197" s="13">
        <f t="shared" ca="1" si="11"/>
        <v>4</v>
      </c>
      <c r="M197" s="13" t="str">
        <f ca="1">IFERROR(__xludf.DUMMYFUNCTION("IF(AND(L197&gt;5,I197&lt;&gt;""AL"",I197&lt;&gt;""AK"",I197&lt;&gt;""AZ"",I197&lt;&gt;""AR"",I197&lt;&gt;""CA"",I197&lt;&gt;""CO"",I197&lt;&gt;""CT"",I197&lt;&gt;""DE"",I197&lt;&gt;""DC"",I197&lt;&gt;""FL"",I197&lt;&gt;""GA"",I197&lt;&gt;""HI"",I197&lt;&gt;""ID"",I197&lt;&gt;""IL"",I197&lt;&gt;""IN"",I197&lt;&gt;""IA"",I197&lt;&gt;""KS"",I197&lt;&gt;""KY"",I197&lt;&gt;"&amp;"""LA"",I197&lt;&gt;""ME"",I197&lt;&gt;""MD"",I197&lt;&gt;""MA"",I197&lt;&gt;""MI"",I197&lt;&gt;""MN"",I197&lt;&gt;""MS"",I197&lt;&gt;""MO"",I197&lt;&gt;""MT"",I197&lt;&gt;""NE"",I197&lt;&gt;""NV"",I197&lt;&gt;""NH"",I197&lt;&gt;""NJ"",I197&lt;&gt;""NM"",I197&lt;&gt;""NY"",I197&lt;&gt;""NC"",I197&lt;&gt;""ND"",I197&lt;&gt;""OH"",I197&lt;&gt;""OK"",I197&lt;&gt;""OR"",I"&amp;"197&lt;&gt;""PA"",I197&lt;&gt;""RI"",I197&lt;&gt;""SC"",I197&lt;&gt;""SD"",I197&lt;&gt;""TN"",I197&lt;&gt;""TX"",I197&lt;&gt;""UT"",I197&lt;&gt;""VT"",I197&lt;&gt;""VA"",I197&lt;&gt;""WA"",I197&lt;&gt;""WV"",I197&lt;&gt;""WI"",I197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7" s="13">
        <f t="shared" ca="1" si="10"/>
        <v>15</v>
      </c>
      <c r="O197" s="13" t="b">
        <f>ISNUMBER(MATCH(C197,'Top 250 HS'!C:C,0))</f>
        <v>0</v>
      </c>
      <c r="P197" s="13" t="str">
        <f ca="1">IFERROR(__xludf.DUMMYFUNCTION("SORTN(FILTER('Top 250 HS'!B:B,'Top 250 HS'!C:C=I197),1,0,randarray(COUNTA(FILTER('Top 250 HS'!B:B,'Top 250 HS'!C:C=I197)),1),TRUE)"),"Brandeis (San Antonio)")</f>
        <v>Brandeis (San Antonio)</v>
      </c>
      <c r="Q197" s="13" t="b">
        <f>ISNUMBER(MATCH("*"&amp;E197&amp;"*",'Top 1500 HS LatitudeLongitude'!G:G,0))</f>
        <v>1</v>
      </c>
      <c r="R197" s="13" t="str">
        <f ca="1">IFERROR(__xludf.DUMMYFUNCTION("IFS(L197=10,"""",Q197=false,"""",N197=5,"""",Q197=true,SORTN(FILTER('Top 1500 HS LatitudeLongitude'!B:B,'Top 1500 HS LatitudeLongitude'!C:C=I197,'Top 1500 HS LatitudeLongitude'!E:E=H197),1,0,randarray(COUNTA(FILTER('Top 1500 HS LatitudeLongitude'!B:B,'Top"&amp;" 1500 HS LatitudeLongitude'!C:C=I197,'Top 1500 HS LatitudeLongitude'!E:E=H197)),1),TRUE)
)"),"Yates (Houston)")</f>
        <v>Yates (Houston)</v>
      </c>
      <c r="S197" s="13" t="b">
        <f>ISNUMBER(MATCH("*"&amp;H:H&amp;"*",'Public Schools'!C:C,0))</f>
        <v>1</v>
      </c>
      <c r="T197" s="13" t="str">
        <f ca="1">IFERROR(__xludf.DUMMYFUNCTION("IFERROR(IF(AND(R197="""",S197=true), SORTN(FILTER('Public Schools'!A:A,'Public Schools'!B:B=J197,'Public Schools'!C:C=H197),1,0,randarray(COUNTA(FILTER('Public Schools'!A:A,'Public Schools'!B:B=J197,'Public Schools'!C:C=H197)),1),TRUE),""""),"""")"),"")</f>
        <v/>
      </c>
      <c r="U197" s="23" t="str">
        <f t="array" aca="1" ref="U197" ca="1">IF(AND(R197="",T197=""),INDEX('Top 1500 HS LatitudeLongitude'!B$2:B$1501,MATCH(MIN(SQRT(('Top 1500 HS LatitudeLongitude'!H$2:H$1501-F197)^2+('Top 1500 HS LatitudeLongitude'!I$2:I$1501-G197)^2)),SQRT( ('Top 1500 HS LatitudeLongitude'!H$2:H$1501-F197)^2+('Top 1500 HS LatitudeLongitude'!I$2:I$1501-G197)^2),0),1),"")</f>
        <v/>
      </c>
    </row>
    <row r="198" spans="2:21" ht="15.6">
      <c r="B198" s="8">
        <v>4.1210949179999998E-2</v>
      </c>
      <c r="C198" s="9" t="s">
        <v>206</v>
      </c>
      <c r="D198" s="9" t="s">
        <v>410</v>
      </c>
      <c r="E198" s="120" t="s">
        <v>7192</v>
      </c>
      <c r="F198" s="8">
        <v>31.563099999999999</v>
      </c>
      <c r="G198" s="8">
        <v>-110.31529999999999</v>
      </c>
      <c r="H198" s="3" t="str">
        <f t="shared" si="0"/>
        <v>Killeen</v>
      </c>
      <c r="I198" s="3" t="str">
        <f t="shared" si="1"/>
        <v>TX</v>
      </c>
      <c r="J198" s="3" t="str">
        <f t="array" ref="J198">INDEX('State Abbreviations'!$B$2:$B$52,MATCH(I198,'State Abbreviations'!$A$2:$A$52,0))</f>
        <v>Texas</v>
      </c>
      <c r="K198" s="119" t="e">
        <f t="shared" ca="1" si="2"/>
        <v>#NAME?</v>
      </c>
      <c r="L198" s="13">
        <f t="shared" ca="1" si="11"/>
        <v>14</v>
      </c>
      <c r="M198" s="13" t="str">
        <f ca="1">IFERROR(__xludf.DUMMYFUNCTION("IF(AND(L198&gt;5,I198&lt;&gt;""AL"",I198&lt;&gt;""AK"",I198&lt;&gt;""AZ"",I198&lt;&gt;""AR"",I198&lt;&gt;""CA"",I198&lt;&gt;""CO"",I198&lt;&gt;""CT"",I198&lt;&gt;""DE"",I198&lt;&gt;""DC"",I198&lt;&gt;""FL"",I198&lt;&gt;""GA"",I198&lt;&gt;""HI"",I198&lt;&gt;""ID"",I198&lt;&gt;""IL"",I198&lt;&gt;""IN"",I198&lt;&gt;""IA"",I198&lt;&gt;""KS"",I198&lt;&gt;""KY"",I198&lt;&gt;"&amp;"""LA"",I198&lt;&gt;""ME"",I198&lt;&gt;""MD"",I198&lt;&gt;""MA"",I198&lt;&gt;""MI"",I198&lt;&gt;""MN"",I198&lt;&gt;""MS"",I198&lt;&gt;""MO"",I198&lt;&gt;""MT"",I198&lt;&gt;""NE"",I198&lt;&gt;""NV"",I198&lt;&gt;""NH"",I198&lt;&gt;""NJ"",I198&lt;&gt;""NM"",I198&lt;&gt;""NY"",I198&lt;&gt;""NC"",I198&lt;&gt;""ND"",I198&lt;&gt;""OH"",I198&lt;&gt;""OK"",I198&lt;&gt;""OR"",I"&amp;"198&lt;&gt;""PA"",I198&lt;&gt;""RI"",I198&lt;&gt;""SC"",I198&lt;&gt;""SD"",I198&lt;&gt;""TN"",I198&lt;&gt;""TX"",I198&lt;&gt;""UT"",I198&lt;&gt;""VT"",I198&lt;&gt;""VA"",I198&lt;&gt;""WA"",I198&lt;&gt;""WV"",I198&lt;&gt;""WI"",I198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8" s="13">
        <f t="shared" ca="1" si="10"/>
        <v>15</v>
      </c>
      <c r="O198" s="13" t="b">
        <f>ISNUMBER(MATCH(C198,'Top 250 HS'!C:C,0))</f>
        <v>0</v>
      </c>
      <c r="P198" s="13" t="str">
        <f ca="1">IFERROR(__xludf.DUMMYFUNCTION("SORTN(FILTER('Top 250 HS'!B:B,'Top 250 HS'!C:C=I198),1,0,randarray(COUNTA(FILTER('Top 250 HS'!B:B,'Top 250 HS'!C:C=I198)),1),TRUE)"),"Universal Academy (Irving)")</f>
        <v>Universal Academy (Irving)</v>
      </c>
      <c r="Q198" s="13" t="b">
        <f>ISNUMBER(MATCH("*"&amp;E198&amp;"*",'Top 1500 HS LatitudeLongitude'!G:G,0))</f>
        <v>1</v>
      </c>
      <c r="R198" s="13" t="str">
        <f ca="1">IFERROR(__xludf.DUMMYFUNCTION("IFS(L198=10,"""",Q198=false,"""",N198=5,"""",Q198=true,SORTN(FILTER('Top 1500 HS LatitudeLongitude'!B:B,'Top 1500 HS LatitudeLongitude'!C:C=I198,'Top 1500 HS LatitudeLongitude'!E:E=H198),1,0,randarray(COUNTA(FILTER('Top 1500 HS LatitudeLongitude'!B:B,'Top"&amp;" 1500 HS LatitudeLongitude'!C:C=I198,'Top 1500 HS LatitudeLongitude'!E:E=H198)),1),TRUE)
)"),"Ellison (Killeen)")</f>
        <v>Ellison (Killeen)</v>
      </c>
      <c r="S198" s="13" t="b">
        <f>ISNUMBER(MATCH("*"&amp;H:H&amp;"*",'Public Schools'!C:C,0))</f>
        <v>1</v>
      </c>
      <c r="T198" s="13" t="str">
        <f ca="1">IFERROR(__xludf.DUMMYFUNCTION("IFERROR(IF(AND(R198="""",S198=true), SORTN(FILTER('Public Schools'!A:A,'Public Schools'!B:B=J198,'Public Schools'!C:C=H198),1,0,randarray(COUNTA(FILTER('Public Schools'!A:A,'Public Schools'!B:B=J198,'Public Schools'!C:C=H198)),1),TRUE),""""),"""")"),"")</f>
        <v/>
      </c>
      <c r="U198" s="23" t="str">
        <f t="array" aca="1" ref="U198" ca="1">IF(AND(R198="",T198=""),INDEX('Top 1500 HS LatitudeLongitude'!B$2:B$1501,MATCH(MIN(SQRT(('Top 1500 HS LatitudeLongitude'!H$2:H$1501-F198)^2+('Top 1500 HS LatitudeLongitude'!I$2:I$1501-G198)^2)),SQRT( ('Top 1500 HS LatitudeLongitude'!H$2:H$1501-F198)^2+('Top 1500 HS LatitudeLongitude'!I$2:I$1501-G198)^2),0),1),"")</f>
        <v/>
      </c>
    </row>
    <row r="199" spans="2:21" ht="15.6">
      <c r="B199" s="8">
        <v>0.56452945290000001</v>
      </c>
      <c r="C199" s="9" t="s">
        <v>288</v>
      </c>
      <c r="D199" s="9" t="s">
        <v>294</v>
      </c>
      <c r="E199" s="37" t="s">
        <v>2071</v>
      </c>
      <c r="F199" s="8">
        <v>35.069699999999997</v>
      </c>
      <c r="G199" s="8">
        <v>-80.646000000000001</v>
      </c>
      <c r="H199" s="3" t="str">
        <f t="shared" si="0"/>
        <v>Indianapolis</v>
      </c>
      <c r="I199" s="3" t="str">
        <f t="shared" si="1"/>
        <v>IN</v>
      </c>
      <c r="J199" s="3" t="str">
        <f t="array" ref="J199">INDEX('State Abbreviations'!$B$2:$B$52,MATCH(I199,'State Abbreviations'!$A$2:$A$52,0))</f>
        <v>Indiana</v>
      </c>
      <c r="K199" s="119" t="e">
        <f t="shared" ca="1" si="2"/>
        <v>#NAME?</v>
      </c>
      <c r="L199" s="13">
        <f t="shared" ca="1" si="11"/>
        <v>10</v>
      </c>
      <c r="M199" s="13" t="str">
        <f ca="1">IFERROR(__xludf.DUMMYFUNCTION("IF(AND(L199&gt;5,I199&lt;&gt;""AL"",I199&lt;&gt;""AK"",I199&lt;&gt;""AZ"",I199&lt;&gt;""AR"",I199&lt;&gt;""CA"",I199&lt;&gt;""CO"",I199&lt;&gt;""CT"",I199&lt;&gt;""DE"",I199&lt;&gt;""DC"",I199&lt;&gt;""FL"",I199&lt;&gt;""GA"",I199&lt;&gt;""HI"",I199&lt;&gt;""ID"",I199&lt;&gt;""IL"",I199&lt;&gt;""IN"",I199&lt;&gt;""IA"",I199&lt;&gt;""KS"",I199&lt;&gt;""KY"",I199&lt;&gt;"&amp;"""LA"",I199&lt;&gt;""ME"",I199&lt;&gt;""MD"",I199&lt;&gt;""MA"",I199&lt;&gt;""MI"",I199&lt;&gt;""MN"",I199&lt;&gt;""MS"",I199&lt;&gt;""MO"",I199&lt;&gt;""MT"",I199&lt;&gt;""NE"",I199&lt;&gt;""NV"",I199&lt;&gt;""NH"",I199&lt;&gt;""NJ"",I199&lt;&gt;""NM"",I199&lt;&gt;""NY"",I199&lt;&gt;""NC"",I199&lt;&gt;""ND"",I199&lt;&gt;""OH"",I199&lt;&gt;""OK"",I199&lt;&gt;""OR"",I"&amp;"199&lt;&gt;""PA"",I199&lt;&gt;""RI"",I199&lt;&gt;""SC"",I199&lt;&gt;""SD"",I199&lt;&gt;""TN"",I199&lt;&gt;""TX"",I199&lt;&gt;""UT"",I199&lt;&gt;""VT"",I199&lt;&gt;""VA"",I199&lt;&gt;""WA"",I199&lt;&gt;""WV"",I199&lt;&gt;""WI"",I199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St"&amp;"ateInternational'!$G$2:$G$121&lt;&gt;"""")},2,0)),IF(L199=10,ArrayFormula(VLOOKUP(QUERY(UNIQUE(RANDBETWEEN(ROW(INDIRECT(""A1:A""&amp;COUNTA('Leaving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199" s="13">
        <f t="shared" ca="1" si="10"/>
        <v>10</v>
      </c>
      <c r="O199" s="13" t="b">
        <f>ISNUMBER(MATCH(C199,'Top 250 HS'!C:C,0))</f>
        <v>0</v>
      </c>
      <c r="P199" s="13" t="str">
        <f ca="1">IFERROR(__xludf.DUMMYFUNCTION("SORTN(FILTER('Top 250 HS'!B:B,'Top 250 HS'!C:C=I199),1,0,randarray(COUNTA(FILTER('Top 250 HS'!B:B,'Top 250 HS'!C:C=I199)),1),TRUE)"),"La Lumiere (La Porte)")</f>
        <v>La Lumiere (La Porte)</v>
      </c>
      <c r="Q199" s="13" t="b">
        <f>ISNUMBER(MATCH("*"&amp;E199&amp;"*",'Top 1500 HS LatitudeLongitude'!G:G,0))</f>
        <v>1</v>
      </c>
      <c r="R199" s="13" t="str">
        <f ca="1">IFERROR(__xludf.DUMMYFUNCTION("IFS(L199=10,"""",Q199=false,"""",N199=5,"""",Q199=true,SORTN(FILTER('Top 1500 HS LatitudeLongitude'!B:B,'Top 1500 HS LatitudeLongitude'!C:C=I199,'Top 1500 HS LatitudeLongitude'!E:E=H199),1,0,randarray(COUNTA(FILTER('Top 1500 HS LatitudeLongitude'!B:B,'Top"&amp;" 1500 HS LatitudeLongitude'!C:C=I199,'Top 1500 HS LatitudeLongitude'!E:E=H199)),1),TRUE)
)"),"Lawrence North (Indianapolis)")</f>
        <v>Lawrence North (Indianapolis)</v>
      </c>
      <c r="S199" s="13" t="b">
        <f>ISNUMBER(MATCH("*"&amp;H:H&amp;"*",'Public Schools'!C:C,0))</f>
        <v>1</v>
      </c>
      <c r="T199" s="13" t="str">
        <f ca="1">IFERROR(__xludf.DUMMYFUNCTION("IFERROR(IF(AND(R199="""",S199=true), SORTN(FILTER('Public Schools'!A:A,'Public Schools'!B:B=J199,'Public Schools'!C:C=H199),1,0,randarray(COUNTA(FILTER('Public Schools'!A:A,'Public Schools'!B:B=J199,'Public Schools'!C:C=H199)),1),TRUE),""""),"""")"),"")</f>
        <v/>
      </c>
      <c r="U199" s="23" t="str">
        <f t="array" aca="1" ref="U199" ca="1">IF(AND(R199="",T199=""),INDEX('Top 1500 HS LatitudeLongitude'!B$2:B$1501,MATCH(MIN(SQRT(('Top 1500 HS LatitudeLongitude'!H$2:H$1501-F199)^2+('Top 1500 HS LatitudeLongitude'!I$2:I$1501-G199)^2)),SQRT( ('Top 1500 HS LatitudeLongitude'!H$2:H$1501-F199)^2+('Top 1500 HS LatitudeLongitude'!I$2:I$1501-G199)^2),0),1),"")</f>
        <v/>
      </c>
    </row>
    <row r="200" spans="2:21" ht="15.6">
      <c r="B200" s="8">
        <v>0.25459237629999998</v>
      </c>
      <c r="C200" s="9" t="s">
        <v>256</v>
      </c>
      <c r="D200" s="9" t="s">
        <v>257</v>
      </c>
      <c r="E200" s="120" t="s">
        <v>967</v>
      </c>
      <c r="F200" s="8">
        <v>32.347000000000001</v>
      </c>
      <c r="G200" s="8">
        <v>-84.787000000000006</v>
      </c>
      <c r="H200" s="3" t="str">
        <f t="shared" si="0"/>
        <v>Memphis</v>
      </c>
      <c r="I200" s="3" t="str">
        <f t="shared" si="1"/>
        <v>TN</v>
      </c>
      <c r="J200" s="3" t="str">
        <f t="array" ref="J200">INDEX('State Abbreviations'!$B$2:$B$52,MATCH(I200,'State Abbreviations'!$A$2:$A$52,0))</f>
        <v>Tennessee</v>
      </c>
      <c r="K200" s="119" t="e">
        <f t="shared" ca="1" si="2"/>
        <v>#NAME?</v>
      </c>
      <c r="L200" s="13">
        <f t="shared" ca="1" si="11"/>
        <v>18</v>
      </c>
      <c r="M200" s="13" t="str">
        <f ca="1">IFERROR(__xludf.DUMMYFUNCTION("IF(AND(L200&gt;5,I200&lt;&gt;""AL"",I200&lt;&gt;""AK"",I200&lt;&gt;""AZ"",I200&lt;&gt;""AR"",I200&lt;&gt;""CA"",I200&lt;&gt;""CO"",I200&lt;&gt;""CT"",I200&lt;&gt;""DE"",I200&lt;&gt;""DC"",I200&lt;&gt;""FL"",I200&lt;&gt;""GA"",I200&lt;&gt;""HI"",I200&lt;&gt;""ID"",I200&lt;&gt;""IL"",I200&lt;&gt;""IN"",I200&lt;&gt;""IA"",I200&lt;&gt;""KS"",I200&lt;&gt;""KY"",I200&lt;&gt;"&amp;"""LA"",I200&lt;&gt;""ME"",I200&lt;&gt;""MD"",I200&lt;&gt;""MA"",I200&lt;&gt;""MI"",I200&lt;&gt;""MN"",I200&lt;&gt;""MS"",I200&lt;&gt;""MO"",I200&lt;&gt;""MT"",I200&lt;&gt;""NE"",I200&lt;&gt;""NV"",I200&lt;&gt;""NH"",I200&lt;&gt;""NJ"",I200&lt;&gt;""NM"",I200&lt;&gt;""NY"",I200&lt;&gt;""NC"",I200&lt;&gt;""ND"",I200&lt;&gt;""OH"",I200&lt;&gt;""OK"",I200&lt;&gt;""OR"",I"&amp;"200&lt;&gt;""PA"",I200&lt;&gt;""RI"",I200&lt;&gt;""SC"",I200&lt;&gt;""SD"",I200&lt;&gt;""TN"",I200&lt;&gt;""TX"",I200&lt;&gt;""UT"",I200&lt;&gt;""VT"",I200&lt;&gt;""VA"",I200&lt;&gt;""WA"",I200&lt;&gt;""WV"",I200&lt;&gt;""WI"",I200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0" s="13">
        <f t="shared" ca="1" si="10"/>
        <v>13</v>
      </c>
      <c r="O200" s="13" t="b">
        <f>ISNUMBER(MATCH(C200,'Top 250 HS'!C:C,0))</f>
        <v>0</v>
      </c>
      <c r="P200" s="13" t="str">
        <f ca="1">IFERROR(__xludf.DUMMYFUNCTION("SORTN(FILTER('Top 250 HS'!B:B,'Top 250 HS'!C:C=I200),1,0,randarray(COUNTA(FILTER('Top 250 HS'!B:B,'Top 250 HS'!C:C=I200)),1),TRUE)"),"Hamilton Heights Christian Academy (Chattanooga)")</f>
        <v>Hamilton Heights Christian Academy (Chattanooga)</v>
      </c>
      <c r="Q200" s="13" t="b">
        <f>ISNUMBER(MATCH("*"&amp;E200&amp;"*",'Top 1500 HS LatitudeLongitude'!G:G,0))</f>
        <v>1</v>
      </c>
      <c r="R200" s="13" t="str">
        <f ca="1">IFERROR(__xludf.DUMMYFUNCTION("IFS(L200=10,"""",Q200=false,"""",N200=5,"""",Q200=true,SORTN(FILTER('Top 1500 HS LatitudeLongitude'!B:B,'Top 1500 HS LatitudeLongitude'!C:C=I200,'Top 1500 HS LatitudeLongitude'!E:E=H200),1,0,randarray(COUNTA(FILTER('Top 1500 HS LatitudeLongitude'!B:B,'Top"&amp;" 1500 HS LatitudeLongitude'!C:C=I200,'Top 1500 HS LatitudeLongitude'!E:E=H200)),1),TRUE)
)"),"Memphis Central (Memphis)")</f>
        <v>Memphis Central (Memphis)</v>
      </c>
      <c r="S200" s="13" t="b">
        <f>ISNUMBER(MATCH("*"&amp;H:H&amp;"*",'Public Schools'!C:C,0))</f>
        <v>1</v>
      </c>
      <c r="T200" s="13" t="str">
        <f ca="1">IFERROR(__xludf.DUMMYFUNCTION("IFERROR(IF(AND(R200="""",S200=true), SORTN(FILTER('Public Schools'!A:A,'Public Schools'!B:B=J200,'Public Schools'!C:C=H200),1,0,randarray(COUNTA(FILTER('Public Schools'!A:A,'Public Schools'!B:B=J200,'Public Schools'!C:C=H200)),1),TRUE),""""),"""")"),"")</f>
        <v/>
      </c>
      <c r="U200" s="23" t="str">
        <f t="array" aca="1" ref="U200" ca="1">IF(AND(R200="",T200=""),INDEX('Top 1500 HS LatitudeLongitude'!B$2:B$1501,MATCH(MIN(SQRT(('Top 1500 HS LatitudeLongitude'!H$2:H$1501-F200)^2+('Top 1500 HS LatitudeLongitude'!I$2:I$1501-G200)^2)),SQRT( ('Top 1500 HS LatitudeLongitude'!H$2:H$1501-F200)^2+('Top 1500 HS LatitudeLongitude'!I$2:I$1501-G200)^2),0),1),"")</f>
        <v/>
      </c>
    </row>
    <row r="201" spans="2:21" ht="15.6">
      <c r="B201" s="8">
        <v>0.50903517890000005</v>
      </c>
      <c r="C201" s="9" t="s">
        <v>288</v>
      </c>
      <c r="D201" s="9" t="s">
        <v>411</v>
      </c>
      <c r="E201" s="37" t="s">
        <v>7305</v>
      </c>
      <c r="F201" s="8">
        <v>38.947499999999998</v>
      </c>
      <c r="G201" s="8">
        <v>-92.326300000000003</v>
      </c>
      <c r="H201" s="3" t="str">
        <f t="shared" si="0"/>
        <v>Springville</v>
      </c>
      <c r="I201" s="3" t="str">
        <f t="shared" si="1"/>
        <v>IN</v>
      </c>
      <c r="J201" s="3" t="str">
        <f t="array" ref="J201">INDEX('State Abbreviations'!$B$2:$B$52,MATCH(I201,'State Abbreviations'!$A$2:$A$52,0))</f>
        <v>Indiana</v>
      </c>
      <c r="K201" s="119" t="e">
        <f t="shared" ca="1" si="2"/>
        <v>#NAME?</v>
      </c>
      <c r="L201" s="13">
        <f t="shared" ca="1" si="11"/>
        <v>23</v>
      </c>
      <c r="M201" s="13" t="str">
        <f ca="1">IFERROR(__xludf.DUMMYFUNCTION("IF(AND(L201&gt;5,I201&lt;&gt;""AL"",I201&lt;&gt;""AK"",I201&lt;&gt;""AZ"",I201&lt;&gt;""AR"",I201&lt;&gt;""CA"",I201&lt;&gt;""CO"",I201&lt;&gt;""CT"",I201&lt;&gt;""DE"",I201&lt;&gt;""DC"",I201&lt;&gt;""FL"",I201&lt;&gt;""GA"",I201&lt;&gt;""HI"",I201&lt;&gt;""ID"",I201&lt;&gt;""IL"",I201&lt;&gt;""IN"",I201&lt;&gt;""IA"",I201&lt;&gt;""KS"",I201&lt;&gt;""KY"",I201&lt;&gt;"&amp;"""LA"",I201&lt;&gt;""ME"",I201&lt;&gt;""MD"",I201&lt;&gt;""MA"",I201&lt;&gt;""MI"",I201&lt;&gt;""MN"",I201&lt;&gt;""MS"",I201&lt;&gt;""MO"",I201&lt;&gt;""MT"",I201&lt;&gt;""NE"",I201&lt;&gt;""NV"",I201&lt;&gt;""NH"",I201&lt;&gt;""NJ"",I201&lt;&gt;""NM"",I201&lt;&gt;""NY"",I201&lt;&gt;""NC"",I201&lt;&gt;""ND"",I201&lt;&gt;""OH"",I201&lt;&gt;""OK"",I201&lt;&gt;""OR"",I"&amp;"201&lt;&gt;""PA"",I201&lt;&gt;""RI"",I201&lt;&gt;""SC"",I201&lt;&gt;""SD"",I201&lt;&gt;""TN"",I201&lt;&gt;""TX"",I201&lt;&gt;""UT"",I201&lt;&gt;""VT"",I201&lt;&gt;""VA"",I201&lt;&gt;""WA"",I201&lt;&gt;""WV"",I201&lt;&gt;""WI"",I201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1" s="13">
        <f t="shared" ca="1" si="10"/>
        <v>20</v>
      </c>
      <c r="O201" s="13" t="b">
        <f>ISNUMBER(MATCH(C201,'Top 250 HS'!C:C,0))</f>
        <v>0</v>
      </c>
      <c r="P201" s="13" t="str">
        <f ca="1">IFERROR(__xludf.DUMMYFUNCTION("SORTN(FILTER('Top 250 HS'!B:B,'Top 250 HS'!C:C=I201),1,0,randarray(COUNTA(FILTER('Top 250 HS'!B:B,'Top 250 HS'!C:C=I201)),1),TRUE)"),"Brownsburg")</f>
        <v>Brownsburg</v>
      </c>
      <c r="Q201" s="13" t="b">
        <f>ISNUMBER(MATCH("*"&amp;E201&amp;"*",'Top 1500 HS LatitudeLongitude'!G:G,0))</f>
        <v>0</v>
      </c>
      <c r="R201" s="13" t="str">
        <f ca="1">IFERROR(__xludf.DUMMYFUNCTION("IFS(L201=10,"""",Q201=false,"""",N201=5,"""",Q201=true,SORTN(FILTER('Top 1500 HS LatitudeLongitude'!B:B,'Top 1500 HS LatitudeLongitude'!C:C=I201,'Top 1500 HS LatitudeLongitude'!E:E=H201),1,0,randarray(COUNTA(FILTER('Top 1500 HS LatitudeLongitude'!B:B,'Top"&amp;" 1500 HS LatitudeLongitude'!C:C=I201,'Top 1500 HS LatitudeLongitude'!E:E=H201)),1),TRUE)
)"),"")</f>
        <v/>
      </c>
      <c r="S201" s="13" t="b">
        <f>ISNUMBER(MATCH("*"&amp;H:H&amp;"*",'Public Schools'!C:C,0))</f>
        <v>1</v>
      </c>
      <c r="T201" s="13" t="str">
        <f ca="1">IFERROR(__xludf.DUMMYFUNCTION("IFERROR(IF(AND(R201="""",S201=true), SORTN(FILTER('Public Schools'!A:A,'Public Schools'!B:B=J201,'Public Schools'!C:C=H201),1,0,randarray(COUNTA(FILTER('Public Schools'!A:A,'Public Schools'!B:B=J201,'Public Schools'!C:C=H201)),1),TRUE),""""),"""")"),"")</f>
        <v/>
      </c>
      <c r="U201" s="23" t="str">
        <f t="array" aca="1" ref="U201" ca="1">IF(AND(R201="",T201=""),INDEX('Top 1500 HS LatitudeLongitude'!B$2:B$1501,MATCH(MIN(SQRT(('Top 1500 HS LatitudeLongitude'!H$2:H$1501-F201)^2+('Top 1500 HS LatitudeLongitude'!I$2:I$1501-G201)^2)),SQRT( ('Top 1500 HS LatitudeLongitude'!H$2:H$1501-F201)^2+('Top 1500 HS LatitudeLongitude'!I$2:I$1501-G201)^2),0),1),"")</f>
        <v>Father Tolton (Columbia)</v>
      </c>
    </row>
    <row r="202" spans="2:21" ht="15.6">
      <c r="B202" s="8">
        <v>0.81953246300000004</v>
      </c>
      <c r="C202" s="9" t="s">
        <v>270</v>
      </c>
      <c r="D202" s="9" t="s">
        <v>413</v>
      </c>
      <c r="E202" s="120" t="s">
        <v>7347</v>
      </c>
      <c r="F202" s="8">
        <v>35.193399999999997</v>
      </c>
      <c r="G202" s="8">
        <v>-87.035399999999996</v>
      </c>
      <c r="H202" s="3" t="str">
        <f t="shared" si="0"/>
        <v>Wayne</v>
      </c>
      <c r="I202" s="3" t="str">
        <f t="shared" si="1"/>
        <v>NJ</v>
      </c>
      <c r="J202" s="3" t="str">
        <f t="array" ref="J202">INDEX('State Abbreviations'!$B$2:$B$52,MATCH(I202,'State Abbreviations'!$A$2:$A$52,0))</f>
        <v>New Jersey</v>
      </c>
      <c r="K202" s="119" t="e">
        <f t="shared" ca="1" si="2"/>
        <v>#NAME?</v>
      </c>
      <c r="L202" s="13">
        <f t="shared" ca="1" si="11"/>
        <v>19</v>
      </c>
      <c r="M202" s="13" t="str">
        <f ca="1">IFERROR(__xludf.DUMMYFUNCTION("IF(AND(L202&gt;5,I202&lt;&gt;""AL"",I202&lt;&gt;""AK"",I202&lt;&gt;""AZ"",I202&lt;&gt;""AR"",I202&lt;&gt;""CA"",I202&lt;&gt;""CO"",I202&lt;&gt;""CT"",I202&lt;&gt;""DE"",I202&lt;&gt;""DC"",I202&lt;&gt;""FL"",I202&lt;&gt;""GA"",I202&lt;&gt;""HI"",I202&lt;&gt;""ID"",I202&lt;&gt;""IL"",I202&lt;&gt;""IN"",I202&lt;&gt;""IA"",I202&lt;&gt;""KS"",I202&lt;&gt;""KY"",I202&lt;&gt;"&amp;"""LA"",I202&lt;&gt;""ME"",I202&lt;&gt;""MD"",I202&lt;&gt;""MA"",I202&lt;&gt;""MI"",I202&lt;&gt;""MN"",I202&lt;&gt;""MS"",I202&lt;&gt;""MO"",I202&lt;&gt;""MT"",I202&lt;&gt;""NE"",I202&lt;&gt;""NV"",I202&lt;&gt;""NH"",I202&lt;&gt;""NJ"",I202&lt;&gt;""NM"",I202&lt;&gt;""NY"",I202&lt;&gt;""NC"",I202&lt;&gt;""ND"",I202&lt;&gt;""OH"",I202&lt;&gt;""OK"",I202&lt;&gt;""OR"",I"&amp;"202&lt;&gt;""PA"",I202&lt;&gt;""RI"",I202&lt;&gt;""SC"",I202&lt;&gt;""SD"",I202&lt;&gt;""TN"",I202&lt;&gt;""TX"",I202&lt;&gt;""UT"",I202&lt;&gt;""VT"",I202&lt;&gt;""VA"",I202&lt;&gt;""WA"",I202&lt;&gt;""WV"",I202&lt;&gt;""WI"",I202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2" s="13">
        <f t="shared" ca="1" si="10"/>
        <v>11</v>
      </c>
      <c r="O202" s="13" t="b">
        <f>ISNUMBER(MATCH(C202,'Top 250 HS'!C:C,0))</f>
        <v>0</v>
      </c>
      <c r="P202" s="13" t="str">
        <f ca="1">IFERROR(__xludf.DUMMYFUNCTION("SORTN(FILTER('Top 250 HS'!B:B,'Top 250 HS'!C:C=I202),1,0,randarray(COUNTA(FILTER('Top 250 HS'!B:B,'Top 250 HS'!C:C=I202)),1),TRUE)"),"Roselle Catholic (Roselle)")</f>
        <v>Roselle Catholic (Roselle)</v>
      </c>
      <c r="Q202" s="13" t="b">
        <f>ISNUMBER(MATCH("*"&amp;E202&amp;"*",'Top 1500 HS LatitudeLongitude'!G:G,0))</f>
        <v>0</v>
      </c>
      <c r="R202" s="13" t="str">
        <f ca="1">IFERROR(__xludf.DUMMYFUNCTION("IFS(L202=10,"""",Q202=false,"""",N202=5,"""",Q202=true,SORTN(FILTER('Top 1500 HS LatitudeLongitude'!B:B,'Top 1500 HS LatitudeLongitude'!C:C=I202,'Top 1500 HS LatitudeLongitude'!E:E=H202),1,0,randarray(COUNTA(FILTER('Top 1500 HS LatitudeLongitude'!B:B,'Top"&amp;" 1500 HS LatitudeLongitude'!C:C=I202,'Top 1500 HS LatitudeLongitude'!E:E=H202)),1),TRUE)
)"),"")</f>
        <v/>
      </c>
      <c r="S202" s="13" t="b">
        <f>ISNUMBER(MATCH("*"&amp;H:H&amp;"*",'Public Schools'!C:C,0))</f>
        <v>1</v>
      </c>
      <c r="T202" s="13" t="str">
        <f ca="1">IFERROR(__xludf.DUMMYFUNCTION("IFERROR(IF(AND(R202="""",S202=true), SORTN(FILTER('Public Schools'!A:A,'Public Schools'!B:B=J202,'Public Schools'!C:C=H202),1,0,randarray(COUNTA(FILTER('Public Schools'!A:A,'Public Schools'!B:B=J202,'Public Schools'!C:C=H202)),1),TRUE),""""),"""")"),"Wayne Hills High School")</f>
        <v>Wayne Hills High School</v>
      </c>
      <c r="U202" s="23" t="str">
        <f t="array" aca="1" ref="U202" ca="1">IF(AND(R202="",T202=""),INDEX('Top 1500 HS LatitudeLongitude'!B$2:B$1501,MATCH(MIN(SQRT(('Top 1500 HS LatitudeLongitude'!H$2:H$1501-F202)^2+('Top 1500 HS LatitudeLongitude'!I$2:I$1501-G202)^2)),SQRT( ('Top 1500 HS LatitudeLongitude'!H$2:H$1501-F202)^2+('Top 1500 HS LatitudeLongitude'!I$2:I$1501-G202)^2),0),1),"")</f>
        <v/>
      </c>
    </row>
    <row r="203" spans="2:21" ht="15.6">
      <c r="B203" s="8">
        <v>0.33760084289999998</v>
      </c>
      <c r="C203" s="9" t="s">
        <v>264</v>
      </c>
      <c r="D203" s="9" t="s">
        <v>414</v>
      </c>
      <c r="E203" s="37" t="s">
        <v>7385</v>
      </c>
      <c r="F203" s="8">
        <v>39.777099999999997</v>
      </c>
      <c r="G203" s="8">
        <v>-86.145799999999994</v>
      </c>
      <c r="H203" s="3" t="str">
        <f t="shared" si="0"/>
        <v>Central Point</v>
      </c>
      <c r="I203" s="3" t="str">
        <f t="shared" si="1"/>
        <v>OR</v>
      </c>
      <c r="J203" s="3" t="str">
        <f t="array" ref="J203">INDEX('State Abbreviations'!$B$2:$B$52,MATCH(I203,'State Abbreviations'!$A$2:$A$52,0))</f>
        <v>Oregon</v>
      </c>
      <c r="K203" s="119" t="e">
        <f t="shared" ca="1" si="2"/>
        <v>#NAME?</v>
      </c>
      <c r="L203" s="13">
        <f t="shared" ca="1" si="11"/>
        <v>6</v>
      </c>
      <c r="M203" s="13" t="str">
        <f ca="1">IFERROR(__xludf.DUMMYFUNCTION("IF(AND(L203&gt;5,I203&lt;&gt;""AL"",I203&lt;&gt;""AK"",I203&lt;&gt;""AZ"",I203&lt;&gt;""AR"",I203&lt;&gt;""CA"",I203&lt;&gt;""CO"",I203&lt;&gt;""CT"",I203&lt;&gt;""DE"",I203&lt;&gt;""DC"",I203&lt;&gt;""FL"",I203&lt;&gt;""GA"",I203&lt;&gt;""HI"",I203&lt;&gt;""ID"",I203&lt;&gt;""IL"",I203&lt;&gt;""IN"",I203&lt;&gt;""IA"",I203&lt;&gt;""KS"",I203&lt;&gt;""KY"",I203&lt;&gt;"&amp;"""LA"",I203&lt;&gt;""ME"",I203&lt;&gt;""MD"",I203&lt;&gt;""MA"",I203&lt;&gt;""MI"",I203&lt;&gt;""MN"",I203&lt;&gt;""MS"",I203&lt;&gt;""MO"",I203&lt;&gt;""MT"",I203&lt;&gt;""NE"",I203&lt;&gt;""NV"",I203&lt;&gt;""NH"",I203&lt;&gt;""NJ"",I203&lt;&gt;""NM"",I203&lt;&gt;""NY"",I203&lt;&gt;""NC"",I203&lt;&gt;""ND"",I203&lt;&gt;""OH"",I203&lt;&gt;""OK"",I203&lt;&gt;""OR"",I"&amp;"203&lt;&gt;""PA"",I203&lt;&gt;""RI"",I203&lt;&gt;""SC"",I203&lt;&gt;""SD"",I203&lt;&gt;""TN"",I203&lt;&gt;""TX"",I203&lt;&gt;""UT"",I203&lt;&gt;""VT"",I203&lt;&gt;""VA"",I203&lt;&gt;""WA"",I203&lt;&gt;""WV"",I203&lt;&gt;""WI"",I203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3" s="13">
        <f t="shared" ca="1" si="10"/>
        <v>7</v>
      </c>
      <c r="O203" s="13" t="b">
        <f>ISNUMBER(MATCH(C203,'Top 250 HS'!C:C,0))</f>
        <v>0</v>
      </c>
      <c r="P203" s="13" t="str">
        <f ca="1">IFERROR(__xludf.DUMMYFUNCTION("SORTN(FILTER('Top 250 HS'!B:B,'Top 250 HS'!C:C=I203),1,0,randarray(COUNTA(FILTER('Top 250 HS'!B:B,'Top 250 HS'!C:C=I203)),1),TRUE)"),"Churchill (Eugene)")</f>
        <v>Churchill (Eugene)</v>
      </c>
      <c r="Q203" s="13" t="b">
        <f>ISNUMBER(MATCH("*"&amp;E203&amp;"*",'Top 1500 HS LatitudeLongitude'!G:G,0))</f>
        <v>1</v>
      </c>
      <c r="R203" s="13" t="str">
        <f ca="1">IFERROR(__xludf.DUMMYFUNCTION("IFS(L203=10,"""",Q203=false,"""",N203=5,"""",Q203=true,SORTN(FILTER('Top 1500 HS LatitudeLongitude'!B:B,'Top 1500 HS LatitudeLongitude'!C:C=I203,'Top 1500 HS LatitudeLongitude'!E:E=H203),1,0,randarray(COUNTA(FILTER('Top 1500 HS LatitudeLongitude'!B:B,'Top"&amp;" 1500 HS LatitudeLongitude'!C:C=I203,'Top 1500 HS LatitudeLongitude'!E:E=H203)),1),TRUE)
)"),"Crater (Central Point)")</f>
        <v>Crater (Central Point)</v>
      </c>
      <c r="S203" s="13" t="b">
        <f>ISNUMBER(MATCH("*"&amp;H:H&amp;"*",'Public Schools'!C:C,0))</f>
        <v>1</v>
      </c>
      <c r="T203" s="13" t="str">
        <f ca="1">IFERROR(__xludf.DUMMYFUNCTION("IFERROR(IF(AND(R203="""",S203=true), SORTN(FILTER('Public Schools'!A:A,'Public Schools'!B:B=J203,'Public Schools'!C:C=H203),1,0,randarray(COUNTA(FILTER('Public Schools'!A:A,'Public Schools'!B:B=J203,'Public Schools'!C:C=H203)),1),TRUE),""""),"""")"),"")</f>
        <v/>
      </c>
      <c r="U203" s="23" t="str">
        <f t="array" aca="1" ref="U203" ca="1">IF(AND(R203="",T203=""),INDEX('Top 1500 HS LatitudeLongitude'!B$2:B$1501,MATCH(MIN(SQRT(('Top 1500 HS LatitudeLongitude'!H$2:H$1501-F203)^2+('Top 1500 HS LatitudeLongitude'!I$2:I$1501-G203)^2)),SQRT( ('Top 1500 HS LatitudeLongitude'!H$2:H$1501-F203)^2+('Top 1500 HS LatitudeLongitude'!I$2:I$1501-G203)^2),0),1),"")</f>
        <v/>
      </c>
    </row>
    <row r="204" spans="2:21" ht="15.6">
      <c r="B204" s="8">
        <v>0.85408148279999996</v>
      </c>
      <c r="C204" s="9" t="s">
        <v>47</v>
      </c>
      <c r="D204" s="9" t="s">
        <v>415</v>
      </c>
      <c r="E204" s="120" t="s">
        <v>7417</v>
      </c>
      <c r="F204" s="8">
        <v>32.781300000000002</v>
      </c>
      <c r="G204" s="8">
        <v>-97.346599999999995</v>
      </c>
      <c r="H204" s="3" t="str">
        <f t="shared" si="0"/>
        <v>El Cajon</v>
      </c>
      <c r="I204" s="3" t="str">
        <f t="shared" si="1"/>
        <v>CA</v>
      </c>
      <c r="J204" s="3" t="str">
        <f t="array" ref="J204">INDEX('State Abbreviations'!$B$2:$B$52,MATCH(I204,'State Abbreviations'!$A$2:$A$52,0))</f>
        <v>California</v>
      </c>
      <c r="K204" s="119" t="e">
        <f t="shared" ca="1" si="2"/>
        <v>#NAME?</v>
      </c>
      <c r="L204" s="13">
        <f t="shared" ca="1" si="11"/>
        <v>10</v>
      </c>
      <c r="M204" s="13" t="str">
        <f ca="1">IFERROR(__xludf.DUMMYFUNCTION("IF(AND(L204&gt;5,I204&lt;&gt;""AL"",I204&lt;&gt;""AK"",I204&lt;&gt;""AZ"",I204&lt;&gt;""AR"",I204&lt;&gt;""CA"",I204&lt;&gt;""CO"",I204&lt;&gt;""CT"",I204&lt;&gt;""DE"",I204&lt;&gt;""DC"",I204&lt;&gt;""FL"",I204&lt;&gt;""GA"",I204&lt;&gt;""HI"",I204&lt;&gt;""ID"",I204&lt;&gt;""IL"",I204&lt;&gt;""IN"",I204&lt;&gt;""IA"",I204&lt;&gt;""KS"",I204&lt;&gt;""KY"",I204&lt;&gt;"&amp;"""LA"",I204&lt;&gt;""ME"",I204&lt;&gt;""MD"",I204&lt;&gt;""MA"",I204&lt;&gt;""MI"",I204&lt;&gt;""MN"",I204&lt;&gt;""MS"",I204&lt;&gt;""MO"",I204&lt;&gt;""MT"",I204&lt;&gt;""NE"",I204&lt;&gt;""NV"",I204&lt;&gt;""NH"",I204&lt;&gt;""NJ"",I204&lt;&gt;""NM"",I204&lt;&gt;""NY"",I204&lt;&gt;""NC"",I204&lt;&gt;""ND"",I204&lt;&gt;""OH"",I204&lt;&gt;""OK"",I204&lt;&gt;""OR"",I"&amp;"204&lt;&gt;""PA"",I204&lt;&gt;""RI"",I204&lt;&gt;""SC"",I204&lt;&gt;""SD"",I204&lt;&gt;""TN"",I204&lt;&gt;""TX"",I204&lt;&gt;""UT"",I204&lt;&gt;""VT"",I204&lt;&gt;""VA"",I204&lt;&gt;""WA"",I204&lt;&gt;""WV"",I204&lt;&gt;""WI"",I204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4" s="13">
        <f t="shared" ca="1" si="10"/>
        <v>18</v>
      </c>
      <c r="O204" s="13" t="b">
        <f>ISNUMBER(MATCH(C204,'Top 250 HS'!C:C,0))</f>
        <v>0</v>
      </c>
      <c r="P204" s="13" t="str">
        <f ca="1">IFERROR(__xludf.DUMMYFUNCTION("SORTN(FILTER('Top 250 HS'!B:B,'Top 250 HS'!C:C=I204),1,0,randarray(COUNTA(FILTER('Top 250 HS'!B:B,'Top 250 HS'!C:C=I204)),1),TRUE)"),"Santa Clarita Christian (Canyon Country)")</f>
        <v>Santa Clarita Christian (Canyon Country)</v>
      </c>
      <c r="Q204" s="13" t="b">
        <f>ISNUMBER(MATCH("*"&amp;E204&amp;"*",'Top 1500 HS LatitudeLongitude'!G:G,0))</f>
        <v>1</v>
      </c>
      <c r="R204" s="13" t="str">
        <f ca="1">IFERROR(__xludf.DUMMYFUNCTION("IFS(L204=10,"""",Q204=false,"""",N204=5,"""",Q204=true,SORTN(FILTER('Top 1500 HS LatitudeLongitude'!B:B,'Top 1500 HS LatitudeLongitude'!C:C=I204,'Top 1500 HS LatitudeLongitude'!E:E=H204),1,0,randarray(COUNTA(FILTER('Top 1500 HS LatitudeLongitude'!B:B,'Top"&amp;" 1500 HS LatitudeLongitude'!C:C=I204,'Top 1500 HS LatitudeLongitude'!E:E=H204)),1),TRUE)
)"),"Christian (El Cajon)")</f>
        <v>Christian (El Cajon)</v>
      </c>
      <c r="S204" s="13" t="b">
        <f>ISNUMBER(MATCH("*"&amp;H:H&amp;"*",'Public Schools'!C:C,0))</f>
        <v>1</v>
      </c>
      <c r="T204" s="13" t="str">
        <f ca="1">IFERROR(__xludf.DUMMYFUNCTION("IFERROR(IF(AND(R204="""",S204=true), SORTN(FILTER('Public Schools'!A:A,'Public Schools'!B:B=J204,'Public Schools'!C:C=H204),1,0,randarray(COUNTA(FILTER('Public Schools'!A:A,'Public Schools'!B:B=J204,'Public Schools'!C:C=H204)),1),TRUE),""""),"""")"),"")</f>
        <v/>
      </c>
      <c r="U204" s="23" t="str">
        <f t="array" aca="1" ref="U204" ca="1">IF(AND(R204="",T204=""),INDEX('Top 1500 HS LatitudeLongitude'!B$2:B$1501,MATCH(MIN(SQRT(('Top 1500 HS LatitudeLongitude'!H$2:H$1501-F204)^2+('Top 1500 HS LatitudeLongitude'!I$2:I$1501-G204)^2)),SQRT( ('Top 1500 HS LatitudeLongitude'!H$2:H$1501-F204)^2+('Top 1500 HS LatitudeLongitude'!I$2:I$1501-G204)^2),0),1),"")</f>
        <v/>
      </c>
    </row>
    <row r="205" spans="2:21" ht="15.6">
      <c r="B205" s="8">
        <v>0.40631444449999998</v>
      </c>
      <c r="C205" s="9" t="s">
        <v>264</v>
      </c>
      <c r="D205" s="9" t="s">
        <v>416</v>
      </c>
      <c r="E205" s="37" t="s">
        <v>7459</v>
      </c>
      <c r="F205" s="8">
        <v>30.846699999999998</v>
      </c>
      <c r="G205" s="8">
        <v>-93.293099999999995</v>
      </c>
      <c r="H205" s="3" t="str">
        <f t="shared" si="0"/>
        <v>Springfield</v>
      </c>
      <c r="I205" s="3" t="str">
        <f t="shared" si="1"/>
        <v>OR</v>
      </c>
      <c r="J205" s="3" t="str">
        <f t="array" ref="J205">INDEX('State Abbreviations'!$B$2:$B$52,MATCH(I205,'State Abbreviations'!$A$2:$A$52,0))</f>
        <v>Oregon</v>
      </c>
      <c r="K205" s="119" t="e">
        <f t="shared" ca="1" si="2"/>
        <v>#NAME?</v>
      </c>
      <c r="L205" s="13">
        <f t="shared" ca="1" si="11"/>
        <v>28</v>
      </c>
      <c r="M205" s="13" t="str">
        <f ca="1">IFERROR(__xludf.DUMMYFUNCTION("IF(AND(L205&gt;5,I205&lt;&gt;""AL"",I205&lt;&gt;""AK"",I205&lt;&gt;""AZ"",I205&lt;&gt;""AR"",I205&lt;&gt;""CA"",I205&lt;&gt;""CO"",I205&lt;&gt;""CT"",I205&lt;&gt;""DE"",I205&lt;&gt;""DC"",I205&lt;&gt;""FL"",I205&lt;&gt;""GA"",I205&lt;&gt;""HI"",I205&lt;&gt;""ID"",I205&lt;&gt;""IL"",I205&lt;&gt;""IN"",I205&lt;&gt;""IA"",I205&lt;&gt;""KS"",I205&lt;&gt;""KY"",I205&lt;&gt;"&amp;"""LA"",I205&lt;&gt;""ME"",I205&lt;&gt;""MD"",I205&lt;&gt;""MA"",I205&lt;&gt;""MI"",I205&lt;&gt;""MN"",I205&lt;&gt;""MS"",I205&lt;&gt;""MO"",I205&lt;&gt;""MT"",I205&lt;&gt;""NE"",I205&lt;&gt;""NV"",I205&lt;&gt;""NH"",I205&lt;&gt;""NJ"",I205&lt;&gt;""NM"",I205&lt;&gt;""NY"",I205&lt;&gt;""NC"",I205&lt;&gt;""ND"",I205&lt;&gt;""OH"",I205&lt;&gt;""OK"",I205&lt;&gt;""OR"",I"&amp;"205&lt;&gt;""PA"",I205&lt;&gt;""RI"",I205&lt;&gt;""SC"",I205&lt;&gt;""SD"",I205&lt;&gt;""TN"",I205&lt;&gt;""TX"",I205&lt;&gt;""UT"",I205&lt;&gt;""VT"",I205&lt;&gt;""VA"",I205&lt;&gt;""WA"",I205&lt;&gt;""WV"",I205&lt;&gt;""WI"",I205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5" s="13">
        <f t="shared" ca="1" si="10"/>
        <v>19</v>
      </c>
      <c r="O205" s="13" t="b">
        <f>ISNUMBER(MATCH(C205,'Top 250 HS'!C:C,0))</f>
        <v>0</v>
      </c>
      <c r="P205" s="13" t="str">
        <f ca="1">IFERROR(__xludf.DUMMYFUNCTION("SORTN(FILTER('Top 250 HS'!B:B,'Top 250 HS'!C:C=I205),1,0,randarray(COUNTA(FILTER('Top 250 HS'!B:B,'Top 250 HS'!C:C=I205)),1),TRUE)"),"Churchill (Eugene)")</f>
        <v>Churchill (Eugene)</v>
      </c>
      <c r="Q205" s="13" t="b">
        <f>ISNUMBER(MATCH("*"&amp;E205&amp;"*",'Top 1500 HS LatitudeLongitude'!G:G,0))</f>
        <v>0</v>
      </c>
      <c r="R205" s="13" t="str">
        <f ca="1">IFERROR(__xludf.DUMMYFUNCTION("IFS(L205=10,"""",Q205=false,"""",N205=5,"""",Q205=true,SORTN(FILTER('Top 1500 HS LatitudeLongitude'!B:B,'Top 1500 HS LatitudeLongitude'!C:C=I205,'Top 1500 HS LatitudeLongitude'!E:E=H205),1,0,randarray(COUNTA(FILTER('Top 1500 HS LatitudeLongitude'!B:B,'Top"&amp;" 1500 HS LatitudeLongitude'!C:C=I205,'Top 1500 HS LatitudeLongitude'!E:E=H205)),1),TRUE)
)"),"")</f>
        <v/>
      </c>
      <c r="S205" s="13" t="b">
        <f>ISNUMBER(MATCH("*"&amp;H:H&amp;"*",'Public Schools'!C:C,0))</f>
        <v>1</v>
      </c>
      <c r="T205" s="13" t="str">
        <f ca="1">IFERROR(__xludf.DUMMYFUNCTION("IFERROR(IF(AND(R205="""",S205=true), SORTN(FILTER('Public Schools'!A:A,'Public Schools'!B:B=J205,'Public Schools'!C:C=H205),1,0,randarray(COUNTA(FILTER('Public Schools'!A:A,'Public Schools'!B:B=J205,'Public Schools'!C:C=H205)),1),TRUE),""""),"""")"),"Willamette Leadership Academy")</f>
        <v>Willamette Leadership Academy</v>
      </c>
      <c r="U205" s="23" t="str">
        <f t="array" aca="1" ref="U205" ca="1">IF(AND(R205="",T205=""),INDEX('Top 1500 HS LatitudeLongitude'!B$2:B$1501,MATCH(MIN(SQRT(('Top 1500 HS LatitudeLongitude'!H$2:H$1501-F205)^2+('Top 1500 HS LatitudeLongitude'!I$2:I$1501-G205)^2)),SQRT( ('Top 1500 HS LatitudeLongitude'!H$2:H$1501-F205)^2+('Top 1500 HS LatitudeLongitude'!I$2:I$1501-G205)^2),0),1),"")</f>
        <v/>
      </c>
    </row>
    <row r="206" spans="2:21" ht="15.6">
      <c r="B206" s="8">
        <v>0.4299950723</v>
      </c>
      <c r="C206" s="9" t="s">
        <v>270</v>
      </c>
      <c r="D206" s="9" t="s">
        <v>303</v>
      </c>
      <c r="E206" s="120" t="s">
        <v>7501</v>
      </c>
      <c r="F206" s="8">
        <v>39.305100000000003</v>
      </c>
      <c r="G206" s="8">
        <v>-76.614400000000003</v>
      </c>
      <c r="H206" s="3" t="str">
        <f t="shared" si="0"/>
        <v>Fairfield</v>
      </c>
      <c r="I206" s="3" t="str">
        <f t="shared" si="1"/>
        <v>NJ</v>
      </c>
      <c r="J206" s="3" t="str">
        <f t="array" ref="J206">INDEX('State Abbreviations'!$B$2:$B$52,MATCH(I206,'State Abbreviations'!$A$2:$A$52,0))</f>
        <v>New Jersey</v>
      </c>
      <c r="K206" s="119" t="e">
        <f t="shared" ca="1" si="2"/>
        <v>#NAME?</v>
      </c>
      <c r="L206" s="13">
        <f t="shared" ca="1" si="11"/>
        <v>25</v>
      </c>
      <c r="M206" s="13" t="str">
        <f ca="1">IFERROR(__xludf.DUMMYFUNCTION("IF(AND(L206&gt;5,I206&lt;&gt;""AL"",I206&lt;&gt;""AK"",I206&lt;&gt;""AZ"",I206&lt;&gt;""AR"",I206&lt;&gt;""CA"",I206&lt;&gt;""CO"",I206&lt;&gt;""CT"",I206&lt;&gt;""DE"",I206&lt;&gt;""DC"",I206&lt;&gt;""FL"",I206&lt;&gt;""GA"",I206&lt;&gt;""HI"",I206&lt;&gt;""ID"",I206&lt;&gt;""IL"",I206&lt;&gt;""IN"",I206&lt;&gt;""IA"",I206&lt;&gt;""KS"",I206&lt;&gt;""KY"",I206&lt;&gt;"&amp;"""LA"",I206&lt;&gt;""ME"",I206&lt;&gt;""MD"",I206&lt;&gt;""MA"",I206&lt;&gt;""MI"",I206&lt;&gt;""MN"",I206&lt;&gt;""MS"",I206&lt;&gt;""MO"",I206&lt;&gt;""MT"",I206&lt;&gt;""NE"",I206&lt;&gt;""NV"",I206&lt;&gt;""NH"",I206&lt;&gt;""NJ"",I206&lt;&gt;""NM"",I206&lt;&gt;""NY"",I206&lt;&gt;""NC"",I206&lt;&gt;""ND"",I206&lt;&gt;""OH"",I206&lt;&gt;""OK"",I206&lt;&gt;""OR"",I"&amp;"206&lt;&gt;""PA"",I206&lt;&gt;""RI"",I206&lt;&gt;""SC"",I206&lt;&gt;""SD"",I206&lt;&gt;""TN"",I206&lt;&gt;""TX"",I206&lt;&gt;""UT"",I206&lt;&gt;""VT"",I206&lt;&gt;""VA"",I206&lt;&gt;""WA"",I206&lt;&gt;""WV"",I206&lt;&gt;""WI"",I206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6" s="13">
        <f t="shared" ca="1" si="10"/>
        <v>17</v>
      </c>
      <c r="O206" s="13" t="b">
        <f>ISNUMBER(MATCH(C206,'Top 250 HS'!C:C,0))</f>
        <v>0</v>
      </c>
      <c r="P206" s="13" t="str">
        <f ca="1">IFERROR(__xludf.DUMMYFUNCTION("SORTN(FILTER('Top 250 HS'!B:B,'Top 250 HS'!C:C=I206),1,0,randarray(COUNTA(FILTER('Top 250 HS'!B:B,'Top 250 HS'!C:C=I206)),1),TRUE)"),"Bergen Catholic (Oradell)")</f>
        <v>Bergen Catholic (Oradell)</v>
      </c>
      <c r="Q206" s="13" t="b">
        <f>ISNUMBER(MATCH("*"&amp;E206&amp;"*",'Top 1500 HS LatitudeLongitude'!G:G,0))</f>
        <v>0</v>
      </c>
      <c r="R206" s="13" t="str">
        <f ca="1">IFERROR(__xludf.DUMMYFUNCTION("IFS(L206=10,"""",Q206=false,"""",N206=5,"""",Q206=true,SORTN(FILTER('Top 1500 HS LatitudeLongitude'!B:B,'Top 1500 HS LatitudeLongitude'!C:C=I206,'Top 1500 HS LatitudeLongitude'!E:E=H206),1,0,randarray(COUNTA(FILTER('Top 1500 HS LatitudeLongitude'!B:B,'Top"&amp;" 1500 HS LatitudeLongitude'!C:C=I206,'Top 1500 HS LatitudeLongitude'!E:E=H206)),1),TRUE)
)"),"")</f>
        <v/>
      </c>
      <c r="S206" s="13" t="b">
        <f>ISNUMBER(MATCH("*"&amp;H:H&amp;"*",'Public Schools'!C:C,0))</f>
        <v>1</v>
      </c>
      <c r="T206" s="13" t="str">
        <f ca="1">IFERROR(__xludf.DUMMYFUNCTION("IFERROR(IF(AND(R206="""",S206=true), SORTN(FILTER('Public Schools'!A:A,'Public Schools'!B:B=J206,'Public Schools'!C:C=H206),1,0,randarray(COUNTA(FILTER('Public Schools'!A:A,'Public Schools'!B:B=J206,'Public Schools'!C:C=H206)),1),TRUE),""""),"""")"),"")</f>
        <v/>
      </c>
      <c r="U206" s="23" t="str">
        <f t="array" aca="1" ref="U206" ca="1">IF(AND(R206="",T206=""),INDEX('Top 1500 HS LatitudeLongitude'!B$2:B$1501,MATCH(MIN(SQRT(('Top 1500 HS LatitudeLongitude'!H$2:H$1501-F206)^2+('Top 1500 HS LatitudeLongitude'!I$2:I$1501-G206)^2)),SQRT( ('Top 1500 HS LatitudeLongitude'!H$2:H$1501-F206)^2+('Top 1500 HS LatitudeLongitude'!I$2:I$1501-G206)^2),0),1),"")</f>
        <v>St. Frances Academy (Baltimore)</v>
      </c>
    </row>
    <row r="207" spans="2:21" ht="15.6">
      <c r="B207" s="8">
        <v>0.52678977819999995</v>
      </c>
      <c r="C207" s="9" t="s">
        <v>114</v>
      </c>
      <c r="D207" s="9" t="s">
        <v>417</v>
      </c>
      <c r="E207" s="37" t="s">
        <v>7547</v>
      </c>
      <c r="F207" s="8">
        <v>30.328099999999999</v>
      </c>
      <c r="G207" s="8">
        <v>-89.377399999999994</v>
      </c>
      <c r="H207" s="3" t="str">
        <f t="shared" si="0"/>
        <v>Palm Beach Gardens</v>
      </c>
      <c r="I207" s="3" t="str">
        <f t="shared" si="1"/>
        <v>FL</v>
      </c>
      <c r="J207" s="3" t="str">
        <f t="array" ref="J207">INDEX('State Abbreviations'!$B$2:$B$52,MATCH(I207,'State Abbreviations'!$A$2:$A$52,0))</f>
        <v>Florida</v>
      </c>
      <c r="K207" s="119" t="e">
        <f t="shared" ca="1" si="2"/>
        <v>#NAME?</v>
      </c>
      <c r="L207" s="13">
        <f t="shared" ca="1" si="11"/>
        <v>2</v>
      </c>
      <c r="M207" s="13" t="str">
        <f ca="1">IFERROR(__xludf.DUMMYFUNCTION("IF(AND(L207&gt;5,I207&lt;&gt;""AL"",I207&lt;&gt;""AK"",I207&lt;&gt;""AZ"",I207&lt;&gt;""AR"",I207&lt;&gt;""CA"",I207&lt;&gt;""CO"",I207&lt;&gt;""CT"",I207&lt;&gt;""DE"",I207&lt;&gt;""DC"",I207&lt;&gt;""FL"",I207&lt;&gt;""GA"",I207&lt;&gt;""HI"",I207&lt;&gt;""ID"",I207&lt;&gt;""IL"",I207&lt;&gt;""IN"",I207&lt;&gt;""IA"",I207&lt;&gt;""KS"",I207&lt;&gt;""KY"",I207&lt;&gt;"&amp;"""LA"",I207&lt;&gt;""ME"",I207&lt;&gt;""MD"",I207&lt;&gt;""MA"",I207&lt;&gt;""MI"",I207&lt;&gt;""MN"",I207&lt;&gt;""MS"",I207&lt;&gt;""MO"",I207&lt;&gt;""MT"",I207&lt;&gt;""NE"",I207&lt;&gt;""NV"",I207&lt;&gt;""NH"",I207&lt;&gt;""NJ"",I207&lt;&gt;""NM"",I207&lt;&gt;""NY"",I207&lt;&gt;""NC"",I207&lt;&gt;""ND"",I207&lt;&gt;""OH"",I207&lt;&gt;""OK"",I207&lt;&gt;""OR"",I"&amp;"207&lt;&gt;""PA"",I207&lt;&gt;""RI"",I207&lt;&gt;""SC"",I207&lt;&gt;""SD"",I207&lt;&gt;""TN"",I207&lt;&gt;""TX"",I207&lt;&gt;""UT"",I207&lt;&gt;""VT"",I207&lt;&gt;""VA"",I207&lt;&gt;""WA"",I207&lt;&gt;""WV"",I207&lt;&gt;""WI"",I207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7" s="13">
        <f t="shared" ca="1" si="10"/>
        <v>7</v>
      </c>
      <c r="O207" s="13" t="b">
        <f>ISNUMBER(MATCH(C207,'Top 250 HS'!C:C,0))</f>
        <v>0</v>
      </c>
      <c r="P207" s="13" t="str">
        <f ca="1">IFERROR(__xludf.DUMMYFUNCTION("SORTN(FILTER('Top 250 HS'!B:B,'Top 250 HS'!C:C=I207),1,0,randarray(COUNTA(FILTER('Top 250 HS'!B:B,'Top 250 HS'!C:C=I207)),1),TRUE)"),"University (Fort Lauderdale)")</f>
        <v>University (Fort Lauderdale)</v>
      </c>
      <c r="Q207" s="13" t="b">
        <f>ISNUMBER(MATCH("*"&amp;E207&amp;"*",'Top 1500 HS LatitudeLongitude'!G:G,0))</f>
        <v>1</v>
      </c>
      <c r="R207" s="13" t="str">
        <f ca="1">IFERROR(__xludf.DUMMYFUNCTION("IFS(L207=10,"""",Q207=false,"""",N207=5,"""",Q207=true,SORTN(FILTER('Top 1500 HS LatitudeLongitude'!B:B,'Top 1500 HS LatitudeLongitude'!C:C=I207,'Top 1500 HS LatitudeLongitude'!E:E=H207),1,0,randarray(COUNTA(FILTER('Top 1500 HS LatitudeLongitude'!B:B,'Top"&amp;" 1500 HS LatitudeLongitude'!C:C=I207,'Top 1500 HS LatitudeLongitude'!E:E=H207)),1),TRUE)
)"),"Dwyer (Palm Beach Gardens)")</f>
        <v>Dwyer (Palm Beach Gardens)</v>
      </c>
      <c r="S207" s="13" t="b">
        <f>ISNUMBER(MATCH("*"&amp;H:H&amp;"*",'Public Schools'!C:C,0))</f>
        <v>1</v>
      </c>
      <c r="T207" s="13" t="str">
        <f ca="1">IFERROR(__xludf.DUMMYFUNCTION("IFERROR(IF(AND(R207="""",S207=true), SORTN(FILTER('Public Schools'!A:A,'Public Schools'!B:B=J207,'Public Schools'!C:C=H207),1,0,randarray(COUNTA(FILTER('Public Schools'!A:A,'Public Schools'!B:B=J207,'Public Schools'!C:C=H207)),1),TRUE),""""),"""")"),"")</f>
        <v/>
      </c>
      <c r="U207" s="23" t="str">
        <f t="array" aca="1" ref="U207" ca="1">IF(AND(R207="",T207=""),INDEX('Top 1500 HS LatitudeLongitude'!B$2:B$1501,MATCH(MIN(SQRT(('Top 1500 HS LatitudeLongitude'!H$2:H$1501-F207)^2+('Top 1500 HS LatitudeLongitude'!I$2:I$1501-G207)^2)),SQRT( ('Top 1500 HS LatitudeLongitude'!H$2:H$1501-F207)^2+('Top 1500 HS LatitudeLongitude'!I$2:I$1501-G207)^2),0),1),"")</f>
        <v/>
      </c>
    </row>
    <row r="208" spans="2:21" ht="15.6">
      <c r="B208" s="8">
        <v>3.1040578659999998E-2</v>
      </c>
      <c r="C208" s="9" t="s">
        <v>47</v>
      </c>
      <c r="D208" s="9" t="s">
        <v>418</v>
      </c>
      <c r="E208" s="120" t="s">
        <v>7593</v>
      </c>
      <c r="F208" s="8">
        <v>33.572200000000002</v>
      </c>
      <c r="G208" s="8">
        <v>-112.0891</v>
      </c>
      <c r="H208" s="3" t="str">
        <f t="shared" si="0"/>
        <v>Glendora</v>
      </c>
      <c r="I208" s="3" t="str">
        <f t="shared" si="1"/>
        <v>CA</v>
      </c>
      <c r="J208" s="3" t="str">
        <f t="array" ref="J208">INDEX('State Abbreviations'!$B$2:$B$52,MATCH(I208,'State Abbreviations'!$A$2:$A$52,0))</f>
        <v>California</v>
      </c>
      <c r="K208" s="119" t="e">
        <f t="shared" ca="1" si="2"/>
        <v>#NAME?</v>
      </c>
      <c r="L208" s="13">
        <f t="shared" ca="1" si="11"/>
        <v>5</v>
      </c>
      <c r="M208" s="13" t="str">
        <f ca="1">IFERROR(__xludf.DUMMYFUNCTION("IF(AND(L208&gt;5,I208&lt;&gt;""AL"",I208&lt;&gt;""AK"",I208&lt;&gt;""AZ"",I208&lt;&gt;""AR"",I208&lt;&gt;""CA"",I208&lt;&gt;""CO"",I208&lt;&gt;""CT"",I208&lt;&gt;""DE"",I208&lt;&gt;""DC"",I208&lt;&gt;""FL"",I208&lt;&gt;""GA"",I208&lt;&gt;""HI"",I208&lt;&gt;""ID"",I208&lt;&gt;""IL"",I208&lt;&gt;""IN"",I208&lt;&gt;""IA"",I208&lt;&gt;""KS"",I208&lt;&gt;""KY"",I208&lt;&gt;"&amp;"""LA"",I208&lt;&gt;""ME"",I208&lt;&gt;""MD"",I208&lt;&gt;""MA"",I208&lt;&gt;""MI"",I208&lt;&gt;""MN"",I208&lt;&gt;""MS"",I208&lt;&gt;""MO"",I208&lt;&gt;""MT"",I208&lt;&gt;""NE"",I208&lt;&gt;""NV"",I208&lt;&gt;""NH"",I208&lt;&gt;""NJ"",I208&lt;&gt;""NM"",I208&lt;&gt;""NY"",I208&lt;&gt;""NC"",I208&lt;&gt;""ND"",I208&lt;&gt;""OH"",I208&lt;&gt;""OK"",I208&lt;&gt;""OR"",I"&amp;"208&lt;&gt;""PA"",I208&lt;&gt;""RI"",I208&lt;&gt;""SC"",I208&lt;&gt;""SD"",I208&lt;&gt;""TN"",I208&lt;&gt;""TX"",I208&lt;&gt;""UT"",I208&lt;&gt;""VT"",I208&lt;&gt;""VA"",I208&lt;&gt;""WA"",I208&lt;&gt;""WV"",I208&lt;&gt;""WI"",I208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8" s="13">
        <f t="shared" ca="1" si="10"/>
        <v>9</v>
      </c>
      <c r="O208" s="13" t="b">
        <f>ISNUMBER(MATCH(C208,'Top 250 HS'!C:C,0))</f>
        <v>0</v>
      </c>
      <c r="P208" s="13" t="str">
        <f ca="1">IFERROR(__xludf.DUMMYFUNCTION("SORTN(FILTER('Top 250 HS'!B:B,'Top 250 HS'!C:C=I208),1,0,randarray(COUNTA(FILTER('Top 250 HS'!B:B,'Top 250 HS'!C:C=I208)),1),TRUE)"),"Bellarmine College Prep (San Jose)")</f>
        <v>Bellarmine College Prep (San Jose)</v>
      </c>
      <c r="Q208" s="13" t="b">
        <f>ISNUMBER(MATCH("*"&amp;E208&amp;"*",'Top 1500 HS LatitudeLongitude'!G:G,0))</f>
        <v>0</v>
      </c>
      <c r="R208" s="13" t="str">
        <f ca="1">IFERROR(__xludf.DUMMYFUNCTION("IFS(L208=10,"""",Q208=false,"""",N208=5,"""",Q208=true,SORTN(FILTER('Top 1500 HS LatitudeLongitude'!B:B,'Top 1500 HS LatitudeLongitude'!C:C=I208,'Top 1500 HS LatitudeLongitude'!E:E=H208),1,0,randarray(COUNTA(FILTER('Top 1500 HS LatitudeLongitude'!B:B,'Top"&amp;" 1500 HS LatitudeLongitude'!C:C=I208,'Top 1500 HS LatitudeLongitude'!E:E=H208)),1),TRUE)
)"),"")</f>
        <v/>
      </c>
      <c r="S208" s="13" t="b">
        <f>ISNUMBER(MATCH("*"&amp;H:H&amp;"*",'Public Schools'!C:C,0))</f>
        <v>1</v>
      </c>
      <c r="T208" s="13" t="str">
        <f ca="1">IFERROR(__xludf.DUMMYFUNCTION("IFERROR(IF(AND(R208="""",S208=true), SORTN(FILTER('Public Schools'!A:A,'Public Schools'!B:B=J208,'Public Schools'!C:C=H208),1,0,randarray(COUNTA(FILTER('Public Schools'!A:A,'Public Schools'!B:B=J208,'Public Schools'!C:C=H208)),1),TRUE),""""),"""")"),"Glendora High School")</f>
        <v>Glendora High School</v>
      </c>
      <c r="U208" s="23" t="str">
        <f t="array" aca="1" ref="U208" ca="1">IF(AND(R208="",T208=""),INDEX('Top 1500 HS LatitudeLongitude'!B$2:B$1501,MATCH(MIN(SQRT(('Top 1500 HS LatitudeLongitude'!H$2:H$1501-F208)^2+('Top 1500 HS LatitudeLongitude'!I$2:I$1501-G208)^2)),SQRT( ('Top 1500 HS LatitudeLongitude'!H$2:H$1501-F208)^2+('Top 1500 HS LatitudeLongitude'!I$2:I$1501-G208)^2),0),1),"")</f>
        <v/>
      </c>
    </row>
    <row r="209" spans="2:21" ht="15.6">
      <c r="B209" s="8">
        <v>0.92909089190000005</v>
      </c>
      <c r="C209" s="9" t="s">
        <v>254</v>
      </c>
      <c r="D209" s="9" t="s">
        <v>419</v>
      </c>
      <c r="E209" s="37" t="s">
        <v>7626</v>
      </c>
      <c r="F209" s="8">
        <v>36.733499999999999</v>
      </c>
      <c r="G209" s="8">
        <v>-76.043499999999995</v>
      </c>
      <c r="H209" s="3" t="str">
        <f t="shared" si="0"/>
        <v>Woodridge</v>
      </c>
      <c r="I209" s="3" t="str">
        <f t="shared" si="1"/>
        <v>IL</v>
      </c>
      <c r="J209" s="3" t="str">
        <f t="array" ref="J209">INDEX('State Abbreviations'!$B$2:$B$52,MATCH(I209,'State Abbreviations'!$A$2:$A$52,0))</f>
        <v>Illinois</v>
      </c>
      <c r="K209" s="119" t="e">
        <f t="shared" ca="1" si="2"/>
        <v>#NAME?</v>
      </c>
      <c r="L209" s="13">
        <f t="shared" ca="1" si="11"/>
        <v>21</v>
      </c>
      <c r="M209" s="13" t="str">
        <f ca="1">IFERROR(__xludf.DUMMYFUNCTION("IF(AND(L209&gt;5,I209&lt;&gt;""AL"",I209&lt;&gt;""AK"",I209&lt;&gt;""AZ"",I209&lt;&gt;""AR"",I209&lt;&gt;""CA"",I209&lt;&gt;""CO"",I209&lt;&gt;""CT"",I209&lt;&gt;""DE"",I209&lt;&gt;""DC"",I209&lt;&gt;""FL"",I209&lt;&gt;""GA"",I209&lt;&gt;""HI"",I209&lt;&gt;""ID"",I209&lt;&gt;""IL"",I209&lt;&gt;""IN"",I209&lt;&gt;""IA"",I209&lt;&gt;""KS"",I209&lt;&gt;""KY"",I209&lt;&gt;"&amp;"""LA"",I209&lt;&gt;""ME"",I209&lt;&gt;""MD"",I209&lt;&gt;""MA"",I209&lt;&gt;""MI"",I209&lt;&gt;""MN"",I209&lt;&gt;""MS"",I209&lt;&gt;""MO"",I209&lt;&gt;""MT"",I209&lt;&gt;""NE"",I209&lt;&gt;""NV"",I209&lt;&gt;""NH"",I209&lt;&gt;""NJ"",I209&lt;&gt;""NM"",I209&lt;&gt;""NY"",I209&lt;&gt;""NC"",I209&lt;&gt;""ND"",I209&lt;&gt;""OH"",I209&lt;&gt;""OK"",I209&lt;&gt;""OR"",I"&amp;"209&lt;&gt;""PA"",I209&lt;&gt;""RI"",I209&lt;&gt;""SC"",I209&lt;&gt;""SD"",I209&lt;&gt;""TN"",I209&lt;&gt;""TX"",I209&lt;&gt;""UT"",I209&lt;&gt;""VT"",I209&lt;&gt;""VA"",I209&lt;&gt;""WA"",I209&lt;&gt;""WV"",I209&lt;&gt;""WI"",I209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St"&amp;"ateInternational'!$G$2:$G$121&lt;&gt;"""")},2,0)),IF(L209=10,ArrayFormula(VLOOKUP(QUERY(UNIQUE(RANDBETWEEN(ROW(INDIRECT(""A1:A""&amp;COUNTA('Leaving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09" s="13">
        <f t="shared" ca="1" si="10"/>
        <v>18</v>
      </c>
      <c r="O209" s="13" t="b">
        <f>ISNUMBER(MATCH(C209,'Top 250 HS'!C:C,0))</f>
        <v>0</v>
      </c>
      <c r="P209" s="13" t="str">
        <f ca="1">IFERROR(__xludf.DUMMYFUNCTION("SORTN(FILTER('Top 250 HS'!B:B,'Top 250 HS'!C:C=I209),1,0,randarray(COUNTA(FILTER('Top 250 HS'!B:B,'Top 250 HS'!C:C=I209)),1),TRUE)"),"Evanston")</f>
        <v>Evanston</v>
      </c>
      <c r="Q209" s="13" t="b">
        <f>ISNUMBER(MATCH("*"&amp;E209&amp;"*",'Top 1500 HS LatitudeLongitude'!G:G,0))</f>
        <v>0</v>
      </c>
      <c r="R209" s="13" t="str">
        <f ca="1">IFERROR(__xludf.DUMMYFUNCTION("IFS(L209=10,"""",Q209=false,"""",N209=5,"""",Q209=true,SORTN(FILTER('Top 1500 HS LatitudeLongitude'!B:B,'Top 1500 HS LatitudeLongitude'!C:C=I209,'Top 1500 HS LatitudeLongitude'!E:E=H209),1,0,randarray(COUNTA(FILTER('Top 1500 HS LatitudeLongitude'!B:B,'Top"&amp;" 1500 HS LatitudeLongitude'!C:C=I209,'Top 1500 HS LatitudeLongitude'!E:E=H209)),1),TRUE)
)"),"")</f>
        <v/>
      </c>
      <c r="S209" s="13" t="b">
        <f>ISNUMBER(MATCH("*"&amp;H:H&amp;"*",'Public Schools'!C:C,0))</f>
        <v>0</v>
      </c>
      <c r="T209" s="13" t="str">
        <f ca="1">IFERROR(__xludf.DUMMYFUNCTION("IFERROR(IF(AND(R209="""",S209=true), SORTN(FILTER('Public Schools'!A:A,'Public Schools'!B:B=J209,'Public Schools'!C:C=H209),1,0,randarray(COUNTA(FILTER('Public Schools'!A:A,'Public Schools'!B:B=J209,'Public Schools'!C:C=H209)),1),TRUE),""""),"""")"),"")</f>
        <v/>
      </c>
      <c r="U209" s="23" t="str">
        <f t="array" aca="1" ref="U209" ca="1">IF(AND(R209="",T209=""),INDEX('Top 1500 HS LatitudeLongitude'!B$2:B$1501,MATCH(MIN(SQRT(('Top 1500 HS LatitudeLongitude'!H$2:H$1501-F209)^2+('Top 1500 HS LatitudeLongitude'!I$2:I$1501-G209)^2)),SQRT( ('Top 1500 HS LatitudeLongitude'!H$2:H$1501-F209)^2+('Top 1500 HS LatitudeLongitude'!I$2:I$1501-G209)^2),0),1),"")</f>
        <v>Green Run (Virginia Beach)</v>
      </c>
    </row>
    <row r="210" spans="2:21" ht="15.6">
      <c r="B210" s="8">
        <v>0.24412165620000001</v>
      </c>
      <c r="C210" s="9" t="s">
        <v>94</v>
      </c>
      <c r="D210" s="9" t="s">
        <v>420</v>
      </c>
      <c r="E210" s="120" t="s">
        <v>7671</v>
      </c>
      <c r="F210" s="8">
        <v>34.102699999999999</v>
      </c>
      <c r="G210" s="8">
        <v>-84.509200000000007</v>
      </c>
      <c r="H210" s="3" t="str">
        <f t="shared" si="0"/>
        <v>Loveland</v>
      </c>
      <c r="I210" s="3" t="str">
        <f t="shared" si="1"/>
        <v>OH</v>
      </c>
      <c r="J210" s="3" t="str">
        <f t="array" ref="J210">INDEX('State Abbreviations'!$B$2:$B$52,MATCH(I210,'State Abbreviations'!$A$2:$A$52,0))</f>
        <v>Ohio</v>
      </c>
      <c r="K210" s="119" t="e">
        <f t="shared" ca="1" si="2"/>
        <v>#NAME?</v>
      </c>
      <c r="L210" s="13">
        <f t="shared" ca="1" si="11"/>
        <v>17</v>
      </c>
      <c r="M210" s="13" t="str">
        <f ca="1">IFERROR(__xludf.DUMMYFUNCTION("IF(AND(L210&gt;5,I210&lt;&gt;""AL"",I210&lt;&gt;""AK"",I210&lt;&gt;""AZ"",I210&lt;&gt;""AR"",I210&lt;&gt;""CA"",I210&lt;&gt;""CO"",I210&lt;&gt;""CT"",I210&lt;&gt;""DE"",I210&lt;&gt;""DC"",I210&lt;&gt;""FL"",I210&lt;&gt;""GA"",I210&lt;&gt;""HI"",I210&lt;&gt;""ID"",I210&lt;&gt;""IL"",I210&lt;&gt;""IN"",I210&lt;&gt;""IA"",I210&lt;&gt;""KS"",I210&lt;&gt;""KY"",I210&lt;&gt;"&amp;"""LA"",I210&lt;&gt;""ME"",I210&lt;&gt;""MD"",I210&lt;&gt;""MA"",I210&lt;&gt;""MI"",I210&lt;&gt;""MN"",I210&lt;&gt;""MS"",I210&lt;&gt;""MO"",I210&lt;&gt;""MT"",I210&lt;&gt;""NE"",I210&lt;&gt;""NV"",I210&lt;&gt;""NH"",I210&lt;&gt;""NJ"",I210&lt;&gt;""NM"",I210&lt;&gt;""NY"",I210&lt;&gt;""NC"",I210&lt;&gt;""ND"",I210&lt;&gt;""OH"",I210&lt;&gt;""OK"",I210&lt;&gt;""OR"",I"&amp;"210&lt;&gt;""PA"",I210&lt;&gt;""RI"",I210&lt;&gt;""SC"",I210&lt;&gt;""SD"",I210&lt;&gt;""TN"",I210&lt;&gt;""TX"",I210&lt;&gt;""UT"",I210&lt;&gt;""VT"",I210&lt;&gt;""VA"",I210&lt;&gt;""WA"",I210&lt;&gt;""WV"",I210&lt;&gt;""WI"",I210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10" s="13">
        <f t="shared" ca="1" si="10"/>
        <v>12</v>
      </c>
      <c r="O210" s="13" t="b">
        <f>ISNUMBER(MATCH(C210,'Top 250 HS'!C:C,0))</f>
        <v>0</v>
      </c>
      <c r="P210" s="13" t="str">
        <f ca="1">IFERROR(__xludf.DUMMYFUNCTION("SORTN(FILTER('Top 250 HS'!B:B,'Top 250 HS'!C:C=I210),1,0,randarray(COUNTA(FILTER('Top 250 HS'!B:B,'Top 250 HS'!C:C=I210)),1),TRUE)"),"Archbishop Moeller (Cincinnati)")</f>
        <v>Archbishop Moeller (Cincinnati)</v>
      </c>
      <c r="Q210" s="13" t="b">
        <f>ISNUMBER(MATCH("*"&amp;E210&amp;"*",'Top 1500 HS LatitudeLongitude'!G:G,0))</f>
        <v>0</v>
      </c>
      <c r="R210" s="13" t="str">
        <f ca="1">IFERROR(__xludf.DUMMYFUNCTION("IFS(L210=10,"""",Q210=false,"""",N210=5,"""",Q210=true,SORTN(FILTER('Top 1500 HS LatitudeLongitude'!B:B,'Top 1500 HS LatitudeLongitude'!C:C=I210,'Top 1500 HS LatitudeLongitude'!E:E=H210),1,0,randarray(COUNTA(FILTER('Top 1500 HS LatitudeLongitude'!B:B,'Top"&amp;" 1500 HS LatitudeLongitude'!C:C=I210,'Top 1500 HS LatitudeLongitude'!E:E=H210)),1),TRUE)
)"),"")</f>
        <v/>
      </c>
      <c r="S210" s="13" t="b">
        <f>ISNUMBER(MATCH("*"&amp;H:H&amp;"*",'Public Schools'!C:C,0))</f>
        <v>1</v>
      </c>
      <c r="T210" s="13" t="str">
        <f ca="1">IFERROR(__xludf.DUMMYFUNCTION("IFERROR(IF(AND(R210="""",S210=true), SORTN(FILTER('Public Schools'!A:A,'Public Schools'!B:B=J210,'Public Schools'!C:C=H210),1,0,randarray(COUNTA(FILTER('Public Schools'!A:A,'Public Schools'!B:B=J210,'Public Schools'!C:C=H210)),1),TRUE),""""),"""")"),"Loveland High School")</f>
        <v>Loveland High School</v>
      </c>
      <c r="U210" s="23" t="str">
        <f t="array" aca="1" ref="U210" ca="1">IF(AND(R210="",T210=""),INDEX('Top 1500 HS LatitudeLongitude'!B$2:B$1501,MATCH(MIN(SQRT(('Top 1500 HS LatitudeLongitude'!H$2:H$1501-F210)^2+('Top 1500 HS LatitudeLongitude'!I$2:I$1501-G210)^2)),SQRT( ('Top 1500 HS LatitudeLongitude'!H$2:H$1501-F210)^2+('Top 1500 HS LatitudeLongitude'!I$2:I$1501-G210)^2),0),1),"")</f>
        <v/>
      </c>
    </row>
    <row r="211" spans="2:21" ht="15.6">
      <c r="B211" s="8">
        <v>0.40359465119999999</v>
      </c>
      <c r="C211" s="9" t="s">
        <v>148</v>
      </c>
      <c r="D211" s="9" t="s">
        <v>421</v>
      </c>
      <c r="E211" s="37" t="s">
        <v>7715</v>
      </c>
      <c r="F211" s="8">
        <v>30.5593</v>
      </c>
      <c r="G211" s="8">
        <v>-91.036900000000003</v>
      </c>
      <c r="H211" s="3" t="str">
        <f t="shared" si="0"/>
        <v>Lawrenceville</v>
      </c>
      <c r="I211" s="3" t="str">
        <f t="shared" si="1"/>
        <v>GA</v>
      </c>
      <c r="J211" s="3" t="str">
        <f t="array" ref="J211">INDEX('State Abbreviations'!$B$2:$B$52,MATCH(I211,'State Abbreviations'!$A$2:$A$52,0))</f>
        <v>Georgia</v>
      </c>
      <c r="K211" s="119" t="e">
        <f t="shared" ca="1" si="2"/>
        <v>#NAME?</v>
      </c>
      <c r="L211" s="13">
        <f t="shared" ca="1" si="11"/>
        <v>28</v>
      </c>
      <c r="M211" s="13" t="str">
        <f ca="1">IFERROR(__xludf.DUMMYFUNCTION("IF(AND(L211&gt;5,I211&lt;&gt;""AL"",I211&lt;&gt;""AK"",I211&lt;&gt;""AZ"",I211&lt;&gt;""AR"",I211&lt;&gt;""CA"",I211&lt;&gt;""CO"",I211&lt;&gt;""CT"",I211&lt;&gt;""DE"",I211&lt;&gt;""DC"",I211&lt;&gt;""FL"",I211&lt;&gt;""GA"",I211&lt;&gt;""HI"",I211&lt;&gt;""ID"",I211&lt;&gt;""IL"",I211&lt;&gt;""IN"",I211&lt;&gt;""IA"",I211&lt;&gt;""KS"",I211&lt;&gt;""KY"",I211&lt;&gt;"&amp;"""LA"",I211&lt;&gt;""ME"",I211&lt;&gt;""MD"",I211&lt;&gt;""MA"",I211&lt;&gt;""MI"",I211&lt;&gt;""MN"",I211&lt;&gt;""MS"",I211&lt;&gt;""MO"",I211&lt;&gt;""MT"",I211&lt;&gt;""NE"",I211&lt;&gt;""NV"",I211&lt;&gt;""NH"",I211&lt;&gt;""NJ"",I211&lt;&gt;""NM"",I211&lt;&gt;""NY"",I211&lt;&gt;""NC"",I211&lt;&gt;""ND"",I211&lt;&gt;""OH"",I211&lt;&gt;""OK"",I211&lt;&gt;""OR"",I"&amp;"211&lt;&gt;""PA"",I211&lt;&gt;""RI"",I211&lt;&gt;""SC"",I211&lt;&gt;""SD"",I211&lt;&gt;""TN"",I211&lt;&gt;""TX"",I211&lt;&gt;""UT"",I211&lt;&gt;""VT"",I211&lt;&gt;""VA"",I211&lt;&gt;""WA"",I211&lt;&gt;""WV"",I211&lt;&gt;""WI"",I211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11" s="13">
        <f t="shared" ca="1" si="10"/>
        <v>6</v>
      </c>
      <c r="O211" s="13" t="b">
        <f>ISNUMBER(MATCH(C211,'Top 250 HS'!C:C,0))</f>
        <v>0</v>
      </c>
      <c r="P211" s="13" t="str">
        <f ca="1">IFERROR(__xludf.DUMMYFUNCTION("SORTN(FILTER('Top 250 HS'!B:B,'Top 250 HS'!C:C=I211),1,0,randarray(COUNTA(FILTER('Top 250 HS'!B:B,'Top 250 HS'!C:C=I211)),1),TRUE)"),"Grayson (Loganville)")</f>
        <v>Grayson (Loganville)</v>
      </c>
      <c r="Q211" s="13" t="b">
        <f>ISNUMBER(MATCH("*"&amp;E211&amp;"*",'Top 1500 HS LatitudeLongitude'!G:G,0))</f>
        <v>1</v>
      </c>
      <c r="R211" s="13" t="str">
        <f ca="1">IFERROR(__xludf.DUMMYFUNCTION("IFS(L211=10,"""",Q211=false,"""",N211=5,"""",Q211=true,SORTN(FILTER('Top 1500 HS LatitudeLongitude'!B:B,'Top 1500 HS LatitudeLongitude'!C:C=I211,'Top 1500 HS LatitudeLongitude'!E:E=H211),1,0,randarray(COUNTA(FILTER('Top 1500 HS LatitudeLongitude'!B:B,'Top"&amp;" 1500 HS LatitudeLongitude'!C:C=I211,'Top 1500 HS LatitudeLongitude'!E:E=H211)),1),TRUE)
)"),"Archer (Lawrenceville)")</f>
        <v>Archer (Lawrenceville)</v>
      </c>
      <c r="S211" s="13" t="b">
        <f>ISNUMBER(MATCH("*"&amp;H:H&amp;"*",'Public Schools'!C:C,0))</f>
        <v>1</v>
      </c>
      <c r="T211" s="13" t="str">
        <f ca="1">IFERROR(__xludf.DUMMYFUNCTION("IFERROR(IF(AND(R211="""",S211=true), SORTN(FILTER('Public Schools'!A:A,'Public Schools'!B:B=J211,'Public Schools'!C:C=H211),1,0,randarray(COUNTA(FILTER('Public Schools'!A:A,'Public Schools'!B:B=J211,'Public Schools'!C:C=H211)),1),TRUE),""""),"""")"),"")</f>
        <v/>
      </c>
      <c r="U211" s="23" t="str">
        <f t="array" aca="1" ref="U211" ca="1">IF(AND(R211="",T211=""),INDEX('Top 1500 HS LatitudeLongitude'!B$2:B$1501,MATCH(MIN(SQRT(('Top 1500 HS LatitudeLongitude'!H$2:H$1501-F211)^2+('Top 1500 HS LatitudeLongitude'!I$2:I$1501-G211)^2)),SQRT( ('Top 1500 HS LatitudeLongitude'!H$2:H$1501-F211)^2+('Top 1500 HS LatitudeLongitude'!I$2:I$1501-G211)^2),0),1),"")</f>
        <v/>
      </c>
    </row>
    <row r="212" spans="2:21" ht="15.6">
      <c r="B212" s="8">
        <v>0.79015768419999999</v>
      </c>
      <c r="C212" s="9" t="s">
        <v>228</v>
      </c>
      <c r="D212" s="9" t="s">
        <v>422</v>
      </c>
      <c r="E212" s="120" t="s">
        <v>7746</v>
      </c>
      <c r="F212" s="8">
        <v>44.070900000000002</v>
      </c>
      <c r="G212" s="8">
        <v>-103.22</v>
      </c>
      <c r="H212" s="3" t="str">
        <f t="shared" si="0"/>
        <v>Salisbury</v>
      </c>
      <c r="I212" s="3" t="str">
        <f t="shared" si="1"/>
        <v>MD</v>
      </c>
      <c r="J212" s="3" t="str">
        <f t="array" ref="J212">INDEX('State Abbreviations'!$B$2:$B$52,MATCH(I212,'State Abbreviations'!$A$2:$A$52,0))</f>
        <v>Maryland</v>
      </c>
      <c r="K212" s="121" t="e">
        <f t="shared" ca="1" si="2"/>
        <v>#NAME?</v>
      </c>
      <c r="L212" s="13">
        <f t="shared" ca="1" si="11"/>
        <v>28</v>
      </c>
      <c r="M212" s="36" t="str">
        <f ca="1">IFERROR(__xludf.DUMMYFUNCTION("IF(AND(L212&gt;5,I212&lt;&gt;""AL"",I212&lt;&gt;""AK"",I212&lt;&gt;""AZ"",I212&lt;&gt;""AR"",I212&lt;&gt;""CA"",I212&lt;&gt;""CO"",I212&lt;&gt;""CT"",I212&lt;&gt;""DE"",I212&lt;&gt;""DC"",I212&lt;&gt;""FL"",I212&lt;&gt;""GA"",I212&lt;&gt;""HI"",I212&lt;&gt;""ID"",I212&lt;&gt;""IL"",I212&lt;&gt;""IN"",I212&lt;&gt;""IA"",I212&lt;&gt;""KS"",I212&lt;&gt;""KY"",I212&lt;&gt;"&amp;"""LA"",I212&lt;&gt;""ME"",I212&lt;&gt;""MD"",I212&lt;&gt;""MA"",I212&lt;&gt;""MI"",I212&lt;&gt;""MN"",I212&lt;&gt;""MS"",I212&lt;&gt;""MO"",I212&lt;&gt;""MT"",I212&lt;&gt;""NE"",I212&lt;&gt;""NV"",I212&lt;&gt;""NH"",I212&lt;&gt;""NJ"",I212&lt;&gt;""NM"",I212&lt;&gt;""NY"",I212&lt;&gt;""NC"",I212&lt;&gt;""ND"",I212&lt;&gt;""OH"",I212&lt;&gt;""OK"",I212&lt;&gt;""OR"",I"&amp;"212&lt;&gt;""PA"",I212&lt;&gt;""RI"",I212&lt;&gt;""SC"",I212&lt;&gt;""SD"",I212&lt;&gt;""TN"",I212&lt;&gt;""TX"",I212&lt;&gt;""UT"",I212&lt;&gt;""VT"",I212&lt;&gt;""VA"",I212&lt;&gt;""WA"",I212&lt;&gt;""WV"",I212&lt;&gt;""WI"",I212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StateInternational'!$G$2:$G$121&lt;&gt;"""")},2,0)),""""))"),"Callaway (Jackson)")</f>
        <v>Callaway (Jackson)</v>
      </c>
      <c r="N212" s="13">
        <f t="shared" ca="1" si="10"/>
        <v>12</v>
      </c>
      <c r="O212" s="13" t="b">
        <f>ISNUMBER(MATCH(C212,'Top 250 HS'!C:C,0))</f>
        <v>0</v>
      </c>
      <c r="P212" s="13" t="str">
        <f ca="1">IFERROR(__xludf.DUMMYFUNCTION("SORTN(FILTER('Top 250 HS'!B:B,'Top 250 HS'!C:C=I212),1,0,randarray(COUNTA(FILTER('Top 250 HS'!B:B,'Top 250 HS'!C:C=I212)),1),TRUE)"),"DeMatha (Hyattsville)")</f>
        <v>DeMatha (Hyattsville)</v>
      </c>
      <c r="Q212" s="13" t="b">
        <f>ISNUMBER(MATCH("*"&amp;E212&amp;"*",'Top 1500 HS LatitudeLongitude'!G:G,0))</f>
        <v>0</v>
      </c>
      <c r="R212" s="13" t="str">
        <f ca="1">IFERROR(__xludf.DUMMYFUNCTION("IFS(L212=10,"""",Q212=false,"""",N212=5,"""",Q212=true,SORTN(FILTER('Top 1500 HS LatitudeLongitude'!B:B,'Top 1500 HS LatitudeLongitude'!C:C=I212,'Top 1500 HS LatitudeLongitude'!E:E=H212),1,0,randarray(COUNTA(FILTER('Top 1500 HS LatitudeLongitude'!B:B,'Top"&amp;" 1500 HS LatitudeLongitude'!C:C=I212,'Top 1500 HS LatitudeLongitude'!E:E=H212)),1),TRUE)
)"),"")</f>
        <v/>
      </c>
      <c r="S212" s="13" t="b">
        <f>ISNUMBER(MATCH("*"&amp;H:H&amp;"*",'Public Schools'!C:C,0))</f>
        <v>1</v>
      </c>
      <c r="T212" s="13" t="str">
        <f ca="1">IFERROR(__xludf.DUMMYFUNCTION("IFERROR(IF(AND(R212="""",S212=true), SORTN(FILTER('Public Schools'!A:A,'Public Schools'!B:B=J212,'Public Schools'!C:C=H212),1,0,randarray(COUNTA(FILTER('Public Schools'!A:A,'Public Schools'!B:B=J212,'Public Schools'!C:C=H212)),1),TRUE),""""),"""")"),"James M. Bennett High School")</f>
        <v>James M. Bennett High School</v>
      </c>
      <c r="U212" s="23" t="str">
        <f t="array" aca="1" ref="U212" ca="1">IF(AND(R212="",T212=""),INDEX('Top 1500 HS LatitudeLongitude'!B$2:B$1501,MATCH(MIN(SQRT(('Top 1500 HS LatitudeLongitude'!H$2:H$1501-F212)^2+('Top 1500 HS LatitudeLongitude'!I$2:I$1501-G212)^2)),SQRT( ('Top 1500 HS LatitudeLongitude'!H$2:H$1501-F212)^2+('Top 1500 HS LatitudeLongitude'!I$2:I$1501-G212)^2),0),1),"")</f>
        <v/>
      </c>
    </row>
    <row r="213" spans="2:21" ht="15.6">
      <c r="B213" s="8">
        <v>0.1080792845</v>
      </c>
      <c r="C213" s="9" t="s">
        <v>254</v>
      </c>
      <c r="D213" s="9" t="s">
        <v>423</v>
      </c>
      <c r="E213" s="37" t="s">
        <v>7789</v>
      </c>
      <c r="F213" s="8">
        <v>34.082900000000002</v>
      </c>
      <c r="G213" s="8">
        <v>-117.97199999999999</v>
      </c>
      <c r="H213" s="3" t="str">
        <f t="shared" si="0"/>
        <v>Fults</v>
      </c>
      <c r="I213" s="3" t="str">
        <f t="shared" si="1"/>
        <v>IL</v>
      </c>
      <c r="J213" s="3" t="str">
        <f t="array" ref="J213">INDEX('State Abbreviations'!$B$2:$B$52,MATCH(I213,'State Abbreviations'!$A$2:$A$52,0))</f>
        <v>Illinois</v>
      </c>
      <c r="K213" s="119" t="e">
        <f t="shared" ca="1" si="2"/>
        <v>#NAME?</v>
      </c>
      <c r="L213" s="13">
        <f t="shared" ca="1" si="11"/>
        <v>21</v>
      </c>
      <c r="M213" s="13" t="str">
        <f ca="1">IFERROR(__xludf.DUMMYFUNCTION("IF(AND(L213&gt;5,I213&lt;&gt;""AL"",I213&lt;&gt;""AK"",I213&lt;&gt;""AZ"",I213&lt;&gt;""AR"",I213&lt;&gt;""CA"",I213&lt;&gt;""CO"",I213&lt;&gt;""CT"",I213&lt;&gt;""DE"",I213&lt;&gt;""DC"",I213&lt;&gt;""FL"",I213&lt;&gt;""GA"",I213&lt;&gt;""HI"",I213&lt;&gt;""ID"",I213&lt;&gt;""IL"",I213&lt;&gt;""IN"",I213&lt;&gt;""IA"",I213&lt;&gt;""KS"",I213&lt;&gt;""KY"",I213&lt;&gt;"&amp;"""LA"",I213&lt;&gt;""ME"",I213&lt;&gt;""MD"",I213&lt;&gt;""MA"",I213&lt;&gt;""MI"",I213&lt;&gt;""MN"",I213&lt;&gt;""MS"",I213&lt;&gt;""MO"",I213&lt;&gt;""MT"",I213&lt;&gt;""NE"",I213&lt;&gt;""NV"",I213&lt;&gt;""NH"",I213&lt;&gt;""NJ"",I213&lt;&gt;""NM"",I213&lt;&gt;""NY"",I213&lt;&gt;""NC"",I213&lt;&gt;""ND"",I213&lt;&gt;""OH"",I213&lt;&gt;""OK"",I213&lt;&gt;""OR"",I"&amp;"213&lt;&gt;""PA"",I213&lt;&gt;""RI"",I213&lt;&gt;""SC"",I213&lt;&gt;""SD"",I213&lt;&gt;""TN"",I213&lt;&gt;""TX"",I213&lt;&gt;""UT"",I213&lt;&gt;""VT"",I213&lt;&gt;""VA"",I213&lt;&gt;""WA"",I213&lt;&gt;""WV"",I213&lt;&gt;""WI"",I213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13" s="13">
        <f t="shared" ca="1" si="10"/>
        <v>10</v>
      </c>
      <c r="O213" s="13" t="b">
        <f>ISNUMBER(MATCH(C213,'Top 250 HS'!C:C,0))</f>
        <v>0</v>
      </c>
      <c r="P213" s="13" t="str">
        <f ca="1">IFERROR(__xludf.DUMMYFUNCTION("SORTN(FILTER('Top 250 HS'!B:B,'Top 250 HS'!C:C=I213),1,0,randarray(COUNTA(FILTER('Top 250 HS'!B:B,'Top 250 HS'!C:C=I213)),1),TRUE)"),"Curie (Chicago)")</f>
        <v>Curie (Chicago)</v>
      </c>
      <c r="Q213" s="13" t="b">
        <f>ISNUMBER(MATCH("*"&amp;E213&amp;"*",'Top 1500 HS LatitudeLongitude'!G:G,0))</f>
        <v>0</v>
      </c>
      <c r="R213" s="13" t="str">
        <f ca="1">IFERROR(__xludf.DUMMYFUNCTION("IFS(L213=10,"""",Q213=false,"""",N213=5,"""",Q213=true,SORTN(FILTER('Top 1500 HS LatitudeLongitude'!B:B,'Top 1500 HS LatitudeLongitude'!C:C=I213,'Top 1500 HS LatitudeLongitude'!E:E=H213),1,0,randarray(COUNTA(FILTER('Top 1500 HS LatitudeLongitude'!B:B,'Top"&amp;" 1500 HS LatitudeLongitude'!C:C=I213,'Top 1500 HS LatitudeLongitude'!E:E=H213)),1),TRUE)
)"),"")</f>
        <v/>
      </c>
      <c r="S213" s="13" t="b">
        <f>ISNUMBER(MATCH("*"&amp;H:H&amp;"*",'Public Schools'!C:C,0))</f>
        <v>0</v>
      </c>
      <c r="T213" s="13" t="str">
        <f ca="1">IFERROR(__xludf.DUMMYFUNCTION("IFERROR(IF(AND(R213="""",S213=true), SORTN(FILTER('Public Schools'!A:A,'Public Schools'!B:B=J213,'Public Schools'!C:C=H213),1,0,randarray(COUNTA(FILTER('Public Schools'!A:A,'Public Schools'!B:B=J213,'Public Schools'!C:C=H213)),1),TRUE),""""),"""")"),"")</f>
        <v/>
      </c>
      <c r="U213" s="23" t="str">
        <f t="array" aca="1" ref="U213" ca="1">IF(AND(R213="",T213=""),INDEX('Top 1500 HS LatitudeLongitude'!B$2:B$1501,MATCH(MIN(SQRT(('Top 1500 HS LatitudeLongitude'!H$2:H$1501-F213)^2+('Top 1500 HS LatitudeLongitude'!I$2:I$1501-G213)^2)),SQRT( ('Top 1500 HS LatitudeLongitude'!H$2:H$1501-F213)^2+('Top 1500 HS LatitudeLongitude'!I$2:I$1501-G213)^2),0),1),"")</f>
        <v>Los Altos (Hacienda Heights)</v>
      </c>
    </row>
    <row r="214" spans="2:21" ht="15.6">
      <c r="B214" s="8">
        <v>0.35051990090000001</v>
      </c>
      <c r="C214" s="9" t="s">
        <v>47</v>
      </c>
      <c r="D214" s="9" t="s">
        <v>424</v>
      </c>
      <c r="E214" s="120" t="s">
        <v>7826</v>
      </c>
      <c r="F214" s="8">
        <v>41.673299999999998</v>
      </c>
      <c r="G214" s="8">
        <v>-86.166700000000006</v>
      </c>
      <c r="H214" s="3" t="str">
        <f t="shared" si="0"/>
        <v>San Francisco</v>
      </c>
      <c r="I214" s="3" t="str">
        <f t="shared" si="1"/>
        <v>CA</v>
      </c>
      <c r="J214" s="3" t="str">
        <f t="array" ref="J214">INDEX('State Abbreviations'!$B$2:$B$52,MATCH(I214,'State Abbreviations'!$A$2:$A$52,0))</f>
        <v>California</v>
      </c>
      <c r="K214" s="119" t="e">
        <f t="shared" ca="1" si="2"/>
        <v>#NAME?</v>
      </c>
      <c r="L214" s="13">
        <f t="shared" ca="1" si="11"/>
        <v>7</v>
      </c>
      <c r="M214" s="13" t="str">
        <f ca="1">IFERROR(__xludf.DUMMYFUNCTION("IF(AND(L214&gt;5,I214&lt;&gt;""AL"",I214&lt;&gt;""AK"",I214&lt;&gt;""AZ"",I214&lt;&gt;""AR"",I214&lt;&gt;""CA"",I214&lt;&gt;""CO"",I214&lt;&gt;""CT"",I214&lt;&gt;""DE"",I214&lt;&gt;""DC"",I214&lt;&gt;""FL"",I214&lt;&gt;""GA"",I214&lt;&gt;""HI"",I214&lt;&gt;""ID"",I214&lt;&gt;""IL"",I214&lt;&gt;""IN"",I214&lt;&gt;""IA"",I214&lt;&gt;""KS"",I214&lt;&gt;""KY"",I214&lt;&gt;"&amp;"""LA"",I214&lt;&gt;""ME"",I214&lt;&gt;""MD"",I214&lt;&gt;""MA"",I214&lt;&gt;""MI"",I214&lt;&gt;""MN"",I214&lt;&gt;""MS"",I214&lt;&gt;""MO"",I214&lt;&gt;""MT"",I214&lt;&gt;""NE"",I214&lt;&gt;""NV"",I214&lt;&gt;""NH"",I214&lt;&gt;""NJ"",I214&lt;&gt;""NM"",I214&lt;&gt;""NY"",I214&lt;&gt;""NC"",I214&lt;&gt;""ND"",I214&lt;&gt;""OH"",I214&lt;&gt;""OK"",I214&lt;&gt;""OR"",I"&amp;"214&lt;&gt;""PA"",I214&lt;&gt;""RI"",I214&lt;&gt;""SC"",I214&lt;&gt;""SD"",I214&lt;&gt;""TN"",I214&lt;&gt;""TX"",I214&lt;&gt;""UT"",I214&lt;&gt;""VT"",I214&lt;&gt;""VA"",I214&lt;&gt;""WA"",I214&lt;&gt;""WV"",I214&lt;&gt;""WI"",I214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14" s="13">
        <f t="shared" ca="1" si="10"/>
        <v>16</v>
      </c>
      <c r="O214" s="13" t="b">
        <f>ISNUMBER(MATCH(C214,'Top 250 HS'!C:C,0))</f>
        <v>0</v>
      </c>
      <c r="P214" s="13" t="str">
        <f ca="1">IFERROR(__xludf.DUMMYFUNCTION("SORTN(FILTER('Top 250 HS'!B:B,'Top 250 HS'!C:C=I214),1,0,randarray(COUNTA(FILTER('Top 250 HS'!B:B,'Top 250 HS'!C:C=I214)),1),TRUE)"),"Bishop O'Dowd (Oakland)")</f>
        <v>Bishop O'Dowd (Oakland)</v>
      </c>
      <c r="Q214" s="13" t="b">
        <f>ISNUMBER(MATCH("*"&amp;E214&amp;"*",'Top 1500 HS LatitudeLongitude'!G:G,0))</f>
        <v>1</v>
      </c>
      <c r="R214" s="13" t="str">
        <f ca="1">IFERROR(__xludf.DUMMYFUNCTION("IFS(L214=10,"""",Q214=false,"""",N214=5,"""",Q214=true,SORTN(FILTER('Top 1500 HS LatitudeLongitude'!B:B,'Top 1500 HS LatitudeLongitude'!C:C=I214,'Top 1500 HS LatitudeLongitude'!E:E=H214),1,0,randarray(COUNTA(FILTER('Top 1500 HS LatitudeLongitude'!B:B,'Top"&amp;" 1500 HS LatitudeLongitude'!C:C=I214,'Top 1500 HS LatitudeLongitude'!E:E=H214)),1),TRUE)
)"),"Stuart Hall (San Francisco)")</f>
        <v>Stuart Hall (San Francisco)</v>
      </c>
      <c r="S214" s="13" t="b">
        <f>ISNUMBER(MATCH("*"&amp;H:H&amp;"*",'Public Schools'!C:C,0))</f>
        <v>1</v>
      </c>
      <c r="T214" s="13" t="str">
        <f ca="1">IFERROR(__xludf.DUMMYFUNCTION("IFERROR(IF(AND(R214="""",S214=true), SORTN(FILTER('Public Schools'!A:A,'Public Schools'!B:B=J214,'Public Schools'!C:C=H214),1,0,randarray(COUNTA(FILTER('Public Schools'!A:A,'Public Schools'!B:B=J214,'Public Schools'!C:C=H214)),1),TRUE),""""),"""")"),"")</f>
        <v/>
      </c>
      <c r="U214" s="23" t="str">
        <f t="array" aca="1" ref="U214" ca="1">IF(AND(R214="",T214=""),INDEX('Top 1500 HS LatitudeLongitude'!B$2:B$1501,MATCH(MIN(SQRT(('Top 1500 HS LatitudeLongitude'!H$2:H$1501-F214)^2+('Top 1500 HS LatitudeLongitude'!I$2:I$1501-G214)^2)),SQRT( ('Top 1500 HS LatitudeLongitude'!H$2:H$1501-F214)^2+('Top 1500 HS LatitudeLongitude'!I$2:I$1501-G214)^2),0),1),"")</f>
        <v/>
      </c>
    </row>
    <row r="215" spans="2:21" ht="15.6">
      <c r="B215" s="8">
        <v>0.25290765230000001</v>
      </c>
      <c r="C215" s="9" t="s">
        <v>47</v>
      </c>
      <c r="D215" s="9" t="s">
        <v>323</v>
      </c>
      <c r="E215" s="37" t="s">
        <v>3103</v>
      </c>
      <c r="F215" s="8">
        <v>33.915300000000002</v>
      </c>
      <c r="G215" s="8">
        <v>-84.8416</v>
      </c>
      <c r="H215" s="3" t="str">
        <f t="shared" si="0"/>
        <v>Los Angeles</v>
      </c>
      <c r="I215" s="3" t="str">
        <f t="shared" si="1"/>
        <v>CA</v>
      </c>
      <c r="J215" s="3" t="str">
        <f t="array" ref="J215">INDEX('State Abbreviations'!$B$2:$B$52,MATCH(I215,'State Abbreviations'!$A$2:$A$52,0))</f>
        <v>California</v>
      </c>
      <c r="K215" s="119" t="e">
        <f t="shared" ca="1" si="2"/>
        <v>#NAME?</v>
      </c>
      <c r="L215" s="13">
        <f t="shared" ca="1" si="11"/>
        <v>25</v>
      </c>
      <c r="M215" s="13" t="str">
        <f ca="1">IFERROR(__xludf.DUMMYFUNCTION("IF(AND(L215&gt;5,I215&lt;&gt;""AL"",I215&lt;&gt;""AK"",I215&lt;&gt;""AZ"",I215&lt;&gt;""AR"",I215&lt;&gt;""CA"",I215&lt;&gt;""CO"",I215&lt;&gt;""CT"",I215&lt;&gt;""DE"",I215&lt;&gt;""DC"",I215&lt;&gt;""FL"",I215&lt;&gt;""GA"",I215&lt;&gt;""HI"",I215&lt;&gt;""ID"",I215&lt;&gt;""IL"",I215&lt;&gt;""IN"",I215&lt;&gt;""IA"",I215&lt;&gt;""KS"",I215&lt;&gt;""KY"",I215&lt;&gt;"&amp;"""LA"",I215&lt;&gt;""ME"",I215&lt;&gt;""MD"",I215&lt;&gt;""MA"",I215&lt;&gt;""MI"",I215&lt;&gt;""MN"",I215&lt;&gt;""MS"",I215&lt;&gt;""MO"",I215&lt;&gt;""MT"",I215&lt;&gt;""NE"",I215&lt;&gt;""NV"",I215&lt;&gt;""NH"",I215&lt;&gt;""NJ"",I215&lt;&gt;""NM"",I215&lt;&gt;""NY"",I215&lt;&gt;""NC"",I215&lt;&gt;""ND"",I215&lt;&gt;""OH"",I215&lt;&gt;""OK"",I215&lt;&gt;""OR"",I"&amp;"215&lt;&gt;""PA"",I215&lt;&gt;""RI"",I215&lt;&gt;""SC"",I215&lt;&gt;""SD"",I215&lt;&gt;""TN"",I215&lt;&gt;""TX"",I215&lt;&gt;""UT"",I215&lt;&gt;""VT"",I215&lt;&gt;""VA"",I215&lt;&gt;""WA"",I215&lt;&gt;""WV"",I215&lt;&gt;""WI"",I215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15" s="13">
        <f t="shared" ca="1" si="10"/>
        <v>20</v>
      </c>
      <c r="O215" s="13" t="b">
        <f>ISNUMBER(MATCH(C215,'Top 250 HS'!C:C,0))</f>
        <v>0</v>
      </c>
      <c r="P215" s="13" t="str">
        <f ca="1">IFERROR(__xludf.DUMMYFUNCTION("SORTN(FILTER('Top 250 HS'!B:B,'Top 250 HS'!C:C=I215),1,0,randarray(COUNTA(FILTER('Top 250 HS'!B:B,'Top 250 HS'!C:C=I215)),1),TRUE)"),"Centennial (Corona)")</f>
        <v>Centennial (Corona)</v>
      </c>
      <c r="Q215" s="13" t="b">
        <f>ISNUMBER(MATCH("*"&amp;E215&amp;"*",'Top 1500 HS LatitudeLongitude'!G:G,0))</f>
        <v>1</v>
      </c>
      <c r="R215" s="13" t="str">
        <f ca="1">IFERROR(__xludf.DUMMYFUNCTION("IFS(L215=10,"""",Q215=false,"""",N215=5,"""",Q215=true,SORTN(FILTER('Top 1500 HS LatitudeLongitude'!B:B,'Top 1500 HS LatitudeLongitude'!C:C=I215,'Top 1500 HS LatitudeLongitude'!E:E=H215),1,0,randarray(COUNTA(FILTER('Top 1500 HS LatitudeLongitude'!B:B,'Top"&amp;" 1500 HS LatitudeLongitude'!C:C=I215,'Top 1500 HS LatitudeLongitude'!E:E=H215)),1),TRUE)
)"),"Brentwood School (Los Angeles)")</f>
        <v>Brentwood School (Los Angeles)</v>
      </c>
      <c r="S215" s="13" t="b">
        <f>ISNUMBER(MATCH("*"&amp;H:H&amp;"*",'Public Schools'!C:C,0))</f>
        <v>1</v>
      </c>
      <c r="T215" s="13" t="str">
        <f ca="1">IFERROR(__xludf.DUMMYFUNCTION("IFERROR(IF(AND(R215="""",S215=true), SORTN(FILTER('Public Schools'!A:A,'Public Schools'!B:B=J215,'Public Schools'!C:C=H215),1,0,randarray(COUNTA(FILTER('Public Schools'!A:A,'Public Schools'!B:B=J215,'Public Schools'!C:C=H215)),1),TRUE),""""),"""")"),"")</f>
        <v/>
      </c>
      <c r="U215" s="23" t="str">
        <f t="array" aca="1" ref="U215" ca="1">IF(AND(R215="",T215=""),INDEX('Top 1500 HS LatitudeLongitude'!B$2:B$1501,MATCH(MIN(SQRT(('Top 1500 HS LatitudeLongitude'!H$2:H$1501-F215)^2+('Top 1500 HS LatitudeLongitude'!I$2:I$1501-G215)^2)),SQRT( ('Top 1500 HS LatitudeLongitude'!H$2:H$1501-F215)^2+('Top 1500 HS LatitudeLongitude'!I$2:I$1501-G215)^2),0),1),"")</f>
        <v/>
      </c>
    </row>
    <row r="216" spans="2:21" ht="15.6">
      <c r="B216" s="8">
        <v>0.98472040969999997</v>
      </c>
      <c r="C216" s="9" t="s">
        <v>212</v>
      </c>
      <c r="D216" s="9" t="s">
        <v>223</v>
      </c>
      <c r="E216" s="120" t="s">
        <v>592</v>
      </c>
      <c r="F216" s="8">
        <v>43.008800000000001</v>
      </c>
      <c r="G216" s="8">
        <v>-88.246200000000002</v>
      </c>
      <c r="H216" s="3" t="str">
        <f t="shared" si="0"/>
        <v>Starkville</v>
      </c>
      <c r="I216" s="3" t="str">
        <f t="shared" si="1"/>
        <v>MS</v>
      </c>
      <c r="J216" s="3" t="str">
        <f t="array" ref="J216">INDEX('State Abbreviations'!$B$2:$B$52,MATCH(I216,'State Abbreviations'!$A$2:$A$52,0))</f>
        <v>Mississippi</v>
      </c>
      <c r="K216" s="119" t="e">
        <f t="shared" ca="1" si="2"/>
        <v>#NAME?</v>
      </c>
      <c r="L216" s="13">
        <f t="shared" ca="1" si="11"/>
        <v>17</v>
      </c>
      <c r="M216" s="13" t="str">
        <f ca="1">IFERROR(__xludf.DUMMYFUNCTION("IF(AND(L216&gt;5,I216&lt;&gt;""AL"",I216&lt;&gt;""AK"",I216&lt;&gt;""AZ"",I216&lt;&gt;""AR"",I216&lt;&gt;""CA"",I216&lt;&gt;""CO"",I216&lt;&gt;""CT"",I216&lt;&gt;""DE"",I216&lt;&gt;""DC"",I216&lt;&gt;""FL"",I216&lt;&gt;""GA"",I216&lt;&gt;""HI"",I216&lt;&gt;""ID"",I216&lt;&gt;""IL"",I216&lt;&gt;""IN"",I216&lt;&gt;""IA"",I216&lt;&gt;""KS"",I216&lt;&gt;""KY"",I216&lt;&gt;"&amp;"""LA"",I216&lt;&gt;""ME"",I216&lt;&gt;""MD"",I216&lt;&gt;""MA"",I216&lt;&gt;""MI"",I216&lt;&gt;""MN"",I216&lt;&gt;""MS"",I216&lt;&gt;""MO"",I216&lt;&gt;""MT"",I216&lt;&gt;""NE"",I216&lt;&gt;""NV"",I216&lt;&gt;""NH"",I216&lt;&gt;""NJ"",I216&lt;&gt;""NM"",I216&lt;&gt;""NY"",I216&lt;&gt;""NC"",I216&lt;&gt;""ND"",I216&lt;&gt;""OH"",I216&lt;&gt;""OK"",I216&lt;&gt;""OR"",I"&amp;"216&lt;&gt;""PA"",I216&lt;&gt;""RI"",I216&lt;&gt;""SC"",I216&lt;&gt;""SD"",I216&lt;&gt;""TN"",I216&lt;&gt;""TX"",I216&lt;&gt;""UT"",I216&lt;&gt;""VT"",I216&lt;&gt;""VA"",I216&lt;&gt;""WA"",I216&lt;&gt;""WV"",I216&lt;&gt;""WI"",I216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16" s="13">
        <f t="shared" ca="1" si="10"/>
        <v>9</v>
      </c>
      <c r="O216" s="13" t="b">
        <f>ISNUMBER(MATCH(C216,'Top 250 HS'!C:C,0))</f>
        <v>0</v>
      </c>
      <c r="P216" s="13" t="str">
        <f ca="1">IFERROR(__xludf.DUMMYFUNCTION("SORTN(FILTER('Top 250 HS'!B:B,'Top 250 HS'!C:C=I216),1,0,randarray(COUNTA(FILTER('Top 250 HS'!B:B,'Top 250 HS'!C:C=I216)),1),TRUE)"),"Starkville")</f>
        <v>Starkville</v>
      </c>
      <c r="Q216" s="13" t="b">
        <f>ISNUMBER(MATCH("*"&amp;E216&amp;"*",'Top 1500 HS LatitudeLongitude'!G:G,0))</f>
        <v>1</v>
      </c>
      <c r="R216" s="13" t="str">
        <f ca="1">IFERROR(__xludf.DUMMYFUNCTION("IFS(L216=10,"""",Q216=false,"""",N216=5,"""",Q216=true,SORTN(FILTER('Top 1500 HS LatitudeLongitude'!B:B,'Top 1500 HS LatitudeLongitude'!C:C=I216,'Top 1500 HS LatitudeLongitude'!E:E=H216),1,0,randarray(COUNTA(FILTER('Top 1500 HS LatitudeLongitude'!B:B,'Top"&amp;" 1500 HS LatitudeLongitude'!C:C=I216,'Top 1500 HS LatitudeLongitude'!E:E=H216)),1),TRUE)
)"),"Starkville")</f>
        <v>Starkville</v>
      </c>
      <c r="S216" s="13" t="b">
        <f>ISNUMBER(MATCH("*"&amp;H:H&amp;"*",'Public Schools'!C:C,0))</f>
        <v>1</v>
      </c>
      <c r="T216" s="13" t="str">
        <f ca="1">IFERROR(__xludf.DUMMYFUNCTION("IFERROR(IF(AND(R216="""",S216=true), SORTN(FILTER('Public Schools'!A:A,'Public Schools'!B:B=J216,'Public Schools'!C:C=H216),1,0,randarray(COUNTA(FILTER('Public Schools'!A:A,'Public Schools'!B:B=J216,'Public Schools'!C:C=H216)),1),TRUE),""""),"""")"),"")</f>
        <v/>
      </c>
      <c r="U216" s="23" t="str">
        <f t="array" aca="1" ref="U216" ca="1">IF(AND(R216="",T216=""),INDEX('Top 1500 HS LatitudeLongitude'!B$2:B$1501,MATCH(MIN(SQRT(('Top 1500 HS LatitudeLongitude'!H$2:H$1501-F216)^2+('Top 1500 HS LatitudeLongitude'!I$2:I$1501-G216)^2)),SQRT( ('Top 1500 HS LatitudeLongitude'!H$2:H$1501-F216)^2+('Top 1500 HS LatitudeLongitude'!I$2:I$1501-G216)^2),0),1),"")</f>
        <v/>
      </c>
    </row>
    <row r="217" spans="2:21" ht="15.6">
      <c r="B217" s="8">
        <v>0.69292813190000002</v>
      </c>
      <c r="C217" s="9" t="s">
        <v>47</v>
      </c>
      <c r="D217" s="9" t="s">
        <v>425</v>
      </c>
      <c r="E217" s="37" t="s">
        <v>7944</v>
      </c>
      <c r="F217" s="8">
        <v>41.663899999999998</v>
      </c>
      <c r="G217" s="8">
        <v>-83.581999999999994</v>
      </c>
      <c r="H217" s="3" t="str">
        <f t="shared" si="0"/>
        <v>Montebello</v>
      </c>
      <c r="I217" s="3" t="str">
        <f t="shared" si="1"/>
        <v>CA</v>
      </c>
      <c r="J217" s="3" t="str">
        <f t="array" ref="J217">INDEX('State Abbreviations'!$B$2:$B$52,MATCH(I217,'State Abbreviations'!$A$2:$A$52,0))</f>
        <v>California</v>
      </c>
      <c r="K217" s="119" t="e">
        <f t="shared" ca="1" si="2"/>
        <v>#NAME?</v>
      </c>
      <c r="L217" s="13">
        <f t="shared" ca="1" si="11"/>
        <v>11</v>
      </c>
      <c r="M217" s="13" t="str">
        <f ca="1">IFERROR(__xludf.DUMMYFUNCTION("IF(AND(L217&gt;5,I217&lt;&gt;""AL"",I217&lt;&gt;""AK"",I217&lt;&gt;""AZ"",I217&lt;&gt;""AR"",I217&lt;&gt;""CA"",I217&lt;&gt;""CO"",I217&lt;&gt;""CT"",I217&lt;&gt;""DE"",I217&lt;&gt;""DC"",I217&lt;&gt;""FL"",I217&lt;&gt;""GA"",I217&lt;&gt;""HI"",I217&lt;&gt;""ID"",I217&lt;&gt;""IL"",I217&lt;&gt;""IN"",I217&lt;&gt;""IA"",I217&lt;&gt;""KS"",I217&lt;&gt;""KY"",I217&lt;&gt;"&amp;"""LA"",I217&lt;&gt;""ME"",I217&lt;&gt;""MD"",I217&lt;&gt;""MA"",I217&lt;&gt;""MI"",I217&lt;&gt;""MN"",I217&lt;&gt;""MS"",I217&lt;&gt;""MO"",I217&lt;&gt;""MT"",I217&lt;&gt;""NE"",I217&lt;&gt;""NV"",I217&lt;&gt;""NH"",I217&lt;&gt;""NJ"",I217&lt;&gt;""NM"",I217&lt;&gt;""NY"",I217&lt;&gt;""NC"",I217&lt;&gt;""ND"",I217&lt;&gt;""OH"",I217&lt;&gt;""OK"",I217&lt;&gt;""OR"",I"&amp;"217&lt;&gt;""PA"",I217&lt;&gt;""RI"",I217&lt;&gt;""SC"",I217&lt;&gt;""SD"",I217&lt;&gt;""TN"",I217&lt;&gt;""TX"",I217&lt;&gt;""UT"",I217&lt;&gt;""VT"",I217&lt;&gt;""VA"",I217&lt;&gt;""WA"",I217&lt;&gt;""WV"",I217&lt;&gt;""WI"",I217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17" s="13">
        <f t="shared" ca="1" si="10"/>
        <v>6</v>
      </c>
      <c r="O217" s="13" t="b">
        <f>ISNUMBER(MATCH(C217,'Top 250 HS'!C:C,0))</f>
        <v>0</v>
      </c>
      <c r="P217" s="13" t="str">
        <f ca="1">IFERROR(__xludf.DUMMYFUNCTION("SORTN(FILTER('Top 250 HS'!B:B,'Top 250 HS'!C:C=I217),1,0,randarray(COUNTA(FILTER('Top 250 HS'!B:B,'Top 250 HS'!C:C=I217)),1),TRUE)"),"Rancho Christian (Temecula)")</f>
        <v>Rancho Christian (Temecula)</v>
      </c>
      <c r="Q217" s="13" t="b">
        <f>ISNUMBER(MATCH("*"&amp;E217&amp;"*",'Top 1500 HS LatitudeLongitude'!G:G,0))</f>
        <v>0</v>
      </c>
      <c r="R217" s="13" t="str">
        <f ca="1">IFERROR(__xludf.DUMMYFUNCTION("IFS(L217=10,"""",Q217=false,"""",N217=5,"""",Q217=true,SORTN(FILTER('Top 1500 HS LatitudeLongitude'!B:B,'Top 1500 HS LatitudeLongitude'!C:C=I217,'Top 1500 HS LatitudeLongitude'!E:E=H217),1,0,randarray(COUNTA(FILTER('Top 1500 HS LatitudeLongitude'!B:B,'Top"&amp;" 1500 HS LatitudeLongitude'!C:C=I217,'Top 1500 HS LatitudeLongitude'!E:E=H217)),1),TRUE)
)"),"")</f>
        <v/>
      </c>
      <c r="S217" s="13" t="b">
        <f>ISNUMBER(MATCH("*"&amp;H:H&amp;"*",'Public Schools'!C:C,0))</f>
        <v>1</v>
      </c>
      <c r="T217" s="13" t="str">
        <f ca="1">IFERROR(__xludf.DUMMYFUNCTION("IFERROR(IF(AND(R217="""",S217=true), SORTN(FILTER('Public Schools'!A:A,'Public Schools'!B:B=J217,'Public Schools'!C:C=H217),1,0,randarray(COUNTA(FILTER('Public Schools'!A:A,'Public Schools'!B:B=J217,'Public Schools'!C:C=H217)),1),TRUE),""""),"""")"),"Applied Technology Center")</f>
        <v>Applied Technology Center</v>
      </c>
      <c r="U217" s="23" t="str">
        <f t="array" aca="1" ref="U217" ca="1">IF(AND(R217="",T217=""),INDEX('Top 1500 HS LatitudeLongitude'!B$2:B$1501,MATCH(MIN(SQRT(('Top 1500 HS LatitudeLongitude'!H$2:H$1501-F217)^2+('Top 1500 HS LatitudeLongitude'!I$2:I$1501-G217)^2)),SQRT( ('Top 1500 HS LatitudeLongitude'!H$2:H$1501-F217)^2+('Top 1500 HS LatitudeLongitude'!I$2:I$1501-G217)^2),0),1),"")</f>
        <v/>
      </c>
    </row>
    <row r="218" spans="2:21" ht="15.6">
      <c r="B218" s="8">
        <v>0.91929042719999998</v>
      </c>
      <c r="C218" s="9" t="s">
        <v>206</v>
      </c>
      <c r="D218" s="9" t="s">
        <v>426</v>
      </c>
      <c r="E218" s="120" t="s">
        <v>7985</v>
      </c>
      <c r="F218" s="8">
        <v>40.602400000000003</v>
      </c>
      <c r="G218" s="8">
        <v>-112.0008</v>
      </c>
      <c r="H218" s="3" t="str">
        <f t="shared" si="0"/>
        <v>Brownsville</v>
      </c>
      <c r="I218" s="3" t="str">
        <f t="shared" si="1"/>
        <v>TX</v>
      </c>
      <c r="J218" s="3" t="str">
        <f t="array" ref="J218">INDEX('State Abbreviations'!$B$2:$B$52,MATCH(I218,'State Abbreviations'!$A$2:$A$52,0))</f>
        <v>Texas</v>
      </c>
      <c r="K218" s="119" t="e">
        <f t="shared" ca="1" si="2"/>
        <v>#NAME?</v>
      </c>
      <c r="L218" s="13">
        <f t="shared" ca="1" si="11"/>
        <v>6</v>
      </c>
      <c r="M218" s="13" t="str">
        <f ca="1">IFERROR(__xludf.DUMMYFUNCTION("IF(AND(L218&gt;5,I218&lt;&gt;""AL"",I218&lt;&gt;""AK"",I218&lt;&gt;""AZ"",I218&lt;&gt;""AR"",I218&lt;&gt;""CA"",I218&lt;&gt;""CO"",I218&lt;&gt;""CT"",I218&lt;&gt;""DE"",I218&lt;&gt;""DC"",I218&lt;&gt;""FL"",I218&lt;&gt;""GA"",I218&lt;&gt;""HI"",I218&lt;&gt;""ID"",I218&lt;&gt;""IL"",I218&lt;&gt;""IN"",I218&lt;&gt;""IA"",I218&lt;&gt;""KS"",I218&lt;&gt;""KY"",I218&lt;&gt;"&amp;"""LA"",I218&lt;&gt;""ME"",I218&lt;&gt;""MD"",I218&lt;&gt;""MA"",I218&lt;&gt;""MI"",I218&lt;&gt;""MN"",I218&lt;&gt;""MS"",I218&lt;&gt;""MO"",I218&lt;&gt;""MT"",I218&lt;&gt;""NE"",I218&lt;&gt;""NV"",I218&lt;&gt;""NH"",I218&lt;&gt;""NJ"",I218&lt;&gt;""NM"",I218&lt;&gt;""NY"",I218&lt;&gt;""NC"",I218&lt;&gt;""ND"",I218&lt;&gt;""OH"",I218&lt;&gt;""OK"",I218&lt;&gt;""OR"",I"&amp;"218&lt;&gt;""PA"",I218&lt;&gt;""RI"",I218&lt;&gt;""SC"",I218&lt;&gt;""SD"",I218&lt;&gt;""TN"",I218&lt;&gt;""TX"",I218&lt;&gt;""UT"",I218&lt;&gt;""VT"",I218&lt;&gt;""VA"",I218&lt;&gt;""WA"",I218&lt;&gt;""WV"",I218&lt;&gt;""WI"",I218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18" s="13">
        <f t="shared" ca="1" si="10"/>
        <v>16</v>
      </c>
      <c r="O218" s="13" t="b">
        <f>ISNUMBER(MATCH(C218,'Top 250 HS'!C:C,0))</f>
        <v>0</v>
      </c>
      <c r="P218" s="13" t="str">
        <f ca="1">IFERROR(__xludf.DUMMYFUNCTION("SORTN(FILTER('Top 250 HS'!B:B,'Top 250 HS'!C:C=I218),1,0,randarray(COUNTA(FILTER('Top 250 HS'!B:B,'Top 250 HS'!C:C=I218)),1),TRUE)"),"Waxahachie")</f>
        <v>Waxahachie</v>
      </c>
      <c r="Q218" s="13" t="b">
        <f>ISNUMBER(MATCH("*"&amp;E218&amp;"*",'Top 1500 HS LatitudeLongitude'!G:G,0))</f>
        <v>0</v>
      </c>
      <c r="R218" s="13" t="str">
        <f ca="1">IFERROR(__xludf.DUMMYFUNCTION("IFS(L218=10,"""",Q218=false,"""",N218=5,"""",Q218=true,SORTN(FILTER('Top 1500 HS LatitudeLongitude'!B:B,'Top 1500 HS LatitudeLongitude'!C:C=I218,'Top 1500 HS LatitudeLongitude'!E:E=H218),1,0,randarray(COUNTA(FILTER('Top 1500 HS LatitudeLongitude'!B:B,'Top"&amp;" 1500 HS LatitudeLongitude'!C:C=I218,'Top 1500 HS LatitudeLongitude'!E:E=H218)),1),TRUE)
)"),"")</f>
        <v/>
      </c>
      <c r="S218" s="13" t="b">
        <f>ISNUMBER(MATCH("*"&amp;H:H&amp;"*",'Public Schools'!C:C,0))</f>
        <v>1</v>
      </c>
      <c r="T218" s="13" t="str">
        <f ca="1">IFERROR(__xludf.DUMMYFUNCTION("IFERROR(IF(AND(R218="""",S218=true), SORTN(FILTER('Public Schools'!A:A,'Public Schools'!B:B=J218,'Public Schools'!C:C=H218),1,0,randarray(COUNTA(FILTER('Public Schools'!A:A,'Public Schools'!B:B=J218,'Public Schools'!C:C=H218)),1),TRUE),""""),"""")"),"Lopez Early College H S")</f>
        <v>Lopez Early College H S</v>
      </c>
      <c r="U218" s="23" t="str">
        <f t="array" aca="1" ref="U218" ca="1">IF(AND(R218="",T218=""),INDEX('Top 1500 HS LatitudeLongitude'!B$2:B$1501,MATCH(MIN(SQRT(('Top 1500 HS LatitudeLongitude'!H$2:H$1501-F218)^2+('Top 1500 HS LatitudeLongitude'!I$2:I$1501-G218)^2)),SQRT( ('Top 1500 HS LatitudeLongitude'!H$2:H$1501-F218)^2+('Top 1500 HS LatitudeLongitude'!I$2:I$1501-G218)^2),0),1),"")</f>
        <v/>
      </c>
    </row>
    <row r="219" spans="2:21" ht="15.6">
      <c r="B219" s="8">
        <v>0.45827499030000002</v>
      </c>
      <c r="C219" s="9" t="s">
        <v>273</v>
      </c>
      <c r="D219" s="9" t="s">
        <v>274</v>
      </c>
      <c r="E219" s="37" t="s">
        <v>1393</v>
      </c>
      <c r="F219" s="8">
        <v>38.398899999999998</v>
      </c>
      <c r="G219" s="8">
        <v>-75.0715</v>
      </c>
      <c r="H219" s="3" t="str">
        <f t="shared" si="0"/>
        <v>Saint Louis</v>
      </c>
      <c r="I219" s="3" t="str">
        <f t="shared" si="1"/>
        <v>MO</v>
      </c>
      <c r="J219" s="3" t="str">
        <f t="array" ref="J219">INDEX('State Abbreviations'!$B$2:$B$52,MATCH(I219,'State Abbreviations'!$A$2:$A$52,0))</f>
        <v>Missouri</v>
      </c>
      <c r="K219" s="119" t="e">
        <f t="shared" ca="1" si="2"/>
        <v>#NAME?</v>
      </c>
      <c r="L219" s="13">
        <f t="shared" ca="1" si="11"/>
        <v>9</v>
      </c>
      <c r="M219" s="13" t="str">
        <f ca="1">IFERROR(__xludf.DUMMYFUNCTION("IF(AND(L219&gt;5,I219&lt;&gt;""AL"",I219&lt;&gt;""AK"",I219&lt;&gt;""AZ"",I219&lt;&gt;""AR"",I219&lt;&gt;""CA"",I219&lt;&gt;""CO"",I219&lt;&gt;""CT"",I219&lt;&gt;""DE"",I219&lt;&gt;""DC"",I219&lt;&gt;""FL"",I219&lt;&gt;""GA"",I219&lt;&gt;""HI"",I219&lt;&gt;""ID"",I219&lt;&gt;""IL"",I219&lt;&gt;""IN"",I219&lt;&gt;""IA"",I219&lt;&gt;""KS"",I219&lt;&gt;""KY"",I219&lt;&gt;"&amp;"""LA"",I219&lt;&gt;""ME"",I219&lt;&gt;""MD"",I219&lt;&gt;""MA"",I219&lt;&gt;""MI"",I219&lt;&gt;""MN"",I219&lt;&gt;""MS"",I219&lt;&gt;""MO"",I219&lt;&gt;""MT"",I219&lt;&gt;""NE"",I219&lt;&gt;""NV"",I219&lt;&gt;""NH"",I219&lt;&gt;""NJ"",I219&lt;&gt;""NM"",I219&lt;&gt;""NY"",I219&lt;&gt;""NC"",I219&lt;&gt;""ND"",I219&lt;&gt;""OH"",I219&lt;&gt;""OK"",I219&lt;&gt;""OR"",I"&amp;"219&lt;&gt;""PA"",I219&lt;&gt;""RI"",I219&lt;&gt;""SC"",I219&lt;&gt;""SD"",I219&lt;&gt;""TN"",I219&lt;&gt;""TX"",I219&lt;&gt;""UT"",I219&lt;&gt;""VT"",I219&lt;&gt;""VA"",I219&lt;&gt;""WA"",I219&lt;&gt;""WV"",I219&lt;&gt;""WI"",I219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St"&amp;"ateInternational'!$G$2:$G$121&lt;&gt;"""")},2,0)),IF(L219=10,ArrayFormula(VLOOKUP(QUERY(UNIQUE(RANDBETWEEN(ROW(INDIRECT(""A1:A""&amp;COUNTA('Leaving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19" s="13">
        <f t="shared" ca="1" si="10"/>
        <v>18</v>
      </c>
      <c r="O219" s="13" t="b">
        <f>ISNUMBER(MATCH(C219,'Top 250 HS'!C:C,0))</f>
        <v>0</v>
      </c>
      <c r="P219" s="13" t="str">
        <f ca="1">IFERROR(__xludf.DUMMYFUNCTION("SORTN(FILTER('Top 250 HS'!B:B,'Top 250 HS'!C:C=I219),1,0,randarray(COUNTA(FILTER('Top 250 HS'!B:B,'Top 250 HS'!C:C=I219)),1),TRUE)"),"Vashon (St. Louis)")</f>
        <v>Vashon (St. Louis)</v>
      </c>
      <c r="Q219" s="13" t="b">
        <f>ISNUMBER(MATCH("*"&amp;E219&amp;"*",'Top 1500 HS LatitudeLongitude'!G:G,0))</f>
        <v>0</v>
      </c>
      <c r="R219" s="13" t="str">
        <f ca="1">IFERROR(__xludf.DUMMYFUNCTION("IFS(L219=10,"""",Q219=false,"""",N219=5,"""",Q219=true,SORTN(FILTER('Top 1500 HS LatitudeLongitude'!B:B,'Top 1500 HS LatitudeLongitude'!C:C=I219,'Top 1500 HS LatitudeLongitude'!E:E=H219),1,0,randarray(COUNTA(FILTER('Top 1500 HS LatitudeLongitude'!B:B,'Top"&amp;" 1500 HS LatitudeLongitude'!C:C=I219,'Top 1500 HS LatitudeLongitude'!E:E=H219)),1),TRUE)
)"),"")</f>
        <v/>
      </c>
      <c r="S219" s="13" t="b">
        <f>ISNUMBER(MATCH("*"&amp;H:H&amp;"*",'Public Schools'!C:C,0))</f>
        <v>1</v>
      </c>
      <c r="T219" s="13" t="str">
        <f ca="1">IFERROR(__xludf.DUMMYFUNCTION("IFERROR(IF(AND(R219="""",S219=true), SORTN(FILTER('Public Schools'!A:A,'Public Schools'!B:B=J219,'Public Schools'!C:C=H219),1,0,randarray(COUNTA(FILTER('Public Schools'!A:A,'Public Schools'!B:B=J219,'Public Schools'!C:C=H219)),1),TRUE),""""),"""")"),"")</f>
        <v/>
      </c>
      <c r="U219" s="23" t="str">
        <f t="array" aca="1" ref="U219" ca="1">IF(AND(R219="",T219=""),INDEX('Top 1500 HS LatitudeLongitude'!B$2:B$1501,MATCH(MIN(SQRT(('Top 1500 HS LatitudeLongitude'!H$2:H$1501-F219)^2+('Top 1500 HS LatitudeLongitude'!I$2:I$1501-G219)^2)),SQRT( ('Top 1500 HS LatitudeLongitude'!H$2:H$1501-F219)^2+('Top 1500 HS LatitudeLongitude'!I$2:I$1501-G219)^2),0),1),"")</f>
        <v>Wildwood Catholic (North Wildwood)</v>
      </c>
    </row>
    <row r="220" spans="2:21" ht="15.6">
      <c r="B220" s="8">
        <v>0.97282025500000002</v>
      </c>
      <c r="C220" s="9" t="s">
        <v>47</v>
      </c>
      <c r="D220" s="9" t="s">
        <v>427</v>
      </c>
      <c r="E220" s="120" t="s">
        <v>8072</v>
      </c>
      <c r="F220" s="8">
        <v>47.756300000000003</v>
      </c>
      <c r="G220" s="8">
        <v>-122.3425</v>
      </c>
      <c r="H220" s="3" t="str">
        <f t="shared" si="0"/>
        <v>Sylmar</v>
      </c>
      <c r="I220" s="3" t="str">
        <f t="shared" si="1"/>
        <v>CA</v>
      </c>
      <c r="J220" s="3" t="str">
        <f t="array" ref="J220">INDEX('State Abbreviations'!$B$2:$B$52,MATCH(I220,'State Abbreviations'!$A$2:$A$52,0))</f>
        <v>California</v>
      </c>
      <c r="K220" s="119" t="e">
        <f t="shared" ca="1" si="2"/>
        <v>#NAME?</v>
      </c>
      <c r="L220" s="13">
        <f t="shared" ca="1" si="11"/>
        <v>11</v>
      </c>
      <c r="M220" s="13" t="str">
        <f ca="1">IFERROR(__xludf.DUMMYFUNCTION("IF(AND(L220&gt;5,I220&lt;&gt;""AL"",I220&lt;&gt;""AK"",I220&lt;&gt;""AZ"",I220&lt;&gt;""AR"",I220&lt;&gt;""CA"",I220&lt;&gt;""CO"",I220&lt;&gt;""CT"",I220&lt;&gt;""DE"",I220&lt;&gt;""DC"",I220&lt;&gt;""FL"",I220&lt;&gt;""GA"",I220&lt;&gt;""HI"",I220&lt;&gt;""ID"",I220&lt;&gt;""IL"",I220&lt;&gt;""IN"",I220&lt;&gt;""IA"",I220&lt;&gt;""KS"",I220&lt;&gt;""KY"",I220&lt;&gt;"&amp;"""LA"",I220&lt;&gt;""ME"",I220&lt;&gt;""MD"",I220&lt;&gt;""MA"",I220&lt;&gt;""MI"",I220&lt;&gt;""MN"",I220&lt;&gt;""MS"",I220&lt;&gt;""MO"",I220&lt;&gt;""MT"",I220&lt;&gt;""NE"",I220&lt;&gt;""NV"",I220&lt;&gt;""NH"",I220&lt;&gt;""NJ"",I220&lt;&gt;""NM"",I220&lt;&gt;""NY"",I220&lt;&gt;""NC"",I220&lt;&gt;""ND"",I220&lt;&gt;""OH"",I220&lt;&gt;""OK"",I220&lt;&gt;""OR"",I"&amp;"220&lt;&gt;""PA"",I220&lt;&gt;""RI"",I220&lt;&gt;""SC"",I220&lt;&gt;""SD"",I220&lt;&gt;""TN"",I220&lt;&gt;""TX"",I220&lt;&gt;""UT"",I220&lt;&gt;""VT"",I220&lt;&gt;""VA"",I220&lt;&gt;""WA"",I220&lt;&gt;""WV"",I220&lt;&gt;""WI"",I220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20" s="13">
        <f t="shared" ca="1" si="10"/>
        <v>5</v>
      </c>
      <c r="O220" s="13" t="b">
        <f>ISNUMBER(MATCH(C220,'Top 250 HS'!C:C,0))</f>
        <v>0</v>
      </c>
      <c r="P220" s="13" t="str">
        <f ca="1">IFERROR(__xludf.DUMMYFUNCTION("SORTN(FILTER('Top 250 HS'!B:B,'Top 250 HS'!C:C=I220),1,0,randarray(COUNTA(FILTER('Top 250 HS'!B:B,'Top 250 HS'!C:C=I220)),1),TRUE)"),"Salesian College Preparatory (Richmond)")</f>
        <v>Salesian College Preparatory (Richmond)</v>
      </c>
      <c r="Q220" s="13" t="b">
        <f>ISNUMBER(MATCH("*"&amp;E220&amp;"*",'Top 1500 HS LatitudeLongitude'!G:G,0))</f>
        <v>0</v>
      </c>
      <c r="R220" s="13" t="str">
        <f ca="1">IFERROR(__xludf.DUMMYFUNCTION("IFS(L220=10,"""",Q220=false,"""",N220=5,"""",Q220=true,SORTN(FILTER('Top 1500 HS LatitudeLongitude'!B:B,'Top 1500 HS LatitudeLongitude'!C:C=I220,'Top 1500 HS LatitudeLongitude'!E:E=H220),1,0,randarray(COUNTA(FILTER('Top 1500 HS LatitudeLongitude'!B:B,'Top"&amp;" 1500 HS LatitudeLongitude'!C:C=I220,'Top 1500 HS LatitudeLongitude'!E:E=H220)),1),TRUE)
)"),"")</f>
        <v/>
      </c>
      <c r="S220" s="13" t="b">
        <f>ISNUMBER(MATCH("*"&amp;H:H&amp;"*",'Public Schools'!C:C,0))</f>
        <v>1</v>
      </c>
      <c r="T220" s="13" t="str">
        <f ca="1">IFERROR(__xludf.DUMMYFUNCTION("IFERROR(IF(AND(R220="""",S220=true), SORTN(FILTER('Public Schools'!A:A,'Public Schools'!B:B=J220,'Public Schools'!C:C=H220),1,0,randarray(COUNTA(FILTER('Public Schools'!A:A,'Public Schools'!B:B=J220,'Public Schools'!C:C=H220)),1),TRUE),""""),"""")"),"Sylmar Charter High School")</f>
        <v>Sylmar Charter High School</v>
      </c>
      <c r="U220" s="23" t="str">
        <f t="array" aca="1" ref="U220" ca="1">IF(AND(R220="",T220=""),INDEX('Top 1500 HS LatitudeLongitude'!B$2:B$1501,MATCH(MIN(SQRT(('Top 1500 HS LatitudeLongitude'!H$2:H$1501-F220)^2+('Top 1500 HS LatitudeLongitude'!I$2:I$1501-G220)^2)),SQRT( ('Top 1500 HS LatitudeLongitude'!H$2:H$1501-F220)^2+('Top 1500 HS LatitudeLongitude'!I$2:I$1501-G220)^2),0),1),"")</f>
        <v/>
      </c>
    </row>
    <row r="221" spans="2:21" ht="15.6">
      <c r="B221" s="8">
        <v>0.87437271439999997</v>
      </c>
      <c r="C221" s="9" t="s">
        <v>300</v>
      </c>
      <c r="D221" s="9" t="s">
        <v>428</v>
      </c>
      <c r="E221" s="37" t="s">
        <v>8106</v>
      </c>
      <c r="F221" s="8">
        <v>29.855399999999999</v>
      </c>
      <c r="G221" s="8">
        <v>-93.926400000000001</v>
      </c>
      <c r="H221" s="3" t="str">
        <f t="shared" si="0"/>
        <v>Sharon</v>
      </c>
      <c r="I221" s="3" t="str">
        <f t="shared" si="1"/>
        <v>WI</v>
      </c>
      <c r="J221" s="3" t="str">
        <f t="array" ref="J221">INDEX('State Abbreviations'!$B$2:$B$52,MATCH(I221,'State Abbreviations'!$A$2:$A$52,0))</f>
        <v>Wisconsin</v>
      </c>
      <c r="K221" s="119" t="e">
        <f t="shared" ca="1" si="2"/>
        <v>#NAME?</v>
      </c>
      <c r="L221" s="13">
        <f t="shared" ca="1" si="11"/>
        <v>12</v>
      </c>
      <c r="M221" s="13" t="str">
        <f ca="1">IFERROR(__xludf.DUMMYFUNCTION("IF(AND(L221&gt;5,I221&lt;&gt;""AL"",I221&lt;&gt;""AK"",I221&lt;&gt;""AZ"",I221&lt;&gt;""AR"",I221&lt;&gt;""CA"",I221&lt;&gt;""CO"",I221&lt;&gt;""CT"",I221&lt;&gt;""DE"",I221&lt;&gt;""DC"",I221&lt;&gt;""FL"",I221&lt;&gt;""GA"",I221&lt;&gt;""HI"",I221&lt;&gt;""ID"",I221&lt;&gt;""IL"",I221&lt;&gt;""IN"",I221&lt;&gt;""IA"",I221&lt;&gt;""KS"",I221&lt;&gt;""KY"",I221&lt;&gt;"&amp;"""LA"",I221&lt;&gt;""ME"",I221&lt;&gt;""MD"",I221&lt;&gt;""MA"",I221&lt;&gt;""MI"",I221&lt;&gt;""MN"",I221&lt;&gt;""MS"",I221&lt;&gt;""MO"",I221&lt;&gt;""MT"",I221&lt;&gt;""NE"",I221&lt;&gt;""NV"",I221&lt;&gt;""NH"",I221&lt;&gt;""NJ"",I221&lt;&gt;""NM"",I221&lt;&gt;""NY"",I221&lt;&gt;""NC"",I221&lt;&gt;""ND"",I221&lt;&gt;""OH"",I221&lt;&gt;""OK"",I221&lt;&gt;""OR"",I"&amp;"221&lt;&gt;""PA"",I221&lt;&gt;""RI"",I221&lt;&gt;""SC"",I221&lt;&gt;""SD"",I221&lt;&gt;""TN"",I221&lt;&gt;""TX"",I221&lt;&gt;""UT"",I221&lt;&gt;""VT"",I221&lt;&gt;""VA"",I221&lt;&gt;""WA"",I221&lt;&gt;""WV"",I221&lt;&gt;""WI"",I221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21" s="13">
        <f t="shared" ca="1" si="10"/>
        <v>7</v>
      </c>
      <c r="O221" s="13" t="b">
        <f>ISNUMBER(MATCH(C221,'Top 250 HS'!C:C,0))</f>
        <v>0</v>
      </c>
      <c r="P221" s="13" t="str">
        <f ca="1">IFERROR(__xludf.DUMMYFUNCTION("SORTN(FILTER('Top 250 HS'!B:B,'Top 250 HS'!C:C=I221),1,0,randarray(COUNTA(FILTER('Top 250 HS'!B:B,'Top 250 HS'!C:C=I221)),1),TRUE)"),"Brookfield Central (Brookfield)")</f>
        <v>Brookfield Central (Brookfield)</v>
      </c>
      <c r="Q221" s="13" t="b">
        <f>ISNUMBER(MATCH("*"&amp;E221&amp;"*",'Top 1500 HS LatitudeLongitude'!G:G,0))</f>
        <v>0</v>
      </c>
      <c r="R221" s="13" t="str">
        <f ca="1">IFERROR(__xludf.DUMMYFUNCTION("IFS(L221=10,"""",Q221=false,"""",N221=5,"""",Q221=true,SORTN(FILTER('Top 1500 HS LatitudeLongitude'!B:B,'Top 1500 HS LatitudeLongitude'!C:C=I221,'Top 1500 HS LatitudeLongitude'!E:E=H221),1,0,randarray(COUNTA(FILTER('Top 1500 HS LatitudeLongitude'!B:B,'Top"&amp;" 1500 HS LatitudeLongitude'!C:C=I221,'Top 1500 HS LatitudeLongitude'!E:E=H221)),1),TRUE)
)"),"")</f>
        <v/>
      </c>
      <c r="S221" s="13" t="b">
        <f>ISNUMBER(MATCH("*"&amp;H:H&amp;"*",'Public Schools'!C:C,0))</f>
        <v>1</v>
      </c>
      <c r="T221" s="13" t="str">
        <f ca="1">IFERROR(__xludf.DUMMYFUNCTION("IFERROR(IF(AND(R221="""",S221=true), SORTN(FILTER('Public Schools'!A:A,'Public Schools'!B:B=J221,'Public Schools'!C:C=H221),1,0,randarray(COUNTA(FILTER('Public Schools'!A:A,'Public Schools'!B:B=J221,'Public Schools'!C:C=H221)),1),TRUE),""""),"""")"),"")</f>
        <v/>
      </c>
      <c r="U221" s="23" t="str">
        <f t="array" aca="1" ref="U221" ca="1">IF(AND(R221="",T221=""),INDEX('Top 1500 HS LatitudeLongitude'!B$2:B$1501,MATCH(MIN(SQRT(('Top 1500 HS LatitudeLongitude'!H$2:H$1501-F221)^2+('Top 1500 HS LatitudeLongitude'!I$2:I$1501-G221)^2)),SQRT( ('Top 1500 HS LatitudeLongitude'!H$2:H$1501-F221)^2+('Top 1500 HS LatitudeLongitude'!I$2:I$1501-G221)^2),0),1),"")</f>
        <v>Port Arthur Memorial (Port Arthur)</v>
      </c>
    </row>
    <row r="222" spans="2:21" ht="15.6">
      <c r="B222" s="8">
        <v>0.17753137150000001</v>
      </c>
      <c r="C222" s="9" t="s">
        <v>384</v>
      </c>
      <c r="D222" s="9" t="s">
        <v>429</v>
      </c>
      <c r="E222" s="120" t="s">
        <v>8164</v>
      </c>
      <c r="F222" s="8">
        <v>30.442699999999999</v>
      </c>
      <c r="G222" s="8">
        <v>-87.188599999999994</v>
      </c>
      <c r="H222" s="3" t="str">
        <f t="shared" si="0"/>
        <v>Summit Point</v>
      </c>
      <c r="I222" s="3" t="str">
        <f t="shared" si="1"/>
        <v>WV</v>
      </c>
      <c r="J222" s="3" t="str">
        <f t="array" ref="J222">INDEX('State Abbreviations'!$B$2:$B$52,MATCH(I222,'State Abbreviations'!$A$2:$A$52,0))</f>
        <v>West Virginia</v>
      </c>
      <c r="K222" s="121" t="e">
        <f t="shared" ca="1" si="2"/>
        <v>#NAME?</v>
      </c>
      <c r="L222" s="13">
        <f t="shared" ca="1" si="11"/>
        <v>3</v>
      </c>
      <c r="M222" s="36" t="str">
        <f ca="1">IFERROR(__xludf.DUMMYFUNCTION("IF(AND(L222&gt;5,I222&lt;&gt;""AL"",I222&lt;&gt;""AK"",I222&lt;&gt;""AZ"",I222&lt;&gt;""AR"",I222&lt;&gt;""CA"",I222&lt;&gt;""CO"",I222&lt;&gt;""CT"",I222&lt;&gt;""DE"",I222&lt;&gt;""DC"",I222&lt;&gt;""FL"",I222&lt;&gt;""GA"",I222&lt;&gt;""HI"",I222&lt;&gt;""ID"",I222&lt;&gt;""IL"",I222&lt;&gt;""IN"",I222&lt;&gt;""IA"",I222&lt;&gt;""KS"",I222&lt;&gt;""KY"",I222&lt;&gt;"&amp;"""LA"",I222&lt;&gt;""ME"",I222&lt;&gt;""MD"",I222&lt;&gt;""MA"",I222&lt;&gt;""MI"",I222&lt;&gt;""MN"",I222&lt;&gt;""MS"",I222&lt;&gt;""MO"",I222&lt;&gt;""MT"",I222&lt;&gt;""NE"",I222&lt;&gt;""NV"",I222&lt;&gt;""NH"",I222&lt;&gt;""NJ"",I222&lt;&gt;""NM"",I222&lt;&gt;""NY"",I222&lt;&gt;""NC"",I222&lt;&gt;""ND"",I222&lt;&gt;""OH"",I222&lt;&gt;""OK"",I222&lt;&gt;""OR"",I"&amp;"222&lt;&gt;""PA"",I222&lt;&gt;""RI"",I222&lt;&gt;""SC"",I222&lt;&gt;""SD"",I222&lt;&gt;""TN"",I222&lt;&gt;""TX"",I222&lt;&gt;""UT"",I222&lt;&gt;""VT"",I222&lt;&gt;""VA"",I222&lt;&gt;""WA"",I222&lt;&gt;""WV"",I222&lt;&gt;""WI"",I222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StateInternational'!$G$2:$G$121&lt;&gt;"""")},2,0)),""""))"),"Bishop Gorman (Las Vegas)")</f>
        <v>Bishop Gorman (Las Vegas)</v>
      </c>
      <c r="N222" s="13">
        <f t="shared" ca="1" si="10"/>
        <v>12</v>
      </c>
      <c r="O222" s="13" t="b">
        <f>ISNUMBER(MATCH(C222,'Top 250 HS'!C:C,0))</f>
        <v>0</v>
      </c>
      <c r="P222" s="13" t="str">
        <f ca="1">IFERROR(__xludf.DUMMYFUNCTION("SORTN(FILTER('Top 250 HS'!B:B,'Top 250 HS'!C:C=I222),1,0,randarray(COUNTA(FILTER('Top 250 HS'!B:B,'Top 250 HS'!C:C=I222)),1),TRUE)"),"Huntington St. Joseph Prep (Huntington)")</f>
        <v>Huntington St. Joseph Prep (Huntington)</v>
      </c>
      <c r="Q222" s="13" t="b">
        <f>ISNUMBER(MATCH("*"&amp;E222&amp;"*",'Top 1500 HS LatitudeLongitude'!G:G,0))</f>
        <v>0</v>
      </c>
      <c r="R222" s="13" t="str">
        <f ca="1">IFERROR(__xludf.DUMMYFUNCTION("IFS(L222=10,"""",Q222=false,"""",N222=5,"""",Q222=true,SORTN(FILTER('Top 1500 HS LatitudeLongitude'!B:B,'Top 1500 HS LatitudeLongitude'!C:C=I222,'Top 1500 HS LatitudeLongitude'!E:E=H222),1,0,randarray(COUNTA(FILTER('Top 1500 HS LatitudeLongitude'!B:B,'Top"&amp;" 1500 HS LatitudeLongitude'!C:C=I222,'Top 1500 HS LatitudeLongitude'!E:E=H222)),1),TRUE)
)"),"")</f>
        <v/>
      </c>
      <c r="S222" s="13" t="b">
        <f>ISNUMBER(MATCH("*"&amp;H:H&amp;"*",'Public Schools'!C:C,0))</f>
        <v>0</v>
      </c>
      <c r="T222" s="13" t="str">
        <f ca="1">IFERROR(__xludf.DUMMYFUNCTION("IFERROR(IF(AND(R222="""",S222=true), SORTN(FILTER('Public Schools'!A:A,'Public Schools'!B:B=J222,'Public Schools'!C:C=H222),1,0,randarray(COUNTA(FILTER('Public Schools'!A:A,'Public Schools'!B:B=J222,'Public Schools'!C:C=H222)),1),TRUE),""""),"""")"),"")</f>
        <v/>
      </c>
      <c r="U222" s="23" t="str">
        <f t="array" aca="1" ref="U222" ca="1">IF(AND(R222="",T222=""),INDEX('Top 1500 HS LatitudeLongitude'!B$2:B$1501,MATCH(MIN(SQRT(('Top 1500 HS LatitudeLongitude'!H$2:H$1501-F222)^2+('Top 1500 HS LatitudeLongitude'!I$2:I$1501-G222)^2)),SQRT( ('Top 1500 HS LatitudeLongitude'!H$2:H$1501-F222)^2+('Top 1500 HS LatitudeLongitude'!I$2:I$1501-G222)^2),0),1),"")</f>
        <v>Choctawhatchee (Fort Walton Beach)</v>
      </c>
    </row>
    <row r="223" spans="2:21" ht="15.6">
      <c r="B223" s="8">
        <v>0.15901561010000001</v>
      </c>
      <c r="C223" s="9" t="s">
        <v>341</v>
      </c>
      <c r="D223" s="9" t="s">
        <v>430</v>
      </c>
      <c r="E223" s="37" t="s">
        <v>8204</v>
      </c>
      <c r="F223" s="8">
        <v>38.904699999999998</v>
      </c>
      <c r="G223" s="8">
        <v>-77.016300000000001</v>
      </c>
      <c r="H223" s="3" t="str">
        <f t="shared" si="0"/>
        <v>Brookfield</v>
      </c>
      <c r="I223" s="3" t="str">
        <f t="shared" si="1"/>
        <v>CT</v>
      </c>
      <c r="J223" s="3" t="str">
        <f t="array" ref="J223">INDEX('State Abbreviations'!$B$2:$B$52,MATCH(I223,'State Abbreviations'!$A$2:$A$52,0))</f>
        <v>Connecticut</v>
      </c>
      <c r="K223" s="119" t="e">
        <f t="shared" ca="1" si="2"/>
        <v>#NAME?</v>
      </c>
      <c r="L223" s="13">
        <f t="shared" ca="1" si="11"/>
        <v>18</v>
      </c>
      <c r="M223" s="13" t="str">
        <f ca="1">IFERROR(__xludf.DUMMYFUNCTION("IF(AND(L223&gt;5,I223&lt;&gt;""AL"",I223&lt;&gt;""AK"",I223&lt;&gt;""AZ"",I223&lt;&gt;""AR"",I223&lt;&gt;""CA"",I223&lt;&gt;""CO"",I223&lt;&gt;""CT"",I223&lt;&gt;""DE"",I223&lt;&gt;""DC"",I223&lt;&gt;""FL"",I223&lt;&gt;""GA"",I223&lt;&gt;""HI"",I223&lt;&gt;""ID"",I223&lt;&gt;""IL"",I223&lt;&gt;""IN"",I223&lt;&gt;""IA"",I223&lt;&gt;""KS"",I223&lt;&gt;""KY"",I223&lt;&gt;"&amp;"""LA"",I223&lt;&gt;""ME"",I223&lt;&gt;""MD"",I223&lt;&gt;""MA"",I223&lt;&gt;""MI"",I223&lt;&gt;""MN"",I223&lt;&gt;""MS"",I223&lt;&gt;""MO"",I223&lt;&gt;""MT"",I223&lt;&gt;""NE"",I223&lt;&gt;""NV"",I223&lt;&gt;""NH"",I223&lt;&gt;""NJ"",I223&lt;&gt;""NM"",I223&lt;&gt;""NY"",I223&lt;&gt;""NC"",I223&lt;&gt;""ND"",I223&lt;&gt;""OH"",I223&lt;&gt;""OK"",I223&lt;&gt;""OR"",I"&amp;"223&lt;&gt;""PA"",I223&lt;&gt;""RI"",I223&lt;&gt;""SC"",I223&lt;&gt;""SD"",I223&lt;&gt;""TN"",I223&lt;&gt;""TX"",I223&lt;&gt;""UT"",I223&lt;&gt;""VT"",I223&lt;&gt;""VA"",I223&lt;&gt;""WA"",I223&lt;&gt;""WV"",I223&lt;&gt;""WI"",I223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23" s="13">
        <f t="shared" ca="1" si="10"/>
        <v>20</v>
      </c>
      <c r="O223" s="13" t="b">
        <f>ISNUMBER(MATCH(C223,'Top 250 HS'!C:C,0))</f>
        <v>0</v>
      </c>
      <c r="P223" s="13" t="str">
        <f ca="1">IFERROR(__xludf.DUMMYFUNCTION("SORTN(FILTER('Top 250 HS'!B:B,'Top 250 HS'!C:C=I223),1,0,randarray(COUNTA(FILTER('Top 250 HS'!B:B,'Top 250 HS'!C:C=I223)),1),TRUE)"),"#N/A")</f>
        <v>#N/A</v>
      </c>
      <c r="Q223" s="13" t="b">
        <f>ISNUMBER(MATCH("*"&amp;E223&amp;"*",'Top 1500 HS LatitudeLongitude'!G:G,0))</f>
        <v>0</v>
      </c>
      <c r="R223" s="13" t="str">
        <f ca="1">IFERROR(__xludf.DUMMYFUNCTION("IFS(L223=10,"""",Q223=false,"""",N223=5,"""",Q223=true,SORTN(FILTER('Top 1500 HS LatitudeLongitude'!B:B,'Top 1500 HS LatitudeLongitude'!C:C=I223,'Top 1500 HS LatitudeLongitude'!E:E=H223),1,0,randarray(COUNTA(FILTER('Top 1500 HS LatitudeLongitude'!B:B,'Top"&amp;" 1500 HS LatitudeLongitude'!C:C=I223,'Top 1500 HS LatitudeLongitude'!E:E=H223)),1),TRUE)
)"),"")</f>
        <v/>
      </c>
      <c r="S223" s="13" t="b">
        <f>ISNUMBER(MATCH("*"&amp;H:H&amp;"*",'Public Schools'!C:C,0))</f>
        <v>1</v>
      </c>
      <c r="T223" s="13" t="str">
        <f ca="1">IFERROR(__xludf.DUMMYFUNCTION("IFERROR(IF(AND(R223="""",S223=true), SORTN(FILTER('Public Schools'!A:A,'Public Schools'!B:B=J223,'Public Schools'!C:C=H223),1,0,randarray(COUNTA(FILTER('Public Schools'!A:A,'Public Schools'!B:B=J223,'Public Schools'!C:C=H223)),1),TRUE),""""),"""")"),"Brookfield High School")</f>
        <v>Brookfield High School</v>
      </c>
      <c r="U223" s="23" t="str">
        <f t="array" aca="1" ref="U223" ca="1">IF(AND(R223="",T223=""),INDEX('Top 1500 HS LatitudeLongitude'!B$2:B$1501,MATCH(MIN(SQRT(('Top 1500 HS LatitudeLongitude'!H$2:H$1501-F223)^2+('Top 1500 HS LatitudeLongitude'!I$2:I$1501-G223)^2)),SQRT( ('Top 1500 HS LatitudeLongitude'!H$2:H$1501-F223)^2+('Top 1500 HS LatitudeLongitude'!I$2:I$1501-G223)^2),0),1),"")</f>
        <v/>
      </c>
    </row>
    <row r="224" spans="2:21" ht="15.6">
      <c r="B224" s="8">
        <v>0.2762091861</v>
      </c>
      <c r="C224" s="9" t="s">
        <v>431</v>
      </c>
      <c r="D224" s="9" t="s">
        <v>432</v>
      </c>
      <c r="E224" s="120" t="s">
        <v>8248</v>
      </c>
      <c r="F224" s="8">
        <v>41.920499999999997</v>
      </c>
      <c r="G224" s="8">
        <v>-92.394499999999994</v>
      </c>
      <c r="H224" s="3" t="str">
        <f t="shared" si="0"/>
        <v>Honolulu</v>
      </c>
      <c r="I224" s="3" t="str">
        <f t="shared" si="1"/>
        <v>HI</v>
      </c>
      <c r="J224" s="3" t="str">
        <f t="array" ref="J224">INDEX('State Abbreviations'!$B$2:$B$52,MATCH(I224,'State Abbreviations'!$A$2:$A$52,0))</f>
        <v>Hawaii</v>
      </c>
      <c r="K224" s="119" t="e">
        <f t="shared" ca="1" si="2"/>
        <v>#NAME?</v>
      </c>
      <c r="L224" s="13">
        <f t="shared" ca="1" si="11"/>
        <v>22</v>
      </c>
      <c r="M224" s="13" t="str">
        <f ca="1">IFERROR(__xludf.DUMMYFUNCTION("IF(AND(L224&gt;5,I224&lt;&gt;""AL"",I224&lt;&gt;""AK"",I224&lt;&gt;""AZ"",I224&lt;&gt;""AR"",I224&lt;&gt;""CA"",I224&lt;&gt;""CO"",I224&lt;&gt;""CT"",I224&lt;&gt;""DE"",I224&lt;&gt;""DC"",I224&lt;&gt;""FL"",I224&lt;&gt;""GA"",I224&lt;&gt;""HI"",I224&lt;&gt;""ID"",I224&lt;&gt;""IL"",I224&lt;&gt;""IN"",I224&lt;&gt;""IA"",I224&lt;&gt;""KS"",I224&lt;&gt;""KY"",I224&lt;&gt;"&amp;"""LA"",I224&lt;&gt;""ME"",I224&lt;&gt;""MD"",I224&lt;&gt;""MA"",I224&lt;&gt;""MI"",I224&lt;&gt;""MN"",I224&lt;&gt;""MS"",I224&lt;&gt;""MO"",I224&lt;&gt;""MT"",I224&lt;&gt;""NE"",I224&lt;&gt;""NV"",I224&lt;&gt;""NH"",I224&lt;&gt;""NJ"",I224&lt;&gt;""NM"",I224&lt;&gt;""NY"",I224&lt;&gt;""NC"",I224&lt;&gt;""ND"",I224&lt;&gt;""OH"",I224&lt;&gt;""OK"",I224&lt;&gt;""OR"",I"&amp;"224&lt;&gt;""PA"",I224&lt;&gt;""RI"",I224&lt;&gt;""SC"",I224&lt;&gt;""SD"",I224&lt;&gt;""TN"",I224&lt;&gt;""TX"",I224&lt;&gt;""UT"",I224&lt;&gt;""VT"",I224&lt;&gt;""VA"",I224&lt;&gt;""WA"",I224&lt;&gt;""WV"",I224&lt;&gt;""WI"",I224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24" s="13">
        <f t="shared" ca="1" si="10"/>
        <v>3</v>
      </c>
      <c r="O224" s="13" t="b">
        <f>ISNUMBER(MATCH(C224,'Top 250 HS'!C:C,0))</f>
        <v>0</v>
      </c>
      <c r="P224" s="13" t="str">
        <f ca="1">IFERROR(__xludf.DUMMYFUNCTION("SORTN(FILTER('Top 250 HS'!B:B,'Top 250 HS'!C:C=I224),1,0,randarray(COUNTA(FILTER('Top 250 HS'!B:B,'Top 250 HS'!C:C=I224)),1),TRUE)"),"#N/A")</f>
        <v>#N/A</v>
      </c>
      <c r="Q224" s="13" t="b">
        <f>ISNUMBER(MATCH("*"&amp;E224&amp;"*",'Top 1500 HS LatitudeLongitude'!G:G,0))</f>
        <v>1</v>
      </c>
      <c r="R224" s="13" t="str">
        <f ca="1">IFERROR(__xludf.DUMMYFUNCTION("IFS(L224=10,"""",Q224=false,"""",N224=5,"""",Q224=true,SORTN(FILTER('Top 1500 HS LatitudeLongitude'!B:B,'Top 1500 HS LatitudeLongitude'!C:C=I224,'Top 1500 HS LatitudeLongitude'!E:E=H224),1,0,randarray(COUNTA(FILTER('Top 1500 HS LatitudeLongitude'!B:B,'Top"&amp;" 1500 HS LatitudeLongitude'!C:C=I224,'Top 1500 HS LatitudeLongitude'!E:E=H224)),1),TRUE)
)"),"Kamehameha Kapalama (Honolulu)")</f>
        <v>Kamehameha Kapalama (Honolulu)</v>
      </c>
      <c r="S224" s="13" t="b">
        <f>ISNUMBER(MATCH("*"&amp;H:H&amp;"*",'Public Schools'!C:C,0))</f>
        <v>1</v>
      </c>
      <c r="T224" s="13" t="str">
        <f ca="1">IFERROR(__xludf.DUMMYFUNCTION("IFERROR(IF(AND(R224="""",S224=true), SORTN(FILTER('Public Schools'!A:A,'Public Schools'!B:B=J224,'Public Schools'!C:C=H224),1,0,randarray(COUNTA(FILTER('Public Schools'!A:A,'Public Schools'!B:B=J224,'Public Schools'!C:C=H224)),1),TRUE),""""),"""")"),"")</f>
        <v/>
      </c>
      <c r="U224" s="23" t="str">
        <f t="array" aca="1" ref="U224" ca="1">IF(AND(R224="",T224=""),INDEX('Top 1500 HS LatitudeLongitude'!B$2:B$1501,MATCH(MIN(SQRT(('Top 1500 HS LatitudeLongitude'!H$2:H$1501-F224)^2+('Top 1500 HS LatitudeLongitude'!I$2:I$1501-G224)^2)),SQRT( ('Top 1500 HS LatitudeLongitude'!H$2:H$1501-F224)^2+('Top 1500 HS LatitudeLongitude'!I$2:I$1501-G224)^2),0),1),"")</f>
        <v/>
      </c>
    </row>
    <row r="225" spans="2:21" ht="15.6">
      <c r="B225" s="8">
        <v>7.4416820049999999E-2</v>
      </c>
      <c r="C225" s="9" t="s">
        <v>266</v>
      </c>
      <c r="D225" s="9" t="s">
        <v>267</v>
      </c>
      <c r="E225" s="37" t="s">
        <v>1231</v>
      </c>
      <c r="F225" s="8">
        <v>33.838999999999999</v>
      </c>
      <c r="G225" s="8">
        <v>-117.85720000000001</v>
      </c>
      <c r="H225" s="3" t="str">
        <f t="shared" si="0"/>
        <v>Virginia Beach</v>
      </c>
      <c r="I225" s="3" t="str">
        <f t="shared" si="1"/>
        <v>VA</v>
      </c>
      <c r="J225" s="3" t="str">
        <f t="array" ref="J225">INDEX('State Abbreviations'!$B$2:$B$52,MATCH(I225,'State Abbreviations'!$A$2:$A$52,0))</f>
        <v>Virginia</v>
      </c>
      <c r="K225" s="119" t="e">
        <f t="shared" ca="1" si="2"/>
        <v>#NAME?</v>
      </c>
      <c r="L225" s="13">
        <f t="shared" ca="1" si="11"/>
        <v>27</v>
      </c>
      <c r="M225" s="13" t="str">
        <f ca="1">IFERROR(__xludf.DUMMYFUNCTION("IF(AND(L225&gt;5,I225&lt;&gt;""AL"",I225&lt;&gt;""AK"",I225&lt;&gt;""AZ"",I225&lt;&gt;""AR"",I225&lt;&gt;""CA"",I225&lt;&gt;""CO"",I225&lt;&gt;""CT"",I225&lt;&gt;""DE"",I225&lt;&gt;""DC"",I225&lt;&gt;""FL"",I225&lt;&gt;""GA"",I225&lt;&gt;""HI"",I225&lt;&gt;""ID"",I225&lt;&gt;""IL"",I225&lt;&gt;""IN"",I225&lt;&gt;""IA"",I225&lt;&gt;""KS"",I225&lt;&gt;""KY"",I225&lt;&gt;"&amp;"""LA"",I225&lt;&gt;""ME"",I225&lt;&gt;""MD"",I225&lt;&gt;""MA"",I225&lt;&gt;""MI"",I225&lt;&gt;""MN"",I225&lt;&gt;""MS"",I225&lt;&gt;""MO"",I225&lt;&gt;""MT"",I225&lt;&gt;""NE"",I225&lt;&gt;""NV"",I225&lt;&gt;""NH"",I225&lt;&gt;""NJ"",I225&lt;&gt;""NM"",I225&lt;&gt;""NY"",I225&lt;&gt;""NC"",I225&lt;&gt;""ND"",I225&lt;&gt;""OH"",I225&lt;&gt;""OK"",I225&lt;&gt;""OR"",I"&amp;"225&lt;&gt;""PA"",I225&lt;&gt;""RI"",I225&lt;&gt;""SC"",I225&lt;&gt;""SD"",I225&lt;&gt;""TN"",I225&lt;&gt;""TX"",I225&lt;&gt;""UT"",I225&lt;&gt;""VT"",I225&lt;&gt;""VA"",I225&lt;&gt;""WA"",I225&lt;&gt;""WV"",I225&lt;&gt;""WI"",I225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25" s="13">
        <f t="shared" ca="1" si="10"/>
        <v>6</v>
      </c>
      <c r="O225" s="13" t="b">
        <f>ISNUMBER(MATCH(C225,'Top 250 HS'!C:C,0))</f>
        <v>0</v>
      </c>
      <c r="P225" s="13" t="str">
        <f ca="1">IFERROR(__xludf.DUMMYFUNCTION("SORTN(FILTER('Top 250 HS'!B:B,'Top 250 HS'!C:C=I225),1,0,randarray(COUNTA(FILTER('Top 250 HS'!B:B,'Top 250 HS'!C:C=I225)),1),TRUE)"),"Paul VI (Fairfax)")</f>
        <v>Paul VI (Fairfax)</v>
      </c>
      <c r="Q225" s="13" t="b">
        <f>ISNUMBER(MATCH("*"&amp;E225&amp;"*",'Top 1500 HS LatitudeLongitude'!G:G,0))</f>
        <v>1</v>
      </c>
      <c r="R225" s="13" t="str">
        <f ca="1">IFERROR(__xludf.DUMMYFUNCTION("IFS(L225=10,"""",Q225=false,"""",N225=5,"""",Q225=true,SORTN(FILTER('Top 1500 HS LatitudeLongitude'!B:B,'Top 1500 HS LatitudeLongitude'!C:C=I225,'Top 1500 HS LatitudeLongitude'!E:E=H225),1,0,randarray(COUNTA(FILTER('Top 1500 HS LatitudeLongitude'!B:B,'Top"&amp;" 1500 HS LatitudeLongitude'!C:C=I225,'Top 1500 HS LatitudeLongitude'!E:E=H225)),1),TRUE)
)"),"Green Run (Virginia Beach)")</f>
        <v>Green Run (Virginia Beach)</v>
      </c>
      <c r="S225" s="13" t="b">
        <f>ISNUMBER(MATCH("*"&amp;H:H&amp;"*",'Public Schools'!C:C,0))</f>
        <v>1</v>
      </c>
      <c r="T225" s="13" t="str">
        <f ca="1">IFERROR(__xludf.DUMMYFUNCTION("IFERROR(IF(AND(R225="""",S225=true), SORTN(FILTER('Public Schools'!A:A,'Public Schools'!B:B=J225,'Public Schools'!C:C=H225),1,0,randarray(COUNTA(FILTER('Public Schools'!A:A,'Public Schools'!B:B=J225,'Public Schools'!C:C=H225)),1),TRUE),""""),"""")"),"")</f>
        <v/>
      </c>
      <c r="U225" s="23" t="str">
        <f t="array" aca="1" ref="U225" ca="1">IF(AND(R225="",T225=""),INDEX('Top 1500 HS LatitudeLongitude'!B$2:B$1501,MATCH(MIN(SQRT(('Top 1500 HS LatitudeLongitude'!H$2:H$1501-F225)^2+('Top 1500 HS LatitudeLongitude'!I$2:I$1501-G225)^2)),SQRT( ('Top 1500 HS LatitudeLongitude'!H$2:H$1501-F225)^2+('Top 1500 HS LatitudeLongitude'!I$2:I$1501-G225)^2),0),1),"")</f>
        <v/>
      </c>
    </row>
    <row r="226" spans="2:21" ht="15.6">
      <c r="B226" s="8">
        <v>0.68066218609999996</v>
      </c>
      <c r="C226" s="9" t="s">
        <v>94</v>
      </c>
      <c r="D226" s="9" t="s">
        <v>433</v>
      </c>
      <c r="E226" s="120" t="s">
        <v>8343</v>
      </c>
      <c r="F226" s="8">
        <v>42.931600000000003</v>
      </c>
      <c r="G226" s="8">
        <v>-74.627700000000004</v>
      </c>
      <c r="H226" s="3" t="str">
        <f t="shared" si="0"/>
        <v>Worthington</v>
      </c>
      <c r="I226" s="3" t="str">
        <f t="shared" si="1"/>
        <v>OH</v>
      </c>
      <c r="J226" s="3" t="str">
        <f t="array" ref="J226">INDEX('State Abbreviations'!$B$2:$B$52,MATCH(I226,'State Abbreviations'!$A$2:$A$52,0))</f>
        <v>Ohio</v>
      </c>
      <c r="K226" s="119" t="e">
        <f t="shared" ca="1" si="2"/>
        <v>#NAME?</v>
      </c>
      <c r="L226" s="13">
        <f t="shared" ca="1" si="11"/>
        <v>14</v>
      </c>
      <c r="M226" s="13" t="str">
        <f ca="1">IFERROR(__xludf.DUMMYFUNCTION("IF(AND(L226&gt;5,I226&lt;&gt;""AL"",I226&lt;&gt;""AK"",I226&lt;&gt;""AZ"",I226&lt;&gt;""AR"",I226&lt;&gt;""CA"",I226&lt;&gt;""CO"",I226&lt;&gt;""CT"",I226&lt;&gt;""DE"",I226&lt;&gt;""DC"",I226&lt;&gt;""FL"",I226&lt;&gt;""GA"",I226&lt;&gt;""HI"",I226&lt;&gt;""ID"",I226&lt;&gt;""IL"",I226&lt;&gt;""IN"",I226&lt;&gt;""IA"",I226&lt;&gt;""KS"",I226&lt;&gt;""KY"",I226&lt;&gt;"&amp;"""LA"",I226&lt;&gt;""ME"",I226&lt;&gt;""MD"",I226&lt;&gt;""MA"",I226&lt;&gt;""MI"",I226&lt;&gt;""MN"",I226&lt;&gt;""MS"",I226&lt;&gt;""MO"",I226&lt;&gt;""MT"",I226&lt;&gt;""NE"",I226&lt;&gt;""NV"",I226&lt;&gt;""NH"",I226&lt;&gt;""NJ"",I226&lt;&gt;""NM"",I226&lt;&gt;""NY"",I226&lt;&gt;""NC"",I226&lt;&gt;""ND"",I226&lt;&gt;""OH"",I226&lt;&gt;""OK"",I226&lt;&gt;""OR"",I"&amp;"226&lt;&gt;""PA"",I226&lt;&gt;""RI"",I226&lt;&gt;""SC"",I226&lt;&gt;""SD"",I226&lt;&gt;""TN"",I226&lt;&gt;""TX"",I226&lt;&gt;""UT"",I226&lt;&gt;""VT"",I226&lt;&gt;""VA"",I226&lt;&gt;""WA"",I226&lt;&gt;""WV"",I226&lt;&gt;""WI"",I226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26" s="13">
        <f t="shared" ca="1" si="10"/>
        <v>11</v>
      </c>
      <c r="O226" s="13" t="b">
        <f>ISNUMBER(MATCH(C226,'Top 250 HS'!C:C,0))</f>
        <v>0</v>
      </c>
      <c r="P226" s="13" t="str">
        <f ca="1">IFERROR(__xludf.DUMMYFUNCTION("SORTN(FILTER('Top 250 HS'!B:B,'Top 250 HS'!C:C=I226),1,0,randarray(COUNTA(FILTER('Top 250 HS'!B:B,'Top 250 HS'!C:C=I226)),1),TRUE)"),"St. Vincent-St. Mary (Akron)")</f>
        <v>St. Vincent-St. Mary (Akron)</v>
      </c>
      <c r="Q226" s="13" t="b">
        <f>ISNUMBER(MATCH("*"&amp;E226&amp;"*",'Top 1500 HS LatitudeLongitude'!G:G,0))</f>
        <v>1</v>
      </c>
      <c r="R226" s="13" t="str">
        <f ca="1">IFERROR(__xludf.DUMMYFUNCTION("IFS(L226=10,"""",Q226=false,"""",N226=5,"""",Q226=true,SORTN(FILTER('Top 1500 HS LatitudeLongitude'!B:B,'Top 1500 HS LatitudeLongitude'!C:C=I226,'Top 1500 HS LatitudeLongitude'!E:E=H226),1,0,randarray(COUNTA(FILTER('Top 1500 HS LatitudeLongitude'!B:B,'Top"&amp;" 1500 HS LatitudeLongitude'!C:C=I226,'Top 1500 HS LatitudeLongitude'!E:E=H226)),1),TRUE)
)"),"")</f>
        <v/>
      </c>
      <c r="S226" s="13" t="b">
        <f>ISNUMBER(MATCH("*"&amp;H:H&amp;"*",'Public Schools'!C:C,0))</f>
        <v>1</v>
      </c>
      <c r="T226" s="13" t="str">
        <f ca="1">IFERROR(__xludf.DUMMYFUNCTION("IFERROR(IF(AND(R226="""",S226=true), SORTN(FILTER('Public Schools'!A:A,'Public Schools'!B:B=J226,'Public Schools'!C:C=H226),1,0,randarray(COUNTA(FILTER('Public Schools'!A:A,'Public Schools'!B:B=J226,'Public Schools'!C:C=H226)),1),TRUE),""""),"""")"),"Thomas Worthington High School")</f>
        <v>Thomas Worthington High School</v>
      </c>
      <c r="U226" s="23" t="str">
        <f t="array" aca="1" ref="U226" ca="1">IF(AND(R226="",T226=""),INDEX('Top 1500 HS LatitudeLongitude'!B$2:B$1501,MATCH(MIN(SQRT(('Top 1500 HS LatitudeLongitude'!H$2:H$1501-F226)^2+('Top 1500 HS LatitudeLongitude'!I$2:I$1501-G226)^2)),SQRT( ('Top 1500 HS LatitudeLongitude'!H$2:H$1501-F226)^2+('Top 1500 HS LatitudeLongitude'!I$2:I$1501-G226)^2),0),1),"")</f>
        <v/>
      </c>
    </row>
    <row r="227" spans="2:21" ht="15.6">
      <c r="B227" s="8">
        <v>0.2657278374</v>
      </c>
      <c r="C227" s="9" t="s">
        <v>215</v>
      </c>
      <c r="D227" s="9" t="s">
        <v>434</v>
      </c>
      <c r="E227" s="37" t="s">
        <v>8379</v>
      </c>
      <c r="F227" s="8">
        <v>41.572499999999998</v>
      </c>
      <c r="G227" s="8">
        <v>-93.610399999999998</v>
      </c>
      <c r="H227" s="3" t="str">
        <f t="shared" si="0"/>
        <v>North Charleston</v>
      </c>
      <c r="I227" s="3" t="str">
        <f t="shared" si="1"/>
        <v>SC</v>
      </c>
      <c r="J227" s="3" t="str">
        <f t="array" ref="J227">INDEX('State Abbreviations'!$B$2:$B$52,MATCH(I227,'State Abbreviations'!$A$2:$A$52,0))</f>
        <v>South Carolina</v>
      </c>
      <c r="K227" s="119" t="e">
        <f t="shared" ca="1" si="2"/>
        <v>#NAME?</v>
      </c>
      <c r="L227" s="13">
        <f t="shared" ca="1" si="11"/>
        <v>30</v>
      </c>
      <c r="M227" s="13" t="str">
        <f ca="1">IFERROR(__xludf.DUMMYFUNCTION("IF(AND(L227&gt;5,I227&lt;&gt;""AL"",I227&lt;&gt;""AK"",I227&lt;&gt;""AZ"",I227&lt;&gt;""AR"",I227&lt;&gt;""CA"",I227&lt;&gt;""CO"",I227&lt;&gt;""CT"",I227&lt;&gt;""DE"",I227&lt;&gt;""DC"",I227&lt;&gt;""FL"",I227&lt;&gt;""GA"",I227&lt;&gt;""HI"",I227&lt;&gt;""ID"",I227&lt;&gt;""IL"",I227&lt;&gt;""IN"",I227&lt;&gt;""IA"",I227&lt;&gt;""KS"",I227&lt;&gt;""KY"",I227&lt;&gt;"&amp;"""LA"",I227&lt;&gt;""ME"",I227&lt;&gt;""MD"",I227&lt;&gt;""MA"",I227&lt;&gt;""MI"",I227&lt;&gt;""MN"",I227&lt;&gt;""MS"",I227&lt;&gt;""MO"",I227&lt;&gt;""MT"",I227&lt;&gt;""NE"",I227&lt;&gt;""NV"",I227&lt;&gt;""NH"",I227&lt;&gt;""NJ"",I227&lt;&gt;""NM"",I227&lt;&gt;""NY"",I227&lt;&gt;""NC"",I227&lt;&gt;""ND"",I227&lt;&gt;""OH"",I227&lt;&gt;""OK"",I227&lt;&gt;""OR"",I"&amp;"227&lt;&gt;""PA"",I227&lt;&gt;""RI"",I227&lt;&gt;""SC"",I227&lt;&gt;""SD"",I227&lt;&gt;""TN"",I227&lt;&gt;""TX"",I227&lt;&gt;""UT"",I227&lt;&gt;""VT"",I227&lt;&gt;""VA"",I227&lt;&gt;""WA"",I227&lt;&gt;""WV"",I227&lt;&gt;""WI"",I227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27" s="13">
        <f t="shared" ca="1" si="10"/>
        <v>20</v>
      </c>
      <c r="O227" s="13" t="b">
        <f>ISNUMBER(MATCH(C227,'Top 250 HS'!C:C,0))</f>
        <v>0</v>
      </c>
      <c r="P227" s="13" t="str">
        <f ca="1">IFERROR(__xludf.DUMMYFUNCTION("SORTN(FILTER('Top 250 HS'!B:B,'Top 250 HS'!C:C=I227),1,0,randarray(COUNTA(FILTER('Top 250 HS'!B:B,'Top 250 HS'!C:C=I227)),1),TRUE)"),"Dorman (Roebuck)")</f>
        <v>Dorman (Roebuck)</v>
      </c>
      <c r="Q227" s="13" t="b">
        <f>ISNUMBER(MATCH("*"&amp;E227&amp;"*",'Top 1500 HS LatitudeLongitude'!G:G,0))</f>
        <v>0</v>
      </c>
      <c r="R227" s="13" t="str">
        <f ca="1">IFERROR(__xludf.DUMMYFUNCTION("IFS(L227=10,"""",Q227=false,"""",N227=5,"""",Q227=true,SORTN(FILTER('Top 1500 HS LatitudeLongitude'!B:B,'Top 1500 HS LatitudeLongitude'!C:C=I227,'Top 1500 HS LatitudeLongitude'!E:E=H227),1,0,randarray(COUNTA(FILTER('Top 1500 HS LatitudeLongitude'!B:B,'Top"&amp;" 1500 HS LatitudeLongitude'!C:C=I227,'Top 1500 HS LatitudeLongitude'!E:E=H227)),1),TRUE)
)"),"")</f>
        <v/>
      </c>
      <c r="S227" s="13" t="b">
        <f>ISNUMBER(MATCH("*"&amp;H:H&amp;"*",'Public Schools'!C:C,0))</f>
        <v>1</v>
      </c>
      <c r="T227" s="13" t="str">
        <f ca="1">IFERROR(__xludf.DUMMYFUNCTION("IFERROR(IF(AND(R227="""",S227=true), SORTN(FILTER('Public Schools'!A:A,'Public Schools'!B:B=J227,'Public Schools'!C:C=H227),1,0,randarray(COUNTA(FILTER('Public Schools'!A:A,'Public Schools'!B:B=J227,'Public Schools'!C:C=H227)),1),TRUE),""""),"""")"),"Palmetto Scholars Academy")</f>
        <v>Palmetto Scholars Academy</v>
      </c>
      <c r="U227" s="23" t="str">
        <f t="array" aca="1" ref="U227" ca="1">IF(AND(R227="",T227=""),INDEX('Top 1500 HS LatitudeLongitude'!B$2:B$1501,MATCH(MIN(SQRT(('Top 1500 HS LatitudeLongitude'!H$2:H$1501-F227)^2+('Top 1500 HS LatitudeLongitude'!I$2:I$1501-G227)^2)),SQRT( ('Top 1500 HS LatitudeLongitude'!H$2:H$1501-F227)^2+('Top 1500 HS LatitudeLongitude'!I$2:I$1501-G227)^2),0),1),"")</f>
        <v/>
      </c>
    </row>
    <row r="228" spans="2:21" ht="15.6">
      <c r="B228" s="8">
        <v>0.34303507290000002</v>
      </c>
      <c r="C228" s="9" t="s">
        <v>254</v>
      </c>
      <c r="D228" s="9" t="s">
        <v>435</v>
      </c>
      <c r="E228" s="120" t="s">
        <v>8430</v>
      </c>
      <c r="F228" s="8">
        <v>37.988199999999999</v>
      </c>
      <c r="G228" s="8">
        <v>-87.533900000000003</v>
      </c>
      <c r="H228" s="3" t="str">
        <f t="shared" si="0"/>
        <v>Alton</v>
      </c>
      <c r="I228" s="3" t="str">
        <f t="shared" si="1"/>
        <v>IL</v>
      </c>
      <c r="J228" s="3" t="str">
        <f t="array" ref="J228">INDEX('State Abbreviations'!$B$2:$B$52,MATCH(I228,'State Abbreviations'!$A$2:$A$52,0))</f>
        <v>Illinois</v>
      </c>
      <c r="K228" s="119" t="e">
        <f t="shared" ca="1" si="2"/>
        <v>#NAME?</v>
      </c>
      <c r="L228" s="13">
        <f t="shared" ca="1" si="11"/>
        <v>24</v>
      </c>
      <c r="M228" s="13" t="str">
        <f ca="1">IFERROR(__xludf.DUMMYFUNCTION("IF(AND(L228&gt;5,I228&lt;&gt;""AL"",I228&lt;&gt;""AK"",I228&lt;&gt;""AZ"",I228&lt;&gt;""AR"",I228&lt;&gt;""CA"",I228&lt;&gt;""CO"",I228&lt;&gt;""CT"",I228&lt;&gt;""DE"",I228&lt;&gt;""DC"",I228&lt;&gt;""FL"",I228&lt;&gt;""GA"",I228&lt;&gt;""HI"",I228&lt;&gt;""ID"",I228&lt;&gt;""IL"",I228&lt;&gt;""IN"",I228&lt;&gt;""IA"",I228&lt;&gt;""KS"",I228&lt;&gt;""KY"",I228&lt;&gt;"&amp;"""LA"",I228&lt;&gt;""ME"",I228&lt;&gt;""MD"",I228&lt;&gt;""MA"",I228&lt;&gt;""MI"",I228&lt;&gt;""MN"",I228&lt;&gt;""MS"",I228&lt;&gt;""MO"",I228&lt;&gt;""MT"",I228&lt;&gt;""NE"",I228&lt;&gt;""NV"",I228&lt;&gt;""NH"",I228&lt;&gt;""NJ"",I228&lt;&gt;""NM"",I228&lt;&gt;""NY"",I228&lt;&gt;""NC"",I228&lt;&gt;""ND"",I228&lt;&gt;""OH"",I228&lt;&gt;""OK"",I228&lt;&gt;""OR"",I"&amp;"228&lt;&gt;""PA"",I228&lt;&gt;""RI"",I228&lt;&gt;""SC"",I228&lt;&gt;""SD"",I228&lt;&gt;""TN"",I228&lt;&gt;""TX"",I228&lt;&gt;""UT"",I228&lt;&gt;""VT"",I228&lt;&gt;""VA"",I228&lt;&gt;""WA"",I228&lt;&gt;""WV"",I228&lt;&gt;""WI"",I228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28" s="13">
        <f t="shared" ca="1" si="10"/>
        <v>2</v>
      </c>
      <c r="O228" s="13" t="b">
        <f>ISNUMBER(MATCH(C228,'Top 250 HS'!C:C,0))</f>
        <v>0</v>
      </c>
      <c r="P228" s="13" t="str">
        <f ca="1">IFERROR(__xludf.DUMMYFUNCTION("SORTN(FILTER('Top 250 HS'!B:B,'Top 250 HS'!C:C=I228),1,0,randarray(COUNTA(FILTER('Top 250 HS'!B:B,'Top 250 HS'!C:C=I228)),1),TRUE)"),"Morgan Park (Chicago)")</f>
        <v>Morgan Park (Chicago)</v>
      </c>
      <c r="Q228" s="13" t="b">
        <f>ISNUMBER(MATCH("*"&amp;E228&amp;"*",'Top 1500 HS LatitudeLongitude'!G:G,0))</f>
        <v>0</v>
      </c>
      <c r="R228" s="13" t="str">
        <f ca="1">IFERROR(__xludf.DUMMYFUNCTION("IFS(L228=10,"""",Q228=false,"""",N228=5,"""",Q228=true,SORTN(FILTER('Top 1500 HS LatitudeLongitude'!B:B,'Top 1500 HS LatitudeLongitude'!C:C=I228,'Top 1500 HS LatitudeLongitude'!E:E=H228),1,0,randarray(COUNTA(FILTER('Top 1500 HS LatitudeLongitude'!B:B,'Top"&amp;" 1500 HS LatitudeLongitude'!C:C=I228,'Top 1500 HS LatitudeLongitude'!E:E=H228)),1),TRUE)
)"),"")</f>
        <v/>
      </c>
      <c r="S228" s="13" t="b">
        <f>ISNUMBER(MATCH("*"&amp;H:H&amp;"*",'Public Schools'!C:C,0))</f>
        <v>1</v>
      </c>
      <c r="T228" s="13" t="str">
        <f ca="1">IFERROR(__xludf.DUMMYFUNCTION("IFERROR(IF(AND(R228="""",S228=true), SORTN(FILTER('Public Schools'!A:A,'Public Schools'!B:B=J228,'Public Schools'!C:C=H228),1,0,randarray(COUNTA(FILTER('Public Schools'!A:A,'Public Schools'!B:B=J228,'Public Schools'!C:C=H228)),1),TRUE),""""),"""")"),"Alton High School")</f>
        <v>Alton High School</v>
      </c>
      <c r="U228" s="23" t="str">
        <f t="array" aca="1" ref="U228" ca="1">IF(AND(R228="",T228=""),INDEX('Top 1500 HS LatitudeLongitude'!B$2:B$1501,MATCH(MIN(SQRT(('Top 1500 HS LatitudeLongitude'!H$2:H$1501-F228)^2+('Top 1500 HS LatitudeLongitude'!I$2:I$1501-G228)^2)),SQRT( ('Top 1500 HS LatitudeLongitude'!H$2:H$1501-F228)^2+('Top 1500 HS LatitudeLongitude'!I$2:I$1501-G228)^2),0),1),"")</f>
        <v/>
      </c>
    </row>
    <row r="229" spans="2:21" ht="15.6">
      <c r="B229" s="8">
        <v>0.57398224490000005</v>
      </c>
      <c r="C229" s="9" t="s">
        <v>273</v>
      </c>
      <c r="D229" s="9" t="s">
        <v>351</v>
      </c>
      <c r="E229" s="37" t="s">
        <v>4323</v>
      </c>
      <c r="F229" s="8">
        <v>35.903500000000001</v>
      </c>
      <c r="G229" s="8">
        <v>-79.961200000000005</v>
      </c>
      <c r="H229" s="3" t="str">
        <f t="shared" si="0"/>
        <v>Kansas City</v>
      </c>
      <c r="I229" s="3" t="str">
        <f t="shared" si="1"/>
        <v>MO</v>
      </c>
      <c r="J229" s="3" t="str">
        <f t="array" ref="J229">INDEX('State Abbreviations'!$B$2:$B$52,MATCH(I229,'State Abbreviations'!$A$2:$A$52,0))</f>
        <v>Missouri</v>
      </c>
      <c r="K229" s="119" t="e">
        <f t="shared" ca="1" si="2"/>
        <v>#NAME?</v>
      </c>
      <c r="L229" s="13">
        <f t="shared" ca="1" si="11"/>
        <v>28</v>
      </c>
      <c r="M229" s="13" t="str">
        <f ca="1">IFERROR(__xludf.DUMMYFUNCTION("IF(AND(L229&gt;5,I229&lt;&gt;""AL"",I229&lt;&gt;""AK"",I229&lt;&gt;""AZ"",I229&lt;&gt;""AR"",I229&lt;&gt;""CA"",I229&lt;&gt;""CO"",I229&lt;&gt;""CT"",I229&lt;&gt;""DE"",I229&lt;&gt;""DC"",I229&lt;&gt;""FL"",I229&lt;&gt;""GA"",I229&lt;&gt;""HI"",I229&lt;&gt;""ID"",I229&lt;&gt;""IL"",I229&lt;&gt;""IN"",I229&lt;&gt;""IA"",I229&lt;&gt;""KS"",I229&lt;&gt;""KY"",I229&lt;&gt;"&amp;"""LA"",I229&lt;&gt;""ME"",I229&lt;&gt;""MD"",I229&lt;&gt;""MA"",I229&lt;&gt;""MI"",I229&lt;&gt;""MN"",I229&lt;&gt;""MS"",I229&lt;&gt;""MO"",I229&lt;&gt;""MT"",I229&lt;&gt;""NE"",I229&lt;&gt;""NV"",I229&lt;&gt;""NH"",I229&lt;&gt;""NJ"",I229&lt;&gt;""NM"",I229&lt;&gt;""NY"",I229&lt;&gt;""NC"",I229&lt;&gt;""ND"",I229&lt;&gt;""OH"",I229&lt;&gt;""OK"",I229&lt;&gt;""OR"",I"&amp;"229&lt;&gt;""PA"",I229&lt;&gt;""RI"",I229&lt;&gt;""SC"",I229&lt;&gt;""SD"",I229&lt;&gt;""TN"",I229&lt;&gt;""TX"",I229&lt;&gt;""UT"",I229&lt;&gt;""VT"",I229&lt;&gt;""VA"",I229&lt;&gt;""WA"",I229&lt;&gt;""WV"",I229&lt;&gt;""WI"",I229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St"&amp;"ateInternational'!$G$2:$G$121&lt;&gt;"""")},2,0)),IF(L229=10,ArrayFormula(VLOOKUP(QUERY(UNIQUE(RANDBETWEEN(ROW(INDIRECT(""A1:A""&amp;COUNTA('Leaving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29" s="13">
        <f t="shared" ca="1" si="10"/>
        <v>9</v>
      </c>
      <c r="O229" s="13" t="b">
        <f>ISNUMBER(MATCH(C229,'Top 250 HS'!C:C,0))</f>
        <v>0</v>
      </c>
      <c r="P229" s="13" t="str">
        <f ca="1">IFERROR(__xludf.DUMMYFUNCTION("SORTN(FILTER('Top 250 HS'!B:B,'Top 250 HS'!C:C=I229),1,0,randarray(COUNTA(FILTER('Top 250 HS'!B:B,'Top 250 HS'!C:C=I229)),1),TRUE)"),"Vashon (St. Louis)")</f>
        <v>Vashon (St. Louis)</v>
      </c>
      <c r="Q229" s="13" t="b">
        <f>ISNUMBER(MATCH("*"&amp;E229&amp;"*",'Top 1500 HS LatitudeLongitude'!G:G,0))</f>
        <v>1</v>
      </c>
      <c r="R229" s="13" t="str">
        <f ca="1">IFERROR(__xludf.DUMMYFUNCTION("IFS(L229=10,"""",Q229=false,"""",N229=5,"""",Q229=true,SORTN(FILTER('Top 1500 HS LatitudeLongitude'!B:B,'Top 1500 HS LatitudeLongitude'!C:C=I229,'Top 1500 HS LatitudeLongitude'!E:E=H229),1,0,randarray(COUNTA(FILTER('Top 1500 HS LatitudeLongitude'!B:B,'Top"&amp;" 1500 HS LatitudeLongitude'!C:C=I229,'Top 1500 HS LatitudeLongitude'!E:E=H229)),1),TRUE)
)"),"Raytown")</f>
        <v>Raytown</v>
      </c>
      <c r="S229" s="13" t="b">
        <f>ISNUMBER(MATCH("*"&amp;H:H&amp;"*",'Public Schools'!C:C,0))</f>
        <v>1</v>
      </c>
      <c r="T229" s="13" t="str">
        <f ca="1">IFERROR(__xludf.DUMMYFUNCTION("IFERROR(IF(AND(R229="""",S229=true), SORTN(FILTER('Public Schools'!A:A,'Public Schools'!B:B=J229,'Public Schools'!C:C=H229),1,0,randarray(COUNTA(FILTER('Public Schools'!A:A,'Public Schools'!B:B=J229,'Public Schools'!C:C=H229)),1),TRUE),""""),"""")"),"")</f>
        <v/>
      </c>
      <c r="U229" s="23" t="str">
        <f t="array" aca="1" ref="U229" ca="1">IF(AND(R229="",T229=""),INDEX('Top 1500 HS LatitudeLongitude'!B$2:B$1501,MATCH(MIN(SQRT(('Top 1500 HS LatitudeLongitude'!H$2:H$1501-F229)^2+('Top 1500 HS LatitudeLongitude'!I$2:I$1501-G229)^2)),SQRT( ('Top 1500 HS LatitudeLongitude'!H$2:H$1501-F229)^2+('Top 1500 HS LatitudeLongitude'!I$2:I$1501-G229)^2),0),1),"")</f>
        <v/>
      </c>
    </row>
    <row r="230" spans="2:21" ht="15.6">
      <c r="B230" s="8">
        <v>0.43636003299999998</v>
      </c>
      <c r="C230" s="9" t="s">
        <v>254</v>
      </c>
      <c r="D230" s="9" t="s">
        <v>436</v>
      </c>
      <c r="E230" s="120" t="s">
        <v>8516</v>
      </c>
      <c r="F230" s="8">
        <v>39.305100000000003</v>
      </c>
      <c r="G230" s="8">
        <v>-76.614400000000003</v>
      </c>
      <c r="H230" s="3" t="str">
        <f t="shared" si="0"/>
        <v>Morris</v>
      </c>
      <c r="I230" s="3" t="str">
        <f t="shared" si="1"/>
        <v>IL</v>
      </c>
      <c r="J230" s="3" t="str">
        <f t="array" ref="J230">INDEX('State Abbreviations'!$B$2:$B$52,MATCH(I230,'State Abbreviations'!$A$2:$A$52,0))</f>
        <v>Illinois</v>
      </c>
      <c r="K230" s="119" t="e">
        <f t="shared" ca="1" si="2"/>
        <v>#NAME?</v>
      </c>
      <c r="L230" s="13">
        <f t="shared" ca="1" si="11"/>
        <v>13</v>
      </c>
      <c r="M230" s="13" t="str">
        <f ca="1">IFERROR(__xludf.DUMMYFUNCTION("IF(AND(L230&gt;5,I230&lt;&gt;""AL"",I230&lt;&gt;""AK"",I230&lt;&gt;""AZ"",I230&lt;&gt;""AR"",I230&lt;&gt;""CA"",I230&lt;&gt;""CO"",I230&lt;&gt;""CT"",I230&lt;&gt;""DE"",I230&lt;&gt;""DC"",I230&lt;&gt;""FL"",I230&lt;&gt;""GA"",I230&lt;&gt;""HI"",I230&lt;&gt;""ID"",I230&lt;&gt;""IL"",I230&lt;&gt;""IN"",I230&lt;&gt;""IA"",I230&lt;&gt;""KS"",I230&lt;&gt;""KY"",I230&lt;&gt;"&amp;"""LA"",I230&lt;&gt;""ME"",I230&lt;&gt;""MD"",I230&lt;&gt;""MA"",I230&lt;&gt;""MI"",I230&lt;&gt;""MN"",I230&lt;&gt;""MS"",I230&lt;&gt;""MO"",I230&lt;&gt;""MT"",I230&lt;&gt;""NE"",I230&lt;&gt;""NV"",I230&lt;&gt;""NH"",I230&lt;&gt;""NJ"",I230&lt;&gt;""NM"",I230&lt;&gt;""NY"",I230&lt;&gt;""NC"",I230&lt;&gt;""ND"",I230&lt;&gt;""OH"",I230&lt;&gt;""OK"",I230&lt;&gt;""OR"",I"&amp;"230&lt;&gt;""PA"",I230&lt;&gt;""RI"",I230&lt;&gt;""SC"",I230&lt;&gt;""SD"",I230&lt;&gt;""TN"",I230&lt;&gt;""TX"",I230&lt;&gt;""UT"",I230&lt;&gt;""VT"",I230&lt;&gt;""VA"",I230&lt;&gt;""WA"",I230&lt;&gt;""WV"",I230&lt;&gt;""WI"",I230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0" s="13">
        <f t="shared" ca="1" si="10"/>
        <v>16</v>
      </c>
      <c r="O230" s="13" t="b">
        <f>ISNUMBER(MATCH(C230,'Top 250 HS'!C:C,0))</f>
        <v>0</v>
      </c>
      <c r="P230" s="13" t="str">
        <f ca="1">IFERROR(__xludf.DUMMYFUNCTION("SORTN(FILTER('Top 250 HS'!B:B,'Top 250 HS'!C:C=I230),1,0,randarray(COUNTA(FILTER('Top 250 HS'!B:B,'Top 250 HS'!C:C=I230)),1),TRUE)"),"Peoria Notre Dame (Peoria)")</f>
        <v>Peoria Notre Dame (Peoria)</v>
      </c>
      <c r="Q230" s="13" t="b">
        <f>ISNUMBER(MATCH("*"&amp;E230&amp;"*",'Top 1500 HS LatitudeLongitude'!G:G,0))</f>
        <v>0</v>
      </c>
      <c r="R230" s="13" t="str">
        <f ca="1">IFERROR(__xludf.DUMMYFUNCTION("IFS(L230=10,"""",Q230=false,"""",N230=5,"""",Q230=true,SORTN(FILTER('Top 1500 HS LatitudeLongitude'!B:B,'Top 1500 HS LatitudeLongitude'!C:C=I230,'Top 1500 HS LatitudeLongitude'!E:E=H230),1,0,randarray(COUNTA(FILTER('Top 1500 HS LatitudeLongitude'!B:B,'Top"&amp;" 1500 HS LatitudeLongitude'!C:C=I230,'Top 1500 HS LatitudeLongitude'!E:E=H230)),1),TRUE)
)"),"")</f>
        <v/>
      </c>
      <c r="S230" s="13" t="b">
        <f>ISNUMBER(MATCH("*"&amp;H:H&amp;"*",'Public Schools'!C:C,0))</f>
        <v>1</v>
      </c>
      <c r="T230" s="13" t="str">
        <f ca="1">IFERROR(__xludf.DUMMYFUNCTION("IFERROR(IF(AND(R230="""",S230=true), SORTN(FILTER('Public Schools'!A:A,'Public Schools'!B:B=J230,'Public Schools'!C:C=H230),1,0,randarray(COUNTA(FILTER('Public Schools'!A:A,'Public Schools'!B:B=J230,'Public Schools'!C:C=H230)),1),TRUE),""""),"""")"),"Morris Community High School")</f>
        <v>Morris Community High School</v>
      </c>
      <c r="U230" s="23" t="str">
        <f t="array" aca="1" ref="U230" ca="1">IF(AND(R230="",T230=""),INDEX('Top 1500 HS LatitudeLongitude'!B$2:B$1501,MATCH(MIN(SQRT(('Top 1500 HS LatitudeLongitude'!H$2:H$1501-F230)^2+('Top 1500 HS LatitudeLongitude'!I$2:I$1501-G230)^2)),SQRT( ('Top 1500 HS LatitudeLongitude'!H$2:H$1501-F230)^2+('Top 1500 HS LatitudeLongitude'!I$2:I$1501-G230)^2),0),1),"")</f>
        <v/>
      </c>
    </row>
    <row r="231" spans="2:21" ht="15.6">
      <c r="B231" s="8">
        <v>0.68809641610000005</v>
      </c>
      <c r="C231" s="9" t="s">
        <v>94</v>
      </c>
      <c r="D231" s="9" t="s">
        <v>344</v>
      </c>
      <c r="E231" s="37" t="s">
        <v>8565</v>
      </c>
      <c r="F231" s="8">
        <v>39.985900000000001</v>
      </c>
      <c r="G231" s="8">
        <v>-82.985200000000006</v>
      </c>
      <c r="H231" s="3" t="str">
        <f t="shared" si="0"/>
        <v>Hamilton</v>
      </c>
      <c r="I231" s="3" t="str">
        <f t="shared" si="1"/>
        <v>OH</v>
      </c>
      <c r="J231" s="3" t="str">
        <f t="array" ref="J231">INDEX('State Abbreviations'!$B$2:$B$52,MATCH(I231,'State Abbreviations'!$A$2:$A$52,0))</f>
        <v>Ohio</v>
      </c>
      <c r="K231" s="119" t="e">
        <f t="shared" ca="1" si="2"/>
        <v>#NAME?</v>
      </c>
      <c r="L231" s="13">
        <f t="shared" ca="1" si="11"/>
        <v>23</v>
      </c>
      <c r="M231" s="13" t="str">
        <f ca="1">IFERROR(__xludf.DUMMYFUNCTION("IF(AND(L231&gt;5,I231&lt;&gt;""AL"",I231&lt;&gt;""AK"",I231&lt;&gt;""AZ"",I231&lt;&gt;""AR"",I231&lt;&gt;""CA"",I231&lt;&gt;""CO"",I231&lt;&gt;""CT"",I231&lt;&gt;""DE"",I231&lt;&gt;""DC"",I231&lt;&gt;""FL"",I231&lt;&gt;""GA"",I231&lt;&gt;""HI"",I231&lt;&gt;""ID"",I231&lt;&gt;""IL"",I231&lt;&gt;""IN"",I231&lt;&gt;""IA"",I231&lt;&gt;""KS"",I231&lt;&gt;""KY"",I231&lt;&gt;"&amp;"""LA"",I231&lt;&gt;""ME"",I231&lt;&gt;""MD"",I231&lt;&gt;""MA"",I231&lt;&gt;""MI"",I231&lt;&gt;""MN"",I231&lt;&gt;""MS"",I231&lt;&gt;""MO"",I231&lt;&gt;""MT"",I231&lt;&gt;""NE"",I231&lt;&gt;""NV"",I231&lt;&gt;""NH"",I231&lt;&gt;""NJ"",I231&lt;&gt;""NM"",I231&lt;&gt;""NY"",I231&lt;&gt;""NC"",I231&lt;&gt;""ND"",I231&lt;&gt;""OH"",I231&lt;&gt;""OK"",I231&lt;&gt;""OR"",I"&amp;"231&lt;&gt;""PA"",I231&lt;&gt;""RI"",I231&lt;&gt;""SC"",I231&lt;&gt;""SD"",I231&lt;&gt;""TN"",I231&lt;&gt;""TX"",I231&lt;&gt;""UT"",I231&lt;&gt;""VT"",I231&lt;&gt;""VA"",I231&lt;&gt;""WA"",I231&lt;&gt;""WV"",I231&lt;&gt;""WI"",I231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1" s="13">
        <f t="shared" ca="1" si="10"/>
        <v>19</v>
      </c>
      <c r="O231" s="13" t="b">
        <f>ISNUMBER(MATCH(C231,'Top 250 HS'!C:C,0))</f>
        <v>0</v>
      </c>
      <c r="P231" s="13" t="str">
        <f ca="1">IFERROR(__xludf.DUMMYFUNCTION("SORTN(FILTER('Top 250 HS'!B:B,'Top 250 HS'!C:C=I231),1,0,randarray(COUNTA(FILTER('Top 250 HS'!B:B,'Top 250 HS'!C:C=I231)),1),TRUE)"),"St. Vincent-St. Mary (Akron)")</f>
        <v>St. Vincent-St. Mary (Akron)</v>
      </c>
      <c r="Q231" s="13" t="b">
        <f>ISNUMBER(MATCH("*"&amp;E231&amp;"*",'Top 1500 HS LatitudeLongitude'!G:G,0))</f>
        <v>0</v>
      </c>
      <c r="R231" s="13" t="str">
        <f ca="1">IFERROR(__xludf.DUMMYFUNCTION("IFS(L231=10,"""",Q231=false,"""",N231=5,"""",Q231=true,SORTN(FILTER('Top 1500 HS LatitudeLongitude'!B:B,'Top 1500 HS LatitudeLongitude'!C:C=I231,'Top 1500 HS LatitudeLongitude'!E:E=H231),1,0,randarray(COUNTA(FILTER('Top 1500 HS LatitudeLongitude'!B:B,'Top"&amp;" 1500 HS LatitudeLongitude'!C:C=I231,'Top 1500 HS LatitudeLongitude'!E:E=H231)),1),TRUE)
)"),"")</f>
        <v/>
      </c>
      <c r="S231" s="13" t="b">
        <f>ISNUMBER(MATCH("*"&amp;H:H&amp;"*",'Public Schools'!C:C,0))</f>
        <v>1</v>
      </c>
      <c r="T231" s="13" t="str">
        <f ca="1">IFERROR(__xludf.DUMMYFUNCTION("IFERROR(IF(AND(R231="""",S231=true), SORTN(FILTER('Public Schools'!A:A,'Public Schools'!B:B=J231,'Public Schools'!C:C=H231),1,0,randarray(COUNTA(FILTER('Public Schools'!A:A,'Public Schools'!B:B=J231,'Public Schools'!C:C=H231)),1),TRUE),""""),"""")"),"Hamilton High School")</f>
        <v>Hamilton High School</v>
      </c>
      <c r="U231" s="23" t="str">
        <f t="array" aca="1" ref="U231" ca="1">IF(AND(R231="",T231=""),INDEX('Top 1500 HS LatitudeLongitude'!B$2:B$1501,MATCH(MIN(SQRT(('Top 1500 HS LatitudeLongitude'!H$2:H$1501-F231)^2+('Top 1500 HS LatitudeLongitude'!I$2:I$1501-G231)^2)),SQRT( ('Top 1500 HS LatitudeLongitude'!H$2:H$1501-F231)^2+('Top 1500 HS LatitudeLongitude'!I$2:I$1501-G231)^2),0),1),"")</f>
        <v/>
      </c>
    </row>
    <row r="232" spans="2:21" ht="15.6">
      <c r="B232" s="8">
        <v>9.0878430039999999E-2</v>
      </c>
      <c r="C232" s="9" t="s">
        <v>238</v>
      </c>
      <c r="D232" s="9" t="s">
        <v>437</v>
      </c>
      <c r="E232" s="120" t="s">
        <v>8609</v>
      </c>
      <c r="F232" s="8">
        <v>34.159799999999997</v>
      </c>
      <c r="G232" s="8">
        <v>-118.13890000000001</v>
      </c>
      <c r="H232" s="3" t="str">
        <f t="shared" si="0"/>
        <v>Fishkill</v>
      </c>
      <c r="I232" s="3" t="str">
        <f t="shared" si="1"/>
        <v>NY</v>
      </c>
      <c r="J232" s="3" t="str">
        <f t="array" ref="J232">INDEX('State Abbreviations'!$B$2:$B$52,MATCH(I232,'State Abbreviations'!$A$2:$A$52,0))</f>
        <v>New York</v>
      </c>
      <c r="K232" s="119" t="e">
        <f t="shared" ca="1" si="2"/>
        <v>#NAME?</v>
      </c>
      <c r="L232" s="13">
        <f t="shared" ca="1" si="11"/>
        <v>19</v>
      </c>
      <c r="M232" s="13" t="str">
        <f ca="1">IFERROR(__xludf.DUMMYFUNCTION("IF(AND(L232&gt;5,I232&lt;&gt;""AL"",I232&lt;&gt;""AK"",I232&lt;&gt;""AZ"",I232&lt;&gt;""AR"",I232&lt;&gt;""CA"",I232&lt;&gt;""CO"",I232&lt;&gt;""CT"",I232&lt;&gt;""DE"",I232&lt;&gt;""DC"",I232&lt;&gt;""FL"",I232&lt;&gt;""GA"",I232&lt;&gt;""HI"",I232&lt;&gt;""ID"",I232&lt;&gt;""IL"",I232&lt;&gt;""IN"",I232&lt;&gt;""IA"",I232&lt;&gt;""KS"",I232&lt;&gt;""KY"",I232&lt;&gt;"&amp;"""LA"",I232&lt;&gt;""ME"",I232&lt;&gt;""MD"",I232&lt;&gt;""MA"",I232&lt;&gt;""MI"",I232&lt;&gt;""MN"",I232&lt;&gt;""MS"",I232&lt;&gt;""MO"",I232&lt;&gt;""MT"",I232&lt;&gt;""NE"",I232&lt;&gt;""NV"",I232&lt;&gt;""NH"",I232&lt;&gt;""NJ"",I232&lt;&gt;""NM"",I232&lt;&gt;""NY"",I232&lt;&gt;""NC"",I232&lt;&gt;""ND"",I232&lt;&gt;""OH"",I232&lt;&gt;""OK"",I232&lt;&gt;""OR"",I"&amp;"232&lt;&gt;""PA"",I232&lt;&gt;""RI"",I232&lt;&gt;""SC"",I232&lt;&gt;""SD"",I232&lt;&gt;""TN"",I232&lt;&gt;""TX"",I232&lt;&gt;""UT"",I232&lt;&gt;""VT"",I232&lt;&gt;""VA"",I232&lt;&gt;""WA"",I232&lt;&gt;""WV"",I232&lt;&gt;""WI"",I232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2" s="13">
        <f t="shared" ca="1" si="10"/>
        <v>5</v>
      </c>
      <c r="O232" s="13" t="b">
        <f>ISNUMBER(MATCH(C232,'Top 250 HS'!C:C,0))</f>
        <v>0</v>
      </c>
      <c r="P232" s="13" t="str">
        <f ca="1">IFERROR(__xludf.DUMMYFUNCTION("SORTN(FILTER('Top 250 HS'!B:B,'Top 250 HS'!C:C=I232),1,0,randarray(COUNTA(FILTER('Top 250 HS'!B:B,'Top 250 HS'!C:C=I232)),1),TRUE)"),"Long Island Lutheran (Brookville)")</f>
        <v>Long Island Lutheran (Brookville)</v>
      </c>
      <c r="Q232" s="13" t="b">
        <f>ISNUMBER(MATCH("*"&amp;E232&amp;"*",'Top 1500 HS LatitudeLongitude'!G:G,0))</f>
        <v>0</v>
      </c>
      <c r="R232" s="13" t="str">
        <f ca="1">IFERROR(__xludf.DUMMYFUNCTION("IFS(L232=10,"""",Q232=false,"""",N232=5,"""",Q232=true,SORTN(FILTER('Top 1500 HS LatitudeLongitude'!B:B,'Top 1500 HS LatitudeLongitude'!C:C=I232,'Top 1500 HS LatitudeLongitude'!E:E=H232),1,0,randarray(COUNTA(FILTER('Top 1500 HS LatitudeLongitude'!B:B,'Top"&amp;" 1500 HS LatitudeLongitude'!C:C=I232,'Top 1500 HS LatitudeLongitude'!E:E=H232)),1),TRUE)
)"),"")</f>
        <v/>
      </c>
      <c r="S232" s="13" t="b">
        <f>ISNUMBER(MATCH("*"&amp;H:H&amp;"*",'Public Schools'!C:C,0))</f>
        <v>0</v>
      </c>
      <c r="T232" s="13" t="str">
        <f ca="1">IFERROR(__xludf.DUMMYFUNCTION("IFERROR(IF(AND(R232="""",S232=true), SORTN(FILTER('Public Schools'!A:A,'Public Schools'!B:B=J232,'Public Schools'!C:C=H232),1,0,randarray(COUNTA(FILTER('Public Schools'!A:A,'Public Schools'!B:B=J232,'Public Schools'!C:C=H232)),1),TRUE),""""),"""")"),"")</f>
        <v/>
      </c>
      <c r="U232" s="23" t="str">
        <f t="array" aca="1" ref="U232" ca="1">IF(AND(R232="",T232=""),INDEX('Top 1500 HS LatitudeLongitude'!B$2:B$1501,MATCH(MIN(SQRT(('Top 1500 HS LatitudeLongitude'!H$2:H$1501-F232)^2+('Top 1500 HS LatitudeLongitude'!I$2:I$1501-G232)^2)),SQRT( ('Top 1500 HS LatitudeLongitude'!H$2:H$1501-F232)^2+('Top 1500 HS LatitudeLongitude'!I$2:I$1501-G232)^2),0),1),"")</f>
        <v>Pasadena</v>
      </c>
    </row>
    <row r="233" spans="2:21" ht="15.6">
      <c r="B233" s="8">
        <v>0.64297425880000003</v>
      </c>
      <c r="C233" s="9" t="s">
        <v>206</v>
      </c>
      <c r="D233" s="9" t="s">
        <v>438</v>
      </c>
      <c r="E233" s="37" t="s">
        <v>8662</v>
      </c>
      <c r="F233" s="8">
        <v>40.694299999999998</v>
      </c>
      <c r="G233" s="8">
        <v>-73.924899999999994</v>
      </c>
      <c r="H233" s="3" t="str">
        <f t="shared" si="0"/>
        <v>Humble</v>
      </c>
      <c r="I233" s="3" t="str">
        <f t="shared" si="1"/>
        <v>TX</v>
      </c>
      <c r="J233" s="3" t="str">
        <f t="array" ref="J233">INDEX('State Abbreviations'!$B$2:$B$52,MATCH(I233,'State Abbreviations'!$A$2:$A$52,0))</f>
        <v>Texas</v>
      </c>
      <c r="K233" s="119" t="e">
        <f t="shared" ca="1" si="2"/>
        <v>#NAME?</v>
      </c>
      <c r="L233" s="13">
        <f t="shared" ca="1" si="11"/>
        <v>20</v>
      </c>
      <c r="M233" s="13" t="str">
        <f ca="1">IFERROR(__xludf.DUMMYFUNCTION("IF(AND(L233&gt;5,I233&lt;&gt;""AL"",I233&lt;&gt;""AK"",I233&lt;&gt;""AZ"",I233&lt;&gt;""AR"",I233&lt;&gt;""CA"",I233&lt;&gt;""CO"",I233&lt;&gt;""CT"",I233&lt;&gt;""DE"",I233&lt;&gt;""DC"",I233&lt;&gt;""FL"",I233&lt;&gt;""GA"",I233&lt;&gt;""HI"",I233&lt;&gt;""ID"",I233&lt;&gt;""IL"",I233&lt;&gt;""IN"",I233&lt;&gt;""IA"",I233&lt;&gt;""KS"",I233&lt;&gt;""KY"",I233&lt;&gt;"&amp;"""LA"",I233&lt;&gt;""ME"",I233&lt;&gt;""MD"",I233&lt;&gt;""MA"",I233&lt;&gt;""MI"",I233&lt;&gt;""MN"",I233&lt;&gt;""MS"",I233&lt;&gt;""MO"",I233&lt;&gt;""MT"",I233&lt;&gt;""NE"",I233&lt;&gt;""NV"",I233&lt;&gt;""NH"",I233&lt;&gt;""NJ"",I233&lt;&gt;""NM"",I233&lt;&gt;""NY"",I233&lt;&gt;""NC"",I233&lt;&gt;""ND"",I233&lt;&gt;""OH"",I233&lt;&gt;""OK"",I233&lt;&gt;""OR"",I"&amp;"233&lt;&gt;""PA"",I233&lt;&gt;""RI"",I233&lt;&gt;""SC"",I233&lt;&gt;""SD"",I233&lt;&gt;""TN"",I233&lt;&gt;""TX"",I233&lt;&gt;""UT"",I233&lt;&gt;""VT"",I233&lt;&gt;""VA"",I233&lt;&gt;""WA"",I233&lt;&gt;""WV"",I233&lt;&gt;""WI"",I233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3" s="13">
        <f t="shared" ca="1" si="10"/>
        <v>6</v>
      </c>
      <c r="O233" s="13" t="b">
        <f>ISNUMBER(MATCH(C233,'Top 250 HS'!C:C,0))</f>
        <v>0</v>
      </c>
      <c r="P233" s="13" t="str">
        <f ca="1">IFERROR(__xludf.DUMMYFUNCTION("SORTN(FILTER('Top 250 HS'!B:B,'Top 250 HS'!C:C=I233),1,0,randarray(COUNTA(FILTER('Top 250 HS'!B:B,'Top 250 HS'!C:C=I233)),1),TRUE)"),"Duncanville")</f>
        <v>Duncanville</v>
      </c>
      <c r="Q233" s="13" t="b">
        <f>ISNUMBER(MATCH("*"&amp;E233&amp;"*",'Top 1500 HS LatitudeLongitude'!G:G,0))</f>
        <v>1</v>
      </c>
      <c r="R233" s="13" t="str">
        <f ca="1">IFERROR(__xludf.DUMMYFUNCTION("IFS(L233=10,"""",Q233=false,"""",N233=5,"""",Q233=true,SORTN(FILTER('Top 1500 HS LatitudeLongitude'!B:B,'Top 1500 HS LatitudeLongitude'!C:C=I233,'Top 1500 HS LatitudeLongitude'!E:E=H233),1,0,randarray(COUNTA(FILTER('Top 1500 HS LatitudeLongitude'!B:B,'Top"&amp;" 1500 HS LatitudeLongitude'!C:C=I233,'Top 1500 HS LatitudeLongitude'!E:E=H233)),1),TRUE)
)"),"Atascocita (Humble)")</f>
        <v>Atascocita (Humble)</v>
      </c>
      <c r="S233" s="13" t="b">
        <f>ISNUMBER(MATCH("*"&amp;H:H&amp;"*",'Public Schools'!C:C,0))</f>
        <v>1</v>
      </c>
      <c r="T233" s="13" t="str">
        <f ca="1">IFERROR(__xludf.DUMMYFUNCTION("IFERROR(IF(AND(R233="""",S233=true), SORTN(FILTER('Public Schools'!A:A,'Public Schools'!B:B=J233,'Public Schools'!C:C=H233),1,0,randarray(COUNTA(FILTER('Public Schools'!A:A,'Public Schools'!B:B=J233,'Public Schools'!C:C=H233)),1),TRUE),""""),"""")"),"")</f>
        <v/>
      </c>
      <c r="U233" s="23" t="str">
        <f t="array" aca="1" ref="U233" ca="1">IF(AND(R233="",T233=""),INDEX('Top 1500 HS LatitudeLongitude'!B$2:B$1501,MATCH(MIN(SQRT(('Top 1500 HS LatitudeLongitude'!H$2:H$1501-F233)^2+('Top 1500 HS LatitudeLongitude'!I$2:I$1501-G233)^2)),SQRT( ('Top 1500 HS LatitudeLongitude'!H$2:H$1501-F233)^2+('Top 1500 HS LatitudeLongitude'!I$2:I$1501-G233)^2),0),1),"")</f>
        <v/>
      </c>
    </row>
    <row r="234" spans="2:21" ht="15.6">
      <c r="B234" s="8">
        <v>0.9662220225</v>
      </c>
      <c r="C234" s="9" t="s">
        <v>262</v>
      </c>
      <c r="D234" s="9" t="s">
        <v>439</v>
      </c>
      <c r="E234" s="120" t="s">
        <v>8709</v>
      </c>
      <c r="F234" s="8">
        <v>47.243099999999998</v>
      </c>
      <c r="G234" s="8">
        <v>-122.45310000000001</v>
      </c>
      <c r="H234" s="3" t="str">
        <f t="shared" si="0"/>
        <v>Montgomery</v>
      </c>
      <c r="I234" s="3" t="str">
        <f t="shared" si="1"/>
        <v>AL</v>
      </c>
      <c r="J234" s="3" t="str">
        <f t="array" ref="J234">INDEX('State Abbreviations'!$B$2:$B$52,MATCH(I234,'State Abbreviations'!$A$2:$A$52,0))</f>
        <v>Alabama</v>
      </c>
      <c r="K234" s="119" t="e">
        <f t="shared" ca="1" si="2"/>
        <v>#NAME?</v>
      </c>
      <c r="L234" s="13">
        <f t="shared" ca="1" si="11"/>
        <v>10</v>
      </c>
      <c r="M234" s="13" t="str">
        <f ca="1">IFERROR(__xludf.DUMMYFUNCTION("IF(AND(L234&gt;5,I234&lt;&gt;""AL"",I234&lt;&gt;""AK"",I234&lt;&gt;""AZ"",I234&lt;&gt;""AR"",I234&lt;&gt;""CA"",I234&lt;&gt;""CO"",I234&lt;&gt;""CT"",I234&lt;&gt;""DE"",I234&lt;&gt;""DC"",I234&lt;&gt;""FL"",I234&lt;&gt;""GA"",I234&lt;&gt;""HI"",I234&lt;&gt;""ID"",I234&lt;&gt;""IL"",I234&lt;&gt;""IN"",I234&lt;&gt;""IA"",I234&lt;&gt;""KS"",I234&lt;&gt;""KY"",I234&lt;&gt;"&amp;"""LA"",I234&lt;&gt;""ME"",I234&lt;&gt;""MD"",I234&lt;&gt;""MA"",I234&lt;&gt;""MI"",I234&lt;&gt;""MN"",I234&lt;&gt;""MS"",I234&lt;&gt;""MO"",I234&lt;&gt;""MT"",I234&lt;&gt;""NE"",I234&lt;&gt;""NV"",I234&lt;&gt;""NH"",I234&lt;&gt;""NJ"",I234&lt;&gt;""NM"",I234&lt;&gt;""NY"",I234&lt;&gt;""NC"",I234&lt;&gt;""ND"",I234&lt;&gt;""OH"",I234&lt;&gt;""OK"",I234&lt;&gt;""OR"",I"&amp;"234&lt;&gt;""PA"",I234&lt;&gt;""RI"",I234&lt;&gt;""SC"",I234&lt;&gt;""SD"",I234&lt;&gt;""TN"",I234&lt;&gt;""TX"",I234&lt;&gt;""UT"",I234&lt;&gt;""VT"",I234&lt;&gt;""VA"",I234&lt;&gt;""WA"",I234&lt;&gt;""WV"",I234&lt;&gt;""WI"",I234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4" s="13">
        <f t="shared" ca="1" si="10"/>
        <v>15</v>
      </c>
      <c r="O234" s="13" t="b">
        <f>ISNUMBER(MATCH(C234,'Top 250 HS'!C:C,0))</f>
        <v>0</v>
      </c>
      <c r="P234" s="13" t="str">
        <f ca="1">IFERROR(__xludf.DUMMYFUNCTION("SORTN(FILTER('Top 250 HS'!B:B,'Top 250 HS'!C:C=I234),1,0,randarray(COUNTA(FILTER('Top 250 HS'!B:B,'Top 250 HS'!C:C=I234)),1),TRUE)"),"Mountain Brook (Birmingham)")</f>
        <v>Mountain Brook (Birmingham)</v>
      </c>
      <c r="Q234" s="13" t="b">
        <f>ISNUMBER(MATCH("*"&amp;E234&amp;"*",'Top 1500 HS LatitudeLongitude'!G:G,0))</f>
        <v>1</v>
      </c>
      <c r="R234" s="13" t="str">
        <f ca="1">IFERROR(__xludf.DUMMYFUNCTION("IFS(L234=10,"""",Q234=false,"""",N234=5,"""",Q234=true,SORTN(FILTER('Top 1500 HS LatitudeLongitude'!B:B,'Top 1500 HS LatitudeLongitude'!C:C=I234,'Top 1500 HS LatitudeLongitude'!E:E=H234),1,0,randarray(COUNTA(FILTER('Top 1500 HS LatitudeLongitude'!B:B,'Top"&amp;" 1500 HS LatitudeLongitude'!C:C=I234,'Top 1500 HS LatitudeLongitude'!E:E=H234)),1),TRUE)
)"),"Lee (Montgomery)")</f>
        <v>Lee (Montgomery)</v>
      </c>
      <c r="S234" s="13" t="b">
        <f>ISNUMBER(MATCH("*"&amp;H:H&amp;"*",'Public Schools'!C:C,0))</f>
        <v>1</v>
      </c>
      <c r="T234" s="13" t="str">
        <f ca="1">IFERROR(__xludf.DUMMYFUNCTION("IFERROR(IF(AND(R234="""",S234=true), SORTN(FILTER('Public Schools'!A:A,'Public Schools'!B:B=J234,'Public Schools'!C:C=H234),1,0,randarray(COUNTA(FILTER('Public Schools'!A:A,'Public Schools'!B:B=J234,'Public Schools'!C:C=H234)),1),TRUE),""""),"""")"),"")</f>
        <v/>
      </c>
      <c r="U234" s="23" t="str">
        <f t="array" aca="1" ref="U234" ca="1">IF(AND(R234="",T234=""),INDEX('Top 1500 HS LatitudeLongitude'!B$2:B$1501,MATCH(MIN(SQRT(('Top 1500 HS LatitudeLongitude'!H$2:H$1501-F234)^2+('Top 1500 HS LatitudeLongitude'!I$2:I$1501-G234)^2)),SQRT( ('Top 1500 HS LatitudeLongitude'!H$2:H$1501-F234)^2+('Top 1500 HS LatitudeLongitude'!I$2:I$1501-G234)^2),0),1),"")</f>
        <v/>
      </c>
    </row>
    <row r="235" spans="2:21" ht="15.6">
      <c r="B235" s="8">
        <v>0.60254477660000005</v>
      </c>
      <c r="C235" s="9" t="s">
        <v>243</v>
      </c>
      <c r="D235" s="9" t="s">
        <v>440</v>
      </c>
      <c r="E235" s="37" t="s">
        <v>8759</v>
      </c>
      <c r="F235" s="8">
        <v>40.625100000000003</v>
      </c>
      <c r="G235" s="8">
        <v>-74.238</v>
      </c>
      <c r="H235" s="3" t="str">
        <f t="shared" si="0"/>
        <v>Morrisville</v>
      </c>
      <c r="I235" s="3" t="str">
        <f t="shared" si="1"/>
        <v>PA</v>
      </c>
      <c r="J235" s="3" t="str">
        <f t="array" ref="J235">INDEX('State Abbreviations'!$B$2:$B$52,MATCH(I235,'State Abbreviations'!$A$2:$A$52,0))</f>
        <v>Pennsylvania</v>
      </c>
      <c r="K235" s="119" t="e">
        <f t="shared" ca="1" si="2"/>
        <v>#NAME?</v>
      </c>
      <c r="L235" s="13">
        <f t="shared" ca="1" si="11"/>
        <v>6</v>
      </c>
      <c r="M235" s="13" t="str">
        <f ca="1">IFERROR(__xludf.DUMMYFUNCTION("IF(AND(L235&gt;5,I235&lt;&gt;""AL"",I235&lt;&gt;""AK"",I235&lt;&gt;""AZ"",I235&lt;&gt;""AR"",I235&lt;&gt;""CA"",I235&lt;&gt;""CO"",I235&lt;&gt;""CT"",I235&lt;&gt;""DE"",I235&lt;&gt;""DC"",I235&lt;&gt;""FL"",I235&lt;&gt;""GA"",I235&lt;&gt;""HI"",I235&lt;&gt;""ID"",I235&lt;&gt;""IL"",I235&lt;&gt;""IN"",I235&lt;&gt;""IA"",I235&lt;&gt;""KS"",I235&lt;&gt;""KY"",I235&lt;&gt;"&amp;"""LA"",I235&lt;&gt;""ME"",I235&lt;&gt;""MD"",I235&lt;&gt;""MA"",I235&lt;&gt;""MI"",I235&lt;&gt;""MN"",I235&lt;&gt;""MS"",I235&lt;&gt;""MO"",I235&lt;&gt;""MT"",I235&lt;&gt;""NE"",I235&lt;&gt;""NV"",I235&lt;&gt;""NH"",I235&lt;&gt;""NJ"",I235&lt;&gt;""NM"",I235&lt;&gt;""NY"",I235&lt;&gt;""NC"",I235&lt;&gt;""ND"",I235&lt;&gt;""OH"",I235&lt;&gt;""OK"",I235&lt;&gt;""OR"",I"&amp;"235&lt;&gt;""PA"",I235&lt;&gt;""RI"",I235&lt;&gt;""SC"",I235&lt;&gt;""SD"",I235&lt;&gt;""TN"",I235&lt;&gt;""TX"",I235&lt;&gt;""UT"",I235&lt;&gt;""VT"",I235&lt;&gt;""VA"",I235&lt;&gt;""WA"",I235&lt;&gt;""WV"",I235&lt;&gt;""WI"",I235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5" s="13">
        <f t="shared" ca="1" si="10"/>
        <v>12</v>
      </c>
      <c r="O235" s="13" t="b">
        <f>ISNUMBER(MATCH(C235,'Top 250 HS'!C:C,0))</f>
        <v>0</v>
      </c>
      <c r="P235" s="13" t="str">
        <f ca="1">IFERROR(__xludf.DUMMYFUNCTION("SORTN(FILTER('Top 250 HS'!B:B,'Top 250 HS'!C:C=I235),1,0,randarray(COUNTA(FILTER('Top 250 HS'!B:B,'Top 250 HS'!C:C=I235)),1),TRUE)"),"Methacton (Norristown)")</f>
        <v>Methacton (Norristown)</v>
      </c>
      <c r="Q235" s="13" t="b">
        <f>ISNUMBER(MATCH("*"&amp;E235&amp;"*",'Top 1500 HS LatitudeLongitude'!G:G,0))</f>
        <v>0</v>
      </c>
      <c r="R235" s="13" t="str">
        <f ca="1">IFERROR(__xludf.DUMMYFUNCTION("IFS(L235=10,"""",Q235=false,"""",N235=5,"""",Q235=true,SORTN(FILTER('Top 1500 HS LatitudeLongitude'!B:B,'Top 1500 HS LatitudeLongitude'!C:C=I235,'Top 1500 HS LatitudeLongitude'!E:E=H235),1,0,randarray(COUNTA(FILTER('Top 1500 HS LatitudeLongitude'!B:B,'Top"&amp;" 1500 HS LatitudeLongitude'!C:C=I235,'Top 1500 HS LatitudeLongitude'!E:E=H235)),1),TRUE)
)"),"")</f>
        <v/>
      </c>
      <c r="S235" s="13" t="b">
        <f>ISNUMBER(MATCH("*"&amp;H:H&amp;"*",'Public Schools'!C:C,0))</f>
        <v>1</v>
      </c>
      <c r="T235" s="13" t="str">
        <f ca="1">IFERROR(__xludf.DUMMYFUNCTION("IFERROR(IF(AND(R235="""",S235=true), SORTN(FILTER('Public Schools'!A:A,'Public Schools'!B:B=J235,'Public Schools'!C:C=H235),1,0,randarray(COUNTA(FILTER('Public Schools'!A:A,'Public Schools'!B:B=J235,'Public Schools'!C:C=H235)),1),TRUE),""""),"""")"),"Morrisville High School")</f>
        <v>Morrisville High School</v>
      </c>
      <c r="U235" s="23" t="str">
        <f t="array" aca="1" ref="U235" ca="1">IF(AND(R235="",T235=""),INDEX('Top 1500 HS LatitudeLongitude'!B$2:B$1501,MATCH(MIN(SQRT(('Top 1500 HS LatitudeLongitude'!H$2:H$1501-F235)^2+('Top 1500 HS LatitudeLongitude'!I$2:I$1501-G235)^2)),SQRT( ('Top 1500 HS LatitudeLongitude'!H$2:H$1501-F235)^2+('Top 1500 HS LatitudeLongitude'!I$2:I$1501-G235)^2),0),1),"")</f>
        <v/>
      </c>
    </row>
    <row r="236" spans="2:21" ht="15.6">
      <c r="B236" s="8">
        <v>0.63795746789999996</v>
      </c>
      <c r="C236" s="9" t="s">
        <v>23</v>
      </c>
      <c r="D236" s="9" t="s">
        <v>441</v>
      </c>
      <c r="E236" s="120" t="s">
        <v>8810</v>
      </c>
      <c r="F236" s="8">
        <v>40.694299999999998</v>
      </c>
      <c r="G236" s="8">
        <v>-73.924899999999994</v>
      </c>
      <c r="H236" s="3" t="str">
        <f t="shared" si="0"/>
        <v>Sault Sainte Marie</v>
      </c>
      <c r="I236" s="3" t="str">
        <f t="shared" si="1"/>
        <v>MI</v>
      </c>
      <c r="J236" s="3" t="str">
        <f t="array" ref="J236">INDEX('State Abbreviations'!$B$2:$B$52,MATCH(I236,'State Abbreviations'!$A$2:$A$52,0))</f>
        <v>Michigan</v>
      </c>
      <c r="K236" s="119" t="e">
        <f t="shared" ca="1" si="2"/>
        <v>#NAME?</v>
      </c>
      <c r="L236" s="13">
        <f t="shared" ca="1" si="11"/>
        <v>1</v>
      </c>
      <c r="M236" s="13" t="str">
        <f ca="1">IFERROR(__xludf.DUMMYFUNCTION("IF(AND(L236&gt;5,I236&lt;&gt;""AL"",I236&lt;&gt;""AK"",I236&lt;&gt;""AZ"",I236&lt;&gt;""AR"",I236&lt;&gt;""CA"",I236&lt;&gt;""CO"",I236&lt;&gt;""CT"",I236&lt;&gt;""DE"",I236&lt;&gt;""DC"",I236&lt;&gt;""FL"",I236&lt;&gt;""GA"",I236&lt;&gt;""HI"",I236&lt;&gt;""ID"",I236&lt;&gt;""IL"",I236&lt;&gt;""IN"",I236&lt;&gt;""IA"",I236&lt;&gt;""KS"",I236&lt;&gt;""KY"",I236&lt;&gt;"&amp;"""LA"",I236&lt;&gt;""ME"",I236&lt;&gt;""MD"",I236&lt;&gt;""MA"",I236&lt;&gt;""MI"",I236&lt;&gt;""MN"",I236&lt;&gt;""MS"",I236&lt;&gt;""MO"",I236&lt;&gt;""MT"",I236&lt;&gt;""NE"",I236&lt;&gt;""NV"",I236&lt;&gt;""NH"",I236&lt;&gt;""NJ"",I236&lt;&gt;""NM"",I236&lt;&gt;""NY"",I236&lt;&gt;""NC"",I236&lt;&gt;""ND"",I236&lt;&gt;""OH"",I236&lt;&gt;""OK"",I236&lt;&gt;""OR"",I"&amp;"236&lt;&gt;""PA"",I236&lt;&gt;""RI"",I236&lt;&gt;""SC"",I236&lt;&gt;""SD"",I236&lt;&gt;""TN"",I236&lt;&gt;""TX"",I236&lt;&gt;""UT"",I236&lt;&gt;""VT"",I236&lt;&gt;""VA"",I236&lt;&gt;""WA"",I236&lt;&gt;""WV"",I236&lt;&gt;""WI"",I236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6" s="13">
        <f t="shared" ca="1" si="10"/>
        <v>7</v>
      </c>
      <c r="O236" s="13" t="b">
        <f>ISNUMBER(MATCH(C236,'Top 250 HS'!C:C,0))</f>
        <v>0</v>
      </c>
      <c r="P236" s="13" t="str">
        <f ca="1">IFERROR(__xludf.DUMMYFUNCTION("SORTN(FILTER('Top 250 HS'!B:B,'Top 250 HS'!C:C=I236),1,0,randarray(COUNTA(FILTER('Top 250 HS'!B:B,'Top 250 HS'!C:C=I236)),1),TRUE)"),"St. Mary Prep (Orchard Lake)")</f>
        <v>St. Mary Prep (Orchard Lake)</v>
      </c>
      <c r="Q236" s="13" t="b">
        <f>ISNUMBER(MATCH("*"&amp;E236&amp;"*",'Top 1500 HS LatitudeLongitude'!G:G,0))</f>
        <v>0</v>
      </c>
      <c r="R236" s="13" t="str">
        <f ca="1">IFERROR(__xludf.DUMMYFUNCTION("IFS(L236=10,"""",Q236=false,"""",N236=5,"""",Q236=true,SORTN(FILTER('Top 1500 HS LatitudeLongitude'!B:B,'Top 1500 HS LatitudeLongitude'!C:C=I236,'Top 1500 HS LatitudeLongitude'!E:E=H236),1,0,randarray(COUNTA(FILTER('Top 1500 HS LatitudeLongitude'!B:B,'Top"&amp;" 1500 HS LatitudeLongitude'!C:C=I236,'Top 1500 HS LatitudeLongitude'!E:E=H236)),1),TRUE)
)"),"")</f>
        <v/>
      </c>
      <c r="S236" s="13" t="b">
        <f>ISNUMBER(MATCH("*"&amp;H:H&amp;"*",'Public Schools'!C:C,0))</f>
        <v>1</v>
      </c>
      <c r="T236" s="13" t="str">
        <f ca="1">IFERROR(__xludf.DUMMYFUNCTION("IFERROR(IF(AND(R236="""",S236=true), SORTN(FILTER('Public Schools'!A:A,'Public Schools'!B:B=J236,'Public Schools'!C:C=H236),1,0,randarray(COUNTA(FILTER('Public Schools'!A:A,'Public Schools'!B:B=J236,'Public Schools'!C:C=H236)),1),TRUE),""""),"""")"),"Sault Area High School")</f>
        <v>Sault Area High School</v>
      </c>
      <c r="U236" s="23" t="str">
        <f t="array" aca="1" ref="U236" ca="1">IF(AND(R236="",T236=""),INDEX('Top 1500 HS LatitudeLongitude'!B$2:B$1501,MATCH(MIN(SQRT(('Top 1500 HS LatitudeLongitude'!H$2:H$1501-F236)^2+('Top 1500 HS LatitudeLongitude'!I$2:I$1501-G236)^2)),SQRT( ('Top 1500 HS LatitudeLongitude'!H$2:H$1501-F236)^2+('Top 1500 HS LatitudeLongitude'!I$2:I$1501-G236)^2),0),1),"")</f>
        <v/>
      </c>
    </row>
    <row r="237" spans="2:21" ht="15.6">
      <c r="B237" s="8">
        <v>0.13946792699999999</v>
      </c>
      <c r="C237" s="9" t="s">
        <v>148</v>
      </c>
      <c r="D237" s="9" t="s">
        <v>442</v>
      </c>
      <c r="E237" s="37" t="s">
        <v>8850</v>
      </c>
      <c r="F237" s="8">
        <v>39.592700000000001</v>
      </c>
      <c r="G237" s="8">
        <v>-104.8674</v>
      </c>
      <c r="H237" s="3" t="str">
        <f t="shared" si="0"/>
        <v>Cochran</v>
      </c>
      <c r="I237" s="3" t="str">
        <f t="shared" si="1"/>
        <v>GA</v>
      </c>
      <c r="J237" s="3" t="str">
        <f t="array" ref="J237">INDEX('State Abbreviations'!$B$2:$B$52,MATCH(I237,'State Abbreviations'!$A$2:$A$52,0))</f>
        <v>Georgia</v>
      </c>
      <c r="K237" s="119" t="e">
        <f t="shared" ca="1" si="2"/>
        <v>#NAME?</v>
      </c>
      <c r="L237" s="13">
        <f t="shared" ca="1" si="11"/>
        <v>27</v>
      </c>
      <c r="M237" s="13" t="str">
        <f ca="1">IFERROR(__xludf.DUMMYFUNCTION("IF(AND(L237&gt;5,I237&lt;&gt;""AL"",I237&lt;&gt;""AK"",I237&lt;&gt;""AZ"",I237&lt;&gt;""AR"",I237&lt;&gt;""CA"",I237&lt;&gt;""CO"",I237&lt;&gt;""CT"",I237&lt;&gt;""DE"",I237&lt;&gt;""DC"",I237&lt;&gt;""FL"",I237&lt;&gt;""GA"",I237&lt;&gt;""HI"",I237&lt;&gt;""ID"",I237&lt;&gt;""IL"",I237&lt;&gt;""IN"",I237&lt;&gt;""IA"",I237&lt;&gt;""KS"",I237&lt;&gt;""KY"",I237&lt;&gt;"&amp;"""LA"",I237&lt;&gt;""ME"",I237&lt;&gt;""MD"",I237&lt;&gt;""MA"",I237&lt;&gt;""MI"",I237&lt;&gt;""MN"",I237&lt;&gt;""MS"",I237&lt;&gt;""MO"",I237&lt;&gt;""MT"",I237&lt;&gt;""NE"",I237&lt;&gt;""NV"",I237&lt;&gt;""NH"",I237&lt;&gt;""NJ"",I237&lt;&gt;""NM"",I237&lt;&gt;""NY"",I237&lt;&gt;""NC"",I237&lt;&gt;""ND"",I237&lt;&gt;""OH"",I237&lt;&gt;""OK"",I237&lt;&gt;""OR"",I"&amp;"237&lt;&gt;""PA"",I237&lt;&gt;""RI"",I237&lt;&gt;""SC"",I237&lt;&gt;""SD"",I237&lt;&gt;""TN"",I237&lt;&gt;""TX"",I237&lt;&gt;""UT"",I237&lt;&gt;""VT"",I237&lt;&gt;""VA"",I237&lt;&gt;""WA"",I237&lt;&gt;""WV"",I237&lt;&gt;""WI"",I237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7" s="13">
        <f t="shared" ca="1" si="10"/>
        <v>14</v>
      </c>
      <c r="O237" s="13" t="b">
        <f>ISNUMBER(MATCH(C237,'Top 250 HS'!C:C,0))</f>
        <v>0</v>
      </c>
      <c r="P237" s="13" t="str">
        <f ca="1">IFERROR(__xludf.DUMMYFUNCTION("SORTN(FILTER('Top 250 HS'!B:B,'Top 250 HS'!C:C=I237),1,0,randarray(COUNTA(FILTER('Top 250 HS'!B:B,'Top 250 HS'!C:C=I237)),1),TRUE)"),"Grayson (Loganville)")</f>
        <v>Grayson (Loganville)</v>
      </c>
      <c r="Q237" s="13" t="b">
        <f>ISNUMBER(MATCH("*"&amp;E237&amp;"*",'Top 1500 HS LatitudeLongitude'!G:G,0))</f>
        <v>0</v>
      </c>
      <c r="R237" s="13" t="str">
        <f ca="1">IFERROR(__xludf.DUMMYFUNCTION("IFS(L237=10,"""",Q237=false,"""",N237=5,"""",Q237=true,SORTN(FILTER('Top 1500 HS LatitudeLongitude'!B:B,'Top 1500 HS LatitudeLongitude'!C:C=I237,'Top 1500 HS LatitudeLongitude'!E:E=H237),1,0,randarray(COUNTA(FILTER('Top 1500 HS LatitudeLongitude'!B:B,'Top"&amp;" 1500 HS LatitudeLongitude'!C:C=I237,'Top 1500 HS LatitudeLongitude'!E:E=H237)),1),TRUE)
)"),"")</f>
        <v/>
      </c>
      <c r="S237" s="13" t="b">
        <f>ISNUMBER(MATCH("*"&amp;H:H&amp;"*",'Public Schools'!C:C,0))</f>
        <v>1</v>
      </c>
      <c r="T237" s="13" t="str">
        <f ca="1">IFERROR(__xludf.DUMMYFUNCTION("IFERROR(IF(AND(R237="""",S237=true), SORTN(FILTER('Public Schools'!A:A,'Public Schools'!B:B=J237,'Public Schools'!C:C=H237),1,0,randarray(COUNTA(FILTER('Public Schools'!A:A,'Public Schools'!B:B=J237,'Public Schools'!C:C=H237)),1),TRUE),""""),"""")"),"Bleckley County Success Academy")</f>
        <v>Bleckley County Success Academy</v>
      </c>
      <c r="U237" s="23" t="str">
        <f t="array" aca="1" ref="U237" ca="1">IF(AND(R237="",T237=""),INDEX('Top 1500 HS LatitudeLongitude'!B$2:B$1501,MATCH(MIN(SQRT(('Top 1500 HS LatitudeLongitude'!H$2:H$1501-F237)^2+('Top 1500 HS LatitudeLongitude'!I$2:I$1501-G237)^2)),SQRT( ('Top 1500 HS LatitudeLongitude'!H$2:H$1501-F237)^2+('Top 1500 HS LatitudeLongitude'!I$2:I$1501-G237)^2),0),1),"")</f>
        <v/>
      </c>
    </row>
    <row r="238" spans="2:21" ht="15.6">
      <c r="B238" s="8">
        <v>0.57483753019999995</v>
      </c>
      <c r="C238" s="9" t="s">
        <v>266</v>
      </c>
      <c r="D238" s="9" t="s">
        <v>443</v>
      </c>
      <c r="E238" s="120" t="s">
        <v>8890</v>
      </c>
      <c r="F238" s="8">
        <v>36.315600000000003</v>
      </c>
      <c r="G238" s="8">
        <v>-78.584999999999994</v>
      </c>
      <c r="H238" s="3" t="str">
        <f t="shared" si="0"/>
        <v>Timberville</v>
      </c>
      <c r="I238" s="3" t="str">
        <f t="shared" si="1"/>
        <v>VA</v>
      </c>
      <c r="J238" s="3" t="str">
        <f t="array" ref="J238">INDEX('State Abbreviations'!$B$2:$B$52,MATCH(I238,'State Abbreviations'!$A$2:$A$52,0))</f>
        <v>Virginia</v>
      </c>
      <c r="K238" s="119" t="e">
        <f t="shared" ca="1" si="2"/>
        <v>#NAME?</v>
      </c>
      <c r="L238" s="13">
        <f t="shared" ca="1" si="11"/>
        <v>28</v>
      </c>
      <c r="M238" s="13" t="str">
        <f ca="1">IFERROR(__xludf.DUMMYFUNCTION("IF(AND(L238&gt;5,I238&lt;&gt;""AL"",I238&lt;&gt;""AK"",I238&lt;&gt;""AZ"",I238&lt;&gt;""AR"",I238&lt;&gt;""CA"",I238&lt;&gt;""CO"",I238&lt;&gt;""CT"",I238&lt;&gt;""DE"",I238&lt;&gt;""DC"",I238&lt;&gt;""FL"",I238&lt;&gt;""GA"",I238&lt;&gt;""HI"",I238&lt;&gt;""ID"",I238&lt;&gt;""IL"",I238&lt;&gt;""IN"",I238&lt;&gt;""IA"",I238&lt;&gt;""KS"",I238&lt;&gt;""KY"",I238&lt;&gt;"&amp;"""LA"",I238&lt;&gt;""ME"",I238&lt;&gt;""MD"",I238&lt;&gt;""MA"",I238&lt;&gt;""MI"",I238&lt;&gt;""MN"",I238&lt;&gt;""MS"",I238&lt;&gt;""MO"",I238&lt;&gt;""MT"",I238&lt;&gt;""NE"",I238&lt;&gt;""NV"",I238&lt;&gt;""NH"",I238&lt;&gt;""NJ"",I238&lt;&gt;""NM"",I238&lt;&gt;""NY"",I238&lt;&gt;""NC"",I238&lt;&gt;""ND"",I238&lt;&gt;""OH"",I238&lt;&gt;""OK"",I238&lt;&gt;""OR"",I"&amp;"238&lt;&gt;""PA"",I238&lt;&gt;""RI"",I238&lt;&gt;""SC"",I238&lt;&gt;""SD"",I238&lt;&gt;""TN"",I238&lt;&gt;""TX"",I238&lt;&gt;""UT"",I238&lt;&gt;""VT"",I238&lt;&gt;""VA"",I238&lt;&gt;""WA"",I238&lt;&gt;""WV"",I238&lt;&gt;""WI"",I238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8" s="13">
        <f t="shared" ca="1" si="10"/>
        <v>14</v>
      </c>
      <c r="O238" s="13" t="b">
        <f>ISNUMBER(MATCH(C238,'Top 250 HS'!C:C,0))</f>
        <v>0</v>
      </c>
      <c r="P238" s="13" t="str">
        <f ca="1">IFERROR(__xludf.DUMMYFUNCTION("SORTN(FILTER('Top 250 HS'!B:B,'Top 250 HS'!C:C=I238),1,0,randarray(COUNTA(FILTER('Top 250 HS'!B:B,'Top 250 HS'!C:C=I238)),1),TRUE)"),"Paul VI (Fairfax)")</f>
        <v>Paul VI (Fairfax)</v>
      </c>
      <c r="Q238" s="13" t="b">
        <f>ISNUMBER(MATCH("*"&amp;E238&amp;"*",'Top 1500 HS LatitudeLongitude'!G:G,0))</f>
        <v>0</v>
      </c>
      <c r="R238" s="13" t="str">
        <f ca="1">IFERROR(__xludf.DUMMYFUNCTION("IFS(L238=10,"""",Q238=false,"""",N238=5,"""",Q238=true,SORTN(FILTER('Top 1500 HS LatitudeLongitude'!B:B,'Top 1500 HS LatitudeLongitude'!C:C=I238,'Top 1500 HS LatitudeLongitude'!E:E=H238),1,0,randarray(COUNTA(FILTER('Top 1500 HS LatitudeLongitude'!B:B,'Top"&amp;" 1500 HS LatitudeLongitude'!C:C=I238,'Top 1500 HS LatitudeLongitude'!E:E=H238)),1),TRUE)
)"),"")</f>
        <v/>
      </c>
      <c r="S238" s="13" t="b">
        <f>ISNUMBER(MATCH("*"&amp;H:H&amp;"*",'Public Schools'!C:C,0))</f>
        <v>0</v>
      </c>
      <c r="T238" s="13" t="str">
        <f ca="1">IFERROR(__xludf.DUMMYFUNCTION("IFERROR(IF(AND(R238="""",S238=true), SORTN(FILTER('Public Schools'!A:A,'Public Schools'!B:B=J238,'Public Schools'!C:C=H238),1,0,randarray(COUNTA(FILTER('Public Schools'!A:A,'Public Schools'!B:B=J238,'Public Schools'!C:C=H238)),1),TRUE),""""),"""")"),"")</f>
        <v/>
      </c>
      <c r="U238" s="23" t="str">
        <f t="array" aca="1" ref="U238" ca="1">IF(AND(R238="",T238=""),INDEX('Top 1500 HS LatitudeLongitude'!B$2:B$1501,MATCH(MIN(SQRT(('Top 1500 HS LatitudeLongitude'!H$2:H$1501-F238)^2+('Top 1500 HS LatitudeLongitude'!I$2:I$1501-G238)^2)),SQRT( ('Top 1500 HS LatitudeLongitude'!H$2:H$1501-F238)^2+('Top 1500 HS LatitudeLongitude'!I$2:I$1501-G238)^2),0),1),"")</f>
        <v>South Granville (Creedmoor)</v>
      </c>
    </row>
    <row r="239" spans="2:21" ht="15.6">
      <c r="B239" s="8">
        <v>0.46716107159999998</v>
      </c>
      <c r="C239" s="9" t="s">
        <v>148</v>
      </c>
      <c r="D239" s="9" t="s">
        <v>444</v>
      </c>
      <c r="E239" s="37" t="s">
        <v>8930</v>
      </c>
      <c r="F239" s="8">
        <v>42.383400000000002</v>
      </c>
      <c r="G239" s="8">
        <v>-83.102400000000003</v>
      </c>
      <c r="H239" s="3" t="str">
        <f t="shared" si="0"/>
        <v>Powder Springs</v>
      </c>
      <c r="I239" s="3" t="str">
        <f t="shared" si="1"/>
        <v>GA</v>
      </c>
      <c r="J239" s="3" t="str">
        <f t="array" ref="J239">INDEX('State Abbreviations'!$B$2:$B$52,MATCH(I239,'State Abbreviations'!$A$2:$A$52,0))</f>
        <v>Georgia</v>
      </c>
      <c r="K239" s="119" t="e">
        <f t="shared" ca="1" si="2"/>
        <v>#NAME?</v>
      </c>
      <c r="L239" s="13">
        <f t="shared" ca="1" si="11"/>
        <v>22</v>
      </c>
      <c r="M239" s="13" t="str">
        <f ca="1">IFERROR(__xludf.DUMMYFUNCTION("IF(AND(L239&gt;5,I239&lt;&gt;""AL"",I239&lt;&gt;""AK"",I239&lt;&gt;""AZ"",I239&lt;&gt;""AR"",I239&lt;&gt;""CA"",I239&lt;&gt;""CO"",I239&lt;&gt;""CT"",I239&lt;&gt;""DE"",I239&lt;&gt;""DC"",I239&lt;&gt;""FL"",I239&lt;&gt;""GA"",I239&lt;&gt;""HI"",I239&lt;&gt;""ID"",I239&lt;&gt;""IL"",I239&lt;&gt;""IN"",I239&lt;&gt;""IA"",I239&lt;&gt;""KS"",I239&lt;&gt;""KY"",I239&lt;&gt;"&amp;"""LA"",I239&lt;&gt;""ME"",I239&lt;&gt;""MD"",I239&lt;&gt;""MA"",I239&lt;&gt;""MI"",I239&lt;&gt;""MN"",I239&lt;&gt;""MS"",I239&lt;&gt;""MO"",I239&lt;&gt;""MT"",I239&lt;&gt;""NE"",I239&lt;&gt;""NV"",I239&lt;&gt;""NH"",I239&lt;&gt;""NJ"",I239&lt;&gt;""NM"",I239&lt;&gt;""NY"",I239&lt;&gt;""NC"",I239&lt;&gt;""ND"",I239&lt;&gt;""OH"",I239&lt;&gt;""OK"",I239&lt;&gt;""OR"",I"&amp;"239&lt;&gt;""PA"",I239&lt;&gt;""RI"",I239&lt;&gt;""SC"",I239&lt;&gt;""SD"",I239&lt;&gt;""TN"",I239&lt;&gt;""TX"",I239&lt;&gt;""UT"",I239&lt;&gt;""VT"",I239&lt;&gt;""VA"",I239&lt;&gt;""WA"",I239&lt;&gt;""WV"",I239&lt;&gt;""WI"",I239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St"&amp;"ateInternational'!$G$2:$G$121&lt;&gt;"""")},2,0)),IF(L239=10,ArrayFormula(VLOOKUP(QUERY(UNIQUE(RANDBETWEEN(ROW(INDIRECT(""A1:A""&amp;COUNTA('Leaving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39" s="13">
        <f t="shared" ca="1" si="10"/>
        <v>9</v>
      </c>
      <c r="O239" s="13" t="b">
        <f>ISNUMBER(MATCH(C239,'Top 250 HS'!C:C,0))</f>
        <v>0</v>
      </c>
      <c r="P239" s="13" t="str">
        <f ca="1">IFERROR(__xludf.DUMMYFUNCTION("SORTN(FILTER('Top 250 HS'!B:B,'Top 250 HS'!C:C=I239),1,0,randarray(COUNTA(FILTER('Top 250 HS'!B:B,'Top 250 HS'!C:C=I239)),1),TRUE)"),"Grayson (Loganville)")</f>
        <v>Grayson (Loganville)</v>
      </c>
      <c r="Q239" s="13" t="b">
        <f>ISNUMBER(MATCH("*"&amp;E239&amp;"*",'Top 1500 HS LatitudeLongitude'!G:G,0))</f>
        <v>1</v>
      </c>
      <c r="R239" s="13" t="str">
        <f ca="1">IFERROR(__xludf.DUMMYFUNCTION("IFS(L239=10,"""",Q239=false,"""",N239=5,"""",Q239=true,SORTN(FILTER('Top 1500 HS LatitudeLongitude'!B:B,'Top 1500 HS LatitudeLongitude'!C:C=I239,'Top 1500 HS LatitudeLongitude'!E:E=H239),1,0,randarray(COUNTA(FILTER('Top 1500 HS LatitudeLongitude'!B:B,'Top"&amp;" 1500 HS LatitudeLongitude'!C:C=I239,'Top 1500 HS LatitudeLongitude'!E:E=H239)),1),TRUE)
)"),"McEachern (Powder Springs)")</f>
        <v>McEachern (Powder Springs)</v>
      </c>
      <c r="S239" s="13" t="b">
        <f>ISNUMBER(MATCH("*"&amp;H:H&amp;"*",'Public Schools'!C:C,0))</f>
        <v>1</v>
      </c>
      <c r="T239" s="13" t="str">
        <f ca="1">IFERROR(__xludf.DUMMYFUNCTION("IFERROR(IF(AND(R239="""",S239=true), SORTN(FILTER('Public Schools'!A:A,'Public Schools'!B:B=J239,'Public Schools'!C:C=H239),1,0,randarray(COUNTA(FILTER('Public Schools'!A:A,'Public Schools'!B:B=J239,'Public Schools'!C:C=H239)),1),TRUE),""""),"""")"),"")</f>
        <v/>
      </c>
      <c r="U239" s="23" t="str">
        <f t="array" aca="1" ref="U239" ca="1">IF(AND(R239="",T239=""),INDEX('Top 1500 HS LatitudeLongitude'!B$2:B$1501,MATCH(MIN(SQRT(('Top 1500 HS LatitudeLongitude'!H$2:H$1501-F239)^2+('Top 1500 HS LatitudeLongitude'!I$2:I$1501-G239)^2)),SQRT( ('Top 1500 HS LatitudeLongitude'!H$2:H$1501-F239)^2+('Top 1500 HS LatitudeLongitude'!I$2:I$1501-G239)^2),0),1),"")</f>
        <v/>
      </c>
    </row>
    <row r="240" spans="2:21" ht="15.6">
      <c r="B240" s="8">
        <v>0.51806446780000004</v>
      </c>
      <c r="C240" s="9" t="s">
        <v>148</v>
      </c>
      <c r="D240" s="9" t="s">
        <v>445</v>
      </c>
      <c r="E240" s="120" t="s">
        <v>8968</v>
      </c>
      <c r="F240" s="8">
        <v>32.316299999999998</v>
      </c>
      <c r="G240" s="8">
        <v>-90.212400000000002</v>
      </c>
      <c r="H240" s="3" t="str">
        <f t="shared" si="0"/>
        <v>Evans</v>
      </c>
      <c r="I240" s="3" t="str">
        <f t="shared" si="1"/>
        <v>GA</v>
      </c>
      <c r="J240" s="3" t="str">
        <f t="array" ref="J240">INDEX('State Abbreviations'!$B$2:$B$52,MATCH(I240,'State Abbreviations'!$A$2:$A$52,0))</f>
        <v>Georgia</v>
      </c>
      <c r="K240" s="119" t="e">
        <f t="shared" ca="1" si="2"/>
        <v>#NAME?</v>
      </c>
      <c r="L240" s="13">
        <f t="shared" ca="1" si="11"/>
        <v>6</v>
      </c>
      <c r="M240" s="13" t="str">
        <f ca="1">IFERROR(__xludf.DUMMYFUNCTION("IF(AND(L240&gt;5,I240&lt;&gt;""AL"",I240&lt;&gt;""AK"",I240&lt;&gt;""AZ"",I240&lt;&gt;""AR"",I240&lt;&gt;""CA"",I240&lt;&gt;""CO"",I240&lt;&gt;""CT"",I240&lt;&gt;""DE"",I240&lt;&gt;""DC"",I240&lt;&gt;""FL"",I240&lt;&gt;""GA"",I240&lt;&gt;""HI"",I240&lt;&gt;""ID"",I240&lt;&gt;""IL"",I240&lt;&gt;""IN"",I240&lt;&gt;""IA"",I240&lt;&gt;""KS"",I240&lt;&gt;""KY"",I240&lt;&gt;"&amp;"""LA"",I240&lt;&gt;""ME"",I240&lt;&gt;""MD"",I240&lt;&gt;""MA"",I240&lt;&gt;""MI"",I240&lt;&gt;""MN"",I240&lt;&gt;""MS"",I240&lt;&gt;""MO"",I240&lt;&gt;""MT"",I240&lt;&gt;""NE"",I240&lt;&gt;""NV"",I240&lt;&gt;""NH"",I240&lt;&gt;""NJ"",I240&lt;&gt;""NM"",I240&lt;&gt;""NY"",I240&lt;&gt;""NC"",I240&lt;&gt;""ND"",I240&lt;&gt;""OH"",I240&lt;&gt;""OK"",I240&lt;&gt;""OR"",I"&amp;"240&lt;&gt;""PA"",I240&lt;&gt;""RI"",I240&lt;&gt;""SC"",I240&lt;&gt;""SD"",I240&lt;&gt;""TN"",I240&lt;&gt;""TX"",I240&lt;&gt;""UT"",I240&lt;&gt;""VT"",I240&lt;&gt;""VA"",I240&lt;&gt;""WA"",I240&lt;&gt;""WV"",I240&lt;&gt;""WI"",I240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0" s="13">
        <f t="shared" ca="1" si="10"/>
        <v>7</v>
      </c>
      <c r="O240" s="13" t="b">
        <f>ISNUMBER(MATCH(C240,'Top 250 HS'!C:C,0))</f>
        <v>0</v>
      </c>
      <c r="P240" s="13" t="str">
        <f ca="1">IFERROR(__xludf.DUMMYFUNCTION("SORTN(FILTER('Top 250 HS'!B:B,'Top 250 HS'!C:C=I240),1,0,randarray(COUNTA(FILTER('Top 250 HS'!B:B,'Top 250 HS'!C:C=I240)),1),TRUE)"),"Grayson (Loganville)")</f>
        <v>Grayson (Loganville)</v>
      </c>
      <c r="Q240" s="13" t="b">
        <f>ISNUMBER(MATCH("*"&amp;E240&amp;"*",'Top 1500 HS LatitudeLongitude'!G:G,0))</f>
        <v>1</v>
      </c>
      <c r="R240" s="13" t="str">
        <f ca="1">IFERROR(__xludf.DUMMYFUNCTION("IFS(L240=10,"""",Q240=false,"""",N240=5,"""",Q240=true,SORTN(FILTER('Top 1500 HS LatitudeLongitude'!B:B,'Top 1500 HS LatitudeLongitude'!C:C=I240,'Top 1500 HS LatitudeLongitude'!E:E=H240),1,0,randarray(COUNTA(FILTER('Top 1500 HS LatitudeLongitude'!B:B,'Top"&amp;" 1500 HS LatitudeLongitude'!C:C=I240,'Top 1500 HS LatitudeLongitude'!E:E=H240)),1),TRUE)
)"),"Evans")</f>
        <v>Evans</v>
      </c>
      <c r="S240" s="13" t="b">
        <f>ISNUMBER(MATCH("*"&amp;H:H&amp;"*",'Public Schools'!C:C,0))</f>
        <v>1</v>
      </c>
      <c r="T240" s="13" t="str">
        <f ca="1">IFERROR(__xludf.DUMMYFUNCTION("IFERROR(IF(AND(R240="""",S240=true), SORTN(FILTER('Public Schools'!A:A,'Public Schools'!B:B=J240,'Public Schools'!C:C=H240),1,0,randarray(COUNTA(FILTER('Public Schools'!A:A,'Public Schools'!B:B=J240,'Public Schools'!C:C=H240)),1),TRUE),""""),"""")"),"")</f>
        <v/>
      </c>
      <c r="U240" s="23" t="str">
        <f t="array" aca="1" ref="U240" ca="1">IF(AND(R240="",T240=""),INDEX('Top 1500 HS LatitudeLongitude'!B$2:B$1501,MATCH(MIN(SQRT(('Top 1500 HS LatitudeLongitude'!H$2:H$1501-F240)^2+('Top 1500 HS LatitudeLongitude'!I$2:I$1501-G240)^2)),SQRT( ('Top 1500 HS LatitudeLongitude'!H$2:H$1501-F240)^2+('Top 1500 HS LatitudeLongitude'!I$2:I$1501-G240)^2),0),1),"")</f>
        <v/>
      </c>
    </row>
    <row r="241" spans="2:21" ht="15.6">
      <c r="B241" s="8">
        <v>0.2527284783</v>
      </c>
      <c r="C241" s="9" t="s">
        <v>47</v>
      </c>
      <c r="D241" s="9" t="s">
        <v>446</v>
      </c>
      <c r="E241" s="37" t="s">
        <v>9014</v>
      </c>
      <c r="F241" s="8">
        <v>33.4495</v>
      </c>
      <c r="G241" s="8">
        <v>-82.206599999999995</v>
      </c>
      <c r="H241" s="3" t="str">
        <f t="shared" si="0"/>
        <v>Rancho Cucamonga</v>
      </c>
      <c r="I241" s="3" t="str">
        <f t="shared" si="1"/>
        <v>CA</v>
      </c>
      <c r="J241" s="3" t="str">
        <f t="array" ref="J241">INDEX('State Abbreviations'!$B$2:$B$52,MATCH(I241,'State Abbreviations'!$A$2:$A$52,0))</f>
        <v>California</v>
      </c>
      <c r="K241" s="119" t="e">
        <f t="shared" ca="1" si="2"/>
        <v>#NAME?</v>
      </c>
      <c r="L241" s="13">
        <f t="shared" ca="1" si="11"/>
        <v>30</v>
      </c>
      <c r="M241" s="13" t="str">
        <f ca="1">IFERROR(__xludf.DUMMYFUNCTION("IF(AND(L241&gt;5,I241&lt;&gt;""AL"",I241&lt;&gt;""AK"",I241&lt;&gt;""AZ"",I241&lt;&gt;""AR"",I241&lt;&gt;""CA"",I241&lt;&gt;""CO"",I241&lt;&gt;""CT"",I241&lt;&gt;""DE"",I241&lt;&gt;""DC"",I241&lt;&gt;""FL"",I241&lt;&gt;""GA"",I241&lt;&gt;""HI"",I241&lt;&gt;""ID"",I241&lt;&gt;""IL"",I241&lt;&gt;""IN"",I241&lt;&gt;""IA"",I241&lt;&gt;""KS"",I241&lt;&gt;""KY"",I241&lt;&gt;"&amp;"""LA"",I241&lt;&gt;""ME"",I241&lt;&gt;""MD"",I241&lt;&gt;""MA"",I241&lt;&gt;""MI"",I241&lt;&gt;""MN"",I241&lt;&gt;""MS"",I241&lt;&gt;""MO"",I241&lt;&gt;""MT"",I241&lt;&gt;""NE"",I241&lt;&gt;""NV"",I241&lt;&gt;""NH"",I241&lt;&gt;""NJ"",I241&lt;&gt;""NM"",I241&lt;&gt;""NY"",I241&lt;&gt;""NC"",I241&lt;&gt;""ND"",I241&lt;&gt;""OH"",I241&lt;&gt;""OK"",I241&lt;&gt;""OR"",I"&amp;"241&lt;&gt;""PA"",I241&lt;&gt;""RI"",I241&lt;&gt;""SC"",I241&lt;&gt;""SD"",I241&lt;&gt;""TN"",I241&lt;&gt;""TX"",I241&lt;&gt;""UT"",I241&lt;&gt;""VT"",I241&lt;&gt;""VA"",I241&lt;&gt;""WA"",I241&lt;&gt;""WV"",I241&lt;&gt;""WI"",I241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St"&amp;"ateInternational'!$G$2:$G$121&lt;&gt;"""")},2,0)),IF(L241=10,ArrayFormula(VLOOKUP(QUERY(UNIQUE(RANDBETWEEN(ROW(INDIRECT(""A1:A""&amp;COUNTA('Leaving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1" s="13">
        <f t="shared" ca="1" si="10"/>
        <v>12</v>
      </c>
      <c r="O241" s="13" t="b">
        <f>ISNUMBER(MATCH(C241,'Top 250 HS'!C:C,0))</f>
        <v>0</v>
      </c>
      <c r="P241" s="13" t="str">
        <f ca="1">IFERROR(__xludf.DUMMYFUNCTION("SORTN(FILTER('Top 250 HS'!B:B,'Top 250 HS'!C:C=I241),1,0,randarray(COUNTA(FILTER('Top 250 HS'!B:B,'Top 250 HS'!C:C=I241)),1),TRUE)"),"Bishop O'Dowd (Oakland)")</f>
        <v>Bishop O'Dowd (Oakland)</v>
      </c>
      <c r="Q241" s="13" t="b">
        <f>ISNUMBER(MATCH("*"&amp;E241&amp;"*",'Top 1500 HS LatitudeLongitude'!G:G,0))</f>
        <v>1</v>
      </c>
      <c r="R241" s="13" t="str">
        <f ca="1">IFERROR(__xludf.DUMMYFUNCTION("IFS(L241=10,"""",Q241=false,"""",N241=5,"""",Q241=true,SORTN(FILTER('Top 1500 HS LatitudeLongitude'!B:B,'Top 1500 HS LatitudeLongitude'!C:C=I241,'Top 1500 HS LatitudeLongitude'!E:E=H241),1,0,randarray(COUNTA(FILTER('Top 1500 HS LatitudeLongitude'!B:B,'Top"&amp;" 1500 HS LatitudeLongitude'!C:C=I241,'Top 1500 HS LatitudeLongitude'!E:E=H241)),1),TRUE)
)"),"Etiwanda")</f>
        <v>Etiwanda</v>
      </c>
      <c r="S241" s="13" t="b">
        <f>ISNUMBER(MATCH("*"&amp;H:H&amp;"*",'Public Schools'!C:C,0))</f>
        <v>1</v>
      </c>
      <c r="T241" s="13" t="str">
        <f ca="1">IFERROR(__xludf.DUMMYFUNCTION("IFERROR(IF(AND(R241="""",S241=true), SORTN(FILTER('Public Schools'!A:A,'Public Schools'!B:B=J241,'Public Schools'!C:C=H241),1,0,randarray(COUNTA(FILTER('Public Schools'!A:A,'Public Schools'!B:B=J241,'Public Schools'!C:C=H241)),1),TRUE),""""),"""")"),"")</f>
        <v/>
      </c>
      <c r="U241" s="23" t="str">
        <f t="array" aca="1" ref="U241" ca="1">IF(AND(R241="",T241=""),INDEX('Top 1500 HS LatitudeLongitude'!B$2:B$1501,MATCH(MIN(SQRT(('Top 1500 HS LatitudeLongitude'!H$2:H$1501-F241)^2+('Top 1500 HS LatitudeLongitude'!I$2:I$1501-G241)^2)),SQRT( ('Top 1500 HS LatitudeLongitude'!H$2:H$1501-F241)^2+('Top 1500 HS LatitudeLongitude'!I$2:I$1501-G241)^2),0),1),"")</f>
        <v/>
      </c>
    </row>
    <row r="242" spans="2:21" ht="15.6">
      <c r="B242" s="8">
        <v>0.93677427130000002</v>
      </c>
      <c r="C242" s="9" t="s">
        <v>114</v>
      </c>
      <c r="D242" s="9" t="s">
        <v>447</v>
      </c>
      <c r="E242" s="120" t="s">
        <v>9062</v>
      </c>
      <c r="F242" s="8">
        <v>36.677799999999998</v>
      </c>
      <c r="G242" s="8">
        <v>-76.302400000000006</v>
      </c>
      <c r="H242" s="3" t="str">
        <f t="shared" si="0"/>
        <v>North Miami Beach</v>
      </c>
      <c r="I242" s="3" t="str">
        <f t="shared" si="1"/>
        <v>FL</v>
      </c>
      <c r="J242" s="3" t="str">
        <f t="array" ref="J242">INDEX('State Abbreviations'!$B$2:$B$52,MATCH(I242,'State Abbreviations'!$A$2:$A$52,0))</f>
        <v>Florida</v>
      </c>
      <c r="K242" s="119" t="e">
        <f t="shared" ca="1" si="2"/>
        <v>#NAME?</v>
      </c>
      <c r="L242" s="13">
        <f t="shared" ca="1" si="11"/>
        <v>17</v>
      </c>
      <c r="M242" s="13" t="str">
        <f ca="1">IFERROR(__xludf.DUMMYFUNCTION("IF(AND(L242&gt;5,I242&lt;&gt;""AL"",I242&lt;&gt;""AK"",I242&lt;&gt;""AZ"",I242&lt;&gt;""AR"",I242&lt;&gt;""CA"",I242&lt;&gt;""CO"",I242&lt;&gt;""CT"",I242&lt;&gt;""DE"",I242&lt;&gt;""DC"",I242&lt;&gt;""FL"",I242&lt;&gt;""GA"",I242&lt;&gt;""HI"",I242&lt;&gt;""ID"",I242&lt;&gt;""IL"",I242&lt;&gt;""IN"",I242&lt;&gt;""IA"",I242&lt;&gt;""KS"",I242&lt;&gt;""KY"",I242&lt;&gt;"&amp;"""LA"",I242&lt;&gt;""ME"",I242&lt;&gt;""MD"",I242&lt;&gt;""MA"",I242&lt;&gt;""MI"",I242&lt;&gt;""MN"",I242&lt;&gt;""MS"",I242&lt;&gt;""MO"",I242&lt;&gt;""MT"",I242&lt;&gt;""NE"",I242&lt;&gt;""NV"",I242&lt;&gt;""NH"",I242&lt;&gt;""NJ"",I242&lt;&gt;""NM"",I242&lt;&gt;""NY"",I242&lt;&gt;""NC"",I242&lt;&gt;""ND"",I242&lt;&gt;""OH"",I242&lt;&gt;""OK"",I242&lt;&gt;""OR"",I"&amp;"242&lt;&gt;""PA"",I242&lt;&gt;""RI"",I242&lt;&gt;""SC"",I242&lt;&gt;""SD"",I242&lt;&gt;""TN"",I242&lt;&gt;""TX"",I242&lt;&gt;""UT"",I242&lt;&gt;""VT"",I242&lt;&gt;""VA"",I242&lt;&gt;""WA"",I242&lt;&gt;""WV"",I242&lt;&gt;""WI"",I242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St"&amp;"ateInternational'!$G$2:$G$121&lt;&gt;"""")},2,0)),IF(L242=10,ArrayFormula(VLOOKUP(QUERY(UNIQUE(RANDBETWEEN(ROW(INDIRECT(""A1:A""&amp;COUNTA('Leaving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2" s="13">
        <f t="shared" ca="1" si="10"/>
        <v>10</v>
      </c>
      <c r="O242" s="13" t="b">
        <f>ISNUMBER(MATCH(C242,'Top 250 HS'!C:C,0))</f>
        <v>0</v>
      </c>
      <c r="P242" s="13" t="str">
        <f ca="1">IFERROR(__xludf.DUMMYFUNCTION("SORTN(FILTER('Top 250 HS'!B:B,'Top 250 HS'!C:C=I242),1,0,randarray(COUNTA(FILTER('Top 250 HS'!B:B,'Top 250 HS'!C:C=I242)),1),TRUE)"),"Montverde Academy (Montverde)")</f>
        <v>Montverde Academy (Montverde)</v>
      </c>
      <c r="Q242" s="13" t="b">
        <f>ISNUMBER(MATCH("*"&amp;E242&amp;"*",'Top 1500 HS LatitudeLongitude'!G:G,0))</f>
        <v>0</v>
      </c>
      <c r="R242" s="13" t="str">
        <f ca="1">IFERROR(__xludf.DUMMYFUNCTION("IFS(L242=10,"""",Q242=false,"""",N242=5,"""",Q242=true,SORTN(FILTER('Top 1500 HS LatitudeLongitude'!B:B,'Top 1500 HS LatitudeLongitude'!C:C=I242,'Top 1500 HS LatitudeLongitude'!E:E=H242),1,0,randarray(COUNTA(FILTER('Top 1500 HS LatitudeLongitude'!B:B,'Top"&amp;" 1500 HS LatitudeLongitude'!C:C=I242,'Top 1500 HS LatitudeLongitude'!E:E=H242)),1),TRUE)
)"),"")</f>
        <v/>
      </c>
      <c r="S242" s="13" t="b">
        <f>ISNUMBER(MATCH("*"&amp;H:H&amp;"*",'Public Schools'!C:C,0))</f>
        <v>1</v>
      </c>
      <c r="T242" s="13" t="str">
        <f ca="1">IFERROR(__xludf.DUMMYFUNCTION("IFERROR(IF(AND(R242="""",S242=true), SORTN(FILTER('Public Schools'!A:A,'Public Schools'!B:B=J242,'Public Schools'!C:C=H242),1,0,randarray(COUNTA(FILTER('Public Schools'!A:A,'Public Schools'!B:B=J242,'Public Schools'!C:C=H242)),1),TRUE),""""),"""")"),"North Miami Beach Senior High School")</f>
        <v>North Miami Beach Senior High School</v>
      </c>
      <c r="U242" s="23" t="str">
        <f t="array" aca="1" ref="U242" ca="1">IF(AND(R242="",T242=""),INDEX('Top 1500 HS LatitudeLongitude'!B$2:B$1501,MATCH(MIN(SQRT(('Top 1500 HS LatitudeLongitude'!H$2:H$1501-F242)^2+('Top 1500 HS LatitudeLongitude'!I$2:I$1501-G242)^2)),SQRT( ('Top 1500 HS LatitudeLongitude'!H$2:H$1501-F242)^2+('Top 1500 HS LatitudeLongitude'!I$2:I$1501-G242)^2),0),1),"")</f>
        <v/>
      </c>
    </row>
    <row r="243" spans="2:21" ht="15.6">
      <c r="B243" s="8">
        <v>0.27745817029999997</v>
      </c>
      <c r="C243" s="9" t="s">
        <v>262</v>
      </c>
      <c r="D243" s="9" t="s">
        <v>448</v>
      </c>
      <c r="E243" s="37" t="s">
        <v>9106</v>
      </c>
      <c r="F243" s="8">
        <v>43.645800000000001</v>
      </c>
      <c r="G243" s="8">
        <v>-116.65949999999999</v>
      </c>
      <c r="H243" s="3" t="str">
        <f t="shared" si="0"/>
        <v>Dothan</v>
      </c>
      <c r="I243" s="3" t="str">
        <f t="shared" si="1"/>
        <v>AL</v>
      </c>
      <c r="J243" s="3" t="str">
        <f t="array" ref="J243">INDEX('State Abbreviations'!$B$2:$B$52,MATCH(I243,'State Abbreviations'!$A$2:$A$52,0))</f>
        <v>Alabama</v>
      </c>
      <c r="K243" s="119" t="e">
        <f t="shared" ca="1" si="2"/>
        <v>#NAME?</v>
      </c>
      <c r="L243" s="13">
        <f t="shared" ca="1" si="11"/>
        <v>16</v>
      </c>
      <c r="M243" s="13" t="str">
        <f ca="1">IFERROR(__xludf.DUMMYFUNCTION("IF(AND(L243&gt;5,I243&lt;&gt;""AL"",I243&lt;&gt;""AK"",I243&lt;&gt;""AZ"",I243&lt;&gt;""AR"",I243&lt;&gt;""CA"",I243&lt;&gt;""CO"",I243&lt;&gt;""CT"",I243&lt;&gt;""DE"",I243&lt;&gt;""DC"",I243&lt;&gt;""FL"",I243&lt;&gt;""GA"",I243&lt;&gt;""HI"",I243&lt;&gt;""ID"",I243&lt;&gt;""IL"",I243&lt;&gt;""IN"",I243&lt;&gt;""IA"",I243&lt;&gt;""KS"",I243&lt;&gt;""KY"",I243&lt;&gt;"&amp;"""LA"",I243&lt;&gt;""ME"",I243&lt;&gt;""MD"",I243&lt;&gt;""MA"",I243&lt;&gt;""MI"",I243&lt;&gt;""MN"",I243&lt;&gt;""MS"",I243&lt;&gt;""MO"",I243&lt;&gt;""MT"",I243&lt;&gt;""NE"",I243&lt;&gt;""NV"",I243&lt;&gt;""NH"",I243&lt;&gt;""NJ"",I243&lt;&gt;""NM"",I243&lt;&gt;""NY"",I243&lt;&gt;""NC"",I243&lt;&gt;""ND"",I243&lt;&gt;""OH"",I243&lt;&gt;""OK"",I243&lt;&gt;""OR"",I"&amp;"243&lt;&gt;""PA"",I243&lt;&gt;""RI"",I243&lt;&gt;""SC"",I243&lt;&gt;""SD"",I243&lt;&gt;""TN"",I243&lt;&gt;""TX"",I243&lt;&gt;""UT"",I243&lt;&gt;""VT"",I243&lt;&gt;""VA"",I243&lt;&gt;""WA"",I243&lt;&gt;""WV"",I243&lt;&gt;""WI"",I243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St"&amp;"ateInternational'!$G$2:$G$121&lt;&gt;"""")},2,0)),IF(L243=10,ArrayFormula(VLOOKUP(QUERY(UNIQUE(RANDBETWEEN(ROW(INDIRECT(""A1:A""&amp;COUNTA('Leaving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3" s="13">
        <f t="shared" ca="1" si="10"/>
        <v>5</v>
      </c>
      <c r="O243" s="13" t="b">
        <f>ISNUMBER(MATCH(C243,'Top 250 HS'!C:C,0))</f>
        <v>0</v>
      </c>
      <c r="P243" s="13" t="str">
        <f ca="1">IFERROR(__xludf.DUMMYFUNCTION("SORTN(FILTER('Top 250 HS'!B:B,'Top 250 HS'!C:C=I243),1,0,randarray(COUNTA(FILTER('Top 250 HS'!B:B,'Top 250 HS'!C:C=I243)),1),TRUE)"),"Lee (Montgomery)")</f>
        <v>Lee (Montgomery)</v>
      </c>
      <c r="Q243" s="13" t="b">
        <f>ISNUMBER(MATCH("*"&amp;E243&amp;"*",'Top 1500 HS LatitudeLongitude'!G:G,0))</f>
        <v>0</v>
      </c>
      <c r="R243" s="13" t="str">
        <f ca="1">IFERROR(__xludf.DUMMYFUNCTION("IFS(L243=10,"""",Q243=false,"""",N243=5,"""",Q243=true,SORTN(FILTER('Top 1500 HS LatitudeLongitude'!B:B,'Top 1500 HS LatitudeLongitude'!C:C=I243,'Top 1500 HS LatitudeLongitude'!E:E=H243),1,0,randarray(COUNTA(FILTER('Top 1500 HS LatitudeLongitude'!B:B,'Top"&amp;" 1500 HS LatitudeLongitude'!C:C=I243,'Top 1500 HS LatitudeLongitude'!E:E=H243)),1),TRUE)
)"),"")</f>
        <v/>
      </c>
      <c r="S243" s="13" t="b">
        <f>ISNUMBER(MATCH("*"&amp;H:H&amp;"*",'Public Schools'!C:C,0))</f>
        <v>1</v>
      </c>
      <c r="T243" s="13" t="str">
        <f ca="1">IFERROR(__xludf.DUMMYFUNCTION("IFERROR(IF(AND(R243="""",S243=true), SORTN(FILTER('Public Schools'!A:A,'Public Schools'!B:B=J243,'Public Schools'!C:C=H243),1,0,randarray(COUNTA(FILTER('Public Schools'!A:A,'Public Schools'!B:B=J243,'Public Schools'!C:C=H243)),1),TRUE),""""),"""")"),"Dothan High School")</f>
        <v>Dothan High School</v>
      </c>
      <c r="U243" s="23" t="str">
        <f t="array" aca="1" ref="U243" ca="1">IF(AND(R243="",T243=""),INDEX('Top 1500 HS LatitudeLongitude'!B$2:B$1501,MATCH(MIN(SQRT(('Top 1500 HS LatitudeLongitude'!H$2:H$1501-F243)^2+('Top 1500 HS LatitudeLongitude'!I$2:I$1501-G243)^2)),SQRT( ('Top 1500 HS LatitudeLongitude'!H$2:H$1501-F243)^2+('Top 1500 HS LatitudeLongitude'!I$2:I$1501-G243)^2),0),1),"")</f>
        <v/>
      </c>
    </row>
    <row r="244" spans="2:21" ht="15.6">
      <c r="B244" s="8">
        <v>0.71874159920000003</v>
      </c>
      <c r="C244" s="9" t="s">
        <v>238</v>
      </c>
      <c r="D244" s="9" t="s">
        <v>449</v>
      </c>
      <c r="E244" s="120" t="s">
        <v>9151</v>
      </c>
      <c r="F244" s="8">
        <v>40.862299999999998</v>
      </c>
      <c r="G244" s="8">
        <v>-81.860200000000006</v>
      </c>
      <c r="H244" s="3" t="str">
        <f t="shared" si="0"/>
        <v>East Meadow</v>
      </c>
      <c r="I244" s="3" t="str">
        <f t="shared" si="1"/>
        <v>NY</v>
      </c>
      <c r="J244" s="3" t="str">
        <f t="array" ref="J244">INDEX('State Abbreviations'!$B$2:$B$52,MATCH(I244,'State Abbreviations'!$A$2:$A$52,0))</f>
        <v>New York</v>
      </c>
      <c r="K244" s="119" t="e">
        <f t="shared" ca="1" si="2"/>
        <v>#NAME?</v>
      </c>
      <c r="L244" s="13">
        <f t="shared" ca="1" si="11"/>
        <v>2</v>
      </c>
      <c r="M244" s="13" t="str">
        <f ca="1">IFERROR(__xludf.DUMMYFUNCTION("IF(AND(L244&gt;5,I244&lt;&gt;""AL"",I244&lt;&gt;""AK"",I244&lt;&gt;""AZ"",I244&lt;&gt;""AR"",I244&lt;&gt;""CA"",I244&lt;&gt;""CO"",I244&lt;&gt;""CT"",I244&lt;&gt;""DE"",I244&lt;&gt;""DC"",I244&lt;&gt;""FL"",I244&lt;&gt;""GA"",I244&lt;&gt;""HI"",I244&lt;&gt;""ID"",I244&lt;&gt;""IL"",I244&lt;&gt;""IN"",I244&lt;&gt;""IA"",I244&lt;&gt;""KS"",I244&lt;&gt;""KY"",I244&lt;&gt;"&amp;"""LA"",I244&lt;&gt;""ME"",I244&lt;&gt;""MD"",I244&lt;&gt;""MA"",I244&lt;&gt;""MI"",I244&lt;&gt;""MN"",I244&lt;&gt;""MS"",I244&lt;&gt;""MO"",I244&lt;&gt;""MT"",I244&lt;&gt;""NE"",I244&lt;&gt;""NV"",I244&lt;&gt;""NH"",I244&lt;&gt;""NJ"",I244&lt;&gt;""NM"",I244&lt;&gt;""NY"",I244&lt;&gt;""NC"",I244&lt;&gt;""ND"",I244&lt;&gt;""OH"",I244&lt;&gt;""OK"",I244&lt;&gt;""OR"",I"&amp;"244&lt;&gt;""PA"",I244&lt;&gt;""RI"",I244&lt;&gt;""SC"",I244&lt;&gt;""SD"",I244&lt;&gt;""TN"",I244&lt;&gt;""TX"",I244&lt;&gt;""UT"",I244&lt;&gt;""VT"",I244&lt;&gt;""VA"",I244&lt;&gt;""WA"",I244&lt;&gt;""WV"",I244&lt;&gt;""WI"",I244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St"&amp;"ateInternational'!$G$2:$G$121&lt;&gt;"""")},2,0)),IF(L244=10,ArrayFormula(VLOOKUP(QUERY(UNIQUE(RANDBETWEEN(ROW(INDIRECT(""A1:A""&amp;COUNTA('Leaving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4" s="13">
        <f t="shared" ca="1" si="10"/>
        <v>13</v>
      </c>
      <c r="O244" s="13" t="b">
        <f>ISNUMBER(MATCH(C244,'Top 250 HS'!C:C,0))</f>
        <v>0</v>
      </c>
      <c r="P244" s="13" t="str">
        <f ca="1">IFERROR(__xludf.DUMMYFUNCTION("SORTN(FILTER('Top 250 HS'!B:B,'Top 250 HS'!C:C=I244),1,0,randarray(COUNTA(FILTER('Top 250 HS'!B:B,'Top 250 HS'!C:C=I244)),1),TRUE)"),"Long Island Lutheran (Brookville)")</f>
        <v>Long Island Lutheran (Brookville)</v>
      </c>
      <c r="Q244" s="13" t="b">
        <f>ISNUMBER(MATCH("*"&amp;E244&amp;"*",'Top 1500 HS LatitudeLongitude'!G:G,0))</f>
        <v>0</v>
      </c>
      <c r="R244" s="13" t="str">
        <f ca="1">IFERROR(__xludf.DUMMYFUNCTION("IFS(L244=10,"""",Q244=false,"""",N244=5,"""",Q244=true,SORTN(FILTER('Top 1500 HS LatitudeLongitude'!B:B,'Top 1500 HS LatitudeLongitude'!C:C=I244,'Top 1500 HS LatitudeLongitude'!E:E=H244),1,0,randarray(COUNTA(FILTER('Top 1500 HS LatitudeLongitude'!B:B,'Top"&amp;" 1500 HS LatitudeLongitude'!C:C=I244,'Top 1500 HS LatitudeLongitude'!E:E=H244)),1),TRUE)
)"),"")</f>
        <v/>
      </c>
      <c r="S244" s="13" t="b">
        <f>ISNUMBER(MATCH("*"&amp;H:H&amp;"*",'Public Schools'!C:C,0))</f>
        <v>1</v>
      </c>
      <c r="T244" s="13" t="str">
        <f ca="1">IFERROR(__xludf.DUMMYFUNCTION("IFERROR(IF(AND(R244="""",S244=true), SORTN(FILTER('Public Schools'!A:A,'Public Schools'!B:B=J244,'Public Schools'!C:C=H244),1,0,randarray(COUNTA(FILTER('Public Schools'!A:A,'Public Schools'!B:B=J244,'Public Schools'!C:C=H244)),1),TRUE),""""),"""")"),"East Meadow High School")</f>
        <v>East Meadow High School</v>
      </c>
      <c r="U244" s="23" t="str">
        <f t="array" aca="1" ref="U244" ca="1">IF(AND(R244="",T244=""),INDEX('Top 1500 HS LatitudeLongitude'!B$2:B$1501,MATCH(MIN(SQRT(('Top 1500 HS LatitudeLongitude'!H$2:H$1501-F244)^2+('Top 1500 HS LatitudeLongitude'!I$2:I$1501-G244)^2)),SQRT( ('Top 1500 HS LatitudeLongitude'!H$2:H$1501-F244)^2+('Top 1500 HS LatitudeLongitude'!I$2:I$1501-G244)^2),0),1),"")</f>
        <v/>
      </c>
    </row>
    <row r="245" spans="2:21" ht="15.6">
      <c r="B245" s="8">
        <v>0.1790369114</v>
      </c>
      <c r="C245" s="9" t="s">
        <v>270</v>
      </c>
      <c r="D245" s="9" t="s">
        <v>450</v>
      </c>
      <c r="E245" s="37" t="s">
        <v>9198</v>
      </c>
      <c r="F245" s="8">
        <v>27.793099999999999</v>
      </c>
      <c r="G245" s="8">
        <v>-82.665199999999999</v>
      </c>
      <c r="H245" s="3" t="str">
        <f t="shared" si="0"/>
        <v>Sussex</v>
      </c>
      <c r="I245" s="3" t="str">
        <f t="shared" si="1"/>
        <v>NJ</v>
      </c>
      <c r="J245" s="3" t="str">
        <f t="array" ref="J245">INDEX('State Abbreviations'!$B$2:$B$52,MATCH(I245,'State Abbreviations'!$A$2:$A$52,0))</f>
        <v>New Jersey</v>
      </c>
      <c r="K245" s="119" t="e">
        <f t="shared" ca="1" si="2"/>
        <v>#NAME?</v>
      </c>
      <c r="L245" s="13">
        <f t="shared" ca="1" si="11"/>
        <v>4</v>
      </c>
      <c r="M245" s="13" t="str">
        <f ca="1">IFERROR(__xludf.DUMMYFUNCTION("IF(AND(L245&gt;5,I245&lt;&gt;""AL"",I245&lt;&gt;""AK"",I245&lt;&gt;""AZ"",I245&lt;&gt;""AR"",I245&lt;&gt;""CA"",I245&lt;&gt;""CO"",I245&lt;&gt;""CT"",I245&lt;&gt;""DE"",I245&lt;&gt;""DC"",I245&lt;&gt;""FL"",I245&lt;&gt;""GA"",I245&lt;&gt;""HI"",I245&lt;&gt;""ID"",I245&lt;&gt;""IL"",I245&lt;&gt;""IN"",I245&lt;&gt;""IA"",I245&lt;&gt;""KS"",I245&lt;&gt;""KY"",I245&lt;&gt;"&amp;"""LA"",I245&lt;&gt;""ME"",I245&lt;&gt;""MD"",I245&lt;&gt;""MA"",I245&lt;&gt;""MI"",I245&lt;&gt;""MN"",I245&lt;&gt;""MS"",I245&lt;&gt;""MO"",I245&lt;&gt;""MT"",I245&lt;&gt;""NE"",I245&lt;&gt;""NV"",I245&lt;&gt;""NH"",I245&lt;&gt;""NJ"",I245&lt;&gt;""NM"",I245&lt;&gt;""NY"",I245&lt;&gt;""NC"",I245&lt;&gt;""ND"",I245&lt;&gt;""OH"",I245&lt;&gt;""OK"",I245&lt;&gt;""OR"",I"&amp;"245&lt;&gt;""PA"",I245&lt;&gt;""RI"",I245&lt;&gt;""SC"",I245&lt;&gt;""SD"",I245&lt;&gt;""TN"",I245&lt;&gt;""TX"",I245&lt;&gt;""UT"",I245&lt;&gt;""VT"",I245&lt;&gt;""VA"",I245&lt;&gt;""WA"",I245&lt;&gt;""WV"",I245&lt;&gt;""WI"",I245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St"&amp;"ateInternational'!$G$2:$G$121&lt;&gt;"""")},2,0)),IF(L245=10,ArrayFormula(VLOOKUP(QUERY(UNIQUE(RANDBETWEEN(ROW(INDIRECT(""A1:A""&amp;COUNTA('Leaving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5" s="13">
        <f t="shared" ca="1" si="10"/>
        <v>2</v>
      </c>
      <c r="O245" s="13" t="b">
        <f>ISNUMBER(MATCH(C245,'Top 250 HS'!C:C,0))</f>
        <v>0</v>
      </c>
      <c r="P245" s="13" t="str">
        <f ca="1">IFERROR(__xludf.DUMMYFUNCTION("SORTN(FILTER('Top 250 HS'!B:B,'Top 250 HS'!C:C=I245),1,0,randarray(COUNTA(FILTER('Top 250 HS'!B:B,'Top 250 HS'!C:C=I245)),1),TRUE)"),"St. Benedict's Prep (Newark)")</f>
        <v>St. Benedict's Prep (Newark)</v>
      </c>
      <c r="Q245" s="13" t="b">
        <f>ISNUMBER(MATCH("*"&amp;E245&amp;"*",'Top 1500 HS LatitudeLongitude'!G:G,0))</f>
        <v>0</v>
      </c>
      <c r="R245" s="13" t="str">
        <f ca="1">IFERROR(__xludf.DUMMYFUNCTION("IFS(L245=10,"""",Q245=false,"""",N245=5,"""",Q245=true,SORTN(FILTER('Top 1500 HS LatitudeLongitude'!B:B,'Top 1500 HS LatitudeLongitude'!C:C=I245,'Top 1500 HS LatitudeLongitude'!E:E=H245),1,0,randarray(COUNTA(FILTER('Top 1500 HS LatitudeLongitude'!B:B,'Top"&amp;" 1500 HS LatitudeLongitude'!C:C=I245,'Top 1500 HS LatitudeLongitude'!E:E=H245)),1),TRUE)
)"),"")</f>
        <v/>
      </c>
      <c r="S245" s="13" t="b">
        <f>ISNUMBER(MATCH("*"&amp;H:H&amp;"*",'Public Schools'!C:C,0))</f>
        <v>1</v>
      </c>
      <c r="T245" s="13" t="str">
        <f ca="1">IFERROR(__xludf.DUMMYFUNCTION("IFERROR(IF(AND(R245="""",S245=true), SORTN(FILTER('Public Schools'!A:A,'Public Schools'!B:B=J245,'Public Schools'!C:C=H245),1,0,randarray(COUNTA(FILTER('Public Schools'!A:A,'Public Schools'!B:B=J245,'Public Schools'!C:C=H245)),1),TRUE),""""),"""")"),"High School Point Regional High School District")</f>
        <v>High School Point Regional High School District</v>
      </c>
      <c r="U245" s="23" t="str">
        <f t="array" aca="1" ref="U245" ca="1">IF(AND(R245="",T245=""),INDEX('Top 1500 HS LatitudeLongitude'!B$2:B$1501,MATCH(MIN(SQRT(('Top 1500 HS LatitudeLongitude'!H$2:H$1501-F245)^2+('Top 1500 HS LatitudeLongitude'!I$2:I$1501-G245)^2)),SQRT( ('Top 1500 HS LatitudeLongitude'!H$2:H$1501-F245)^2+('Top 1500 HS LatitudeLongitude'!I$2:I$1501-G245)^2),0),1),"")</f>
        <v/>
      </c>
    </row>
    <row r="246" spans="2:21" ht="15.6">
      <c r="B246" s="8">
        <v>0.60905319599999996</v>
      </c>
      <c r="C246" s="9" t="s">
        <v>264</v>
      </c>
      <c r="D246" s="9" t="s">
        <v>451</v>
      </c>
      <c r="E246" s="120" t="s">
        <v>9240</v>
      </c>
      <c r="F246" s="8">
        <v>40.077199999999998</v>
      </c>
      <c r="G246" s="8">
        <v>-74.0702</v>
      </c>
      <c r="H246" s="3" t="str">
        <f t="shared" si="0"/>
        <v>Salem</v>
      </c>
      <c r="I246" s="3" t="str">
        <f t="shared" si="1"/>
        <v>OR</v>
      </c>
      <c r="J246" s="3" t="str">
        <f t="array" ref="J246">INDEX('State Abbreviations'!$B$2:$B$52,MATCH(I246,'State Abbreviations'!$A$2:$A$52,0))</f>
        <v>Oregon</v>
      </c>
      <c r="K246" s="119" t="e">
        <f t="shared" ca="1" si="2"/>
        <v>#NAME?</v>
      </c>
      <c r="L246" s="13">
        <f t="shared" ca="1" si="11"/>
        <v>7</v>
      </c>
      <c r="M246" s="13" t="str">
        <f ca="1">IFERROR(__xludf.DUMMYFUNCTION("IF(AND(L246&gt;5,I246&lt;&gt;""AL"",I246&lt;&gt;""AK"",I246&lt;&gt;""AZ"",I246&lt;&gt;""AR"",I246&lt;&gt;""CA"",I246&lt;&gt;""CO"",I246&lt;&gt;""CT"",I246&lt;&gt;""DE"",I246&lt;&gt;""DC"",I246&lt;&gt;""FL"",I246&lt;&gt;""GA"",I246&lt;&gt;""HI"",I246&lt;&gt;""ID"",I246&lt;&gt;""IL"",I246&lt;&gt;""IN"",I246&lt;&gt;""IA"",I246&lt;&gt;""KS"",I246&lt;&gt;""KY"",I246&lt;&gt;"&amp;"""LA"",I246&lt;&gt;""ME"",I246&lt;&gt;""MD"",I246&lt;&gt;""MA"",I246&lt;&gt;""MI"",I246&lt;&gt;""MN"",I246&lt;&gt;""MS"",I246&lt;&gt;""MO"",I246&lt;&gt;""MT"",I246&lt;&gt;""NE"",I246&lt;&gt;""NV"",I246&lt;&gt;""NH"",I246&lt;&gt;""NJ"",I246&lt;&gt;""NM"",I246&lt;&gt;""NY"",I246&lt;&gt;""NC"",I246&lt;&gt;""ND"",I246&lt;&gt;""OH"",I246&lt;&gt;""OK"",I246&lt;&gt;""OR"",I"&amp;"246&lt;&gt;""PA"",I246&lt;&gt;""RI"",I246&lt;&gt;""SC"",I246&lt;&gt;""SD"",I246&lt;&gt;""TN"",I246&lt;&gt;""TX"",I246&lt;&gt;""UT"",I246&lt;&gt;""VT"",I246&lt;&gt;""VA"",I246&lt;&gt;""WA"",I246&lt;&gt;""WV"",I246&lt;&gt;""WI"",I246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St"&amp;"ateInternational'!$G$2:$G$121&lt;&gt;"""")},2,0)),IF(L246=10,ArrayFormula(VLOOKUP(QUERY(UNIQUE(RANDBETWEEN(ROW(INDIRECT(""A1:A""&amp;COUNTA('Leaving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6" s="13">
        <f t="shared" ca="1" si="10"/>
        <v>8</v>
      </c>
      <c r="O246" s="13" t="b">
        <f>ISNUMBER(MATCH(C246,'Top 250 HS'!C:C,0))</f>
        <v>0</v>
      </c>
      <c r="P246" s="13" t="str">
        <f ca="1">IFERROR(__xludf.DUMMYFUNCTION("SORTN(FILTER('Top 250 HS'!B:B,'Top 250 HS'!C:C=I246),1,0,randarray(COUNTA(FILTER('Top 250 HS'!B:B,'Top 250 HS'!C:C=I246)),1),TRUE)"),"Churchill (Eugene)")</f>
        <v>Churchill (Eugene)</v>
      </c>
      <c r="Q246" s="13" t="b">
        <f>ISNUMBER(MATCH("*"&amp;E246&amp;"*",'Top 1500 HS LatitudeLongitude'!G:G,0))</f>
        <v>1</v>
      </c>
      <c r="R246" s="13" t="str">
        <f ca="1">IFERROR(__xludf.DUMMYFUNCTION("IFS(L246=10,"""",Q246=false,"""",N246=5,"""",Q246=true,SORTN(FILTER('Top 1500 HS LatitudeLongitude'!B:B,'Top 1500 HS LatitudeLongitude'!C:C=I246,'Top 1500 HS LatitudeLongitude'!E:E=H246),1,0,randarray(COUNTA(FILTER('Top 1500 HS LatitudeLongitude'!B:B,'Top"&amp;" 1500 HS LatitudeLongitude'!C:C=I246,'Top 1500 HS LatitudeLongitude'!E:E=H246)),1),TRUE)
)"),"South Salem (Salem)")</f>
        <v>South Salem (Salem)</v>
      </c>
      <c r="S246" s="13" t="b">
        <f>ISNUMBER(MATCH("*"&amp;H:H&amp;"*",'Public Schools'!C:C,0))</f>
        <v>1</v>
      </c>
      <c r="T246" s="13" t="str">
        <f ca="1">IFERROR(__xludf.DUMMYFUNCTION("IFERROR(IF(AND(R246="""",S246=true), SORTN(FILTER('Public Schools'!A:A,'Public Schools'!B:B=J246,'Public Schools'!C:C=H246),1,0,randarray(COUNTA(FILTER('Public Schools'!A:A,'Public Schools'!B:B=J246,'Public Schools'!C:C=H246)),1),TRUE),""""),"""")"),"")</f>
        <v/>
      </c>
      <c r="U246" s="23" t="str">
        <f t="array" aca="1" ref="U246" ca="1">IF(AND(R246="",T246=""),INDEX('Top 1500 HS LatitudeLongitude'!B$2:B$1501,MATCH(MIN(SQRT(('Top 1500 HS LatitudeLongitude'!H$2:H$1501-F246)^2+('Top 1500 HS LatitudeLongitude'!I$2:I$1501-G246)^2)),SQRT( ('Top 1500 HS LatitudeLongitude'!H$2:H$1501-F246)^2+('Top 1500 HS LatitudeLongitude'!I$2:I$1501-G246)^2),0),1),"")</f>
        <v/>
      </c>
    </row>
    <row r="247" spans="2:21" ht="15.6">
      <c r="B247" s="8">
        <v>0.24891162529999999</v>
      </c>
      <c r="C247" s="9" t="s">
        <v>47</v>
      </c>
      <c r="D247" s="9" t="s">
        <v>452</v>
      </c>
      <c r="E247" s="37" t="s">
        <v>9300</v>
      </c>
      <c r="F247" s="8">
        <v>33.620899999999999</v>
      </c>
      <c r="G247" s="8">
        <v>-84.359200000000001</v>
      </c>
      <c r="H247" s="3" t="str">
        <f t="shared" si="0"/>
        <v>Livermore</v>
      </c>
      <c r="I247" s="3" t="str">
        <f t="shared" si="1"/>
        <v>CA</v>
      </c>
      <c r="J247" s="3" t="str">
        <f t="array" ref="J247">INDEX('State Abbreviations'!$B$2:$B$52,MATCH(I247,'State Abbreviations'!$A$2:$A$52,0))</f>
        <v>California</v>
      </c>
      <c r="K247" s="119" t="e">
        <f t="shared" ca="1" si="2"/>
        <v>#NAME?</v>
      </c>
      <c r="L247" s="13">
        <f t="shared" ca="1" si="11"/>
        <v>4</v>
      </c>
      <c r="M247" s="13" t="str">
        <f ca="1">IFERROR(__xludf.DUMMYFUNCTION("IF(AND(L247&gt;5,I247&lt;&gt;""AL"",I247&lt;&gt;""AK"",I247&lt;&gt;""AZ"",I247&lt;&gt;""AR"",I247&lt;&gt;""CA"",I247&lt;&gt;""CO"",I247&lt;&gt;""CT"",I247&lt;&gt;""DE"",I247&lt;&gt;""DC"",I247&lt;&gt;""FL"",I247&lt;&gt;""GA"",I247&lt;&gt;""HI"",I247&lt;&gt;""ID"",I247&lt;&gt;""IL"",I247&lt;&gt;""IN"",I247&lt;&gt;""IA"",I247&lt;&gt;""KS"",I247&lt;&gt;""KY"",I247&lt;&gt;"&amp;"""LA"",I247&lt;&gt;""ME"",I247&lt;&gt;""MD"",I247&lt;&gt;""MA"",I247&lt;&gt;""MI"",I247&lt;&gt;""MN"",I247&lt;&gt;""MS"",I247&lt;&gt;""MO"",I247&lt;&gt;""MT"",I247&lt;&gt;""NE"",I247&lt;&gt;""NV"",I247&lt;&gt;""NH"",I247&lt;&gt;""NJ"",I247&lt;&gt;""NM"",I247&lt;&gt;""NY"",I247&lt;&gt;""NC"",I247&lt;&gt;""ND"",I247&lt;&gt;""OH"",I247&lt;&gt;""OK"",I247&lt;&gt;""OR"",I"&amp;"247&lt;&gt;""PA"",I247&lt;&gt;""RI"",I247&lt;&gt;""SC"",I247&lt;&gt;""SD"",I247&lt;&gt;""TN"",I247&lt;&gt;""TX"",I247&lt;&gt;""UT"",I247&lt;&gt;""VT"",I247&lt;&gt;""VA"",I247&lt;&gt;""WA"",I247&lt;&gt;""WV"",I247&lt;&gt;""WI"",I247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St"&amp;"ateInternational'!$G$2:$G$121&lt;&gt;"""")},2,0)),IF(L247=10,ArrayFormula(VLOOKUP(QUERY(UNIQUE(RANDBETWEEN(ROW(INDIRECT(""A1:A""&amp;COUNTA('Leaving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7" s="13">
        <f t="shared" ca="1" si="10"/>
        <v>7</v>
      </c>
      <c r="O247" s="13" t="b">
        <f>ISNUMBER(MATCH(C247,'Top 250 HS'!C:C,0))</f>
        <v>0</v>
      </c>
      <c r="P247" s="13" t="str">
        <f ca="1">IFERROR(__xludf.DUMMYFUNCTION("SORTN(FILTER('Top 250 HS'!B:B,'Top 250 HS'!C:C=I247),1,0,randarray(COUNTA(FILTER('Top 250 HS'!B:B,'Top 250 HS'!C:C=I247)),1),TRUE)"),"Dublin")</f>
        <v>Dublin</v>
      </c>
      <c r="Q247" s="13" t="b">
        <f>ISNUMBER(MATCH("*"&amp;E247&amp;"*",'Top 1500 HS LatitudeLongitude'!G:G,0))</f>
        <v>1</v>
      </c>
      <c r="R247" s="13" t="str">
        <f ca="1">IFERROR(__xludf.DUMMYFUNCTION("IFS(L247=10,"""",Q247=false,"""",N247=5,"""",Q247=true,SORTN(FILTER('Top 1500 HS LatitudeLongitude'!B:B,'Top 1500 HS LatitudeLongitude'!C:C=I247,'Top 1500 HS LatitudeLongitude'!E:E=H247),1,0,randarray(COUNTA(FILTER('Top 1500 HS LatitudeLongitude'!B:B,'Top"&amp;" 1500 HS LatitudeLongitude'!C:C=I247,'Top 1500 HS LatitudeLongitude'!E:E=H247)),1),TRUE)
)"),"Granada (Livermore)")</f>
        <v>Granada (Livermore)</v>
      </c>
      <c r="S247" s="13" t="b">
        <f>ISNUMBER(MATCH("*"&amp;H:H&amp;"*",'Public Schools'!C:C,0))</f>
        <v>1</v>
      </c>
      <c r="T247" s="13" t="str">
        <f ca="1">IFERROR(__xludf.DUMMYFUNCTION("IFERROR(IF(AND(R247="""",S247=true), SORTN(FILTER('Public Schools'!A:A,'Public Schools'!B:B=J247,'Public Schools'!C:C=H247),1,0,randarray(COUNTA(FILTER('Public Schools'!A:A,'Public Schools'!B:B=J247,'Public Schools'!C:C=H247)),1),TRUE),""""),"""")"),"")</f>
        <v/>
      </c>
      <c r="U247" s="23" t="str">
        <f t="array" aca="1" ref="U247" ca="1">IF(AND(R247="",T247=""),INDEX('Top 1500 HS LatitudeLongitude'!B$2:B$1501,MATCH(MIN(SQRT(('Top 1500 HS LatitudeLongitude'!H$2:H$1501-F247)^2+('Top 1500 HS LatitudeLongitude'!I$2:I$1501-G247)^2)),SQRT( ('Top 1500 HS LatitudeLongitude'!H$2:H$1501-F247)^2+('Top 1500 HS LatitudeLongitude'!I$2:I$1501-G247)^2),0),1),"")</f>
        <v/>
      </c>
    </row>
    <row r="248" spans="2:21" ht="15.6">
      <c r="B248" s="8">
        <v>8.2399319659999998E-2</v>
      </c>
      <c r="C248" s="9" t="s">
        <v>453</v>
      </c>
      <c r="D248" s="9" t="s">
        <v>454</v>
      </c>
      <c r="E248" s="120" t="s">
        <v>9339</v>
      </c>
      <c r="F248" s="8">
        <v>34.4285</v>
      </c>
      <c r="G248" s="8">
        <v>-119.72020000000001</v>
      </c>
      <c r="H248" s="3" t="str">
        <f t="shared" si="0"/>
        <v>Park Hill</v>
      </c>
      <c r="I248" s="3" t="str">
        <f t="shared" si="1"/>
        <v>OK</v>
      </c>
      <c r="J248" s="3" t="str">
        <f t="array" ref="J248">INDEX('State Abbreviations'!$B$2:$B$52,MATCH(I248,'State Abbreviations'!$A$2:$A$52,0))</f>
        <v>Oklahoma</v>
      </c>
      <c r="K248" s="119" t="e">
        <f t="shared" ca="1" si="2"/>
        <v>#NAME?</v>
      </c>
      <c r="L248" s="13">
        <f t="shared" ca="1" si="11"/>
        <v>16</v>
      </c>
      <c r="M248" s="13" t="str">
        <f ca="1">IFERROR(__xludf.DUMMYFUNCTION("IF(AND(L248&gt;5,I248&lt;&gt;""AL"",I248&lt;&gt;""AK"",I248&lt;&gt;""AZ"",I248&lt;&gt;""AR"",I248&lt;&gt;""CA"",I248&lt;&gt;""CO"",I248&lt;&gt;""CT"",I248&lt;&gt;""DE"",I248&lt;&gt;""DC"",I248&lt;&gt;""FL"",I248&lt;&gt;""GA"",I248&lt;&gt;""HI"",I248&lt;&gt;""ID"",I248&lt;&gt;""IL"",I248&lt;&gt;""IN"",I248&lt;&gt;""IA"",I248&lt;&gt;""KS"",I248&lt;&gt;""KY"",I248&lt;&gt;"&amp;"""LA"",I248&lt;&gt;""ME"",I248&lt;&gt;""MD"",I248&lt;&gt;""MA"",I248&lt;&gt;""MI"",I248&lt;&gt;""MN"",I248&lt;&gt;""MS"",I248&lt;&gt;""MO"",I248&lt;&gt;""MT"",I248&lt;&gt;""NE"",I248&lt;&gt;""NV"",I248&lt;&gt;""NH"",I248&lt;&gt;""NJ"",I248&lt;&gt;""NM"",I248&lt;&gt;""NY"",I248&lt;&gt;""NC"",I248&lt;&gt;""ND"",I248&lt;&gt;""OH"",I248&lt;&gt;""OK"",I248&lt;&gt;""OR"",I"&amp;"248&lt;&gt;""PA"",I248&lt;&gt;""RI"",I248&lt;&gt;""SC"",I248&lt;&gt;""SD"",I248&lt;&gt;""TN"",I248&lt;&gt;""TX"",I248&lt;&gt;""UT"",I248&lt;&gt;""VT"",I248&lt;&gt;""VA"",I248&lt;&gt;""WA"",I248&lt;&gt;""WV"",I248&lt;&gt;""WI"",I248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St"&amp;"ateInternational'!$G$2:$G$121&lt;&gt;"""")},2,0)),IF(L248=10,ArrayFormula(VLOOKUP(QUERY(UNIQUE(RANDBETWEEN(ROW(INDIRECT(""A1:A""&amp;COUNTA('Leaving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8" s="13">
        <f t="shared" ca="1" si="10"/>
        <v>8</v>
      </c>
      <c r="O248" s="13" t="b">
        <f>ISNUMBER(MATCH(C248,'Top 250 HS'!C:C,0))</f>
        <v>0</v>
      </c>
      <c r="P248" s="13" t="str">
        <f ca="1">IFERROR(__xludf.DUMMYFUNCTION("SORTN(FILTER('Top 250 HS'!B:B,'Top 250 HS'!C:C=I248),1,0,randarray(COUNTA(FILTER('Top 250 HS'!B:B,'Top 250 HS'!C:C=I248)),1),TRUE)"),"Washington (Tulsa)")</f>
        <v>Washington (Tulsa)</v>
      </c>
      <c r="Q248" s="13" t="b">
        <f>ISNUMBER(MATCH("*"&amp;E248&amp;"*",'Top 1500 HS LatitudeLongitude'!G:G,0))</f>
        <v>0</v>
      </c>
      <c r="R248" s="13" t="str">
        <f ca="1">IFERROR(__xludf.DUMMYFUNCTION("IFS(L248=10,"""",Q248=false,"""",N248=5,"""",Q248=true,SORTN(FILTER('Top 1500 HS LatitudeLongitude'!B:B,'Top 1500 HS LatitudeLongitude'!C:C=I248,'Top 1500 HS LatitudeLongitude'!E:E=H248),1,0,randarray(COUNTA(FILTER('Top 1500 HS LatitudeLongitude'!B:B,'Top"&amp;" 1500 HS LatitudeLongitude'!C:C=I248,'Top 1500 HS LatitudeLongitude'!E:E=H248)),1),TRUE)
)"),"")</f>
        <v/>
      </c>
      <c r="S248" s="13" t="b">
        <f>ISNUMBER(MATCH("*"&amp;H:H&amp;"*",'Public Schools'!C:C,0))</f>
        <v>1</v>
      </c>
      <c r="T248" s="13" t="str">
        <f ca="1">IFERROR(__xludf.DUMMYFUNCTION("IFERROR(IF(AND(R248="""",S248=true), SORTN(FILTER('Public Schools'!A:A,'Public Schools'!B:B=J248,'Public Schools'!C:C=H248),1,0,randarray(COUNTA(FILTER('Public Schools'!A:A,'Public Schools'!B:B=J248,'Public Schools'!C:C=H248)),1),TRUE),""""),"""")"),"Keys High School")</f>
        <v>Keys High School</v>
      </c>
      <c r="U248" s="23" t="str">
        <f t="array" aca="1" ref="U248" ca="1">IF(AND(R248="",T248=""),INDEX('Top 1500 HS LatitudeLongitude'!B$2:B$1501,MATCH(MIN(SQRT(('Top 1500 HS LatitudeLongitude'!H$2:H$1501-F248)^2+('Top 1500 HS LatitudeLongitude'!I$2:I$1501-G248)^2)),SQRT( ('Top 1500 HS LatitudeLongitude'!H$2:H$1501-F248)^2+('Top 1500 HS LatitudeLongitude'!I$2:I$1501-G248)^2),0),1),"")</f>
        <v/>
      </c>
    </row>
    <row r="249" spans="2:21" ht="15.6">
      <c r="B249" s="8">
        <v>3.979927204E-2</v>
      </c>
      <c r="C249" s="9" t="s">
        <v>235</v>
      </c>
      <c r="D249" s="9" t="s">
        <v>455</v>
      </c>
      <c r="E249" s="37" t="s">
        <v>9382</v>
      </c>
      <c r="F249" s="8">
        <v>33.680199999999999</v>
      </c>
      <c r="G249" s="8">
        <v>-112.4525</v>
      </c>
      <c r="H249" s="3" t="str">
        <f t="shared" si="0"/>
        <v>Mandeville</v>
      </c>
      <c r="I249" s="3" t="str">
        <f t="shared" si="1"/>
        <v>LA</v>
      </c>
      <c r="J249" s="3" t="str">
        <f t="array" ref="J249">INDEX('State Abbreviations'!$B$2:$B$52,MATCH(I249,'State Abbreviations'!$A$2:$A$52,0))</f>
        <v>Louisiana</v>
      </c>
      <c r="K249" s="119" t="e">
        <f t="shared" ca="1" si="2"/>
        <v>#NAME?</v>
      </c>
      <c r="L249" s="13">
        <f t="shared" ca="1" si="11"/>
        <v>30</v>
      </c>
      <c r="M249" s="13" t="str">
        <f ca="1">IFERROR(__xludf.DUMMYFUNCTION("IF(AND(L249&gt;5,I249&lt;&gt;""AL"",I249&lt;&gt;""AK"",I249&lt;&gt;""AZ"",I249&lt;&gt;""AR"",I249&lt;&gt;""CA"",I249&lt;&gt;""CO"",I249&lt;&gt;""CT"",I249&lt;&gt;""DE"",I249&lt;&gt;""DC"",I249&lt;&gt;""FL"",I249&lt;&gt;""GA"",I249&lt;&gt;""HI"",I249&lt;&gt;""ID"",I249&lt;&gt;""IL"",I249&lt;&gt;""IN"",I249&lt;&gt;""IA"",I249&lt;&gt;""KS"",I249&lt;&gt;""KY"",I249&lt;&gt;"&amp;"""LA"",I249&lt;&gt;""ME"",I249&lt;&gt;""MD"",I249&lt;&gt;""MA"",I249&lt;&gt;""MI"",I249&lt;&gt;""MN"",I249&lt;&gt;""MS"",I249&lt;&gt;""MO"",I249&lt;&gt;""MT"",I249&lt;&gt;""NE"",I249&lt;&gt;""NV"",I249&lt;&gt;""NH"",I249&lt;&gt;""NJ"",I249&lt;&gt;""NM"",I249&lt;&gt;""NY"",I249&lt;&gt;""NC"",I249&lt;&gt;""ND"",I249&lt;&gt;""OH"",I249&lt;&gt;""OK"",I249&lt;&gt;""OR"",I"&amp;"249&lt;&gt;""PA"",I249&lt;&gt;""RI"",I249&lt;&gt;""SC"",I249&lt;&gt;""SD"",I249&lt;&gt;""TN"",I249&lt;&gt;""TX"",I249&lt;&gt;""UT"",I249&lt;&gt;""VT"",I249&lt;&gt;""VA"",I249&lt;&gt;""WA"",I249&lt;&gt;""WV"",I249&lt;&gt;""WI"",I249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St"&amp;"ateInternational'!$G$2:$G$121&lt;&gt;"""")},2,0)),IF(L249=10,ArrayFormula(VLOOKUP(QUERY(UNIQUE(RANDBETWEEN(ROW(INDIRECT(""A1:A""&amp;COUNTA('Leaving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49" s="13">
        <f t="shared" ca="1" si="10"/>
        <v>1</v>
      </c>
      <c r="O249" s="13" t="b">
        <f>ISNUMBER(MATCH(C249,'Top 250 HS'!C:C,0))</f>
        <v>0</v>
      </c>
      <c r="P249" s="13" t="str">
        <f ca="1">IFERROR(__xludf.DUMMYFUNCTION("SORTN(FILTER('Top 250 HS'!B:B,'Top 250 HS'!C:C=I249),1,0,randarray(COUNTA(FILTER('Top 250 HS'!B:B,'Top 250 HS'!C:C=I249)),1),TRUE)"),"Scotlandville (Baton Rouge)")</f>
        <v>Scotlandville (Baton Rouge)</v>
      </c>
      <c r="Q249" s="13" t="b">
        <f>ISNUMBER(MATCH("*"&amp;E249&amp;"*",'Top 1500 HS LatitudeLongitude'!G:G,0))</f>
        <v>0</v>
      </c>
      <c r="R249" s="13" t="str">
        <f ca="1">IFERROR(__xludf.DUMMYFUNCTION("IFS(L249=10,"""",Q249=false,"""",N249=5,"""",Q249=true,SORTN(FILTER('Top 1500 HS LatitudeLongitude'!B:B,'Top 1500 HS LatitudeLongitude'!C:C=I249,'Top 1500 HS LatitudeLongitude'!E:E=H249),1,0,randarray(COUNTA(FILTER('Top 1500 HS LatitudeLongitude'!B:B,'Top"&amp;" 1500 HS LatitudeLongitude'!C:C=I249,'Top 1500 HS LatitudeLongitude'!E:E=H249)),1),TRUE)
)"),"")</f>
        <v/>
      </c>
      <c r="S249" s="13" t="b">
        <f>ISNUMBER(MATCH("*"&amp;H:H&amp;"*",'Public Schools'!C:C,0))</f>
        <v>1</v>
      </c>
      <c r="T249" s="13" t="str">
        <f ca="1">IFERROR(__xludf.DUMMYFUNCTION("IFERROR(IF(AND(R249="""",S249=true), SORTN(FILTER('Public Schools'!A:A,'Public Schools'!B:B=J249,'Public Schools'!C:C=H249),1,0,randarray(COUNTA(FILTER('Public Schools'!A:A,'Public Schools'!B:B=J249,'Public Schools'!C:C=H249)),1),TRUE),""""),"""")"),"Fontainebleau High School")</f>
        <v>Fontainebleau High School</v>
      </c>
      <c r="U249" s="23" t="str">
        <f t="array" aca="1" ref="U249" ca="1">IF(AND(R249="",T249=""),INDEX('Top 1500 HS LatitudeLongitude'!B$2:B$1501,MATCH(MIN(SQRT(('Top 1500 HS LatitudeLongitude'!H$2:H$1501-F249)^2+('Top 1500 HS LatitudeLongitude'!I$2:I$1501-G249)^2)),SQRT( ('Top 1500 HS LatitudeLongitude'!H$2:H$1501-F249)^2+('Top 1500 HS LatitudeLongitude'!I$2:I$1501-G249)^2),0),1),"")</f>
        <v/>
      </c>
    </row>
    <row r="250" spans="2:21" ht="15.6">
      <c r="B250" s="8">
        <v>0.2300061971</v>
      </c>
      <c r="C250" s="9" t="s">
        <v>456</v>
      </c>
      <c r="D250" s="9" t="s">
        <v>457</v>
      </c>
      <c r="E250" s="120" t="s">
        <v>9420</v>
      </c>
      <c r="F250" s="8">
        <v>34.039099999999998</v>
      </c>
      <c r="G250" s="8">
        <v>-84.351299999999995</v>
      </c>
      <c r="H250" s="3" t="str">
        <f t="shared" si="0"/>
        <v>Dodge City</v>
      </c>
      <c r="I250" s="3" t="str">
        <f t="shared" si="1"/>
        <v>KS</v>
      </c>
      <c r="J250" s="3" t="str">
        <f t="array" ref="J250">INDEX('State Abbreviations'!$B$2:$B$52,MATCH(I250,'State Abbreviations'!$A$2:$A$52,0))</f>
        <v>Kansas</v>
      </c>
      <c r="K250" s="119" t="e">
        <f t="shared" ca="1" si="2"/>
        <v>#NAME?</v>
      </c>
      <c r="L250" s="13">
        <f t="shared" ca="1" si="11"/>
        <v>29</v>
      </c>
      <c r="M250" s="13" t="str">
        <f ca="1">IFERROR(__xludf.DUMMYFUNCTION("IF(AND(L250&gt;5,I250&lt;&gt;""AL"",I250&lt;&gt;""AK"",I250&lt;&gt;""AZ"",I250&lt;&gt;""AR"",I250&lt;&gt;""CA"",I250&lt;&gt;""CO"",I250&lt;&gt;""CT"",I250&lt;&gt;""DE"",I250&lt;&gt;""DC"",I250&lt;&gt;""FL"",I250&lt;&gt;""GA"",I250&lt;&gt;""HI"",I250&lt;&gt;""ID"",I250&lt;&gt;""IL"",I250&lt;&gt;""IN"",I250&lt;&gt;""IA"",I250&lt;&gt;""KS"",I250&lt;&gt;""KY"",I250&lt;&gt;"&amp;"""LA"",I250&lt;&gt;""ME"",I250&lt;&gt;""MD"",I250&lt;&gt;""MA"",I250&lt;&gt;""MI"",I250&lt;&gt;""MN"",I250&lt;&gt;""MS"",I250&lt;&gt;""MO"",I250&lt;&gt;""MT"",I250&lt;&gt;""NE"",I250&lt;&gt;""NV"",I250&lt;&gt;""NH"",I250&lt;&gt;""NJ"",I250&lt;&gt;""NM"",I250&lt;&gt;""NY"",I250&lt;&gt;""NC"",I250&lt;&gt;""ND"",I250&lt;&gt;""OH"",I250&lt;&gt;""OK"",I250&lt;&gt;""OR"",I"&amp;"250&lt;&gt;""PA"",I250&lt;&gt;""RI"",I250&lt;&gt;""SC"",I250&lt;&gt;""SD"",I250&lt;&gt;""TN"",I250&lt;&gt;""TX"",I250&lt;&gt;""UT"",I250&lt;&gt;""VT"",I250&lt;&gt;""VA"",I250&lt;&gt;""WA"",I250&lt;&gt;""WV"",I250&lt;&gt;""WI"",I250&lt;&gt;""WY""),ArrayFormula(VLOOKUP(QUERY(UNIQUE(RANDBETWEEN(ROW(INDIRECT(""A1:A""&amp;COUNTA('Leaving th"&amp;"e StateInternational'!$G$2:$G$121)*10))^0,COUNTA('Leaving the StateInternational'!$G$2:$G$121))),""limit 1""),{ROW(INDIRECT(""A1:A""&amp;COUNTA('Leaving the StateInternational'!$G$2:$G$121))),FILTER('Leaving the StateInternational'!$G$2:$G$121,'Leaving the St"&amp;"ateInternational'!$G$2:$G$121&lt;&gt;"""")},2,0)),IF(L250=10,ArrayFormula(VLOOKUP(QUERY(UNIQUE(RANDBETWEEN(ROW(INDIRECT(""A1:A""&amp;COUNTA('Leaving the StateInternational'!$G$2:$G$121)*10))^0,COUNTA('Leaving the StateInternational'!$G$2:$G$121))),""limit 1""),{ROW"&amp;"(INDIRECT(""A1:A""&amp;COUNTA('Leaving the StateInternational'!$G$2:$G$121))),FILTER('Leaving the StateInternational'!$G$2:$G$121,'Leaving the StateInternational'!$G$2:$G$121&lt;&gt;"""")},2,0)),""""))"),"")</f>
        <v/>
      </c>
      <c r="N250" s="13">
        <f t="shared" ca="1" si="10"/>
        <v>6</v>
      </c>
      <c r="O250" s="13" t="b">
        <f>ISNUMBER(MATCH(C250,'Top 250 HS'!C:C,0))</f>
        <v>0</v>
      </c>
      <c r="P250" s="13" t="str">
        <f ca="1">IFERROR(__xludf.DUMMYFUNCTION("SORTN(FILTER('Top 250 HS'!B:B,'Top 250 HS'!C:C=I250),1,0,randarray(COUNTA(FILTER('Top 250 HS'!B:B,'Top 250 HS'!C:C=I250)),1),TRUE)"),"Sunrise Christian Academy (Bel Aire)")</f>
        <v>Sunrise Christian Academy (Bel Aire)</v>
      </c>
      <c r="Q250" s="13" t="b">
        <f>ISNUMBER(MATCH("*"&amp;E250&amp;"*",'Top 1500 HS LatitudeLongitude'!G:G,0))</f>
        <v>0</v>
      </c>
      <c r="R250" s="13" t="str">
        <f ca="1">IFERROR(__xludf.DUMMYFUNCTION("IFS(L250=10,"""",Q250=false,"""",N250=5,"""",Q250=true,SORTN(FILTER('Top 1500 HS LatitudeLongitude'!B:B,'Top 1500 HS LatitudeLongitude'!C:C=I250,'Top 1500 HS LatitudeLongitude'!E:E=H250),1,0,randarray(COUNTA(FILTER('Top 1500 HS LatitudeLongitude'!B:B,'Top"&amp;" 1500 HS LatitudeLongitude'!C:C=I250,'Top 1500 HS LatitudeLongitude'!E:E=H250)),1),TRUE)
)"),"")</f>
        <v/>
      </c>
      <c r="S250" s="13" t="b">
        <f>ISNUMBER(MATCH("*"&amp;H:H&amp;"*",'Public Schools'!C:C,0))</f>
        <v>1</v>
      </c>
      <c r="T250" s="13" t="str">
        <f ca="1">IFERROR(__xludf.DUMMYFUNCTION("IFERROR(IF(AND(R250="""",S250=true), SORTN(FILTER('Public Schools'!A:A,'Public Schools'!B:B=J250,'Public Schools'!C:C=H250),1,0,randarray(COUNTA(FILTER('Public Schools'!A:A,'Public Schools'!B:B=J250,'Public Schools'!C:C=H250)),1),TRUE),""""),"""")"),"Dodge City High School")</f>
        <v>Dodge City High School</v>
      </c>
      <c r="U250" s="23" t="str">
        <f t="array" aca="1" ref="U250" ca="1">IF(AND(R250="",T250=""),INDEX('Top 1500 HS LatitudeLongitude'!B$2:B$1501,MATCH(MIN(SQRT(('Top 1500 HS LatitudeLongitude'!H$2:H$1501-F250)^2+('Top 1500 HS LatitudeLongitude'!I$2:I$1501-G250)^2)),SQRT( ('Top 1500 HS LatitudeLongitude'!H$2:H$1501-F250)^2+('Top 1500 HS LatitudeLongitude'!I$2:I$1501-G250)^2),0),1),"")</f>
        <v/>
      </c>
    </row>
    <row r="251" spans="2:21" ht="15.6">
      <c r="B251" s="8">
        <v>0.71085189999999998</v>
      </c>
      <c r="C251" s="9" t="s">
        <v>316</v>
      </c>
      <c r="D251" s="9" t="s">
        <v>458</v>
      </c>
      <c r="E251" s="37" t="s">
        <v>9462</v>
      </c>
      <c r="F251" s="8">
        <v>39.8643</v>
      </c>
      <c r="G251" s="8">
        <v>-84.307100000000005</v>
      </c>
      <c r="H251" s="3" t="str">
        <f t="shared" si="0"/>
        <v>Pleasant Grove</v>
      </c>
      <c r="I251" s="3" t="str">
        <f t="shared" si="1"/>
        <v>UT</v>
      </c>
      <c r="J251" s="3" t="str">
        <f t="array" ref="J251">INDEX('State Abbreviations'!$B$2:$B$52,MATCH(I251,'State Abbreviations'!$A$2:$A$52,0))</f>
        <v>Utah</v>
      </c>
      <c r="K251" s="123" t="e">
        <f t="shared" ref="K251:K401" ca="1" si="12">IFS(L251=10,M251,AND(I251&lt;&gt;"AL",I251&lt;&gt;"AK",I251&lt;&gt;"AZ",I251&lt;&gt;"AR",I251&lt;&gt;"CA",I251&lt;&gt;"CO",I251&lt;&gt;"CT",I251&lt;&gt;"DE",I251&lt;&gt;"DC",I251&lt;&gt;"FL",I251&lt;&gt;"GA",I251&lt;&gt;"HI",I251&lt;&gt;"ID",I251&lt;&gt;"IL",I251&lt;&gt;"IN",I251&lt;&gt;"IA",I251&lt;&gt;"KS",I251&lt;&gt;"KY",I251&lt;&gt;"LA",I251&lt;&gt;"ME",I251&lt;&gt;"MD",I251&lt;&gt;"MA",I251&lt;&gt;"MI",I251&lt;&gt;"MN",I251&lt;&gt;"MS",I251&lt;&gt;"MO",I251&lt;&gt;"MT",I251&lt;&gt;"NE",I251&lt;&gt;"NV",I251&lt;&gt;"NH",I251&lt;&gt;"NJ",I251&lt;&gt;"NM",I251&lt;&gt;"NY",I251&lt;&gt;"NC",I251&lt;&gt;"ND",I251&lt;&gt;"OH",I251&lt;&gt;"OK",I251&lt;&gt;"OR",I251&lt;&gt;"PA",I251&lt;&gt;"RI",I251&lt;&gt;"SC",I251&lt;&gt;"SD",I251&lt;&gt;"TN",I251&lt;&gt;"TX",I251&lt;&gt;"UT",I251&lt;&gt;"VT",I251&lt;&gt;"VA",I251&lt;&gt;"WA",I251&lt;&gt;"WV",I251&lt;&gt;"WI",I251&lt;&gt;"WY"),M251,R251&lt;&gt;"",R251,T251&lt;&gt;"",T251,AND(R251="",T251=""),U251)</f>
        <v>#NAME?</v>
      </c>
      <c r="L251" s="13">
        <f t="shared" ref="L251:L401" ca="1" si="13">RANDBETWEEN(1,9)</f>
        <v>8</v>
      </c>
      <c r="M251" s="13" t="str">
        <f ca="1">IFERROR(__xludf.DUMMYFUNCTION("IF(L251=10,ArrayFormula(VLOOKUP(QUERY(UNIQUE(RANDBETWEEN(ROW(INDIRECT(""A1:A""&amp;COUNTA('Leaving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51" s="13">
        <f t="shared" ref="N251:N401" ca="1" si="14">RANDBETWEEN(1,4)</f>
        <v>3</v>
      </c>
      <c r="O251" s="13"/>
      <c r="P251" s="13"/>
      <c r="Q251" s="13" t="b">
        <f>ISNUMBER(MATCH("*"&amp;E251&amp;"*",'Top 1500 HS LatitudeLongitude'!G:G,0))</f>
        <v>1</v>
      </c>
      <c r="R251" s="13" t="str">
        <f ca="1">IFERROR(__xludf.DUMMYFUNCTION("IFS(L251=10,"""",Q251=false,"""",N251=5,"""",Q251=true,SORTN(FILTER('Top 1500 HS LatitudeLongitude'!B:B,'Top 1500 HS LatitudeLongitude'!C:C=I251,'Top 1500 HS LatitudeLongitude'!E:E=H251),1,0,randarray(COUNTA(FILTER('Top 1500 HS LatitudeLongitude'!B:B,'Top"&amp;" 1500 HS LatitudeLongitude'!C:C=I251,'Top 1500 HS LatitudeLongitude'!E:E=H251)),1),TRUE)
)"),"Pleasant Grove")</f>
        <v>Pleasant Grove</v>
      </c>
      <c r="S251" s="13" t="b">
        <f>ISNUMBER(MATCH("*"&amp;H:H&amp;"*",'Public Schools'!C:C,0))</f>
        <v>1</v>
      </c>
      <c r="T251" s="13" t="str">
        <f ca="1">IFERROR(__xludf.DUMMYFUNCTION("IFERROR(IF(AND(R251="""",S251=true), SORTN(FILTER('Public Schools'!A:A,'Public Schools'!B:B=J251,'Public Schools'!C:C=H251),1,0,randarray(COUNTA(FILTER('Public Schools'!A:A,'Public Schools'!B:B=J251,'Public Schools'!C:C=H251)),1),TRUE),""""),"""")"),"")</f>
        <v/>
      </c>
      <c r="U251" s="23" t="str">
        <f t="array" aca="1" ref="U251" ca="1">IF(AND(R251="",T251=""),INDEX('Top 1500 HS LatitudeLongitude'!B$2:B$1501,MATCH(MIN(SQRT(('Top 1500 HS LatitudeLongitude'!H$2:H$1501-F251)^2+('Top 1500 HS LatitudeLongitude'!I$2:I$1501-G251)^2)),SQRT( ('Top 1500 HS LatitudeLongitude'!H$2:H$1501-F251)^2+('Top 1500 HS LatitudeLongitude'!I$2:I$1501-G251)^2),0),1),"")</f>
        <v/>
      </c>
    </row>
    <row r="252" spans="2:21" ht="15.6">
      <c r="B252" s="8">
        <v>0.96652609629999997</v>
      </c>
      <c r="C252" s="9" t="s">
        <v>300</v>
      </c>
      <c r="D252" s="9" t="s">
        <v>459</v>
      </c>
      <c r="E252" s="124" t="s">
        <v>9511</v>
      </c>
      <c r="F252" s="8">
        <v>47.243099999999998</v>
      </c>
      <c r="G252" s="8">
        <v>-122.45310000000001</v>
      </c>
      <c r="H252" s="3" t="str">
        <f t="shared" si="0"/>
        <v>Milwaukee</v>
      </c>
      <c r="I252" s="3" t="str">
        <f t="shared" si="1"/>
        <v>WI</v>
      </c>
      <c r="J252" s="3" t="str">
        <f t="array" ref="J252">INDEX('State Abbreviations'!$B$2:$B$52,MATCH(I252,'State Abbreviations'!$A$2:$A$52,0))</f>
        <v>Wisconsin</v>
      </c>
      <c r="K252" s="123" t="e">
        <f t="shared" ca="1" si="12"/>
        <v>#NAME?</v>
      </c>
      <c r="L252" s="13">
        <f t="shared" ca="1" si="13"/>
        <v>2</v>
      </c>
      <c r="M252" s="13" t="str">
        <f ca="1">IFERROR(__xludf.DUMMYFUNCTION("IF(L252=10,ArrayFormula(VLOOKUP(QUERY(UNIQUE(RANDBETWEEN(ROW(INDIRECT(""A1:A""&amp;COUNTA('Leaving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52" s="13">
        <f t="shared" ca="1" si="14"/>
        <v>4</v>
      </c>
      <c r="O252" s="13"/>
      <c r="P252" s="13"/>
      <c r="Q252" s="13" t="b">
        <f>ISNUMBER(MATCH("*"&amp;E252&amp;"*",'Top 1500 HS LatitudeLongitude'!G:G,0))</f>
        <v>1</v>
      </c>
      <c r="R252" s="13" t="str">
        <f ca="1">IFERROR(__xludf.DUMMYFUNCTION("IFS(L252=10,"""",Q252=false,"""",N252=5,"""",Q252=true,SORTN(FILTER('Top 1500 HS LatitudeLongitude'!B:B,'Top 1500 HS LatitudeLongitude'!C:C=I252,'Top 1500 HS LatitudeLongitude'!E:E=H252),1,0,randarray(COUNTA(FILTER('Top 1500 HS LatitudeLongitude'!B:B,'Top"&amp;" 1500 HS LatitudeLongitude'!C:C=I252,'Top 1500 HS LatitudeLongitude'!E:E=H252)),1),TRUE)
)"),"Milwaukee Academy of Science (Milwaukee)")</f>
        <v>Milwaukee Academy of Science (Milwaukee)</v>
      </c>
      <c r="S252" s="13" t="b">
        <f>ISNUMBER(MATCH("*"&amp;H:H&amp;"*",'Public Schools'!C:C,0))</f>
        <v>1</v>
      </c>
      <c r="T252" s="13" t="str">
        <f ca="1">IFERROR(__xludf.DUMMYFUNCTION("IFERROR(IF(AND(R252="""",S252=true), SORTN(FILTER('Public Schools'!A:A,'Public Schools'!B:B=J252,'Public Schools'!C:C=H252),1,0,randarray(COUNTA(FILTER('Public Schools'!A:A,'Public Schools'!B:B=J252,'Public Schools'!C:C=H252)),1),TRUE),""""),"""")"),"")</f>
        <v/>
      </c>
      <c r="U252" s="23" t="str">
        <f t="array" aca="1" ref="U252" ca="1">IF(AND(R252="",T252=""),INDEX('Top 1500 HS LatitudeLongitude'!B$2:B$1501,MATCH(MIN(SQRT(('Top 1500 HS LatitudeLongitude'!H$2:H$1501-F252)^2+('Top 1500 HS LatitudeLongitude'!I$2:I$1501-G252)^2)),SQRT( ('Top 1500 HS LatitudeLongitude'!H$2:H$1501-F252)^2+('Top 1500 HS LatitudeLongitude'!I$2:I$1501-G252)^2),0),1),"")</f>
        <v/>
      </c>
    </row>
    <row r="253" spans="2:21" ht="15.6">
      <c r="B253" s="8">
        <v>0.27817632619999999</v>
      </c>
      <c r="C253" s="9" t="s">
        <v>94</v>
      </c>
      <c r="D253" s="9" t="s">
        <v>138</v>
      </c>
      <c r="E253" s="37" t="s">
        <v>139</v>
      </c>
      <c r="F253" s="8">
        <v>41.837299999999999</v>
      </c>
      <c r="G253" s="8">
        <v>-87.686099999999996</v>
      </c>
      <c r="H253" s="3" t="str">
        <f t="shared" si="0"/>
        <v>Columbus</v>
      </c>
      <c r="I253" s="3" t="str">
        <f t="shared" si="1"/>
        <v>OH</v>
      </c>
      <c r="J253" s="3" t="str">
        <f t="array" ref="J253">INDEX('State Abbreviations'!$B$2:$B$52,MATCH(I253,'State Abbreviations'!$A$2:$A$52,0))</f>
        <v>Ohio</v>
      </c>
      <c r="K253" s="123" t="e">
        <f t="shared" ca="1" si="12"/>
        <v>#NAME?</v>
      </c>
      <c r="L253" s="13">
        <f t="shared" ca="1" si="13"/>
        <v>8</v>
      </c>
      <c r="M253" s="13" t="str">
        <f ca="1">IFERROR(__xludf.DUMMYFUNCTION("IF(L253=10,ArrayFormula(VLOOKUP(QUERY(UNIQUE(RANDBETWEEN(ROW(INDIRECT(""A1:A""&amp;COUNTA('Leaving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53" s="13">
        <f t="shared" ca="1" si="14"/>
        <v>3</v>
      </c>
      <c r="O253" s="13"/>
      <c r="P253" s="13"/>
      <c r="Q253" s="13" t="b">
        <f>ISNUMBER(MATCH("*"&amp;E253&amp;"*",'Top 1500 HS LatitudeLongitude'!G:G,0))</f>
        <v>1</v>
      </c>
      <c r="R253" s="13" t="str">
        <f ca="1">IFERROR(__xludf.DUMMYFUNCTION("IFS(L253=10,"""",Q253=false,"""",N253=5,"""",Q253=true,SORTN(FILTER('Top 1500 HS LatitudeLongitude'!B:B,'Top 1500 HS LatitudeLongitude'!C:C=I253,'Top 1500 HS LatitudeLongitude'!E:E=H253),1,0,randarray(COUNTA(FILTER('Top 1500 HS LatitudeLongitude'!B:B,'Top"&amp;" 1500 HS LatitudeLongitude'!C:C=I253,'Top 1500 HS LatitudeLongitude'!E:E=H253)),1),TRUE)
)"),"St. Francis DeSales (Columbus)")</f>
        <v>St. Francis DeSales (Columbus)</v>
      </c>
      <c r="S253" s="13" t="b">
        <f>ISNUMBER(MATCH("*"&amp;H:H&amp;"*",'Public Schools'!C:C,0))</f>
        <v>1</v>
      </c>
      <c r="T253" s="13" t="str">
        <f ca="1">IFERROR(__xludf.DUMMYFUNCTION("IFERROR(IF(AND(R253="""",S253=true), SORTN(FILTER('Public Schools'!A:A,'Public Schools'!B:B=J253,'Public Schools'!C:C=H253),1,0,randarray(COUNTA(FILTER('Public Schools'!A:A,'Public Schools'!B:B=J253,'Public Schools'!C:C=H253)),1),TRUE),""""),"""")"),"")</f>
        <v/>
      </c>
      <c r="U253" s="23" t="str">
        <f t="array" aca="1" ref="U253" ca="1">IF(AND(R253="",T253=""),INDEX('Top 1500 HS LatitudeLongitude'!B$2:B$1501,MATCH(MIN(SQRT(('Top 1500 HS LatitudeLongitude'!H$2:H$1501-F253)^2+('Top 1500 HS LatitudeLongitude'!I$2:I$1501-G253)^2)),SQRT( ('Top 1500 HS LatitudeLongitude'!H$2:H$1501-F253)^2+('Top 1500 HS LatitudeLongitude'!I$2:I$1501-G253)^2),0),1),"")</f>
        <v/>
      </c>
    </row>
    <row r="254" spans="2:21" ht="15.6">
      <c r="B254" s="8">
        <v>0.97498251030000005</v>
      </c>
      <c r="C254" s="9" t="s">
        <v>215</v>
      </c>
      <c r="D254" s="9" t="s">
        <v>460</v>
      </c>
      <c r="E254" s="124" t="s">
        <v>9586</v>
      </c>
      <c r="F254" s="8">
        <v>47.366399999999999</v>
      </c>
      <c r="G254" s="8">
        <v>-122.03700000000001</v>
      </c>
      <c r="H254" s="3" t="str">
        <f t="shared" si="0"/>
        <v>Mc Connells</v>
      </c>
      <c r="I254" s="3" t="str">
        <f t="shared" si="1"/>
        <v>SC</v>
      </c>
      <c r="J254" s="3" t="str">
        <f t="array" ref="J254">INDEX('State Abbreviations'!$B$2:$B$52,MATCH(I254,'State Abbreviations'!$A$2:$A$52,0))</f>
        <v>South Carolina</v>
      </c>
      <c r="K254" s="123" t="e">
        <f t="shared" ca="1" si="12"/>
        <v>#NAME?</v>
      </c>
      <c r="L254" s="13">
        <f t="shared" ca="1" si="13"/>
        <v>2</v>
      </c>
      <c r="M254" s="13" t="str">
        <f ca="1">IFERROR(__xludf.DUMMYFUNCTION("IF(L254=10,ArrayFormula(VLOOKUP(QUERY(UNIQUE(RANDBETWEEN(ROW(INDIRECT(""A1:A""&amp;COUNTA('Leaving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54" s="13">
        <f t="shared" ca="1" si="14"/>
        <v>1</v>
      </c>
      <c r="O254" s="13"/>
      <c r="P254" s="13"/>
      <c r="Q254" s="13" t="b">
        <f>ISNUMBER(MATCH("*"&amp;E254&amp;"*",'Top 1500 HS LatitudeLongitude'!G:G,0))</f>
        <v>0</v>
      </c>
      <c r="R254" s="13" t="str">
        <f ca="1">IFERROR(__xludf.DUMMYFUNCTION("IFS(L254=10,"""",Q254=false,"""",N254=5,"""",Q254=true,SORTN(FILTER('Top 1500 HS LatitudeLongitude'!B:B,'Top 1500 HS LatitudeLongitude'!C:C=I254,'Top 1500 HS LatitudeLongitude'!E:E=H254),1,0,randarray(COUNTA(FILTER('Top 1500 HS LatitudeLongitude'!B:B,'Top"&amp;" 1500 HS LatitudeLongitude'!C:C=I254,'Top 1500 HS LatitudeLongitude'!E:E=H254)),1),TRUE)
)"),"")</f>
        <v/>
      </c>
      <c r="S254" s="13" t="b">
        <f>ISNUMBER(MATCH("*"&amp;H:H&amp;"*",'Public Schools'!C:C,0))</f>
        <v>0</v>
      </c>
      <c r="T254" s="13" t="str">
        <f ca="1">IFERROR(__xludf.DUMMYFUNCTION("IFERROR(IF(AND(R254="""",S254=true), SORTN(FILTER('Public Schools'!A:A,'Public Schools'!B:B=J254,'Public Schools'!C:C=H254),1,0,randarray(COUNTA(FILTER('Public Schools'!A:A,'Public Schools'!B:B=J254,'Public Schools'!C:C=H254)),1),TRUE),""""),"""")"),"")</f>
        <v/>
      </c>
      <c r="U254" s="23" t="str">
        <f t="array" aca="1" ref="U254" ca="1">IF(AND(R254="",T254=""),INDEX('Top 1500 HS LatitudeLongitude'!B$2:B$1501,MATCH(MIN(SQRT(('Top 1500 HS LatitudeLongitude'!H$2:H$1501-F254)^2+('Top 1500 HS LatitudeLongitude'!I$2:I$1501-G254)^2)),SQRT( ('Top 1500 HS LatitudeLongitude'!H$2:H$1501-F254)^2+('Top 1500 HS LatitudeLongitude'!I$2:I$1501-G254)^2),0),1),"")</f>
        <v>Eastside Catholic (Sammamish)</v>
      </c>
    </row>
    <row r="255" spans="2:21" ht="15.6">
      <c r="B255" s="8">
        <v>0.50117002420000001</v>
      </c>
      <c r="C255" s="9" t="s">
        <v>256</v>
      </c>
      <c r="D255" s="9" t="s">
        <v>278</v>
      </c>
      <c r="E255" s="37" t="s">
        <v>1432</v>
      </c>
      <c r="F255" s="8">
        <v>45.015500000000003</v>
      </c>
      <c r="G255" s="8">
        <v>-93.154399999999995</v>
      </c>
      <c r="H255" s="3" t="str">
        <f t="shared" si="0"/>
        <v>Murfreesboro</v>
      </c>
      <c r="I255" s="3" t="str">
        <f t="shared" si="1"/>
        <v>TN</v>
      </c>
      <c r="J255" s="3" t="str">
        <f t="array" ref="J255">INDEX('State Abbreviations'!$B$2:$B$52,MATCH(I255,'State Abbreviations'!$A$2:$A$52,0))</f>
        <v>Tennessee</v>
      </c>
      <c r="K255" s="123" t="e">
        <f t="shared" ca="1" si="12"/>
        <v>#NAME?</v>
      </c>
      <c r="L255" s="13">
        <f t="shared" ca="1" si="13"/>
        <v>6</v>
      </c>
      <c r="M255" s="13" t="str">
        <f ca="1">IFERROR(__xludf.DUMMYFUNCTION("IF(L255=10,ArrayFormula(VLOOKUP(QUERY(UNIQUE(RANDBETWEEN(ROW(INDIRECT(""A1:A""&amp;COUNTA('Leaving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55" s="13">
        <f t="shared" ca="1" si="14"/>
        <v>1</v>
      </c>
      <c r="O255" s="13"/>
      <c r="P255" s="13"/>
      <c r="Q255" s="13" t="b">
        <f>ISNUMBER(MATCH("*"&amp;E255&amp;"*",'Top 1500 HS LatitudeLongitude'!G:G,0))</f>
        <v>1</v>
      </c>
      <c r="R255" s="13" t="str">
        <f ca="1">IFERROR(__xludf.DUMMYFUNCTION("IFS(L255=10,"""",Q255=false,"""",N255=5,"""",Q255=true,SORTN(FILTER('Top 1500 HS LatitudeLongitude'!B:B,'Top 1500 HS LatitudeLongitude'!C:C=I255,'Top 1500 HS LatitudeLongitude'!E:E=H255),1,0,randarray(COUNTA(FILTER('Top 1500 HS LatitudeLongitude'!B:B,'Top"&amp;" 1500 HS LatitudeLongitude'!C:C=I255,'Top 1500 HS LatitudeLongitude'!E:E=H255)),1),TRUE)
)"),"Siegel (Murfreesboro)")</f>
        <v>Siegel (Murfreesboro)</v>
      </c>
      <c r="S255" s="13" t="b">
        <f>ISNUMBER(MATCH("*"&amp;H:H&amp;"*",'Public Schools'!C:C,0))</f>
        <v>1</v>
      </c>
      <c r="T255" s="13" t="str">
        <f ca="1">IFERROR(__xludf.DUMMYFUNCTION("IFERROR(IF(AND(R255="""",S255=true), SORTN(FILTER('Public Schools'!A:A,'Public Schools'!B:B=J255,'Public Schools'!C:C=H255),1,0,randarray(COUNTA(FILTER('Public Schools'!A:A,'Public Schools'!B:B=J255,'Public Schools'!C:C=H255)),1),TRUE),""""),"""")"),"")</f>
        <v/>
      </c>
      <c r="U255" s="23" t="str">
        <f t="array" aca="1" ref="U255" ca="1">IF(AND(R255="",T255=""),INDEX('Top 1500 HS LatitudeLongitude'!B$2:B$1501,MATCH(MIN(SQRT(('Top 1500 HS LatitudeLongitude'!H$2:H$1501-F255)^2+('Top 1500 HS LatitudeLongitude'!I$2:I$1501-G255)^2)),SQRT( ('Top 1500 HS LatitudeLongitude'!H$2:H$1501-F255)^2+('Top 1500 HS LatitudeLongitude'!I$2:I$1501-G255)^2),0),1),"")</f>
        <v/>
      </c>
    </row>
    <row r="256" spans="2:21" ht="15.6">
      <c r="B256" s="8">
        <v>0.57183374620000005</v>
      </c>
      <c r="C256" s="9" t="s">
        <v>243</v>
      </c>
      <c r="D256" s="9" t="s">
        <v>461</v>
      </c>
      <c r="E256" s="124" t="s">
        <v>9647</v>
      </c>
      <c r="F256" s="8">
        <v>35.311</v>
      </c>
      <c r="G256" s="8">
        <v>-78.613200000000006</v>
      </c>
      <c r="H256" s="3" t="str">
        <f t="shared" si="0"/>
        <v>Hostetter</v>
      </c>
      <c r="I256" s="3" t="str">
        <f t="shared" si="1"/>
        <v>PA</v>
      </c>
      <c r="J256" s="3" t="str">
        <f t="array" ref="J256">INDEX('State Abbreviations'!$B$2:$B$52,MATCH(I256,'State Abbreviations'!$A$2:$A$52,0))</f>
        <v>Pennsylvania</v>
      </c>
      <c r="K256" s="123" t="e">
        <f t="shared" ca="1" si="12"/>
        <v>#NAME?</v>
      </c>
      <c r="L256" s="13">
        <f t="shared" ca="1" si="13"/>
        <v>5</v>
      </c>
      <c r="M256" s="13" t="str">
        <f ca="1">IFERROR(__xludf.DUMMYFUNCTION("IF(L256=10,ArrayFormula(VLOOKUP(QUERY(UNIQUE(RANDBETWEEN(ROW(INDIRECT(""A1:A""&amp;COUNTA('Leaving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56" s="13">
        <f t="shared" ca="1" si="14"/>
        <v>2</v>
      </c>
      <c r="O256" s="13"/>
      <c r="P256" s="13"/>
      <c r="Q256" s="13" t="b">
        <f>ISNUMBER(MATCH("*"&amp;E256&amp;"*",'Top 1500 HS LatitudeLongitude'!G:G,0))</f>
        <v>0</v>
      </c>
      <c r="R256" s="13" t="str">
        <f ca="1">IFERROR(__xludf.DUMMYFUNCTION("IFS(L256=10,"""",Q256=false,"""",N256=5,"""",Q256=true,SORTN(FILTER('Top 1500 HS LatitudeLongitude'!B:B,'Top 1500 HS LatitudeLongitude'!C:C=I256,'Top 1500 HS LatitudeLongitude'!E:E=H256),1,0,randarray(COUNTA(FILTER('Top 1500 HS LatitudeLongitude'!B:B,'Top"&amp;" 1500 HS LatitudeLongitude'!C:C=I256,'Top 1500 HS LatitudeLongitude'!E:E=H256)),1),TRUE)
)"),"")</f>
        <v/>
      </c>
      <c r="S256" s="13" t="b">
        <f>ISNUMBER(MATCH("*"&amp;H:H&amp;"*",'Public Schools'!C:C,0))</f>
        <v>0</v>
      </c>
      <c r="T256" s="13" t="str">
        <f ca="1">IFERROR(__xludf.DUMMYFUNCTION("IFERROR(IF(AND(R256="""",S256=true), SORTN(FILTER('Public Schools'!A:A,'Public Schools'!B:B=J256,'Public Schools'!C:C=H256),1,0,randarray(COUNTA(FILTER('Public Schools'!A:A,'Public Schools'!B:B=J256,'Public Schools'!C:C=H256)),1),TRUE),""""),"""")"),"")</f>
        <v/>
      </c>
      <c r="U256" s="23" t="str">
        <f t="array" aca="1" ref="U256" ca="1">IF(AND(R256="",T256=""),INDEX('Top 1500 HS LatitudeLongitude'!B$2:B$1501,MATCH(MIN(SQRT(('Top 1500 HS LatitudeLongitude'!H$2:H$1501-F256)^2+('Top 1500 HS LatitudeLongitude'!I$2:I$1501-G256)^2)),SQRT( ('Top 1500 HS LatitudeLongitude'!H$2:H$1501-F256)^2+('Top 1500 HS LatitudeLongitude'!I$2:I$1501-G256)^2),0),1),"")</f>
        <v>Trinity Christian (Fayetteville)</v>
      </c>
    </row>
    <row r="257" spans="2:21" ht="15.6">
      <c r="B257" s="8">
        <v>0.10347818</v>
      </c>
      <c r="C257" s="9" t="s">
        <v>254</v>
      </c>
      <c r="D257" s="9" t="s">
        <v>462</v>
      </c>
      <c r="E257" s="37" t="s">
        <v>9675</v>
      </c>
      <c r="F257" s="8">
        <v>38.298200000000001</v>
      </c>
      <c r="G257" s="8">
        <v>-122.30110000000001</v>
      </c>
      <c r="H257" s="3" t="str">
        <f t="shared" si="0"/>
        <v>Effingham</v>
      </c>
      <c r="I257" s="3" t="str">
        <f t="shared" si="1"/>
        <v>IL</v>
      </c>
      <c r="J257" s="3" t="str">
        <f t="array" ref="J257">INDEX('State Abbreviations'!$B$2:$B$52,MATCH(I257,'State Abbreviations'!$A$2:$A$52,0))</f>
        <v>Illinois</v>
      </c>
      <c r="K257" s="123" t="e">
        <f t="shared" ca="1" si="12"/>
        <v>#NAME?</v>
      </c>
      <c r="L257" s="13">
        <f t="shared" ca="1" si="13"/>
        <v>7</v>
      </c>
      <c r="M257" s="13" t="str">
        <f ca="1">IFERROR(__xludf.DUMMYFUNCTION("IF(L257=10,ArrayFormula(VLOOKUP(QUERY(UNIQUE(RANDBETWEEN(ROW(INDIRECT(""A1:A""&amp;COUNTA('Leaving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57" s="13">
        <f t="shared" ca="1" si="14"/>
        <v>2</v>
      </c>
      <c r="O257" s="13"/>
      <c r="P257" s="13"/>
      <c r="Q257" s="13" t="b">
        <f>ISNUMBER(MATCH("*"&amp;E257&amp;"*",'Top 1500 HS LatitudeLongitude'!G:G,0))</f>
        <v>0</v>
      </c>
      <c r="R257" s="13" t="str">
        <f ca="1">IFERROR(__xludf.DUMMYFUNCTION("IFS(L257=10,"""",Q257=false,"""",N257=5,"""",Q257=true,SORTN(FILTER('Top 1500 HS LatitudeLongitude'!B:B,'Top 1500 HS LatitudeLongitude'!C:C=I257,'Top 1500 HS LatitudeLongitude'!E:E=H257),1,0,randarray(COUNTA(FILTER('Top 1500 HS LatitudeLongitude'!B:B,'Top"&amp;" 1500 HS LatitudeLongitude'!C:C=I257,'Top 1500 HS LatitudeLongitude'!E:E=H257)),1),TRUE)
)"),"")</f>
        <v/>
      </c>
      <c r="S257" s="13" t="b">
        <f>ISNUMBER(MATCH("*"&amp;H:H&amp;"*",'Public Schools'!C:C,0))</f>
        <v>1</v>
      </c>
      <c r="T257" s="13" t="str">
        <f ca="1">IFERROR(__xludf.DUMMYFUNCTION("IFERROR(IF(AND(R257="""",S257=true), SORTN(FILTER('Public Schools'!A:A,'Public Schools'!B:B=J257,'Public Schools'!C:C=H257),1,0,randarray(COUNTA(FILTER('Public Schools'!A:A,'Public Schools'!B:B=J257,'Public Schools'!C:C=H257)),1),TRUE),""""),"""")"),"Effingham High School")</f>
        <v>Effingham High School</v>
      </c>
      <c r="U257" s="23" t="str">
        <f t="array" aca="1" ref="U257" ca="1">IF(AND(R257="",T257=""),INDEX('Top 1500 HS LatitudeLongitude'!B$2:B$1501,MATCH(MIN(SQRT(('Top 1500 HS LatitudeLongitude'!H$2:H$1501-F257)^2+('Top 1500 HS LatitudeLongitude'!I$2:I$1501-G257)^2)),SQRT( ('Top 1500 HS LatitudeLongitude'!H$2:H$1501-F257)^2+('Top 1500 HS LatitudeLongitude'!I$2:I$1501-G257)^2),0),1),"")</f>
        <v/>
      </c>
    </row>
    <row r="258" spans="2:21" ht="15.6">
      <c r="B258" s="8">
        <v>0.30518870729999997</v>
      </c>
      <c r="C258" s="9" t="s">
        <v>249</v>
      </c>
      <c r="D258" s="9" t="s">
        <v>463</v>
      </c>
      <c r="E258" s="124" t="s">
        <v>9706</v>
      </c>
      <c r="F258" s="8">
        <v>41.873899999999999</v>
      </c>
      <c r="G258" s="8">
        <v>-88.015799999999999</v>
      </c>
      <c r="H258" s="3" t="str">
        <f t="shared" si="0"/>
        <v>Emerald Isle</v>
      </c>
      <c r="I258" s="3" t="str">
        <f t="shared" si="1"/>
        <v>NC</v>
      </c>
      <c r="J258" s="3" t="str">
        <f t="array" ref="J258">INDEX('State Abbreviations'!$B$2:$B$52,MATCH(I258,'State Abbreviations'!$A$2:$A$52,0))</f>
        <v>North Carolina</v>
      </c>
      <c r="K258" s="123" t="e">
        <f t="shared" ca="1" si="12"/>
        <v>#NAME?</v>
      </c>
      <c r="L258" s="13">
        <f t="shared" ca="1" si="13"/>
        <v>3</v>
      </c>
      <c r="M258" s="13" t="str">
        <f ca="1">IFERROR(__xludf.DUMMYFUNCTION("IF(L258=10,ArrayFormula(VLOOKUP(QUERY(UNIQUE(RANDBETWEEN(ROW(INDIRECT(""A1:A""&amp;COUNTA('Leaving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58" s="13">
        <f t="shared" ca="1" si="14"/>
        <v>3</v>
      </c>
      <c r="O258" s="13"/>
      <c r="P258" s="13"/>
      <c r="Q258" s="13" t="b">
        <f>ISNUMBER(MATCH("*"&amp;E258&amp;"*",'Top 1500 HS LatitudeLongitude'!G:G,0))</f>
        <v>0</v>
      </c>
      <c r="R258" s="13" t="str">
        <f ca="1">IFERROR(__xludf.DUMMYFUNCTION("IFS(L258=10,"""",Q258=false,"""",N258=5,"""",Q258=true,SORTN(FILTER('Top 1500 HS LatitudeLongitude'!B:B,'Top 1500 HS LatitudeLongitude'!C:C=I258,'Top 1500 HS LatitudeLongitude'!E:E=H258),1,0,randarray(COUNTA(FILTER('Top 1500 HS LatitudeLongitude'!B:B,'Top"&amp;" 1500 HS LatitudeLongitude'!C:C=I258,'Top 1500 HS LatitudeLongitude'!E:E=H258)),1),TRUE)
)"),"")</f>
        <v/>
      </c>
      <c r="S258" s="13" t="b">
        <f>ISNUMBER(MATCH("*"&amp;H:H&amp;"*",'Public Schools'!C:C,0))</f>
        <v>0</v>
      </c>
      <c r="T258" s="13" t="str">
        <f ca="1">IFERROR(__xludf.DUMMYFUNCTION("IFERROR(IF(AND(R258="""",S258=true), SORTN(FILTER('Public Schools'!A:A,'Public Schools'!B:B=J258,'Public Schools'!C:C=H258),1,0,randarray(COUNTA(FILTER('Public Schools'!A:A,'Public Schools'!B:B=J258,'Public Schools'!C:C=H258)),1),TRUE),""""),"""")"),"")</f>
        <v/>
      </c>
      <c r="U258" s="23" t="str">
        <f t="array" aca="1" ref="U258" ca="1">IF(AND(R258="",T258=""),INDEX('Top 1500 HS LatitudeLongitude'!B$2:B$1501,MATCH(MIN(SQRT(('Top 1500 HS LatitudeLongitude'!H$2:H$1501-F258)^2+('Top 1500 HS LatitudeLongitude'!I$2:I$1501-G258)^2)),SQRT( ('Top 1500 HS LatitudeLongitude'!H$2:H$1501-F258)^2+('Top 1500 HS LatitudeLongitude'!I$2:I$1501-G258)^2),0),1),"")</f>
        <v>York (Elmhurst)</v>
      </c>
    </row>
    <row r="259" spans="2:21" ht="15.6">
      <c r="B259" s="8">
        <v>0.5624287818</v>
      </c>
      <c r="C259" s="9" t="s">
        <v>270</v>
      </c>
      <c r="D259" s="9" t="s">
        <v>464</v>
      </c>
      <c r="E259" s="37" t="s">
        <v>9736</v>
      </c>
      <c r="F259" s="8">
        <v>35.095599999999997</v>
      </c>
      <c r="G259" s="8">
        <v>-77.072299999999998</v>
      </c>
      <c r="H259" s="3" t="str">
        <f t="shared" si="0"/>
        <v>Pitman</v>
      </c>
      <c r="I259" s="3" t="str">
        <f t="shared" si="1"/>
        <v>NJ</v>
      </c>
      <c r="J259" s="3" t="str">
        <f t="array" ref="J259">INDEX('State Abbreviations'!$B$2:$B$52,MATCH(I259,'State Abbreviations'!$A$2:$A$52,0))</f>
        <v>New Jersey</v>
      </c>
      <c r="K259" s="123" t="e">
        <f t="shared" ca="1" si="12"/>
        <v>#NAME?</v>
      </c>
      <c r="L259" s="13">
        <f t="shared" ca="1" si="13"/>
        <v>6</v>
      </c>
      <c r="M259" s="13" t="str">
        <f ca="1">IFERROR(__xludf.DUMMYFUNCTION("IF(L259=10,ArrayFormula(VLOOKUP(QUERY(UNIQUE(RANDBETWEEN(ROW(INDIRECT(""A1:A""&amp;COUNTA('Leaving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59" s="13">
        <f t="shared" ca="1" si="14"/>
        <v>1</v>
      </c>
      <c r="O259" s="13"/>
      <c r="P259" s="13"/>
      <c r="Q259" s="13" t="b">
        <f>ISNUMBER(MATCH("*"&amp;E259&amp;"*",'Top 1500 HS LatitudeLongitude'!G:G,0))</f>
        <v>0</v>
      </c>
      <c r="R259" s="13" t="str">
        <f ca="1">IFERROR(__xludf.DUMMYFUNCTION("IFS(L259=10,"""",Q259=false,"""",N259=5,"""",Q259=true,SORTN(FILTER('Top 1500 HS LatitudeLongitude'!B:B,'Top 1500 HS LatitudeLongitude'!C:C=I259,'Top 1500 HS LatitudeLongitude'!E:E=H259),1,0,randarray(COUNTA(FILTER('Top 1500 HS LatitudeLongitude'!B:B,'Top"&amp;" 1500 HS LatitudeLongitude'!C:C=I259,'Top 1500 HS LatitudeLongitude'!E:E=H259)),1),TRUE)
)"),"")</f>
        <v/>
      </c>
      <c r="S259" s="13" t="b">
        <f>ISNUMBER(MATCH("*"&amp;H:H&amp;"*",'Public Schools'!C:C,0))</f>
        <v>1</v>
      </c>
      <c r="T259" s="13" t="str">
        <f ca="1">IFERROR(__xludf.DUMMYFUNCTION("IFERROR(IF(AND(R259="""",S259=true), SORTN(FILTER('Public Schools'!A:A,'Public Schools'!B:B=J259,'Public Schools'!C:C=H259),1,0,randarray(COUNTA(FILTER('Public Schools'!A:A,'Public Schools'!B:B=J259,'Public Schools'!C:C=H259)),1),TRUE),""""),"""")"),"Pitman High School")</f>
        <v>Pitman High School</v>
      </c>
      <c r="U259" s="23" t="str">
        <f t="array" aca="1" ref="U259" ca="1">IF(AND(R259="",T259=""),INDEX('Top 1500 HS LatitudeLongitude'!B$2:B$1501,MATCH(MIN(SQRT(('Top 1500 HS LatitudeLongitude'!H$2:H$1501-F259)^2+('Top 1500 HS LatitudeLongitude'!I$2:I$1501-G259)^2)),SQRT( ('Top 1500 HS LatitudeLongitude'!H$2:H$1501-F259)^2+('Top 1500 HS LatitudeLongitude'!I$2:I$1501-G259)^2),0),1),"")</f>
        <v/>
      </c>
    </row>
    <row r="260" spans="2:21" ht="15.6">
      <c r="B260" s="8">
        <v>1.6127146089999999E-2</v>
      </c>
      <c r="C260" s="9" t="s">
        <v>224</v>
      </c>
      <c r="D260" s="9" t="s">
        <v>465</v>
      </c>
      <c r="E260" s="124" t="s">
        <v>9774</v>
      </c>
      <c r="F260" s="8">
        <v>32.9696</v>
      </c>
      <c r="G260" s="8">
        <v>-86.733900000000006</v>
      </c>
      <c r="H260" s="3" t="str">
        <f t="shared" si="0"/>
        <v>Prescott Valley</v>
      </c>
      <c r="I260" s="3" t="str">
        <f t="shared" si="1"/>
        <v>AZ</v>
      </c>
      <c r="J260" s="3" t="str">
        <f t="array" ref="J260">INDEX('State Abbreviations'!$B$2:$B$52,MATCH(I260,'State Abbreviations'!$A$2:$A$52,0))</f>
        <v>Arizona</v>
      </c>
      <c r="K260" s="123" t="e">
        <f t="shared" ca="1" si="12"/>
        <v>#NAME?</v>
      </c>
      <c r="L260" s="13">
        <f t="shared" ca="1" si="13"/>
        <v>4</v>
      </c>
      <c r="M260" s="13" t="str">
        <f ca="1">IFERROR(__xludf.DUMMYFUNCTION("IF(L260=10,ArrayFormula(VLOOKUP(QUERY(UNIQUE(RANDBETWEEN(ROW(INDIRECT(""A1:A""&amp;COUNTA('Leaving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0" s="13">
        <f t="shared" ca="1" si="14"/>
        <v>2</v>
      </c>
      <c r="O260" s="13"/>
      <c r="P260" s="13"/>
      <c r="Q260" s="13" t="b">
        <f>ISNUMBER(MATCH("*"&amp;E260&amp;"*",'Top 1500 HS LatitudeLongitude'!G:G,0))</f>
        <v>0</v>
      </c>
      <c r="R260" s="13" t="str">
        <f ca="1">IFERROR(__xludf.DUMMYFUNCTION("IFS(L260=10,"""",Q260=false,"""",N260=5,"""",Q260=true,SORTN(FILTER('Top 1500 HS LatitudeLongitude'!B:B,'Top 1500 HS LatitudeLongitude'!C:C=I260,'Top 1500 HS LatitudeLongitude'!E:E=H260),1,0,randarray(COUNTA(FILTER('Top 1500 HS LatitudeLongitude'!B:B,'Top"&amp;" 1500 HS LatitudeLongitude'!C:C=I260,'Top 1500 HS LatitudeLongitude'!E:E=H260)),1),TRUE)
)"),"")</f>
        <v/>
      </c>
      <c r="S260" s="13" t="b">
        <f>ISNUMBER(MATCH("*"&amp;H:H&amp;"*",'Public Schools'!C:C,0))</f>
        <v>1</v>
      </c>
      <c r="T260" s="13" t="str">
        <f ca="1">IFERROR(__xludf.DUMMYFUNCTION("IFERROR(IF(AND(R260="""",S260=true), SORTN(FILTER('Public Schools'!A:A,'Public Schools'!B:B=J260,'Public Schools'!C:C=H260),1,0,randarray(COUNTA(FILTER('Public Schools'!A:A,'Public Schools'!B:B=J260,'Public Schools'!C:C=H260)),1),TRUE),""""),"""")"),"Bradshaw Mountain Online Academy")</f>
        <v>Bradshaw Mountain Online Academy</v>
      </c>
      <c r="U260" s="23" t="str">
        <f t="array" aca="1" ref="U260" ca="1">IF(AND(R260="",T260=""),INDEX('Top 1500 HS LatitudeLongitude'!B$2:B$1501,MATCH(MIN(SQRT(('Top 1500 HS LatitudeLongitude'!H$2:H$1501-F260)^2+('Top 1500 HS LatitudeLongitude'!I$2:I$1501-G260)^2)),SQRT( ('Top 1500 HS LatitudeLongitude'!H$2:H$1501-F260)^2+('Top 1500 HS LatitudeLongitude'!I$2:I$1501-G260)^2),0),1),"")</f>
        <v/>
      </c>
    </row>
    <row r="261" spans="2:21" ht="15.6">
      <c r="B261" s="8">
        <v>0.29182569019999999</v>
      </c>
      <c r="C261" s="9" t="s">
        <v>215</v>
      </c>
      <c r="D261" s="9" t="s">
        <v>466</v>
      </c>
      <c r="E261" s="37" t="s">
        <v>9808</v>
      </c>
      <c r="F261" s="8">
        <v>42.259399999999999</v>
      </c>
      <c r="G261" s="8">
        <v>-89.064599999999999</v>
      </c>
      <c r="H261" s="3" t="str">
        <f t="shared" si="0"/>
        <v>Spartanburg</v>
      </c>
      <c r="I261" s="3" t="str">
        <f t="shared" si="1"/>
        <v>SC</v>
      </c>
      <c r="J261" s="3" t="str">
        <f t="array" ref="J261">INDEX('State Abbreviations'!$B$2:$B$52,MATCH(I261,'State Abbreviations'!$A$2:$A$52,0))</f>
        <v>South Carolina</v>
      </c>
      <c r="K261" s="123" t="e">
        <f t="shared" ca="1" si="12"/>
        <v>#NAME?</v>
      </c>
      <c r="L261" s="13">
        <f t="shared" ca="1" si="13"/>
        <v>7</v>
      </c>
      <c r="M261" s="13" t="str">
        <f ca="1">IFERROR(__xludf.DUMMYFUNCTION("IF(L261=10,ArrayFormula(VLOOKUP(QUERY(UNIQUE(RANDBETWEEN(ROW(INDIRECT(""A1:A""&amp;COUNTA('Leaving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1" s="13">
        <f t="shared" ca="1" si="14"/>
        <v>3</v>
      </c>
      <c r="O261" s="13"/>
      <c r="P261" s="13"/>
      <c r="Q261" s="13" t="b">
        <f>ISNUMBER(MATCH("*"&amp;E261&amp;"*",'Top 1500 HS LatitudeLongitude'!G:G,0))</f>
        <v>0</v>
      </c>
      <c r="R261" s="13" t="str">
        <f ca="1">IFERROR(__xludf.DUMMYFUNCTION("IFS(L261=10,"""",Q261=false,"""",N261=5,"""",Q261=true,SORTN(FILTER('Top 1500 HS LatitudeLongitude'!B:B,'Top 1500 HS LatitudeLongitude'!C:C=I261,'Top 1500 HS LatitudeLongitude'!E:E=H261),1,0,randarray(COUNTA(FILTER('Top 1500 HS LatitudeLongitude'!B:B,'Top"&amp;" 1500 HS LatitudeLongitude'!C:C=I261,'Top 1500 HS LatitudeLongitude'!E:E=H261)),1),TRUE)
)"),"")</f>
        <v/>
      </c>
      <c r="S261" s="13" t="b">
        <f>ISNUMBER(MATCH("*"&amp;H:H&amp;"*",'Public Schools'!C:C,0))</f>
        <v>1</v>
      </c>
      <c r="T261" s="13" t="str">
        <f ca="1">IFERROR(__xludf.DUMMYFUNCTION("IFERROR(IF(AND(R261="""",S261=true), SORTN(FILTER('Public Schools'!A:A,'Public Schools'!B:B=J261,'Public Schools'!C:C=H261),1,0,randarray(COUNTA(FILTER('Public Schools'!A:A,'Public Schools'!B:B=J261,'Public Schools'!C:C=H261)),1),TRUE),""""),"""")"),"Spartanburg High School")</f>
        <v>Spartanburg High School</v>
      </c>
      <c r="U261" s="23" t="str">
        <f t="array" aca="1" ref="U261" ca="1">IF(AND(R261="",T261=""),INDEX('Top 1500 HS LatitudeLongitude'!B$2:B$1501,MATCH(MIN(SQRT(('Top 1500 HS LatitudeLongitude'!H$2:H$1501-F261)^2+('Top 1500 HS LatitudeLongitude'!I$2:I$1501-G261)^2)),SQRT( ('Top 1500 HS LatitudeLongitude'!H$2:H$1501-F261)^2+('Top 1500 HS LatitudeLongitude'!I$2:I$1501-G261)^2),0),1),"")</f>
        <v/>
      </c>
    </row>
    <row r="262" spans="2:21" ht="15.6">
      <c r="B262" s="8">
        <v>0.16801810240000001</v>
      </c>
      <c r="C262" s="9" t="s">
        <v>215</v>
      </c>
      <c r="D262" s="9" t="s">
        <v>467</v>
      </c>
      <c r="E262" s="124" t="s">
        <v>9840</v>
      </c>
      <c r="F262" s="8">
        <v>27.9937</v>
      </c>
      <c r="G262" s="8">
        <v>-82.445400000000006</v>
      </c>
      <c r="H262" s="3" t="str">
        <f t="shared" si="0"/>
        <v>Ridgeland</v>
      </c>
      <c r="I262" s="3" t="str">
        <f t="shared" si="1"/>
        <v>SC</v>
      </c>
      <c r="J262" s="3" t="str">
        <f t="array" ref="J262">INDEX('State Abbreviations'!$B$2:$B$52,MATCH(I262,'State Abbreviations'!$A$2:$A$52,0))</f>
        <v>South Carolina</v>
      </c>
      <c r="K262" s="123" t="e">
        <f t="shared" ca="1" si="12"/>
        <v>#NAME?</v>
      </c>
      <c r="L262" s="13">
        <f t="shared" ca="1" si="13"/>
        <v>9</v>
      </c>
      <c r="M262" s="13" t="str">
        <f ca="1">IFERROR(__xludf.DUMMYFUNCTION("IF(L262=10,ArrayFormula(VLOOKUP(QUERY(UNIQUE(RANDBETWEEN(ROW(INDIRECT(""A1:A""&amp;COUNTA('Leaving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2" s="13">
        <f t="shared" ca="1" si="14"/>
        <v>1</v>
      </c>
      <c r="O262" s="13"/>
      <c r="P262" s="13"/>
      <c r="Q262" s="13" t="b">
        <f>ISNUMBER(MATCH("*"&amp;E262&amp;"*",'Top 1500 HS LatitudeLongitude'!G:G,0))</f>
        <v>0</v>
      </c>
      <c r="R262" s="13" t="str">
        <f ca="1">IFERROR(__xludf.DUMMYFUNCTION("IFS(L262=10,"""",Q262=false,"""",N262=5,"""",Q262=true,SORTN(FILTER('Top 1500 HS LatitudeLongitude'!B:B,'Top 1500 HS LatitudeLongitude'!C:C=I262,'Top 1500 HS LatitudeLongitude'!E:E=H262),1,0,randarray(COUNTA(FILTER('Top 1500 HS LatitudeLongitude'!B:B,'Top"&amp;" 1500 HS LatitudeLongitude'!C:C=I262,'Top 1500 HS LatitudeLongitude'!E:E=H262)),1),TRUE)
)"),"")</f>
        <v/>
      </c>
      <c r="S262" s="13" t="b">
        <f>ISNUMBER(MATCH("*"&amp;H:H&amp;"*",'Public Schools'!C:C,0))</f>
        <v>1</v>
      </c>
      <c r="T262" s="13" t="str">
        <f ca="1">IFERROR(__xludf.DUMMYFUNCTION("IFERROR(IF(AND(R262="""",S262=true), SORTN(FILTER('Public Schools'!A:A,'Public Schools'!B:B=J262,'Public Schools'!C:C=H262),1,0,randarray(COUNTA(FILTER('Public Schools'!A:A,'Public Schools'!B:B=J262,'Public Schools'!C:C=H262)),1),TRUE),""""),"""")"),"Ridgeland-Hardeeville High School")</f>
        <v>Ridgeland-Hardeeville High School</v>
      </c>
      <c r="U262" s="23" t="str">
        <f t="array" aca="1" ref="U262" ca="1">IF(AND(R262="",T262=""),INDEX('Top 1500 HS LatitudeLongitude'!B$2:B$1501,MATCH(MIN(SQRT(('Top 1500 HS LatitudeLongitude'!H$2:H$1501-F262)^2+('Top 1500 HS LatitudeLongitude'!I$2:I$1501-G262)^2)),SQRT( ('Top 1500 HS LatitudeLongitude'!H$2:H$1501-F262)^2+('Top 1500 HS LatitudeLongitude'!I$2:I$1501-G262)^2),0),1),"")</f>
        <v/>
      </c>
    </row>
    <row r="263" spans="2:21" ht="15.6">
      <c r="B263" s="8">
        <v>0.75735437809999995</v>
      </c>
      <c r="C263" s="9" t="s">
        <v>270</v>
      </c>
      <c r="D263" s="9" t="s">
        <v>468</v>
      </c>
      <c r="E263" s="37" t="s">
        <v>9868</v>
      </c>
      <c r="F263" s="8">
        <v>40.445599999999999</v>
      </c>
      <c r="G263" s="8">
        <v>-79.655500000000004</v>
      </c>
      <c r="H263" s="3" t="str">
        <f t="shared" si="0"/>
        <v>Flanders</v>
      </c>
      <c r="I263" s="3" t="str">
        <f t="shared" si="1"/>
        <v>NJ</v>
      </c>
      <c r="J263" s="3" t="str">
        <f t="array" ref="J263">INDEX('State Abbreviations'!$B$2:$B$52,MATCH(I263,'State Abbreviations'!$A$2:$A$52,0))</f>
        <v>New Jersey</v>
      </c>
      <c r="K263" s="123" t="e">
        <f t="shared" ca="1" si="12"/>
        <v>#NAME?</v>
      </c>
      <c r="L263" s="13">
        <f t="shared" ca="1" si="13"/>
        <v>4</v>
      </c>
      <c r="M263" s="13" t="str">
        <f ca="1">IFERROR(__xludf.DUMMYFUNCTION("IF(L263=10,ArrayFormula(VLOOKUP(QUERY(UNIQUE(RANDBETWEEN(ROW(INDIRECT(""A1:A""&amp;COUNTA('Leaving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3" s="13">
        <f t="shared" ca="1" si="14"/>
        <v>3</v>
      </c>
      <c r="O263" s="13"/>
      <c r="P263" s="13"/>
      <c r="Q263" s="13" t="b">
        <f>ISNUMBER(MATCH("*"&amp;E263&amp;"*",'Top 1500 HS LatitudeLongitude'!G:G,0))</f>
        <v>0</v>
      </c>
      <c r="R263" s="13" t="str">
        <f ca="1">IFERROR(__xludf.DUMMYFUNCTION("IFS(L263=10,"""",Q263=false,"""",N263=5,"""",Q263=true,SORTN(FILTER('Top 1500 HS LatitudeLongitude'!B:B,'Top 1500 HS LatitudeLongitude'!C:C=I263,'Top 1500 HS LatitudeLongitude'!E:E=H263),1,0,randarray(COUNTA(FILTER('Top 1500 HS LatitudeLongitude'!B:B,'Top"&amp;" 1500 HS LatitudeLongitude'!C:C=I263,'Top 1500 HS LatitudeLongitude'!E:E=H263)),1),TRUE)
)"),"")</f>
        <v/>
      </c>
      <c r="S263" s="13" t="b">
        <f>ISNUMBER(MATCH("*"&amp;H:H&amp;"*",'Public Schools'!C:C,0))</f>
        <v>1</v>
      </c>
      <c r="T263" s="13" t="str">
        <f ca="1">IFERROR(__xludf.DUMMYFUNCTION("IFERROR(IF(AND(R263="""",S263=true), SORTN(FILTER('Public Schools'!A:A,'Public Schools'!B:B=J263,'Public Schools'!C:C=H263),1,0,randarray(COUNTA(FILTER('Public Schools'!A:A,'Public Schools'!B:B=J263,'Public Schools'!C:C=H263)),1),TRUE),""""),"""")"),"Mount Olive High School")</f>
        <v>Mount Olive High School</v>
      </c>
      <c r="U263" s="23" t="str">
        <f t="array" aca="1" ref="U263" ca="1">IF(AND(R263="",T263=""),INDEX('Top 1500 HS LatitudeLongitude'!B$2:B$1501,MATCH(MIN(SQRT(('Top 1500 HS LatitudeLongitude'!H$2:H$1501-F263)^2+('Top 1500 HS LatitudeLongitude'!I$2:I$1501-G263)^2)),SQRT( ('Top 1500 HS LatitudeLongitude'!H$2:H$1501-F263)^2+('Top 1500 HS LatitudeLongitude'!I$2:I$1501-G263)^2),0),1),"")</f>
        <v/>
      </c>
    </row>
    <row r="264" spans="2:21" ht="15.6">
      <c r="B264" s="8">
        <v>5.6883425129999998E-2</v>
      </c>
      <c r="C264" s="9" t="s">
        <v>221</v>
      </c>
      <c r="D264" s="9" t="s">
        <v>469</v>
      </c>
      <c r="E264" s="124" t="s">
        <v>9900</v>
      </c>
      <c r="F264" s="8">
        <v>37.756100000000004</v>
      </c>
      <c r="G264" s="8">
        <v>-122.44289999999999</v>
      </c>
      <c r="H264" s="3" t="str">
        <f t="shared" si="0"/>
        <v>East Brookfield</v>
      </c>
      <c r="I264" s="3" t="str">
        <f t="shared" si="1"/>
        <v>MA</v>
      </c>
      <c r="J264" s="3" t="str">
        <f t="array" ref="J264">INDEX('State Abbreviations'!$B$2:$B$52,MATCH(I264,'State Abbreviations'!$A$2:$A$52,0))</f>
        <v>Massachusetts</v>
      </c>
      <c r="K264" s="123" t="e">
        <f t="shared" ca="1" si="12"/>
        <v>#NAME?</v>
      </c>
      <c r="L264" s="13">
        <f t="shared" ca="1" si="13"/>
        <v>3</v>
      </c>
      <c r="M264" s="13" t="str">
        <f ca="1">IFERROR(__xludf.DUMMYFUNCTION("IF(L264=10,ArrayFormula(VLOOKUP(QUERY(UNIQUE(RANDBETWEEN(ROW(INDIRECT(""A1:A""&amp;COUNTA('Leaving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4" s="13">
        <f t="shared" ca="1" si="14"/>
        <v>4</v>
      </c>
      <c r="O264" s="13"/>
      <c r="P264" s="13"/>
      <c r="Q264" s="13" t="b">
        <f>ISNUMBER(MATCH("*"&amp;E264&amp;"*",'Top 1500 HS LatitudeLongitude'!G:G,0))</f>
        <v>0</v>
      </c>
      <c r="R264" s="13" t="str">
        <f ca="1">IFERROR(__xludf.DUMMYFUNCTION("IFS(L264=10,"""",Q264=false,"""",N264=5,"""",Q264=true,SORTN(FILTER('Top 1500 HS LatitudeLongitude'!B:B,'Top 1500 HS LatitudeLongitude'!C:C=I264,'Top 1500 HS LatitudeLongitude'!E:E=H264),1,0,randarray(COUNTA(FILTER('Top 1500 HS LatitudeLongitude'!B:B,'Top"&amp;" 1500 HS LatitudeLongitude'!C:C=I264,'Top 1500 HS LatitudeLongitude'!E:E=H264)),1),TRUE)
)"),"")</f>
        <v/>
      </c>
      <c r="S264" s="13" t="b">
        <f>ISNUMBER(MATCH("*"&amp;H:H&amp;"*",'Public Schools'!C:C,0))</f>
        <v>0</v>
      </c>
      <c r="T264" s="13" t="str">
        <f ca="1">IFERROR(__xludf.DUMMYFUNCTION("IFERROR(IF(AND(R264="""",S264=true), SORTN(FILTER('Public Schools'!A:A,'Public Schools'!B:B=J264,'Public Schools'!C:C=H264),1,0,randarray(COUNTA(FILTER('Public Schools'!A:A,'Public Schools'!B:B=J264,'Public Schools'!C:C=H264)),1),TRUE),""""),"""")"),"")</f>
        <v/>
      </c>
      <c r="U264" s="23" t="str">
        <f t="array" aca="1" ref="U264" ca="1">IF(AND(R264="",T264=""),INDEX('Top 1500 HS LatitudeLongitude'!B$2:B$1501,MATCH(MIN(SQRT(('Top 1500 HS LatitudeLongitude'!H$2:H$1501-F264)^2+('Top 1500 HS LatitudeLongitude'!I$2:I$1501-G264)^2)),SQRT( ('Top 1500 HS LatitudeLongitude'!H$2:H$1501-F264)^2+('Top 1500 HS LatitudeLongitude'!I$2:I$1501-G264)^2),0),1),"")</f>
        <v>University (San Francisco)</v>
      </c>
    </row>
    <row r="265" spans="2:21" ht="15.6">
      <c r="B265" s="8">
        <v>0.79708884820000003</v>
      </c>
      <c r="C265" s="9" t="s">
        <v>288</v>
      </c>
      <c r="D265" s="9" t="s">
        <v>470</v>
      </c>
      <c r="E265" s="37" t="s">
        <v>9933</v>
      </c>
      <c r="F265" s="8">
        <v>36.171399999999998</v>
      </c>
      <c r="G265" s="8">
        <v>-86.784400000000005</v>
      </c>
      <c r="H265" s="3" t="str">
        <f t="shared" si="0"/>
        <v>Brownsburg</v>
      </c>
      <c r="I265" s="3" t="str">
        <f t="shared" si="1"/>
        <v>IN</v>
      </c>
      <c r="J265" s="3" t="str">
        <f t="array" ref="J265">INDEX('State Abbreviations'!$B$2:$B$52,MATCH(I265,'State Abbreviations'!$A$2:$A$52,0))</f>
        <v>Indiana</v>
      </c>
      <c r="K265" s="123" t="e">
        <f t="shared" ca="1" si="12"/>
        <v>#NAME?</v>
      </c>
      <c r="L265" s="13">
        <f t="shared" ca="1" si="13"/>
        <v>9</v>
      </c>
      <c r="M265" s="13" t="str">
        <f ca="1">IFERROR(__xludf.DUMMYFUNCTION("IF(L265=10,ArrayFormula(VLOOKUP(QUERY(UNIQUE(RANDBETWEEN(ROW(INDIRECT(""A1:A""&amp;COUNTA('Leaving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5" s="13">
        <f t="shared" ca="1" si="14"/>
        <v>2</v>
      </c>
      <c r="O265" s="13"/>
      <c r="P265" s="13"/>
      <c r="Q265" s="13" t="b">
        <f>ISNUMBER(MATCH("*"&amp;E265&amp;"*",'Top 1500 HS LatitudeLongitude'!G:G,0))</f>
        <v>1</v>
      </c>
      <c r="R265" s="13" t="str">
        <f ca="1">IFERROR(__xludf.DUMMYFUNCTION("IFS(L265=10,"""",Q265=false,"""",N265=5,"""",Q265=true,SORTN(FILTER('Top 1500 HS LatitudeLongitude'!B:B,'Top 1500 HS LatitudeLongitude'!C:C=I265,'Top 1500 HS LatitudeLongitude'!E:E=H265),1,0,randarray(COUNTA(FILTER('Top 1500 HS LatitudeLongitude'!B:B,'Top"&amp;" 1500 HS LatitudeLongitude'!C:C=I265,'Top 1500 HS LatitudeLongitude'!E:E=H265)),1),TRUE)
)"),"Brownsburg")</f>
        <v>Brownsburg</v>
      </c>
      <c r="S265" s="13" t="b">
        <f>ISNUMBER(MATCH("*"&amp;H:H&amp;"*",'Public Schools'!C:C,0))</f>
        <v>1</v>
      </c>
      <c r="T265" s="13" t="str">
        <f ca="1">IFERROR(__xludf.DUMMYFUNCTION("IFERROR(IF(AND(R265="""",S265=true), SORTN(FILTER('Public Schools'!A:A,'Public Schools'!B:B=J265,'Public Schools'!C:C=H265),1,0,randarray(COUNTA(FILTER('Public Schools'!A:A,'Public Schools'!B:B=J265,'Public Schools'!C:C=H265)),1),TRUE),""""),"""")"),"")</f>
        <v/>
      </c>
      <c r="U265" s="23" t="str">
        <f t="array" aca="1" ref="U265" ca="1">IF(AND(R265="",T265=""),INDEX('Top 1500 HS LatitudeLongitude'!B$2:B$1501,MATCH(MIN(SQRT(('Top 1500 HS LatitudeLongitude'!H$2:H$1501-F265)^2+('Top 1500 HS LatitudeLongitude'!I$2:I$1501-G265)^2)),SQRT( ('Top 1500 HS LatitudeLongitude'!H$2:H$1501-F265)^2+('Top 1500 HS LatitudeLongitude'!I$2:I$1501-G265)^2),0),1),"")</f>
        <v/>
      </c>
    </row>
    <row r="266" spans="2:21" ht="15.6">
      <c r="B266" s="8">
        <v>0.58554572640000002</v>
      </c>
      <c r="C266" s="9" t="s">
        <v>206</v>
      </c>
      <c r="D266" s="9" t="s">
        <v>252</v>
      </c>
      <c r="E266" s="124" t="s">
        <v>895</v>
      </c>
      <c r="F266" s="8">
        <v>40.389400000000002</v>
      </c>
      <c r="G266" s="8">
        <v>-95.843599999999995</v>
      </c>
      <c r="H266" s="3" t="str">
        <f t="shared" si="0"/>
        <v>Dallas</v>
      </c>
      <c r="I266" s="3" t="str">
        <f t="shared" si="1"/>
        <v>TX</v>
      </c>
      <c r="J266" s="3" t="str">
        <f t="array" ref="J266">INDEX('State Abbreviations'!$B$2:$B$52,MATCH(I266,'State Abbreviations'!$A$2:$A$52,0))</f>
        <v>Texas</v>
      </c>
      <c r="K266" s="123" t="e">
        <f t="shared" ca="1" si="12"/>
        <v>#NAME?</v>
      </c>
      <c r="L266" s="13">
        <f t="shared" ca="1" si="13"/>
        <v>5</v>
      </c>
      <c r="M266" s="13" t="str">
        <f ca="1">IFERROR(__xludf.DUMMYFUNCTION("IF(L266=10,ArrayFormula(VLOOKUP(QUERY(UNIQUE(RANDBETWEEN(ROW(INDIRECT(""A1:A""&amp;COUNTA('Leaving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6" s="13">
        <f t="shared" ca="1" si="14"/>
        <v>2</v>
      </c>
      <c r="O266" s="13"/>
      <c r="P266" s="13"/>
      <c r="Q266" s="13" t="b">
        <f>ISNUMBER(MATCH("*"&amp;E266&amp;"*",'Top 1500 HS LatitudeLongitude'!G:G,0))</f>
        <v>1</v>
      </c>
      <c r="R266" s="13" t="str">
        <f ca="1">IFERROR(__xludf.DUMMYFUNCTION("IFS(L266=10,"""",Q266=false,"""",N266=5,"""",Q266=true,SORTN(FILTER('Top 1500 HS LatitudeLongitude'!B:B,'Top 1500 HS LatitudeLongitude'!C:C=I266,'Top 1500 HS LatitudeLongitude'!E:E=H266),1,0,randarray(COUNTA(FILTER('Top 1500 HS LatitudeLongitude'!B:B,'Top"&amp;" 1500 HS LatitudeLongitude'!C:C=I266,'Top 1500 HS LatitudeLongitude'!E:E=H266)),1),TRUE)
)"),"Highland Park (Dallas)")</f>
        <v>Highland Park (Dallas)</v>
      </c>
      <c r="S266" s="13" t="b">
        <f>ISNUMBER(MATCH("*"&amp;H:H&amp;"*",'Public Schools'!C:C,0))</f>
        <v>1</v>
      </c>
      <c r="T266" s="13" t="str">
        <f ca="1">IFERROR(__xludf.DUMMYFUNCTION("IFERROR(IF(AND(R266="""",S266=true), SORTN(FILTER('Public Schools'!A:A,'Public Schools'!B:B=J266,'Public Schools'!C:C=H266),1,0,randarray(COUNTA(FILTER('Public Schools'!A:A,'Public Schools'!B:B=J266,'Public Schools'!C:C=H266)),1),TRUE),""""),"""")"),"")</f>
        <v/>
      </c>
      <c r="U266" s="23" t="str">
        <f t="array" aca="1" ref="U266" ca="1">IF(AND(R266="",T266=""),INDEX('Top 1500 HS LatitudeLongitude'!B$2:B$1501,MATCH(MIN(SQRT(('Top 1500 HS LatitudeLongitude'!H$2:H$1501-F266)^2+('Top 1500 HS LatitudeLongitude'!I$2:I$1501-G266)^2)),SQRT( ('Top 1500 HS LatitudeLongitude'!H$2:H$1501-F266)^2+('Top 1500 HS LatitudeLongitude'!I$2:I$1501-G266)^2),0),1),"")</f>
        <v/>
      </c>
    </row>
    <row r="267" spans="2:21" ht="15.6">
      <c r="B267" s="8">
        <v>0.1453159581</v>
      </c>
      <c r="C267" s="9" t="s">
        <v>243</v>
      </c>
      <c r="D267" s="9" t="s">
        <v>471</v>
      </c>
      <c r="E267" s="37" t="s">
        <v>10001</v>
      </c>
      <c r="F267" s="8">
        <v>41.766100000000002</v>
      </c>
      <c r="G267" s="8">
        <v>-72.683400000000006</v>
      </c>
      <c r="H267" s="3" t="str">
        <f t="shared" si="0"/>
        <v>Lewisburg</v>
      </c>
      <c r="I267" s="3" t="str">
        <f t="shared" si="1"/>
        <v>PA</v>
      </c>
      <c r="J267" s="3" t="str">
        <f t="array" ref="J267">INDEX('State Abbreviations'!$B$2:$B$52,MATCH(I267,'State Abbreviations'!$A$2:$A$52,0))</f>
        <v>Pennsylvania</v>
      </c>
      <c r="K267" s="123" t="e">
        <f t="shared" ca="1" si="12"/>
        <v>#NAME?</v>
      </c>
      <c r="L267" s="13">
        <f t="shared" ca="1" si="13"/>
        <v>8</v>
      </c>
      <c r="M267" s="13" t="str">
        <f ca="1">IFERROR(__xludf.DUMMYFUNCTION("IF(L267=10,ArrayFormula(VLOOKUP(QUERY(UNIQUE(RANDBETWEEN(ROW(INDIRECT(""A1:A""&amp;COUNTA('Leaving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7" s="13">
        <f t="shared" ca="1" si="14"/>
        <v>4</v>
      </c>
      <c r="O267" s="13"/>
      <c r="P267" s="13"/>
      <c r="Q267" s="13" t="b">
        <f>ISNUMBER(MATCH("*"&amp;E267&amp;"*",'Top 1500 HS LatitudeLongitude'!G:G,0))</f>
        <v>0</v>
      </c>
      <c r="R267" s="13" t="str">
        <f ca="1">IFERROR(__xludf.DUMMYFUNCTION("IFS(L267=10,"""",Q267=false,"""",N267=5,"""",Q267=true,SORTN(FILTER('Top 1500 HS LatitudeLongitude'!B:B,'Top 1500 HS LatitudeLongitude'!C:C=I267,'Top 1500 HS LatitudeLongitude'!E:E=H267),1,0,randarray(COUNTA(FILTER('Top 1500 HS LatitudeLongitude'!B:B,'Top"&amp;" 1500 HS LatitudeLongitude'!C:C=I267,'Top 1500 HS LatitudeLongitude'!E:E=H267)),1),TRUE)
)"),"")</f>
        <v/>
      </c>
      <c r="S267" s="13" t="b">
        <f>ISNUMBER(MATCH("*"&amp;H:H&amp;"*",'Public Schools'!C:C,0))</f>
        <v>1</v>
      </c>
      <c r="T267" s="13" t="str">
        <f ca="1">IFERROR(__xludf.DUMMYFUNCTION("IFERROR(IF(AND(R267="""",S267=true), SORTN(FILTER('Public Schools'!A:A,'Public Schools'!B:B=J267,'Public Schools'!C:C=H267),1,0,randarray(COUNTA(FILTER('Public Schools'!A:A,'Public Schools'!B:B=J267,'Public Schools'!C:C=H267)),1),TRUE),""""),"""")"),"Lewisburg High School")</f>
        <v>Lewisburg High School</v>
      </c>
      <c r="U267" s="23" t="str">
        <f t="array" aca="1" ref="U267" ca="1">IF(AND(R267="",T267=""),INDEX('Top 1500 HS LatitudeLongitude'!B$2:B$1501,MATCH(MIN(SQRT(('Top 1500 HS LatitudeLongitude'!H$2:H$1501-F267)^2+('Top 1500 HS LatitudeLongitude'!I$2:I$1501-G267)^2)),SQRT( ('Top 1500 HS LatitudeLongitude'!H$2:H$1501-F267)^2+('Top 1500 HS LatitudeLongitude'!I$2:I$1501-G267)^2),0),1),"")</f>
        <v/>
      </c>
    </row>
    <row r="268" spans="2:21" ht="15.6">
      <c r="B268" s="8">
        <v>0.34697038819999998</v>
      </c>
      <c r="C268" s="9" t="s">
        <v>316</v>
      </c>
      <c r="D268" s="9" t="s">
        <v>472</v>
      </c>
      <c r="E268" s="124" t="s">
        <v>10032</v>
      </c>
      <c r="F268" s="8">
        <v>40.087499999999999</v>
      </c>
      <c r="G268" s="8">
        <v>-85.692099999999996</v>
      </c>
      <c r="H268" s="3" t="str">
        <f t="shared" si="0"/>
        <v>Huntsville</v>
      </c>
      <c r="I268" s="3" t="str">
        <f t="shared" si="1"/>
        <v>UT</v>
      </c>
      <c r="J268" s="3" t="str">
        <f t="array" ref="J268">INDEX('State Abbreviations'!$B$2:$B$52,MATCH(I268,'State Abbreviations'!$A$2:$A$52,0))</f>
        <v>Utah</v>
      </c>
      <c r="K268" s="123" t="e">
        <f t="shared" ca="1" si="12"/>
        <v>#NAME?</v>
      </c>
      <c r="L268" s="13">
        <f t="shared" ca="1" si="13"/>
        <v>6</v>
      </c>
      <c r="M268" s="13" t="str">
        <f ca="1">IFERROR(__xludf.DUMMYFUNCTION("IF(L268=10,ArrayFormula(VLOOKUP(QUERY(UNIQUE(RANDBETWEEN(ROW(INDIRECT(""A1:A""&amp;COUNTA('Leaving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8" s="13">
        <f t="shared" ca="1" si="14"/>
        <v>3</v>
      </c>
      <c r="O268" s="13"/>
      <c r="P268" s="13"/>
      <c r="Q268" s="13" t="b">
        <f>ISNUMBER(MATCH("*"&amp;E268&amp;"*",'Top 1500 HS LatitudeLongitude'!G:G,0))</f>
        <v>0</v>
      </c>
      <c r="R268" s="13" t="str">
        <f ca="1">IFERROR(__xludf.DUMMYFUNCTION("IFS(L268=10,"""",Q268=false,"""",N268=5,"""",Q268=true,SORTN(FILTER('Top 1500 HS LatitudeLongitude'!B:B,'Top 1500 HS LatitudeLongitude'!C:C=I268,'Top 1500 HS LatitudeLongitude'!E:E=H268),1,0,randarray(COUNTA(FILTER('Top 1500 HS LatitudeLongitude'!B:B,'Top"&amp;" 1500 HS LatitudeLongitude'!C:C=I268,'Top 1500 HS LatitudeLongitude'!E:E=H268)),1),TRUE)
)"),"")</f>
        <v/>
      </c>
      <c r="S268" s="13" t="b">
        <f>ISNUMBER(MATCH("*"&amp;H:H&amp;"*",'Public Schools'!C:C,0))</f>
        <v>1</v>
      </c>
      <c r="T268" s="13" t="str">
        <f ca="1">IFERROR(__xludf.DUMMYFUNCTION("IFERROR(IF(AND(R268="""",S268=true), SORTN(FILTER('Public Schools'!A:A,'Public Schools'!B:B=J268,'Public Schools'!C:C=H268),1,0,randarray(COUNTA(FILTER('Public Schools'!A:A,'Public Schools'!B:B=J268,'Public Schools'!C:C=H268)),1),TRUE),""""),"""")"),"")</f>
        <v/>
      </c>
      <c r="U268" s="23" t="str">
        <f t="array" aca="1" ref="U268" ca="1">IF(AND(R268="",T268=""),INDEX('Top 1500 HS LatitudeLongitude'!B$2:B$1501,MATCH(MIN(SQRT(('Top 1500 HS LatitudeLongitude'!H$2:H$1501-F268)^2+('Top 1500 HS LatitudeLongitude'!I$2:I$1501-G268)^2)),SQRT( ('Top 1500 HS LatitudeLongitude'!H$2:H$1501-F268)^2+('Top 1500 HS LatitudeLongitude'!I$2:I$1501-G268)^2),0),1),"")</f>
        <v>Hamilton Southeastern (Fishers)</v>
      </c>
    </row>
    <row r="269" spans="2:21" ht="15.6">
      <c r="B269" s="8">
        <v>0.17787018509999999</v>
      </c>
      <c r="C269" s="9" t="s">
        <v>148</v>
      </c>
      <c r="D269" s="9" t="s">
        <v>473</v>
      </c>
      <c r="E269" s="37" t="s">
        <v>10062</v>
      </c>
      <c r="F269" s="8">
        <v>28.055599999999998</v>
      </c>
      <c r="G269" s="8">
        <v>-81.9542</v>
      </c>
      <c r="H269" s="3" t="str">
        <f t="shared" si="0"/>
        <v>Palmetto</v>
      </c>
      <c r="I269" s="3" t="str">
        <f t="shared" si="1"/>
        <v>GA</v>
      </c>
      <c r="J269" s="3" t="str">
        <f t="array" ref="J269">INDEX('State Abbreviations'!$B$2:$B$52,MATCH(I269,'State Abbreviations'!$A$2:$A$52,0))</f>
        <v>Georgia</v>
      </c>
      <c r="K269" s="123" t="e">
        <f t="shared" ca="1" si="12"/>
        <v>#NAME?</v>
      </c>
      <c r="L269" s="13">
        <f t="shared" ca="1" si="13"/>
        <v>9</v>
      </c>
      <c r="M269" s="13" t="str">
        <f ca="1">IFERROR(__xludf.DUMMYFUNCTION("IF(L269=10,ArrayFormula(VLOOKUP(QUERY(UNIQUE(RANDBETWEEN(ROW(INDIRECT(""A1:A""&amp;COUNTA('Leaving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69" s="13">
        <f t="shared" ca="1" si="14"/>
        <v>2</v>
      </c>
      <c r="O269" s="13"/>
      <c r="P269" s="13"/>
      <c r="Q269" s="13" t="b">
        <f>ISNUMBER(MATCH("*"&amp;E269&amp;"*",'Top 1500 HS LatitudeLongitude'!G:G,0))</f>
        <v>0</v>
      </c>
      <c r="R269" s="13" t="str">
        <f ca="1">IFERROR(__xludf.DUMMYFUNCTION("IFS(L269=10,"""",Q269=false,"""",N269=5,"""",Q269=true,SORTN(FILTER('Top 1500 HS LatitudeLongitude'!B:B,'Top 1500 HS LatitudeLongitude'!C:C=I269,'Top 1500 HS LatitudeLongitude'!E:E=H269),1,0,randarray(COUNTA(FILTER('Top 1500 HS LatitudeLongitude'!B:B,'Top"&amp;" 1500 HS LatitudeLongitude'!C:C=I269,'Top 1500 HS LatitudeLongitude'!E:E=H269)),1),TRUE)
)"),"")</f>
        <v/>
      </c>
      <c r="S269" s="13" t="b">
        <f>ISNUMBER(MATCH("*"&amp;H:H&amp;"*",'Public Schools'!C:C,0))</f>
        <v>1</v>
      </c>
      <c r="T269" s="13" t="str">
        <f ca="1">IFERROR(__xludf.DUMMYFUNCTION("IFERROR(IF(AND(R269="""",S269=true), SORTN(FILTER('Public Schools'!A:A,'Public Schools'!B:B=J269,'Public Schools'!C:C=H269),1,0,randarray(COUNTA(FILTER('Public Schools'!A:A,'Public Schools'!B:B=J269,'Public Schools'!C:C=H269)),1),TRUE),""""),"""")"),"")</f>
        <v/>
      </c>
      <c r="U269" s="23" t="str">
        <f t="array" aca="1" ref="U269" ca="1">IF(AND(R269="",T269=""),INDEX('Top 1500 HS LatitudeLongitude'!B$2:B$1501,MATCH(MIN(SQRT(('Top 1500 HS LatitudeLongitude'!H$2:H$1501-F269)^2+('Top 1500 HS LatitudeLongitude'!I$2:I$1501-G269)^2)),SQRT( ('Top 1500 HS LatitudeLongitude'!H$2:H$1501-F269)^2+('Top 1500 HS LatitudeLongitude'!I$2:I$1501-G269)^2),0),1),"")</f>
        <v>Santa Fe Catholic (Lakeland)</v>
      </c>
    </row>
    <row r="270" spans="2:21" ht="15.6">
      <c r="B270" s="8">
        <v>2.4350479590000002E-3</v>
      </c>
      <c r="C270" s="9" t="s">
        <v>300</v>
      </c>
      <c r="D270" s="9" t="s">
        <v>474</v>
      </c>
      <c r="E270" s="124" t="s">
        <v>10098</v>
      </c>
      <c r="F270" s="8">
        <v>33.5276</v>
      </c>
      <c r="G270" s="8">
        <v>-86.798599999999993</v>
      </c>
      <c r="H270" s="3" t="str">
        <f t="shared" si="0"/>
        <v>Merrill</v>
      </c>
      <c r="I270" s="3" t="str">
        <f t="shared" si="1"/>
        <v>WI</v>
      </c>
      <c r="J270" s="3" t="str">
        <f t="array" ref="J270">INDEX('State Abbreviations'!$B$2:$B$52,MATCH(I270,'State Abbreviations'!$A$2:$A$52,0))</f>
        <v>Wisconsin</v>
      </c>
      <c r="K270" s="123" t="e">
        <f t="shared" ca="1" si="12"/>
        <v>#NAME?</v>
      </c>
      <c r="L270" s="13">
        <f t="shared" ca="1" si="13"/>
        <v>6</v>
      </c>
      <c r="M270" s="13" t="str">
        <f ca="1">IFERROR(__xludf.DUMMYFUNCTION("IF(L270=10,ArrayFormula(VLOOKUP(QUERY(UNIQUE(RANDBETWEEN(ROW(INDIRECT(""A1:A""&amp;COUNTA('Leaving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0" s="13">
        <f t="shared" ca="1" si="14"/>
        <v>2</v>
      </c>
      <c r="O270" s="13"/>
      <c r="P270" s="13"/>
      <c r="Q270" s="13" t="b">
        <f>ISNUMBER(MATCH("*"&amp;E270&amp;"*",'Top 1500 HS LatitudeLongitude'!G:G,0))</f>
        <v>0</v>
      </c>
      <c r="R270" s="13" t="str">
        <f ca="1">IFERROR(__xludf.DUMMYFUNCTION("IFS(L270=10,"""",Q270=false,"""",N270=5,"""",Q270=true,SORTN(FILTER('Top 1500 HS LatitudeLongitude'!B:B,'Top 1500 HS LatitudeLongitude'!C:C=I270,'Top 1500 HS LatitudeLongitude'!E:E=H270),1,0,randarray(COUNTA(FILTER('Top 1500 HS LatitudeLongitude'!B:B,'Top"&amp;" 1500 HS LatitudeLongitude'!C:C=I270,'Top 1500 HS LatitudeLongitude'!E:E=H270)),1),TRUE)
)"),"")</f>
        <v/>
      </c>
      <c r="S270" s="13" t="b">
        <f>ISNUMBER(MATCH("*"&amp;H:H&amp;"*",'Public Schools'!C:C,0))</f>
        <v>1</v>
      </c>
      <c r="T270" s="13" t="str">
        <f ca="1">IFERROR(__xludf.DUMMYFUNCTION("IFERROR(IF(AND(R270="""",S270=true), SORTN(FILTER('Public Schools'!A:A,'Public Schools'!B:B=J270,'Public Schools'!C:C=H270),1,0,randarray(COUNTA(FILTER('Public Schools'!A:A,'Public Schools'!B:B=J270,'Public Schools'!C:C=H270)),1),TRUE),""""),"""")"),"Merrill High School")</f>
        <v>Merrill High School</v>
      </c>
      <c r="U270" s="23" t="str">
        <f t="array" aca="1" ref="U270" ca="1">IF(AND(R270="",T270=""),INDEX('Top 1500 HS LatitudeLongitude'!B$2:B$1501,MATCH(MIN(SQRT(('Top 1500 HS LatitudeLongitude'!H$2:H$1501-F270)^2+('Top 1500 HS LatitudeLongitude'!I$2:I$1501-G270)^2)),SQRT( ('Top 1500 HS LatitudeLongitude'!H$2:H$1501-F270)^2+('Top 1500 HS LatitudeLongitude'!I$2:I$1501-G270)^2),0),1),"")</f>
        <v/>
      </c>
    </row>
    <row r="271" spans="2:21" ht="15.6">
      <c r="B271" s="8">
        <v>9.1283853400000003E-2</v>
      </c>
      <c r="C271" s="9" t="s">
        <v>47</v>
      </c>
      <c r="D271" s="9" t="s">
        <v>323</v>
      </c>
      <c r="E271" s="37" t="s">
        <v>3103</v>
      </c>
      <c r="F271" s="8">
        <v>33.884099999999997</v>
      </c>
      <c r="G271" s="8">
        <v>-117.92789999999999</v>
      </c>
      <c r="H271" s="3" t="str">
        <f t="shared" si="0"/>
        <v>Los Angeles</v>
      </c>
      <c r="I271" s="3" t="str">
        <f t="shared" si="1"/>
        <v>CA</v>
      </c>
      <c r="J271" s="3" t="str">
        <f t="array" ref="J271">INDEX('State Abbreviations'!$B$2:$B$52,MATCH(I271,'State Abbreviations'!$A$2:$A$52,0))</f>
        <v>California</v>
      </c>
      <c r="K271" s="123" t="e">
        <f t="shared" ca="1" si="12"/>
        <v>#NAME?</v>
      </c>
      <c r="L271" s="13">
        <f t="shared" ca="1" si="13"/>
        <v>4</v>
      </c>
      <c r="M271" s="13" t="str">
        <f ca="1">IFERROR(__xludf.DUMMYFUNCTION("IF(L271=10,ArrayFormula(VLOOKUP(QUERY(UNIQUE(RANDBETWEEN(ROW(INDIRECT(""A1:A""&amp;COUNTA('Leaving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1" s="13">
        <f t="shared" ca="1" si="14"/>
        <v>3</v>
      </c>
      <c r="O271" s="13"/>
      <c r="P271" s="13"/>
      <c r="Q271" s="13" t="b">
        <f>ISNUMBER(MATCH("*"&amp;E271&amp;"*",'Top 1500 HS LatitudeLongitude'!G:G,0))</f>
        <v>1</v>
      </c>
      <c r="R271" s="13" t="str">
        <f ca="1">IFERROR(__xludf.DUMMYFUNCTION("IFS(L271=10,"""",Q271=false,"""",N271=5,"""",Q271=true,SORTN(FILTER('Top 1500 HS LatitudeLongitude'!B:B,'Top 1500 HS LatitudeLongitude'!C:C=I271,'Top 1500 HS LatitudeLongitude'!E:E=H271),1,0,randarray(COUNTA(FILTER('Top 1500 HS LatitudeLongitude'!B:B,'Top"&amp;" 1500 HS LatitudeLongitude'!C:C=I271,'Top 1500 HS LatitudeLongitude'!E:E=H271)),1),TRUE)
)"),"Salesian (Los Angeles)")</f>
        <v>Salesian (Los Angeles)</v>
      </c>
      <c r="S271" s="13" t="b">
        <f>ISNUMBER(MATCH("*"&amp;H:H&amp;"*",'Public Schools'!C:C,0))</f>
        <v>1</v>
      </c>
      <c r="T271" s="13" t="str">
        <f ca="1">IFERROR(__xludf.DUMMYFUNCTION("IFERROR(IF(AND(R271="""",S271=true), SORTN(FILTER('Public Schools'!A:A,'Public Schools'!B:B=J271,'Public Schools'!C:C=H271),1,0,randarray(COUNTA(FILTER('Public Schools'!A:A,'Public Schools'!B:B=J271,'Public Schools'!C:C=H271)),1),TRUE),""""),"""")"),"")</f>
        <v/>
      </c>
      <c r="U271" s="23" t="str">
        <f t="array" aca="1" ref="U271" ca="1">IF(AND(R271="",T271=""),INDEX('Top 1500 HS LatitudeLongitude'!B$2:B$1501,MATCH(MIN(SQRT(('Top 1500 HS LatitudeLongitude'!H$2:H$1501-F271)^2+('Top 1500 HS LatitudeLongitude'!I$2:I$1501-G271)^2)),SQRT( ('Top 1500 HS LatitudeLongitude'!H$2:H$1501-F271)^2+('Top 1500 HS LatitudeLongitude'!I$2:I$1501-G271)^2),0),1),"")</f>
        <v/>
      </c>
    </row>
    <row r="272" spans="2:21" ht="15.6">
      <c r="B272" s="8">
        <v>0.2456292662</v>
      </c>
      <c r="C272" s="9" t="s">
        <v>256</v>
      </c>
      <c r="D272" s="9" t="s">
        <v>257</v>
      </c>
      <c r="E272" s="124" t="s">
        <v>967</v>
      </c>
      <c r="F272" s="8">
        <v>34.2468</v>
      </c>
      <c r="G272" s="8">
        <v>-84.490200000000002</v>
      </c>
      <c r="H272" s="3" t="str">
        <f t="shared" si="0"/>
        <v>Memphis</v>
      </c>
      <c r="I272" s="3" t="str">
        <f t="shared" si="1"/>
        <v>TN</v>
      </c>
      <c r="J272" s="3" t="str">
        <f t="array" ref="J272">INDEX('State Abbreviations'!$B$2:$B$52,MATCH(I272,'State Abbreviations'!$A$2:$A$52,0))</f>
        <v>Tennessee</v>
      </c>
      <c r="K272" s="123" t="e">
        <f t="shared" ca="1" si="12"/>
        <v>#NAME?</v>
      </c>
      <c r="L272" s="13">
        <f t="shared" ca="1" si="13"/>
        <v>2</v>
      </c>
      <c r="M272" s="13" t="str">
        <f ca="1">IFERROR(__xludf.DUMMYFUNCTION("IF(L272=10,ArrayFormula(VLOOKUP(QUERY(UNIQUE(RANDBETWEEN(ROW(INDIRECT(""A1:A""&amp;COUNTA('Leaving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2" s="13">
        <f t="shared" ca="1" si="14"/>
        <v>2</v>
      </c>
      <c r="O272" s="13"/>
      <c r="P272" s="13"/>
      <c r="Q272" s="13" t="b">
        <f>ISNUMBER(MATCH("*"&amp;E272&amp;"*",'Top 1500 HS LatitudeLongitude'!G:G,0))</f>
        <v>1</v>
      </c>
      <c r="R272" s="13" t="str">
        <f ca="1">IFERROR(__xludf.DUMMYFUNCTION("IFS(L272=10,"""",Q272=false,"""",N272=5,"""",Q272=true,SORTN(FILTER('Top 1500 HS LatitudeLongitude'!B:B,'Top 1500 HS LatitudeLongitude'!C:C=I272,'Top 1500 HS LatitudeLongitude'!E:E=H272),1,0,randarray(COUNTA(FILTER('Top 1500 HS LatitudeLongitude'!B:B,'Top"&amp;" 1500 HS LatitudeLongitude'!C:C=I272,'Top 1500 HS LatitudeLongitude'!E:E=H272)),1),TRUE)
)"),"Memphis Central (Memphis)")</f>
        <v>Memphis Central (Memphis)</v>
      </c>
      <c r="S272" s="13" t="b">
        <f>ISNUMBER(MATCH("*"&amp;H:H&amp;"*",'Public Schools'!C:C,0))</f>
        <v>1</v>
      </c>
      <c r="T272" s="13" t="str">
        <f ca="1">IFERROR(__xludf.DUMMYFUNCTION("IFERROR(IF(AND(R272="""",S272=true), SORTN(FILTER('Public Schools'!A:A,'Public Schools'!B:B=J272,'Public Schools'!C:C=H272),1,0,randarray(COUNTA(FILTER('Public Schools'!A:A,'Public Schools'!B:B=J272,'Public Schools'!C:C=H272)),1),TRUE),""""),"""")"),"")</f>
        <v/>
      </c>
      <c r="U272" s="23" t="str">
        <f t="array" aca="1" ref="U272" ca="1">IF(AND(R272="",T272=""),INDEX('Top 1500 HS LatitudeLongitude'!B$2:B$1501,MATCH(MIN(SQRT(('Top 1500 HS LatitudeLongitude'!H$2:H$1501-F272)^2+('Top 1500 HS LatitudeLongitude'!I$2:I$1501-G272)^2)),SQRT( ('Top 1500 HS LatitudeLongitude'!H$2:H$1501-F272)^2+('Top 1500 HS LatitudeLongitude'!I$2:I$1501-G272)^2),0),1),"")</f>
        <v/>
      </c>
    </row>
    <row r="273" spans="2:21" ht="15.6">
      <c r="B273" s="8">
        <v>0.80430837560000001</v>
      </c>
      <c r="C273" s="9" t="s">
        <v>47</v>
      </c>
      <c r="D273" s="9" t="s">
        <v>475</v>
      </c>
      <c r="E273" s="37" t="s">
        <v>10183</v>
      </c>
      <c r="F273" s="8">
        <v>35.0657</v>
      </c>
      <c r="G273" s="8">
        <v>-85.248800000000003</v>
      </c>
      <c r="H273" s="3" t="str">
        <f t="shared" si="0"/>
        <v>Aptos</v>
      </c>
      <c r="I273" s="3" t="str">
        <f t="shared" si="1"/>
        <v>CA</v>
      </c>
      <c r="J273" s="3" t="str">
        <f t="array" ref="J273">INDEX('State Abbreviations'!$B$2:$B$52,MATCH(I273,'State Abbreviations'!$A$2:$A$52,0))</f>
        <v>California</v>
      </c>
      <c r="K273" s="123" t="e">
        <f t="shared" ca="1" si="12"/>
        <v>#NAME?</v>
      </c>
      <c r="L273" s="13">
        <f t="shared" ca="1" si="13"/>
        <v>9</v>
      </c>
      <c r="M273" s="13" t="str">
        <f ca="1">IFERROR(__xludf.DUMMYFUNCTION("IF(L273=10,ArrayFormula(VLOOKUP(QUERY(UNIQUE(RANDBETWEEN(ROW(INDIRECT(""A1:A""&amp;COUNTA('Leaving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3" s="13">
        <f t="shared" ca="1" si="14"/>
        <v>2</v>
      </c>
      <c r="O273" s="13"/>
      <c r="P273" s="13"/>
      <c r="Q273" s="13" t="b">
        <f>ISNUMBER(MATCH("*"&amp;E273&amp;"*",'Top 1500 HS LatitudeLongitude'!G:G,0))</f>
        <v>0</v>
      </c>
      <c r="R273" s="13" t="str">
        <f ca="1">IFERROR(__xludf.DUMMYFUNCTION("IFS(L273=10,"""",Q273=false,"""",N273=5,"""",Q273=true,SORTN(FILTER('Top 1500 HS LatitudeLongitude'!B:B,'Top 1500 HS LatitudeLongitude'!C:C=I273,'Top 1500 HS LatitudeLongitude'!E:E=H273),1,0,randarray(COUNTA(FILTER('Top 1500 HS LatitudeLongitude'!B:B,'Top"&amp;" 1500 HS LatitudeLongitude'!C:C=I273,'Top 1500 HS LatitudeLongitude'!E:E=H273)),1),TRUE)
)"),"")</f>
        <v/>
      </c>
      <c r="S273" s="13" t="b">
        <f>ISNUMBER(MATCH("*"&amp;H:H&amp;"*",'Public Schools'!C:C,0))</f>
        <v>1</v>
      </c>
      <c r="T273" s="13" t="str">
        <f ca="1">IFERROR(__xludf.DUMMYFUNCTION("IFERROR(IF(AND(R273="""",S273=true), SORTN(FILTER('Public Schools'!A:A,'Public Schools'!B:B=J273,'Public Schools'!C:C=H273),1,0,randarray(COUNTA(FILTER('Public Schools'!A:A,'Public Schools'!B:B=J273,'Public Schools'!C:C=H273)),1),TRUE),""""),"""")"),"Aptos High School")</f>
        <v>Aptos High School</v>
      </c>
      <c r="U273" s="23" t="str">
        <f t="array" aca="1" ref="U273" ca="1">IF(AND(R273="",T273=""),INDEX('Top 1500 HS LatitudeLongitude'!B$2:B$1501,MATCH(MIN(SQRT(('Top 1500 HS LatitudeLongitude'!H$2:H$1501-F273)^2+('Top 1500 HS LatitudeLongitude'!I$2:I$1501-G273)^2)),SQRT( ('Top 1500 HS LatitudeLongitude'!H$2:H$1501-F273)^2+('Top 1500 HS LatitudeLongitude'!I$2:I$1501-G273)^2),0),1),"")</f>
        <v/>
      </c>
    </row>
    <row r="274" spans="2:21" ht="15.6">
      <c r="B274" s="8">
        <v>0.85532315039999995</v>
      </c>
      <c r="C274" s="9" t="s">
        <v>148</v>
      </c>
      <c r="D274" s="9" t="s">
        <v>476</v>
      </c>
      <c r="E274" s="124" t="s">
        <v>10217</v>
      </c>
      <c r="F274" s="8">
        <v>31.847799999999999</v>
      </c>
      <c r="G274" s="8">
        <v>-106.431</v>
      </c>
      <c r="H274" s="3" t="str">
        <f t="shared" si="0"/>
        <v>Union Point</v>
      </c>
      <c r="I274" s="3" t="str">
        <f t="shared" si="1"/>
        <v>GA</v>
      </c>
      <c r="J274" s="3" t="str">
        <f t="array" ref="J274">INDEX('State Abbreviations'!$B$2:$B$52,MATCH(I274,'State Abbreviations'!$A$2:$A$52,0))</f>
        <v>Georgia</v>
      </c>
      <c r="K274" s="123" t="e">
        <f t="shared" ca="1" si="12"/>
        <v>#NAME?</v>
      </c>
      <c r="L274" s="13">
        <f t="shared" ca="1" si="13"/>
        <v>9</v>
      </c>
      <c r="M274" s="13" t="str">
        <f ca="1">IFERROR(__xludf.DUMMYFUNCTION("IF(L274=10,ArrayFormula(VLOOKUP(QUERY(UNIQUE(RANDBETWEEN(ROW(INDIRECT(""A1:A""&amp;COUNTA('Leaving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4" s="13">
        <f t="shared" ca="1" si="14"/>
        <v>4</v>
      </c>
      <c r="O274" s="13"/>
      <c r="P274" s="13"/>
      <c r="Q274" s="13" t="b">
        <f>ISNUMBER(MATCH("*"&amp;E274&amp;"*",'Top 1500 HS LatitudeLongitude'!G:G,0))</f>
        <v>0</v>
      </c>
      <c r="R274" s="13" t="str">
        <f ca="1">IFERROR(__xludf.DUMMYFUNCTION("IFS(L274=10,"""",Q274=false,"""",N274=5,"""",Q274=true,SORTN(FILTER('Top 1500 HS LatitudeLongitude'!B:B,'Top 1500 HS LatitudeLongitude'!C:C=I274,'Top 1500 HS LatitudeLongitude'!E:E=H274),1,0,randarray(COUNTA(FILTER('Top 1500 HS LatitudeLongitude'!B:B,'Top"&amp;" 1500 HS LatitudeLongitude'!C:C=I274,'Top 1500 HS LatitudeLongitude'!E:E=H274)),1),TRUE)
)"),"")</f>
        <v/>
      </c>
      <c r="S274" s="13" t="b">
        <f>ISNUMBER(MATCH("*"&amp;H:H&amp;"*",'Public Schools'!C:C,0))</f>
        <v>0</v>
      </c>
      <c r="T274" s="13" t="str">
        <f ca="1">IFERROR(__xludf.DUMMYFUNCTION("IFERROR(IF(AND(R274="""",S274=true), SORTN(FILTER('Public Schools'!A:A,'Public Schools'!B:B=J274,'Public Schools'!C:C=H274),1,0,randarray(COUNTA(FILTER('Public Schools'!A:A,'Public Schools'!B:B=J274,'Public Schools'!C:C=H274)),1),TRUE),""""),"""")"),"")</f>
        <v/>
      </c>
      <c r="U274" s="23" t="str">
        <f t="array" aca="1" ref="U274" ca="1">IF(AND(R274="",T274=""),INDEX('Top 1500 HS LatitudeLongitude'!B$2:B$1501,MATCH(MIN(SQRT(('Top 1500 HS LatitudeLongitude'!H$2:H$1501-F274)^2+('Top 1500 HS LatitudeLongitude'!I$2:I$1501-G274)^2)),SQRT( ('Top 1500 HS LatitudeLongitude'!H$2:H$1501-F274)^2+('Top 1500 HS LatitudeLongitude'!I$2:I$1501-G274)^2),0),1),"")</f>
        <v>Andress (El Paso)</v>
      </c>
    </row>
    <row r="275" spans="2:21" ht="15.6">
      <c r="B275" s="8">
        <v>0.61488951160000005</v>
      </c>
      <c r="C275" s="9" t="s">
        <v>47</v>
      </c>
      <c r="D275" s="9" t="s">
        <v>260</v>
      </c>
      <c r="E275" s="37" t="s">
        <v>1116</v>
      </c>
      <c r="F275" s="8">
        <v>40.542200000000001</v>
      </c>
      <c r="G275" s="8">
        <v>-74.589200000000005</v>
      </c>
      <c r="H275" s="3" t="str">
        <f t="shared" si="0"/>
        <v>Riverside</v>
      </c>
      <c r="I275" s="3" t="str">
        <f t="shared" si="1"/>
        <v>CA</v>
      </c>
      <c r="J275" s="3" t="str">
        <f t="array" ref="J275">INDEX('State Abbreviations'!$B$2:$B$52,MATCH(I275,'State Abbreviations'!$A$2:$A$52,0))</f>
        <v>California</v>
      </c>
      <c r="K275" s="123" t="e">
        <f t="shared" ca="1" si="12"/>
        <v>#NAME?</v>
      </c>
      <c r="L275" s="13">
        <f t="shared" ca="1" si="13"/>
        <v>3</v>
      </c>
      <c r="M275" s="13" t="str">
        <f ca="1">IFERROR(__xludf.DUMMYFUNCTION("IF(L275=10,ArrayFormula(VLOOKUP(QUERY(UNIQUE(RANDBETWEEN(ROW(INDIRECT(""A1:A""&amp;COUNTA('Leaving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5" s="13">
        <f t="shared" ca="1" si="14"/>
        <v>3</v>
      </c>
      <c r="O275" s="13"/>
      <c r="P275" s="13"/>
      <c r="Q275" s="13" t="b">
        <f>ISNUMBER(MATCH("*"&amp;E275&amp;"*",'Top 1500 HS LatitudeLongitude'!G:G,0))</f>
        <v>1</v>
      </c>
      <c r="R275" s="13" t="str">
        <f ca="1">IFERROR(__xludf.DUMMYFUNCTION("IFS(L275=10,"""",Q275=false,"""",N275=5,"""",Q275=true,SORTN(FILTER('Top 1500 HS LatitudeLongitude'!B:B,'Top 1500 HS LatitudeLongitude'!C:C=I275,'Top 1500 HS LatitudeLongitude'!E:E=H275),1,0,randarray(COUNTA(FILTER('Top 1500 HS LatitudeLongitude'!B:B,'Top"&amp;" 1500 HS LatitudeLongitude'!C:C=I275,'Top 1500 HS LatitudeLongitude'!E:E=H275)),1),TRUE)
)"),"Hillcrest (Riverside)")</f>
        <v>Hillcrest (Riverside)</v>
      </c>
      <c r="S275" s="13" t="b">
        <f>ISNUMBER(MATCH("*"&amp;H:H&amp;"*",'Public Schools'!C:C,0))</f>
        <v>1</v>
      </c>
      <c r="T275" s="13" t="str">
        <f ca="1">IFERROR(__xludf.DUMMYFUNCTION("IFERROR(IF(AND(R275="""",S275=true), SORTN(FILTER('Public Schools'!A:A,'Public Schools'!B:B=J275,'Public Schools'!C:C=H275),1,0,randarray(COUNTA(FILTER('Public Schools'!A:A,'Public Schools'!B:B=J275,'Public Schools'!C:C=H275)),1),TRUE),""""),"""")"),"")</f>
        <v/>
      </c>
      <c r="U275" s="23" t="str">
        <f t="array" aca="1" ref="U275" ca="1">IF(AND(R275="",T275=""),INDEX('Top 1500 HS LatitudeLongitude'!B$2:B$1501,MATCH(MIN(SQRT(('Top 1500 HS LatitudeLongitude'!H$2:H$1501-F275)^2+('Top 1500 HS LatitudeLongitude'!I$2:I$1501-G275)^2)),SQRT( ('Top 1500 HS LatitudeLongitude'!H$2:H$1501-F275)^2+('Top 1500 HS LatitudeLongitude'!I$2:I$1501-G275)^2),0),1),"")</f>
        <v/>
      </c>
    </row>
    <row r="276" spans="2:21" ht="15.6">
      <c r="B276" s="8">
        <v>0.50079277899999997</v>
      </c>
      <c r="C276" s="9" t="s">
        <v>266</v>
      </c>
      <c r="D276" s="9" t="s">
        <v>477</v>
      </c>
      <c r="E276" s="124" t="s">
        <v>10304</v>
      </c>
      <c r="F276" s="8">
        <v>44.774500000000003</v>
      </c>
      <c r="G276" s="8">
        <v>-93.476299999999995</v>
      </c>
      <c r="H276" s="3" t="str">
        <f t="shared" si="0"/>
        <v>Martinsville</v>
      </c>
      <c r="I276" s="3" t="str">
        <f t="shared" si="1"/>
        <v>VA</v>
      </c>
      <c r="J276" s="3" t="str">
        <f t="array" ref="J276">INDEX('State Abbreviations'!$B$2:$B$52,MATCH(I276,'State Abbreviations'!$A$2:$A$52,0))</f>
        <v>Virginia</v>
      </c>
      <c r="K276" s="123" t="e">
        <f t="shared" ca="1" si="12"/>
        <v>#NAME?</v>
      </c>
      <c r="L276" s="13">
        <f t="shared" ca="1" si="13"/>
        <v>2</v>
      </c>
      <c r="M276" s="13" t="str">
        <f ca="1">IFERROR(__xludf.DUMMYFUNCTION("IF(L276=10,ArrayFormula(VLOOKUP(QUERY(UNIQUE(RANDBETWEEN(ROW(INDIRECT(""A1:A""&amp;COUNTA('Leaving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6" s="13">
        <f t="shared" ca="1" si="14"/>
        <v>3</v>
      </c>
      <c r="O276" s="13"/>
      <c r="P276" s="13"/>
      <c r="Q276" s="13" t="b">
        <f>ISNUMBER(MATCH("*"&amp;E276&amp;"*",'Top 1500 HS LatitudeLongitude'!G:G,0))</f>
        <v>0</v>
      </c>
      <c r="R276" s="13" t="str">
        <f ca="1">IFERROR(__xludf.DUMMYFUNCTION("IFS(L276=10,"""",Q276=false,"""",N276=5,"""",Q276=true,SORTN(FILTER('Top 1500 HS LatitudeLongitude'!B:B,'Top 1500 HS LatitudeLongitude'!C:C=I276,'Top 1500 HS LatitudeLongitude'!E:E=H276),1,0,randarray(COUNTA(FILTER('Top 1500 HS LatitudeLongitude'!B:B,'Top"&amp;" 1500 HS LatitudeLongitude'!C:C=I276,'Top 1500 HS LatitudeLongitude'!E:E=H276)),1),TRUE)
)"),"")</f>
        <v/>
      </c>
      <c r="S276" s="13" t="b">
        <f>ISNUMBER(MATCH("*"&amp;H:H&amp;"*",'Public Schools'!C:C,0))</f>
        <v>1</v>
      </c>
      <c r="T276" s="13" t="str">
        <f ca="1">IFERROR(__xludf.DUMMYFUNCTION("IFERROR(IF(AND(R276="""",S276=true), SORTN(FILTER('Public Schools'!A:A,'Public Schools'!B:B=J276,'Public Schools'!C:C=H276),1,0,randarray(COUNTA(FILTER('Public Schools'!A:A,'Public Schools'!B:B=J276,'Public Schools'!C:C=H276)),1),TRUE),""""),"""")"),"Martinsville High School")</f>
        <v>Martinsville High School</v>
      </c>
      <c r="U276" s="23" t="str">
        <f t="array" aca="1" ref="U276" ca="1">IF(AND(R276="",T276=""),INDEX('Top 1500 HS LatitudeLongitude'!B$2:B$1501,MATCH(MIN(SQRT(('Top 1500 HS LatitudeLongitude'!H$2:H$1501-F276)^2+('Top 1500 HS LatitudeLongitude'!I$2:I$1501-G276)^2)),SQRT( ('Top 1500 HS LatitudeLongitude'!H$2:H$1501-F276)^2+('Top 1500 HS LatitudeLongitude'!I$2:I$1501-G276)^2),0),1),"")</f>
        <v/>
      </c>
    </row>
    <row r="277" spans="2:21" ht="15.6">
      <c r="B277" s="8">
        <v>0.17273590829999999</v>
      </c>
      <c r="C277" s="9" t="s">
        <v>266</v>
      </c>
      <c r="D277" s="9" t="s">
        <v>478</v>
      </c>
      <c r="E277" s="37" t="s">
        <v>10344</v>
      </c>
      <c r="F277" s="8">
        <v>30.3322</v>
      </c>
      <c r="G277" s="8">
        <v>-81.674899999999994</v>
      </c>
      <c r="H277" s="3" t="str">
        <f t="shared" si="0"/>
        <v>Emporia</v>
      </c>
      <c r="I277" s="3" t="str">
        <f t="shared" si="1"/>
        <v>VA</v>
      </c>
      <c r="J277" s="3" t="str">
        <f t="array" ref="J277">INDEX('State Abbreviations'!$B$2:$B$52,MATCH(I277,'State Abbreviations'!$A$2:$A$52,0))</f>
        <v>Virginia</v>
      </c>
      <c r="K277" s="123" t="e">
        <f t="shared" ca="1" si="12"/>
        <v>#NAME?</v>
      </c>
      <c r="L277" s="13">
        <f t="shared" ca="1" si="13"/>
        <v>6</v>
      </c>
      <c r="M277" s="13" t="str">
        <f ca="1">IFERROR(__xludf.DUMMYFUNCTION("IF(L277=10,ArrayFormula(VLOOKUP(QUERY(UNIQUE(RANDBETWEEN(ROW(INDIRECT(""A1:A""&amp;COUNTA('Leaving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7" s="13">
        <f t="shared" ca="1" si="14"/>
        <v>3</v>
      </c>
      <c r="O277" s="13"/>
      <c r="P277" s="13"/>
      <c r="Q277" s="13" t="b">
        <f>ISNUMBER(MATCH("*"&amp;E277&amp;"*",'Top 1500 HS LatitudeLongitude'!G:G,0))</f>
        <v>0</v>
      </c>
      <c r="R277" s="13" t="str">
        <f ca="1">IFERROR(__xludf.DUMMYFUNCTION("IFS(L277=10,"""",Q277=false,"""",N277=5,"""",Q277=true,SORTN(FILTER('Top 1500 HS LatitudeLongitude'!B:B,'Top 1500 HS LatitudeLongitude'!C:C=I277,'Top 1500 HS LatitudeLongitude'!E:E=H277),1,0,randarray(COUNTA(FILTER('Top 1500 HS LatitudeLongitude'!B:B,'Top"&amp;" 1500 HS LatitudeLongitude'!C:C=I277,'Top 1500 HS LatitudeLongitude'!E:E=H277)),1),TRUE)
)"),"")</f>
        <v/>
      </c>
      <c r="S277" s="13" t="b">
        <f>ISNUMBER(MATCH("*"&amp;H:H&amp;"*",'Public Schools'!C:C,0))</f>
        <v>1</v>
      </c>
      <c r="T277" s="13" t="str">
        <f ca="1">IFERROR(__xludf.DUMMYFUNCTION("IFERROR(IF(AND(R277="""",S277=true), SORTN(FILTER('Public Schools'!A:A,'Public Schools'!B:B=J277,'Public Schools'!C:C=H277),1,0,randarray(COUNTA(FILTER('Public Schools'!A:A,'Public Schools'!B:B=J277,'Public Schools'!C:C=H277)),1),TRUE),""""),"""")"),"Greensville County High School")</f>
        <v>Greensville County High School</v>
      </c>
      <c r="U277" s="23" t="str">
        <f t="array" aca="1" ref="U277" ca="1">IF(AND(R277="",T277=""),INDEX('Top 1500 HS LatitudeLongitude'!B$2:B$1501,MATCH(MIN(SQRT(('Top 1500 HS LatitudeLongitude'!H$2:H$1501-F277)^2+('Top 1500 HS LatitudeLongitude'!I$2:I$1501-G277)^2)),SQRT( ('Top 1500 HS LatitudeLongitude'!H$2:H$1501-F277)^2+('Top 1500 HS LatitudeLongitude'!I$2:I$1501-G277)^2),0),1),"")</f>
        <v/>
      </c>
    </row>
    <row r="278" spans="2:21" ht="15.6">
      <c r="B278" s="8">
        <v>0.57282138299999996</v>
      </c>
      <c r="C278" s="9" t="s">
        <v>456</v>
      </c>
      <c r="D278" s="9" t="s">
        <v>479</v>
      </c>
      <c r="E278" s="124" t="s">
        <v>10377</v>
      </c>
      <c r="F278" s="8">
        <v>36.089399999999998</v>
      </c>
      <c r="G278" s="8">
        <v>-79.273399999999995</v>
      </c>
      <c r="H278" s="3" t="str">
        <f t="shared" si="0"/>
        <v>Ottawa</v>
      </c>
      <c r="I278" s="3" t="str">
        <f t="shared" si="1"/>
        <v>KS</v>
      </c>
      <c r="J278" s="3" t="str">
        <f t="array" ref="J278">INDEX('State Abbreviations'!$B$2:$B$52,MATCH(I278,'State Abbreviations'!$A$2:$A$52,0))</f>
        <v>Kansas</v>
      </c>
      <c r="K278" s="123" t="e">
        <f t="shared" ca="1" si="12"/>
        <v>#NAME?</v>
      </c>
      <c r="L278" s="13">
        <f t="shared" ca="1" si="13"/>
        <v>1</v>
      </c>
      <c r="M278" s="13" t="str">
        <f ca="1">IFERROR(__xludf.DUMMYFUNCTION("IF(L278=10,ArrayFormula(VLOOKUP(QUERY(UNIQUE(RANDBETWEEN(ROW(INDIRECT(""A1:A""&amp;COUNTA('Leaving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8" s="13">
        <f t="shared" ca="1" si="14"/>
        <v>4</v>
      </c>
      <c r="O278" s="13"/>
      <c r="P278" s="13"/>
      <c r="Q278" s="13" t="b">
        <f>ISNUMBER(MATCH("*"&amp;E278&amp;"*",'Top 1500 HS LatitudeLongitude'!G:G,0))</f>
        <v>0</v>
      </c>
      <c r="R278" s="13" t="str">
        <f ca="1">IFERROR(__xludf.DUMMYFUNCTION("IFS(L278=10,"""",Q278=false,"""",N278=5,"""",Q278=true,SORTN(FILTER('Top 1500 HS LatitudeLongitude'!B:B,'Top 1500 HS LatitudeLongitude'!C:C=I278,'Top 1500 HS LatitudeLongitude'!E:E=H278),1,0,randarray(COUNTA(FILTER('Top 1500 HS LatitudeLongitude'!B:B,'Top"&amp;" 1500 HS LatitudeLongitude'!C:C=I278,'Top 1500 HS LatitudeLongitude'!E:E=H278)),1),TRUE)
)"),"")</f>
        <v/>
      </c>
      <c r="S278" s="13" t="b">
        <f>ISNUMBER(MATCH("*"&amp;H:H&amp;"*",'Public Schools'!C:C,0))</f>
        <v>1</v>
      </c>
      <c r="T278" s="13" t="str">
        <f ca="1">IFERROR(__xludf.DUMMYFUNCTION("IFERROR(IF(AND(R278="""",S278=true), SORTN(FILTER('Public Schools'!A:A,'Public Schools'!B:B=J278,'Public Schools'!C:C=H278),1,0,randarray(COUNTA(FILTER('Public Schools'!A:A,'Public Schools'!B:B=J278,'Public Schools'!C:C=H278)),1),TRUE),""""),"""")"),"Ottawa Sr High School")</f>
        <v>Ottawa Sr High School</v>
      </c>
      <c r="U278" s="23" t="str">
        <f t="array" aca="1" ref="U278" ca="1">IF(AND(R278="",T278=""),INDEX('Top 1500 HS LatitudeLongitude'!B$2:B$1501,MATCH(MIN(SQRT(('Top 1500 HS LatitudeLongitude'!H$2:H$1501-F278)^2+('Top 1500 HS LatitudeLongitude'!I$2:I$1501-G278)^2)),SQRT( ('Top 1500 HS LatitudeLongitude'!H$2:H$1501-F278)^2+('Top 1500 HS LatitudeLongitude'!I$2:I$1501-G278)^2),0),1),"")</f>
        <v/>
      </c>
    </row>
    <row r="279" spans="2:21" ht="15.6">
      <c r="B279" s="8">
        <v>0.3295934123</v>
      </c>
      <c r="C279" s="9" t="s">
        <v>254</v>
      </c>
      <c r="D279" s="9" t="s">
        <v>480</v>
      </c>
      <c r="E279" s="37" t="s">
        <v>10402</v>
      </c>
      <c r="F279" s="8">
        <v>39.926000000000002</v>
      </c>
      <c r="G279" s="8">
        <v>-88.964299999999994</v>
      </c>
      <c r="H279" s="3" t="str">
        <f t="shared" si="0"/>
        <v>North Chicago</v>
      </c>
      <c r="I279" s="3" t="str">
        <f t="shared" si="1"/>
        <v>IL</v>
      </c>
      <c r="J279" s="3" t="str">
        <f t="array" ref="J279">INDEX('State Abbreviations'!$B$2:$B$52,MATCH(I279,'State Abbreviations'!$A$2:$A$52,0))</f>
        <v>Illinois</v>
      </c>
      <c r="K279" s="123" t="e">
        <f t="shared" ca="1" si="12"/>
        <v>#NAME?</v>
      </c>
      <c r="L279" s="13">
        <f t="shared" ca="1" si="13"/>
        <v>8</v>
      </c>
      <c r="M279" s="13" t="str">
        <f ca="1">IFERROR(__xludf.DUMMYFUNCTION("IF(L279=10,ArrayFormula(VLOOKUP(QUERY(UNIQUE(RANDBETWEEN(ROW(INDIRECT(""A1:A""&amp;COUNTA('Leaving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79" s="13">
        <f t="shared" ca="1" si="14"/>
        <v>4</v>
      </c>
      <c r="O279" s="13"/>
      <c r="P279" s="13"/>
      <c r="Q279" s="13" t="b">
        <f>ISNUMBER(MATCH("*"&amp;E279&amp;"*",'Top 1500 HS LatitudeLongitude'!G:G,0))</f>
        <v>0</v>
      </c>
      <c r="R279" s="13" t="str">
        <f ca="1">IFERROR(__xludf.DUMMYFUNCTION("IFS(L279=10,"""",Q279=false,"""",N279=5,"""",Q279=true,SORTN(FILTER('Top 1500 HS LatitudeLongitude'!B:B,'Top 1500 HS LatitudeLongitude'!C:C=I279,'Top 1500 HS LatitudeLongitude'!E:E=H279),1,0,randarray(COUNTA(FILTER('Top 1500 HS LatitudeLongitude'!B:B,'Top"&amp;" 1500 HS LatitudeLongitude'!C:C=I279,'Top 1500 HS LatitudeLongitude'!E:E=H279)),1),TRUE)
)"),"")</f>
        <v/>
      </c>
      <c r="S279" s="13" t="b">
        <f>ISNUMBER(MATCH("*"&amp;H:H&amp;"*",'Public Schools'!C:C,0))</f>
        <v>1</v>
      </c>
      <c r="T279" s="13" t="str">
        <f ca="1">IFERROR(__xludf.DUMMYFUNCTION("IFERROR(IF(AND(R279="""",S279=true), SORTN(FILTER('Public Schools'!A:A,'Public Schools'!B:B=J279,'Public Schools'!C:C=H279),1,0,randarray(COUNTA(FILTER('Public Schools'!A:A,'Public Schools'!B:B=J279,'Public Schools'!C:C=H279)),1),TRUE),""""),"""")"),"North Chicago Community High School Sch")</f>
        <v>North Chicago Community High School Sch</v>
      </c>
      <c r="U279" s="23" t="str">
        <f t="array" aca="1" ref="U279" ca="1">IF(AND(R279="",T279=""),INDEX('Top 1500 HS LatitudeLongitude'!B$2:B$1501,MATCH(MIN(SQRT(('Top 1500 HS LatitudeLongitude'!H$2:H$1501-F279)^2+('Top 1500 HS LatitudeLongitude'!I$2:I$1501-G279)^2)),SQRT( ('Top 1500 HS LatitudeLongitude'!H$2:H$1501-F279)^2+('Top 1500 HS LatitudeLongitude'!I$2:I$1501-G279)^2),0),1),"")</f>
        <v/>
      </c>
    </row>
    <row r="280" spans="2:21" ht="15.6">
      <c r="B280" s="8">
        <v>0.56900371149999995</v>
      </c>
      <c r="C280" s="9" t="s">
        <v>221</v>
      </c>
      <c r="D280" s="9" t="s">
        <v>481</v>
      </c>
      <c r="E280" s="124" t="s">
        <v>10432</v>
      </c>
      <c r="F280" s="8">
        <v>36.106499999999997</v>
      </c>
      <c r="G280" s="8">
        <v>-80.084800000000001</v>
      </c>
      <c r="H280" s="3" t="str">
        <f t="shared" si="0"/>
        <v>Byfield</v>
      </c>
      <c r="I280" s="3" t="str">
        <f t="shared" si="1"/>
        <v>MA</v>
      </c>
      <c r="J280" s="3" t="str">
        <f t="array" ref="J280">INDEX('State Abbreviations'!$B$2:$B$52,MATCH(I280,'State Abbreviations'!$A$2:$A$52,0))</f>
        <v>Massachusetts</v>
      </c>
      <c r="K280" s="123" t="e">
        <f t="shared" ca="1" si="12"/>
        <v>#NAME?</v>
      </c>
      <c r="L280" s="13">
        <f t="shared" ca="1" si="13"/>
        <v>9</v>
      </c>
      <c r="M280" s="13" t="str">
        <f ca="1">IFERROR(__xludf.DUMMYFUNCTION("IF(L280=10,ArrayFormula(VLOOKUP(QUERY(UNIQUE(RANDBETWEEN(ROW(INDIRECT(""A1:A""&amp;COUNTA('Leaving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0" s="13">
        <f t="shared" ca="1" si="14"/>
        <v>2</v>
      </c>
      <c r="O280" s="13"/>
      <c r="P280" s="13"/>
      <c r="Q280" s="13" t="b">
        <f>ISNUMBER(MATCH("*"&amp;E280&amp;"*",'Top 1500 HS LatitudeLongitude'!G:G,0))</f>
        <v>0</v>
      </c>
      <c r="R280" s="13" t="str">
        <f ca="1">IFERROR(__xludf.DUMMYFUNCTION("IFS(L280=10,"""",Q280=false,"""",N280=5,"""",Q280=true,SORTN(FILTER('Top 1500 HS LatitudeLongitude'!B:B,'Top 1500 HS LatitudeLongitude'!C:C=I280,'Top 1500 HS LatitudeLongitude'!E:E=H280),1,0,randarray(COUNTA(FILTER('Top 1500 HS LatitudeLongitude'!B:B,'Top"&amp;" 1500 HS LatitudeLongitude'!C:C=I280,'Top 1500 HS LatitudeLongitude'!E:E=H280)),1),TRUE)
)"),"")</f>
        <v/>
      </c>
      <c r="S280" s="13" t="b">
        <f>ISNUMBER(MATCH("*"&amp;H:H&amp;"*",'Public Schools'!C:C,0))</f>
        <v>1</v>
      </c>
      <c r="T280" s="13" t="str">
        <f ca="1">IFERROR(__xludf.DUMMYFUNCTION("IFERROR(IF(AND(R280="""",S280=true), SORTN(FILTER('Public Schools'!A:A,'Public Schools'!B:B=J280,'Public Schools'!C:C=H280),1,0,randarray(COUNTA(FILTER('Public Schools'!A:A,'Public Schools'!B:B=J280,'Public Schools'!C:C=H280)),1),TRUE),""""),"""")"),"Triton Regional High School")</f>
        <v>Triton Regional High School</v>
      </c>
      <c r="U280" s="23" t="str">
        <f t="array" aca="1" ref="U280" ca="1">IF(AND(R280="",T280=""),INDEX('Top 1500 HS LatitudeLongitude'!B$2:B$1501,MATCH(MIN(SQRT(('Top 1500 HS LatitudeLongitude'!H$2:H$1501-F280)^2+('Top 1500 HS LatitudeLongitude'!I$2:I$1501-G280)^2)),SQRT( ('Top 1500 HS LatitudeLongitude'!H$2:H$1501-F280)^2+('Top 1500 HS LatitudeLongitude'!I$2:I$1501-G280)^2),0),1),"")</f>
        <v/>
      </c>
    </row>
    <row r="281" spans="2:21" ht="15.6">
      <c r="B281" s="8">
        <v>0.42673175390000001</v>
      </c>
      <c r="C281" s="9" t="s">
        <v>300</v>
      </c>
      <c r="D281" s="9" t="s">
        <v>482</v>
      </c>
      <c r="E281" s="37" t="s">
        <v>10473</v>
      </c>
      <c r="F281" s="8">
        <v>39.305100000000003</v>
      </c>
      <c r="G281" s="8">
        <v>-76.614400000000003</v>
      </c>
      <c r="H281" s="3" t="str">
        <f t="shared" si="0"/>
        <v>Fond Du Lac</v>
      </c>
      <c r="I281" s="3" t="str">
        <f t="shared" si="1"/>
        <v>WI</v>
      </c>
      <c r="J281" s="3" t="str">
        <f t="array" ref="J281">INDEX('State Abbreviations'!$B$2:$B$52,MATCH(I281,'State Abbreviations'!$A$2:$A$52,0))</f>
        <v>Wisconsin</v>
      </c>
      <c r="K281" s="123" t="e">
        <f t="shared" ca="1" si="12"/>
        <v>#NAME?</v>
      </c>
      <c r="L281" s="13">
        <f t="shared" ca="1" si="13"/>
        <v>3</v>
      </c>
      <c r="M281" s="13" t="str">
        <f ca="1">IFERROR(__xludf.DUMMYFUNCTION("IF(L281=10,ArrayFormula(VLOOKUP(QUERY(UNIQUE(RANDBETWEEN(ROW(INDIRECT(""A1:A""&amp;COUNTA('Leaving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1" s="13">
        <f t="shared" ca="1" si="14"/>
        <v>3</v>
      </c>
      <c r="O281" s="13"/>
      <c r="P281" s="13"/>
      <c r="Q281" s="13" t="b">
        <f>ISNUMBER(MATCH("*"&amp;E281&amp;"*",'Top 1500 HS LatitudeLongitude'!G:G,0))</f>
        <v>0</v>
      </c>
      <c r="R281" s="13" t="str">
        <f ca="1">IFERROR(__xludf.DUMMYFUNCTION("IFS(L281=10,"""",Q281=false,"""",N281=5,"""",Q281=true,SORTN(FILTER('Top 1500 HS LatitudeLongitude'!B:B,'Top 1500 HS LatitudeLongitude'!C:C=I281,'Top 1500 HS LatitudeLongitude'!E:E=H281),1,0,randarray(COUNTA(FILTER('Top 1500 HS LatitudeLongitude'!B:B,'Top"&amp;" 1500 HS LatitudeLongitude'!C:C=I281,'Top 1500 HS LatitudeLongitude'!E:E=H281)),1),TRUE)
)"),"")</f>
        <v/>
      </c>
      <c r="S281" s="13" t="b">
        <f>ISNUMBER(MATCH("*"&amp;H:H&amp;"*",'Public Schools'!C:C,0))</f>
        <v>1</v>
      </c>
      <c r="T281" s="13" t="str">
        <f ca="1">IFERROR(__xludf.DUMMYFUNCTION("IFERROR(IF(AND(R281="""",S281=true), SORTN(FILTER('Public Schools'!A:A,'Public Schools'!B:B=J281,'Public Schools'!C:C=H281),1,0,randarray(COUNTA(FILTER('Public Schools'!A:A,'Public Schools'!B:B=J281,'Public Schools'!C:C=H281)),1),TRUE),""""),"""")"),"Fond Du Lac High School")</f>
        <v>Fond Du Lac High School</v>
      </c>
      <c r="U281" s="23" t="str">
        <f t="array" aca="1" ref="U281" ca="1">IF(AND(R281="",T281=""),INDEX('Top 1500 HS LatitudeLongitude'!B$2:B$1501,MATCH(MIN(SQRT(('Top 1500 HS LatitudeLongitude'!H$2:H$1501-F281)^2+('Top 1500 HS LatitudeLongitude'!I$2:I$1501-G281)^2)),SQRT( ('Top 1500 HS LatitudeLongitude'!H$2:H$1501-F281)^2+('Top 1500 HS LatitudeLongitude'!I$2:I$1501-G281)^2),0),1),"")</f>
        <v/>
      </c>
    </row>
    <row r="282" spans="2:21" ht="15.6">
      <c r="B282" s="8">
        <v>0.61858870669999999</v>
      </c>
      <c r="C282" s="9" t="s">
        <v>273</v>
      </c>
      <c r="D282" s="9" t="s">
        <v>483</v>
      </c>
      <c r="E282" s="124" t="s">
        <v>10506</v>
      </c>
      <c r="F282" s="8">
        <v>41.033200000000001</v>
      </c>
      <c r="G282" s="8">
        <v>-74.133200000000002</v>
      </c>
      <c r="H282" s="3" t="str">
        <f t="shared" si="0"/>
        <v>Union</v>
      </c>
      <c r="I282" s="3" t="str">
        <f t="shared" si="1"/>
        <v>MO</v>
      </c>
      <c r="J282" s="3" t="str">
        <f t="array" ref="J282">INDEX('State Abbreviations'!$B$2:$B$52,MATCH(I282,'State Abbreviations'!$A$2:$A$52,0))</f>
        <v>Missouri</v>
      </c>
      <c r="K282" s="123" t="e">
        <f t="shared" ca="1" si="12"/>
        <v>#NAME?</v>
      </c>
      <c r="L282" s="13">
        <f t="shared" ca="1" si="13"/>
        <v>5</v>
      </c>
      <c r="M282" s="13" t="str">
        <f ca="1">IFERROR(__xludf.DUMMYFUNCTION("IF(L282=10,ArrayFormula(VLOOKUP(QUERY(UNIQUE(RANDBETWEEN(ROW(INDIRECT(""A1:A""&amp;COUNTA('Leaving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2" s="13">
        <f t="shared" ca="1" si="14"/>
        <v>3</v>
      </c>
      <c r="O282" s="13"/>
      <c r="P282" s="13"/>
      <c r="Q282" s="13" t="b">
        <f>ISNUMBER(MATCH("*"&amp;E282&amp;"*",'Top 1500 HS LatitudeLongitude'!G:G,0))</f>
        <v>0</v>
      </c>
      <c r="R282" s="13" t="str">
        <f ca="1">IFERROR(__xludf.DUMMYFUNCTION("IFS(L282=10,"""",Q282=false,"""",N282=5,"""",Q282=true,SORTN(FILTER('Top 1500 HS LatitudeLongitude'!B:B,'Top 1500 HS LatitudeLongitude'!C:C=I282,'Top 1500 HS LatitudeLongitude'!E:E=H282),1,0,randarray(COUNTA(FILTER('Top 1500 HS LatitudeLongitude'!B:B,'Top"&amp;" 1500 HS LatitudeLongitude'!C:C=I282,'Top 1500 HS LatitudeLongitude'!E:E=H282)),1),TRUE)
)"),"")</f>
        <v/>
      </c>
      <c r="S282" s="13" t="b">
        <f>ISNUMBER(MATCH("*"&amp;H:H&amp;"*",'Public Schools'!C:C,0))</f>
        <v>1</v>
      </c>
      <c r="T282" s="13" t="str">
        <f ca="1">IFERROR(__xludf.DUMMYFUNCTION("IFERROR(IF(AND(R282="""",S282=true), SORTN(FILTER('Public Schools'!A:A,'Public Schools'!B:B=J282,'Public Schools'!C:C=H282),1,0,randarray(COUNTA(FILTER('Public Schools'!A:A,'Public Schools'!B:B=J282,'Public Schools'!C:C=H282)),1),TRUE),""""),"""")"),"Union High School")</f>
        <v>Union High School</v>
      </c>
      <c r="U282" s="23" t="str">
        <f t="array" aca="1" ref="U282" ca="1">IF(AND(R282="",T282=""),INDEX('Top 1500 HS LatitudeLongitude'!B$2:B$1501,MATCH(MIN(SQRT(('Top 1500 HS LatitudeLongitude'!H$2:H$1501-F282)^2+('Top 1500 HS LatitudeLongitude'!I$2:I$1501-G282)^2)),SQRT( ('Top 1500 HS LatitudeLongitude'!H$2:H$1501-F282)^2+('Top 1500 HS LatitudeLongitude'!I$2:I$1501-G282)^2),0),1),"")</f>
        <v/>
      </c>
    </row>
    <row r="283" spans="2:21" ht="15.6">
      <c r="B283" s="8">
        <v>0.17059974419999999</v>
      </c>
      <c r="C283" s="9" t="s">
        <v>206</v>
      </c>
      <c r="D283" s="9" t="s">
        <v>485</v>
      </c>
      <c r="E283" s="37" t="s">
        <v>10545</v>
      </c>
      <c r="F283" s="8">
        <v>30.3322</v>
      </c>
      <c r="G283" s="8">
        <v>-81.674899999999994</v>
      </c>
      <c r="H283" s="3" t="str">
        <f t="shared" si="0"/>
        <v>Woodway</v>
      </c>
      <c r="I283" s="3" t="str">
        <f t="shared" si="1"/>
        <v>TX</v>
      </c>
      <c r="J283" s="3" t="str">
        <f t="array" ref="J283">INDEX('State Abbreviations'!$B$2:$B$52,MATCH(I283,'State Abbreviations'!$A$2:$A$52,0))</f>
        <v>Texas</v>
      </c>
      <c r="K283" s="123" t="e">
        <f t="shared" ca="1" si="12"/>
        <v>#NAME?</v>
      </c>
      <c r="L283" s="13">
        <f t="shared" ca="1" si="13"/>
        <v>7</v>
      </c>
      <c r="M283" s="13" t="str">
        <f ca="1">IFERROR(__xludf.DUMMYFUNCTION("IF(L283=10,ArrayFormula(VLOOKUP(QUERY(UNIQUE(RANDBETWEEN(ROW(INDIRECT(""A1:A""&amp;COUNTA('Leaving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3" s="13">
        <f t="shared" ca="1" si="14"/>
        <v>3</v>
      </c>
      <c r="O283" s="13"/>
      <c r="P283" s="13"/>
      <c r="Q283" s="13" t="b">
        <f>ISNUMBER(MATCH("*"&amp;E283&amp;"*",'Top 1500 HS LatitudeLongitude'!G:G,0))</f>
        <v>0</v>
      </c>
      <c r="R283" s="13" t="str">
        <f ca="1">IFERROR(__xludf.DUMMYFUNCTION("IFS(L283=10,"""",Q283=false,"""",N283=5,"""",Q283=true,SORTN(FILTER('Top 1500 HS LatitudeLongitude'!B:B,'Top 1500 HS LatitudeLongitude'!C:C=I283,'Top 1500 HS LatitudeLongitude'!E:E=H283),1,0,randarray(COUNTA(FILTER('Top 1500 HS LatitudeLongitude'!B:B,'Top"&amp;" 1500 HS LatitudeLongitude'!C:C=I283,'Top 1500 HS LatitudeLongitude'!E:E=H283)),1),TRUE)
)"),"")</f>
        <v/>
      </c>
      <c r="S283" s="13" t="b">
        <f>ISNUMBER(MATCH("*"&amp;H:H&amp;"*",'Public Schools'!C:C,0))</f>
        <v>0</v>
      </c>
      <c r="T283" s="13" t="str">
        <f ca="1">IFERROR(__xludf.DUMMYFUNCTION("IFERROR(IF(AND(R283="""",S283=true), SORTN(FILTER('Public Schools'!A:A,'Public Schools'!B:B=J283,'Public Schools'!C:C=H283),1,0,randarray(COUNTA(FILTER('Public Schools'!A:A,'Public Schools'!B:B=J283,'Public Schools'!C:C=H283)),1),TRUE),""""),"""")"),"")</f>
        <v/>
      </c>
      <c r="U283" s="23" t="str">
        <f t="array" aca="1" ref="U283" ca="1">IF(AND(R283="",T283=""),INDEX('Top 1500 HS LatitudeLongitude'!B$2:B$1501,MATCH(MIN(SQRT(('Top 1500 HS LatitudeLongitude'!H$2:H$1501-F283)^2+('Top 1500 HS LatitudeLongitude'!I$2:I$1501-G283)^2)),SQRT( ('Top 1500 HS LatitudeLongitude'!H$2:H$1501-F283)^2+('Top 1500 HS LatitudeLongitude'!I$2:I$1501-G283)^2),0),1),"")</f>
        <v>Andrew Jackson (Jacksonville)</v>
      </c>
    </row>
    <row r="284" spans="2:21" ht="15.6">
      <c r="B284" s="8">
        <v>0.94564589899999996</v>
      </c>
      <c r="C284" s="9" t="s">
        <v>206</v>
      </c>
      <c r="D284" s="9" t="s">
        <v>486</v>
      </c>
      <c r="E284" s="124" t="s">
        <v>166</v>
      </c>
      <c r="F284" s="8">
        <v>37.055100000000003</v>
      </c>
      <c r="G284" s="8">
        <v>-76.362899999999996</v>
      </c>
      <c r="H284" s="3" t="str">
        <f t="shared" si="0"/>
        <v>Pasadena</v>
      </c>
      <c r="I284" s="3" t="str">
        <f t="shared" si="1"/>
        <v>TX</v>
      </c>
      <c r="J284" s="3" t="str">
        <f t="array" ref="J284">INDEX('State Abbreviations'!$B$2:$B$52,MATCH(I284,'State Abbreviations'!$A$2:$A$52,0))</f>
        <v>Texas</v>
      </c>
      <c r="K284" s="123" t="e">
        <f t="shared" ca="1" si="12"/>
        <v>#NAME?</v>
      </c>
      <c r="L284" s="13">
        <f t="shared" ca="1" si="13"/>
        <v>3</v>
      </c>
      <c r="M284" s="13" t="str">
        <f ca="1">IFERROR(__xludf.DUMMYFUNCTION("IF(L284=10,ArrayFormula(VLOOKUP(QUERY(UNIQUE(RANDBETWEEN(ROW(INDIRECT(""A1:A""&amp;COUNTA('Leaving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4" s="13">
        <f t="shared" ca="1" si="14"/>
        <v>2</v>
      </c>
      <c r="O284" s="13"/>
      <c r="P284" s="13"/>
      <c r="Q284" s="13" t="b">
        <f>ISNUMBER(MATCH("*"&amp;E284&amp;"*",'Top 1500 HS LatitudeLongitude'!G:G,0))</f>
        <v>0</v>
      </c>
      <c r="R284" s="13" t="str">
        <f ca="1">IFERROR(__xludf.DUMMYFUNCTION("IFS(L284=10,"""",Q284=false,"""",N284=5,"""",Q284=true,SORTN(FILTER('Top 1500 HS LatitudeLongitude'!B:B,'Top 1500 HS LatitudeLongitude'!C:C=I284,'Top 1500 HS LatitudeLongitude'!E:E=H284),1,0,randarray(COUNTA(FILTER('Top 1500 HS LatitudeLongitude'!B:B,'Top"&amp;" 1500 HS LatitudeLongitude'!C:C=I284,'Top 1500 HS LatitudeLongitude'!E:E=H284)),1),TRUE)
)"),"")</f>
        <v/>
      </c>
      <c r="S284" s="13" t="b">
        <f>ISNUMBER(MATCH("*"&amp;H:H&amp;"*",'Public Schools'!C:C,0))</f>
        <v>1</v>
      </c>
      <c r="T284" s="13" t="str">
        <f ca="1">IFERROR(__xludf.DUMMYFUNCTION("IFERROR(IF(AND(R284="""",S284=true), SORTN(FILTER('Public Schools'!A:A,'Public Schools'!B:B=J284,'Public Schools'!C:C=H284),1,0,randarray(COUNTA(FILTER('Public Schools'!A:A,'Public Schools'!B:B=J284,'Public Schools'!C:C=H284)),1),TRUE),""""),"""")"),"Pasadena High School")</f>
        <v>Pasadena High School</v>
      </c>
      <c r="U284" s="23" t="str">
        <f t="array" aca="1" ref="U284" ca="1">IF(AND(R284="",T284=""),INDEX('Top 1500 HS LatitudeLongitude'!B$2:B$1501,MATCH(MIN(SQRT(('Top 1500 HS LatitudeLongitude'!H$2:H$1501-F284)^2+('Top 1500 HS LatitudeLongitude'!I$2:I$1501-G284)^2)),SQRT( ('Top 1500 HS LatitudeLongitude'!H$2:H$1501-F284)^2+('Top 1500 HS LatitudeLongitude'!I$2:I$1501-G284)^2),0),1),"")</f>
        <v/>
      </c>
    </row>
    <row r="285" spans="2:21" ht="15.6">
      <c r="B285" s="8">
        <v>0.35986843880000002</v>
      </c>
      <c r="C285" s="9" t="s">
        <v>254</v>
      </c>
      <c r="D285" s="9" t="s">
        <v>487</v>
      </c>
      <c r="E285" s="37" t="s">
        <v>10603</v>
      </c>
      <c r="F285" s="8">
        <v>41.293399999999998</v>
      </c>
      <c r="G285" s="8">
        <v>-87.418300000000002</v>
      </c>
      <c r="H285" s="3" t="str">
        <f t="shared" si="0"/>
        <v>Dundee</v>
      </c>
      <c r="I285" s="3" t="str">
        <f t="shared" si="1"/>
        <v>IL</v>
      </c>
      <c r="J285" s="3" t="str">
        <f t="array" ref="J285">INDEX('State Abbreviations'!$B$2:$B$52,MATCH(I285,'State Abbreviations'!$A$2:$A$52,0))</f>
        <v>Illinois</v>
      </c>
      <c r="K285" s="123" t="e">
        <f t="shared" ca="1" si="12"/>
        <v>#NAME?</v>
      </c>
      <c r="L285" s="13">
        <f t="shared" ca="1" si="13"/>
        <v>4</v>
      </c>
      <c r="M285" s="13" t="str">
        <f ca="1">IFERROR(__xludf.DUMMYFUNCTION("IF(L285=10,ArrayFormula(VLOOKUP(QUERY(UNIQUE(RANDBETWEEN(ROW(INDIRECT(""A1:A""&amp;COUNTA('Leaving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5" s="13">
        <f t="shared" ca="1" si="14"/>
        <v>4</v>
      </c>
      <c r="O285" s="13"/>
      <c r="P285" s="13"/>
      <c r="Q285" s="13" t="b">
        <f>ISNUMBER(MATCH("*"&amp;E285&amp;"*",'Top 1500 HS LatitudeLongitude'!G:G,0))</f>
        <v>0</v>
      </c>
      <c r="R285" s="13" t="str">
        <f ca="1">IFERROR(__xludf.DUMMYFUNCTION("IFS(L285=10,"""",Q285=false,"""",N285=5,"""",Q285=true,SORTN(FILTER('Top 1500 HS LatitudeLongitude'!B:B,'Top 1500 HS LatitudeLongitude'!C:C=I285,'Top 1500 HS LatitudeLongitude'!E:E=H285),1,0,randarray(COUNTA(FILTER('Top 1500 HS LatitudeLongitude'!B:B,'Top"&amp;" 1500 HS LatitudeLongitude'!C:C=I285,'Top 1500 HS LatitudeLongitude'!E:E=H285)),1),TRUE)
)"),"")</f>
        <v/>
      </c>
      <c r="S285" s="13" t="b">
        <f>ISNUMBER(MATCH("*"&amp;H:H&amp;"*",'Public Schools'!C:C,0))</f>
        <v>1</v>
      </c>
      <c r="T285" s="13" t="str">
        <f ca="1">IFERROR(__xludf.DUMMYFUNCTION("IFERROR(IF(AND(R285="""",S285=true), SORTN(FILTER('Public Schools'!A:A,'Public Schools'!B:B=J285,'Public Schools'!C:C=H285),1,0,randarray(COUNTA(FILTER('Public Schools'!A:A,'Public Schools'!B:B=J285,'Public Schools'!C:C=H285)),1),TRUE),""""),"""")"),"")</f>
        <v/>
      </c>
      <c r="U285" s="23" t="str">
        <f t="array" aca="1" ref="U285" ca="1">IF(AND(R285="",T285=""),INDEX('Top 1500 HS LatitudeLongitude'!B$2:B$1501,MATCH(MIN(SQRT(('Top 1500 HS LatitudeLongitude'!H$2:H$1501-F285)^2+('Top 1500 HS LatitudeLongitude'!I$2:I$1501-G285)^2)),SQRT( ('Top 1500 HS LatitudeLongitude'!H$2:H$1501-F285)^2+('Top 1500 HS LatitudeLongitude'!I$2:I$1501-G285)^2),0),1),"")</f>
        <v>Munster</v>
      </c>
    </row>
    <row r="286" spans="2:21" ht="15.6">
      <c r="B286" s="8">
        <v>0.249505265</v>
      </c>
      <c r="C286" s="9" t="s">
        <v>300</v>
      </c>
      <c r="D286" s="9" t="s">
        <v>488</v>
      </c>
      <c r="E286" s="124" t="s">
        <v>10635</v>
      </c>
      <c r="F286" s="8">
        <v>31.159099999999999</v>
      </c>
      <c r="G286" s="8">
        <v>-83.770499999999998</v>
      </c>
      <c r="H286" s="3" t="str">
        <f t="shared" si="0"/>
        <v>Madison</v>
      </c>
      <c r="I286" s="3" t="str">
        <f t="shared" si="1"/>
        <v>WI</v>
      </c>
      <c r="J286" s="3" t="str">
        <f t="array" ref="J286">INDEX('State Abbreviations'!$B$2:$B$52,MATCH(I286,'State Abbreviations'!$A$2:$A$52,0))</f>
        <v>Wisconsin</v>
      </c>
      <c r="K286" s="123" t="e">
        <f t="shared" ca="1" si="12"/>
        <v>#NAME?</v>
      </c>
      <c r="L286" s="13">
        <f t="shared" ca="1" si="13"/>
        <v>3</v>
      </c>
      <c r="M286" s="13" t="str">
        <f ca="1">IFERROR(__xludf.DUMMYFUNCTION("IF(L286=10,ArrayFormula(VLOOKUP(QUERY(UNIQUE(RANDBETWEEN(ROW(INDIRECT(""A1:A""&amp;COUNTA('Leaving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6" s="13">
        <f t="shared" ca="1" si="14"/>
        <v>3</v>
      </c>
      <c r="O286" s="13"/>
      <c r="P286" s="13"/>
      <c r="Q286" s="13" t="b">
        <f>ISNUMBER(MATCH("*"&amp;E286&amp;"*",'Top 1500 HS LatitudeLongitude'!G:G,0))</f>
        <v>1</v>
      </c>
      <c r="R286" s="13" t="str">
        <f ca="1">IFERROR(__xludf.DUMMYFUNCTION("IFS(L286=10,"""",Q286=false,"""",N286=5,"""",Q286=true,SORTN(FILTER('Top 1500 HS LatitudeLongitude'!B:B,'Top 1500 HS LatitudeLongitude'!C:C=I286,'Top 1500 HS LatitudeLongitude'!E:E=H286),1,0,randarray(COUNTA(FILTER('Top 1500 HS LatitudeLongitude'!B:B,'Top"&amp;" 1500 HS LatitudeLongitude'!C:C=I286,'Top 1500 HS LatitudeLongitude'!E:E=H286)),1),TRUE)
)"),"Madison La Follette (Madison)")</f>
        <v>Madison La Follette (Madison)</v>
      </c>
      <c r="S286" s="13" t="b">
        <f>ISNUMBER(MATCH("*"&amp;H:H&amp;"*",'Public Schools'!C:C,0))</f>
        <v>1</v>
      </c>
      <c r="T286" s="13" t="str">
        <f ca="1">IFERROR(__xludf.DUMMYFUNCTION("IFERROR(IF(AND(R286="""",S286=true), SORTN(FILTER('Public Schools'!A:A,'Public Schools'!B:B=J286,'Public Schools'!C:C=H286),1,0,randarray(COUNTA(FILTER('Public Schools'!A:A,'Public Schools'!B:B=J286,'Public Schools'!C:C=H286)),1),TRUE),""""),"""")"),"")</f>
        <v/>
      </c>
      <c r="U286" s="23" t="str">
        <f t="array" aca="1" ref="U286" ca="1">IF(AND(R286="",T286=""),INDEX('Top 1500 HS LatitudeLongitude'!B$2:B$1501,MATCH(MIN(SQRT(('Top 1500 HS LatitudeLongitude'!H$2:H$1501-F286)^2+('Top 1500 HS LatitudeLongitude'!I$2:I$1501-G286)^2)),SQRT( ('Top 1500 HS LatitudeLongitude'!H$2:H$1501-F286)^2+('Top 1500 HS LatitudeLongitude'!I$2:I$1501-G286)^2),0),1),"")</f>
        <v/>
      </c>
    </row>
    <row r="287" spans="2:21" ht="15.6">
      <c r="B287" s="8">
        <v>0.86503971059999996</v>
      </c>
      <c r="C287" s="9" t="s">
        <v>228</v>
      </c>
      <c r="D287" s="9" t="s">
        <v>489</v>
      </c>
      <c r="E287" s="37" t="s">
        <v>10671</v>
      </c>
      <c r="F287" s="8">
        <v>33.566499999999998</v>
      </c>
      <c r="G287" s="8">
        <v>-101.8867</v>
      </c>
      <c r="H287" s="3" t="str">
        <f t="shared" si="0"/>
        <v>Myersville</v>
      </c>
      <c r="I287" s="3" t="str">
        <f t="shared" si="1"/>
        <v>MD</v>
      </c>
      <c r="J287" s="3" t="str">
        <f t="array" ref="J287">INDEX('State Abbreviations'!$B$2:$B$52,MATCH(I287,'State Abbreviations'!$A$2:$A$52,0))</f>
        <v>Maryland</v>
      </c>
      <c r="K287" s="123" t="e">
        <f t="shared" ca="1" si="12"/>
        <v>#NAME?</v>
      </c>
      <c r="L287" s="13">
        <f t="shared" ca="1" si="13"/>
        <v>7</v>
      </c>
      <c r="M287" s="13" t="str">
        <f ca="1">IFERROR(__xludf.DUMMYFUNCTION("IF(L287=10,ArrayFormula(VLOOKUP(QUERY(UNIQUE(RANDBETWEEN(ROW(INDIRECT(""A1:A""&amp;COUNTA('Leaving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7" s="13">
        <f t="shared" ca="1" si="14"/>
        <v>3</v>
      </c>
      <c r="O287" s="13"/>
      <c r="P287" s="13"/>
      <c r="Q287" s="13" t="b">
        <f>ISNUMBER(MATCH("*"&amp;E287&amp;"*",'Top 1500 HS LatitudeLongitude'!G:G,0))</f>
        <v>0</v>
      </c>
      <c r="R287" s="13" t="str">
        <f ca="1">IFERROR(__xludf.DUMMYFUNCTION("IFS(L287=10,"""",Q287=false,"""",N287=5,"""",Q287=true,SORTN(FILTER('Top 1500 HS LatitudeLongitude'!B:B,'Top 1500 HS LatitudeLongitude'!C:C=I287,'Top 1500 HS LatitudeLongitude'!E:E=H287),1,0,randarray(COUNTA(FILTER('Top 1500 HS LatitudeLongitude'!B:B,'Top"&amp;" 1500 HS LatitudeLongitude'!C:C=I287,'Top 1500 HS LatitudeLongitude'!E:E=H287)),1),TRUE)
)"),"")</f>
        <v/>
      </c>
      <c r="S287" s="13" t="b">
        <f>ISNUMBER(MATCH("*"&amp;H:H&amp;"*",'Public Schools'!C:C,0))</f>
        <v>0</v>
      </c>
      <c r="T287" s="13" t="str">
        <f ca="1">IFERROR(__xludf.DUMMYFUNCTION("IFERROR(IF(AND(R287="""",S287=true), SORTN(FILTER('Public Schools'!A:A,'Public Schools'!B:B=J287,'Public Schools'!C:C=H287),1,0,randarray(COUNTA(FILTER('Public Schools'!A:A,'Public Schools'!B:B=J287,'Public Schools'!C:C=H287)),1),TRUE),""""),"""")"),"")</f>
        <v/>
      </c>
      <c r="U287" s="23" t="str">
        <f t="array" aca="1" ref="U287" ca="1">IF(AND(R287="",T287=""),INDEX('Top 1500 HS LatitudeLongitude'!B$2:B$1501,MATCH(MIN(SQRT(('Top 1500 HS LatitudeLongitude'!H$2:H$1501-F287)^2+('Top 1500 HS LatitudeLongitude'!I$2:I$1501-G287)^2)),SQRT( ('Top 1500 HS LatitudeLongitude'!H$2:H$1501-F287)^2+('Top 1500 HS LatitudeLongitude'!I$2:I$1501-G287)^2),0),1),"")</f>
        <v>Frenship (Wolfforth)</v>
      </c>
    </row>
    <row r="288" spans="2:21" ht="15.6">
      <c r="B288" s="8">
        <v>0.64089366199999998</v>
      </c>
      <c r="C288" s="9" t="s">
        <v>490</v>
      </c>
      <c r="D288" s="9" t="s">
        <v>491</v>
      </c>
      <c r="E288" s="124" t="s">
        <v>10701</v>
      </c>
      <c r="F288" s="8">
        <v>40.694299999999998</v>
      </c>
      <c r="G288" s="8">
        <v>-73.924899999999994</v>
      </c>
      <c r="H288" s="3" t="str">
        <f t="shared" si="0"/>
        <v>Johnston</v>
      </c>
      <c r="I288" s="3" t="str">
        <f t="shared" si="1"/>
        <v>RI</v>
      </c>
      <c r="J288" s="3" t="str">
        <f t="array" ref="J288">INDEX('State Abbreviations'!$B$2:$B$52,MATCH(I288,'State Abbreviations'!$A$2:$A$52,0))</f>
        <v>Rhode Island</v>
      </c>
      <c r="K288" s="123" t="e">
        <f t="shared" ca="1" si="12"/>
        <v>#NAME?</v>
      </c>
      <c r="L288" s="13">
        <f t="shared" ca="1" si="13"/>
        <v>2</v>
      </c>
      <c r="M288" s="13" t="str">
        <f ca="1">IFERROR(__xludf.DUMMYFUNCTION("IF(L288=10,ArrayFormula(VLOOKUP(QUERY(UNIQUE(RANDBETWEEN(ROW(INDIRECT(""A1:A""&amp;COUNTA('Leaving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8" s="13">
        <f t="shared" ca="1" si="14"/>
        <v>2</v>
      </c>
      <c r="O288" s="13"/>
      <c r="P288" s="13"/>
      <c r="Q288" s="13" t="b">
        <f>ISNUMBER(MATCH("*"&amp;E288&amp;"*",'Top 1500 HS LatitudeLongitude'!G:G,0))</f>
        <v>0</v>
      </c>
      <c r="R288" s="13" t="str">
        <f ca="1">IFERROR(__xludf.DUMMYFUNCTION("IFS(L288=10,"""",Q288=false,"""",N288=5,"""",Q288=true,SORTN(FILTER('Top 1500 HS LatitudeLongitude'!B:B,'Top 1500 HS LatitudeLongitude'!C:C=I288,'Top 1500 HS LatitudeLongitude'!E:E=H288),1,0,randarray(COUNTA(FILTER('Top 1500 HS LatitudeLongitude'!B:B,'Top"&amp;" 1500 HS LatitudeLongitude'!C:C=I288,'Top 1500 HS LatitudeLongitude'!E:E=H288)),1),TRUE)
)"),"")</f>
        <v/>
      </c>
      <c r="S288" s="13" t="b">
        <f>ISNUMBER(MATCH("*"&amp;H:H&amp;"*",'Public Schools'!C:C,0))</f>
        <v>1</v>
      </c>
      <c r="T288" s="13" t="str">
        <f ca="1">IFERROR(__xludf.DUMMYFUNCTION("IFERROR(IF(AND(R288="""",S288=true), SORTN(FILTER('Public Schools'!A:A,'Public Schools'!B:B=J288,'Public Schools'!C:C=H288),1,0,randarray(COUNTA(FILTER('Public Schools'!A:A,'Public Schools'!B:B=J288,'Public Schools'!C:C=H288)),1),TRUE),""""),"""")"),"Johnston Senior High School")</f>
        <v>Johnston Senior High School</v>
      </c>
      <c r="U288" s="23" t="str">
        <f t="array" aca="1" ref="U288" ca="1">IF(AND(R288="",T288=""),INDEX('Top 1500 HS LatitudeLongitude'!B$2:B$1501,MATCH(MIN(SQRT(('Top 1500 HS LatitudeLongitude'!H$2:H$1501-F288)^2+('Top 1500 HS LatitudeLongitude'!I$2:I$1501-G288)^2)),SQRT( ('Top 1500 HS LatitudeLongitude'!H$2:H$1501-F288)^2+('Top 1500 HS LatitudeLongitude'!I$2:I$1501-G288)^2),0),1),"")</f>
        <v/>
      </c>
    </row>
    <row r="289" spans="2:21" ht="15.6">
      <c r="B289" s="8">
        <v>0.75846003390000005</v>
      </c>
      <c r="C289" s="9" t="s">
        <v>492</v>
      </c>
      <c r="D289" s="9" t="s">
        <v>493</v>
      </c>
      <c r="E289" s="37" t="s">
        <v>10740</v>
      </c>
      <c r="F289" s="8">
        <v>41.231000000000002</v>
      </c>
      <c r="G289" s="8">
        <v>-80.441199999999995</v>
      </c>
      <c r="H289" s="3" t="str">
        <f t="shared" si="0"/>
        <v>Helena</v>
      </c>
      <c r="I289" s="3" t="str">
        <f t="shared" si="1"/>
        <v>MT</v>
      </c>
      <c r="J289" s="3" t="str">
        <f t="array" ref="J289">INDEX('State Abbreviations'!$B$2:$B$52,MATCH(I289,'State Abbreviations'!$A$2:$A$52,0))</f>
        <v>Montana</v>
      </c>
      <c r="K289" s="123" t="e">
        <f t="shared" ca="1" si="12"/>
        <v>#NAME?</v>
      </c>
      <c r="L289" s="13">
        <f t="shared" ca="1" si="13"/>
        <v>3</v>
      </c>
      <c r="M289" s="13" t="str">
        <f ca="1">IFERROR(__xludf.DUMMYFUNCTION("IF(L289=10,ArrayFormula(VLOOKUP(QUERY(UNIQUE(RANDBETWEEN(ROW(INDIRECT(""A1:A""&amp;COUNTA('Leaving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89" s="13">
        <f t="shared" ca="1" si="14"/>
        <v>4</v>
      </c>
      <c r="O289" s="13"/>
      <c r="P289" s="13"/>
      <c r="Q289" s="13" t="b">
        <f>ISNUMBER(MATCH("*"&amp;E289&amp;"*",'Top 1500 HS LatitudeLongitude'!G:G,0))</f>
        <v>1</v>
      </c>
      <c r="R289" s="13" t="str">
        <f ca="1">IFERROR(__xludf.DUMMYFUNCTION("IFS(L289=10,"""",Q289=false,"""",N289=5,"""",Q289=true,SORTN(FILTER('Top 1500 HS LatitudeLongitude'!B:B,'Top 1500 HS LatitudeLongitude'!C:C=I289,'Top 1500 HS LatitudeLongitude'!E:E=H289),1,0,randarray(COUNTA(FILTER('Top 1500 HS LatitudeLongitude'!B:B,'Top"&amp;" 1500 HS LatitudeLongitude'!C:C=I289,'Top 1500 HS LatitudeLongitude'!E:E=H289)),1),TRUE)
)"),"Capital (Helena)")</f>
        <v>Capital (Helena)</v>
      </c>
      <c r="S289" s="13" t="b">
        <f>ISNUMBER(MATCH("*"&amp;H:H&amp;"*",'Public Schools'!C:C,0))</f>
        <v>1</v>
      </c>
      <c r="T289" s="13" t="str">
        <f ca="1">IFERROR(__xludf.DUMMYFUNCTION("IFERROR(IF(AND(R289="""",S289=true), SORTN(FILTER('Public Schools'!A:A,'Public Schools'!B:B=J289,'Public Schools'!C:C=H289),1,0,randarray(COUNTA(FILTER('Public Schools'!A:A,'Public Schools'!B:B=J289,'Public Schools'!C:C=H289)),1),TRUE),""""),"""")"),"")</f>
        <v/>
      </c>
      <c r="U289" s="23" t="str">
        <f t="array" aca="1" ref="U289" ca="1">IF(AND(R289="",T289=""),INDEX('Top 1500 HS LatitudeLongitude'!B$2:B$1501,MATCH(MIN(SQRT(('Top 1500 HS LatitudeLongitude'!H$2:H$1501-F289)^2+('Top 1500 HS LatitudeLongitude'!I$2:I$1501-G289)^2)),SQRT( ('Top 1500 HS LatitudeLongitude'!H$2:H$1501-F289)^2+('Top 1500 HS LatitudeLongitude'!I$2:I$1501-G289)^2),0),1),"")</f>
        <v/>
      </c>
    </row>
    <row r="290" spans="2:21" ht="15.6">
      <c r="B290" s="8">
        <v>0.37679419749999998</v>
      </c>
      <c r="C290" s="9" t="s">
        <v>320</v>
      </c>
      <c r="D290" s="9" t="s">
        <v>494</v>
      </c>
      <c r="E290" s="124" t="s">
        <v>10773</v>
      </c>
      <c r="F290" s="8">
        <v>38.166200000000003</v>
      </c>
      <c r="G290" s="8">
        <v>-85.648799999999994</v>
      </c>
      <c r="H290" s="3" t="str">
        <f t="shared" si="0"/>
        <v>Louisville</v>
      </c>
      <c r="I290" s="3" t="str">
        <f t="shared" si="1"/>
        <v>CO</v>
      </c>
      <c r="J290" s="3" t="str">
        <f t="array" ref="J290">INDEX('State Abbreviations'!$B$2:$B$52,MATCH(I290,'State Abbreviations'!$A$2:$A$52,0))</f>
        <v>Colorado</v>
      </c>
      <c r="K290" s="123" t="e">
        <f t="shared" ca="1" si="12"/>
        <v>#NAME?</v>
      </c>
      <c r="L290" s="13">
        <f t="shared" ca="1" si="13"/>
        <v>7</v>
      </c>
      <c r="M290" s="13" t="str">
        <f ca="1">IFERROR(__xludf.DUMMYFUNCTION("IF(L290=10,ArrayFormula(VLOOKUP(QUERY(UNIQUE(RANDBETWEEN(ROW(INDIRECT(""A1:A""&amp;COUNTA('Leaving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0" s="13">
        <f t="shared" ca="1" si="14"/>
        <v>4</v>
      </c>
      <c r="O290" s="13"/>
      <c r="P290" s="13"/>
      <c r="Q290" s="13" t="b">
        <f>ISNUMBER(MATCH("*"&amp;E290&amp;"*",'Top 1500 HS LatitudeLongitude'!G:G,0))</f>
        <v>0</v>
      </c>
      <c r="R290" s="13" t="str">
        <f ca="1">IFERROR(__xludf.DUMMYFUNCTION("IFS(L290=10,"""",Q290=false,"""",N290=5,"""",Q290=true,SORTN(FILTER('Top 1500 HS LatitudeLongitude'!B:B,'Top 1500 HS LatitudeLongitude'!C:C=I290,'Top 1500 HS LatitudeLongitude'!E:E=H290),1,0,randarray(COUNTA(FILTER('Top 1500 HS LatitudeLongitude'!B:B,'Top"&amp;" 1500 HS LatitudeLongitude'!C:C=I290,'Top 1500 HS LatitudeLongitude'!E:E=H290)),1),TRUE)
)"),"")</f>
        <v/>
      </c>
      <c r="S290" s="13" t="b">
        <f>ISNUMBER(MATCH("*"&amp;H:H&amp;"*",'Public Schools'!C:C,0))</f>
        <v>1</v>
      </c>
      <c r="T290" s="13" t="str">
        <f ca="1">IFERROR(__xludf.DUMMYFUNCTION("IFERROR(IF(AND(R290="""",S290=true), SORTN(FILTER('Public Schools'!A:A,'Public Schools'!B:B=J290,'Public Schools'!C:C=H290),1,0,randarray(COUNTA(FILTER('Public Schools'!A:A,'Public Schools'!B:B=J290,'Public Schools'!C:C=H290)),1),TRUE),""""),"""")"),"Monarch High School")</f>
        <v>Monarch High School</v>
      </c>
      <c r="U290" s="23" t="str">
        <f t="array" aca="1" ref="U290" ca="1">IF(AND(R290="",T290=""),INDEX('Top 1500 HS LatitudeLongitude'!B$2:B$1501,MATCH(MIN(SQRT(('Top 1500 HS LatitudeLongitude'!H$2:H$1501-F290)^2+('Top 1500 HS LatitudeLongitude'!I$2:I$1501-G290)^2)),SQRT( ('Top 1500 HS LatitudeLongitude'!H$2:H$1501-F290)^2+('Top 1500 HS LatitudeLongitude'!I$2:I$1501-G290)^2),0),1),"")</f>
        <v/>
      </c>
    </row>
    <row r="291" spans="2:21" ht="15.6">
      <c r="B291" s="8">
        <v>0.75907792799999996</v>
      </c>
      <c r="C291" s="9" t="s">
        <v>256</v>
      </c>
      <c r="D291" s="9" t="s">
        <v>495</v>
      </c>
      <c r="E291" s="37" t="s">
        <v>10808</v>
      </c>
      <c r="F291" s="8">
        <v>40.360199999999999</v>
      </c>
      <c r="G291" s="8">
        <v>-79.989800000000002</v>
      </c>
      <c r="H291" s="3" t="str">
        <f t="shared" si="0"/>
        <v>Jacksboro</v>
      </c>
      <c r="I291" s="3" t="str">
        <f t="shared" si="1"/>
        <v>TN</v>
      </c>
      <c r="J291" s="3" t="str">
        <f t="array" ref="J291">INDEX('State Abbreviations'!$B$2:$B$52,MATCH(I291,'State Abbreviations'!$A$2:$A$52,0))</f>
        <v>Tennessee</v>
      </c>
      <c r="K291" s="123" t="e">
        <f t="shared" ca="1" si="12"/>
        <v>#NAME?</v>
      </c>
      <c r="L291" s="13">
        <f t="shared" ca="1" si="13"/>
        <v>8</v>
      </c>
      <c r="M291" s="13" t="str">
        <f ca="1">IFERROR(__xludf.DUMMYFUNCTION("IF(L291=10,ArrayFormula(VLOOKUP(QUERY(UNIQUE(RANDBETWEEN(ROW(INDIRECT(""A1:A""&amp;COUNTA('Leaving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1" s="13">
        <f t="shared" ca="1" si="14"/>
        <v>2</v>
      </c>
      <c r="O291" s="13"/>
      <c r="P291" s="13"/>
      <c r="Q291" s="13" t="b">
        <f>ISNUMBER(MATCH("*"&amp;E291&amp;"*",'Top 1500 HS LatitudeLongitude'!G:G,0))</f>
        <v>0</v>
      </c>
      <c r="R291" s="13" t="str">
        <f ca="1">IFERROR(__xludf.DUMMYFUNCTION("IFS(L291=10,"""",Q291=false,"""",N291=5,"""",Q291=true,SORTN(FILTER('Top 1500 HS LatitudeLongitude'!B:B,'Top 1500 HS LatitudeLongitude'!C:C=I291,'Top 1500 HS LatitudeLongitude'!E:E=H291),1,0,randarray(COUNTA(FILTER('Top 1500 HS LatitudeLongitude'!B:B,'Top"&amp;" 1500 HS LatitudeLongitude'!C:C=I291,'Top 1500 HS LatitudeLongitude'!E:E=H291)),1),TRUE)
)"),"")</f>
        <v/>
      </c>
      <c r="S291" s="13" t="b">
        <f>ISNUMBER(MATCH("*"&amp;H:H&amp;"*",'Public Schools'!C:C,0))</f>
        <v>1</v>
      </c>
      <c r="T291" s="13" t="str">
        <f ca="1">IFERROR(__xludf.DUMMYFUNCTION("IFERROR(IF(AND(R291="""",S291=true), SORTN(FILTER('Public Schools'!A:A,'Public Schools'!B:B=J291,'Public Schools'!C:C=H291),1,0,randarray(COUNTA(FILTER('Public Schools'!A:A,'Public Schools'!B:B=J291,'Public Schools'!C:C=H291)),1),TRUE),""""),"""")"),"Campbell County Comprehensive High School")</f>
        <v>Campbell County Comprehensive High School</v>
      </c>
      <c r="U291" s="23" t="str">
        <f t="array" aca="1" ref="U291" ca="1">IF(AND(R291="",T291=""),INDEX('Top 1500 HS LatitudeLongitude'!B$2:B$1501,MATCH(MIN(SQRT(('Top 1500 HS LatitudeLongitude'!H$2:H$1501-F291)^2+('Top 1500 HS LatitudeLongitude'!I$2:I$1501-G291)^2)),SQRT( ('Top 1500 HS LatitudeLongitude'!H$2:H$1501-F291)^2+('Top 1500 HS LatitudeLongitude'!I$2:I$1501-G291)^2),0),1),"")</f>
        <v/>
      </c>
    </row>
    <row r="292" spans="2:21" ht="15.6">
      <c r="B292" s="8">
        <v>0.85573155619999997</v>
      </c>
      <c r="C292" s="9" t="s">
        <v>94</v>
      </c>
      <c r="D292" s="9" t="s">
        <v>496</v>
      </c>
      <c r="E292" s="124" t="s">
        <v>10837</v>
      </c>
      <c r="F292" s="8">
        <v>31.847799999999999</v>
      </c>
      <c r="G292" s="8">
        <v>-106.431</v>
      </c>
      <c r="H292" s="3" t="str">
        <f t="shared" si="0"/>
        <v>Fremont</v>
      </c>
      <c r="I292" s="3" t="str">
        <f t="shared" si="1"/>
        <v>OH</v>
      </c>
      <c r="J292" s="3" t="str">
        <f t="array" ref="J292">INDEX('State Abbreviations'!$B$2:$B$52,MATCH(I292,'State Abbreviations'!$A$2:$A$52,0))</f>
        <v>Ohio</v>
      </c>
      <c r="K292" s="123" t="e">
        <f t="shared" ca="1" si="12"/>
        <v>#NAME?</v>
      </c>
      <c r="L292" s="13">
        <f t="shared" ca="1" si="13"/>
        <v>8</v>
      </c>
      <c r="M292" s="13" t="str">
        <f ca="1">IFERROR(__xludf.DUMMYFUNCTION("IF(L292=10,ArrayFormula(VLOOKUP(QUERY(UNIQUE(RANDBETWEEN(ROW(INDIRECT(""A1:A""&amp;COUNTA('Leaving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2" s="13">
        <f t="shared" ca="1" si="14"/>
        <v>2</v>
      </c>
      <c r="O292" s="13"/>
      <c r="P292" s="13"/>
      <c r="Q292" s="13" t="b">
        <f>ISNUMBER(MATCH("*"&amp;E292&amp;"*",'Top 1500 HS LatitudeLongitude'!G:G,0))</f>
        <v>0</v>
      </c>
      <c r="R292" s="13" t="str">
        <f ca="1">IFERROR(__xludf.DUMMYFUNCTION("IFS(L292=10,"""",Q292=false,"""",N292=5,"""",Q292=true,SORTN(FILTER('Top 1500 HS LatitudeLongitude'!B:B,'Top 1500 HS LatitudeLongitude'!C:C=I292,'Top 1500 HS LatitudeLongitude'!E:E=H292),1,0,randarray(COUNTA(FILTER('Top 1500 HS LatitudeLongitude'!B:B,'Top"&amp;" 1500 HS LatitudeLongitude'!C:C=I292,'Top 1500 HS LatitudeLongitude'!E:E=H292)),1),TRUE)
)"),"")</f>
        <v/>
      </c>
      <c r="S292" s="13" t="b">
        <f>ISNUMBER(MATCH("*"&amp;H:H&amp;"*",'Public Schools'!C:C,0))</f>
        <v>1</v>
      </c>
      <c r="T292" s="13" t="str">
        <f ca="1">IFERROR(__xludf.DUMMYFUNCTION("IFERROR(IF(AND(R292="""",S292=true), SORTN(FILTER('Public Schools'!A:A,'Public Schools'!B:B=J292,'Public Schools'!C:C=H292),1,0,randarray(COUNTA(FILTER('Public Schools'!A:A,'Public Schools'!B:B=J292,'Public Schools'!C:C=H292)),1),TRUE),""""),"""")"),"Fremont Ross High School")</f>
        <v>Fremont Ross High School</v>
      </c>
      <c r="U292" s="23" t="str">
        <f t="array" aca="1" ref="U292" ca="1">IF(AND(R292="",T292=""),INDEX('Top 1500 HS LatitudeLongitude'!B$2:B$1501,MATCH(MIN(SQRT(('Top 1500 HS LatitudeLongitude'!H$2:H$1501-F292)^2+('Top 1500 HS LatitudeLongitude'!I$2:I$1501-G292)^2)),SQRT( ('Top 1500 HS LatitudeLongitude'!H$2:H$1501-F292)^2+('Top 1500 HS LatitudeLongitude'!I$2:I$1501-G292)^2),0),1),"")</f>
        <v/>
      </c>
    </row>
    <row r="293" spans="2:21" ht="15.6">
      <c r="B293" s="8">
        <v>0.93187606570000003</v>
      </c>
      <c r="C293" s="9" t="s">
        <v>249</v>
      </c>
      <c r="D293" s="9" t="s">
        <v>497</v>
      </c>
      <c r="E293" s="37" t="s">
        <v>10870</v>
      </c>
      <c r="F293" s="8">
        <v>37.529400000000003</v>
      </c>
      <c r="G293" s="8">
        <v>-77.475499999999997</v>
      </c>
      <c r="H293" s="3" t="str">
        <f t="shared" si="0"/>
        <v>Lenoir</v>
      </c>
      <c r="I293" s="3" t="str">
        <f t="shared" si="1"/>
        <v>NC</v>
      </c>
      <c r="J293" s="3" t="str">
        <f t="array" ref="J293">INDEX('State Abbreviations'!$B$2:$B$52,MATCH(I293,'State Abbreviations'!$A$2:$A$52,0))</f>
        <v>North Carolina</v>
      </c>
      <c r="K293" s="123" t="e">
        <f t="shared" ca="1" si="12"/>
        <v>#NAME?</v>
      </c>
      <c r="L293" s="13">
        <f t="shared" ca="1" si="13"/>
        <v>4</v>
      </c>
      <c r="M293" s="13" t="str">
        <f ca="1">IFERROR(__xludf.DUMMYFUNCTION("IF(L293=10,ArrayFormula(VLOOKUP(QUERY(UNIQUE(RANDBETWEEN(ROW(INDIRECT(""A1:A""&amp;COUNTA('Leaving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3" s="13">
        <f t="shared" ca="1" si="14"/>
        <v>1</v>
      </c>
      <c r="O293" s="13"/>
      <c r="P293" s="13"/>
      <c r="Q293" s="13" t="b">
        <f>ISNUMBER(MATCH("*"&amp;E293&amp;"*",'Top 1500 HS LatitudeLongitude'!G:G,0))</f>
        <v>0</v>
      </c>
      <c r="R293" s="13" t="str">
        <f ca="1">IFERROR(__xludf.DUMMYFUNCTION("IFS(L293=10,"""",Q293=false,"""",N293=5,"""",Q293=true,SORTN(FILTER('Top 1500 HS LatitudeLongitude'!B:B,'Top 1500 HS LatitudeLongitude'!C:C=I293,'Top 1500 HS LatitudeLongitude'!E:E=H293),1,0,randarray(COUNTA(FILTER('Top 1500 HS LatitudeLongitude'!B:B,'Top"&amp;" 1500 HS LatitudeLongitude'!C:C=I293,'Top 1500 HS LatitudeLongitude'!E:E=H293)),1),TRUE)
)"),"")</f>
        <v/>
      </c>
      <c r="S293" s="13" t="b">
        <f>ISNUMBER(MATCH("*"&amp;H:H&amp;"*",'Public Schools'!C:C,0))</f>
        <v>1</v>
      </c>
      <c r="T293" s="13" t="str">
        <f ca="1">IFERROR(__xludf.DUMMYFUNCTION("IFERROR(IF(AND(R293="""",S293=true), SORTN(FILTER('Public Schools'!A:A,'Public Schools'!B:B=J293,'Public Schools'!C:C=H293),1,0,randarray(COUNTA(FILTER('Public Schools'!A:A,'Public Schools'!B:B=J293,'Public Schools'!C:C=H293)),1),TRUE),""""),"""")"),"Hibriten High School")</f>
        <v>Hibriten High School</v>
      </c>
      <c r="U293" s="23" t="str">
        <f t="array" aca="1" ref="U293" ca="1">IF(AND(R293="",T293=""),INDEX('Top 1500 HS LatitudeLongitude'!B$2:B$1501,MATCH(MIN(SQRT(('Top 1500 HS LatitudeLongitude'!H$2:H$1501-F293)^2+('Top 1500 HS LatitudeLongitude'!I$2:I$1501-G293)^2)),SQRT( ('Top 1500 HS LatitudeLongitude'!H$2:H$1501-F293)^2+('Top 1500 HS LatitudeLongitude'!I$2:I$1501-G293)^2),0),1),"")</f>
        <v/>
      </c>
    </row>
    <row r="294" spans="2:21" ht="15.6">
      <c r="B294" s="8">
        <v>0.29000986010000002</v>
      </c>
      <c r="C294" s="9" t="s">
        <v>498</v>
      </c>
      <c r="D294" s="9" t="s">
        <v>499</v>
      </c>
      <c r="E294" s="124" t="s">
        <v>10909</v>
      </c>
      <c r="F294" s="8">
        <v>41.837299999999999</v>
      </c>
      <c r="G294" s="8">
        <v>-87.686099999999996</v>
      </c>
      <c r="H294" s="3" t="str">
        <f t="shared" si="0"/>
        <v>Newark</v>
      </c>
      <c r="I294" s="3" t="str">
        <f t="shared" si="1"/>
        <v>DE</v>
      </c>
      <c r="J294" s="3" t="str">
        <f t="array" ref="J294">INDEX('State Abbreviations'!$B$2:$B$52,MATCH(I294,'State Abbreviations'!$A$2:$A$52,0))</f>
        <v>Delaware</v>
      </c>
      <c r="K294" s="123" t="e">
        <f t="shared" ca="1" si="12"/>
        <v>#NAME?</v>
      </c>
      <c r="L294" s="13">
        <f t="shared" ca="1" si="13"/>
        <v>5</v>
      </c>
      <c r="M294" s="13" t="str">
        <f ca="1">IFERROR(__xludf.DUMMYFUNCTION("IF(L294=10,ArrayFormula(VLOOKUP(QUERY(UNIQUE(RANDBETWEEN(ROW(INDIRECT(""A1:A""&amp;COUNTA('Leaving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4" s="13">
        <f t="shared" ca="1" si="14"/>
        <v>3</v>
      </c>
      <c r="O294" s="13"/>
      <c r="P294" s="13"/>
      <c r="Q294" s="13" t="b">
        <f>ISNUMBER(MATCH("*"&amp;E294&amp;"*",'Top 1500 HS LatitudeLongitude'!G:G,0))</f>
        <v>0</v>
      </c>
      <c r="R294" s="13" t="str">
        <f ca="1">IFERROR(__xludf.DUMMYFUNCTION("IFS(L294=10,"""",Q294=false,"""",N294=5,"""",Q294=true,SORTN(FILTER('Top 1500 HS LatitudeLongitude'!B:B,'Top 1500 HS LatitudeLongitude'!C:C=I294,'Top 1500 HS LatitudeLongitude'!E:E=H294),1,0,randarray(COUNTA(FILTER('Top 1500 HS LatitudeLongitude'!B:B,'Top"&amp;" 1500 HS LatitudeLongitude'!C:C=I294,'Top 1500 HS LatitudeLongitude'!E:E=H294)),1),TRUE)
)"),"")</f>
        <v/>
      </c>
      <c r="S294" s="13" t="b">
        <f>ISNUMBER(MATCH("*"&amp;H:H&amp;"*",'Public Schools'!C:C,0))</f>
        <v>1</v>
      </c>
      <c r="T294" s="13" t="str">
        <f ca="1">IFERROR(__xludf.DUMMYFUNCTION("IFERROR(IF(AND(R294="""",S294=true), SORTN(FILTER('Public Schools'!A:A,'Public Schools'!B:B=J294,'Public Schools'!C:C=H294),1,0,randarray(COUNTA(FILTER('Public Schools'!A:A,'Public Schools'!B:B=J294,'Public Schools'!C:C=H294)),1),TRUE),""""),"""")"),"Design Thinking Academy")</f>
        <v>Design Thinking Academy</v>
      </c>
      <c r="U294" s="23" t="str">
        <f t="array" aca="1" ref="U294" ca="1">IF(AND(R294="",T294=""),INDEX('Top 1500 HS LatitudeLongitude'!B$2:B$1501,MATCH(MIN(SQRT(('Top 1500 HS LatitudeLongitude'!H$2:H$1501-F294)^2+('Top 1500 HS LatitudeLongitude'!I$2:I$1501-G294)^2)),SQRT( ('Top 1500 HS LatitudeLongitude'!H$2:H$1501-F294)^2+('Top 1500 HS LatitudeLongitude'!I$2:I$1501-G294)^2),0),1),"")</f>
        <v/>
      </c>
    </row>
    <row r="295" spans="2:21" ht="15.6">
      <c r="B295" s="8">
        <v>0.18397922850000001</v>
      </c>
      <c r="C295" s="9" t="s">
        <v>270</v>
      </c>
      <c r="D295" s="9" t="s">
        <v>500</v>
      </c>
      <c r="E295" s="37" t="s">
        <v>10942</v>
      </c>
      <c r="F295" s="8">
        <v>26.012699999999999</v>
      </c>
      <c r="G295" s="8">
        <v>-80.338399999999993</v>
      </c>
      <c r="H295" s="3" t="str">
        <f t="shared" si="0"/>
        <v>Middletown</v>
      </c>
      <c r="I295" s="3" t="str">
        <f t="shared" si="1"/>
        <v>NJ</v>
      </c>
      <c r="J295" s="3" t="str">
        <f t="array" ref="J295">INDEX('State Abbreviations'!$B$2:$B$52,MATCH(I295,'State Abbreviations'!$A$2:$A$52,0))</f>
        <v>New Jersey</v>
      </c>
      <c r="K295" s="123" t="e">
        <f t="shared" ca="1" si="12"/>
        <v>#NAME?</v>
      </c>
      <c r="L295" s="13">
        <f t="shared" ca="1" si="13"/>
        <v>7</v>
      </c>
      <c r="M295" s="13" t="str">
        <f ca="1">IFERROR(__xludf.DUMMYFUNCTION("IF(L295=10,ArrayFormula(VLOOKUP(QUERY(UNIQUE(RANDBETWEEN(ROW(INDIRECT(""A1:A""&amp;COUNTA('Leaving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5" s="13">
        <f t="shared" ca="1" si="14"/>
        <v>1</v>
      </c>
      <c r="O295" s="13"/>
      <c r="P295" s="13"/>
      <c r="Q295" s="13" t="b">
        <f>ISNUMBER(MATCH("*"&amp;E295&amp;"*",'Top 1500 HS LatitudeLongitude'!G:G,0))</f>
        <v>1</v>
      </c>
      <c r="R295" s="13" t="str">
        <f ca="1">IFERROR(__xludf.DUMMYFUNCTION("IFS(L295=10,"""",Q295=false,"""",N295=5,"""",Q295=true,SORTN(FILTER('Top 1500 HS LatitudeLongitude'!B:B,'Top 1500 HS LatitudeLongitude'!C:C=I295,'Top 1500 HS LatitudeLongitude'!E:E=H295),1,0,randarray(COUNTA(FILTER('Top 1500 HS LatitudeLongitude'!B:B,'Top"&amp;" 1500 HS LatitudeLongitude'!C:C=I295,'Top 1500 HS LatitudeLongitude'!E:E=H295)),1),TRUE)
)"),"Middletown South (Middletown)")</f>
        <v>Middletown South (Middletown)</v>
      </c>
      <c r="S295" s="13" t="b">
        <f>ISNUMBER(MATCH("*"&amp;H:H&amp;"*",'Public Schools'!C:C,0))</f>
        <v>1</v>
      </c>
      <c r="T295" s="13" t="str">
        <f ca="1">IFERROR(__xludf.DUMMYFUNCTION("IFERROR(IF(AND(R295="""",S295=true), SORTN(FILTER('Public Schools'!A:A,'Public Schools'!B:B=J295,'Public Schools'!C:C=H295),1,0,randarray(COUNTA(FILTER('Public Schools'!A:A,'Public Schools'!B:B=J295,'Public Schools'!C:C=H295)),1),TRUE),""""),"""")"),"")</f>
        <v/>
      </c>
      <c r="U295" s="23" t="str">
        <f t="array" aca="1" ref="U295" ca="1">IF(AND(R295="",T295=""),INDEX('Top 1500 HS LatitudeLongitude'!B$2:B$1501,MATCH(MIN(SQRT(('Top 1500 HS LatitudeLongitude'!H$2:H$1501-F295)^2+('Top 1500 HS LatitudeLongitude'!I$2:I$1501-G295)^2)),SQRT( ('Top 1500 HS LatitudeLongitude'!H$2:H$1501-F295)^2+('Top 1500 HS LatitudeLongitude'!I$2:I$1501-G295)^2),0),1),"")</f>
        <v/>
      </c>
    </row>
    <row r="296" spans="2:21" ht="15.6">
      <c r="B296" s="8">
        <v>0.98759173739999995</v>
      </c>
      <c r="C296" s="9" t="s">
        <v>254</v>
      </c>
      <c r="D296" s="9" t="s">
        <v>501</v>
      </c>
      <c r="E296" s="124" t="s">
        <v>10975</v>
      </c>
      <c r="F296" s="8">
        <v>46.694000000000003</v>
      </c>
      <c r="G296" s="8">
        <v>-92.082300000000004</v>
      </c>
      <c r="H296" s="3" t="str">
        <f t="shared" si="0"/>
        <v>Berwyn</v>
      </c>
      <c r="I296" s="3" t="str">
        <f t="shared" si="1"/>
        <v>IL</v>
      </c>
      <c r="J296" s="3" t="str">
        <f t="array" ref="J296">INDEX('State Abbreviations'!$B$2:$B$52,MATCH(I296,'State Abbreviations'!$A$2:$A$52,0))</f>
        <v>Illinois</v>
      </c>
      <c r="K296" s="123" t="e">
        <f t="shared" ca="1" si="12"/>
        <v>#NAME?</v>
      </c>
      <c r="L296" s="13">
        <f t="shared" ca="1" si="13"/>
        <v>6</v>
      </c>
      <c r="M296" s="13" t="str">
        <f ca="1">IFERROR(__xludf.DUMMYFUNCTION("IF(L296=10,ArrayFormula(VLOOKUP(QUERY(UNIQUE(RANDBETWEEN(ROW(INDIRECT(""A1:A""&amp;COUNTA('Leaving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6" s="13">
        <f t="shared" ca="1" si="14"/>
        <v>4</v>
      </c>
      <c r="O296" s="13"/>
      <c r="P296" s="13"/>
      <c r="Q296" s="13" t="b">
        <f>ISNUMBER(MATCH("*"&amp;E296&amp;"*",'Top 1500 HS LatitudeLongitude'!G:G,0))</f>
        <v>0</v>
      </c>
      <c r="R296" s="13" t="str">
        <f ca="1">IFERROR(__xludf.DUMMYFUNCTION("IFS(L296=10,"""",Q296=false,"""",N296=5,"""",Q296=true,SORTN(FILTER('Top 1500 HS LatitudeLongitude'!B:B,'Top 1500 HS LatitudeLongitude'!C:C=I296,'Top 1500 HS LatitudeLongitude'!E:E=H296),1,0,randarray(COUNTA(FILTER('Top 1500 HS LatitudeLongitude'!B:B,'Top"&amp;" 1500 HS LatitudeLongitude'!C:C=I296,'Top 1500 HS LatitudeLongitude'!E:E=H296)),1),TRUE)
)"),"")</f>
        <v/>
      </c>
      <c r="S296" s="13" t="b">
        <f>ISNUMBER(MATCH("*"&amp;H:H&amp;"*",'Public Schools'!C:C,0))</f>
        <v>1</v>
      </c>
      <c r="T296" s="13" t="str">
        <f ca="1">IFERROR(__xludf.DUMMYFUNCTION("IFERROR(IF(AND(R296="""",S296=true), SORTN(FILTER('Public Schools'!A:A,'Public Schools'!B:B=J296,'Public Schools'!C:C=H296),1,0,randarray(COUNTA(FILTER('Public Schools'!A:A,'Public Schools'!B:B=J296,'Public Schools'!C:C=H296)),1),TRUE),""""),"""")"),"J Sterling Morton West High School Sch")</f>
        <v>J Sterling Morton West High School Sch</v>
      </c>
      <c r="U296" s="23" t="str">
        <f t="array" aca="1" ref="U296" ca="1">IF(AND(R296="",T296=""),INDEX('Top 1500 HS LatitudeLongitude'!B$2:B$1501,MATCH(MIN(SQRT(('Top 1500 HS LatitudeLongitude'!H$2:H$1501-F296)^2+('Top 1500 HS LatitudeLongitude'!I$2:I$1501-G296)^2)),SQRT( ('Top 1500 HS LatitudeLongitude'!H$2:H$1501-F296)^2+('Top 1500 HS LatitudeLongitude'!I$2:I$1501-G296)^2),0),1),"")</f>
        <v/>
      </c>
    </row>
    <row r="297" spans="2:21" ht="15.6">
      <c r="B297" s="8">
        <v>0.67349370669999997</v>
      </c>
      <c r="C297" s="9" t="s">
        <v>254</v>
      </c>
      <c r="D297" s="9" t="s">
        <v>502</v>
      </c>
      <c r="E297" s="37" t="s">
        <v>11010</v>
      </c>
      <c r="F297" s="8">
        <v>40.583399999999997</v>
      </c>
      <c r="G297" s="8">
        <v>-74.149600000000007</v>
      </c>
      <c r="H297" s="3" t="str">
        <f t="shared" si="0"/>
        <v>Grayslake</v>
      </c>
      <c r="I297" s="3" t="str">
        <f t="shared" si="1"/>
        <v>IL</v>
      </c>
      <c r="J297" s="3" t="str">
        <f t="array" ref="J297">INDEX('State Abbreviations'!$B$2:$B$52,MATCH(I297,'State Abbreviations'!$A$2:$A$52,0))</f>
        <v>Illinois</v>
      </c>
      <c r="K297" s="123" t="e">
        <f t="shared" ca="1" si="12"/>
        <v>#NAME?</v>
      </c>
      <c r="L297" s="13">
        <f t="shared" ca="1" si="13"/>
        <v>1</v>
      </c>
      <c r="M297" s="13" t="str">
        <f ca="1">IFERROR(__xludf.DUMMYFUNCTION("IF(L297=10,ArrayFormula(VLOOKUP(QUERY(UNIQUE(RANDBETWEEN(ROW(INDIRECT(""A1:A""&amp;COUNTA('Leaving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7" s="13">
        <f t="shared" ca="1" si="14"/>
        <v>1</v>
      </c>
      <c r="O297" s="13"/>
      <c r="P297" s="13"/>
      <c r="Q297" s="13" t="b">
        <f>ISNUMBER(MATCH("*"&amp;E297&amp;"*",'Top 1500 HS LatitudeLongitude'!G:G,0))</f>
        <v>0</v>
      </c>
      <c r="R297" s="13" t="str">
        <f ca="1">IFERROR(__xludf.DUMMYFUNCTION("IFS(L297=10,"""",Q297=false,"""",N297=5,"""",Q297=true,SORTN(FILTER('Top 1500 HS LatitudeLongitude'!B:B,'Top 1500 HS LatitudeLongitude'!C:C=I297,'Top 1500 HS LatitudeLongitude'!E:E=H297),1,0,randarray(COUNTA(FILTER('Top 1500 HS LatitudeLongitude'!B:B,'Top"&amp;" 1500 HS LatitudeLongitude'!C:C=I297,'Top 1500 HS LatitudeLongitude'!E:E=H297)),1),TRUE)
)"),"")</f>
        <v/>
      </c>
      <c r="S297" s="13" t="b">
        <f>ISNUMBER(MATCH("*"&amp;H:H&amp;"*",'Public Schools'!C:C,0))</f>
        <v>1</v>
      </c>
      <c r="T297" s="13" t="str">
        <f ca="1">IFERROR(__xludf.DUMMYFUNCTION("IFERROR(IF(AND(R297="""",S297=true), SORTN(FILTER('Public Schools'!A:A,'Public Schools'!B:B=J297,'Public Schools'!C:C=H297),1,0,randarray(COUNTA(FILTER('Public Schools'!A:A,'Public Schools'!B:B=J297,'Public Schools'!C:C=H297)),1),TRUE),""""),"""")"),"Grayslake Central High School")</f>
        <v>Grayslake Central High School</v>
      </c>
      <c r="U297" s="23" t="str">
        <f t="array" aca="1" ref="U297" ca="1">IF(AND(R297="",T297=""),INDEX('Top 1500 HS LatitudeLongitude'!B$2:B$1501,MATCH(MIN(SQRT(('Top 1500 HS LatitudeLongitude'!H$2:H$1501-F297)^2+('Top 1500 HS LatitudeLongitude'!I$2:I$1501-G297)^2)),SQRT( ('Top 1500 HS LatitudeLongitude'!H$2:H$1501-F297)^2+('Top 1500 HS LatitudeLongitude'!I$2:I$1501-G297)^2),0),1),"")</f>
        <v/>
      </c>
    </row>
    <row r="298" spans="2:21" ht="15.6">
      <c r="B298" s="8">
        <v>3.2130998819999999E-2</v>
      </c>
      <c r="C298" s="9" t="s">
        <v>114</v>
      </c>
      <c r="D298" s="9" t="s">
        <v>503</v>
      </c>
      <c r="E298" s="124" t="s">
        <v>11041</v>
      </c>
      <c r="F298" s="8">
        <v>33.572200000000002</v>
      </c>
      <c r="G298" s="8">
        <v>-112.0891</v>
      </c>
      <c r="H298" s="3" t="str">
        <f t="shared" si="0"/>
        <v>Milton</v>
      </c>
      <c r="I298" s="3" t="str">
        <f t="shared" si="1"/>
        <v>FL</v>
      </c>
      <c r="J298" s="3" t="str">
        <f t="array" ref="J298">INDEX('State Abbreviations'!$B$2:$B$52,MATCH(I298,'State Abbreviations'!$A$2:$A$52,0))</f>
        <v>Florida</v>
      </c>
      <c r="K298" s="123" t="e">
        <f t="shared" ca="1" si="12"/>
        <v>#NAME?</v>
      </c>
      <c r="L298" s="13">
        <f t="shared" ca="1" si="13"/>
        <v>3</v>
      </c>
      <c r="M298" s="13" t="str">
        <f ca="1">IFERROR(__xludf.DUMMYFUNCTION("IF(L298=10,ArrayFormula(VLOOKUP(QUERY(UNIQUE(RANDBETWEEN(ROW(INDIRECT(""A1:A""&amp;COUNTA('Leaving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8" s="13">
        <f t="shared" ca="1" si="14"/>
        <v>2</v>
      </c>
      <c r="O298" s="13"/>
      <c r="P298" s="13"/>
      <c r="Q298" s="13" t="b">
        <f>ISNUMBER(MATCH("*"&amp;E298&amp;"*",'Top 1500 HS LatitudeLongitude'!G:G,0))</f>
        <v>0</v>
      </c>
      <c r="R298" s="13" t="str">
        <f ca="1">IFERROR(__xludf.DUMMYFUNCTION("IFS(L298=10,"""",Q298=false,"""",N298=5,"""",Q298=true,SORTN(FILTER('Top 1500 HS LatitudeLongitude'!B:B,'Top 1500 HS LatitudeLongitude'!C:C=I298,'Top 1500 HS LatitudeLongitude'!E:E=H298),1,0,randarray(COUNTA(FILTER('Top 1500 HS LatitudeLongitude'!B:B,'Top"&amp;" 1500 HS LatitudeLongitude'!C:C=I298,'Top 1500 HS LatitudeLongitude'!E:E=H298)),1),TRUE)
)"),"")</f>
        <v/>
      </c>
      <c r="S298" s="13" t="b">
        <f>ISNUMBER(MATCH("*"&amp;H:H&amp;"*",'Public Schools'!C:C,0))</f>
        <v>1</v>
      </c>
      <c r="T298" s="13" t="str">
        <f ca="1">IFERROR(__xludf.DUMMYFUNCTION("IFERROR(IF(AND(R298="""",S298=true), SORTN(FILTER('Public Schools'!A:A,'Public Schools'!B:B=J298,'Public Schools'!C:C=H298),1,0,randarray(COUNTA(FILTER('Public Schools'!A:A,'Public Schools'!B:B=J298,'Public Schools'!C:C=H298)),1),TRUE),""""),"""")"),"Milton High School")</f>
        <v>Milton High School</v>
      </c>
      <c r="U298" s="23" t="str">
        <f t="array" aca="1" ref="U298" ca="1">IF(AND(R298="",T298=""),INDEX('Top 1500 HS LatitudeLongitude'!B$2:B$1501,MATCH(MIN(SQRT(('Top 1500 HS LatitudeLongitude'!H$2:H$1501-F298)^2+('Top 1500 HS LatitudeLongitude'!I$2:I$1501-G298)^2)),SQRT( ('Top 1500 HS LatitudeLongitude'!H$2:H$1501-F298)^2+('Top 1500 HS LatitudeLongitude'!I$2:I$1501-G298)^2),0),1),"")</f>
        <v/>
      </c>
    </row>
    <row r="299" spans="2:21" ht="15.6">
      <c r="B299" s="8">
        <v>1.6806202169999999E-2</v>
      </c>
      <c r="C299" s="9" t="s">
        <v>114</v>
      </c>
      <c r="D299" s="9" t="s">
        <v>115</v>
      </c>
      <c r="E299" s="37" t="s">
        <v>84</v>
      </c>
      <c r="F299" s="8">
        <v>33.528700000000001</v>
      </c>
      <c r="G299" s="8">
        <v>-87.031199999999998</v>
      </c>
      <c r="H299" s="3" t="str">
        <f t="shared" si="0"/>
        <v>Miami</v>
      </c>
      <c r="I299" s="3" t="str">
        <f t="shared" si="1"/>
        <v>FL</v>
      </c>
      <c r="J299" s="3" t="str">
        <f t="array" ref="J299">INDEX('State Abbreviations'!$B$2:$B$52,MATCH(I299,'State Abbreviations'!$A$2:$A$52,0))</f>
        <v>Florida</v>
      </c>
      <c r="K299" s="123" t="e">
        <f t="shared" ca="1" si="12"/>
        <v>#NAME?</v>
      </c>
      <c r="L299" s="13">
        <f t="shared" ca="1" si="13"/>
        <v>9</v>
      </c>
      <c r="M299" s="13" t="str">
        <f ca="1">IFERROR(__xludf.DUMMYFUNCTION("IF(L299=10,ArrayFormula(VLOOKUP(QUERY(UNIQUE(RANDBETWEEN(ROW(INDIRECT(""A1:A""&amp;COUNTA('Leaving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299" s="13">
        <f t="shared" ca="1" si="14"/>
        <v>3</v>
      </c>
      <c r="O299" s="13"/>
      <c r="P299" s="13"/>
      <c r="Q299" s="13" t="b">
        <f>ISNUMBER(MATCH("*"&amp;E299&amp;"*",'Top 1500 HS LatitudeLongitude'!G:G,0))</f>
        <v>1</v>
      </c>
      <c r="R299" s="13" t="str">
        <f ca="1">IFERROR(__xludf.DUMMYFUNCTION("IFS(L299=10,"""",Q299=false,"""",N299=5,"""",Q299=true,SORTN(FILTER('Top 1500 HS LatitudeLongitude'!B:B,'Top 1500 HS LatitudeLongitude'!C:C=I299,'Top 1500 HS LatitudeLongitude'!E:E=H299),1,0,randarray(COUNTA(FILTER('Top 1500 HS LatitudeLongitude'!B:B,'Top"&amp;" 1500 HS LatitudeLongitude'!C:C=I299,'Top 1500 HS LatitudeLongitude'!E:E=H299)),1),TRUE)
)"),"Schoolhouse Prep (Miami)")</f>
        <v>Schoolhouse Prep (Miami)</v>
      </c>
      <c r="S299" s="13" t="b">
        <f>ISNUMBER(MATCH("*"&amp;H:H&amp;"*",'Public Schools'!C:C,0))</f>
        <v>1</v>
      </c>
      <c r="T299" s="13" t="str">
        <f ca="1">IFERROR(__xludf.DUMMYFUNCTION("IFERROR(IF(AND(R299="""",S299=true), SORTN(FILTER('Public Schools'!A:A,'Public Schools'!B:B=J299,'Public Schools'!C:C=H299),1,0,randarray(COUNTA(FILTER('Public Schools'!A:A,'Public Schools'!B:B=J299,'Public Schools'!C:C=H299)),1),TRUE),""""),"""")"),"")</f>
        <v/>
      </c>
      <c r="U299" s="23" t="str">
        <f t="array" aca="1" ref="U299" ca="1">IF(AND(R299="",T299=""),INDEX('Top 1500 HS LatitudeLongitude'!B$2:B$1501,MATCH(MIN(SQRT(('Top 1500 HS LatitudeLongitude'!H$2:H$1501-F299)^2+('Top 1500 HS LatitudeLongitude'!I$2:I$1501-G299)^2)),SQRT( ('Top 1500 HS LatitudeLongitude'!H$2:H$1501-F299)^2+('Top 1500 HS LatitudeLongitude'!I$2:I$1501-G299)^2),0),1),"")</f>
        <v/>
      </c>
    </row>
    <row r="300" spans="2:21" ht="15.6">
      <c r="B300" s="8">
        <v>0.32660122920000001</v>
      </c>
      <c r="C300" s="9" t="s">
        <v>114</v>
      </c>
      <c r="D300" s="9" t="s">
        <v>504</v>
      </c>
      <c r="E300" s="124" t="s">
        <v>11126</v>
      </c>
      <c r="F300" s="8">
        <v>42.3521</v>
      </c>
      <c r="G300" s="8">
        <v>-87.8917</v>
      </c>
      <c r="H300" s="3" t="str">
        <f t="shared" si="0"/>
        <v>Pompano Beach</v>
      </c>
      <c r="I300" s="3" t="str">
        <f t="shared" si="1"/>
        <v>FL</v>
      </c>
      <c r="J300" s="3" t="str">
        <f t="array" ref="J300">INDEX('State Abbreviations'!$B$2:$B$52,MATCH(I300,'State Abbreviations'!$A$2:$A$52,0))</f>
        <v>Florida</v>
      </c>
      <c r="K300" s="123" t="e">
        <f t="shared" ca="1" si="12"/>
        <v>#NAME?</v>
      </c>
      <c r="L300" s="13">
        <f t="shared" ca="1" si="13"/>
        <v>1</v>
      </c>
      <c r="M300" s="13" t="str">
        <f ca="1">IFERROR(__xludf.DUMMYFUNCTION("IF(L300=10,ArrayFormula(VLOOKUP(QUERY(UNIQUE(RANDBETWEEN(ROW(INDIRECT(""A1:A""&amp;COUNTA('Leaving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0" s="13">
        <f t="shared" ca="1" si="14"/>
        <v>4</v>
      </c>
      <c r="O300" s="13"/>
      <c r="P300" s="13"/>
      <c r="Q300" s="13" t="b">
        <f>ISNUMBER(MATCH("*"&amp;E300&amp;"*",'Top 1500 HS LatitudeLongitude'!G:G,0))</f>
        <v>0</v>
      </c>
      <c r="R300" s="13" t="str">
        <f ca="1">IFERROR(__xludf.DUMMYFUNCTION("IFS(L300=10,"""",Q300=false,"""",N300=5,"""",Q300=true,SORTN(FILTER('Top 1500 HS LatitudeLongitude'!B:B,'Top 1500 HS LatitudeLongitude'!C:C=I300,'Top 1500 HS LatitudeLongitude'!E:E=H300),1,0,randarray(COUNTA(FILTER('Top 1500 HS LatitudeLongitude'!B:B,'Top"&amp;" 1500 HS LatitudeLongitude'!C:C=I300,'Top 1500 HS LatitudeLongitude'!E:E=H300)),1),TRUE)
)"),"")</f>
        <v/>
      </c>
      <c r="S300" s="13" t="b">
        <f>ISNUMBER(MATCH("*"&amp;H:H&amp;"*",'Public Schools'!C:C,0))</f>
        <v>1</v>
      </c>
      <c r="T300" s="13" t="str">
        <f ca="1">IFERROR(__xludf.DUMMYFUNCTION("IFERROR(IF(AND(R300="""",S300=true), SORTN(FILTER('Public Schools'!A:A,'Public Schools'!B:B=J300,'Public Schools'!C:C=H300),1,0,randarray(COUNTA(FILTER('Public Schools'!A:A,'Public Schools'!B:B=J300,'Public Schools'!C:C=H300)),1),TRUE),""""),"""")"),"Blanche Ely High School")</f>
        <v>Blanche Ely High School</v>
      </c>
      <c r="U300" s="23" t="str">
        <f t="array" aca="1" ref="U300" ca="1">IF(AND(R300="",T300=""),INDEX('Top 1500 HS LatitudeLongitude'!B$2:B$1501,MATCH(MIN(SQRT(('Top 1500 HS LatitudeLongitude'!H$2:H$1501-F300)^2+('Top 1500 HS LatitudeLongitude'!I$2:I$1501-G300)^2)),SQRT( ('Top 1500 HS LatitudeLongitude'!H$2:H$1501-F300)^2+('Top 1500 HS LatitudeLongitude'!I$2:I$1501-G300)^2),0),1),"")</f>
        <v/>
      </c>
    </row>
    <row r="301" spans="2:21" ht="15.6">
      <c r="B301" s="8">
        <v>0.69711858920000003</v>
      </c>
      <c r="C301" s="9" t="s">
        <v>238</v>
      </c>
      <c r="D301" s="9" t="s">
        <v>505</v>
      </c>
      <c r="E301" s="37" t="s">
        <v>11157</v>
      </c>
      <c r="F301" s="8">
        <v>41.045999999999999</v>
      </c>
      <c r="G301" s="8">
        <v>-83.638000000000005</v>
      </c>
      <c r="H301" s="3" t="str">
        <f t="shared" si="0"/>
        <v>Locke</v>
      </c>
      <c r="I301" s="3" t="str">
        <f t="shared" si="1"/>
        <v>NY</v>
      </c>
      <c r="J301" s="3" t="str">
        <f t="array" ref="J301">INDEX('State Abbreviations'!$B$2:$B$52,MATCH(I301,'State Abbreviations'!$A$2:$A$52,0))</f>
        <v>New York</v>
      </c>
      <c r="K301" s="123" t="e">
        <f t="shared" ca="1" si="12"/>
        <v>#NAME?</v>
      </c>
      <c r="L301" s="13">
        <f t="shared" ca="1" si="13"/>
        <v>1</v>
      </c>
      <c r="M301" s="13" t="str">
        <f ca="1">IFERROR(__xludf.DUMMYFUNCTION("IF(L301=10,ArrayFormula(VLOOKUP(QUERY(UNIQUE(RANDBETWEEN(ROW(INDIRECT(""A1:A""&amp;COUNTA('Leaving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1" s="13">
        <f t="shared" ca="1" si="14"/>
        <v>2</v>
      </c>
      <c r="O301" s="13"/>
      <c r="P301" s="13"/>
      <c r="Q301" s="13" t="b">
        <f>ISNUMBER(MATCH("*"&amp;E301&amp;"*",'Top 1500 HS LatitudeLongitude'!G:G,0))</f>
        <v>0</v>
      </c>
      <c r="R301" s="13" t="str">
        <f ca="1">IFERROR(__xludf.DUMMYFUNCTION("IFS(L301=10,"""",Q301=false,"""",N301=5,"""",Q301=true,SORTN(FILTER('Top 1500 HS LatitudeLongitude'!B:B,'Top 1500 HS LatitudeLongitude'!C:C=I301,'Top 1500 HS LatitudeLongitude'!E:E=H301),1,0,randarray(COUNTA(FILTER('Top 1500 HS LatitudeLongitude'!B:B,'Top"&amp;" 1500 HS LatitudeLongitude'!C:C=I301,'Top 1500 HS LatitudeLongitude'!E:E=H301)),1),TRUE)
)"),"")</f>
        <v/>
      </c>
      <c r="S301" s="13" t="b">
        <f>ISNUMBER(MATCH("*"&amp;H:H&amp;"*",'Public Schools'!C:C,0))</f>
        <v>0</v>
      </c>
      <c r="T301" s="13" t="str">
        <f ca="1">IFERROR(__xludf.DUMMYFUNCTION("IFERROR(IF(AND(R301="""",S301=true), SORTN(FILTER('Public Schools'!A:A,'Public Schools'!B:B=J301,'Public Schools'!C:C=H301),1,0,randarray(COUNTA(FILTER('Public Schools'!A:A,'Public Schools'!B:B=J301,'Public Schools'!C:C=H301)),1),TRUE),""""),"""")"),"")</f>
        <v/>
      </c>
      <c r="U301" s="23" t="str">
        <f t="array" aca="1" ref="U301" ca="1">IF(AND(R301="",T301=""),INDEX('Top 1500 HS LatitudeLongitude'!B$2:B$1501,MATCH(MIN(SQRT(('Top 1500 HS LatitudeLongitude'!H$2:H$1501-F301)^2+('Top 1500 HS LatitudeLongitude'!I$2:I$1501-G301)^2)),SQRT( ('Top 1500 HS LatitudeLongitude'!H$2:H$1501-F301)^2+('Top 1500 HS LatitudeLongitude'!I$2:I$1501-G301)^2),0),1),"")</f>
        <v>Ottawa-Glandorf (Ottawa)</v>
      </c>
    </row>
    <row r="302" spans="2:21" ht="15.6">
      <c r="B302" s="8">
        <v>0.89856752939999995</v>
      </c>
      <c r="C302" s="9" t="s">
        <v>247</v>
      </c>
      <c r="D302" s="9" t="s">
        <v>506</v>
      </c>
      <c r="E302" s="124" t="s">
        <v>11196</v>
      </c>
      <c r="F302" s="8">
        <v>29.568899999999999</v>
      </c>
      <c r="G302" s="8">
        <v>-98.2149</v>
      </c>
      <c r="H302" s="3" t="str">
        <f t="shared" si="0"/>
        <v>Lexington</v>
      </c>
      <c r="I302" s="3" t="str">
        <f t="shared" si="1"/>
        <v>KY</v>
      </c>
      <c r="J302" s="3" t="str">
        <f t="array" ref="J302">INDEX('State Abbreviations'!$B$2:$B$52,MATCH(I302,'State Abbreviations'!$A$2:$A$52,0))</f>
        <v>Kentucky</v>
      </c>
      <c r="K302" s="123" t="e">
        <f t="shared" ca="1" si="12"/>
        <v>#NAME?</v>
      </c>
      <c r="L302" s="13">
        <f t="shared" ca="1" si="13"/>
        <v>2</v>
      </c>
      <c r="M302" s="13" t="str">
        <f ca="1">IFERROR(__xludf.DUMMYFUNCTION("IF(L302=10,ArrayFormula(VLOOKUP(QUERY(UNIQUE(RANDBETWEEN(ROW(INDIRECT(""A1:A""&amp;COUNTA('Leaving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2" s="13">
        <f t="shared" ca="1" si="14"/>
        <v>1</v>
      </c>
      <c r="O302" s="13"/>
      <c r="P302" s="13"/>
      <c r="Q302" s="13" t="b">
        <f>ISNUMBER(MATCH("*"&amp;E302&amp;"*",'Top 1500 HS LatitudeLongitude'!G:G,0))</f>
        <v>1</v>
      </c>
      <c r="R302" s="13" t="str">
        <f ca="1">IFERROR(__xludf.DUMMYFUNCTION("IFS(L302=10,"""",Q302=false,"""",N302=5,"""",Q302=true,SORTN(FILTER('Top 1500 HS LatitudeLongitude'!B:B,'Top 1500 HS LatitudeLongitude'!C:C=I302,'Top 1500 HS LatitudeLongitude'!E:E=H302),1,0,randarray(COUNTA(FILTER('Top 1500 HS LatitudeLongitude'!B:B,'Top"&amp;" 1500 HS LatitudeLongitude'!C:C=I302,'Top 1500 HS LatitudeLongitude'!E:E=H302)),1),TRUE)
)"),"Henry Clay (Lexington)")</f>
        <v>Henry Clay (Lexington)</v>
      </c>
      <c r="S302" s="13" t="b">
        <f>ISNUMBER(MATCH("*"&amp;H:H&amp;"*",'Public Schools'!C:C,0))</f>
        <v>1</v>
      </c>
      <c r="T302" s="13" t="str">
        <f ca="1">IFERROR(__xludf.DUMMYFUNCTION("IFERROR(IF(AND(R302="""",S302=true), SORTN(FILTER('Public Schools'!A:A,'Public Schools'!B:B=J302,'Public Schools'!C:C=H302),1,0,randarray(COUNTA(FILTER('Public Schools'!A:A,'Public Schools'!B:B=J302,'Public Schools'!C:C=H302)),1),TRUE),""""),"""")"),"")</f>
        <v/>
      </c>
      <c r="U302" s="23" t="str">
        <f t="array" aca="1" ref="U302" ca="1">IF(AND(R302="",T302=""),INDEX('Top 1500 HS LatitudeLongitude'!B$2:B$1501,MATCH(MIN(SQRT(('Top 1500 HS LatitudeLongitude'!H$2:H$1501-F302)^2+('Top 1500 HS LatitudeLongitude'!I$2:I$1501-G302)^2)),SQRT( ('Top 1500 HS LatitudeLongitude'!H$2:H$1501-F302)^2+('Top 1500 HS LatitudeLongitude'!I$2:I$1501-G302)^2),0),1),"")</f>
        <v/>
      </c>
    </row>
    <row r="303" spans="2:21" ht="15.6">
      <c r="B303" s="8">
        <v>0.47130017749999997</v>
      </c>
      <c r="C303" s="9" t="s">
        <v>254</v>
      </c>
      <c r="D303" s="9" t="s">
        <v>507</v>
      </c>
      <c r="E303" s="37" t="s">
        <v>11230</v>
      </c>
      <c r="F303" s="8">
        <v>42.275700000000001</v>
      </c>
      <c r="G303" s="8">
        <v>-83.731200000000001</v>
      </c>
      <c r="H303" s="3" t="str">
        <f t="shared" si="0"/>
        <v>Wheeling</v>
      </c>
      <c r="I303" s="3" t="str">
        <f t="shared" si="1"/>
        <v>IL</v>
      </c>
      <c r="J303" s="3" t="str">
        <f t="array" ref="J303">INDEX('State Abbreviations'!$B$2:$B$52,MATCH(I303,'State Abbreviations'!$A$2:$A$52,0))</f>
        <v>Illinois</v>
      </c>
      <c r="K303" s="123" t="e">
        <f t="shared" ca="1" si="12"/>
        <v>#NAME?</v>
      </c>
      <c r="L303" s="13">
        <f t="shared" ca="1" si="13"/>
        <v>5</v>
      </c>
      <c r="M303" s="13" t="str">
        <f ca="1">IFERROR(__xludf.DUMMYFUNCTION("IF(L303=10,ArrayFormula(VLOOKUP(QUERY(UNIQUE(RANDBETWEEN(ROW(INDIRECT(""A1:A""&amp;COUNTA('Leaving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3" s="13">
        <f t="shared" ca="1" si="14"/>
        <v>1</v>
      </c>
      <c r="O303" s="13"/>
      <c r="P303" s="13"/>
      <c r="Q303" s="13" t="b">
        <f>ISNUMBER(MATCH("*"&amp;E303&amp;"*",'Top 1500 HS LatitudeLongitude'!G:G,0))</f>
        <v>0</v>
      </c>
      <c r="R303" s="13" t="str">
        <f ca="1">IFERROR(__xludf.DUMMYFUNCTION("IFS(L303=10,"""",Q303=false,"""",N303=5,"""",Q303=true,SORTN(FILTER('Top 1500 HS LatitudeLongitude'!B:B,'Top 1500 HS LatitudeLongitude'!C:C=I303,'Top 1500 HS LatitudeLongitude'!E:E=H303),1,0,randarray(COUNTA(FILTER('Top 1500 HS LatitudeLongitude'!B:B,'Top"&amp;" 1500 HS LatitudeLongitude'!C:C=I303,'Top 1500 HS LatitudeLongitude'!E:E=H303)),1),TRUE)
)"),"")</f>
        <v/>
      </c>
      <c r="S303" s="13" t="b">
        <f>ISNUMBER(MATCH("*"&amp;H:H&amp;"*",'Public Schools'!C:C,0))</f>
        <v>1</v>
      </c>
      <c r="T303" s="13" t="str">
        <f ca="1">IFERROR(__xludf.DUMMYFUNCTION("IFERROR(IF(AND(R303="""",S303=true), SORTN(FILTER('Public Schools'!A:A,'Public Schools'!B:B=J303,'Public Schools'!C:C=H303),1,0,randarray(COUNTA(FILTER('Public Schools'!A:A,'Public Schools'!B:B=J303,'Public Schools'!C:C=H303)),1),TRUE),""""),"""")"),"Wheeling High School")</f>
        <v>Wheeling High School</v>
      </c>
      <c r="U303" s="23" t="str">
        <f t="array" aca="1" ref="U303" ca="1">IF(AND(R303="",T303=""),INDEX('Top 1500 HS LatitudeLongitude'!B$2:B$1501,MATCH(MIN(SQRT(('Top 1500 HS LatitudeLongitude'!H$2:H$1501-F303)^2+('Top 1500 HS LatitudeLongitude'!I$2:I$1501-G303)^2)),SQRT( ('Top 1500 HS LatitudeLongitude'!H$2:H$1501-F303)^2+('Top 1500 HS LatitudeLongitude'!I$2:I$1501-G303)^2),0),1),"")</f>
        <v/>
      </c>
    </row>
    <row r="304" spans="2:21" ht="15.6">
      <c r="B304" s="8">
        <v>0.1911268002</v>
      </c>
      <c r="C304" s="9" t="s">
        <v>320</v>
      </c>
      <c r="D304" s="9" t="s">
        <v>508</v>
      </c>
      <c r="E304" s="124" t="s">
        <v>11264</v>
      </c>
      <c r="F304" s="8">
        <v>26.126000000000001</v>
      </c>
      <c r="G304" s="8">
        <v>-80.261700000000005</v>
      </c>
      <c r="H304" s="3" t="str">
        <f t="shared" si="0"/>
        <v>Bailey</v>
      </c>
      <c r="I304" s="3" t="str">
        <f t="shared" si="1"/>
        <v>CO</v>
      </c>
      <c r="J304" s="3" t="str">
        <f t="array" ref="J304">INDEX('State Abbreviations'!$B$2:$B$52,MATCH(I304,'State Abbreviations'!$A$2:$A$52,0))</f>
        <v>Colorado</v>
      </c>
      <c r="K304" s="123" t="e">
        <f t="shared" ca="1" si="12"/>
        <v>#NAME?</v>
      </c>
      <c r="L304" s="13">
        <f t="shared" ca="1" si="13"/>
        <v>8</v>
      </c>
      <c r="M304" s="13" t="str">
        <f ca="1">IFERROR(__xludf.DUMMYFUNCTION("IF(L304=10,ArrayFormula(VLOOKUP(QUERY(UNIQUE(RANDBETWEEN(ROW(INDIRECT(""A1:A""&amp;COUNTA('Leaving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4" s="13">
        <f t="shared" ca="1" si="14"/>
        <v>2</v>
      </c>
      <c r="O304" s="13"/>
      <c r="P304" s="13"/>
      <c r="Q304" s="13" t="b">
        <f>ISNUMBER(MATCH("*"&amp;E304&amp;"*",'Top 1500 HS LatitudeLongitude'!G:G,0))</f>
        <v>0</v>
      </c>
      <c r="R304" s="13" t="str">
        <f ca="1">IFERROR(__xludf.DUMMYFUNCTION("IFS(L304=10,"""",Q304=false,"""",N304=5,"""",Q304=true,SORTN(FILTER('Top 1500 HS LatitudeLongitude'!B:B,'Top 1500 HS LatitudeLongitude'!C:C=I304,'Top 1500 HS LatitudeLongitude'!E:E=H304),1,0,randarray(COUNTA(FILTER('Top 1500 HS LatitudeLongitude'!B:B,'Top"&amp;" 1500 HS LatitudeLongitude'!C:C=I304,'Top 1500 HS LatitudeLongitude'!E:E=H304)),1),TRUE)
)"),"")</f>
        <v/>
      </c>
      <c r="S304" s="13" t="b">
        <f>ISNUMBER(MATCH("*"&amp;H:H&amp;"*",'Public Schools'!C:C,0))</f>
        <v>1</v>
      </c>
      <c r="T304" s="13" t="str">
        <f ca="1">IFERROR(__xludf.DUMMYFUNCTION("IFERROR(IF(AND(R304="""",S304=true), SORTN(FILTER('Public Schools'!A:A,'Public Schools'!B:B=J304,'Public Schools'!C:C=H304),1,0,randarray(COUNTA(FILTER('Public Schools'!A:A,'Public Schools'!B:B=J304,'Public Schools'!C:C=H304)),1),TRUE),""""),"""")"),"Platte Canyon High School")</f>
        <v>Platte Canyon High School</v>
      </c>
      <c r="U304" s="23" t="str">
        <f t="array" aca="1" ref="U304" ca="1">IF(AND(R304="",T304=""),INDEX('Top 1500 HS LatitudeLongitude'!B$2:B$1501,MATCH(MIN(SQRT(('Top 1500 HS LatitudeLongitude'!H$2:H$1501-F304)^2+('Top 1500 HS LatitudeLongitude'!I$2:I$1501-G304)^2)),SQRT( ('Top 1500 HS LatitudeLongitude'!H$2:H$1501-F304)^2+('Top 1500 HS LatitudeLongitude'!I$2:I$1501-G304)^2),0),1),"")</f>
        <v/>
      </c>
    </row>
    <row r="305" spans="2:21" ht="15.6">
      <c r="B305" s="8">
        <v>0.80171246080000003</v>
      </c>
      <c r="C305" s="9" t="s">
        <v>47</v>
      </c>
      <c r="D305" s="9" t="s">
        <v>509</v>
      </c>
      <c r="E305" s="37" t="s">
        <v>11301</v>
      </c>
      <c r="F305" s="8">
        <v>36.171399999999998</v>
      </c>
      <c r="G305" s="8">
        <v>-86.784400000000005</v>
      </c>
      <c r="H305" s="3" t="str">
        <f t="shared" si="0"/>
        <v>Chula Vista</v>
      </c>
      <c r="I305" s="3" t="str">
        <f t="shared" si="1"/>
        <v>CA</v>
      </c>
      <c r="J305" s="3" t="str">
        <f t="array" ref="J305">INDEX('State Abbreviations'!$B$2:$B$52,MATCH(I305,'State Abbreviations'!$A$2:$A$52,0))</f>
        <v>California</v>
      </c>
      <c r="K305" s="123" t="e">
        <f t="shared" ca="1" si="12"/>
        <v>#NAME?</v>
      </c>
      <c r="L305" s="13">
        <f t="shared" ca="1" si="13"/>
        <v>8</v>
      </c>
      <c r="M305" s="13" t="str">
        <f ca="1">IFERROR(__xludf.DUMMYFUNCTION("IF(L305=10,ArrayFormula(VLOOKUP(QUERY(UNIQUE(RANDBETWEEN(ROW(INDIRECT(""A1:A""&amp;COUNTA('Leaving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5" s="13">
        <f t="shared" ca="1" si="14"/>
        <v>4</v>
      </c>
      <c r="O305" s="13"/>
      <c r="P305" s="13"/>
      <c r="Q305" s="13" t="b">
        <f>ISNUMBER(MATCH("*"&amp;E305&amp;"*",'Top 1500 HS LatitudeLongitude'!G:G,0))</f>
        <v>1</v>
      </c>
      <c r="R305" s="13" t="str">
        <f ca="1">IFERROR(__xludf.DUMMYFUNCTION("IFS(L305=10,"""",Q305=false,"""",N305=5,"""",Q305=true,SORTN(FILTER('Top 1500 HS LatitudeLongitude'!B:B,'Top 1500 HS LatitudeLongitude'!C:C=I305,'Top 1500 HS LatitudeLongitude'!E:E=H305),1,0,randarray(COUNTA(FILTER('Top 1500 HS LatitudeLongitude'!B:B,'Top"&amp;" 1500 HS LatitudeLongitude'!C:C=I305,'Top 1500 HS LatitudeLongitude'!E:E=H305)),1),TRUE)
)"),"Mater Dei Catholic (Chula Vista)")</f>
        <v>Mater Dei Catholic (Chula Vista)</v>
      </c>
      <c r="S305" s="13" t="b">
        <f>ISNUMBER(MATCH("*"&amp;H:H&amp;"*",'Public Schools'!C:C,0))</f>
        <v>1</v>
      </c>
      <c r="T305" s="13" t="str">
        <f ca="1">IFERROR(__xludf.DUMMYFUNCTION("IFERROR(IF(AND(R305="""",S305=true), SORTN(FILTER('Public Schools'!A:A,'Public Schools'!B:B=J305,'Public Schools'!C:C=H305),1,0,randarray(COUNTA(FILTER('Public Schools'!A:A,'Public Schools'!B:B=J305,'Public Schools'!C:C=H305)),1),TRUE),""""),"""")"),"")</f>
        <v/>
      </c>
      <c r="U305" s="23" t="str">
        <f t="array" aca="1" ref="U305" ca="1">IF(AND(R305="",T305=""),INDEX('Top 1500 HS LatitudeLongitude'!B$2:B$1501,MATCH(MIN(SQRT(('Top 1500 HS LatitudeLongitude'!H$2:H$1501-F305)^2+('Top 1500 HS LatitudeLongitude'!I$2:I$1501-G305)^2)),SQRT( ('Top 1500 HS LatitudeLongitude'!H$2:H$1501-F305)^2+('Top 1500 HS LatitudeLongitude'!I$2:I$1501-G305)^2),0),1),"")</f>
        <v/>
      </c>
    </row>
    <row r="306" spans="2:21" ht="15.6">
      <c r="B306" s="8">
        <v>0.87371047769999999</v>
      </c>
      <c r="C306" s="9" t="s">
        <v>238</v>
      </c>
      <c r="D306" s="9" t="s">
        <v>326</v>
      </c>
      <c r="E306" s="124" t="s">
        <v>3228</v>
      </c>
      <c r="F306" s="8">
        <v>33.155099999999997</v>
      </c>
      <c r="G306" s="8">
        <v>-96.821899999999999</v>
      </c>
      <c r="H306" s="3" t="str">
        <f t="shared" si="0"/>
        <v>Brooklyn</v>
      </c>
      <c r="I306" s="3" t="str">
        <f t="shared" si="1"/>
        <v>NY</v>
      </c>
      <c r="J306" s="3" t="str">
        <f t="array" ref="J306">INDEX('State Abbreviations'!$B$2:$B$52,MATCH(I306,'State Abbreviations'!$A$2:$A$52,0))</f>
        <v>New York</v>
      </c>
      <c r="K306" s="123" t="e">
        <f t="shared" ca="1" si="12"/>
        <v>#NAME?</v>
      </c>
      <c r="L306" s="13">
        <f t="shared" ca="1" si="13"/>
        <v>5</v>
      </c>
      <c r="M306" s="13" t="str">
        <f ca="1">IFERROR(__xludf.DUMMYFUNCTION("IF(L306=10,ArrayFormula(VLOOKUP(QUERY(UNIQUE(RANDBETWEEN(ROW(INDIRECT(""A1:A""&amp;COUNTA('Leaving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6" s="13">
        <f t="shared" ca="1" si="14"/>
        <v>1</v>
      </c>
      <c r="O306" s="13"/>
      <c r="P306" s="13"/>
      <c r="Q306" s="13" t="b">
        <f>ISNUMBER(MATCH("*"&amp;E306&amp;"*",'Top 1500 HS LatitudeLongitude'!G:G,0))</f>
        <v>1</v>
      </c>
      <c r="R306" s="13" t="str">
        <f ca="1">IFERROR(__xludf.DUMMYFUNCTION("IFS(L306=10,"""",Q306=false,"""",N306=5,"""",Q306=true,SORTN(FILTER('Top 1500 HS LatitudeLongitude'!B:B,'Top 1500 HS LatitudeLongitude'!C:C=I306,'Top 1500 HS LatitudeLongitude'!E:E=H306),1,0,randarray(COUNTA(FILTER('Top 1500 HS LatitudeLongitude'!B:B,'Top"&amp;" 1500 HS LatitudeLongitude'!C:C=I306,'Top 1500 HS LatitudeLongitude'!E:E=H306)),1),TRUE)
)"),"Boys &amp; Girls (Brooklyn)")</f>
        <v>Boys &amp; Girls (Brooklyn)</v>
      </c>
      <c r="S306" s="13" t="b">
        <f>ISNUMBER(MATCH("*"&amp;H:H&amp;"*",'Public Schools'!C:C,0))</f>
        <v>1</v>
      </c>
      <c r="T306" s="13" t="str">
        <f ca="1">IFERROR(__xludf.DUMMYFUNCTION("IFERROR(IF(AND(R306="""",S306=true), SORTN(FILTER('Public Schools'!A:A,'Public Schools'!B:B=J306,'Public Schools'!C:C=H306),1,0,randarray(COUNTA(FILTER('Public Schools'!A:A,'Public Schools'!B:B=J306,'Public Schools'!C:C=H306)),1),TRUE),""""),"""")"),"")</f>
        <v/>
      </c>
      <c r="U306" s="23" t="str">
        <f t="array" aca="1" ref="U306" ca="1">IF(AND(R306="",T306=""),INDEX('Top 1500 HS LatitudeLongitude'!B$2:B$1501,MATCH(MIN(SQRT(('Top 1500 HS LatitudeLongitude'!H$2:H$1501-F306)^2+('Top 1500 HS LatitudeLongitude'!I$2:I$1501-G306)^2)),SQRT( ('Top 1500 HS LatitudeLongitude'!H$2:H$1501-F306)^2+('Top 1500 HS LatitudeLongitude'!I$2:I$1501-G306)^2),0),1),"")</f>
        <v/>
      </c>
    </row>
    <row r="307" spans="2:21" ht="15.6">
      <c r="B307" s="8">
        <v>0.44063172750000001</v>
      </c>
      <c r="C307" s="9" t="s">
        <v>47</v>
      </c>
      <c r="D307" s="9" t="s">
        <v>510</v>
      </c>
      <c r="E307" s="37" t="s">
        <v>11372</v>
      </c>
      <c r="F307" s="8">
        <v>39.305100000000003</v>
      </c>
      <c r="G307" s="8">
        <v>-76.614400000000003</v>
      </c>
      <c r="H307" s="3" t="str">
        <f t="shared" si="0"/>
        <v>Hawthorne</v>
      </c>
      <c r="I307" s="3" t="str">
        <f t="shared" si="1"/>
        <v>CA</v>
      </c>
      <c r="J307" s="3" t="str">
        <f t="array" ref="J307">INDEX('State Abbreviations'!$B$2:$B$52,MATCH(I307,'State Abbreviations'!$A$2:$A$52,0))</f>
        <v>California</v>
      </c>
      <c r="K307" s="123" t="e">
        <f t="shared" ca="1" si="12"/>
        <v>#NAME?</v>
      </c>
      <c r="L307" s="13">
        <f t="shared" ca="1" si="13"/>
        <v>1</v>
      </c>
      <c r="M307" s="13" t="str">
        <f ca="1">IFERROR(__xludf.DUMMYFUNCTION("IF(L307=10,ArrayFormula(VLOOKUP(QUERY(UNIQUE(RANDBETWEEN(ROW(INDIRECT(""A1:A""&amp;COUNTA('Leaving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7" s="13">
        <f t="shared" ca="1" si="14"/>
        <v>1</v>
      </c>
      <c r="O307" s="13"/>
      <c r="P307" s="13"/>
      <c r="Q307" s="13" t="b">
        <f>ISNUMBER(MATCH("*"&amp;E307&amp;"*",'Top 1500 HS LatitudeLongitude'!G:G,0))</f>
        <v>0</v>
      </c>
      <c r="R307" s="13" t="str">
        <f ca="1">IFERROR(__xludf.DUMMYFUNCTION("IFS(L307=10,"""",Q307=false,"""",N307=5,"""",Q307=true,SORTN(FILTER('Top 1500 HS LatitudeLongitude'!B:B,'Top 1500 HS LatitudeLongitude'!C:C=I307,'Top 1500 HS LatitudeLongitude'!E:E=H307),1,0,randarray(COUNTA(FILTER('Top 1500 HS LatitudeLongitude'!B:B,'Top"&amp;" 1500 HS LatitudeLongitude'!C:C=I307,'Top 1500 HS LatitudeLongitude'!E:E=H307)),1),TRUE)
)"),"")</f>
        <v/>
      </c>
      <c r="S307" s="13" t="b">
        <f>ISNUMBER(MATCH("*"&amp;H:H&amp;"*",'Public Schools'!C:C,0))</f>
        <v>1</v>
      </c>
      <c r="T307" s="13" t="str">
        <f ca="1">IFERROR(__xludf.DUMMYFUNCTION("IFERROR(IF(AND(R307="""",S307=true), SORTN(FILTER('Public Schools'!A:A,'Public Schools'!B:B=J307,'Public Schools'!C:C=H307),1,0,randarray(COUNTA(FILTER('Public Schools'!A:A,'Public Schools'!B:B=J307,'Public Schools'!C:C=H307)),1),TRUE),""""),"""")"),"Hawthorne Math And Science Academy")</f>
        <v>Hawthorne Math And Science Academy</v>
      </c>
      <c r="U307" s="23" t="str">
        <f t="array" aca="1" ref="U307" ca="1">IF(AND(R307="",T307=""),INDEX('Top 1500 HS LatitudeLongitude'!B$2:B$1501,MATCH(MIN(SQRT(('Top 1500 HS LatitudeLongitude'!H$2:H$1501-F307)^2+('Top 1500 HS LatitudeLongitude'!I$2:I$1501-G307)^2)),SQRT( ('Top 1500 HS LatitudeLongitude'!H$2:H$1501-F307)^2+('Top 1500 HS LatitudeLongitude'!I$2:I$1501-G307)^2),0),1),"")</f>
        <v/>
      </c>
    </row>
    <row r="308" spans="2:21" ht="15.6">
      <c r="B308" s="8">
        <v>0.7952506573</v>
      </c>
      <c r="C308" s="9" t="s">
        <v>300</v>
      </c>
      <c r="D308" s="9" t="s">
        <v>511</v>
      </c>
      <c r="E308" s="124" t="s">
        <v>11410</v>
      </c>
      <c r="F308" s="8">
        <v>35.104700000000001</v>
      </c>
      <c r="G308" s="8">
        <v>-89.9773</v>
      </c>
      <c r="H308" s="3" t="str">
        <f t="shared" si="0"/>
        <v>Greendale</v>
      </c>
      <c r="I308" s="3" t="str">
        <f t="shared" si="1"/>
        <v>WI</v>
      </c>
      <c r="J308" s="3" t="str">
        <f t="array" ref="J308">INDEX('State Abbreviations'!$B$2:$B$52,MATCH(I308,'State Abbreviations'!$A$2:$A$52,0))</f>
        <v>Wisconsin</v>
      </c>
      <c r="K308" s="123" t="e">
        <f t="shared" ca="1" si="12"/>
        <v>#NAME?</v>
      </c>
      <c r="L308" s="13">
        <f t="shared" ca="1" si="13"/>
        <v>7</v>
      </c>
      <c r="M308" s="13" t="str">
        <f ca="1">IFERROR(__xludf.DUMMYFUNCTION("IF(L308=10,ArrayFormula(VLOOKUP(QUERY(UNIQUE(RANDBETWEEN(ROW(INDIRECT(""A1:A""&amp;COUNTA('Leaving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8" s="13">
        <f t="shared" ca="1" si="14"/>
        <v>3</v>
      </c>
      <c r="O308" s="13"/>
      <c r="P308" s="13"/>
      <c r="Q308" s="13" t="b">
        <f>ISNUMBER(MATCH("*"&amp;E308&amp;"*",'Top 1500 HS LatitudeLongitude'!G:G,0))</f>
        <v>0</v>
      </c>
      <c r="R308" s="13" t="str">
        <f ca="1">IFERROR(__xludf.DUMMYFUNCTION("IFS(L308=10,"""",Q308=false,"""",N308=5,"""",Q308=true,SORTN(FILTER('Top 1500 HS LatitudeLongitude'!B:B,'Top 1500 HS LatitudeLongitude'!C:C=I308,'Top 1500 HS LatitudeLongitude'!E:E=H308),1,0,randarray(COUNTA(FILTER('Top 1500 HS LatitudeLongitude'!B:B,'Top"&amp;" 1500 HS LatitudeLongitude'!C:C=I308,'Top 1500 HS LatitudeLongitude'!E:E=H308)),1),TRUE)
)"),"")</f>
        <v/>
      </c>
      <c r="S308" s="13" t="b">
        <f>ISNUMBER(MATCH("*"&amp;H:H&amp;"*",'Public Schools'!C:C,0))</f>
        <v>1</v>
      </c>
      <c r="T308" s="13" t="str">
        <f ca="1">IFERROR(__xludf.DUMMYFUNCTION("IFERROR(IF(AND(R308="""",S308=true), SORTN(FILTER('Public Schools'!A:A,'Public Schools'!B:B=J308,'Public Schools'!C:C=H308),1,0,randarray(COUNTA(FILTER('Public Schools'!A:A,'Public Schools'!B:B=J308,'Public Schools'!C:C=H308)),1),TRUE),""""),"""")"),"Greendale High School")</f>
        <v>Greendale High School</v>
      </c>
      <c r="U308" s="23" t="str">
        <f t="array" aca="1" ref="U308" ca="1">IF(AND(R308="",T308=""),INDEX('Top 1500 HS LatitudeLongitude'!B$2:B$1501,MATCH(MIN(SQRT(('Top 1500 HS LatitudeLongitude'!H$2:H$1501-F308)^2+('Top 1500 HS LatitudeLongitude'!I$2:I$1501-G308)^2)),SQRT( ('Top 1500 HS LatitudeLongitude'!H$2:H$1501-F308)^2+('Top 1500 HS LatitudeLongitude'!I$2:I$1501-G308)^2),0),1),"")</f>
        <v/>
      </c>
    </row>
    <row r="309" spans="2:21" ht="15.6">
      <c r="B309" s="8">
        <v>0.63152340880000002</v>
      </c>
      <c r="C309" s="9" t="s">
        <v>249</v>
      </c>
      <c r="D309" s="9" t="s">
        <v>512</v>
      </c>
      <c r="E309" s="37" t="s">
        <v>11455</v>
      </c>
      <c r="F309" s="8">
        <v>39.572699999999998</v>
      </c>
      <c r="G309" s="8">
        <v>-119.7131</v>
      </c>
      <c r="H309" s="3" t="str">
        <f t="shared" si="0"/>
        <v>Carrboro</v>
      </c>
      <c r="I309" s="3" t="str">
        <f t="shared" si="1"/>
        <v>NC</v>
      </c>
      <c r="J309" s="3" t="str">
        <f t="array" ref="J309">INDEX('State Abbreviations'!$B$2:$B$52,MATCH(I309,'State Abbreviations'!$A$2:$A$52,0))</f>
        <v>North Carolina</v>
      </c>
      <c r="K309" s="123" t="e">
        <f t="shared" ca="1" si="12"/>
        <v>#NAME?</v>
      </c>
      <c r="L309" s="13">
        <f t="shared" ca="1" si="13"/>
        <v>4</v>
      </c>
      <c r="M309" s="13" t="str">
        <f ca="1">IFERROR(__xludf.DUMMYFUNCTION("IF(L309=10,ArrayFormula(VLOOKUP(QUERY(UNIQUE(RANDBETWEEN(ROW(INDIRECT(""A1:A""&amp;COUNTA('Leaving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09" s="13">
        <f t="shared" ca="1" si="14"/>
        <v>2</v>
      </c>
      <c r="O309" s="13"/>
      <c r="P309" s="13"/>
      <c r="Q309" s="13" t="b">
        <f>ISNUMBER(MATCH("*"&amp;E309&amp;"*",'Top 1500 HS LatitudeLongitude'!G:G,0))</f>
        <v>0</v>
      </c>
      <c r="R309" s="13" t="str">
        <f ca="1">IFERROR(__xludf.DUMMYFUNCTION("IFS(L309=10,"""",Q309=false,"""",N309=5,"""",Q309=true,SORTN(FILTER('Top 1500 HS LatitudeLongitude'!B:B,'Top 1500 HS LatitudeLongitude'!C:C=I309,'Top 1500 HS LatitudeLongitude'!E:E=H309),1,0,randarray(COUNTA(FILTER('Top 1500 HS LatitudeLongitude'!B:B,'Top"&amp;" 1500 HS LatitudeLongitude'!C:C=I309,'Top 1500 HS LatitudeLongitude'!E:E=H309)),1),TRUE)
)"),"")</f>
        <v/>
      </c>
      <c r="S309" s="13" t="b">
        <f>ISNUMBER(MATCH("*"&amp;H:H&amp;"*",'Public Schools'!C:C,0))</f>
        <v>1</v>
      </c>
      <c r="T309" s="13" t="str">
        <f ca="1">IFERROR(__xludf.DUMMYFUNCTION("IFERROR(IF(AND(R309="""",S309=true), SORTN(FILTER('Public Schools'!A:A,'Public Schools'!B:B=J309,'Public Schools'!C:C=H309),1,0,randarray(COUNTA(FILTER('Public Schools'!A:A,'Public Schools'!B:B=J309,'Public Schools'!C:C=H309)),1),TRUE),""""),"""")"),"Carrboro High School")</f>
        <v>Carrboro High School</v>
      </c>
      <c r="U309" s="23" t="str">
        <f t="array" aca="1" ref="U309" ca="1">IF(AND(R309="",T309=""),INDEX('Top 1500 HS LatitudeLongitude'!B$2:B$1501,MATCH(MIN(SQRT(('Top 1500 HS LatitudeLongitude'!H$2:H$1501-F309)^2+('Top 1500 HS LatitudeLongitude'!I$2:I$1501-G309)^2)),SQRT( ('Top 1500 HS LatitudeLongitude'!H$2:H$1501-F309)^2+('Top 1500 HS LatitudeLongitude'!I$2:I$1501-G309)^2),0),1),"")</f>
        <v/>
      </c>
    </row>
    <row r="310" spans="2:21" ht="15.6">
      <c r="B310" s="8">
        <v>0.81572407150000004</v>
      </c>
      <c r="C310" s="9" t="s">
        <v>94</v>
      </c>
      <c r="D310" s="9" t="s">
        <v>513</v>
      </c>
      <c r="E310" s="124" t="s">
        <v>11489</v>
      </c>
      <c r="F310" s="8">
        <v>34.997300000000003</v>
      </c>
      <c r="G310" s="8">
        <v>-85.228399999999993</v>
      </c>
      <c r="H310" s="3" t="str">
        <f t="shared" si="0"/>
        <v>Leavittsburg</v>
      </c>
      <c r="I310" s="3" t="str">
        <f t="shared" si="1"/>
        <v>OH</v>
      </c>
      <c r="J310" s="3" t="str">
        <f t="array" ref="J310">INDEX('State Abbreviations'!$B$2:$B$52,MATCH(I310,'State Abbreviations'!$A$2:$A$52,0))</f>
        <v>Ohio</v>
      </c>
      <c r="K310" s="123" t="e">
        <f t="shared" ca="1" si="12"/>
        <v>#NAME?</v>
      </c>
      <c r="L310" s="13">
        <f t="shared" ca="1" si="13"/>
        <v>2</v>
      </c>
      <c r="M310" s="13" t="str">
        <f ca="1">IFERROR(__xludf.DUMMYFUNCTION("IF(L310=10,ArrayFormula(VLOOKUP(QUERY(UNIQUE(RANDBETWEEN(ROW(INDIRECT(""A1:A""&amp;COUNTA('Leaving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0" s="13">
        <f t="shared" ca="1" si="14"/>
        <v>2</v>
      </c>
      <c r="O310" s="13"/>
      <c r="P310" s="13"/>
      <c r="Q310" s="13" t="b">
        <f>ISNUMBER(MATCH("*"&amp;E310&amp;"*",'Top 1500 HS LatitudeLongitude'!G:G,0))</f>
        <v>0</v>
      </c>
      <c r="R310" s="13" t="str">
        <f ca="1">IFERROR(__xludf.DUMMYFUNCTION("IFS(L310=10,"""",Q310=false,"""",N310=5,"""",Q310=true,SORTN(FILTER('Top 1500 HS LatitudeLongitude'!B:B,'Top 1500 HS LatitudeLongitude'!C:C=I310,'Top 1500 HS LatitudeLongitude'!E:E=H310),1,0,randarray(COUNTA(FILTER('Top 1500 HS LatitudeLongitude'!B:B,'Top"&amp;" 1500 HS LatitudeLongitude'!C:C=I310,'Top 1500 HS LatitudeLongitude'!E:E=H310)),1),TRUE)
)"),"")</f>
        <v/>
      </c>
      <c r="S310" s="13" t="b">
        <f>ISNUMBER(MATCH("*"&amp;H:H&amp;"*",'Public Schools'!C:C,0))</f>
        <v>1</v>
      </c>
      <c r="T310" s="13" t="str">
        <f ca="1">IFERROR(__xludf.DUMMYFUNCTION("IFERROR(IF(AND(R310="""",S310=true), SORTN(FILTER('Public Schools'!A:A,'Public Schools'!B:B=J310,'Public Schools'!C:C=H310),1,0,randarray(COUNTA(FILTER('Public Schools'!A:A,'Public Schools'!B:B=J310,'Public Schools'!C:C=H310)),1),TRUE),""""),"""")"),"Labrae High School")</f>
        <v>Labrae High School</v>
      </c>
      <c r="U310" s="23" t="str">
        <f t="array" aca="1" ref="U310" ca="1">IF(AND(R310="",T310=""),INDEX('Top 1500 HS LatitudeLongitude'!B$2:B$1501,MATCH(MIN(SQRT(('Top 1500 HS LatitudeLongitude'!H$2:H$1501-F310)^2+('Top 1500 HS LatitudeLongitude'!I$2:I$1501-G310)^2)),SQRT( ('Top 1500 HS LatitudeLongitude'!H$2:H$1501-F310)^2+('Top 1500 HS LatitudeLongitude'!I$2:I$1501-G310)^2),0),1),"")</f>
        <v/>
      </c>
    </row>
    <row r="311" spans="2:21" ht="15.6">
      <c r="B311" s="8">
        <v>0.90608913310000005</v>
      </c>
      <c r="C311" s="9" t="s">
        <v>47</v>
      </c>
      <c r="D311" s="9" t="s">
        <v>514</v>
      </c>
      <c r="E311" s="37" t="s">
        <v>11527</v>
      </c>
      <c r="F311" s="8">
        <v>30.2562</v>
      </c>
      <c r="G311" s="8">
        <v>-94.207099999999997</v>
      </c>
      <c r="H311" s="3" t="str">
        <f t="shared" si="0"/>
        <v>Carlsbad</v>
      </c>
      <c r="I311" s="3" t="str">
        <f t="shared" si="1"/>
        <v>CA</v>
      </c>
      <c r="J311" s="3" t="str">
        <f t="array" ref="J311">INDEX('State Abbreviations'!$B$2:$B$52,MATCH(I311,'State Abbreviations'!$A$2:$A$52,0))</f>
        <v>California</v>
      </c>
      <c r="K311" s="123" t="e">
        <f t="shared" ca="1" si="12"/>
        <v>#NAME?</v>
      </c>
      <c r="L311" s="13">
        <f t="shared" ca="1" si="13"/>
        <v>1</v>
      </c>
      <c r="M311" s="13" t="str">
        <f ca="1">IFERROR(__xludf.DUMMYFUNCTION("IF(L311=10,ArrayFormula(VLOOKUP(QUERY(UNIQUE(RANDBETWEEN(ROW(INDIRECT(""A1:A""&amp;COUNTA('Leaving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1" s="13">
        <f t="shared" ca="1" si="14"/>
        <v>1</v>
      </c>
      <c r="O311" s="13"/>
      <c r="P311" s="13"/>
      <c r="Q311" s="13" t="b">
        <f>ISNUMBER(MATCH("*"&amp;E311&amp;"*",'Top 1500 HS LatitudeLongitude'!G:G,0))</f>
        <v>1</v>
      </c>
      <c r="R311" s="13" t="str">
        <f ca="1">IFERROR(__xludf.DUMMYFUNCTION("IFS(L311=10,"""",Q311=false,"""",N311=5,"""",Q311=true,SORTN(FILTER('Top 1500 HS LatitudeLongitude'!B:B,'Top 1500 HS LatitudeLongitude'!C:C=I311,'Top 1500 HS LatitudeLongitude'!E:E=H311),1,0,randarray(COUNTA(FILTER('Top 1500 HS LatitudeLongitude'!B:B,'Top"&amp;" 1500 HS LatitudeLongitude'!C:C=I311,'Top 1500 HS LatitudeLongitude'!E:E=H311)),1),TRUE)
)"),"Carlsbad")</f>
        <v>Carlsbad</v>
      </c>
      <c r="S311" s="13" t="b">
        <f>ISNUMBER(MATCH("*"&amp;H:H&amp;"*",'Public Schools'!C:C,0))</f>
        <v>1</v>
      </c>
      <c r="T311" s="13" t="str">
        <f ca="1">IFERROR(__xludf.DUMMYFUNCTION("IFERROR(IF(AND(R311="""",S311=true), SORTN(FILTER('Public Schools'!A:A,'Public Schools'!B:B=J311,'Public Schools'!C:C=H311),1,0,randarray(COUNTA(FILTER('Public Schools'!A:A,'Public Schools'!B:B=J311,'Public Schools'!C:C=H311)),1),TRUE),""""),"""")"),"")</f>
        <v/>
      </c>
      <c r="U311" s="23" t="str">
        <f t="array" aca="1" ref="U311" ca="1">IF(AND(R311="",T311=""),INDEX('Top 1500 HS LatitudeLongitude'!B$2:B$1501,MATCH(MIN(SQRT(('Top 1500 HS LatitudeLongitude'!H$2:H$1501-F311)^2+('Top 1500 HS LatitudeLongitude'!I$2:I$1501-G311)^2)),SQRT( ('Top 1500 HS LatitudeLongitude'!H$2:H$1501-F311)^2+('Top 1500 HS LatitudeLongitude'!I$2:I$1501-G311)^2),0),1),"")</f>
        <v/>
      </c>
    </row>
    <row r="312" spans="2:21" ht="15.6">
      <c r="B312" s="8">
        <v>0.84100520450000005</v>
      </c>
      <c r="C312" s="9" t="s">
        <v>206</v>
      </c>
      <c r="D312" s="9" t="s">
        <v>515</v>
      </c>
      <c r="E312" s="124" t="s">
        <v>11572</v>
      </c>
      <c r="F312" s="8">
        <v>29.472200000000001</v>
      </c>
      <c r="G312" s="8">
        <v>-98.524699999999996</v>
      </c>
      <c r="H312" s="3" t="str">
        <f t="shared" si="0"/>
        <v>The Colony</v>
      </c>
      <c r="I312" s="3" t="str">
        <f t="shared" si="1"/>
        <v>TX</v>
      </c>
      <c r="J312" s="3" t="str">
        <f t="array" ref="J312">INDEX('State Abbreviations'!$B$2:$B$52,MATCH(I312,'State Abbreviations'!$A$2:$A$52,0))</f>
        <v>Texas</v>
      </c>
      <c r="K312" s="123" t="e">
        <f t="shared" ca="1" si="12"/>
        <v>#NAME?</v>
      </c>
      <c r="L312" s="13">
        <f t="shared" ca="1" si="13"/>
        <v>1</v>
      </c>
      <c r="M312" s="13" t="str">
        <f ca="1">IFERROR(__xludf.DUMMYFUNCTION("IF(L312=10,ArrayFormula(VLOOKUP(QUERY(UNIQUE(RANDBETWEEN(ROW(INDIRECT(""A1:A""&amp;COUNTA('Leaving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2" s="13">
        <f t="shared" ca="1" si="14"/>
        <v>3</v>
      </c>
      <c r="O312" s="13"/>
      <c r="P312" s="13"/>
      <c r="Q312" s="13" t="b">
        <f>ISNUMBER(MATCH("*"&amp;E312&amp;"*",'Top 1500 HS LatitudeLongitude'!G:G,0))</f>
        <v>0</v>
      </c>
      <c r="R312" s="13" t="str">
        <f ca="1">IFERROR(__xludf.DUMMYFUNCTION("IFS(L312=10,"""",Q312=false,"""",N312=5,"""",Q312=true,SORTN(FILTER('Top 1500 HS LatitudeLongitude'!B:B,'Top 1500 HS LatitudeLongitude'!C:C=I312,'Top 1500 HS LatitudeLongitude'!E:E=H312),1,0,randarray(COUNTA(FILTER('Top 1500 HS LatitudeLongitude'!B:B,'Top"&amp;" 1500 HS LatitudeLongitude'!C:C=I312,'Top 1500 HS LatitudeLongitude'!E:E=H312)),1),TRUE)
)"),"")</f>
        <v/>
      </c>
      <c r="S312" s="13" t="b">
        <f>ISNUMBER(MATCH("*"&amp;H:H&amp;"*",'Public Schools'!C:C,0))</f>
        <v>1</v>
      </c>
      <c r="T312" s="13" t="str">
        <f ca="1">IFERROR(__xludf.DUMMYFUNCTION("IFERROR(IF(AND(R312="""",S312=true), SORTN(FILTER('Public Schools'!A:A,'Public Schools'!B:B=J312,'Public Schools'!C:C=H312),1,0,randarray(COUNTA(FILTER('Public Schools'!A:A,'Public Schools'!B:B=J312,'Public Schools'!C:C=H312)),1),TRUE),""""),"""")"),"The Colony H S")</f>
        <v>The Colony H S</v>
      </c>
      <c r="U312" s="23" t="str">
        <f t="array" aca="1" ref="U312" ca="1">IF(AND(R312="",T312=""),INDEX('Top 1500 HS LatitudeLongitude'!B$2:B$1501,MATCH(MIN(SQRT(('Top 1500 HS LatitudeLongitude'!H$2:H$1501-F312)^2+('Top 1500 HS LatitudeLongitude'!I$2:I$1501-G312)^2)),SQRT( ('Top 1500 HS LatitudeLongitude'!H$2:H$1501-F312)^2+('Top 1500 HS LatitudeLongitude'!I$2:I$1501-G312)^2),0),1),"")</f>
        <v/>
      </c>
    </row>
    <row r="313" spans="2:21" ht="15.6">
      <c r="B313" s="8">
        <v>0.91922273710000002</v>
      </c>
      <c r="C313" s="9" t="s">
        <v>245</v>
      </c>
      <c r="D313" s="9" t="s">
        <v>516</v>
      </c>
      <c r="E313" s="37" t="s">
        <v>11616</v>
      </c>
      <c r="F313" s="8">
        <v>40.602400000000003</v>
      </c>
      <c r="G313" s="8">
        <v>-112.0008</v>
      </c>
      <c r="H313" s="3" t="str">
        <f t="shared" si="0"/>
        <v>Lake Stevens</v>
      </c>
      <c r="I313" s="3" t="str">
        <f t="shared" si="1"/>
        <v>WA</v>
      </c>
      <c r="J313" s="3" t="str">
        <f t="array" ref="J313">INDEX('State Abbreviations'!$B$2:$B$52,MATCH(I313,'State Abbreviations'!$A$2:$A$52,0))</f>
        <v>Washington</v>
      </c>
      <c r="K313" s="123" t="e">
        <f t="shared" ca="1" si="12"/>
        <v>#NAME?</v>
      </c>
      <c r="L313" s="13">
        <f t="shared" ca="1" si="13"/>
        <v>9</v>
      </c>
      <c r="M313" s="13" t="str">
        <f ca="1">IFERROR(__xludf.DUMMYFUNCTION("IF(L313=10,ArrayFormula(VLOOKUP(QUERY(UNIQUE(RANDBETWEEN(ROW(INDIRECT(""A1:A""&amp;COUNTA('Leaving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3" s="13">
        <f t="shared" ca="1" si="14"/>
        <v>3</v>
      </c>
      <c r="O313" s="13"/>
      <c r="P313" s="13"/>
      <c r="Q313" s="13" t="b">
        <f>ISNUMBER(MATCH("*"&amp;E313&amp;"*",'Top 1500 HS LatitudeLongitude'!G:G,0))</f>
        <v>0</v>
      </c>
      <c r="R313" s="13" t="str">
        <f ca="1">IFERROR(__xludf.DUMMYFUNCTION("IFS(L313=10,"""",Q313=false,"""",N313=5,"""",Q313=true,SORTN(FILTER('Top 1500 HS LatitudeLongitude'!B:B,'Top 1500 HS LatitudeLongitude'!C:C=I313,'Top 1500 HS LatitudeLongitude'!E:E=H313),1,0,randarray(COUNTA(FILTER('Top 1500 HS LatitudeLongitude'!B:B,'Top"&amp;" 1500 HS LatitudeLongitude'!C:C=I313,'Top 1500 HS LatitudeLongitude'!E:E=H313)),1),TRUE)
)"),"")</f>
        <v/>
      </c>
      <c r="S313" s="13" t="b">
        <f>ISNUMBER(MATCH("*"&amp;H:H&amp;"*",'Public Schools'!C:C,0))</f>
        <v>1</v>
      </c>
      <c r="T313" s="13" t="str">
        <f ca="1">IFERROR(__xludf.DUMMYFUNCTION("IFERROR(IF(AND(R313="""",S313=true), SORTN(FILTER('Public Schools'!A:A,'Public Schools'!B:B=J313,'Public Schools'!C:C=H313),1,0,randarray(COUNTA(FILTER('Public Schools'!A:A,'Public Schools'!B:B=J313,'Public Schools'!C:C=H313)),1),TRUE),""""),"""")"),"Lake Stevens Sr High School")</f>
        <v>Lake Stevens Sr High School</v>
      </c>
      <c r="U313" s="23" t="str">
        <f t="array" aca="1" ref="U313" ca="1">IF(AND(R313="",T313=""),INDEX('Top 1500 HS LatitudeLongitude'!B$2:B$1501,MATCH(MIN(SQRT(('Top 1500 HS LatitudeLongitude'!H$2:H$1501-F313)^2+('Top 1500 HS LatitudeLongitude'!I$2:I$1501-G313)^2)),SQRT( ('Top 1500 HS LatitudeLongitude'!H$2:H$1501-F313)^2+('Top 1500 HS LatitudeLongitude'!I$2:I$1501-G313)^2),0),1),"")</f>
        <v/>
      </c>
    </row>
    <row r="314" spans="2:21" ht="15.6">
      <c r="B314" s="8">
        <v>0.85360013379999999</v>
      </c>
      <c r="C314" s="9" t="s">
        <v>456</v>
      </c>
      <c r="D314" s="9" t="s">
        <v>517</v>
      </c>
      <c r="E314" s="124" t="s">
        <v>11652</v>
      </c>
      <c r="F314" s="8">
        <v>32.781300000000002</v>
      </c>
      <c r="G314" s="8">
        <v>-97.346599999999995</v>
      </c>
      <c r="H314" s="3" t="str">
        <f t="shared" si="0"/>
        <v>Waverly</v>
      </c>
      <c r="I314" s="3" t="str">
        <f t="shared" si="1"/>
        <v>KS</v>
      </c>
      <c r="J314" s="3" t="str">
        <f t="array" ref="J314">INDEX('State Abbreviations'!$B$2:$B$52,MATCH(I314,'State Abbreviations'!$A$2:$A$52,0))</f>
        <v>Kansas</v>
      </c>
      <c r="K314" s="123" t="e">
        <f t="shared" ca="1" si="12"/>
        <v>#NAME?</v>
      </c>
      <c r="L314" s="13">
        <f t="shared" ca="1" si="13"/>
        <v>7</v>
      </c>
      <c r="M314" s="13" t="str">
        <f ca="1">IFERROR(__xludf.DUMMYFUNCTION("IF(L314=10,ArrayFormula(VLOOKUP(QUERY(UNIQUE(RANDBETWEEN(ROW(INDIRECT(""A1:A""&amp;COUNTA('Leaving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4" s="13">
        <f t="shared" ca="1" si="14"/>
        <v>4</v>
      </c>
      <c r="O314" s="13"/>
      <c r="P314" s="13"/>
      <c r="Q314" s="13" t="b">
        <f>ISNUMBER(MATCH("*"&amp;E314&amp;"*",'Top 1500 HS LatitudeLongitude'!G:G,0))</f>
        <v>0</v>
      </c>
      <c r="R314" s="13" t="str">
        <f ca="1">IFERROR(__xludf.DUMMYFUNCTION("IFS(L314=10,"""",Q314=false,"""",N314=5,"""",Q314=true,SORTN(FILTER('Top 1500 HS LatitudeLongitude'!B:B,'Top 1500 HS LatitudeLongitude'!C:C=I314,'Top 1500 HS LatitudeLongitude'!E:E=H314),1,0,randarray(COUNTA(FILTER('Top 1500 HS LatitudeLongitude'!B:B,'Top"&amp;" 1500 HS LatitudeLongitude'!C:C=I314,'Top 1500 HS LatitudeLongitude'!E:E=H314)),1),TRUE)
)"),"")</f>
        <v/>
      </c>
      <c r="S314" s="13" t="b">
        <f>ISNUMBER(MATCH("*"&amp;H:H&amp;"*",'Public Schools'!C:C,0))</f>
        <v>1</v>
      </c>
      <c r="T314" s="13" t="str">
        <f ca="1">IFERROR(__xludf.DUMMYFUNCTION("IFERROR(IF(AND(R314="""",S314=true), SORTN(FILTER('Public Schools'!A:A,'Public Schools'!B:B=J314,'Public Schools'!C:C=H314),1,0,randarray(COUNTA(FILTER('Public Schools'!A:A,'Public Schools'!B:B=J314,'Public Schools'!C:C=H314)),1),TRUE),""""),"""")"),"Waverly High School")</f>
        <v>Waverly High School</v>
      </c>
      <c r="U314" s="23" t="str">
        <f t="array" aca="1" ref="U314" ca="1">IF(AND(R314="",T314=""),INDEX('Top 1500 HS LatitudeLongitude'!B$2:B$1501,MATCH(MIN(SQRT(('Top 1500 HS LatitudeLongitude'!H$2:H$1501-F314)^2+('Top 1500 HS LatitudeLongitude'!I$2:I$1501-G314)^2)),SQRT( ('Top 1500 HS LatitudeLongitude'!H$2:H$1501-F314)^2+('Top 1500 HS LatitudeLongitude'!I$2:I$1501-G314)^2),0),1),"")</f>
        <v/>
      </c>
    </row>
    <row r="315" spans="2:21" ht="15.6">
      <c r="B315" s="8">
        <v>2.4406213879999999E-2</v>
      </c>
      <c r="C315" s="9" t="s">
        <v>300</v>
      </c>
      <c r="D315" s="9" t="s">
        <v>518</v>
      </c>
      <c r="E315" s="37" t="s">
        <v>11699</v>
      </c>
      <c r="F315" s="8">
        <v>35.768700000000003</v>
      </c>
      <c r="G315" s="8">
        <v>-91.622600000000006</v>
      </c>
      <c r="H315" s="3" t="str">
        <f t="shared" si="0"/>
        <v>Mosinee</v>
      </c>
      <c r="I315" s="3" t="str">
        <f t="shared" si="1"/>
        <v>WI</v>
      </c>
      <c r="J315" s="3" t="str">
        <f t="array" ref="J315">INDEX('State Abbreviations'!$B$2:$B$52,MATCH(I315,'State Abbreviations'!$A$2:$A$52,0))</f>
        <v>Wisconsin</v>
      </c>
      <c r="K315" s="123" t="e">
        <f t="shared" ca="1" si="12"/>
        <v>#NAME?</v>
      </c>
      <c r="L315" s="13">
        <f t="shared" ca="1" si="13"/>
        <v>3</v>
      </c>
      <c r="M315" s="13" t="str">
        <f ca="1">IFERROR(__xludf.DUMMYFUNCTION("IF(L315=10,ArrayFormula(VLOOKUP(QUERY(UNIQUE(RANDBETWEEN(ROW(INDIRECT(""A1:A""&amp;COUNTA('Leaving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5" s="13">
        <f t="shared" ca="1" si="14"/>
        <v>1</v>
      </c>
      <c r="O315" s="13"/>
      <c r="P315" s="13"/>
      <c r="Q315" s="13" t="b">
        <f>ISNUMBER(MATCH("*"&amp;E315&amp;"*",'Top 1500 HS LatitudeLongitude'!G:G,0))</f>
        <v>0</v>
      </c>
      <c r="R315" s="13" t="str">
        <f ca="1">IFERROR(__xludf.DUMMYFUNCTION("IFS(L315=10,"""",Q315=false,"""",N315=5,"""",Q315=true,SORTN(FILTER('Top 1500 HS LatitudeLongitude'!B:B,'Top 1500 HS LatitudeLongitude'!C:C=I315,'Top 1500 HS LatitudeLongitude'!E:E=H315),1,0,randarray(COUNTA(FILTER('Top 1500 HS LatitudeLongitude'!B:B,'Top"&amp;" 1500 HS LatitudeLongitude'!C:C=I315,'Top 1500 HS LatitudeLongitude'!E:E=H315)),1),TRUE)
)"),"")</f>
        <v/>
      </c>
      <c r="S315" s="13" t="b">
        <f>ISNUMBER(MATCH("*"&amp;H:H&amp;"*",'Public Schools'!C:C,0))</f>
        <v>1</v>
      </c>
      <c r="T315" s="13" t="str">
        <f ca="1">IFERROR(__xludf.DUMMYFUNCTION("IFERROR(IF(AND(R315="""",S315=true), SORTN(FILTER('Public Schools'!A:A,'Public Schools'!B:B=J315,'Public Schools'!C:C=H315),1,0,randarray(COUNTA(FILTER('Public Schools'!A:A,'Public Schools'!B:B=J315,'Public Schools'!C:C=H315)),1),TRUE),""""),"""")"),"Mosinee High School")</f>
        <v>Mosinee High School</v>
      </c>
      <c r="U315" s="23" t="str">
        <f t="array" aca="1" ref="U315" ca="1">IF(AND(R315="",T315=""),INDEX('Top 1500 HS LatitudeLongitude'!B$2:B$1501,MATCH(MIN(SQRT(('Top 1500 HS LatitudeLongitude'!H$2:H$1501-F315)^2+('Top 1500 HS LatitudeLongitude'!I$2:I$1501-G315)^2)),SQRT( ('Top 1500 HS LatitudeLongitude'!H$2:H$1501-F315)^2+('Top 1500 HS LatitudeLongitude'!I$2:I$1501-G315)^2),0),1),"")</f>
        <v/>
      </c>
    </row>
    <row r="316" spans="2:21" ht="15.6">
      <c r="B316" s="8">
        <v>0.68464053130000002</v>
      </c>
      <c r="C316" s="9" t="s">
        <v>114</v>
      </c>
      <c r="D316" s="9" t="s">
        <v>167</v>
      </c>
      <c r="E316" s="124" t="s">
        <v>6530</v>
      </c>
      <c r="F316" s="8">
        <v>39.141199999999998</v>
      </c>
      <c r="G316" s="8">
        <v>-84.506</v>
      </c>
      <c r="H316" s="3" t="str">
        <f t="shared" si="0"/>
        <v>Orlando</v>
      </c>
      <c r="I316" s="3" t="str">
        <f t="shared" si="1"/>
        <v>FL</v>
      </c>
      <c r="J316" s="3" t="str">
        <f t="array" ref="J316">INDEX('State Abbreviations'!$B$2:$B$52,MATCH(I316,'State Abbreviations'!$A$2:$A$52,0))</f>
        <v>Florida</v>
      </c>
      <c r="K316" s="123" t="e">
        <f t="shared" ca="1" si="12"/>
        <v>#NAME?</v>
      </c>
      <c r="L316" s="13">
        <f t="shared" ca="1" si="13"/>
        <v>5</v>
      </c>
      <c r="M316" s="13" t="str">
        <f ca="1">IFERROR(__xludf.DUMMYFUNCTION("IF(L316=10,ArrayFormula(VLOOKUP(QUERY(UNIQUE(RANDBETWEEN(ROW(INDIRECT(""A1:A""&amp;COUNTA('Leaving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6" s="13">
        <f t="shared" ca="1" si="14"/>
        <v>1</v>
      </c>
      <c r="O316" s="13"/>
      <c r="P316" s="13"/>
      <c r="Q316" s="13" t="b">
        <f>ISNUMBER(MATCH("*"&amp;E316&amp;"*",'Top 1500 HS LatitudeLongitude'!G:G,0))</f>
        <v>1</v>
      </c>
      <c r="R316" s="13" t="str">
        <f ca="1">IFERROR(__xludf.DUMMYFUNCTION("IFS(L316=10,"""",Q316=false,"""",N316=5,"""",Q316=true,SORTN(FILTER('Top 1500 HS LatitudeLongitude'!B:B,'Top 1500 HS LatitudeLongitude'!C:C=I316,'Top 1500 HS LatitudeLongitude'!E:E=H316),1,0,randarray(COUNTA(FILTER('Top 1500 HS LatitudeLongitude'!B:B,'Top"&amp;" 1500 HS LatitudeLongitude'!C:C=I316,'Top 1500 HS LatitudeLongitude'!E:E=H316)),1),TRUE)
)"),"Jones (Orlando)")</f>
        <v>Jones (Orlando)</v>
      </c>
      <c r="S316" s="13" t="b">
        <f>ISNUMBER(MATCH("*"&amp;H:H&amp;"*",'Public Schools'!C:C,0))</f>
        <v>1</v>
      </c>
      <c r="T316" s="13" t="str">
        <f ca="1">IFERROR(__xludf.DUMMYFUNCTION("IFERROR(IF(AND(R316="""",S316=true), SORTN(FILTER('Public Schools'!A:A,'Public Schools'!B:B=J316,'Public Schools'!C:C=H316),1,0,randarray(COUNTA(FILTER('Public Schools'!A:A,'Public Schools'!B:B=J316,'Public Schools'!C:C=H316)),1),TRUE),""""),"""")"),"")</f>
        <v/>
      </c>
      <c r="U316" s="23" t="str">
        <f t="array" aca="1" ref="U316" ca="1">IF(AND(R316="",T316=""),INDEX('Top 1500 HS LatitudeLongitude'!B$2:B$1501,MATCH(MIN(SQRT(('Top 1500 HS LatitudeLongitude'!H$2:H$1501-F316)^2+('Top 1500 HS LatitudeLongitude'!I$2:I$1501-G316)^2)),SQRT( ('Top 1500 HS LatitudeLongitude'!H$2:H$1501-F316)^2+('Top 1500 HS LatitudeLongitude'!I$2:I$1501-G316)^2),0),1),"")</f>
        <v/>
      </c>
    </row>
    <row r="317" spans="2:21" ht="15.6">
      <c r="B317" s="8">
        <v>0.52640976979999998</v>
      </c>
      <c r="C317" s="9" t="s">
        <v>224</v>
      </c>
      <c r="D317" s="9" t="s">
        <v>519</v>
      </c>
      <c r="E317" s="37" t="s">
        <v>11776</v>
      </c>
      <c r="F317" s="8">
        <v>32.861800000000002</v>
      </c>
      <c r="G317" s="8">
        <v>-90.406700000000001</v>
      </c>
      <c r="H317" s="3" t="str">
        <f t="shared" si="0"/>
        <v>Golden Valley</v>
      </c>
      <c r="I317" s="3" t="str">
        <f t="shared" si="1"/>
        <v>AZ</v>
      </c>
      <c r="J317" s="3" t="str">
        <f t="array" ref="J317">INDEX('State Abbreviations'!$B$2:$B$52,MATCH(I317,'State Abbreviations'!$A$2:$A$52,0))</f>
        <v>Arizona</v>
      </c>
      <c r="K317" s="123" t="e">
        <f t="shared" ca="1" si="12"/>
        <v>#NAME?</v>
      </c>
      <c r="L317" s="13">
        <f t="shared" ca="1" si="13"/>
        <v>2</v>
      </c>
      <c r="M317" s="13" t="str">
        <f ca="1">IFERROR(__xludf.DUMMYFUNCTION("IF(L317=10,ArrayFormula(VLOOKUP(QUERY(UNIQUE(RANDBETWEEN(ROW(INDIRECT(""A1:A""&amp;COUNTA('Leaving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7" s="13">
        <f t="shared" ca="1" si="14"/>
        <v>2</v>
      </c>
      <c r="O317" s="13"/>
      <c r="P317" s="13"/>
      <c r="Q317" s="13" t="b">
        <f>ISNUMBER(MATCH("*"&amp;E317&amp;"*",'Top 1500 HS LatitudeLongitude'!G:G,0))</f>
        <v>0</v>
      </c>
      <c r="R317" s="13" t="str">
        <f ca="1">IFERROR(__xludf.DUMMYFUNCTION("IFS(L317=10,"""",Q317=false,"""",N317=5,"""",Q317=true,SORTN(FILTER('Top 1500 HS LatitudeLongitude'!B:B,'Top 1500 HS LatitudeLongitude'!C:C=I317,'Top 1500 HS LatitudeLongitude'!E:E=H317),1,0,randarray(COUNTA(FILTER('Top 1500 HS LatitudeLongitude'!B:B,'Top"&amp;" 1500 HS LatitudeLongitude'!C:C=I317,'Top 1500 HS LatitudeLongitude'!E:E=H317)),1),TRUE)
)"),"")</f>
        <v/>
      </c>
      <c r="S317" s="13" t="b">
        <f>ISNUMBER(MATCH("*"&amp;H:H&amp;"*",'Public Schools'!C:C,0))</f>
        <v>1</v>
      </c>
      <c r="T317" s="13" t="str">
        <f ca="1">IFERROR(__xludf.DUMMYFUNCTION("IFERROR(IF(AND(R317="""",S317=true), SORTN(FILTER('Public Schools'!A:A,'Public Schools'!B:B=J317,'Public Schools'!C:C=H317),1,0,randarray(COUNTA(FILTER('Public Schools'!A:A,'Public Schools'!B:B=J317,'Public Schools'!C:C=H317)),1),TRUE),""""),"""")"),"")</f>
        <v/>
      </c>
      <c r="U317" s="23" t="str">
        <f t="array" aca="1" ref="U317" ca="1">IF(AND(R317="",T317=""),INDEX('Top 1500 HS LatitudeLongitude'!B$2:B$1501,MATCH(MIN(SQRT(('Top 1500 HS LatitudeLongitude'!H$2:H$1501-F317)^2+('Top 1500 HS LatitudeLongitude'!I$2:I$1501-G317)^2)),SQRT( ('Top 1500 HS LatitudeLongitude'!H$2:H$1501-F317)^2+('Top 1500 HS LatitudeLongitude'!I$2:I$1501-G317)^2),0),1),"")</f>
        <v>St. Andrew's Episcopal (Ridgeland)</v>
      </c>
    </row>
    <row r="318" spans="2:21" ht="15.6">
      <c r="B318" s="8">
        <v>0.77006470579999997</v>
      </c>
      <c r="C318" s="9" t="s">
        <v>520</v>
      </c>
      <c r="D318" s="9" t="s">
        <v>521</v>
      </c>
      <c r="E318" s="124" t="s">
        <v>11809</v>
      </c>
      <c r="F318" s="8">
        <v>40.292000000000002</v>
      </c>
      <c r="G318" s="8">
        <v>-79.547700000000006</v>
      </c>
      <c r="H318" s="3" t="str">
        <f t="shared" si="0"/>
        <v>Bennington</v>
      </c>
      <c r="I318" s="3" t="str">
        <f t="shared" si="1"/>
        <v>VT</v>
      </c>
      <c r="J318" s="3" t="str">
        <f t="array" ref="J318">INDEX('State Abbreviations'!$B$2:$B$52,MATCH(I318,'State Abbreviations'!$A$2:$A$52,0))</f>
        <v>Vermont</v>
      </c>
      <c r="K318" s="123" t="e">
        <f t="shared" ca="1" si="12"/>
        <v>#NAME?</v>
      </c>
      <c r="L318" s="13">
        <f t="shared" ca="1" si="13"/>
        <v>3</v>
      </c>
      <c r="M318" s="13" t="str">
        <f ca="1">IFERROR(__xludf.DUMMYFUNCTION("IF(L318=10,ArrayFormula(VLOOKUP(QUERY(UNIQUE(RANDBETWEEN(ROW(INDIRECT(""A1:A""&amp;COUNTA('Leaving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8" s="13">
        <f t="shared" ca="1" si="14"/>
        <v>2</v>
      </c>
      <c r="O318" s="13"/>
      <c r="P318" s="13"/>
      <c r="Q318" s="13" t="b">
        <f>ISNUMBER(MATCH("*"&amp;E318&amp;"*",'Top 1500 HS LatitudeLongitude'!G:G,0))</f>
        <v>0</v>
      </c>
      <c r="R318" s="13" t="str">
        <f ca="1">IFERROR(__xludf.DUMMYFUNCTION("IFS(L318=10,"""",Q318=false,"""",N318=5,"""",Q318=true,SORTN(FILTER('Top 1500 HS LatitudeLongitude'!B:B,'Top 1500 HS LatitudeLongitude'!C:C=I318,'Top 1500 HS LatitudeLongitude'!E:E=H318),1,0,randarray(COUNTA(FILTER('Top 1500 HS LatitudeLongitude'!B:B,'Top"&amp;" 1500 HS LatitudeLongitude'!C:C=I318,'Top 1500 HS LatitudeLongitude'!E:E=H318)),1),TRUE)
)"),"")</f>
        <v/>
      </c>
      <c r="S318" s="13" t="b">
        <f>ISNUMBER(MATCH("*"&amp;H:H&amp;"*",'Public Schools'!C:C,0))</f>
        <v>1</v>
      </c>
      <c r="T318" s="13" t="str">
        <f ca="1">IFERROR(__xludf.DUMMYFUNCTION("IFERROR(IF(AND(R318="""",S318=true), SORTN(FILTER('Public Schools'!A:A,'Public Schools'!B:B=J318,'Public Schools'!C:C=H318),1,0,randarray(COUNTA(FILTER('Public Schools'!A:A,'Public Schools'!B:B=J318,'Public Schools'!C:C=H318)),1),TRUE),""""),"""")"),"Mt. Anthony Senior UHigh Schoold #14")</f>
        <v>Mt. Anthony Senior UHigh Schoold #14</v>
      </c>
      <c r="U318" s="23" t="str">
        <f t="array" aca="1" ref="U318" ca="1">IF(AND(R318="",T318=""),INDEX('Top 1500 HS LatitudeLongitude'!B$2:B$1501,MATCH(MIN(SQRT(('Top 1500 HS LatitudeLongitude'!H$2:H$1501-F318)^2+('Top 1500 HS LatitudeLongitude'!I$2:I$1501-G318)^2)),SQRT( ('Top 1500 HS LatitudeLongitude'!H$2:H$1501-F318)^2+('Top 1500 HS LatitudeLongitude'!I$2:I$1501-G318)^2),0),1),"")</f>
        <v/>
      </c>
    </row>
    <row r="319" spans="2:21" ht="15.6">
      <c r="B319" s="8">
        <v>0.51131391289999994</v>
      </c>
      <c r="C319" s="9" t="s">
        <v>148</v>
      </c>
      <c r="D319" s="9" t="s">
        <v>291</v>
      </c>
      <c r="E319" s="37" t="s">
        <v>11815</v>
      </c>
      <c r="F319" s="8">
        <v>38.579799999999999</v>
      </c>
      <c r="G319" s="8">
        <v>-90.669700000000006</v>
      </c>
      <c r="H319" s="3" t="str">
        <f t="shared" si="0"/>
        <v>Gainesville</v>
      </c>
      <c r="I319" s="3" t="str">
        <f t="shared" si="1"/>
        <v>GA</v>
      </c>
      <c r="J319" s="3" t="str">
        <f t="array" ref="J319">INDEX('State Abbreviations'!$B$2:$B$52,MATCH(I319,'State Abbreviations'!$A$2:$A$52,0))</f>
        <v>Georgia</v>
      </c>
      <c r="K319" s="123" t="e">
        <f t="shared" ca="1" si="12"/>
        <v>#NAME?</v>
      </c>
      <c r="L319" s="13">
        <f t="shared" ca="1" si="13"/>
        <v>4</v>
      </c>
      <c r="M319" s="13" t="str">
        <f ca="1">IFERROR(__xludf.DUMMYFUNCTION("IF(L319=10,ArrayFormula(VLOOKUP(QUERY(UNIQUE(RANDBETWEEN(ROW(INDIRECT(""A1:A""&amp;COUNTA('Leaving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19" s="13">
        <f t="shared" ca="1" si="14"/>
        <v>4</v>
      </c>
      <c r="O319" s="13"/>
      <c r="P319" s="13"/>
      <c r="Q319" s="13" t="b">
        <f>ISNUMBER(MATCH("*"&amp;E319&amp;"*",'Top 1500 HS LatitudeLongitude'!G:G,0))</f>
        <v>0</v>
      </c>
      <c r="R319" s="13" t="str">
        <f ca="1">IFERROR(__xludf.DUMMYFUNCTION("IFS(L319=10,"""",Q319=false,"""",N319=5,"""",Q319=true,SORTN(FILTER('Top 1500 HS LatitudeLongitude'!B:B,'Top 1500 HS LatitudeLongitude'!C:C=I319,'Top 1500 HS LatitudeLongitude'!E:E=H319),1,0,randarray(COUNTA(FILTER('Top 1500 HS LatitudeLongitude'!B:B,'Top"&amp;" 1500 HS LatitudeLongitude'!C:C=I319,'Top 1500 HS LatitudeLongitude'!E:E=H319)),1),TRUE)
)"),"")</f>
        <v/>
      </c>
      <c r="S319" s="13" t="b">
        <f>ISNUMBER(MATCH("*"&amp;H:H&amp;"*",'Public Schools'!C:C,0))</f>
        <v>1</v>
      </c>
      <c r="T319" s="13" t="str">
        <f ca="1">IFERROR(__xludf.DUMMYFUNCTION("IFERROR(IF(AND(R319="""",S319=true), SORTN(FILTER('Public Schools'!A:A,'Public Schools'!B:B=J319,'Public Schools'!C:C=H319),1,0,randarray(COUNTA(FILTER('Public Schools'!A:A,'Public Schools'!B:B=J319,'Public Schools'!C:C=H319)),1),TRUE),""""),"""")"),"Lanier College And Career Academy")</f>
        <v>Lanier College And Career Academy</v>
      </c>
      <c r="U319" s="23" t="str">
        <f t="array" aca="1" ref="U319" ca="1">IF(AND(R319="",T319=""),INDEX('Top 1500 HS LatitudeLongitude'!B$2:B$1501,MATCH(MIN(SQRT(('Top 1500 HS LatitudeLongitude'!H$2:H$1501-F319)^2+('Top 1500 HS LatitudeLongitude'!I$2:I$1501-G319)^2)),SQRT( ('Top 1500 HS LatitudeLongitude'!H$2:H$1501-F319)^2+('Top 1500 HS LatitudeLongitude'!I$2:I$1501-G319)^2),0),1),"")</f>
        <v/>
      </c>
    </row>
    <row r="320" spans="2:21" ht="15.6">
      <c r="B320" s="8">
        <v>0.93889385830000005</v>
      </c>
      <c r="C320" s="9" t="s">
        <v>206</v>
      </c>
      <c r="D320" s="9" t="s">
        <v>368</v>
      </c>
      <c r="E320" s="124" t="s">
        <v>5012</v>
      </c>
      <c r="F320" s="8">
        <v>36.677799999999998</v>
      </c>
      <c r="G320" s="8">
        <v>-76.302400000000006</v>
      </c>
      <c r="H320" s="3" t="str">
        <f t="shared" si="0"/>
        <v>Houston</v>
      </c>
      <c r="I320" s="3" t="str">
        <f t="shared" si="1"/>
        <v>TX</v>
      </c>
      <c r="J320" s="3" t="str">
        <f t="array" ref="J320">INDEX('State Abbreviations'!$B$2:$B$52,MATCH(I320,'State Abbreviations'!$A$2:$A$52,0))</f>
        <v>Texas</v>
      </c>
      <c r="K320" s="123" t="e">
        <f t="shared" ca="1" si="12"/>
        <v>#NAME?</v>
      </c>
      <c r="L320" s="13">
        <f t="shared" ca="1" si="13"/>
        <v>7</v>
      </c>
      <c r="M320" s="13" t="str">
        <f ca="1">IFERROR(__xludf.DUMMYFUNCTION("IF(L320=10,ArrayFormula(VLOOKUP(QUERY(UNIQUE(RANDBETWEEN(ROW(INDIRECT(""A1:A""&amp;COUNTA('Leaving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0" s="13">
        <f t="shared" ca="1" si="14"/>
        <v>4</v>
      </c>
      <c r="O320" s="13"/>
      <c r="P320" s="13"/>
      <c r="Q320" s="13" t="b">
        <f>ISNUMBER(MATCH("*"&amp;E320&amp;"*",'Top 1500 HS LatitudeLongitude'!G:G,0))</f>
        <v>1</v>
      </c>
      <c r="R320" s="13" t="str">
        <f ca="1">IFERROR(__xludf.DUMMYFUNCTION("IFS(L320=10,"""",Q320=false,"""",N320=5,"""",Q320=true,SORTN(FILTER('Top 1500 HS LatitudeLongitude'!B:B,'Top 1500 HS LatitudeLongitude'!C:C=I320,'Top 1500 HS LatitudeLongitude'!E:E=H320),1,0,randarray(COUNTA(FILTER('Top 1500 HS LatitudeLongitude'!B:B,'Top"&amp;" 1500 HS LatitudeLongitude'!C:C=I320,'Top 1500 HS LatitudeLongitude'!E:E=H320)),1),TRUE)
)"),"Houston Christian (Houston)")</f>
        <v>Houston Christian (Houston)</v>
      </c>
      <c r="S320" s="13" t="b">
        <f>ISNUMBER(MATCH("*"&amp;H:H&amp;"*",'Public Schools'!C:C,0))</f>
        <v>1</v>
      </c>
      <c r="T320" s="13" t="str">
        <f ca="1">IFERROR(__xludf.DUMMYFUNCTION("IFERROR(IF(AND(R320="""",S320=true), SORTN(FILTER('Public Schools'!A:A,'Public Schools'!B:B=J320,'Public Schools'!C:C=H320),1,0,randarray(COUNTA(FILTER('Public Schools'!A:A,'Public Schools'!B:B=J320,'Public Schools'!C:C=H320)),1),TRUE),""""),"""")"),"")</f>
        <v/>
      </c>
      <c r="U320" s="23" t="str">
        <f t="array" aca="1" ref="U320" ca="1">IF(AND(R320="",T320=""),INDEX('Top 1500 HS LatitudeLongitude'!B$2:B$1501,MATCH(MIN(SQRT(('Top 1500 HS LatitudeLongitude'!H$2:H$1501-F320)^2+('Top 1500 HS LatitudeLongitude'!I$2:I$1501-G320)^2)),SQRT( ('Top 1500 HS LatitudeLongitude'!H$2:H$1501-F320)^2+('Top 1500 HS LatitudeLongitude'!I$2:I$1501-G320)^2),0),1),"")</f>
        <v/>
      </c>
    </row>
    <row r="321" spans="2:21" ht="15.6">
      <c r="B321" s="8">
        <v>0.4288541166</v>
      </c>
      <c r="C321" s="9" t="s">
        <v>23</v>
      </c>
      <c r="D321" s="9" t="s">
        <v>383</v>
      </c>
      <c r="E321" s="37" t="s">
        <v>202</v>
      </c>
      <c r="F321" s="8">
        <v>39.305100000000003</v>
      </c>
      <c r="G321" s="8">
        <v>-76.614400000000003</v>
      </c>
      <c r="H321" s="3" t="str">
        <f t="shared" si="0"/>
        <v>Saginaw</v>
      </c>
      <c r="I321" s="3" t="str">
        <f t="shared" si="1"/>
        <v>MI</v>
      </c>
      <c r="J321" s="3" t="str">
        <f t="array" ref="J321">INDEX('State Abbreviations'!$B$2:$B$52,MATCH(I321,'State Abbreviations'!$A$2:$A$52,0))</f>
        <v>Michigan</v>
      </c>
      <c r="K321" s="123" t="e">
        <f t="shared" ca="1" si="12"/>
        <v>#NAME?</v>
      </c>
      <c r="L321" s="13">
        <f t="shared" ca="1" si="13"/>
        <v>3</v>
      </c>
      <c r="M321" s="13" t="str">
        <f ca="1">IFERROR(__xludf.DUMMYFUNCTION("IF(L321=10,ArrayFormula(VLOOKUP(QUERY(UNIQUE(RANDBETWEEN(ROW(INDIRECT(""A1:A""&amp;COUNTA('Leaving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1" s="13">
        <f t="shared" ca="1" si="14"/>
        <v>1</v>
      </c>
      <c r="O321" s="13"/>
      <c r="P321" s="13"/>
      <c r="Q321" s="13" t="b">
        <f>ISNUMBER(MATCH("*"&amp;E321&amp;"*",'Top 1500 HS LatitudeLongitude'!G:G,0))</f>
        <v>1</v>
      </c>
      <c r="R321" s="13" t="str">
        <f ca="1">IFERROR(__xludf.DUMMYFUNCTION("IFS(L321=10,"""",Q321=false,"""",N321=5,"""",Q321=true,SORTN(FILTER('Top 1500 HS LatitudeLongitude'!B:B,'Top 1500 HS LatitudeLongitude'!C:C=I321,'Top 1500 HS LatitudeLongitude'!E:E=H321),1,0,randarray(COUNTA(FILTER('Top 1500 HS LatitudeLongitude'!B:B,'Top"&amp;" 1500 HS LatitudeLongitude'!C:C=I321,'Top 1500 HS LatitudeLongitude'!E:E=H321)),1),TRUE)
)"),"Carrollton")</f>
        <v>Carrollton</v>
      </c>
      <c r="S321" s="13" t="b">
        <f>ISNUMBER(MATCH("*"&amp;H:H&amp;"*",'Public Schools'!C:C,0))</f>
        <v>1</v>
      </c>
      <c r="T321" s="13" t="str">
        <f ca="1">IFERROR(__xludf.DUMMYFUNCTION("IFERROR(IF(AND(R321="""",S321=true), SORTN(FILTER('Public Schools'!A:A,'Public Schools'!B:B=J321,'Public Schools'!C:C=H321),1,0,randarray(COUNTA(FILTER('Public Schools'!A:A,'Public Schools'!B:B=J321,'Public Schools'!C:C=H321)),1),TRUE),""""),"""")"),"")</f>
        <v/>
      </c>
      <c r="U321" s="23" t="str">
        <f t="array" aca="1" ref="U321" ca="1">IF(AND(R321="",T321=""),INDEX('Top 1500 HS LatitudeLongitude'!B$2:B$1501,MATCH(MIN(SQRT(('Top 1500 HS LatitudeLongitude'!H$2:H$1501-F321)^2+('Top 1500 HS LatitudeLongitude'!I$2:I$1501-G321)^2)),SQRT( ('Top 1500 HS LatitudeLongitude'!H$2:H$1501-F321)^2+('Top 1500 HS LatitudeLongitude'!I$2:I$1501-G321)^2),0),1),"")</f>
        <v/>
      </c>
    </row>
    <row r="322" spans="2:21" ht="15.6">
      <c r="B322" s="8">
        <v>0.1097471953</v>
      </c>
      <c r="C322" s="9" t="s">
        <v>243</v>
      </c>
      <c r="D322" s="9" t="s">
        <v>522</v>
      </c>
      <c r="E322" s="124" t="s">
        <v>11921</v>
      </c>
      <c r="F322" s="8">
        <v>38.1218</v>
      </c>
      <c r="G322" s="8">
        <v>-121.2933</v>
      </c>
      <c r="H322" s="3" t="str">
        <f t="shared" si="0"/>
        <v>Drexel Hill</v>
      </c>
      <c r="I322" s="3" t="str">
        <f t="shared" si="1"/>
        <v>PA</v>
      </c>
      <c r="J322" s="3" t="str">
        <f t="array" ref="J322">INDEX('State Abbreviations'!$B$2:$B$52,MATCH(I322,'State Abbreviations'!$A$2:$A$52,0))</f>
        <v>Pennsylvania</v>
      </c>
      <c r="K322" s="123" t="e">
        <f t="shared" ca="1" si="12"/>
        <v>#NAME?</v>
      </c>
      <c r="L322" s="13">
        <f t="shared" ca="1" si="13"/>
        <v>9</v>
      </c>
      <c r="M322" s="13" t="str">
        <f ca="1">IFERROR(__xludf.DUMMYFUNCTION("IF(L322=10,ArrayFormula(VLOOKUP(QUERY(UNIQUE(RANDBETWEEN(ROW(INDIRECT(""A1:A""&amp;COUNTA('Leaving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2" s="13">
        <f t="shared" ca="1" si="14"/>
        <v>3</v>
      </c>
      <c r="O322" s="13"/>
      <c r="P322" s="13"/>
      <c r="Q322" s="13" t="b">
        <f>ISNUMBER(MATCH("*"&amp;E322&amp;"*",'Top 1500 HS LatitudeLongitude'!G:G,0))</f>
        <v>1</v>
      </c>
      <c r="R322" s="13" t="str">
        <f ca="1">IFERROR(__xludf.DUMMYFUNCTION("IFS(L322=10,"""",Q322=false,"""",N322=5,"""",Q322=true,SORTN(FILTER('Top 1500 HS LatitudeLongitude'!B:B,'Top 1500 HS LatitudeLongitude'!C:C=I322,'Top 1500 HS LatitudeLongitude'!E:E=H322),1,0,randarray(COUNTA(FILTER('Top 1500 HS LatitudeLongitude'!B:B,'Top"&amp;" 1500 HS LatitudeLongitude'!C:C=I322,'Top 1500 HS LatitudeLongitude'!E:E=H322)),1),TRUE)
)"),"Monsignor Bonner/Archbishop Prendergast Catholic (Drexel Hill)")</f>
        <v>Monsignor Bonner/Archbishop Prendergast Catholic (Drexel Hill)</v>
      </c>
      <c r="S322" s="13" t="b">
        <f>ISNUMBER(MATCH("*"&amp;H:H&amp;"*",'Public Schools'!C:C,0))</f>
        <v>1</v>
      </c>
      <c r="T322" s="13" t="str">
        <f ca="1">IFERROR(__xludf.DUMMYFUNCTION("IFERROR(IF(AND(R322="""",S322=true), SORTN(FILTER('Public Schools'!A:A,'Public Schools'!B:B=J322,'Public Schools'!C:C=H322),1,0,randarray(COUNTA(FILTER('Public Schools'!A:A,'Public Schools'!B:B=J322,'Public Schools'!C:C=H322)),1),TRUE),""""),"""")"),"")</f>
        <v/>
      </c>
      <c r="U322" s="23" t="str">
        <f t="array" aca="1" ref="U322" ca="1">IF(AND(R322="",T322=""),INDEX('Top 1500 HS LatitudeLongitude'!B$2:B$1501,MATCH(MIN(SQRT(('Top 1500 HS LatitudeLongitude'!H$2:H$1501-F322)^2+('Top 1500 HS LatitudeLongitude'!I$2:I$1501-G322)^2)),SQRT( ('Top 1500 HS LatitudeLongitude'!H$2:H$1501-F322)^2+('Top 1500 HS LatitudeLongitude'!I$2:I$1501-G322)^2),0),1),"")</f>
        <v/>
      </c>
    </row>
    <row r="323" spans="2:21" ht="15.6">
      <c r="B323" s="8">
        <v>0.85003234319999998</v>
      </c>
      <c r="C323" s="9" t="s">
        <v>235</v>
      </c>
      <c r="D323" s="9" t="s">
        <v>523</v>
      </c>
      <c r="E323" s="37" t="s">
        <v>11969</v>
      </c>
      <c r="F323" s="8">
        <v>30.303799999999999</v>
      </c>
      <c r="G323" s="8">
        <v>-97.754499999999993</v>
      </c>
      <c r="H323" s="3" t="str">
        <f t="shared" si="0"/>
        <v>Baton Rouge</v>
      </c>
      <c r="I323" s="3" t="str">
        <f t="shared" si="1"/>
        <v>LA</v>
      </c>
      <c r="J323" s="3" t="str">
        <f t="array" ref="J323">INDEX('State Abbreviations'!$B$2:$B$52,MATCH(I323,'State Abbreviations'!$A$2:$A$52,0))</f>
        <v>Louisiana</v>
      </c>
      <c r="K323" s="123" t="e">
        <f t="shared" ca="1" si="12"/>
        <v>#NAME?</v>
      </c>
      <c r="L323" s="13">
        <f t="shared" ca="1" si="13"/>
        <v>3</v>
      </c>
      <c r="M323" s="13" t="str">
        <f ca="1">IFERROR(__xludf.DUMMYFUNCTION("IF(L323=10,ArrayFormula(VLOOKUP(QUERY(UNIQUE(RANDBETWEEN(ROW(INDIRECT(""A1:A""&amp;COUNTA('Leaving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3" s="13">
        <f t="shared" ca="1" si="14"/>
        <v>2</v>
      </c>
      <c r="O323" s="13"/>
      <c r="P323" s="13"/>
      <c r="Q323" s="13" t="b">
        <f>ISNUMBER(MATCH("*"&amp;E323&amp;"*",'Top 1500 HS LatitudeLongitude'!G:G,0))</f>
        <v>1</v>
      </c>
      <c r="R323" s="13" t="str">
        <f ca="1">IFERROR(__xludf.DUMMYFUNCTION("IFS(L323=10,"""",Q323=false,"""",N323=5,"""",Q323=true,SORTN(FILTER('Top 1500 HS LatitudeLongitude'!B:B,'Top 1500 HS LatitudeLongitude'!C:C=I323,'Top 1500 HS LatitudeLongitude'!E:E=H323),1,0,randarray(COUNTA(FILTER('Top 1500 HS LatitudeLongitude'!B:B,'Top"&amp;" 1500 HS LatitudeLongitude'!C:C=I323,'Top 1500 HS LatitudeLongitude'!E:E=H323)),1),TRUE)
)"),"University Lab (Baton Rouge)")</f>
        <v>University Lab (Baton Rouge)</v>
      </c>
      <c r="S323" s="13" t="b">
        <f>ISNUMBER(MATCH("*"&amp;H:H&amp;"*",'Public Schools'!C:C,0))</f>
        <v>1</v>
      </c>
      <c r="T323" s="13" t="str">
        <f ca="1">IFERROR(__xludf.DUMMYFUNCTION("IFERROR(IF(AND(R323="""",S323=true), SORTN(FILTER('Public Schools'!A:A,'Public Schools'!B:B=J323,'Public Schools'!C:C=H323),1,0,randarray(COUNTA(FILTER('Public Schools'!A:A,'Public Schools'!B:B=J323,'Public Schools'!C:C=H323)),1),TRUE),""""),"""")"),"")</f>
        <v/>
      </c>
      <c r="U323" s="23" t="str">
        <f t="array" aca="1" ref="U323" ca="1">IF(AND(R323="",T323=""),INDEX('Top 1500 HS LatitudeLongitude'!B$2:B$1501,MATCH(MIN(SQRT(('Top 1500 HS LatitudeLongitude'!H$2:H$1501-F323)^2+('Top 1500 HS LatitudeLongitude'!I$2:I$1501-G323)^2)),SQRT( ('Top 1500 HS LatitudeLongitude'!H$2:H$1501-F323)^2+('Top 1500 HS LatitudeLongitude'!I$2:I$1501-G323)^2),0),1),"")</f>
        <v/>
      </c>
    </row>
    <row r="324" spans="2:21" ht="15.6">
      <c r="B324" s="8">
        <v>0.54217480880000002</v>
      </c>
      <c r="C324" s="9" t="s">
        <v>221</v>
      </c>
      <c r="D324" s="9" t="s">
        <v>524</v>
      </c>
      <c r="E324" s="124" t="s">
        <v>12006</v>
      </c>
      <c r="F324" s="8">
        <v>35.832299999999996</v>
      </c>
      <c r="G324" s="8">
        <v>-78.644099999999995</v>
      </c>
      <c r="H324" s="3" t="str">
        <f t="shared" si="0"/>
        <v>Holden</v>
      </c>
      <c r="I324" s="3" t="str">
        <f t="shared" si="1"/>
        <v>MA</v>
      </c>
      <c r="J324" s="3" t="str">
        <f t="array" ref="J324">INDEX('State Abbreviations'!$B$2:$B$52,MATCH(I324,'State Abbreviations'!$A$2:$A$52,0))</f>
        <v>Massachusetts</v>
      </c>
      <c r="K324" s="123" t="e">
        <f t="shared" ca="1" si="12"/>
        <v>#NAME?</v>
      </c>
      <c r="L324" s="13">
        <f t="shared" ca="1" si="13"/>
        <v>3</v>
      </c>
      <c r="M324" s="13" t="str">
        <f ca="1">IFERROR(__xludf.DUMMYFUNCTION("IF(L324=10,ArrayFormula(VLOOKUP(QUERY(UNIQUE(RANDBETWEEN(ROW(INDIRECT(""A1:A""&amp;COUNTA('Leaving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4" s="13">
        <f t="shared" ca="1" si="14"/>
        <v>1</v>
      </c>
      <c r="O324" s="13"/>
      <c r="P324" s="13"/>
      <c r="Q324" s="13" t="b">
        <f>ISNUMBER(MATCH("*"&amp;E324&amp;"*",'Top 1500 HS LatitudeLongitude'!G:G,0))</f>
        <v>0</v>
      </c>
      <c r="R324" s="13" t="str">
        <f ca="1">IFERROR(__xludf.DUMMYFUNCTION("IFS(L324=10,"""",Q324=false,"""",N324=5,"""",Q324=true,SORTN(FILTER('Top 1500 HS LatitudeLongitude'!B:B,'Top 1500 HS LatitudeLongitude'!C:C=I324,'Top 1500 HS LatitudeLongitude'!E:E=H324),1,0,randarray(COUNTA(FILTER('Top 1500 HS LatitudeLongitude'!B:B,'Top"&amp;" 1500 HS LatitudeLongitude'!C:C=I324,'Top 1500 HS LatitudeLongitude'!E:E=H324)),1),TRUE)
)"),"")</f>
        <v/>
      </c>
      <c r="S324" s="13" t="b">
        <f>ISNUMBER(MATCH("*"&amp;H:H&amp;"*",'Public Schools'!C:C,0))</f>
        <v>1</v>
      </c>
      <c r="T324" s="13" t="str">
        <f ca="1">IFERROR(__xludf.DUMMYFUNCTION("IFERROR(IF(AND(R324="""",S324=true), SORTN(FILTER('Public Schools'!A:A,'Public Schools'!B:B=J324,'Public Schools'!C:C=H324),1,0,randarray(COUNTA(FILTER('Public Schools'!A:A,'Public Schools'!B:B=J324,'Public Schools'!C:C=H324)),1),TRUE),""""),"""")"),"Wachusett Regional High School")</f>
        <v>Wachusett Regional High School</v>
      </c>
      <c r="U324" s="23" t="str">
        <f t="array" aca="1" ref="U324" ca="1">IF(AND(R324="",T324=""),INDEX('Top 1500 HS LatitudeLongitude'!B$2:B$1501,MATCH(MIN(SQRT(('Top 1500 HS LatitudeLongitude'!H$2:H$1501-F324)^2+('Top 1500 HS LatitudeLongitude'!I$2:I$1501-G324)^2)),SQRT( ('Top 1500 HS LatitudeLongitude'!H$2:H$1501-F324)^2+('Top 1500 HS LatitudeLongitude'!I$2:I$1501-G324)^2),0),1),"")</f>
        <v/>
      </c>
    </row>
    <row r="325" spans="2:21" ht="15.6">
      <c r="B325" s="8">
        <v>3.3102608800000002E-2</v>
      </c>
      <c r="C325" s="9" t="s">
        <v>245</v>
      </c>
      <c r="D325" s="9" t="s">
        <v>246</v>
      </c>
      <c r="E325" s="37" t="s">
        <v>784</v>
      </c>
      <c r="F325" s="8">
        <v>32.155799999999999</v>
      </c>
      <c r="G325" s="8">
        <v>-110.8777</v>
      </c>
      <c r="H325" s="3" t="str">
        <f t="shared" si="0"/>
        <v>Kent</v>
      </c>
      <c r="I325" s="3" t="str">
        <f t="shared" si="1"/>
        <v>WA</v>
      </c>
      <c r="J325" s="3" t="str">
        <f t="array" ref="J325">INDEX('State Abbreviations'!$B$2:$B$52,MATCH(I325,'State Abbreviations'!$A$2:$A$52,0))</f>
        <v>Washington</v>
      </c>
      <c r="K325" s="123" t="e">
        <f t="shared" ca="1" si="12"/>
        <v>#NAME?</v>
      </c>
      <c r="L325" s="13">
        <f t="shared" ca="1" si="13"/>
        <v>9</v>
      </c>
      <c r="M325" s="13" t="str">
        <f ca="1">IFERROR(__xludf.DUMMYFUNCTION("IF(L325=10,ArrayFormula(VLOOKUP(QUERY(UNIQUE(RANDBETWEEN(ROW(INDIRECT(""A1:A""&amp;COUNTA('Leaving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5" s="13">
        <f t="shared" ca="1" si="14"/>
        <v>2</v>
      </c>
      <c r="O325" s="13"/>
      <c r="P325" s="13"/>
      <c r="Q325" s="13" t="b">
        <f>ISNUMBER(MATCH("*"&amp;E325&amp;"*",'Top 1500 HS LatitudeLongitude'!G:G,0))</f>
        <v>0</v>
      </c>
      <c r="R325" s="13" t="str">
        <f ca="1">IFERROR(__xludf.DUMMYFUNCTION("IFS(L325=10,"""",Q325=false,"""",N325=5,"""",Q325=true,SORTN(FILTER('Top 1500 HS LatitudeLongitude'!B:B,'Top 1500 HS LatitudeLongitude'!C:C=I325,'Top 1500 HS LatitudeLongitude'!E:E=H325),1,0,randarray(COUNTA(FILTER('Top 1500 HS LatitudeLongitude'!B:B,'Top"&amp;" 1500 HS LatitudeLongitude'!C:C=I325,'Top 1500 HS LatitudeLongitude'!E:E=H325)),1),TRUE)
)"),"")</f>
        <v/>
      </c>
      <c r="S325" s="13" t="b">
        <f>ISNUMBER(MATCH("*"&amp;H:H&amp;"*",'Public Schools'!C:C,0))</f>
        <v>1</v>
      </c>
      <c r="T325" s="13" t="str">
        <f ca="1">IFERROR(__xludf.DUMMYFUNCTION("IFERROR(IF(AND(R325="""",S325=true), SORTN(FILTER('Public Schools'!A:A,'Public Schools'!B:B=J325,'Public Schools'!C:C=H325),1,0,randarray(COUNTA(FILTER('Public Schools'!A:A,'Public Schools'!B:B=J325,'Public Schools'!C:C=H325)),1),TRUE),""""),"""")"),"Kent-Meridian High School")</f>
        <v>Kent-Meridian High School</v>
      </c>
      <c r="U325" s="23" t="str">
        <f t="array" aca="1" ref="U325" ca="1">IF(AND(R325="",T325=""),INDEX('Top 1500 HS LatitudeLongitude'!B$2:B$1501,MATCH(MIN(SQRT(('Top 1500 HS LatitudeLongitude'!H$2:H$1501-F325)^2+('Top 1500 HS LatitudeLongitude'!I$2:I$1501-G325)^2)),SQRT( ('Top 1500 HS LatitudeLongitude'!H$2:H$1501-F325)^2+('Top 1500 HS LatitudeLongitude'!I$2:I$1501-G325)^2),0),1),"")</f>
        <v/>
      </c>
    </row>
    <row r="326" spans="2:21" ht="15.6">
      <c r="B326" s="8">
        <v>0.37409298050000001</v>
      </c>
      <c r="C326" s="9" t="s">
        <v>256</v>
      </c>
      <c r="D326" s="9" t="s">
        <v>525</v>
      </c>
      <c r="E326" s="124" t="s">
        <v>12099</v>
      </c>
      <c r="F326" s="8">
        <v>39.122799999999998</v>
      </c>
      <c r="G326" s="8">
        <v>-100.8439</v>
      </c>
      <c r="H326" s="3" t="str">
        <f t="shared" si="0"/>
        <v>Franklin</v>
      </c>
      <c r="I326" s="3" t="str">
        <f t="shared" si="1"/>
        <v>TN</v>
      </c>
      <c r="J326" s="3" t="str">
        <f t="array" ref="J326">INDEX('State Abbreviations'!$B$2:$B$52,MATCH(I326,'State Abbreviations'!$A$2:$A$52,0))</f>
        <v>Tennessee</v>
      </c>
      <c r="K326" s="123" t="e">
        <f t="shared" ca="1" si="12"/>
        <v>#NAME?</v>
      </c>
      <c r="L326" s="13">
        <f t="shared" ca="1" si="13"/>
        <v>1</v>
      </c>
      <c r="M326" s="13" t="str">
        <f ca="1">IFERROR(__xludf.DUMMYFUNCTION("IF(L326=10,ArrayFormula(VLOOKUP(QUERY(UNIQUE(RANDBETWEEN(ROW(INDIRECT(""A1:A""&amp;COUNTA('Leaving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6" s="13">
        <f t="shared" ca="1" si="14"/>
        <v>2</v>
      </c>
      <c r="O326" s="13"/>
      <c r="P326" s="13"/>
      <c r="Q326" s="13" t="b">
        <f>ISNUMBER(MATCH("*"&amp;E326&amp;"*",'Top 1500 HS LatitudeLongitude'!G:G,0))</f>
        <v>0</v>
      </c>
      <c r="R326" s="13" t="str">
        <f ca="1">IFERROR(__xludf.DUMMYFUNCTION("IFS(L326=10,"""",Q326=false,"""",N326=5,"""",Q326=true,SORTN(FILTER('Top 1500 HS LatitudeLongitude'!B:B,'Top 1500 HS LatitudeLongitude'!C:C=I326,'Top 1500 HS LatitudeLongitude'!E:E=H326),1,0,randarray(COUNTA(FILTER('Top 1500 HS LatitudeLongitude'!B:B,'Top"&amp;" 1500 HS LatitudeLongitude'!C:C=I326,'Top 1500 HS LatitudeLongitude'!E:E=H326)),1),TRUE)
)"),"")</f>
        <v/>
      </c>
      <c r="S326" s="13" t="b">
        <f>ISNUMBER(MATCH("*"&amp;H:H&amp;"*",'Public Schools'!C:C,0))</f>
        <v>1</v>
      </c>
      <c r="T326" s="13" t="str">
        <f ca="1">IFERROR(__xludf.DUMMYFUNCTION("IFERROR(IF(AND(R326="""",S326=true), SORTN(FILTER('Public Schools'!A:A,'Public Schools'!B:B=J326,'Public Schools'!C:C=H326),1,0,randarray(COUNTA(FILTER('Public Schools'!A:A,'Public Schools'!B:B=J326,'Public Schools'!C:C=H326)),1),TRUE),""""),"""")"),"Centennial High School")</f>
        <v>Centennial High School</v>
      </c>
      <c r="U326" s="23" t="str">
        <f t="array" aca="1" ref="U326" ca="1">IF(AND(R326="",T326=""),INDEX('Top 1500 HS LatitudeLongitude'!B$2:B$1501,MATCH(MIN(SQRT(('Top 1500 HS LatitudeLongitude'!H$2:H$1501-F326)^2+('Top 1500 HS LatitudeLongitude'!I$2:I$1501-G326)^2)),SQRT( ('Top 1500 HS LatitudeLongitude'!H$2:H$1501-F326)^2+('Top 1500 HS LatitudeLongitude'!I$2:I$1501-G326)^2),0),1),"")</f>
        <v/>
      </c>
    </row>
    <row r="327" spans="2:21" ht="15.6">
      <c r="B327" s="8">
        <v>0.67080365600000003</v>
      </c>
      <c r="C327" s="9" t="s">
        <v>262</v>
      </c>
      <c r="D327" s="9" t="s">
        <v>526</v>
      </c>
      <c r="E327" s="37" t="s">
        <v>12149</v>
      </c>
      <c r="F327" s="8">
        <v>40.850099999999998</v>
      </c>
      <c r="G327" s="8">
        <v>-73.866200000000006</v>
      </c>
      <c r="H327" s="3" t="str">
        <f t="shared" si="0"/>
        <v>Andalusia</v>
      </c>
      <c r="I327" s="3" t="str">
        <f t="shared" si="1"/>
        <v>AL</v>
      </c>
      <c r="J327" s="3" t="str">
        <f t="array" ref="J327">INDEX('State Abbreviations'!$B$2:$B$52,MATCH(I327,'State Abbreviations'!$A$2:$A$52,0))</f>
        <v>Alabama</v>
      </c>
      <c r="K327" s="123" t="e">
        <f t="shared" ca="1" si="12"/>
        <v>#NAME?</v>
      </c>
      <c r="L327" s="13">
        <f t="shared" ca="1" si="13"/>
        <v>9</v>
      </c>
      <c r="M327" s="13" t="str">
        <f ca="1">IFERROR(__xludf.DUMMYFUNCTION("IF(L327=10,ArrayFormula(VLOOKUP(QUERY(UNIQUE(RANDBETWEEN(ROW(INDIRECT(""A1:A""&amp;COUNTA('Leaving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7" s="13">
        <f t="shared" ca="1" si="14"/>
        <v>4</v>
      </c>
      <c r="O327" s="13"/>
      <c r="P327" s="13"/>
      <c r="Q327" s="13" t="b">
        <f>ISNUMBER(MATCH("*"&amp;E327&amp;"*",'Top 1500 HS LatitudeLongitude'!G:G,0))</f>
        <v>0</v>
      </c>
      <c r="R327" s="13" t="str">
        <f ca="1">IFERROR(__xludf.DUMMYFUNCTION("IFS(L327=10,"""",Q327=false,"""",N327=5,"""",Q327=true,SORTN(FILTER('Top 1500 HS LatitudeLongitude'!B:B,'Top 1500 HS LatitudeLongitude'!C:C=I327,'Top 1500 HS LatitudeLongitude'!E:E=H327),1,0,randarray(COUNTA(FILTER('Top 1500 HS LatitudeLongitude'!B:B,'Top"&amp;" 1500 HS LatitudeLongitude'!C:C=I327,'Top 1500 HS LatitudeLongitude'!E:E=H327)),1),TRUE)
)"),"")</f>
        <v/>
      </c>
      <c r="S327" s="13" t="b">
        <f>ISNUMBER(MATCH("*"&amp;H:H&amp;"*",'Public Schools'!C:C,0))</f>
        <v>1</v>
      </c>
      <c r="T327" s="13" t="str">
        <f ca="1">IFERROR(__xludf.DUMMYFUNCTION("IFERROR(IF(AND(R327="""",S327=true), SORTN(FILTER('Public Schools'!A:A,'Public Schools'!B:B=J327,'Public Schools'!C:C=H327),1,0,randarray(COUNTA(FILTER('Public Schools'!A:A,'Public Schools'!B:B=J327,'Public Schools'!C:C=H327)),1),TRUE),""""),"""")"),"Straughn High School")</f>
        <v>Straughn High School</v>
      </c>
      <c r="U327" s="23" t="str">
        <f t="array" aca="1" ref="U327" ca="1">IF(AND(R327="",T327=""),INDEX('Top 1500 HS LatitudeLongitude'!B$2:B$1501,MATCH(MIN(SQRT(('Top 1500 HS LatitudeLongitude'!H$2:H$1501-F327)^2+('Top 1500 HS LatitudeLongitude'!I$2:I$1501-G327)^2)),SQRT( ('Top 1500 HS LatitudeLongitude'!H$2:H$1501-F327)^2+('Top 1500 HS LatitudeLongitude'!I$2:I$1501-G327)^2),0),1),"")</f>
        <v/>
      </c>
    </row>
    <row r="328" spans="2:21" ht="15.6">
      <c r="B328" s="8">
        <v>0.65077656589999999</v>
      </c>
      <c r="C328" s="9" t="s">
        <v>47</v>
      </c>
      <c r="D328" s="9" t="s">
        <v>527</v>
      </c>
      <c r="E328" s="124" t="s">
        <v>12197</v>
      </c>
      <c r="F328" s="8">
        <v>40.694299999999998</v>
      </c>
      <c r="G328" s="8">
        <v>-73.924899999999994</v>
      </c>
      <c r="H328" s="3" t="str">
        <f t="shared" si="0"/>
        <v>Modesto</v>
      </c>
      <c r="I328" s="3" t="str">
        <f t="shared" si="1"/>
        <v>CA</v>
      </c>
      <c r="J328" s="3" t="str">
        <f t="array" ref="J328">INDEX('State Abbreviations'!$B$2:$B$52,MATCH(I328,'State Abbreviations'!$A$2:$A$52,0))</f>
        <v>California</v>
      </c>
      <c r="K328" s="123" t="e">
        <f t="shared" ca="1" si="12"/>
        <v>#NAME?</v>
      </c>
      <c r="L328" s="13">
        <f t="shared" ca="1" si="13"/>
        <v>7</v>
      </c>
      <c r="M328" s="13" t="str">
        <f ca="1">IFERROR(__xludf.DUMMYFUNCTION("IF(L328=10,ArrayFormula(VLOOKUP(QUERY(UNIQUE(RANDBETWEEN(ROW(INDIRECT(""A1:A""&amp;COUNTA('Leaving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8" s="13">
        <f t="shared" ca="1" si="14"/>
        <v>4</v>
      </c>
      <c r="O328" s="13"/>
      <c r="P328" s="13"/>
      <c r="Q328" s="13" t="b">
        <f>ISNUMBER(MATCH("*"&amp;E328&amp;"*",'Top 1500 HS LatitudeLongitude'!G:G,0))</f>
        <v>1</v>
      </c>
      <c r="R328" s="13" t="str">
        <f ca="1">IFERROR(__xludf.DUMMYFUNCTION("IFS(L328=10,"""",Q328=false,"""",N328=5,"""",Q328=true,SORTN(FILTER('Top 1500 HS LatitudeLongitude'!B:B,'Top 1500 HS LatitudeLongitude'!C:C=I328,'Top 1500 HS LatitudeLongitude'!E:E=H328),1,0,randarray(COUNTA(FILTER('Top 1500 HS LatitudeLongitude'!B:B,'Top"&amp;" 1500 HS LatitudeLongitude'!C:C=I328,'Top 1500 HS LatitudeLongitude'!E:E=H328)),1),TRUE)
)"),"Central Catholic (Modesto)")</f>
        <v>Central Catholic (Modesto)</v>
      </c>
      <c r="S328" s="13" t="b">
        <f>ISNUMBER(MATCH("*"&amp;H:H&amp;"*",'Public Schools'!C:C,0))</f>
        <v>1</v>
      </c>
      <c r="T328" s="13" t="str">
        <f ca="1">IFERROR(__xludf.DUMMYFUNCTION("IFERROR(IF(AND(R328="""",S328=true), SORTN(FILTER('Public Schools'!A:A,'Public Schools'!B:B=J328,'Public Schools'!C:C=H328),1,0,randarray(COUNTA(FILTER('Public Schools'!A:A,'Public Schools'!B:B=J328,'Public Schools'!C:C=H328)),1),TRUE),""""),"""")"),"")</f>
        <v/>
      </c>
      <c r="U328" s="23" t="str">
        <f t="array" aca="1" ref="U328" ca="1">IF(AND(R328="",T328=""),INDEX('Top 1500 HS LatitudeLongitude'!B$2:B$1501,MATCH(MIN(SQRT(('Top 1500 HS LatitudeLongitude'!H$2:H$1501-F328)^2+('Top 1500 HS LatitudeLongitude'!I$2:I$1501-G328)^2)),SQRT( ('Top 1500 HS LatitudeLongitude'!H$2:H$1501-F328)^2+('Top 1500 HS LatitudeLongitude'!I$2:I$1501-G328)^2),0),1),"")</f>
        <v/>
      </c>
    </row>
    <row r="329" spans="2:21" ht="15.6">
      <c r="B329" s="8">
        <v>0.85658585040000002</v>
      </c>
      <c r="C329" s="9" t="s">
        <v>47</v>
      </c>
      <c r="D329" s="9" t="s">
        <v>528</v>
      </c>
      <c r="E329" s="37" t="s">
        <v>12234</v>
      </c>
      <c r="F329" s="8">
        <v>31.847799999999999</v>
      </c>
      <c r="G329" s="8">
        <v>-106.431</v>
      </c>
      <c r="H329" s="3" t="str">
        <f t="shared" si="0"/>
        <v>Long Beach</v>
      </c>
      <c r="I329" s="3" t="str">
        <f t="shared" si="1"/>
        <v>CA</v>
      </c>
      <c r="J329" s="3" t="str">
        <f t="array" ref="J329">INDEX('State Abbreviations'!$B$2:$B$52,MATCH(I329,'State Abbreviations'!$A$2:$A$52,0))</f>
        <v>California</v>
      </c>
      <c r="K329" s="123" t="e">
        <f t="shared" ca="1" si="12"/>
        <v>#NAME?</v>
      </c>
      <c r="L329" s="13">
        <f t="shared" ca="1" si="13"/>
        <v>9</v>
      </c>
      <c r="M329" s="13" t="str">
        <f ca="1">IFERROR(__xludf.DUMMYFUNCTION("IF(L329=10,ArrayFormula(VLOOKUP(QUERY(UNIQUE(RANDBETWEEN(ROW(INDIRECT(""A1:A""&amp;COUNTA('Leaving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29" s="13">
        <f t="shared" ca="1" si="14"/>
        <v>1</v>
      </c>
      <c r="O329" s="13"/>
      <c r="P329" s="13"/>
      <c r="Q329" s="13" t="b">
        <f>ISNUMBER(MATCH("*"&amp;E329&amp;"*",'Top 1500 HS LatitudeLongitude'!G:G,0))</f>
        <v>1</v>
      </c>
      <c r="R329" s="13" t="str">
        <f ca="1">IFERROR(__xludf.DUMMYFUNCTION("IFS(L329=10,"""",Q329=false,"""",N329=5,"""",Q329=true,SORTN(FILTER('Top 1500 HS LatitudeLongitude'!B:B,'Top 1500 HS LatitudeLongitude'!C:C=I329,'Top 1500 HS LatitudeLongitude'!E:E=H329),1,0,randarray(COUNTA(FILTER('Top 1500 HS LatitudeLongitude'!B:B,'Top"&amp;" 1500 HS LatitudeLongitude'!C:C=I329,'Top 1500 HS LatitudeLongitude'!E:E=H329)),1),TRUE)
)"),"St. Anthony (Long Beach)")</f>
        <v>St. Anthony (Long Beach)</v>
      </c>
      <c r="S329" s="13" t="b">
        <f>ISNUMBER(MATCH("*"&amp;H:H&amp;"*",'Public Schools'!C:C,0))</f>
        <v>1</v>
      </c>
      <c r="T329" s="13" t="str">
        <f ca="1">IFERROR(__xludf.DUMMYFUNCTION("IFERROR(IF(AND(R329="""",S329=true), SORTN(FILTER('Public Schools'!A:A,'Public Schools'!B:B=J329,'Public Schools'!C:C=H329),1,0,randarray(COUNTA(FILTER('Public Schools'!A:A,'Public Schools'!B:B=J329,'Public Schools'!C:C=H329)),1),TRUE),""""),"""")"),"")</f>
        <v/>
      </c>
      <c r="U329" s="23" t="str">
        <f t="array" aca="1" ref="U329" ca="1">IF(AND(R329="",T329=""),INDEX('Top 1500 HS LatitudeLongitude'!B$2:B$1501,MATCH(MIN(SQRT(('Top 1500 HS LatitudeLongitude'!H$2:H$1501-F329)^2+('Top 1500 HS LatitudeLongitude'!I$2:I$1501-G329)^2)),SQRT( ('Top 1500 HS LatitudeLongitude'!H$2:H$1501-F329)^2+('Top 1500 HS LatitudeLongitude'!I$2:I$1501-G329)^2),0),1),"")</f>
        <v/>
      </c>
    </row>
    <row r="330" spans="2:21" ht="15.6">
      <c r="B330" s="8">
        <v>0.94282040609999995</v>
      </c>
      <c r="C330" s="9" t="s">
        <v>238</v>
      </c>
      <c r="D330" s="9" t="s">
        <v>188</v>
      </c>
      <c r="E330" s="124" t="s">
        <v>672</v>
      </c>
      <c r="F330" s="8">
        <v>38.818399999999997</v>
      </c>
      <c r="G330" s="8">
        <v>-77.086100000000002</v>
      </c>
      <c r="H330" s="3" t="str">
        <f t="shared" si="0"/>
        <v>New York</v>
      </c>
      <c r="I330" s="3" t="str">
        <f t="shared" si="1"/>
        <v>NY</v>
      </c>
      <c r="J330" s="3" t="str">
        <f t="array" ref="J330">INDEX('State Abbreviations'!$B$2:$B$52,MATCH(I330,'State Abbreviations'!$A$2:$A$52,0))</f>
        <v>New York</v>
      </c>
      <c r="K330" s="123" t="e">
        <f t="shared" ca="1" si="12"/>
        <v>#NAME?</v>
      </c>
      <c r="L330" s="13">
        <f t="shared" ca="1" si="13"/>
        <v>4</v>
      </c>
      <c r="M330" s="13" t="str">
        <f ca="1">IFERROR(__xludf.DUMMYFUNCTION("IF(L330=10,ArrayFormula(VLOOKUP(QUERY(UNIQUE(RANDBETWEEN(ROW(INDIRECT(""A1:A""&amp;COUNTA('Leaving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0" s="13">
        <f t="shared" ca="1" si="14"/>
        <v>1</v>
      </c>
      <c r="O330" s="13"/>
      <c r="P330" s="13"/>
      <c r="Q330" s="13" t="b">
        <f>ISNUMBER(MATCH("*"&amp;E330&amp;"*",'Top 1500 HS LatitudeLongitude'!G:G,0))</f>
        <v>0</v>
      </c>
      <c r="R330" s="13" t="str">
        <f ca="1">IFERROR(__xludf.DUMMYFUNCTION("IFS(L330=10,"""",Q330=false,"""",N330=5,"""",Q330=true,SORTN(FILTER('Top 1500 HS LatitudeLongitude'!B:B,'Top 1500 HS LatitudeLongitude'!C:C=I330,'Top 1500 HS LatitudeLongitude'!E:E=H330),1,0,randarray(COUNTA(FILTER('Top 1500 HS LatitudeLongitude'!B:B,'Top"&amp;" 1500 HS LatitudeLongitude'!C:C=I330,'Top 1500 HS LatitudeLongitude'!E:E=H330)),1),TRUE)
)"),"")</f>
        <v/>
      </c>
      <c r="S330" s="13" t="b">
        <f>ISNUMBER(MATCH("*"&amp;H:H&amp;"*",'Public Schools'!C:C,0))</f>
        <v>1</v>
      </c>
      <c r="T330" s="13" t="str">
        <f ca="1">IFERROR(__xludf.DUMMYFUNCTION("IFERROR(IF(AND(R330="""",S330=true), SORTN(FILTER('Public Schools'!A:A,'Public Schools'!B:B=J330,'Public Schools'!C:C=H330),1,0,randarray(COUNTA(FILTER('Public Schools'!A:A,'Public Schools'!B:B=J330,'Public Schools'!C:C=H330)),1),TRUE),""""),"""")"),"Forsythe Satellite Academy")</f>
        <v>Forsythe Satellite Academy</v>
      </c>
      <c r="U330" s="23" t="str">
        <f t="array" aca="1" ref="U330" ca="1">IF(AND(R330="",T330=""),INDEX('Top 1500 HS LatitudeLongitude'!B$2:B$1501,MATCH(MIN(SQRT(('Top 1500 HS LatitudeLongitude'!H$2:H$1501-F330)^2+('Top 1500 HS LatitudeLongitude'!I$2:I$1501-G330)^2)),SQRT( ('Top 1500 HS LatitudeLongitude'!H$2:H$1501-F330)^2+('Top 1500 HS LatitudeLongitude'!I$2:I$1501-G330)^2),0),1),"")</f>
        <v/>
      </c>
    </row>
    <row r="331" spans="2:21" ht="15.6">
      <c r="B331" s="8">
        <v>0.37119794090000002</v>
      </c>
      <c r="C331" s="9" t="s">
        <v>47</v>
      </c>
      <c r="D331" s="9" t="s">
        <v>529</v>
      </c>
      <c r="E331" s="37" t="s">
        <v>12287</v>
      </c>
      <c r="F331" s="8">
        <v>38.907600000000002</v>
      </c>
      <c r="G331" s="8">
        <v>-94.625799999999998</v>
      </c>
      <c r="H331" s="3" t="str">
        <f t="shared" si="0"/>
        <v>Danville</v>
      </c>
      <c r="I331" s="3" t="str">
        <f t="shared" si="1"/>
        <v>CA</v>
      </c>
      <c r="J331" s="3" t="str">
        <f t="array" ref="J331">INDEX('State Abbreviations'!$B$2:$B$52,MATCH(I331,'State Abbreviations'!$A$2:$A$52,0))</f>
        <v>California</v>
      </c>
      <c r="K331" s="123" t="e">
        <f t="shared" ca="1" si="12"/>
        <v>#NAME?</v>
      </c>
      <c r="L331" s="13">
        <f t="shared" ca="1" si="13"/>
        <v>6</v>
      </c>
      <c r="M331" s="13" t="str">
        <f ca="1">IFERROR(__xludf.DUMMYFUNCTION("IF(L331=10,ArrayFormula(VLOOKUP(QUERY(UNIQUE(RANDBETWEEN(ROW(INDIRECT(""A1:A""&amp;COUNTA('Leaving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1" s="13">
        <f t="shared" ca="1" si="14"/>
        <v>4</v>
      </c>
      <c r="O331" s="13"/>
      <c r="P331" s="13"/>
      <c r="Q331" s="13" t="b">
        <f>ISNUMBER(MATCH("*"&amp;E331&amp;"*",'Top 1500 HS LatitudeLongitude'!G:G,0))</f>
        <v>1</v>
      </c>
      <c r="R331" s="13" t="str">
        <f ca="1">IFERROR(__xludf.DUMMYFUNCTION("IFS(L331=10,"""",Q331=false,"""",N331=5,"""",Q331=true,SORTN(FILTER('Top 1500 HS LatitudeLongitude'!B:B,'Top 1500 HS LatitudeLongitude'!C:C=I331,'Top 1500 HS LatitudeLongitude'!E:E=H331),1,0,randarray(COUNTA(FILTER('Top 1500 HS LatitudeLongitude'!B:B,'Top"&amp;" 1500 HS LatitudeLongitude'!C:C=I331,'Top 1500 HS LatitudeLongitude'!E:E=H331)),1),TRUE)
)"),"Monte Vista (Danville)")</f>
        <v>Monte Vista (Danville)</v>
      </c>
      <c r="S331" s="13" t="b">
        <f>ISNUMBER(MATCH("*"&amp;H:H&amp;"*",'Public Schools'!C:C,0))</f>
        <v>1</v>
      </c>
      <c r="T331" s="13" t="str">
        <f ca="1">IFERROR(__xludf.DUMMYFUNCTION("IFERROR(IF(AND(R331="""",S331=true), SORTN(FILTER('Public Schools'!A:A,'Public Schools'!B:B=J331,'Public Schools'!C:C=H331),1,0,randarray(COUNTA(FILTER('Public Schools'!A:A,'Public Schools'!B:B=J331,'Public Schools'!C:C=H331)),1),TRUE),""""),"""")"),"")</f>
        <v/>
      </c>
      <c r="U331" s="23" t="str">
        <f t="array" aca="1" ref="U331" ca="1">IF(AND(R331="",T331=""),INDEX('Top 1500 HS LatitudeLongitude'!B$2:B$1501,MATCH(MIN(SQRT(('Top 1500 HS LatitudeLongitude'!H$2:H$1501-F331)^2+('Top 1500 HS LatitudeLongitude'!I$2:I$1501-G331)^2)),SQRT( ('Top 1500 HS LatitudeLongitude'!H$2:H$1501-F331)^2+('Top 1500 HS LatitudeLongitude'!I$2:I$1501-G331)^2),0),1),"")</f>
        <v/>
      </c>
    </row>
    <row r="332" spans="2:21" ht="15.6">
      <c r="B332" s="8">
        <v>0.19166770550000001</v>
      </c>
      <c r="C332" s="9" t="s">
        <v>114</v>
      </c>
      <c r="D332" s="9" t="s">
        <v>530</v>
      </c>
      <c r="E332" s="124" t="s">
        <v>12329</v>
      </c>
      <c r="F332" s="8">
        <v>27.908799999999999</v>
      </c>
      <c r="G332" s="8">
        <v>-82.7714</v>
      </c>
      <c r="H332" s="3" t="str">
        <f t="shared" si="0"/>
        <v>New Port Richey</v>
      </c>
      <c r="I332" s="3" t="str">
        <f t="shared" si="1"/>
        <v>FL</v>
      </c>
      <c r="J332" s="3" t="str">
        <f t="array" ref="J332">INDEX('State Abbreviations'!$B$2:$B$52,MATCH(I332,'State Abbreviations'!$A$2:$A$52,0))</f>
        <v>Florida</v>
      </c>
      <c r="K332" s="123" t="e">
        <f t="shared" ca="1" si="12"/>
        <v>#NAME?</v>
      </c>
      <c r="L332" s="13">
        <f t="shared" ca="1" si="13"/>
        <v>6</v>
      </c>
      <c r="M332" s="13" t="str">
        <f ca="1">IFERROR(__xludf.DUMMYFUNCTION("IF(L332=10,ArrayFormula(VLOOKUP(QUERY(UNIQUE(RANDBETWEEN(ROW(INDIRECT(""A1:A""&amp;COUNTA('Leaving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2" s="13">
        <f t="shared" ca="1" si="14"/>
        <v>2</v>
      </c>
      <c r="O332" s="13"/>
      <c r="P332" s="13"/>
      <c r="Q332" s="13" t="b">
        <f>ISNUMBER(MATCH("*"&amp;E332&amp;"*",'Top 1500 HS LatitudeLongitude'!G:G,0))</f>
        <v>0</v>
      </c>
      <c r="R332" s="13" t="str">
        <f ca="1">IFERROR(__xludf.DUMMYFUNCTION("IFS(L332=10,"""",Q332=false,"""",N332=5,"""",Q332=true,SORTN(FILTER('Top 1500 HS LatitudeLongitude'!B:B,'Top 1500 HS LatitudeLongitude'!C:C=I332,'Top 1500 HS LatitudeLongitude'!E:E=H332),1,0,randarray(COUNTA(FILTER('Top 1500 HS LatitudeLongitude'!B:B,'Top"&amp;" 1500 HS LatitudeLongitude'!C:C=I332,'Top 1500 HS LatitudeLongitude'!E:E=H332)),1),TRUE)
)"),"")</f>
        <v/>
      </c>
      <c r="S332" s="13" t="b">
        <f>ISNUMBER(MATCH("*"&amp;H:H&amp;"*",'Public Schools'!C:C,0))</f>
        <v>1</v>
      </c>
      <c r="T332" s="13" t="str">
        <f ca="1">IFERROR(__xludf.DUMMYFUNCTION("IFERROR(IF(AND(R332="""",S332=true), SORTN(FILTER('Public Schools'!A:A,'Public Schools'!B:B=J332,'Public Schools'!C:C=H332),1,0,randarray(COUNTA(FILTER('Public Schools'!A:A,'Public Schools'!B:B=J332,'Public Schools'!C:C=H332)),1),TRUE),""""),"""")"),"Gulf High School")</f>
        <v>Gulf High School</v>
      </c>
      <c r="U332" s="23" t="str">
        <f t="array" aca="1" ref="U332" ca="1">IF(AND(R332="",T332=""),INDEX('Top 1500 HS LatitudeLongitude'!B$2:B$1501,MATCH(MIN(SQRT(('Top 1500 HS LatitudeLongitude'!H$2:H$1501-F332)^2+('Top 1500 HS LatitudeLongitude'!I$2:I$1501-G332)^2)),SQRT( ('Top 1500 HS LatitudeLongitude'!H$2:H$1501-F332)^2+('Top 1500 HS LatitudeLongitude'!I$2:I$1501-G332)^2),0),1),"")</f>
        <v/>
      </c>
    </row>
    <row r="333" spans="2:21" ht="15.6">
      <c r="B333" s="8">
        <v>0.6551172032</v>
      </c>
      <c r="C333" s="9" t="s">
        <v>114</v>
      </c>
      <c r="D333" s="9" t="s">
        <v>531</v>
      </c>
      <c r="E333" s="37" t="s">
        <v>12357</v>
      </c>
      <c r="F333" s="8">
        <v>40.650100000000002</v>
      </c>
      <c r="G333" s="8">
        <v>-73.949600000000004</v>
      </c>
      <c r="H333" s="3" t="str">
        <f t="shared" si="0"/>
        <v>Saint Cloud</v>
      </c>
      <c r="I333" s="3" t="str">
        <f t="shared" si="1"/>
        <v>FL</v>
      </c>
      <c r="J333" s="3" t="str">
        <f t="array" ref="J333">INDEX('State Abbreviations'!$B$2:$B$52,MATCH(I333,'State Abbreviations'!$A$2:$A$52,0))</f>
        <v>Florida</v>
      </c>
      <c r="K333" s="123" t="e">
        <f t="shared" ca="1" si="12"/>
        <v>#NAME?</v>
      </c>
      <c r="L333" s="13">
        <f t="shared" ca="1" si="13"/>
        <v>1</v>
      </c>
      <c r="M333" s="13" t="str">
        <f ca="1">IFERROR(__xludf.DUMMYFUNCTION("IF(L333=10,ArrayFormula(VLOOKUP(QUERY(UNIQUE(RANDBETWEEN(ROW(INDIRECT(""A1:A""&amp;COUNTA('Leaving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3" s="13">
        <f t="shared" ca="1" si="14"/>
        <v>1</v>
      </c>
      <c r="O333" s="13"/>
      <c r="P333" s="13"/>
      <c r="Q333" s="13" t="b">
        <f>ISNUMBER(MATCH("*"&amp;E333&amp;"*",'Top 1500 HS LatitudeLongitude'!G:G,0))</f>
        <v>0</v>
      </c>
      <c r="R333" s="13" t="str">
        <f ca="1">IFERROR(__xludf.DUMMYFUNCTION("IFS(L333=10,"""",Q333=false,"""",N333=5,"""",Q333=true,SORTN(FILTER('Top 1500 HS LatitudeLongitude'!B:B,'Top 1500 HS LatitudeLongitude'!C:C=I333,'Top 1500 HS LatitudeLongitude'!E:E=H333),1,0,randarray(COUNTA(FILTER('Top 1500 HS LatitudeLongitude'!B:B,'Top"&amp;" 1500 HS LatitudeLongitude'!C:C=I333,'Top 1500 HS LatitudeLongitude'!E:E=H333)),1),TRUE)
)"),"")</f>
        <v/>
      </c>
      <c r="S333" s="13" t="b">
        <f>ISNUMBER(MATCH("*"&amp;H:H&amp;"*",'Public Schools'!C:C,0))</f>
        <v>1</v>
      </c>
      <c r="T333" s="13" t="str">
        <f ca="1">IFERROR(__xludf.DUMMYFUNCTION("IFERROR(IF(AND(R333="""",S333=true), SORTN(FILTER('Public Schools'!A:A,'Public Schools'!B:B=J333,'Public Schools'!C:C=H333),1,0,randarray(COUNTA(FILTER('Public Schools'!A:A,'Public Schools'!B:B=J333,'Public Schools'!C:C=H333)),1),TRUE),""""),"""")"),"")</f>
        <v/>
      </c>
      <c r="U333" s="23" t="str">
        <f t="array" aca="1" ref="U333" ca="1">IF(AND(R333="",T333=""),INDEX('Top 1500 HS LatitudeLongitude'!B$2:B$1501,MATCH(MIN(SQRT(('Top 1500 HS LatitudeLongitude'!H$2:H$1501-F333)^2+('Top 1500 HS LatitudeLongitude'!I$2:I$1501-G333)^2)),SQRT( ('Top 1500 HS LatitudeLongitude'!H$2:H$1501-F333)^2+('Top 1500 HS LatitudeLongitude'!I$2:I$1501-G333)^2),0),1),"")</f>
        <v>South Shore (Brooklyn)</v>
      </c>
    </row>
    <row r="334" spans="2:21" ht="15.6">
      <c r="B334" s="8">
        <v>0.29629346049999999</v>
      </c>
      <c r="C334" s="9" t="s">
        <v>243</v>
      </c>
      <c r="D334" s="9" t="s">
        <v>333</v>
      </c>
      <c r="E334" s="124" t="s">
        <v>12395</v>
      </c>
      <c r="F334" s="8">
        <v>41.7483</v>
      </c>
      <c r="G334" s="8">
        <v>-88.165599999999998</v>
      </c>
      <c r="H334" s="3" t="str">
        <f t="shared" si="0"/>
        <v>Woodland</v>
      </c>
      <c r="I334" s="3" t="str">
        <f t="shared" si="1"/>
        <v>PA</v>
      </c>
      <c r="J334" s="3" t="str">
        <f t="array" ref="J334">INDEX('State Abbreviations'!$B$2:$B$52,MATCH(I334,'State Abbreviations'!$A$2:$A$52,0))</f>
        <v>Pennsylvania</v>
      </c>
      <c r="K334" s="123" t="e">
        <f t="shared" ca="1" si="12"/>
        <v>#NAME?</v>
      </c>
      <c r="L334" s="13">
        <f t="shared" ca="1" si="13"/>
        <v>9</v>
      </c>
      <c r="M334" s="13" t="str">
        <f ca="1">IFERROR(__xludf.DUMMYFUNCTION("IF(L334=10,ArrayFormula(VLOOKUP(QUERY(UNIQUE(RANDBETWEEN(ROW(INDIRECT(""A1:A""&amp;COUNTA('Leaving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4" s="13">
        <f t="shared" ca="1" si="14"/>
        <v>4</v>
      </c>
      <c r="O334" s="13"/>
      <c r="P334" s="13"/>
      <c r="Q334" s="13" t="b">
        <f>ISNUMBER(MATCH("*"&amp;E334&amp;"*",'Top 1500 HS LatitudeLongitude'!G:G,0))</f>
        <v>0</v>
      </c>
      <c r="R334" s="13" t="str">
        <f ca="1">IFERROR(__xludf.DUMMYFUNCTION("IFS(L334=10,"""",Q334=false,"""",N334=5,"""",Q334=true,SORTN(FILTER('Top 1500 HS LatitudeLongitude'!B:B,'Top 1500 HS LatitudeLongitude'!C:C=I334,'Top 1500 HS LatitudeLongitude'!E:E=H334),1,0,randarray(COUNTA(FILTER('Top 1500 HS LatitudeLongitude'!B:B,'Top"&amp;" 1500 HS LatitudeLongitude'!C:C=I334,'Top 1500 HS LatitudeLongitude'!E:E=H334)),1),TRUE)
)"),"")</f>
        <v/>
      </c>
      <c r="S334" s="13" t="b">
        <f>ISNUMBER(MATCH("*"&amp;H:H&amp;"*",'Public Schools'!C:C,0))</f>
        <v>1</v>
      </c>
      <c r="T334" s="13" t="str">
        <f ca="1">IFERROR(__xludf.DUMMYFUNCTION("IFERROR(IF(AND(R334="""",S334=true), SORTN(FILTER('Public Schools'!A:A,'Public Schools'!B:B=J334,'Public Schools'!C:C=H334),1,0,randarray(COUNTA(FILTER('Public Schools'!A:A,'Public Schools'!B:B=J334,'Public Schools'!C:C=H334)),1),TRUE),""""),"""")"),"")</f>
        <v/>
      </c>
      <c r="U334" s="23" t="str">
        <f t="array" aca="1" ref="U334" ca="1">IF(AND(R334="",T334=""),INDEX('Top 1500 HS LatitudeLongitude'!B$2:B$1501,MATCH(MIN(SQRT(('Top 1500 HS LatitudeLongitude'!H$2:H$1501-F334)^2+('Top 1500 HS LatitudeLongitude'!I$2:I$1501-G334)^2)),SQRT( ('Top 1500 HS LatitudeLongitude'!H$2:H$1501-F334)^2+('Top 1500 HS LatitudeLongitude'!I$2:I$1501-G334)^2),0),1),"")</f>
        <v>Naperville Central (Naperville)</v>
      </c>
    </row>
    <row r="335" spans="2:21" ht="15.6">
      <c r="B335" s="8">
        <v>0.67680775260000003</v>
      </c>
      <c r="C335" s="9" t="s">
        <v>206</v>
      </c>
      <c r="D335" s="9" t="s">
        <v>532</v>
      </c>
      <c r="E335" s="37" t="s">
        <v>12421</v>
      </c>
      <c r="F335" s="8">
        <v>40.664700000000003</v>
      </c>
      <c r="G335" s="8">
        <v>-73.704400000000007</v>
      </c>
      <c r="H335" s="3" t="str">
        <f t="shared" si="0"/>
        <v>Snyder</v>
      </c>
      <c r="I335" s="3" t="str">
        <f t="shared" si="1"/>
        <v>TX</v>
      </c>
      <c r="J335" s="3" t="str">
        <f t="array" ref="J335">INDEX('State Abbreviations'!$B$2:$B$52,MATCH(I335,'State Abbreviations'!$A$2:$A$52,0))</f>
        <v>Texas</v>
      </c>
      <c r="K335" s="123" t="e">
        <f t="shared" ca="1" si="12"/>
        <v>#NAME?</v>
      </c>
      <c r="L335" s="13">
        <f t="shared" ca="1" si="13"/>
        <v>7</v>
      </c>
      <c r="M335" s="13" t="str">
        <f ca="1">IFERROR(__xludf.DUMMYFUNCTION("IF(L335=10,ArrayFormula(VLOOKUP(QUERY(UNIQUE(RANDBETWEEN(ROW(INDIRECT(""A1:A""&amp;COUNTA('Leaving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5" s="13">
        <f t="shared" ca="1" si="14"/>
        <v>1</v>
      </c>
      <c r="O335" s="13"/>
      <c r="P335" s="13"/>
      <c r="Q335" s="13" t="b">
        <f>ISNUMBER(MATCH("*"&amp;E335&amp;"*",'Top 1500 HS LatitudeLongitude'!G:G,0))</f>
        <v>0</v>
      </c>
      <c r="R335" s="13" t="str">
        <f ca="1">IFERROR(__xludf.DUMMYFUNCTION("IFS(L335=10,"""",Q335=false,"""",N335=5,"""",Q335=true,SORTN(FILTER('Top 1500 HS LatitudeLongitude'!B:B,'Top 1500 HS LatitudeLongitude'!C:C=I335,'Top 1500 HS LatitudeLongitude'!E:E=H335),1,0,randarray(COUNTA(FILTER('Top 1500 HS LatitudeLongitude'!B:B,'Top"&amp;" 1500 HS LatitudeLongitude'!C:C=I335,'Top 1500 HS LatitudeLongitude'!E:E=H335)),1),TRUE)
)"),"")</f>
        <v/>
      </c>
      <c r="S335" s="13" t="b">
        <f>ISNUMBER(MATCH("*"&amp;H:H&amp;"*",'Public Schools'!C:C,0))</f>
        <v>1</v>
      </c>
      <c r="T335" s="13" t="str">
        <f ca="1">IFERROR(__xludf.DUMMYFUNCTION("IFERROR(IF(AND(R335="""",S335=true), SORTN(FILTER('Public Schools'!A:A,'Public Schools'!B:B=J335,'Public Schools'!C:C=H335),1,0,randarray(COUNTA(FILTER('Public Schools'!A:A,'Public Schools'!B:B=J335,'Public Schools'!C:C=H335)),1),TRUE),""""),"""")"),"Snyder H S")</f>
        <v>Snyder H S</v>
      </c>
      <c r="U335" s="23" t="str">
        <f t="array" aca="1" ref="U335" ca="1">IF(AND(R335="",T335=""),INDEX('Top 1500 HS LatitudeLongitude'!B$2:B$1501,MATCH(MIN(SQRT(('Top 1500 HS LatitudeLongitude'!H$2:H$1501-F335)^2+('Top 1500 HS LatitudeLongitude'!I$2:I$1501-G335)^2)),SQRT( ('Top 1500 HS LatitudeLongitude'!H$2:H$1501-F335)^2+('Top 1500 HS LatitudeLongitude'!I$2:I$1501-G335)^2),0),1),"")</f>
        <v/>
      </c>
    </row>
    <row r="336" spans="2:21" ht="15.6">
      <c r="B336" s="8">
        <v>0.55111462899999997</v>
      </c>
      <c r="C336" s="9" t="s">
        <v>148</v>
      </c>
      <c r="D336" s="9" t="s">
        <v>149</v>
      </c>
      <c r="E336" s="124" t="s">
        <v>150</v>
      </c>
      <c r="F336" s="8">
        <v>36.095999999999997</v>
      </c>
      <c r="G336" s="8">
        <v>-79.827500000000001</v>
      </c>
      <c r="H336" s="3" t="str">
        <f t="shared" si="0"/>
        <v>Atlanta</v>
      </c>
      <c r="I336" s="3" t="str">
        <f t="shared" si="1"/>
        <v>GA</v>
      </c>
      <c r="J336" s="3" t="str">
        <f t="array" ref="J336">INDEX('State Abbreviations'!$B$2:$B$52,MATCH(I336,'State Abbreviations'!$A$2:$A$52,0))</f>
        <v>Georgia</v>
      </c>
      <c r="K336" s="123" t="e">
        <f t="shared" ca="1" si="12"/>
        <v>#NAME?</v>
      </c>
      <c r="L336" s="13">
        <f t="shared" ca="1" si="13"/>
        <v>7</v>
      </c>
      <c r="M336" s="13" t="str">
        <f ca="1">IFERROR(__xludf.DUMMYFUNCTION("IF(L336=10,ArrayFormula(VLOOKUP(QUERY(UNIQUE(RANDBETWEEN(ROW(INDIRECT(""A1:A""&amp;COUNTA('Leaving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6" s="13">
        <f t="shared" ca="1" si="14"/>
        <v>2</v>
      </c>
      <c r="O336" s="13"/>
      <c r="P336" s="13"/>
      <c r="Q336" s="13" t="b">
        <f>ISNUMBER(MATCH("*"&amp;E336&amp;"*",'Top 1500 HS LatitudeLongitude'!G:G,0))</f>
        <v>1</v>
      </c>
      <c r="R336" s="13" t="str">
        <f ca="1">IFERROR(__xludf.DUMMYFUNCTION("IFS(L336=10,"""",Q336=false,"""",N336=5,"""",Q336=true,SORTN(FILTER('Top 1500 HS LatitudeLongitude'!B:B,'Top 1500 HS LatitudeLongitude'!C:C=I336,'Top 1500 HS LatitudeLongitude'!E:E=H336),1,0,randarray(COUNTA(FILTER('Top 1500 HS LatitudeLongitude'!B:B,'Top"&amp;" 1500 HS LatitudeLongitude'!C:C=I336,'Top 1500 HS LatitudeLongitude'!E:E=H336)),1),TRUE)
)"),"Therrell (Atlanta)")</f>
        <v>Therrell (Atlanta)</v>
      </c>
      <c r="S336" s="13" t="b">
        <f>ISNUMBER(MATCH("*"&amp;H:H&amp;"*",'Public Schools'!C:C,0))</f>
        <v>1</v>
      </c>
      <c r="T336" s="13" t="str">
        <f ca="1">IFERROR(__xludf.DUMMYFUNCTION("IFERROR(IF(AND(R336="""",S336=true), SORTN(FILTER('Public Schools'!A:A,'Public Schools'!B:B=J336,'Public Schools'!C:C=H336),1,0,randarray(COUNTA(FILTER('Public Schools'!A:A,'Public Schools'!B:B=J336,'Public Schools'!C:C=H336)),1),TRUE),""""),"""")"),"")</f>
        <v/>
      </c>
      <c r="U336" s="23" t="str">
        <f t="array" aca="1" ref="U336" ca="1">IF(AND(R336="",T336=""),INDEX('Top 1500 HS LatitudeLongitude'!B$2:B$1501,MATCH(MIN(SQRT(('Top 1500 HS LatitudeLongitude'!H$2:H$1501-F336)^2+('Top 1500 HS LatitudeLongitude'!I$2:I$1501-G336)^2)),SQRT( ('Top 1500 HS LatitudeLongitude'!H$2:H$1501-F336)^2+('Top 1500 HS LatitudeLongitude'!I$2:I$1501-G336)^2),0),1),"")</f>
        <v/>
      </c>
    </row>
    <row r="337" spans="2:21" ht="15.6">
      <c r="B337" s="8">
        <v>0.53968493179999999</v>
      </c>
      <c r="C337" s="9" t="s">
        <v>243</v>
      </c>
      <c r="D337" s="9" t="s">
        <v>533</v>
      </c>
      <c r="E337" s="37" t="s">
        <v>12480</v>
      </c>
      <c r="F337" s="8">
        <v>35.207999999999998</v>
      </c>
      <c r="G337" s="8">
        <v>-80.830799999999996</v>
      </c>
      <c r="H337" s="3" t="str">
        <f t="shared" si="0"/>
        <v>Tafton</v>
      </c>
      <c r="I337" s="3" t="str">
        <f t="shared" si="1"/>
        <v>PA</v>
      </c>
      <c r="J337" s="3" t="str">
        <f t="array" ref="J337">INDEX('State Abbreviations'!$B$2:$B$52,MATCH(I337,'State Abbreviations'!$A$2:$A$52,0))</f>
        <v>Pennsylvania</v>
      </c>
      <c r="K337" s="123" t="e">
        <f t="shared" ca="1" si="12"/>
        <v>#NAME?</v>
      </c>
      <c r="L337" s="13">
        <f t="shared" ca="1" si="13"/>
        <v>5</v>
      </c>
      <c r="M337" s="13" t="str">
        <f ca="1">IFERROR(__xludf.DUMMYFUNCTION("IF(L337=10,ArrayFormula(VLOOKUP(QUERY(UNIQUE(RANDBETWEEN(ROW(INDIRECT(""A1:A""&amp;COUNTA('Leaving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7" s="13">
        <f t="shared" ca="1" si="14"/>
        <v>4</v>
      </c>
      <c r="O337" s="13"/>
      <c r="P337" s="13"/>
      <c r="Q337" s="13" t="b">
        <f>ISNUMBER(MATCH("*"&amp;E337&amp;"*",'Top 1500 HS LatitudeLongitude'!G:G,0))</f>
        <v>0</v>
      </c>
      <c r="R337" s="13" t="str">
        <f ca="1">IFERROR(__xludf.DUMMYFUNCTION("IFS(L337=10,"""",Q337=false,"""",N337=5,"""",Q337=true,SORTN(FILTER('Top 1500 HS LatitudeLongitude'!B:B,'Top 1500 HS LatitudeLongitude'!C:C=I337,'Top 1500 HS LatitudeLongitude'!E:E=H337),1,0,randarray(COUNTA(FILTER('Top 1500 HS LatitudeLongitude'!B:B,'Top"&amp;" 1500 HS LatitudeLongitude'!C:C=I337,'Top 1500 HS LatitudeLongitude'!E:E=H337)),1),TRUE)
)"),"")</f>
        <v/>
      </c>
      <c r="S337" s="13" t="b">
        <f>ISNUMBER(MATCH("*"&amp;H:H&amp;"*",'Public Schools'!C:C,0))</f>
        <v>0</v>
      </c>
      <c r="T337" s="13" t="str">
        <f ca="1">IFERROR(__xludf.DUMMYFUNCTION("IFERROR(IF(AND(R337="""",S337=true), SORTN(FILTER('Public Schools'!A:A,'Public Schools'!B:B=J337,'Public Schools'!C:C=H337),1,0,randarray(COUNTA(FILTER('Public Schools'!A:A,'Public Schools'!B:B=J337,'Public Schools'!C:C=H337)),1),TRUE),""""),"""")"),"")</f>
        <v/>
      </c>
      <c r="U337" s="23" t="str">
        <f t="array" aca="1" ref="U337" ca="1">IF(AND(R337="",T337=""),INDEX('Top 1500 HS LatitudeLongitude'!B$2:B$1501,MATCH(MIN(SQRT(('Top 1500 HS LatitudeLongitude'!H$2:H$1501-F337)^2+('Top 1500 HS LatitudeLongitude'!I$2:I$1501-G337)^2)),SQRT( ('Top 1500 HS LatitudeLongitude'!H$2:H$1501-F337)^2+('Top 1500 HS LatitudeLongitude'!I$2:I$1501-G337)^2),0),1),"")</f>
        <v>Independence (Charlotte)</v>
      </c>
    </row>
    <row r="338" spans="2:21" ht="15.6">
      <c r="B338" s="8">
        <v>0.70400178980000006</v>
      </c>
      <c r="C338" s="9" t="s">
        <v>238</v>
      </c>
      <c r="D338" s="9" t="s">
        <v>534</v>
      </c>
      <c r="E338" s="124" t="s">
        <v>12505</v>
      </c>
      <c r="F338" s="8">
        <v>41.474400000000003</v>
      </c>
      <c r="G338" s="8">
        <v>-81.549599999999998</v>
      </c>
      <c r="H338" s="3" t="str">
        <f t="shared" si="0"/>
        <v>Rome</v>
      </c>
      <c r="I338" s="3" t="str">
        <f t="shared" si="1"/>
        <v>NY</v>
      </c>
      <c r="J338" s="3" t="str">
        <f t="array" ref="J338">INDEX('State Abbreviations'!$B$2:$B$52,MATCH(I338,'State Abbreviations'!$A$2:$A$52,0))</f>
        <v>New York</v>
      </c>
      <c r="K338" s="123" t="e">
        <f t="shared" ca="1" si="12"/>
        <v>#NAME?</v>
      </c>
      <c r="L338" s="13">
        <f t="shared" ca="1" si="13"/>
        <v>9</v>
      </c>
      <c r="M338" s="13" t="str">
        <f ca="1">IFERROR(__xludf.DUMMYFUNCTION("IF(L338=10,ArrayFormula(VLOOKUP(QUERY(UNIQUE(RANDBETWEEN(ROW(INDIRECT(""A1:A""&amp;COUNTA('Leaving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8" s="13">
        <f t="shared" ca="1" si="14"/>
        <v>2</v>
      </c>
      <c r="O338" s="13"/>
      <c r="P338" s="13"/>
      <c r="Q338" s="13" t="b">
        <f>ISNUMBER(MATCH("*"&amp;E338&amp;"*",'Top 1500 HS LatitudeLongitude'!G:G,0))</f>
        <v>0</v>
      </c>
      <c r="R338" s="13" t="str">
        <f ca="1">IFERROR(__xludf.DUMMYFUNCTION("IFS(L338=10,"""",Q338=false,"""",N338=5,"""",Q338=true,SORTN(FILTER('Top 1500 HS LatitudeLongitude'!B:B,'Top 1500 HS LatitudeLongitude'!C:C=I338,'Top 1500 HS LatitudeLongitude'!E:E=H338),1,0,randarray(COUNTA(FILTER('Top 1500 HS LatitudeLongitude'!B:B,'Top"&amp;" 1500 HS LatitudeLongitude'!C:C=I338,'Top 1500 HS LatitudeLongitude'!E:E=H338)),1),TRUE)
)"),"")</f>
        <v/>
      </c>
      <c r="S338" s="13" t="b">
        <f>ISNUMBER(MATCH("*"&amp;H:H&amp;"*",'Public Schools'!C:C,0))</f>
        <v>1</v>
      </c>
      <c r="T338" s="13" t="str">
        <f ca="1">IFERROR(__xludf.DUMMYFUNCTION("IFERROR(IF(AND(R338="""",S338=true), SORTN(FILTER('Public Schools'!A:A,'Public Schools'!B:B=J338,'Public Schools'!C:C=H338),1,0,randarray(COUNTA(FILTER('Public Schools'!A:A,'Public Schools'!B:B=J338,'Public Schools'!C:C=H338)),1),TRUE),""""),"""")"),"Rome Free Academy")</f>
        <v>Rome Free Academy</v>
      </c>
      <c r="U338" s="23" t="str">
        <f t="array" aca="1" ref="U338" ca="1">IF(AND(R338="",T338=""),INDEX('Top 1500 HS LatitudeLongitude'!B$2:B$1501,MATCH(MIN(SQRT(('Top 1500 HS LatitudeLongitude'!H$2:H$1501-F338)^2+('Top 1500 HS LatitudeLongitude'!I$2:I$1501-G338)^2)),SQRT( ('Top 1500 HS LatitudeLongitude'!H$2:H$1501-F338)^2+('Top 1500 HS LatitudeLongitude'!I$2:I$1501-G338)^2),0),1),"")</f>
        <v/>
      </c>
    </row>
    <row r="339" spans="2:21" ht="15.6">
      <c r="B339" s="8">
        <v>0.37807973919999999</v>
      </c>
      <c r="C339" s="9" t="s">
        <v>228</v>
      </c>
      <c r="D339" s="9" t="s">
        <v>535</v>
      </c>
      <c r="E339" s="37" t="s">
        <v>12521</v>
      </c>
      <c r="F339" s="8">
        <v>38.042299999999997</v>
      </c>
      <c r="G339" s="8">
        <v>-84.458699999999993</v>
      </c>
      <c r="H339" s="3" t="str">
        <f t="shared" si="0"/>
        <v>Hydes</v>
      </c>
      <c r="I339" s="3" t="str">
        <f t="shared" si="1"/>
        <v>MD</v>
      </c>
      <c r="J339" s="3" t="str">
        <f t="array" ref="J339">INDEX('State Abbreviations'!$B$2:$B$52,MATCH(I339,'State Abbreviations'!$A$2:$A$52,0))</f>
        <v>Maryland</v>
      </c>
      <c r="K339" s="123" t="e">
        <f t="shared" ca="1" si="12"/>
        <v>#NAME?</v>
      </c>
      <c r="L339" s="13">
        <f t="shared" ca="1" si="13"/>
        <v>3</v>
      </c>
      <c r="M339" s="13" t="str">
        <f ca="1">IFERROR(__xludf.DUMMYFUNCTION("IF(L339=10,ArrayFormula(VLOOKUP(QUERY(UNIQUE(RANDBETWEEN(ROW(INDIRECT(""A1:A""&amp;COUNTA('Leaving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39" s="13">
        <f t="shared" ca="1" si="14"/>
        <v>2</v>
      </c>
      <c r="O339" s="13"/>
      <c r="P339" s="13"/>
      <c r="Q339" s="13" t="b">
        <f>ISNUMBER(MATCH("*"&amp;E339&amp;"*",'Top 1500 HS LatitudeLongitude'!G:G,0))</f>
        <v>0</v>
      </c>
      <c r="R339" s="13" t="str">
        <f ca="1">IFERROR(__xludf.DUMMYFUNCTION("IFS(L339=10,"""",Q339=false,"""",N339=5,"""",Q339=true,SORTN(FILTER('Top 1500 HS LatitudeLongitude'!B:B,'Top 1500 HS LatitudeLongitude'!C:C=I339,'Top 1500 HS LatitudeLongitude'!E:E=H339),1,0,randarray(COUNTA(FILTER('Top 1500 HS LatitudeLongitude'!B:B,'Top"&amp;" 1500 HS LatitudeLongitude'!C:C=I339,'Top 1500 HS LatitudeLongitude'!E:E=H339)),1),TRUE)
)"),"")</f>
        <v/>
      </c>
      <c r="S339" s="13" t="b">
        <f>ISNUMBER(MATCH("*"&amp;H:H&amp;"*",'Public Schools'!C:C,0))</f>
        <v>0</v>
      </c>
      <c r="T339" s="13" t="str">
        <f ca="1">IFERROR(__xludf.DUMMYFUNCTION("IFERROR(IF(AND(R339="""",S339=true), SORTN(FILTER('Public Schools'!A:A,'Public Schools'!B:B=J339,'Public Schools'!C:C=H339),1,0,randarray(COUNTA(FILTER('Public Schools'!A:A,'Public Schools'!B:B=J339,'Public Schools'!C:C=H339)),1),TRUE),""""),"""")"),"")</f>
        <v/>
      </c>
      <c r="U339" s="23" t="str">
        <f t="array" aca="1" ref="U339" ca="1">IF(AND(R339="",T339=""),INDEX('Top 1500 HS LatitudeLongitude'!B$2:B$1501,MATCH(MIN(SQRT(('Top 1500 HS LatitudeLongitude'!H$2:H$1501-F339)^2+('Top 1500 HS LatitudeLongitude'!I$2:I$1501-G339)^2)),SQRT( ('Top 1500 HS LatitudeLongitude'!H$2:H$1501-F339)^2+('Top 1500 HS LatitudeLongitude'!I$2:I$1501-G339)^2),0),1),"")</f>
        <v>Henry Clay (Lexington)</v>
      </c>
    </row>
    <row r="340" spans="2:21" ht="15.6">
      <c r="B340" s="8">
        <v>0.66833083329999998</v>
      </c>
      <c r="C340" s="9" t="s">
        <v>235</v>
      </c>
      <c r="D340" s="9" t="s">
        <v>536</v>
      </c>
      <c r="E340" s="124" t="s">
        <v>12556</v>
      </c>
      <c r="F340" s="8">
        <v>40.850099999999998</v>
      </c>
      <c r="G340" s="8">
        <v>-73.866200000000006</v>
      </c>
      <c r="H340" s="3" t="str">
        <f t="shared" si="0"/>
        <v>Harvey</v>
      </c>
      <c r="I340" s="3" t="str">
        <f t="shared" si="1"/>
        <v>LA</v>
      </c>
      <c r="J340" s="3" t="str">
        <f t="array" ref="J340">INDEX('State Abbreviations'!$B$2:$B$52,MATCH(I340,'State Abbreviations'!$A$2:$A$52,0))</f>
        <v>Louisiana</v>
      </c>
      <c r="K340" s="123" t="e">
        <f t="shared" ca="1" si="12"/>
        <v>#NAME?</v>
      </c>
      <c r="L340" s="13">
        <f t="shared" ca="1" si="13"/>
        <v>7</v>
      </c>
      <c r="M340" s="13" t="str">
        <f ca="1">IFERROR(__xludf.DUMMYFUNCTION("IF(L340=10,ArrayFormula(VLOOKUP(QUERY(UNIQUE(RANDBETWEEN(ROW(INDIRECT(""A1:A""&amp;COUNTA('Leaving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0" s="13">
        <f t="shared" ca="1" si="14"/>
        <v>4</v>
      </c>
      <c r="O340" s="13"/>
      <c r="P340" s="13"/>
      <c r="Q340" s="13" t="b">
        <f>ISNUMBER(MATCH("*"&amp;E340&amp;"*",'Top 1500 HS LatitudeLongitude'!G:G,0))</f>
        <v>0</v>
      </c>
      <c r="R340" s="13" t="str">
        <f ca="1">IFERROR(__xludf.DUMMYFUNCTION("IFS(L340=10,"""",Q340=false,"""",N340=5,"""",Q340=true,SORTN(FILTER('Top 1500 HS LatitudeLongitude'!B:B,'Top 1500 HS LatitudeLongitude'!C:C=I340,'Top 1500 HS LatitudeLongitude'!E:E=H340),1,0,randarray(COUNTA(FILTER('Top 1500 HS LatitudeLongitude'!B:B,'Top"&amp;" 1500 HS LatitudeLongitude'!C:C=I340,'Top 1500 HS LatitudeLongitude'!E:E=H340)),1),TRUE)
)"),"")</f>
        <v/>
      </c>
      <c r="S340" s="13" t="b">
        <f>ISNUMBER(MATCH("*"&amp;H:H&amp;"*",'Public Schools'!C:C,0))</f>
        <v>1</v>
      </c>
      <c r="T340" s="13" t="str">
        <f ca="1">IFERROR(__xludf.DUMMYFUNCTION("IFERROR(IF(AND(R340="""",S340=true), SORTN(FILTER('Public Schools'!A:A,'Public Schools'!B:B=J340,'Public Schools'!C:C=H340),1,0,randarray(COUNTA(FILTER('Public Schools'!A:A,'Public Schools'!B:B=J340,'Public Schools'!C:C=H340)),1),TRUE),""""),"""")"),"West Jefferson High School")</f>
        <v>West Jefferson High School</v>
      </c>
      <c r="U340" s="23" t="str">
        <f t="array" aca="1" ref="U340" ca="1">IF(AND(R340="",T340=""),INDEX('Top 1500 HS LatitudeLongitude'!B$2:B$1501,MATCH(MIN(SQRT(('Top 1500 HS LatitudeLongitude'!H$2:H$1501-F340)^2+('Top 1500 HS LatitudeLongitude'!I$2:I$1501-G340)^2)),SQRT( ('Top 1500 HS LatitudeLongitude'!H$2:H$1501-F340)^2+('Top 1500 HS LatitudeLongitude'!I$2:I$1501-G340)^2),0),1),"")</f>
        <v/>
      </c>
    </row>
    <row r="341" spans="2:21" ht="15.6">
      <c r="B341" s="8">
        <v>0.4886958206</v>
      </c>
      <c r="C341" s="9" t="s">
        <v>316</v>
      </c>
      <c r="D341" s="9" t="s">
        <v>537</v>
      </c>
      <c r="E341" s="37" t="s">
        <v>12598</v>
      </c>
      <c r="F341" s="8">
        <v>42.977200000000003</v>
      </c>
      <c r="G341" s="8">
        <v>-85.072500000000005</v>
      </c>
      <c r="H341" s="3" t="str">
        <f t="shared" si="0"/>
        <v>Spanish Fork</v>
      </c>
      <c r="I341" s="3" t="str">
        <f t="shared" si="1"/>
        <v>UT</v>
      </c>
      <c r="J341" s="3" t="str">
        <f t="array" ref="J341">INDEX('State Abbreviations'!$B$2:$B$52,MATCH(I341,'State Abbreviations'!$A$2:$A$52,0))</f>
        <v>Utah</v>
      </c>
      <c r="K341" s="123" t="e">
        <f t="shared" ca="1" si="12"/>
        <v>#NAME?</v>
      </c>
      <c r="L341" s="13">
        <f t="shared" ca="1" si="13"/>
        <v>8</v>
      </c>
      <c r="M341" s="13" t="str">
        <f ca="1">IFERROR(__xludf.DUMMYFUNCTION("IF(L341=10,ArrayFormula(VLOOKUP(QUERY(UNIQUE(RANDBETWEEN(ROW(INDIRECT(""A1:A""&amp;COUNTA('Leaving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1" s="13">
        <f t="shared" ca="1" si="14"/>
        <v>4</v>
      </c>
      <c r="O341" s="13"/>
      <c r="P341" s="13"/>
      <c r="Q341" s="13" t="b">
        <f>ISNUMBER(MATCH("*"&amp;E341&amp;"*",'Top 1500 HS LatitudeLongitude'!G:G,0))</f>
        <v>1</v>
      </c>
      <c r="R341" s="13" t="str">
        <f ca="1">IFERROR(__xludf.DUMMYFUNCTION("IFS(L341=10,"""",Q341=false,"""",N341=5,"""",Q341=true,SORTN(FILTER('Top 1500 HS LatitudeLongitude'!B:B,'Top 1500 HS LatitudeLongitude'!C:C=I341,'Top 1500 HS LatitudeLongitude'!E:E=H341),1,0,randarray(COUNTA(FILTER('Top 1500 HS LatitudeLongitude'!B:B,'Top"&amp;" 1500 HS LatitudeLongitude'!C:C=I341,'Top 1500 HS LatitudeLongitude'!E:E=H341)),1),TRUE)
)"),"Maple Mountain (Spanish Fork)")</f>
        <v>Maple Mountain (Spanish Fork)</v>
      </c>
      <c r="S341" s="13" t="b">
        <f>ISNUMBER(MATCH("*"&amp;H:H&amp;"*",'Public Schools'!C:C,0))</f>
        <v>1</v>
      </c>
      <c r="T341" s="13" t="str">
        <f ca="1">IFERROR(__xludf.DUMMYFUNCTION("IFERROR(IF(AND(R341="""",S341=true), SORTN(FILTER('Public Schools'!A:A,'Public Schools'!B:B=J341,'Public Schools'!C:C=H341),1,0,randarray(COUNTA(FILTER('Public Schools'!A:A,'Public Schools'!B:B=J341,'Public Schools'!C:C=H341)),1),TRUE),""""),"""")"),"")</f>
        <v/>
      </c>
      <c r="U341" s="23" t="str">
        <f t="array" aca="1" ref="U341" ca="1">IF(AND(R341="",T341=""),INDEX('Top 1500 HS LatitudeLongitude'!B$2:B$1501,MATCH(MIN(SQRT(('Top 1500 HS LatitudeLongitude'!H$2:H$1501-F341)^2+('Top 1500 HS LatitudeLongitude'!I$2:I$1501-G341)^2)),SQRT( ('Top 1500 HS LatitudeLongitude'!H$2:H$1501-F341)^2+('Top 1500 HS LatitudeLongitude'!I$2:I$1501-G341)^2),0),1),"")</f>
        <v/>
      </c>
    </row>
    <row r="342" spans="2:21" ht="15.6">
      <c r="B342" s="8">
        <v>0.79141010249999999</v>
      </c>
      <c r="C342" s="9" t="s">
        <v>431</v>
      </c>
      <c r="D342" s="9" t="s">
        <v>432</v>
      </c>
      <c r="E342" s="124" t="s">
        <v>8248</v>
      </c>
      <c r="F342" s="8">
        <v>43.387</v>
      </c>
      <c r="G342" s="8">
        <v>-98.843599999999995</v>
      </c>
      <c r="H342" s="3" t="str">
        <f t="shared" si="0"/>
        <v>Honolulu</v>
      </c>
      <c r="I342" s="3" t="str">
        <f t="shared" si="1"/>
        <v>HI</v>
      </c>
      <c r="J342" s="3" t="str">
        <f t="array" ref="J342">INDEX('State Abbreviations'!$B$2:$B$52,MATCH(I342,'State Abbreviations'!$A$2:$A$52,0))</f>
        <v>Hawaii</v>
      </c>
      <c r="K342" s="123" t="e">
        <f t="shared" ca="1" si="12"/>
        <v>#NAME?</v>
      </c>
      <c r="L342" s="13">
        <f t="shared" ca="1" si="13"/>
        <v>5</v>
      </c>
      <c r="M342" s="13" t="str">
        <f ca="1">IFERROR(__xludf.DUMMYFUNCTION("IF(L342=10,ArrayFormula(VLOOKUP(QUERY(UNIQUE(RANDBETWEEN(ROW(INDIRECT(""A1:A""&amp;COUNTA('Leaving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2" s="13">
        <f t="shared" ca="1" si="14"/>
        <v>1</v>
      </c>
      <c r="O342" s="13"/>
      <c r="P342" s="13"/>
      <c r="Q342" s="13" t="b">
        <f>ISNUMBER(MATCH("*"&amp;E342&amp;"*",'Top 1500 HS LatitudeLongitude'!G:G,0))</f>
        <v>1</v>
      </c>
      <c r="R342" s="13" t="str">
        <f ca="1">IFERROR(__xludf.DUMMYFUNCTION("IFS(L342=10,"""",Q342=false,"""",N342=5,"""",Q342=true,SORTN(FILTER('Top 1500 HS LatitudeLongitude'!B:B,'Top 1500 HS LatitudeLongitude'!C:C=I342,'Top 1500 HS LatitudeLongitude'!E:E=H342),1,0,randarray(COUNTA(FILTER('Top 1500 HS LatitudeLongitude'!B:B,'Top"&amp;" 1500 HS LatitudeLongitude'!C:C=I342,'Top 1500 HS LatitudeLongitude'!E:E=H342)),1),TRUE)
)"),"Kamehameha Kapalama (Honolulu)")</f>
        <v>Kamehameha Kapalama (Honolulu)</v>
      </c>
      <c r="S342" s="13" t="b">
        <f>ISNUMBER(MATCH("*"&amp;H:H&amp;"*",'Public Schools'!C:C,0))</f>
        <v>1</v>
      </c>
      <c r="T342" s="13" t="str">
        <f ca="1">IFERROR(__xludf.DUMMYFUNCTION("IFERROR(IF(AND(R342="""",S342=true), SORTN(FILTER('Public Schools'!A:A,'Public Schools'!B:B=J342,'Public Schools'!C:C=H342),1,0,randarray(COUNTA(FILTER('Public Schools'!A:A,'Public Schools'!B:B=J342,'Public Schools'!C:C=H342)),1),TRUE),""""),"""")"),"")</f>
        <v/>
      </c>
      <c r="U342" s="23" t="str">
        <f t="array" aca="1" ref="U342" ca="1">IF(AND(R342="",T342=""),INDEX('Top 1500 HS LatitudeLongitude'!B$2:B$1501,MATCH(MIN(SQRT(('Top 1500 HS LatitudeLongitude'!H$2:H$1501-F342)^2+('Top 1500 HS LatitudeLongitude'!I$2:I$1501-G342)^2)),SQRT( ('Top 1500 HS LatitudeLongitude'!H$2:H$1501-F342)^2+('Top 1500 HS LatitudeLongitude'!I$2:I$1501-G342)^2),0),1),"")</f>
        <v/>
      </c>
    </row>
    <row r="343" spans="2:21" ht="15.6">
      <c r="B343" s="8">
        <v>0.92141430319999995</v>
      </c>
      <c r="C343" s="9" t="s">
        <v>114</v>
      </c>
      <c r="D343" s="9" t="s">
        <v>538</v>
      </c>
      <c r="E343" s="37" t="s">
        <v>12657</v>
      </c>
      <c r="F343" s="8">
        <v>40.872199999999999</v>
      </c>
      <c r="G343" s="8">
        <v>-111.8647</v>
      </c>
      <c r="H343" s="3" t="str">
        <f t="shared" si="0"/>
        <v>West Palm Beach</v>
      </c>
      <c r="I343" s="3" t="str">
        <f t="shared" si="1"/>
        <v>FL</v>
      </c>
      <c r="J343" s="3" t="str">
        <f t="array" ref="J343">INDEX('State Abbreviations'!$B$2:$B$52,MATCH(I343,'State Abbreviations'!$A$2:$A$52,0))</f>
        <v>Florida</v>
      </c>
      <c r="K343" s="123" t="e">
        <f t="shared" ca="1" si="12"/>
        <v>#NAME?</v>
      </c>
      <c r="L343" s="13">
        <f t="shared" ca="1" si="13"/>
        <v>9</v>
      </c>
      <c r="M343" s="13" t="str">
        <f ca="1">IFERROR(__xludf.DUMMYFUNCTION("IF(L343=10,ArrayFormula(VLOOKUP(QUERY(UNIQUE(RANDBETWEEN(ROW(INDIRECT(""A1:A""&amp;COUNTA('Leaving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3" s="13">
        <f t="shared" ca="1" si="14"/>
        <v>4</v>
      </c>
      <c r="O343" s="13"/>
      <c r="P343" s="13"/>
      <c r="Q343" s="13" t="b">
        <f>ISNUMBER(MATCH("*"&amp;E343&amp;"*",'Top 1500 HS LatitudeLongitude'!G:G,0))</f>
        <v>1</v>
      </c>
      <c r="R343" s="13" t="str">
        <f ca="1">IFERROR(__xludf.DUMMYFUNCTION("IFS(L343=10,"""",Q343=false,"""",N343=5,"""",Q343=true,SORTN(FILTER('Top 1500 HS LatitudeLongitude'!B:B,'Top 1500 HS LatitudeLongitude'!C:C=I343,'Top 1500 HS LatitudeLongitude'!E:E=H343),1,0,randarray(COUNTA(FILTER('Top 1500 HS LatitudeLongitude'!B:B,'Top"&amp;" 1500 HS LatitudeLongitude'!C:C=I343,'Top 1500 HS LatitudeLongitude'!E:E=H343)),1),TRUE)
)"),"Forest Hill (West Palm Beach)")</f>
        <v>Forest Hill (West Palm Beach)</v>
      </c>
      <c r="S343" s="13" t="b">
        <f>ISNUMBER(MATCH("*"&amp;H:H&amp;"*",'Public Schools'!C:C,0))</f>
        <v>1</v>
      </c>
      <c r="T343" s="13" t="str">
        <f ca="1">IFERROR(__xludf.DUMMYFUNCTION("IFERROR(IF(AND(R343="""",S343=true), SORTN(FILTER('Public Schools'!A:A,'Public Schools'!B:B=J343,'Public Schools'!C:C=H343),1,0,randarray(COUNTA(FILTER('Public Schools'!A:A,'Public Schools'!B:B=J343,'Public Schools'!C:C=H343)),1),TRUE),""""),"""")"),"")</f>
        <v/>
      </c>
      <c r="U343" s="23" t="str">
        <f t="array" aca="1" ref="U343" ca="1">IF(AND(R343="",T343=""),INDEX('Top 1500 HS LatitudeLongitude'!B$2:B$1501,MATCH(MIN(SQRT(('Top 1500 HS LatitudeLongitude'!H$2:H$1501-F343)^2+('Top 1500 HS LatitudeLongitude'!I$2:I$1501-G343)^2)),SQRT( ('Top 1500 HS LatitudeLongitude'!H$2:H$1501-F343)^2+('Top 1500 HS LatitudeLongitude'!I$2:I$1501-G343)^2),0),1),"")</f>
        <v/>
      </c>
    </row>
    <row r="344" spans="2:21" ht="15.6">
      <c r="B344" s="8">
        <v>0.75354308930000002</v>
      </c>
      <c r="C344" s="9" t="s">
        <v>243</v>
      </c>
      <c r="D344" s="9" t="s">
        <v>539</v>
      </c>
      <c r="E344" s="124" t="s">
        <v>158</v>
      </c>
      <c r="F344" s="8">
        <v>40.508400000000002</v>
      </c>
      <c r="G344" s="8">
        <v>-78.400999999999996</v>
      </c>
      <c r="H344" s="3" t="str">
        <f t="shared" si="0"/>
        <v>Philadelphia</v>
      </c>
      <c r="I344" s="3" t="str">
        <f t="shared" si="1"/>
        <v>PA</v>
      </c>
      <c r="J344" s="3" t="str">
        <f t="array" ref="J344">INDEX('State Abbreviations'!$B$2:$B$52,MATCH(I344,'State Abbreviations'!$A$2:$A$52,0))</f>
        <v>Pennsylvania</v>
      </c>
      <c r="K344" s="123" t="e">
        <f t="shared" ca="1" si="12"/>
        <v>#NAME?</v>
      </c>
      <c r="L344" s="13">
        <f t="shared" ca="1" si="13"/>
        <v>3</v>
      </c>
      <c r="M344" s="13" t="str">
        <f ca="1">IFERROR(__xludf.DUMMYFUNCTION("IF(L344=10,ArrayFormula(VLOOKUP(QUERY(UNIQUE(RANDBETWEEN(ROW(INDIRECT(""A1:A""&amp;COUNTA('Leaving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4" s="13">
        <f t="shared" ca="1" si="14"/>
        <v>4</v>
      </c>
      <c r="O344" s="13"/>
      <c r="P344" s="13"/>
      <c r="Q344" s="13" t="b">
        <f>ISNUMBER(MATCH("*"&amp;E344&amp;"*",'Top 1500 HS LatitudeLongitude'!G:G,0))</f>
        <v>1</v>
      </c>
      <c r="R344" s="13" t="str">
        <f ca="1">IFERROR(__xludf.DUMMYFUNCTION("IFS(L344=10,"""",Q344=false,"""",N344=5,"""",Q344=true,SORTN(FILTER('Top 1500 HS LatitudeLongitude'!B:B,'Top 1500 HS LatitudeLongitude'!C:C=I344,'Top 1500 HS LatitudeLongitude'!E:E=H344),1,0,randarray(COUNTA(FILTER('Top 1500 HS LatitudeLongitude'!B:B,'Top"&amp;" 1500 HS LatitudeLongitude'!C:C=I344,'Top 1500 HS LatitudeLongitude'!E:E=H344)),1),TRUE)
)"),"Imhotep Charter (Philadelphia)")</f>
        <v>Imhotep Charter (Philadelphia)</v>
      </c>
      <c r="S344" s="13" t="b">
        <f>ISNUMBER(MATCH("*"&amp;H:H&amp;"*",'Public Schools'!C:C,0))</f>
        <v>1</v>
      </c>
      <c r="T344" s="13" t="str">
        <f ca="1">IFERROR(__xludf.DUMMYFUNCTION("IFERROR(IF(AND(R344="""",S344=true), SORTN(FILTER('Public Schools'!A:A,'Public Schools'!B:B=J344,'Public Schools'!C:C=H344),1,0,randarray(COUNTA(FILTER('Public Schools'!A:A,'Public Schools'!B:B=J344,'Public Schools'!C:C=H344)),1),TRUE),""""),"""")"),"")</f>
        <v/>
      </c>
      <c r="U344" s="23" t="str">
        <f t="array" aca="1" ref="U344" ca="1">IF(AND(R344="",T344=""),INDEX('Top 1500 HS LatitudeLongitude'!B$2:B$1501,MATCH(MIN(SQRT(('Top 1500 HS LatitudeLongitude'!H$2:H$1501-F344)^2+('Top 1500 HS LatitudeLongitude'!I$2:I$1501-G344)^2)),SQRT( ('Top 1500 HS LatitudeLongitude'!H$2:H$1501-F344)^2+('Top 1500 HS LatitudeLongitude'!I$2:I$1501-G344)^2),0),1),"")</f>
        <v/>
      </c>
    </row>
    <row r="345" spans="2:21" ht="15.6">
      <c r="B345" s="8">
        <v>0.93233672950000002</v>
      </c>
      <c r="C345" s="9" t="s">
        <v>114</v>
      </c>
      <c r="D345" s="9" t="s">
        <v>540</v>
      </c>
      <c r="E345" s="37" t="s">
        <v>12724</v>
      </c>
      <c r="F345" s="8">
        <v>37.529400000000003</v>
      </c>
      <c r="G345" s="8">
        <v>-77.475499999999997</v>
      </c>
      <c r="H345" s="3" t="str">
        <f t="shared" si="0"/>
        <v>Cocoa</v>
      </c>
      <c r="I345" s="3" t="str">
        <f t="shared" si="1"/>
        <v>FL</v>
      </c>
      <c r="J345" s="3" t="str">
        <f t="array" ref="J345">INDEX('State Abbreviations'!$B$2:$B$52,MATCH(I345,'State Abbreviations'!$A$2:$A$52,0))</f>
        <v>Florida</v>
      </c>
      <c r="K345" s="123" t="e">
        <f t="shared" ca="1" si="12"/>
        <v>#NAME?</v>
      </c>
      <c r="L345" s="13">
        <f t="shared" ca="1" si="13"/>
        <v>2</v>
      </c>
      <c r="M345" s="13" t="str">
        <f ca="1">IFERROR(__xludf.DUMMYFUNCTION("IF(L345=10,ArrayFormula(VLOOKUP(QUERY(UNIQUE(RANDBETWEEN(ROW(INDIRECT(""A1:A""&amp;COUNTA('Leaving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5" s="13">
        <f t="shared" ca="1" si="14"/>
        <v>4</v>
      </c>
      <c r="O345" s="13"/>
      <c r="P345" s="13"/>
      <c r="Q345" s="13" t="b">
        <f>ISNUMBER(MATCH("*"&amp;E345&amp;"*",'Top 1500 HS LatitudeLongitude'!G:G,0))</f>
        <v>0</v>
      </c>
      <c r="R345" s="13" t="str">
        <f ca="1">IFERROR(__xludf.DUMMYFUNCTION("IFS(L345=10,"""",Q345=false,"""",N345=5,"""",Q345=true,SORTN(FILTER('Top 1500 HS LatitudeLongitude'!B:B,'Top 1500 HS LatitudeLongitude'!C:C=I345,'Top 1500 HS LatitudeLongitude'!E:E=H345),1,0,randarray(COUNTA(FILTER('Top 1500 HS LatitudeLongitude'!B:B,'Top"&amp;" 1500 HS LatitudeLongitude'!C:C=I345,'Top 1500 HS LatitudeLongitude'!E:E=H345)),1),TRUE)
)"),"")</f>
        <v/>
      </c>
      <c r="S345" s="13" t="b">
        <f>ISNUMBER(MATCH("*"&amp;H:H&amp;"*",'Public Schools'!C:C,0))</f>
        <v>1</v>
      </c>
      <c r="T345" s="13" t="str">
        <f ca="1">IFERROR(__xludf.DUMMYFUNCTION("IFERROR(IF(AND(R345="""",S345=true), SORTN(FILTER('Public Schools'!A:A,'Public Schools'!B:B=J345,'Public Schools'!C:C=H345),1,0,randarray(COUNTA(FILTER('Public Schools'!A:A,'Public Schools'!B:B=J345,'Public Schools'!C:C=H345)),1),TRUE),""""),"""")"),"Cocoa High School")</f>
        <v>Cocoa High School</v>
      </c>
      <c r="U345" s="23" t="str">
        <f t="array" aca="1" ref="U345" ca="1">IF(AND(R345="",T345=""),INDEX('Top 1500 HS LatitudeLongitude'!B$2:B$1501,MATCH(MIN(SQRT(('Top 1500 HS LatitudeLongitude'!H$2:H$1501-F345)^2+('Top 1500 HS LatitudeLongitude'!I$2:I$1501-G345)^2)),SQRT( ('Top 1500 HS LatitudeLongitude'!H$2:H$1501-F345)^2+('Top 1500 HS LatitudeLongitude'!I$2:I$1501-G345)^2),0),1),"")</f>
        <v/>
      </c>
    </row>
    <row r="346" spans="2:21" ht="15.6">
      <c r="B346" s="8">
        <v>0.30075916139999997</v>
      </c>
      <c r="C346" s="9" t="s">
        <v>206</v>
      </c>
      <c r="D346" s="9" t="s">
        <v>368</v>
      </c>
      <c r="E346" s="124" t="s">
        <v>5012</v>
      </c>
      <c r="F346" s="8">
        <v>37.721899999999998</v>
      </c>
      <c r="G346" s="8">
        <v>-89.223699999999994</v>
      </c>
      <c r="H346" s="3" t="str">
        <f t="shared" si="0"/>
        <v>Houston</v>
      </c>
      <c r="I346" s="3" t="str">
        <f t="shared" si="1"/>
        <v>TX</v>
      </c>
      <c r="J346" s="3" t="str">
        <f t="array" ref="J346">INDEX('State Abbreviations'!$B$2:$B$52,MATCH(I346,'State Abbreviations'!$A$2:$A$52,0))</f>
        <v>Texas</v>
      </c>
      <c r="K346" s="123" t="e">
        <f t="shared" ca="1" si="12"/>
        <v>#NAME?</v>
      </c>
      <c r="L346" s="13">
        <f t="shared" ca="1" si="13"/>
        <v>2</v>
      </c>
      <c r="M346" s="13" t="str">
        <f ca="1">IFERROR(__xludf.DUMMYFUNCTION("IF(L346=10,ArrayFormula(VLOOKUP(QUERY(UNIQUE(RANDBETWEEN(ROW(INDIRECT(""A1:A""&amp;COUNTA('Leaving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6" s="13">
        <f t="shared" ca="1" si="14"/>
        <v>3</v>
      </c>
      <c r="O346" s="13"/>
      <c r="P346" s="13"/>
      <c r="Q346" s="13" t="b">
        <f>ISNUMBER(MATCH("*"&amp;E346&amp;"*",'Top 1500 HS LatitudeLongitude'!G:G,0))</f>
        <v>1</v>
      </c>
      <c r="R346" s="13" t="str">
        <f ca="1">IFERROR(__xludf.DUMMYFUNCTION("IFS(L346=10,"""",Q346=false,"""",N346=5,"""",Q346=true,SORTN(FILTER('Top 1500 HS LatitudeLongitude'!B:B,'Top 1500 HS LatitudeLongitude'!C:C=I346,'Top 1500 HS LatitudeLongitude'!E:E=H346),1,0,randarray(COUNTA(FILTER('Top 1500 HS LatitudeLongitude'!B:B,'Top"&amp;" 1500 HS LatitudeLongitude'!C:C=I346,'Top 1500 HS LatitudeLongitude'!E:E=H346)),1),TRUE)
)"),"Westfield (Houston)")</f>
        <v>Westfield (Houston)</v>
      </c>
      <c r="S346" s="13" t="b">
        <f>ISNUMBER(MATCH("*"&amp;H:H&amp;"*",'Public Schools'!C:C,0))</f>
        <v>1</v>
      </c>
      <c r="T346" s="13" t="str">
        <f ca="1">IFERROR(__xludf.DUMMYFUNCTION("IFERROR(IF(AND(R346="""",S346=true), SORTN(FILTER('Public Schools'!A:A,'Public Schools'!B:B=J346,'Public Schools'!C:C=H346),1,0,randarray(COUNTA(FILTER('Public Schools'!A:A,'Public Schools'!B:B=J346,'Public Schools'!C:C=H346)),1),TRUE),""""),"""")"),"")</f>
        <v/>
      </c>
      <c r="U346" s="23" t="str">
        <f t="array" aca="1" ref="U346" ca="1">IF(AND(R346="",T346=""),INDEX('Top 1500 HS LatitudeLongitude'!B$2:B$1501,MATCH(MIN(SQRT(('Top 1500 HS LatitudeLongitude'!H$2:H$1501-F346)^2+('Top 1500 HS LatitudeLongitude'!I$2:I$1501-G346)^2)),SQRT( ('Top 1500 HS LatitudeLongitude'!H$2:H$1501-F346)^2+('Top 1500 HS LatitudeLongitude'!I$2:I$1501-G346)^2),0),1),"")</f>
        <v/>
      </c>
    </row>
    <row r="347" spans="2:21" ht="15.6">
      <c r="B347" s="8">
        <v>0.88129723650000003</v>
      </c>
      <c r="C347" s="9" t="s">
        <v>94</v>
      </c>
      <c r="D347" s="9" t="s">
        <v>127</v>
      </c>
      <c r="E347" s="37" t="s">
        <v>128</v>
      </c>
      <c r="F347" s="8">
        <v>32.971699999999998</v>
      </c>
      <c r="G347" s="8">
        <v>-96.709199999999996</v>
      </c>
      <c r="H347" s="3" t="str">
        <f t="shared" si="0"/>
        <v>Cleveland</v>
      </c>
      <c r="I347" s="3" t="str">
        <f t="shared" si="1"/>
        <v>OH</v>
      </c>
      <c r="J347" s="3" t="str">
        <f t="array" ref="J347">INDEX('State Abbreviations'!$B$2:$B$52,MATCH(I347,'State Abbreviations'!$A$2:$A$52,0))</f>
        <v>Ohio</v>
      </c>
      <c r="K347" s="123" t="e">
        <f t="shared" ca="1" si="12"/>
        <v>#NAME?</v>
      </c>
      <c r="L347" s="13">
        <f t="shared" ca="1" si="13"/>
        <v>6</v>
      </c>
      <c r="M347" s="13" t="str">
        <f ca="1">IFERROR(__xludf.DUMMYFUNCTION("IF(L347=10,ArrayFormula(VLOOKUP(QUERY(UNIQUE(RANDBETWEEN(ROW(INDIRECT(""A1:A""&amp;COUNTA('Leaving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7" s="13">
        <f t="shared" ca="1" si="14"/>
        <v>3</v>
      </c>
      <c r="O347" s="13"/>
      <c r="P347" s="13"/>
      <c r="Q347" s="13" t="b">
        <f>ISNUMBER(MATCH("*"&amp;E347&amp;"*",'Top 1500 HS LatitudeLongitude'!G:G,0))</f>
        <v>1</v>
      </c>
      <c r="R347" s="13" t="str">
        <f ca="1">IFERROR(__xludf.DUMMYFUNCTION("IFS(L347=10,"""",Q347=false,"""",N347=5,"""",Q347=true,SORTN(FILTER('Top 1500 HS LatitudeLongitude'!B:B,'Top 1500 HS LatitudeLongitude'!C:C=I347,'Top 1500 HS LatitudeLongitude'!E:E=H347),1,0,randarray(COUNTA(FILTER('Top 1500 HS LatitudeLongitude'!B:B,'Top"&amp;" 1500 HS LatitudeLongitude'!C:C=I347,'Top 1500 HS LatitudeLongitude'!E:E=H347)),1),TRUE)
)"),"Cleveland Central Catholic (Cleveland)")</f>
        <v>Cleveland Central Catholic (Cleveland)</v>
      </c>
      <c r="S347" s="13" t="b">
        <f>ISNUMBER(MATCH("*"&amp;H:H&amp;"*",'Public Schools'!C:C,0))</f>
        <v>1</v>
      </c>
      <c r="T347" s="13" t="str">
        <f ca="1">IFERROR(__xludf.DUMMYFUNCTION("IFERROR(IF(AND(R347="""",S347=true), SORTN(FILTER('Public Schools'!A:A,'Public Schools'!B:B=J347,'Public Schools'!C:C=H347),1,0,randarray(COUNTA(FILTER('Public Schools'!A:A,'Public Schools'!B:B=J347,'Public Schools'!C:C=H347)),1),TRUE),""""),"""")"),"")</f>
        <v/>
      </c>
      <c r="U347" s="23" t="str">
        <f t="array" aca="1" ref="U347" ca="1">IF(AND(R347="",T347=""),INDEX('Top 1500 HS LatitudeLongitude'!B$2:B$1501,MATCH(MIN(SQRT(('Top 1500 HS LatitudeLongitude'!H$2:H$1501-F347)^2+('Top 1500 HS LatitudeLongitude'!I$2:I$1501-G347)^2)),SQRT( ('Top 1500 HS LatitudeLongitude'!H$2:H$1501-F347)^2+('Top 1500 HS LatitudeLongitude'!I$2:I$1501-G347)^2),0),1),"")</f>
        <v/>
      </c>
    </row>
    <row r="348" spans="2:21" ht="15.6">
      <c r="B348" s="8">
        <v>0.95631146960000002</v>
      </c>
      <c r="C348" s="9" t="s">
        <v>224</v>
      </c>
      <c r="D348" s="9" t="s">
        <v>541</v>
      </c>
      <c r="E348" s="124" t="s">
        <v>12838</v>
      </c>
      <c r="F348" s="8">
        <v>38.771700000000003</v>
      </c>
      <c r="G348" s="8">
        <v>-77.444800000000001</v>
      </c>
      <c r="H348" s="3" t="str">
        <f t="shared" si="0"/>
        <v>Lakeside</v>
      </c>
      <c r="I348" s="3" t="str">
        <f t="shared" si="1"/>
        <v>AZ</v>
      </c>
      <c r="J348" s="3" t="str">
        <f t="array" ref="J348">INDEX('State Abbreviations'!$B$2:$B$52,MATCH(I348,'State Abbreviations'!$A$2:$A$52,0))</f>
        <v>Arizona</v>
      </c>
      <c r="K348" s="123" t="e">
        <f t="shared" ca="1" si="12"/>
        <v>#NAME?</v>
      </c>
      <c r="L348" s="13">
        <f t="shared" ca="1" si="13"/>
        <v>4</v>
      </c>
      <c r="M348" s="13" t="str">
        <f ca="1">IFERROR(__xludf.DUMMYFUNCTION("IF(L348=10,ArrayFormula(VLOOKUP(QUERY(UNIQUE(RANDBETWEEN(ROW(INDIRECT(""A1:A""&amp;COUNTA('Leaving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8" s="13">
        <f t="shared" ca="1" si="14"/>
        <v>1</v>
      </c>
      <c r="O348" s="13"/>
      <c r="P348" s="13"/>
      <c r="Q348" s="13" t="b">
        <f>ISNUMBER(MATCH("*"&amp;E348&amp;"*",'Top 1500 HS LatitudeLongitude'!G:G,0))</f>
        <v>0</v>
      </c>
      <c r="R348" s="13" t="str">
        <f ca="1">IFERROR(__xludf.DUMMYFUNCTION("IFS(L348=10,"""",Q348=false,"""",N348=5,"""",Q348=true,SORTN(FILTER('Top 1500 HS LatitudeLongitude'!B:B,'Top 1500 HS LatitudeLongitude'!C:C=I348,'Top 1500 HS LatitudeLongitude'!E:E=H348),1,0,randarray(COUNTA(FILTER('Top 1500 HS LatitudeLongitude'!B:B,'Top"&amp;" 1500 HS LatitudeLongitude'!C:C=I348,'Top 1500 HS LatitudeLongitude'!E:E=H348)),1),TRUE)
)"),"")</f>
        <v/>
      </c>
      <c r="S348" s="13" t="b">
        <f>ISNUMBER(MATCH("*"&amp;H:H&amp;"*",'Public Schools'!C:C,0))</f>
        <v>1</v>
      </c>
      <c r="T348" s="13" t="str">
        <f ca="1">IFERROR(__xludf.DUMMYFUNCTION("IFERROR(IF(AND(R348="""",S348=true), SORTN(FILTER('Public Schools'!A:A,'Public Schools'!B:B=J348,'Public Schools'!C:C=H348),1,0,randarray(COUNTA(FILTER('Public Schools'!A:A,'Public Schools'!B:B=J348,'Public Schools'!C:C=H348)),1),TRUE),""""),"""")"),"Blue Ridge High School")</f>
        <v>Blue Ridge High School</v>
      </c>
      <c r="U348" s="23" t="str">
        <f t="array" aca="1" ref="U348" ca="1">IF(AND(R348="",T348=""),INDEX('Top 1500 HS LatitudeLongitude'!B$2:B$1501,MATCH(MIN(SQRT(('Top 1500 HS LatitudeLongitude'!H$2:H$1501-F348)^2+('Top 1500 HS LatitudeLongitude'!I$2:I$1501-G348)^2)),SQRT( ('Top 1500 HS LatitudeLongitude'!H$2:H$1501-F348)^2+('Top 1500 HS LatitudeLongitude'!I$2:I$1501-G348)^2),0),1),"")</f>
        <v/>
      </c>
    </row>
    <row r="349" spans="2:21" ht="15.6">
      <c r="B349" s="8">
        <v>0.76247778870000005</v>
      </c>
      <c r="C349" s="9" t="s">
        <v>288</v>
      </c>
      <c r="D349" s="9" t="s">
        <v>542</v>
      </c>
      <c r="E349" s="37" t="s">
        <v>12866</v>
      </c>
      <c r="F349" s="8">
        <v>40.3125</v>
      </c>
      <c r="G349" s="8">
        <v>-79.382599999999996</v>
      </c>
      <c r="H349" s="3" t="str">
        <f t="shared" si="0"/>
        <v>Carmel</v>
      </c>
      <c r="I349" s="3" t="str">
        <f t="shared" si="1"/>
        <v>IN</v>
      </c>
      <c r="J349" s="3" t="str">
        <f t="array" ref="J349">INDEX('State Abbreviations'!$B$2:$B$52,MATCH(I349,'State Abbreviations'!$A$2:$A$52,0))</f>
        <v>Indiana</v>
      </c>
      <c r="K349" s="123" t="e">
        <f t="shared" ca="1" si="12"/>
        <v>#NAME?</v>
      </c>
      <c r="L349" s="13">
        <f t="shared" ca="1" si="13"/>
        <v>4</v>
      </c>
      <c r="M349" s="13" t="str">
        <f ca="1">IFERROR(__xludf.DUMMYFUNCTION("IF(L349=10,ArrayFormula(VLOOKUP(QUERY(UNIQUE(RANDBETWEEN(ROW(INDIRECT(""A1:A""&amp;COUNTA('Leaving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49" s="13">
        <f t="shared" ca="1" si="14"/>
        <v>4</v>
      </c>
      <c r="O349" s="13"/>
      <c r="P349" s="13"/>
      <c r="Q349" s="13" t="b">
        <f>ISNUMBER(MATCH("*"&amp;E349&amp;"*",'Top 1500 HS LatitudeLongitude'!G:G,0))</f>
        <v>1</v>
      </c>
      <c r="R349" s="13" t="str">
        <f ca="1">IFERROR(__xludf.DUMMYFUNCTION("IFS(L349=10,"""",Q349=false,"""",N349=5,"""",Q349=true,SORTN(FILTER('Top 1500 HS LatitudeLongitude'!B:B,'Top 1500 HS LatitudeLongitude'!C:C=I349,'Top 1500 HS LatitudeLongitude'!E:E=H349),1,0,randarray(COUNTA(FILTER('Top 1500 HS LatitudeLongitude'!B:B,'Top"&amp;" 1500 HS LatitudeLongitude'!C:C=I349,'Top 1500 HS LatitudeLongitude'!E:E=H349)),1),TRUE)
)"),"Carmel")</f>
        <v>Carmel</v>
      </c>
      <c r="S349" s="13" t="b">
        <f>ISNUMBER(MATCH("*"&amp;H:H&amp;"*",'Public Schools'!C:C,0))</f>
        <v>1</v>
      </c>
      <c r="T349" s="13" t="str">
        <f ca="1">IFERROR(__xludf.DUMMYFUNCTION("IFERROR(IF(AND(R349="""",S349=true), SORTN(FILTER('Public Schools'!A:A,'Public Schools'!B:B=J349,'Public Schools'!C:C=H349),1,0,randarray(COUNTA(FILTER('Public Schools'!A:A,'Public Schools'!B:B=J349,'Public Schools'!C:C=H349)),1),TRUE),""""),"""")"),"")</f>
        <v/>
      </c>
      <c r="U349" s="23" t="str">
        <f t="array" aca="1" ref="U349" ca="1">IF(AND(R349="",T349=""),INDEX('Top 1500 HS LatitudeLongitude'!B$2:B$1501,MATCH(MIN(SQRT(('Top 1500 HS LatitudeLongitude'!H$2:H$1501-F349)^2+('Top 1500 HS LatitudeLongitude'!I$2:I$1501-G349)^2)),SQRT( ('Top 1500 HS LatitudeLongitude'!H$2:H$1501-F349)^2+('Top 1500 HS LatitudeLongitude'!I$2:I$1501-G349)^2),0),1),"")</f>
        <v/>
      </c>
    </row>
    <row r="350" spans="2:21" ht="15.6">
      <c r="B350" s="8">
        <v>0.92097094270000002</v>
      </c>
      <c r="C350" s="9" t="s">
        <v>314</v>
      </c>
      <c r="D350" s="9" t="s">
        <v>543</v>
      </c>
      <c r="E350" s="124" t="s">
        <v>12899</v>
      </c>
      <c r="F350" s="8">
        <v>40.656999999999996</v>
      </c>
      <c r="G350" s="8">
        <v>-111.94929999999999</v>
      </c>
      <c r="H350" s="3" t="str">
        <f t="shared" si="0"/>
        <v>North Las Vegas</v>
      </c>
      <c r="I350" s="3" t="str">
        <f t="shared" si="1"/>
        <v>NV</v>
      </c>
      <c r="J350" s="3" t="str">
        <f t="array" ref="J350">INDEX('State Abbreviations'!$B$2:$B$52,MATCH(I350,'State Abbreviations'!$A$2:$A$52,0))</f>
        <v>Nevada</v>
      </c>
      <c r="K350" s="123" t="e">
        <f t="shared" ca="1" si="12"/>
        <v>#NAME?</v>
      </c>
      <c r="L350" s="13">
        <f t="shared" ca="1" si="13"/>
        <v>5</v>
      </c>
      <c r="M350" s="13" t="str">
        <f ca="1">IFERROR(__xludf.DUMMYFUNCTION("IF(L350=10,ArrayFormula(VLOOKUP(QUERY(UNIQUE(RANDBETWEEN(ROW(INDIRECT(""A1:A""&amp;COUNTA('Leaving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0" s="13">
        <f t="shared" ca="1" si="14"/>
        <v>1</v>
      </c>
      <c r="O350" s="13"/>
      <c r="P350" s="13"/>
      <c r="Q350" s="13" t="b">
        <f>ISNUMBER(MATCH("*"&amp;E350&amp;"*",'Top 1500 HS LatitudeLongitude'!G:G,0))</f>
        <v>0</v>
      </c>
      <c r="R350" s="13" t="str">
        <f ca="1">IFERROR(__xludf.DUMMYFUNCTION("IFS(L350=10,"""",Q350=false,"""",N350=5,"""",Q350=true,SORTN(FILTER('Top 1500 HS LatitudeLongitude'!B:B,'Top 1500 HS LatitudeLongitude'!C:C=I350,'Top 1500 HS LatitudeLongitude'!E:E=H350),1,0,randarray(COUNTA(FILTER('Top 1500 HS LatitudeLongitude'!B:B,'Top"&amp;" 1500 HS LatitudeLongitude'!C:C=I350,'Top 1500 HS LatitudeLongitude'!E:E=H350)),1),TRUE)
)"),"")</f>
        <v/>
      </c>
      <c r="S350" s="13" t="b">
        <f>ISNUMBER(MATCH("*"&amp;H:H&amp;"*",'Public Schools'!C:C,0))</f>
        <v>1</v>
      </c>
      <c r="T350" s="13" t="str">
        <f ca="1">IFERROR(__xludf.DUMMYFUNCTION("IFERROR(IF(AND(R350="""",S350=true), SORTN(FILTER('Public Schools'!A:A,'Public Schools'!B:B=J350,'Public Schools'!C:C=H350),1,0,randarray(COUNTA(FILTER('Public Schools'!A:A,'Public Schools'!B:B=J350,'Public Schools'!C:C=H350)),1),TRUE),""""),"""")"),"College Of So. Nv High School East")</f>
        <v>College Of So. Nv High School East</v>
      </c>
      <c r="U350" s="23" t="str">
        <f t="array" aca="1" ref="U350" ca="1">IF(AND(R350="",T350=""),INDEX('Top 1500 HS LatitudeLongitude'!B$2:B$1501,MATCH(MIN(SQRT(('Top 1500 HS LatitudeLongitude'!H$2:H$1501-F350)^2+('Top 1500 HS LatitudeLongitude'!I$2:I$1501-G350)^2)),SQRT( ('Top 1500 HS LatitudeLongitude'!H$2:H$1501-F350)^2+('Top 1500 HS LatitudeLongitude'!I$2:I$1501-G350)^2),0),1),"")</f>
        <v/>
      </c>
    </row>
    <row r="351" spans="2:21" ht="15.6">
      <c r="B351" s="8">
        <v>0.59511004440000004</v>
      </c>
      <c r="C351" s="9" t="s">
        <v>544</v>
      </c>
      <c r="D351" s="9" t="s">
        <v>545</v>
      </c>
      <c r="E351" s="37" t="s">
        <v>12938</v>
      </c>
      <c r="F351" s="8">
        <v>40.665500000000002</v>
      </c>
      <c r="G351" s="8">
        <v>-74.191800000000001</v>
      </c>
      <c r="H351" s="3" t="str">
        <f t="shared" si="0"/>
        <v>Weare</v>
      </c>
      <c r="I351" s="3" t="str">
        <f t="shared" si="1"/>
        <v>NH</v>
      </c>
      <c r="J351" s="3" t="str">
        <f t="array" ref="J351">INDEX('State Abbreviations'!$B$2:$B$52,MATCH(I351,'State Abbreviations'!$A$2:$A$52,0))</f>
        <v>New Hampshire</v>
      </c>
      <c r="K351" s="125" t="e">
        <f t="shared" ca="1" si="12"/>
        <v>#NAME?</v>
      </c>
      <c r="L351" s="13">
        <f t="shared" ca="1" si="13"/>
        <v>4</v>
      </c>
      <c r="M351" s="13" t="str">
        <f ca="1">IFERROR(__xludf.DUMMYFUNCTION("IF(L351=10,ArrayFormula(VLOOKUP(QUERY(UNIQUE(RANDBETWEEN(ROW(INDIRECT(""A1:A""&amp;COUNTA('Leaving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1" s="13">
        <f t="shared" ca="1" si="14"/>
        <v>4</v>
      </c>
      <c r="O351" s="13"/>
      <c r="P351" s="13"/>
      <c r="Q351" s="13" t="b">
        <f>ISNUMBER(MATCH("*"&amp;E351&amp;"*",'Top 1500 HS LatitudeLongitude'!G:G,0))</f>
        <v>0</v>
      </c>
      <c r="R351" s="13" t="str">
        <f ca="1">IFERROR(__xludf.DUMMYFUNCTION("IFS(L351=10,"""",Q351=false,"""",N351=5,"""",Q351=true,SORTN(FILTER('Top 1500 HS LatitudeLongitude'!B:B,'Top 1500 HS LatitudeLongitude'!C:C=I351,'Top 1500 HS LatitudeLongitude'!E:E=H351),1,0,randarray(COUNTA(FILTER('Top 1500 HS LatitudeLongitude'!B:B,'Top"&amp;" 1500 HS LatitudeLongitude'!C:C=I351,'Top 1500 HS LatitudeLongitude'!E:E=H351)),1),TRUE)
)"),"")</f>
        <v/>
      </c>
      <c r="S351" s="13" t="b">
        <f>ISNUMBER(MATCH("*"&amp;H:H&amp;"*",'Public Schools'!C:C,0))</f>
        <v>1</v>
      </c>
      <c r="T351" s="13" t="str">
        <f ca="1">IFERROR(__xludf.DUMMYFUNCTION("IFERROR(IF(AND(R351="""",S351=true), SORTN(FILTER('Public Schools'!A:A,'Public Schools'!B:B=J351,'Public Schools'!C:C=H351),1,0,randarray(COUNTA(FILTER('Public Schools'!A:A,'Public Schools'!B:B=J351,'Public Schools'!C:C=H351)),1),TRUE),""""),"""")"),"John Stark Regional High School")</f>
        <v>John Stark Regional High School</v>
      </c>
      <c r="U351" s="23" t="str">
        <f t="array" aca="1" ref="U351" ca="1">IF(AND(R351="",T351=""),INDEX('Top 1500 HS LatitudeLongitude'!B$2:B$1501,MATCH(MIN(SQRT(('Top 1500 HS LatitudeLongitude'!H$2:H$1501-F351)^2+('Top 1500 HS LatitudeLongitude'!I$2:I$1501-G351)^2)),SQRT( ('Top 1500 HS LatitudeLongitude'!H$2:H$1501-F351)^2+('Top 1500 HS LatitudeLongitude'!I$2:I$1501-G351)^2),0),1),"")</f>
        <v/>
      </c>
    </row>
    <row r="352" spans="2:21" ht="15.6">
      <c r="B352" s="8">
        <v>0.5726340312</v>
      </c>
      <c r="C352" s="9" t="s">
        <v>47</v>
      </c>
      <c r="D352" s="9" t="s">
        <v>546</v>
      </c>
      <c r="E352" s="126" t="s">
        <v>12980</v>
      </c>
      <c r="F352" s="8">
        <v>35.307899999999997</v>
      </c>
      <c r="G352" s="8">
        <v>-81.013199999999998</v>
      </c>
      <c r="H352" s="3" t="str">
        <f t="shared" si="0"/>
        <v>Tulare</v>
      </c>
      <c r="I352" s="3" t="str">
        <f t="shared" si="1"/>
        <v>CA</v>
      </c>
      <c r="J352" s="3" t="str">
        <f t="array" ref="J352">INDEX('State Abbreviations'!$B$2:$B$52,MATCH(I352,'State Abbreviations'!$A$2:$A$52,0))</f>
        <v>California</v>
      </c>
      <c r="K352" s="125" t="e">
        <f t="shared" ca="1" si="12"/>
        <v>#NAME?</v>
      </c>
      <c r="L352" s="13">
        <f t="shared" ca="1" si="13"/>
        <v>1</v>
      </c>
      <c r="M352" s="13" t="str">
        <f ca="1">IFERROR(__xludf.DUMMYFUNCTION("IF(L352=10,ArrayFormula(VLOOKUP(QUERY(UNIQUE(RANDBETWEEN(ROW(INDIRECT(""A1:A""&amp;COUNTA('Leaving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2" s="13">
        <f t="shared" ca="1" si="14"/>
        <v>3</v>
      </c>
      <c r="O352" s="13"/>
      <c r="P352" s="13"/>
      <c r="Q352" s="13" t="b">
        <f>ISNUMBER(MATCH("*"&amp;E352&amp;"*",'Top 1500 HS LatitudeLongitude'!G:G,0))</f>
        <v>0</v>
      </c>
      <c r="R352" s="13" t="str">
        <f ca="1">IFERROR(__xludf.DUMMYFUNCTION("IFS(L352=10,"""",Q352=false,"""",N352=5,"""",Q352=true,SORTN(FILTER('Top 1500 HS LatitudeLongitude'!B:B,'Top 1500 HS LatitudeLongitude'!C:C=I352,'Top 1500 HS LatitudeLongitude'!E:E=H352),1,0,randarray(COUNTA(FILTER('Top 1500 HS LatitudeLongitude'!B:B,'Top"&amp;" 1500 HS LatitudeLongitude'!C:C=I352,'Top 1500 HS LatitudeLongitude'!E:E=H352)),1),TRUE)
)"),"")</f>
        <v/>
      </c>
      <c r="S352" s="13" t="b">
        <f>ISNUMBER(MATCH("*"&amp;H:H&amp;"*",'Public Schools'!C:C,0))</f>
        <v>1</v>
      </c>
      <c r="T352" s="13" t="str">
        <f ca="1">IFERROR(__xludf.DUMMYFUNCTION("IFERROR(IF(AND(R352="""",S352=true), SORTN(FILTER('Public Schools'!A:A,'Public Schools'!B:B=J352,'Public Schools'!C:C=H352),1,0,randarray(COUNTA(FILTER('Public Schools'!A:A,'Public Schools'!B:B=J352,'Public Schools'!C:C=H352)),1),TRUE),""""),"""")"),"Mission Oak High School")</f>
        <v>Mission Oak High School</v>
      </c>
      <c r="U352" s="23" t="str">
        <f t="array" aca="1" ref="U352" ca="1">IF(AND(R352="",T352=""),INDEX('Top 1500 HS LatitudeLongitude'!B$2:B$1501,MATCH(MIN(SQRT(('Top 1500 HS LatitudeLongitude'!H$2:H$1501-F352)^2+('Top 1500 HS LatitudeLongitude'!I$2:I$1501-G352)^2)),SQRT( ('Top 1500 HS LatitudeLongitude'!H$2:H$1501-F352)^2+('Top 1500 HS LatitudeLongitude'!I$2:I$1501-G352)^2),0),1),"")</f>
        <v/>
      </c>
    </row>
    <row r="353" spans="2:21" ht="15.6">
      <c r="B353" s="8">
        <v>0.20454966529999999</v>
      </c>
      <c r="C353" s="9" t="s">
        <v>254</v>
      </c>
      <c r="D353" s="9" t="s">
        <v>547</v>
      </c>
      <c r="E353" s="37" t="s">
        <v>13022</v>
      </c>
      <c r="F353" s="8">
        <v>28.598600000000001</v>
      </c>
      <c r="G353" s="8">
        <v>-81.343599999999995</v>
      </c>
      <c r="H353" s="3" t="str">
        <f t="shared" si="0"/>
        <v>Kirkwood</v>
      </c>
      <c r="I353" s="3" t="str">
        <f t="shared" si="1"/>
        <v>IL</v>
      </c>
      <c r="J353" s="3" t="str">
        <f t="array" ref="J353">INDEX('State Abbreviations'!$B$2:$B$52,MATCH(I353,'State Abbreviations'!$A$2:$A$52,0))</f>
        <v>Illinois</v>
      </c>
      <c r="K353" s="125" t="e">
        <f t="shared" ca="1" si="12"/>
        <v>#NAME?</v>
      </c>
      <c r="L353" s="13">
        <f t="shared" ca="1" si="13"/>
        <v>3</v>
      </c>
      <c r="M353" s="13" t="str">
        <f ca="1">IFERROR(__xludf.DUMMYFUNCTION("IF(L353=10,ArrayFormula(VLOOKUP(QUERY(UNIQUE(RANDBETWEEN(ROW(INDIRECT(""A1:A""&amp;COUNTA('Leaving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3" s="13">
        <f t="shared" ca="1" si="14"/>
        <v>3</v>
      </c>
      <c r="O353" s="13"/>
      <c r="P353" s="13"/>
      <c r="Q353" s="13" t="b">
        <f>ISNUMBER(MATCH("*"&amp;E353&amp;"*",'Top 1500 HS LatitudeLongitude'!G:G,0))</f>
        <v>0</v>
      </c>
      <c r="R353" s="13" t="str">
        <f ca="1">IFERROR(__xludf.DUMMYFUNCTION("IFS(L353=10,"""",Q353=false,"""",N353=5,"""",Q353=true,SORTN(FILTER('Top 1500 HS LatitudeLongitude'!B:B,'Top 1500 HS LatitudeLongitude'!C:C=I353,'Top 1500 HS LatitudeLongitude'!E:E=H353),1,0,randarray(COUNTA(FILTER('Top 1500 HS LatitudeLongitude'!B:B,'Top"&amp;" 1500 HS LatitudeLongitude'!C:C=I353,'Top 1500 HS LatitudeLongitude'!E:E=H353)),1),TRUE)
)"),"")</f>
        <v/>
      </c>
      <c r="S353" s="13" t="b">
        <f>ISNUMBER(MATCH("*"&amp;H:H&amp;"*",'Public Schools'!C:C,0))</f>
        <v>1</v>
      </c>
      <c r="T353" s="13" t="str">
        <f ca="1">IFERROR(__xludf.DUMMYFUNCTION("IFERROR(IF(AND(R353="""",S353=true), SORTN(FILTER('Public Schools'!A:A,'Public Schools'!B:B=J353,'Public Schools'!C:C=H353),1,0,randarray(COUNTA(FILTER('Public Schools'!A:A,'Public Schools'!B:B=J353,'Public Schools'!C:C=H353)),1),TRUE),""""),"""")"),"")</f>
        <v/>
      </c>
      <c r="U353" s="23" t="str">
        <f t="array" aca="1" ref="U353" ca="1">IF(AND(R353="",T353=""),INDEX('Top 1500 HS LatitudeLongitude'!B$2:B$1501,MATCH(MIN(SQRT(('Top 1500 HS LatitudeLongitude'!H$2:H$1501-F353)^2+('Top 1500 HS LatitudeLongitude'!I$2:I$1501-G353)^2)),SQRT( ('Top 1500 HS LatitudeLongitude'!H$2:H$1501-F353)^2+('Top 1500 HS LatitudeLongitude'!I$2:I$1501-G353)^2),0),1),"")</f>
        <v>Lake Highland Prep (Orlando)</v>
      </c>
    </row>
    <row r="354" spans="2:21" ht="15.6">
      <c r="B354" s="8">
        <v>0.27763094300000002</v>
      </c>
      <c r="C354" s="9" t="s">
        <v>47</v>
      </c>
      <c r="D354" s="9" t="s">
        <v>548</v>
      </c>
      <c r="E354" s="126" t="s">
        <v>13066</v>
      </c>
      <c r="F354" s="8">
        <v>43.723100000000002</v>
      </c>
      <c r="G354" s="8">
        <v>-116.3856</v>
      </c>
      <c r="H354" s="3" t="str">
        <f t="shared" si="0"/>
        <v>Fullerton</v>
      </c>
      <c r="I354" s="3" t="str">
        <f t="shared" si="1"/>
        <v>CA</v>
      </c>
      <c r="J354" s="3" t="str">
        <f t="array" ref="J354">INDEX('State Abbreviations'!$B$2:$B$52,MATCH(I354,'State Abbreviations'!$A$2:$A$52,0))</f>
        <v>California</v>
      </c>
      <c r="K354" s="125" t="e">
        <f t="shared" ca="1" si="12"/>
        <v>#NAME?</v>
      </c>
      <c r="L354" s="13">
        <f t="shared" ca="1" si="13"/>
        <v>9</v>
      </c>
      <c r="M354" s="13" t="str">
        <f ca="1">IFERROR(__xludf.DUMMYFUNCTION("IF(L354=10,ArrayFormula(VLOOKUP(QUERY(UNIQUE(RANDBETWEEN(ROW(INDIRECT(""A1:A""&amp;COUNTA('Leaving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4" s="13">
        <f t="shared" ca="1" si="14"/>
        <v>1</v>
      </c>
      <c r="O354" s="13"/>
      <c r="P354" s="13"/>
      <c r="Q354" s="13" t="b">
        <f>ISNUMBER(MATCH("*"&amp;E354&amp;"*",'Top 1500 HS LatitudeLongitude'!G:G,0))</f>
        <v>0</v>
      </c>
      <c r="R354" s="13" t="str">
        <f ca="1">IFERROR(__xludf.DUMMYFUNCTION("IFS(L354=10,"""",Q354=false,"""",N354=5,"""",Q354=true,SORTN(FILTER('Top 1500 HS LatitudeLongitude'!B:B,'Top 1500 HS LatitudeLongitude'!C:C=I354,'Top 1500 HS LatitudeLongitude'!E:E=H354),1,0,randarray(COUNTA(FILTER('Top 1500 HS LatitudeLongitude'!B:B,'Top"&amp;" 1500 HS LatitudeLongitude'!C:C=I354,'Top 1500 HS LatitudeLongitude'!E:E=H354)),1),TRUE)
)"),"")</f>
        <v/>
      </c>
      <c r="S354" s="13" t="b">
        <f>ISNUMBER(MATCH("*"&amp;H:H&amp;"*",'Public Schools'!C:C,0))</f>
        <v>1</v>
      </c>
      <c r="T354" s="13" t="str">
        <f ca="1">IFERROR(__xludf.DUMMYFUNCTION("IFERROR(IF(AND(R354="""",S354=true), SORTN(FILTER('Public Schools'!A:A,'Public Schools'!B:B=J354,'Public Schools'!C:C=H354),1,0,randarray(COUNTA(FILTER('Public Schools'!A:A,'Public Schools'!B:B=J354,'Public Schools'!C:C=H354)),1),TRUE),""""),"""")"),"Troy High School")</f>
        <v>Troy High School</v>
      </c>
      <c r="U354" s="23" t="str">
        <f t="array" aca="1" ref="U354" ca="1">IF(AND(R354="",T354=""),INDEX('Top 1500 HS LatitudeLongitude'!B$2:B$1501,MATCH(MIN(SQRT(('Top 1500 HS LatitudeLongitude'!H$2:H$1501-F354)^2+('Top 1500 HS LatitudeLongitude'!I$2:I$1501-G354)^2)),SQRT( ('Top 1500 HS LatitudeLongitude'!H$2:H$1501-F354)^2+('Top 1500 HS LatitudeLongitude'!I$2:I$1501-G354)^2),0),1),"")</f>
        <v/>
      </c>
    </row>
    <row r="355" spans="2:21" ht="15.6">
      <c r="B355" s="8">
        <v>0.40339860570000002</v>
      </c>
      <c r="C355" s="9" t="s">
        <v>221</v>
      </c>
      <c r="D355" s="9" t="s">
        <v>549</v>
      </c>
      <c r="E355" s="37" t="s">
        <v>13107</v>
      </c>
      <c r="F355" s="8">
        <v>30.004899999999999</v>
      </c>
      <c r="G355" s="8">
        <v>-91.820300000000003</v>
      </c>
      <c r="H355" s="3" t="str">
        <f t="shared" si="0"/>
        <v>Medford</v>
      </c>
      <c r="I355" s="3" t="str">
        <f t="shared" si="1"/>
        <v>MA</v>
      </c>
      <c r="J355" s="3" t="str">
        <f t="array" ref="J355">INDEX('State Abbreviations'!$B$2:$B$52,MATCH(I355,'State Abbreviations'!$A$2:$A$52,0))</f>
        <v>Massachusetts</v>
      </c>
      <c r="K355" s="125" t="e">
        <f t="shared" ca="1" si="12"/>
        <v>#NAME?</v>
      </c>
      <c r="L355" s="13">
        <f t="shared" ca="1" si="13"/>
        <v>3</v>
      </c>
      <c r="M355" s="13" t="str">
        <f ca="1">IFERROR(__xludf.DUMMYFUNCTION("IF(L355=10,ArrayFormula(VLOOKUP(QUERY(UNIQUE(RANDBETWEEN(ROW(INDIRECT(""A1:A""&amp;COUNTA('Leaving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5" s="13">
        <f t="shared" ca="1" si="14"/>
        <v>4</v>
      </c>
      <c r="O355" s="13"/>
      <c r="P355" s="13"/>
      <c r="Q355" s="13" t="b">
        <f>ISNUMBER(MATCH("*"&amp;E355&amp;"*",'Top 1500 HS LatitudeLongitude'!G:G,0))</f>
        <v>0</v>
      </c>
      <c r="R355" s="13" t="str">
        <f ca="1">IFERROR(__xludf.DUMMYFUNCTION("IFS(L355=10,"""",Q355=false,"""",N355=5,"""",Q355=true,SORTN(FILTER('Top 1500 HS LatitudeLongitude'!B:B,'Top 1500 HS LatitudeLongitude'!C:C=I355,'Top 1500 HS LatitudeLongitude'!E:E=H355),1,0,randarray(COUNTA(FILTER('Top 1500 HS LatitudeLongitude'!B:B,'Top"&amp;" 1500 HS LatitudeLongitude'!C:C=I355,'Top 1500 HS LatitudeLongitude'!E:E=H355)),1),TRUE)
)"),"")</f>
        <v/>
      </c>
      <c r="S355" s="13" t="b">
        <f>ISNUMBER(MATCH("*"&amp;H:H&amp;"*",'Public Schools'!C:C,0))</f>
        <v>1</v>
      </c>
      <c r="T355" s="13" t="str">
        <f ca="1">IFERROR(__xludf.DUMMYFUNCTION("IFERROR(IF(AND(R355="""",S355=true), SORTN(FILTER('Public Schools'!A:A,'Public Schools'!B:B=J355,'Public Schools'!C:C=H355),1,0,randarray(COUNTA(FILTER('Public Schools'!A:A,'Public Schools'!B:B=J355,'Public Schools'!C:C=H355)),1),TRUE),""""),"""")"),"Curtis-Tufts")</f>
        <v>Curtis-Tufts</v>
      </c>
      <c r="U355" s="23" t="str">
        <f t="array" aca="1" ref="U355" ca="1">IF(AND(R355="",T355=""),INDEX('Top 1500 HS LatitudeLongitude'!B$2:B$1501,MATCH(MIN(SQRT(('Top 1500 HS LatitudeLongitude'!H$2:H$1501-F355)^2+('Top 1500 HS LatitudeLongitude'!I$2:I$1501-G355)^2)),SQRT( ('Top 1500 HS LatitudeLongitude'!H$2:H$1501-F355)^2+('Top 1500 HS LatitudeLongitude'!I$2:I$1501-G355)^2),0),1),"")</f>
        <v/>
      </c>
    </row>
    <row r="356" spans="2:21" ht="15.6">
      <c r="B356" s="8">
        <v>0.79831352580000003</v>
      </c>
      <c r="C356" s="9" t="s">
        <v>550</v>
      </c>
      <c r="D356" s="9" t="s">
        <v>551</v>
      </c>
      <c r="E356" s="126" t="s">
        <v>13149</v>
      </c>
      <c r="F356" s="8">
        <v>36.171399999999998</v>
      </c>
      <c r="G356" s="8">
        <v>-86.784400000000005</v>
      </c>
      <c r="H356" s="3" t="str">
        <f t="shared" si="0"/>
        <v>Chefornak</v>
      </c>
      <c r="I356" s="3" t="str">
        <f t="shared" si="1"/>
        <v>AK</v>
      </c>
      <c r="J356" s="3" t="str">
        <f t="array" ref="J356">INDEX('State Abbreviations'!$B$2:$B$52,MATCH(I356,'State Abbreviations'!$A$2:$A$52,0))</f>
        <v>Alaska</v>
      </c>
      <c r="K356" s="125" t="e">
        <f t="shared" ca="1" si="12"/>
        <v>#NAME?</v>
      </c>
      <c r="L356" s="13">
        <f t="shared" ca="1" si="13"/>
        <v>2</v>
      </c>
      <c r="M356" s="13" t="str">
        <f ca="1">IFERROR(__xludf.DUMMYFUNCTION("IF(L356=10,ArrayFormula(VLOOKUP(QUERY(UNIQUE(RANDBETWEEN(ROW(INDIRECT(""A1:A""&amp;COUNTA('Leaving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6" s="13">
        <f t="shared" ca="1" si="14"/>
        <v>4</v>
      </c>
      <c r="O356" s="13"/>
      <c r="P356" s="13"/>
      <c r="Q356" s="13" t="b">
        <f>ISNUMBER(MATCH("*"&amp;E356&amp;"*",'Top 1500 HS LatitudeLongitude'!G:G,0))</f>
        <v>0</v>
      </c>
      <c r="R356" s="13" t="str">
        <f ca="1">IFERROR(__xludf.DUMMYFUNCTION("IFS(L356=10,"""",Q356=false,"""",N356=5,"""",Q356=true,SORTN(FILTER('Top 1500 HS LatitudeLongitude'!B:B,'Top 1500 HS LatitudeLongitude'!C:C=I356,'Top 1500 HS LatitudeLongitude'!E:E=H356),1,0,randarray(COUNTA(FILTER('Top 1500 HS LatitudeLongitude'!B:B,'Top"&amp;" 1500 HS LatitudeLongitude'!C:C=I356,'Top 1500 HS LatitudeLongitude'!E:E=H356)),1),TRUE)
)"),"")</f>
        <v/>
      </c>
      <c r="S356" s="13" t="b">
        <f>ISNUMBER(MATCH("*"&amp;H:H&amp;"*",'Public Schools'!C:C,0))</f>
        <v>0</v>
      </c>
      <c r="T356" s="13" t="str">
        <f ca="1">IFERROR(__xludf.DUMMYFUNCTION("IFERROR(IF(AND(R356="""",S356=true), SORTN(FILTER('Public Schools'!A:A,'Public Schools'!B:B=J356,'Public Schools'!C:C=H356),1,0,randarray(COUNTA(FILTER('Public Schools'!A:A,'Public Schools'!B:B=J356,'Public Schools'!C:C=H356)),1),TRUE),""""),"""")"),"")</f>
        <v/>
      </c>
      <c r="U356" s="23" t="str">
        <f t="array" aca="1" ref="U356" ca="1">IF(AND(R356="",T356=""),INDEX('Top 1500 HS LatitudeLongitude'!B$2:B$1501,MATCH(MIN(SQRT(('Top 1500 HS LatitudeLongitude'!H$2:H$1501-F356)^2+('Top 1500 HS LatitudeLongitude'!I$2:I$1501-G356)^2)),SQRT( ('Top 1500 HS LatitudeLongitude'!H$2:H$1501-F356)^2+('Top 1500 HS LatitudeLongitude'!I$2:I$1501-G356)^2),0),1),"")</f>
        <v>Pearl-Cohn (Nashville)</v>
      </c>
    </row>
    <row r="357" spans="2:21" ht="15.6">
      <c r="B357" s="8">
        <v>0.47708396520000002</v>
      </c>
      <c r="C357" s="9" t="s">
        <v>238</v>
      </c>
      <c r="D357" s="9" t="s">
        <v>552</v>
      </c>
      <c r="E357" s="37" t="s">
        <v>13194</v>
      </c>
      <c r="F357" s="8">
        <v>42.581699999999998</v>
      </c>
      <c r="G357" s="8">
        <v>-83.145799999999994</v>
      </c>
      <c r="H357" s="3" t="str">
        <f t="shared" si="0"/>
        <v>Valley Cottage</v>
      </c>
      <c r="I357" s="3" t="str">
        <f t="shared" si="1"/>
        <v>NY</v>
      </c>
      <c r="J357" s="3" t="str">
        <f t="array" ref="J357">INDEX('State Abbreviations'!$B$2:$B$52,MATCH(I357,'State Abbreviations'!$A$2:$A$52,0))</f>
        <v>New York</v>
      </c>
      <c r="K357" s="125" t="e">
        <f t="shared" ca="1" si="12"/>
        <v>#NAME?</v>
      </c>
      <c r="L357" s="13">
        <f t="shared" ca="1" si="13"/>
        <v>9</v>
      </c>
      <c r="M357" s="13" t="str">
        <f ca="1">IFERROR(__xludf.DUMMYFUNCTION("IF(L357=10,ArrayFormula(VLOOKUP(QUERY(UNIQUE(RANDBETWEEN(ROW(INDIRECT(""A1:A""&amp;COUNTA('Leaving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7" s="13">
        <f t="shared" ca="1" si="14"/>
        <v>4</v>
      </c>
      <c r="O357" s="13"/>
      <c r="P357" s="13"/>
      <c r="Q357" s="13" t="b">
        <f>ISNUMBER(MATCH("*"&amp;E357&amp;"*",'Top 1500 HS LatitudeLongitude'!G:G,0))</f>
        <v>0</v>
      </c>
      <c r="R357" s="13" t="str">
        <f ca="1">IFERROR(__xludf.DUMMYFUNCTION("IFS(L357=10,"""",Q357=false,"""",N357=5,"""",Q357=true,SORTN(FILTER('Top 1500 HS LatitudeLongitude'!B:B,'Top 1500 HS LatitudeLongitude'!C:C=I357,'Top 1500 HS LatitudeLongitude'!E:E=H357),1,0,randarray(COUNTA(FILTER('Top 1500 HS LatitudeLongitude'!B:B,'Top"&amp;" 1500 HS LatitudeLongitude'!C:C=I357,'Top 1500 HS LatitudeLongitude'!E:E=H357)),1),TRUE)
)"),"")</f>
        <v/>
      </c>
      <c r="S357" s="13" t="b">
        <f>ISNUMBER(MATCH("*"&amp;H:H&amp;"*",'Public Schools'!C:C,0))</f>
        <v>0</v>
      </c>
      <c r="T357" s="13" t="str">
        <f ca="1">IFERROR(__xludf.DUMMYFUNCTION("IFERROR(IF(AND(R357="""",S357=true), SORTN(FILTER('Public Schools'!A:A,'Public Schools'!B:B=J357,'Public Schools'!C:C=H357),1,0,randarray(COUNTA(FILTER('Public Schools'!A:A,'Public Schools'!B:B=J357,'Public Schools'!C:C=H357)),1),TRUE),""""),"""")"),"")</f>
        <v/>
      </c>
      <c r="U357" s="23" t="str">
        <f t="array" aca="1" ref="U357" ca="1">IF(AND(R357="",T357=""),INDEX('Top 1500 HS LatitudeLongitude'!B$2:B$1501,MATCH(MIN(SQRT(('Top 1500 HS LatitudeLongitude'!H$2:H$1501-F357)^2+('Top 1500 HS LatitudeLongitude'!I$2:I$1501-G357)^2)),SQRT( ('Top 1500 HS LatitudeLongitude'!H$2:H$1501-F357)^2+('Top 1500 HS LatitudeLongitude'!I$2:I$1501-G357)^2),0),1),"")</f>
        <v>University of Detroit Jesuit (Detroit)</v>
      </c>
    </row>
    <row r="358" spans="2:21" ht="15.6">
      <c r="B358" s="8">
        <v>4.6090741839999998E-2</v>
      </c>
      <c r="C358" s="9" t="s">
        <v>238</v>
      </c>
      <c r="D358" s="9" t="s">
        <v>553</v>
      </c>
      <c r="E358" s="126" t="s">
        <v>13229</v>
      </c>
      <c r="F358" s="8">
        <v>34.113999999999997</v>
      </c>
      <c r="G358" s="8">
        <v>-118.4068</v>
      </c>
      <c r="H358" s="3" t="str">
        <f t="shared" si="0"/>
        <v>Bronx</v>
      </c>
      <c r="I358" s="3" t="str">
        <f t="shared" si="1"/>
        <v>NY</v>
      </c>
      <c r="J358" s="3" t="str">
        <f t="array" ref="J358">INDEX('State Abbreviations'!$B$2:$B$52,MATCH(I358,'State Abbreviations'!$A$2:$A$52,0))</f>
        <v>New York</v>
      </c>
      <c r="K358" s="125" t="e">
        <f t="shared" ca="1" si="12"/>
        <v>#NAME?</v>
      </c>
      <c r="L358" s="13">
        <f t="shared" ca="1" si="13"/>
        <v>2</v>
      </c>
      <c r="M358" s="13" t="str">
        <f ca="1">IFERROR(__xludf.DUMMYFUNCTION("IF(L358=10,ArrayFormula(VLOOKUP(QUERY(UNIQUE(RANDBETWEEN(ROW(INDIRECT(""A1:A""&amp;COUNTA('Leaving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8" s="13">
        <f t="shared" ca="1" si="14"/>
        <v>3</v>
      </c>
      <c r="O358" s="13"/>
      <c r="P358" s="13"/>
      <c r="Q358" s="13" t="b">
        <f>ISNUMBER(MATCH("*"&amp;E358&amp;"*",'Top 1500 HS LatitudeLongitude'!G:G,0))</f>
        <v>1</v>
      </c>
      <c r="R358" s="13" t="str">
        <f ca="1">IFERROR(__xludf.DUMMYFUNCTION("IFS(L358=10,"""",Q358=false,"""",N358=5,"""",Q358=true,SORTN(FILTER('Top 1500 HS LatitudeLongitude'!B:B,'Top 1500 HS LatitudeLongitude'!C:C=I358,'Top 1500 HS LatitudeLongitude'!E:E=H358),1,0,randarray(COUNTA(FILTER('Top 1500 HS LatitudeLongitude'!B:B,'Top"&amp;" 1500 HS LatitudeLongitude'!C:C=I358,'Top 1500 HS LatitudeLongitude'!E:E=H358)),1),TRUE)
)"),"#N/A")</f>
        <v>#N/A</v>
      </c>
      <c r="S358" s="13" t="b">
        <f>ISNUMBER(MATCH("*"&amp;H:H&amp;"*",'Public Schools'!C:C,0))</f>
        <v>1</v>
      </c>
      <c r="T358" s="13" t="str">
        <f ca="1">IFERROR(__xludf.DUMMYFUNCTION("IFERROR(IF(AND(R358="""",S358=true), SORTN(FILTER('Public Schools'!A:A,'Public Schools'!B:B=J358,'Public Schools'!C:C=H358),1,0,randarray(COUNTA(FILTER('Public Schools'!A:A,'Public Schools'!B:B=J358,'Public Schools'!C:C=H358)),1),TRUE),""""),"""")"),"")</f>
        <v/>
      </c>
      <c r="U358" s="23" t="str">
        <f t="array" aca="1" ref="U358" ca="1">IF(AND(R358="",T358=""),INDEX('Top 1500 HS LatitudeLongitude'!B$2:B$1501,MATCH(MIN(SQRT(('Top 1500 HS LatitudeLongitude'!H$2:H$1501-F358)^2+('Top 1500 HS LatitudeLongitude'!I$2:I$1501-G358)^2)),SQRT( ('Top 1500 HS LatitudeLongitude'!H$2:H$1501-F358)^2+('Top 1500 HS LatitudeLongitude'!I$2:I$1501-G358)^2),0),1),"")</f>
        <v/>
      </c>
    </row>
    <row r="359" spans="2:21" ht="15.6">
      <c r="B359" s="8">
        <v>5.7623723829999998E-3</v>
      </c>
      <c r="C359" s="9" t="s">
        <v>249</v>
      </c>
      <c r="D359" s="9" t="s">
        <v>554</v>
      </c>
      <c r="E359" s="37" t="s">
        <v>13272</v>
      </c>
      <c r="F359" s="8">
        <v>32.347000000000001</v>
      </c>
      <c r="G359" s="8">
        <v>-86.266300000000001</v>
      </c>
      <c r="H359" s="3" t="str">
        <f t="shared" si="0"/>
        <v>Fayetteville</v>
      </c>
      <c r="I359" s="3" t="str">
        <f t="shared" si="1"/>
        <v>NC</v>
      </c>
      <c r="J359" s="3" t="str">
        <f t="array" ref="J359">INDEX('State Abbreviations'!$B$2:$B$52,MATCH(I359,'State Abbreviations'!$A$2:$A$52,0))</f>
        <v>North Carolina</v>
      </c>
      <c r="K359" s="125" t="e">
        <f t="shared" ca="1" si="12"/>
        <v>#NAME?</v>
      </c>
      <c r="L359" s="13">
        <f t="shared" ca="1" si="13"/>
        <v>4</v>
      </c>
      <c r="M359" s="13" t="str">
        <f ca="1">IFERROR(__xludf.DUMMYFUNCTION("IF(L359=10,ArrayFormula(VLOOKUP(QUERY(UNIQUE(RANDBETWEEN(ROW(INDIRECT(""A1:A""&amp;COUNTA('Leaving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59" s="13">
        <f t="shared" ca="1" si="14"/>
        <v>2</v>
      </c>
      <c r="O359" s="13"/>
      <c r="P359" s="13"/>
      <c r="Q359" s="13" t="b">
        <f>ISNUMBER(MATCH("*"&amp;E359&amp;"*",'Top 1500 HS LatitudeLongitude'!G:G,0))</f>
        <v>1</v>
      </c>
      <c r="R359" s="13" t="str">
        <f ca="1">IFERROR(__xludf.DUMMYFUNCTION("IFS(L359=10,"""",Q359=false,"""",N359=5,"""",Q359=true,SORTN(FILTER('Top 1500 HS LatitudeLongitude'!B:B,'Top 1500 HS LatitudeLongitude'!C:C=I359,'Top 1500 HS LatitudeLongitude'!E:E=H359),1,0,randarray(COUNTA(FILTER('Top 1500 HS LatitudeLongitude'!B:B,'Top"&amp;" 1500 HS LatitudeLongitude'!C:C=I359,'Top 1500 HS LatitudeLongitude'!E:E=H359)),1),TRUE)
)"),"Village Christian Academy (Fayetteville)")</f>
        <v>Village Christian Academy (Fayetteville)</v>
      </c>
      <c r="S359" s="13" t="b">
        <f>ISNUMBER(MATCH("*"&amp;H:H&amp;"*",'Public Schools'!C:C,0))</f>
        <v>1</v>
      </c>
      <c r="T359" s="13" t="str">
        <f ca="1">IFERROR(__xludf.DUMMYFUNCTION("IFERROR(IF(AND(R359="""",S359=true), SORTN(FILTER('Public Schools'!A:A,'Public Schools'!B:B=J359,'Public Schools'!C:C=H359),1,0,randarray(COUNTA(FILTER('Public Schools'!A:A,'Public Schools'!B:B=J359,'Public Schools'!C:C=H359)),1),TRUE),""""),"""")"),"")</f>
        <v/>
      </c>
      <c r="U359" s="23" t="str">
        <f t="array" aca="1" ref="U359" ca="1">IF(AND(R359="",T359=""),INDEX('Top 1500 HS LatitudeLongitude'!B$2:B$1501,MATCH(MIN(SQRT(('Top 1500 HS LatitudeLongitude'!H$2:H$1501-F359)^2+('Top 1500 HS LatitudeLongitude'!I$2:I$1501-G359)^2)),SQRT( ('Top 1500 HS LatitudeLongitude'!H$2:H$1501-F359)^2+('Top 1500 HS LatitudeLongitude'!I$2:I$1501-G359)^2),0),1),"")</f>
        <v/>
      </c>
    </row>
    <row r="360" spans="2:21" ht="15.6">
      <c r="B360" s="8">
        <v>0.61125784549999995</v>
      </c>
      <c r="C360" s="9" t="s">
        <v>243</v>
      </c>
      <c r="D360" s="9" t="s">
        <v>336</v>
      </c>
      <c r="E360" s="126" t="s">
        <v>3798</v>
      </c>
      <c r="F360" s="8">
        <v>39.915999999999997</v>
      </c>
      <c r="G360" s="8">
        <v>-75.075900000000004</v>
      </c>
      <c r="H360" s="3" t="str">
        <f t="shared" si="0"/>
        <v>Pittsburgh</v>
      </c>
      <c r="I360" s="3" t="str">
        <f t="shared" si="1"/>
        <v>PA</v>
      </c>
      <c r="J360" s="3" t="str">
        <f t="array" ref="J360">INDEX('State Abbreviations'!$B$2:$B$52,MATCH(I360,'State Abbreviations'!$A$2:$A$52,0))</f>
        <v>Pennsylvania</v>
      </c>
      <c r="K360" s="125" t="e">
        <f t="shared" ca="1" si="12"/>
        <v>#NAME?</v>
      </c>
      <c r="L360" s="13">
        <f t="shared" ca="1" si="13"/>
        <v>4</v>
      </c>
      <c r="M360" s="13" t="str">
        <f ca="1">IFERROR(__xludf.DUMMYFUNCTION("IF(L360=10,ArrayFormula(VLOOKUP(QUERY(UNIQUE(RANDBETWEEN(ROW(INDIRECT(""A1:A""&amp;COUNTA('Leaving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0" s="13">
        <f t="shared" ca="1" si="14"/>
        <v>4</v>
      </c>
      <c r="O360" s="13"/>
      <c r="P360" s="13"/>
      <c r="Q360" s="13" t="b">
        <f>ISNUMBER(MATCH("*"&amp;E360&amp;"*",'Top 1500 HS LatitudeLongitude'!G:G,0))</f>
        <v>1</v>
      </c>
      <c r="R360" s="13" t="str">
        <f ca="1">IFERROR(__xludf.DUMMYFUNCTION("IFS(L360=10,"""",Q360=false,"""",N360=5,"""",Q360=true,SORTN(FILTER('Top 1500 HS LatitudeLongitude'!B:B,'Top 1500 HS LatitudeLongitude'!C:C=I360,'Top 1500 HS LatitudeLongitude'!E:E=H360),1,0,randarray(COUNTA(FILTER('Top 1500 HS LatitudeLongitude'!B:B,'Top"&amp;" 1500 HS LatitudeLongitude'!C:C=I360,'Top 1500 HS LatitudeLongitude'!E:E=H360)),1),TRUE)
)"),"Upper St. Clair")</f>
        <v>Upper St. Clair</v>
      </c>
      <c r="S360" s="13" t="b">
        <f>ISNUMBER(MATCH("*"&amp;H:H&amp;"*",'Public Schools'!C:C,0))</f>
        <v>1</v>
      </c>
      <c r="T360" s="13" t="str">
        <f ca="1">IFERROR(__xludf.DUMMYFUNCTION("IFERROR(IF(AND(R360="""",S360=true), SORTN(FILTER('Public Schools'!A:A,'Public Schools'!B:B=J360,'Public Schools'!C:C=H360),1,0,randarray(COUNTA(FILTER('Public Schools'!A:A,'Public Schools'!B:B=J360,'Public Schools'!C:C=H360)),1),TRUE),""""),"""")"),"")</f>
        <v/>
      </c>
      <c r="U360" s="23" t="str">
        <f t="array" aca="1" ref="U360" ca="1">IF(AND(R360="",T360=""),INDEX('Top 1500 HS LatitudeLongitude'!B$2:B$1501,MATCH(MIN(SQRT(('Top 1500 HS LatitudeLongitude'!H$2:H$1501-F360)^2+('Top 1500 HS LatitudeLongitude'!I$2:I$1501-G360)^2)),SQRT( ('Top 1500 HS LatitudeLongitude'!H$2:H$1501-F360)^2+('Top 1500 HS LatitudeLongitude'!I$2:I$1501-G360)^2),0),1),"")</f>
        <v/>
      </c>
    </row>
    <row r="361" spans="2:21" ht="15.6">
      <c r="B361" s="8">
        <v>6.0114900319999998E-2</v>
      </c>
      <c r="C361" s="9" t="s">
        <v>212</v>
      </c>
      <c r="D361" s="9" t="s">
        <v>555</v>
      </c>
      <c r="E361" s="37" t="s">
        <v>13356</v>
      </c>
      <c r="F361" s="8">
        <v>32.831200000000003</v>
      </c>
      <c r="G361" s="8">
        <v>-117.1225</v>
      </c>
      <c r="H361" s="3" t="str">
        <f t="shared" si="0"/>
        <v>Wesson</v>
      </c>
      <c r="I361" s="3" t="str">
        <f t="shared" si="1"/>
        <v>MS</v>
      </c>
      <c r="J361" s="3" t="str">
        <f t="array" ref="J361">INDEX('State Abbreviations'!$B$2:$B$52,MATCH(I361,'State Abbreviations'!$A$2:$A$52,0))</f>
        <v>Mississippi</v>
      </c>
      <c r="K361" s="125" t="e">
        <f t="shared" ca="1" si="12"/>
        <v>#NAME?</v>
      </c>
      <c r="L361" s="13">
        <f t="shared" ca="1" si="13"/>
        <v>4</v>
      </c>
      <c r="M361" s="13" t="str">
        <f ca="1">IFERROR(__xludf.DUMMYFUNCTION("IF(L361=10,ArrayFormula(VLOOKUP(QUERY(UNIQUE(RANDBETWEEN(ROW(INDIRECT(""A1:A""&amp;COUNTA('Leaving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1" s="13">
        <f t="shared" ca="1" si="14"/>
        <v>4</v>
      </c>
      <c r="O361" s="13"/>
      <c r="P361" s="13"/>
      <c r="Q361" s="13" t="b">
        <f>ISNUMBER(MATCH("*"&amp;E361&amp;"*",'Top 1500 HS LatitudeLongitude'!G:G,0))</f>
        <v>0</v>
      </c>
      <c r="R361" s="13" t="str">
        <f ca="1">IFERROR(__xludf.DUMMYFUNCTION("IFS(L361=10,"""",Q361=false,"""",N361=5,"""",Q361=true,SORTN(FILTER('Top 1500 HS LatitudeLongitude'!B:B,'Top 1500 HS LatitudeLongitude'!C:C=I361,'Top 1500 HS LatitudeLongitude'!E:E=H361),1,0,randarray(COUNTA(FILTER('Top 1500 HS LatitudeLongitude'!B:B,'Top"&amp;" 1500 HS LatitudeLongitude'!C:C=I361,'Top 1500 HS LatitudeLongitude'!E:E=H361)),1),TRUE)
)"),"")</f>
        <v/>
      </c>
      <c r="S361" s="13" t="b">
        <f>ISNUMBER(MATCH("*"&amp;H:H&amp;"*",'Public Schools'!C:C,0))</f>
        <v>0</v>
      </c>
      <c r="T361" s="13" t="str">
        <f ca="1">IFERROR(__xludf.DUMMYFUNCTION("IFERROR(IF(AND(R361="""",S361=true), SORTN(FILTER('Public Schools'!A:A,'Public Schools'!B:B=J361,'Public Schools'!C:C=H361),1,0,randarray(COUNTA(FILTER('Public Schools'!A:A,'Public Schools'!B:B=J361,'Public Schools'!C:C=H361)),1),TRUE),""""),"""")"),"")</f>
        <v/>
      </c>
      <c r="U361" s="23" t="str">
        <f t="array" aca="1" ref="U361" ca="1">IF(AND(R361="",T361=""),INDEX('Top 1500 HS LatitudeLongitude'!B$2:B$1501,MATCH(MIN(SQRT(('Top 1500 HS LatitudeLongitude'!H$2:H$1501-F361)^2+('Top 1500 HS LatitudeLongitude'!I$2:I$1501-G361)^2)),SQRT( ('Top 1500 HS LatitudeLongitude'!H$2:H$1501-F361)^2+('Top 1500 HS LatitudeLongitude'!I$2:I$1501-G361)^2),0),1),"")</f>
        <v>Francis Parker (San Diego)</v>
      </c>
    </row>
    <row r="362" spans="2:21" ht="15.6">
      <c r="B362" s="8">
        <v>0.67905443519999997</v>
      </c>
      <c r="C362" s="9" t="s">
        <v>23</v>
      </c>
      <c r="D362" s="9" t="s">
        <v>347</v>
      </c>
      <c r="E362" s="126" t="s">
        <v>4146</v>
      </c>
      <c r="F362" s="8">
        <v>41.193399999999997</v>
      </c>
      <c r="G362" s="8">
        <v>-73.951999999999998</v>
      </c>
      <c r="H362" s="3" t="str">
        <f t="shared" si="0"/>
        <v>Ann Arbor</v>
      </c>
      <c r="I362" s="3" t="str">
        <f t="shared" si="1"/>
        <v>MI</v>
      </c>
      <c r="J362" s="3" t="str">
        <f t="array" ref="J362">INDEX('State Abbreviations'!$B$2:$B$52,MATCH(I362,'State Abbreviations'!$A$2:$A$52,0))</f>
        <v>Michigan</v>
      </c>
      <c r="K362" s="125" t="e">
        <f t="shared" ca="1" si="12"/>
        <v>#NAME?</v>
      </c>
      <c r="L362" s="13">
        <f t="shared" ca="1" si="13"/>
        <v>1</v>
      </c>
      <c r="M362" s="13" t="str">
        <f ca="1">IFERROR(__xludf.DUMMYFUNCTION("IF(L362=10,ArrayFormula(VLOOKUP(QUERY(UNIQUE(RANDBETWEEN(ROW(INDIRECT(""A1:A""&amp;COUNTA('Leaving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2" s="13">
        <f t="shared" ca="1" si="14"/>
        <v>1</v>
      </c>
      <c r="O362" s="13"/>
      <c r="P362" s="13"/>
      <c r="Q362" s="13" t="b">
        <f>ISNUMBER(MATCH("*"&amp;E362&amp;"*",'Top 1500 HS LatitudeLongitude'!G:G,0))</f>
        <v>1</v>
      </c>
      <c r="R362" s="13" t="str">
        <f ca="1">IFERROR(__xludf.DUMMYFUNCTION("IFS(L362=10,"""",Q362=false,"""",N362=5,"""",Q362=true,SORTN(FILTER('Top 1500 HS LatitudeLongitude'!B:B,'Top 1500 HS LatitudeLongitude'!C:C=I362,'Top 1500 HS LatitudeLongitude'!E:E=H362),1,0,randarray(COUNTA(FILTER('Top 1500 HS LatitudeLongitude'!B:B,'Top"&amp;" 1500 HS LatitudeLongitude'!C:C=I362,'Top 1500 HS LatitudeLongitude'!E:E=H362)),1),TRUE)
)"),"Huron (Ann Arbor)")</f>
        <v>Huron (Ann Arbor)</v>
      </c>
      <c r="S362" s="13" t="b">
        <f>ISNUMBER(MATCH("*"&amp;H:H&amp;"*",'Public Schools'!C:C,0))</f>
        <v>1</v>
      </c>
      <c r="T362" s="13" t="str">
        <f ca="1">IFERROR(__xludf.DUMMYFUNCTION("IFERROR(IF(AND(R362="""",S362=true), SORTN(FILTER('Public Schools'!A:A,'Public Schools'!B:B=J362,'Public Schools'!C:C=H362),1,0,randarray(COUNTA(FILTER('Public Schools'!A:A,'Public Schools'!B:B=J362,'Public Schools'!C:C=H362)),1),TRUE),""""),"""")"),"")</f>
        <v/>
      </c>
      <c r="U362" s="23" t="str">
        <f t="array" aca="1" ref="U362" ca="1">IF(AND(R362="",T362=""),INDEX('Top 1500 HS LatitudeLongitude'!B$2:B$1501,MATCH(MIN(SQRT(('Top 1500 HS LatitudeLongitude'!H$2:H$1501-F362)^2+('Top 1500 HS LatitudeLongitude'!I$2:I$1501-G362)^2)),SQRT( ('Top 1500 HS LatitudeLongitude'!H$2:H$1501-F362)^2+('Top 1500 HS LatitudeLongitude'!I$2:I$1501-G362)^2),0),1),"")</f>
        <v/>
      </c>
    </row>
    <row r="363" spans="2:21" ht="15.6">
      <c r="B363" s="8">
        <v>0.41615941839999998</v>
      </c>
      <c r="C363" s="9" t="s">
        <v>492</v>
      </c>
      <c r="D363" s="9" t="s">
        <v>556</v>
      </c>
      <c r="E363" s="37" t="s">
        <v>13442</v>
      </c>
      <c r="F363" s="8">
        <v>42.318899999999999</v>
      </c>
      <c r="G363" s="8">
        <v>-71.083799999999997</v>
      </c>
      <c r="H363" s="3" t="str">
        <f t="shared" si="0"/>
        <v>Billings</v>
      </c>
      <c r="I363" s="3" t="str">
        <f t="shared" si="1"/>
        <v>MT</v>
      </c>
      <c r="J363" s="3" t="str">
        <f t="array" ref="J363">INDEX('State Abbreviations'!$B$2:$B$52,MATCH(I363,'State Abbreviations'!$A$2:$A$52,0))</f>
        <v>Montana</v>
      </c>
      <c r="K363" s="125" t="e">
        <f t="shared" ca="1" si="12"/>
        <v>#NAME?</v>
      </c>
      <c r="L363" s="13">
        <f t="shared" ca="1" si="13"/>
        <v>5</v>
      </c>
      <c r="M363" s="13" t="str">
        <f ca="1">IFERROR(__xludf.DUMMYFUNCTION("IF(L363=10,ArrayFormula(VLOOKUP(QUERY(UNIQUE(RANDBETWEEN(ROW(INDIRECT(""A1:A""&amp;COUNTA('Leaving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3" s="13">
        <f t="shared" ca="1" si="14"/>
        <v>2</v>
      </c>
      <c r="O363" s="13"/>
      <c r="P363" s="13"/>
      <c r="Q363" s="13" t="b">
        <f>ISNUMBER(MATCH("*"&amp;E363&amp;"*",'Top 1500 HS LatitudeLongitude'!G:G,0))</f>
        <v>1</v>
      </c>
      <c r="R363" s="13" t="str">
        <f ca="1">IFERROR(__xludf.DUMMYFUNCTION("IFS(L363=10,"""",Q363=false,"""",N363=5,"""",Q363=true,SORTN(FILTER('Top 1500 HS LatitudeLongitude'!B:B,'Top 1500 HS LatitudeLongitude'!C:C=I363,'Top 1500 HS LatitudeLongitude'!E:E=H363),1,0,randarray(COUNTA(FILTER('Top 1500 HS LatitudeLongitude'!B:B,'Top"&amp;" 1500 HS LatitudeLongitude'!C:C=I363,'Top 1500 HS LatitudeLongitude'!E:E=H363)),1),TRUE)
)"),"Billings West (Billings)")</f>
        <v>Billings West (Billings)</v>
      </c>
      <c r="S363" s="13" t="b">
        <f>ISNUMBER(MATCH("*"&amp;H:H&amp;"*",'Public Schools'!C:C,0))</f>
        <v>1</v>
      </c>
      <c r="T363" s="13" t="str">
        <f ca="1">IFERROR(__xludf.DUMMYFUNCTION("IFERROR(IF(AND(R363="""",S363=true), SORTN(FILTER('Public Schools'!A:A,'Public Schools'!B:B=J363,'Public Schools'!C:C=H363),1,0,randarray(COUNTA(FILTER('Public Schools'!A:A,'Public Schools'!B:B=J363,'Public Schools'!C:C=H363)),1),TRUE),""""),"""")"),"")</f>
        <v/>
      </c>
      <c r="U363" s="23" t="str">
        <f t="array" aca="1" ref="U363" ca="1">IF(AND(R363="",T363=""),INDEX('Top 1500 HS LatitudeLongitude'!B$2:B$1501,MATCH(MIN(SQRT(('Top 1500 HS LatitudeLongitude'!H$2:H$1501-F363)^2+('Top 1500 HS LatitudeLongitude'!I$2:I$1501-G363)^2)),SQRT( ('Top 1500 HS LatitudeLongitude'!H$2:H$1501-F363)^2+('Top 1500 HS LatitudeLongitude'!I$2:I$1501-G363)^2),0),1),"")</f>
        <v/>
      </c>
    </row>
    <row r="364" spans="2:21" ht="15.6">
      <c r="B364" s="8">
        <v>9.6831997959999999E-2</v>
      </c>
      <c r="C364" s="9" t="s">
        <v>266</v>
      </c>
      <c r="D364" s="9" t="s">
        <v>558</v>
      </c>
      <c r="E364" s="126" t="s">
        <v>13485</v>
      </c>
      <c r="F364" s="8">
        <v>36.828299999999999</v>
      </c>
      <c r="G364" s="8">
        <v>-119.68510000000001</v>
      </c>
      <c r="H364" s="3" t="str">
        <f t="shared" si="0"/>
        <v>Williamsburg</v>
      </c>
      <c r="I364" s="3" t="str">
        <f t="shared" si="1"/>
        <v>VA</v>
      </c>
      <c r="J364" s="3" t="str">
        <f t="array" ref="J364">INDEX('State Abbreviations'!$B$2:$B$52,MATCH(I364,'State Abbreviations'!$A$2:$A$52,0))</f>
        <v>Virginia</v>
      </c>
      <c r="K364" s="125" t="e">
        <f t="shared" ca="1" si="12"/>
        <v>#NAME?</v>
      </c>
      <c r="L364" s="13">
        <f t="shared" ca="1" si="13"/>
        <v>5</v>
      </c>
      <c r="M364" s="13" t="str">
        <f ca="1">IFERROR(__xludf.DUMMYFUNCTION("IF(L364=10,ArrayFormula(VLOOKUP(QUERY(UNIQUE(RANDBETWEEN(ROW(INDIRECT(""A1:A""&amp;COUNTA('Leaving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4" s="13">
        <f t="shared" ca="1" si="14"/>
        <v>4</v>
      </c>
      <c r="O364" s="13"/>
      <c r="P364" s="13"/>
      <c r="Q364" s="13" t="b">
        <f>ISNUMBER(MATCH("*"&amp;E364&amp;"*",'Top 1500 HS LatitudeLongitude'!G:G,0))</f>
        <v>0</v>
      </c>
      <c r="R364" s="13" t="str">
        <f ca="1">IFERROR(__xludf.DUMMYFUNCTION("IFS(L364=10,"""",Q364=false,"""",N364=5,"""",Q364=true,SORTN(FILTER('Top 1500 HS LatitudeLongitude'!B:B,'Top 1500 HS LatitudeLongitude'!C:C=I364,'Top 1500 HS LatitudeLongitude'!E:E=H364),1,0,randarray(COUNTA(FILTER('Top 1500 HS LatitudeLongitude'!B:B,'Top"&amp;" 1500 HS LatitudeLongitude'!C:C=I364,'Top 1500 HS LatitudeLongitude'!E:E=H364)),1),TRUE)
)"),"")</f>
        <v/>
      </c>
      <c r="S364" s="13" t="b">
        <f>ISNUMBER(MATCH("*"&amp;H:H&amp;"*",'Public Schools'!C:C,0))</f>
        <v>1</v>
      </c>
      <c r="T364" s="13" t="str">
        <f ca="1">IFERROR(__xludf.DUMMYFUNCTION("IFERROR(IF(AND(R364="""",S364=true), SORTN(FILTER('Public Schools'!A:A,'Public Schools'!B:B=J364,'Public Schools'!C:C=H364),1,0,randarray(COUNTA(FILTER('Public Schools'!A:A,'Public Schools'!B:B=J364,'Public Schools'!C:C=H364)),1),TRUE),""""),"""")"),"Jamestown High School")</f>
        <v>Jamestown High School</v>
      </c>
      <c r="U364" s="23" t="str">
        <f t="array" aca="1" ref="U364" ca="1">IF(AND(R364="",T364=""),INDEX('Top 1500 HS LatitudeLongitude'!B$2:B$1501,MATCH(MIN(SQRT(('Top 1500 HS LatitudeLongitude'!H$2:H$1501-F364)^2+('Top 1500 HS LatitudeLongitude'!I$2:I$1501-G364)^2)),SQRT( ('Top 1500 HS LatitudeLongitude'!H$2:H$1501-F364)^2+('Top 1500 HS LatitudeLongitude'!I$2:I$1501-G364)^2),0),1),"")</f>
        <v/>
      </c>
    </row>
    <row r="365" spans="2:21" ht="15.6">
      <c r="B365" s="8">
        <v>0.69539705169999999</v>
      </c>
      <c r="C365" s="9" t="s">
        <v>221</v>
      </c>
      <c r="D365" s="9" t="s">
        <v>416</v>
      </c>
      <c r="E365" s="37" t="s">
        <v>13530</v>
      </c>
      <c r="F365" s="8">
        <v>40.765500000000003</v>
      </c>
      <c r="G365" s="8">
        <v>-82.527600000000007</v>
      </c>
      <c r="H365" s="3" t="str">
        <f t="shared" si="0"/>
        <v>Springfield</v>
      </c>
      <c r="I365" s="3" t="str">
        <f t="shared" si="1"/>
        <v>MA</v>
      </c>
      <c r="J365" s="3" t="str">
        <f t="array" ref="J365">INDEX('State Abbreviations'!$B$2:$B$52,MATCH(I365,'State Abbreviations'!$A$2:$A$52,0))</f>
        <v>Massachusetts</v>
      </c>
      <c r="K365" s="125" t="e">
        <f t="shared" ca="1" si="12"/>
        <v>#NAME?</v>
      </c>
      <c r="L365" s="13">
        <f t="shared" ca="1" si="13"/>
        <v>7</v>
      </c>
      <c r="M365" s="13" t="str">
        <f ca="1">IFERROR(__xludf.DUMMYFUNCTION("IF(L365=10,ArrayFormula(VLOOKUP(QUERY(UNIQUE(RANDBETWEEN(ROW(INDIRECT(""A1:A""&amp;COUNTA('Leaving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5" s="13">
        <f t="shared" ca="1" si="14"/>
        <v>1</v>
      </c>
      <c r="O365" s="13"/>
      <c r="P365" s="13"/>
      <c r="Q365" s="13" t="b">
        <f>ISNUMBER(MATCH("*"&amp;E365&amp;"*",'Top 1500 HS LatitudeLongitude'!G:G,0))</f>
        <v>1</v>
      </c>
      <c r="R365" s="13" t="str">
        <f ca="1">IFERROR(__xludf.DUMMYFUNCTION("IFS(L365=10,"""",Q365=false,"""",N365=5,"""",Q365=true,SORTN(FILTER('Top 1500 HS LatitudeLongitude'!B:B,'Top 1500 HS LatitudeLongitude'!C:C=I365,'Top 1500 HS LatitudeLongitude'!E:E=H365),1,0,randarray(COUNTA(FILTER('Top 1500 HS LatitudeLongitude'!B:B,'Top"&amp;" 1500 HS LatitudeLongitude'!C:C=I365,'Top 1500 HS LatitudeLongitude'!E:E=H365)),1),TRUE)
)"),"Central (Springfield)")</f>
        <v>Central (Springfield)</v>
      </c>
      <c r="S365" s="13" t="b">
        <f>ISNUMBER(MATCH("*"&amp;H:H&amp;"*",'Public Schools'!C:C,0))</f>
        <v>1</v>
      </c>
      <c r="T365" s="13" t="str">
        <f ca="1">IFERROR(__xludf.DUMMYFUNCTION("IFERROR(IF(AND(R365="""",S365=true), SORTN(FILTER('Public Schools'!A:A,'Public Schools'!B:B=J365,'Public Schools'!C:C=H365),1,0,randarray(COUNTA(FILTER('Public Schools'!A:A,'Public Schools'!B:B=J365,'Public Schools'!C:C=H365)),1),TRUE),""""),"""")"),"")</f>
        <v/>
      </c>
      <c r="U365" s="23" t="str">
        <f t="array" aca="1" ref="U365" ca="1">IF(AND(R365="",T365=""),INDEX('Top 1500 HS LatitudeLongitude'!B$2:B$1501,MATCH(MIN(SQRT(('Top 1500 HS LatitudeLongitude'!H$2:H$1501-F365)^2+('Top 1500 HS LatitudeLongitude'!I$2:I$1501-G365)^2)),SQRT( ('Top 1500 HS LatitudeLongitude'!H$2:H$1501-F365)^2+('Top 1500 HS LatitudeLongitude'!I$2:I$1501-G365)^2),0),1),"")</f>
        <v/>
      </c>
    </row>
    <row r="366" spans="2:21" ht="15.6">
      <c r="B366" s="8">
        <v>0.4245827137</v>
      </c>
      <c r="C366" s="9" t="s">
        <v>148</v>
      </c>
      <c r="D366" s="9" t="s">
        <v>291</v>
      </c>
      <c r="E366" s="126" t="s">
        <v>11815</v>
      </c>
      <c r="F366" s="8">
        <v>42.568100000000001</v>
      </c>
      <c r="G366" s="8">
        <v>-70.862700000000004</v>
      </c>
      <c r="H366" s="3" t="str">
        <f t="shared" si="0"/>
        <v>Gainesville</v>
      </c>
      <c r="I366" s="3" t="str">
        <f t="shared" si="1"/>
        <v>GA</v>
      </c>
      <c r="J366" s="3" t="str">
        <f t="array" ref="J366">INDEX('State Abbreviations'!$B$2:$B$52,MATCH(I366,'State Abbreviations'!$A$2:$A$52,0))</f>
        <v>Georgia</v>
      </c>
      <c r="K366" s="125" t="e">
        <f t="shared" ca="1" si="12"/>
        <v>#NAME?</v>
      </c>
      <c r="L366" s="13">
        <f t="shared" ca="1" si="13"/>
        <v>4</v>
      </c>
      <c r="M366" s="13" t="str">
        <f ca="1">IFERROR(__xludf.DUMMYFUNCTION("IF(L366=10,ArrayFormula(VLOOKUP(QUERY(UNIQUE(RANDBETWEEN(ROW(INDIRECT(""A1:A""&amp;COUNTA('Leaving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6" s="13">
        <f t="shared" ca="1" si="14"/>
        <v>1</v>
      </c>
      <c r="O366" s="13"/>
      <c r="P366" s="13"/>
      <c r="Q366" s="13" t="b">
        <f>ISNUMBER(MATCH("*"&amp;E366&amp;"*",'Top 1500 HS LatitudeLongitude'!G:G,0))</f>
        <v>0</v>
      </c>
      <c r="R366" s="13" t="str">
        <f ca="1">IFERROR(__xludf.DUMMYFUNCTION("IFS(L366=10,"""",Q366=false,"""",N366=5,"""",Q366=true,SORTN(FILTER('Top 1500 HS LatitudeLongitude'!B:B,'Top 1500 HS LatitudeLongitude'!C:C=I366,'Top 1500 HS LatitudeLongitude'!E:E=H366),1,0,randarray(COUNTA(FILTER('Top 1500 HS LatitudeLongitude'!B:B,'Top"&amp;" 1500 HS LatitudeLongitude'!C:C=I366,'Top 1500 HS LatitudeLongitude'!E:E=H366)),1),TRUE)
)"),"")</f>
        <v/>
      </c>
      <c r="S366" s="13" t="b">
        <f>ISNUMBER(MATCH("*"&amp;H:H&amp;"*",'Public Schools'!C:C,0))</f>
        <v>1</v>
      </c>
      <c r="T366" s="13" t="str">
        <f ca="1">IFERROR(__xludf.DUMMYFUNCTION("IFERROR(IF(AND(R366="""",S366=true), SORTN(FILTER('Public Schools'!A:A,'Public Schools'!B:B=J366,'Public Schools'!C:C=H366),1,0,randarray(COUNTA(FILTER('Public Schools'!A:A,'Public Schools'!B:B=J366,'Public Schools'!C:C=H366)),1),TRUE),""""),"""")"),"Lanier College And Career Academy")</f>
        <v>Lanier College And Career Academy</v>
      </c>
      <c r="U366" s="23" t="str">
        <f t="array" aca="1" ref="U366" ca="1">IF(AND(R366="",T366=""),INDEX('Top 1500 HS LatitudeLongitude'!B$2:B$1501,MATCH(MIN(SQRT(('Top 1500 HS LatitudeLongitude'!H$2:H$1501-F366)^2+('Top 1500 HS LatitudeLongitude'!I$2:I$1501-G366)^2)),SQRT( ('Top 1500 HS LatitudeLongitude'!H$2:H$1501-F366)^2+('Top 1500 HS LatitudeLongitude'!I$2:I$1501-G366)^2),0),1),"")</f>
        <v/>
      </c>
    </row>
    <row r="367" spans="2:21" ht="15.6">
      <c r="B367" s="8">
        <v>0.88130513769999996</v>
      </c>
      <c r="C367" s="9" t="s">
        <v>114</v>
      </c>
      <c r="D367" s="9" t="s">
        <v>559</v>
      </c>
      <c r="E367" s="37" t="s">
        <v>13660</v>
      </c>
      <c r="F367" s="8">
        <v>32.971699999999998</v>
      </c>
      <c r="G367" s="8">
        <v>-96.709199999999996</v>
      </c>
      <c r="H367" s="3" t="str">
        <f t="shared" si="0"/>
        <v>Saint Petersburg</v>
      </c>
      <c r="I367" s="3" t="str">
        <f t="shared" si="1"/>
        <v>FL</v>
      </c>
      <c r="J367" s="3" t="str">
        <f t="array" ref="J367">INDEX('State Abbreviations'!$B$2:$B$52,MATCH(I367,'State Abbreviations'!$A$2:$A$52,0))</f>
        <v>Florida</v>
      </c>
      <c r="K367" s="125" t="e">
        <f t="shared" ca="1" si="12"/>
        <v>#NAME?</v>
      </c>
      <c r="L367" s="13">
        <f t="shared" ca="1" si="13"/>
        <v>6</v>
      </c>
      <c r="M367" s="13" t="str">
        <f ca="1">IFERROR(__xludf.DUMMYFUNCTION("IF(L367=10,ArrayFormula(VLOOKUP(QUERY(UNIQUE(RANDBETWEEN(ROW(INDIRECT(""A1:A""&amp;COUNTA('Leaving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7" s="13">
        <f t="shared" ca="1" si="14"/>
        <v>3</v>
      </c>
      <c r="O367" s="13"/>
      <c r="P367" s="13"/>
      <c r="Q367" s="13" t="b">
        <f>ISNUMBER(MATCH("*"&amp;E367&amp;"*",'Top 1500 HS LatitudeLongitude'!G:G,0))</f>
        <v>0</v>
      </c>
      <c r="R367" s="13" t="str">
        <f ca="1">IFERROR(__xludf.DUMMYFUNCTION("IFS(L367=10,"""",Q367=false,"""",N367=5,"""",Q367=true,SORTN(FILTER('Top 1500 HS LatitudeLongitude'!B:B,'Top 1500 HS LatitudeLongitude'!C:C=I367,'Top 1500 HS LatitudeLongitude'!E:E=H367),1,0,randarray(COUNTA(FILTER('Top 1500 HS LatitudeLongitude'!B:B,'Top"&amp;" 1500 HS LatitudeLongitude'!C:C=I367,'Top 1500 HS LatitudeLongitude'!E:E=H367)),1),TRUE)
)"),"")</f>
        <v/>
      </c>
      <c r="S367" s="13" t="b">
        <f>ISNUMBER(MATCH("*"&amp;H:H&amp;"*",'Public Schools'!C:C,0))</f>
        <v>0</v>
      </c>
      <c r="T367" s="13" t="str">
        <f ca="1">IFERROR(__xludf.DUMMYFUNCTION("IFERROR(IF(AND(R367="""",S367=true), SORTN(FILTER('Public Schools'!A:A,'Public Schools'!B:B=J367,'Public Schools'!C:C=H367),1,0,randarray(COUNTA(FILTER('Public Schools'!A:A,'Public Schools'!B:B=J367,'Public Schools'!C:C=H367)),1),TRUE),""""),"""")"),"")</f>
        <v/>
      </c>
      <c r="U367" s="23" t="str">
        <f t="array" aca="1" ref="U367" ca="1">IF(AND(R367="",T367=""),INDEX('Top 1500 HS LatitudeLongitude'!B$2:B$1501,MATCH(MIN(SQRT(('Top 1500 HS LatitudeLongitude'!H$2:H$1501-F367)^2+('Top 1500 HS LatitudeLongitude'!I$2:I$1501-G367)^2)),SQRT( ('Top 1500 HS LatitudeLongitude'!H$2:H$1501-F367)^2+('Top 1500 HS LatitudeLongitude'!I$2:I$1501-G367)^2),0),1),"")</f>
        <v>Richardson</v>
      </c>
    </row>
    <row r="368" spans="2:21" ht="15.6">
      <c r="B368" s="8">
        <v>0.41807398070000001</v>
      </c>
      <c r="C368" s="9" t="s">
        <v>47</v>
      </c>
      <c r="D368" s="9" t="s">
        <v>237</v>
      </c>
      <c r="E368" s="126" t="s">
        <v>151</v>
      </c>
      <c r="F368" s="8">
        <v>41.669699999999999</v>
      </c>
      <c r="G368" s="8">
        <v>-70.942800000000005</v>
      </c>
      <c r="H368" s="3" t="str">
        <f t="shared" si="0"/>
        <v>San Diego</v>
      </c>
      <c r="I368" s="3" t="str">
        <f t="shared" si="1"/>
        <v>CA</v>
      </c>
      <c r="J368" s="3" t="str">
        <f t="array" ref="J368">INDEX('State Abbreviations'!$B$2:$B$52,MATCH(I368,'State Abbreviations'!$A$2:$A$52,0))</f>
        <v>California</v>
      </c>
      <c r="K368" s="125" t="e">
        <f t="shared" ca="1" si="12"/>
        <v>#NAME?</v>
      </c>
      <c r="L368" s="13">
        <f t="shared" ca="1" si="13"/>
        <v>6</v>
      </c>
      <c r="M368" s="13" t="str">
        <f ca="1">IFERROR(__xludf.DUMMYFUNCTION("IF(L368=10,ArrayFormula(VLOOKUP(QUERY(UNIQUE(RANDBETWEEN(ROW(INDIRECT(""A1:A""&amp;COUNTA('Leaving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8" s="13">
        <f t="shared" ca="1" si="14"/>
        <v>2</v>
      </c>
      <c r="O368" s="13"/>
      <c r="P368" s="13"/>
      <c r="Q368" s="13" t="b">
        <f>ISNUMBER(MATCH("*"&amp;E368&amp;"*",'Top 1500 HS LatitudeLongitude'!G:G,0))</f>
        <v>1</v>
      </c>
      <c r="R368" s="13" t="str">
        <f ca="1">IFERROR(__xludf.DUMMYFUNCTION("IFS(L368=10,"""",Q368=false,"""",N368=5,"""",Q368=true,SORTN(FILTER('Top 1500 HS LatitudeLongitude'!B:B,'Top 1500 HS LatitudeLongitude'!C:C=I368,'Top 1500 HS LatitudeLongitude'!E:E=H368),1,0,randarray(COUNTA(FILTER('Top 1500 HS LatitudeLongitude'!B:B,'Top"&amp;" 1500 HS LatitudeLongitude'!C:C=I368,'Top 1500 HS LatitudeLongitude'!E:E=H368)),1),TRUE)
)"),"Francis Parker (San Diego)")</f>
        <v>Francis Parker (San Diego)</v>
      </c>
      <c r="S368" s="13" t="b">
        <f>ISNUMBER(MATCH("*"&amp;H:H&amp;"*",'Public Schools'!C:C,0))</f>
        <v>1</v>
      </c>
      <c r="T368" s="13" t="str">
        <f ca="1">IFERROR(__xludf.DUMMYFUNCTION("IFERROR(IF(AND(R368="""",S368=true), SORTN(FILTER('Public Schools'!A:A,'Public Schools'!B:B=J368,'Public Schools'!C:C=H368),1,0,randarray(COUNTA(FILTER('Public Schools'!A:A,'Public Schools'!B:B=J368,'Public Schools'!C:C=H368)),1),TRUE),""""),"""")"),"")</f>
        <v/>
      </c>
      <c r="U368" s="23" t="str">
        <f t="array" aca="1" ref="U368" ca="1">IF(AND(R368="",T368=""),INDEX('Top 1500 HS LatitudeLongitude'!B$2:B$1501,MATCH(MIN(SQRT(('Top 1500 HS LatitudeLongitude'!H$2:H$1501-F368)^2+('Top 1500 HS LatitudeLongitude'!I$2:I$1501-G368)^2)),SQRT( ('Top 1500 HS LatitudeLongitude'!H$2:H$1501-F368)^2+('Top 1500 HS LatitudeLongitude'!I$2:I$1501-G368)^2),0),1),"")</f>
        <v/>
      </c>
    </row>
    <row r="369" spans="2:21" ht="15.6">
      <c r="B369" s="8">
        <v>0.94940264190000001</v>
      </c>
      <c r="C369" s="9" t="s">
        <v>47</v>
      </c>
      <c r="D369" s="9" t="s">
        <v>225</v>
      </c>
      <c r="E369" s="37" t="s">
        <v>13736</v>
      </c>
      <c r="F369" s="8">
        <v>36.695300000000003</v>
      </c>
      <c r="G369" s="8">
        <v>-76.639799999999994</v>
      </c>
      <c r="H369" s="3" t="str">
        <f t="shared" si="0"/>
        <v>Glendale</v>
      </c>
      <c r="I369" s="3" t="str">
        <f t="shared" si="1"/>
        <v>CA</v>
      </c>
      <c r="J369" s="3" t="str">
        <f t="array" ref="J369">INDEX('State Abbreviations'!$B$2:$B$52,MATCH(I369,'State Abbreviations'!$A$2:$A$52,0))</f>
        <v>California</v>
      </c>
      <c r="K369" s="125" t="e">
        <f t="shared" ca="1" si="12"/>
        <v>#NAME?</v>
      </c>
      <c r="L369" s="13">
        <f t="shared" ca="1" si="13"/>
        <v>4</v>
      </c>
      <c r="M369" s="13" t="str">
        <f ca="1">IFERROR(__xludf.DUMMYFUNCTION("IF(L369=10,ArrayFormula(VLOOKUP(QUERY(UNIQUE(RANDBETWEEN(ROW(INDIRECT(""A1:A""&amp;COUNTA('Leaving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69" s="13">
        <f t="shared" ca="1" si="14"/>
        <v>4</v>
      </c>
      <c r="O369" s="13"/>
      <c r="P369" s="13"/>
      <c r="Q369" s="13" t="b">
        <f>ISNUMBER(MATCH("*"&amp;E369&amp;"*",'Top 1500 HS LatitudeLongitude'!G:G,0))</f>
        <v>0</v>
      </c>
      <c r="R369" s="13" t="str">
        <f ca="1">IFERROR(__xludf.DUMMYFUNCTION("IFS(L369=10,"""",Q369=false,"""",N369=5,"""",Q369=true,SORTN(FILTER('Top 1500 HS LatitudeLongitude'!B:B,'Top 1500 HS LatitudeLongitude'!C:C=I369,'Top 1500 HS LatitudeLongitude'!E:E=H369),1,0,randarray(COUNTA(FILTER('Top 1500 HS LatitudeLongitude'!B:B,'Top"&amp;" 1500 HS LatitudeLongitude'!C:C=I369,'Top 1500 HS LatitudeLongitude'!E:E=H369)),1),TRUE)
)"),"")</f>
        <v/>
      </c>
      <c r="S369" s="13" t="b">
        <f>ISNUMBER(MATCH("*"&amp;H:H&amp;"*",'Public Schools'!C:C,0))</f>
        <v>1</v>
      </c>
      <c r="T369" s="13" t="str">
        <f ca="1">IFERROR(__xludf.DUMMYFUNCTION("IFERROR(IF(AND(R369="""",S369=true), SORTN(FILTER('Public Schools'!A:A,'Public Schools'!B:B=J369,'Public Schools'!C:C=H369),1,0,randarray(COUNTA(FILTER('Public Schools'!A:A,'Public Schools'!B:B=J369,'Public Schools'!C:C=H369)),1),TRUE),""""),"""")"),"Herbert Hoover High School")</f>
        <v>Herbert Hoover High School</v>
      </c>
      <c r="U369" s="23" t="str">
        <f t="array" aca="1" ref="U369" ca="1">IF(AND(R369="",T369=""),INDEX('Top 1500 HS LatitudeLongitude'!B$2:B$1501,MATCH(MIN(SQRT(('Top 1500 HS LatitudeLongitude'!H$2:H$1501-F369)^2+('Top 1500 HS LatitudeLongitude'!I$2:I$1501-G369)^2)),SQRT( ('Top 1500 HS LatitudeLongitude'!H$2:H$1501-F369)^2+('Top 1500 HS LatitudeLongitude'!I$2:I$1501-G369)^2),0),1),"")</f>
        <v/>
      </c>
    </row>
    <row r="370" spans="2:21" ht="15.6">
      <c r="B370" s="8">
        <v>0.15126876219999999</v>
      </c>
      <c r="C370" s="9" t="s">
        <v>245</v>
      </c>
      <c r="D370" s="9" t="s">
        <v>560</v>
      </c>
      <c r="E370" s="126" t="s">
        <v>13778</v>
      </c>
      <c r="F370" s="8">
        <v>41.273800000000001</v>
      </c>
      <c r="G370" s="8">
        <v>-72.966899999999995</v>
      </c>
      <c r="H370" s="3" t="str">
        <f t="shared" si="0"/>
        <v>Moses Lake</v>
      </c>
      <c r="I370" s="3" t="str">
        <f t="shared" si="1"/>
        <v>WA</v>
      </c>
      <c r="J370" s="3" t="str">
        <f t="array" ref="J370">INDEX('State Abbreviations'!$B$2:$B$52,MATCH(I370,'State Abbreviations'!$A$2:$A$52,0))</f>
        <v>Washington</v>
      </c>
      <c r="K370" s="125" t="e">
        <f t="shared" ca="1" si="12"/>
        <v>#NAME?</v>
      </c>
      <c r="L370" s="13">
        <f t="shared" ca="1" si="13"/>
        <v>6</v>
      </c>
      <c r="M370" s="13" t="str">
        <f ca="1">IFERROR(__xludf.DUMMYFUNCTION("IF(L370=10,ArrayFormula(VLOOKUP(QUERY(UNIQUE(RANDBETWEEN(ROW(INDIRECT(""A1:A""&amp;COUNTA('Leaving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0" s="13">
        <f t="shared" ca="1" si="14"/>
        <v>2</v>
      </c>
      <c r="O370" s="13"/>
      <c r="P370" s="13"/>
      <c r="Q370" s="13" t="b">
        <f>ISNUMBER(MATCH("*"&amp;E370&amp;"*",'Top 1500 HS LatitudeLongitude'!G:G,0))</f>
        <v>0</v>
      </c>
      <c r="R370" s="13" t="str">
        <f ca="1">IFERROR(__xludf.DUMMYFUNCTION("IFS(L370=10,"""",Q370=false,"""",N370=5,"""",Q370=true,SORTN(FILTER('Top 1500 HS LatitudeLongitude'!B:B,'Top 1500 HS LatitudeLongitude'!C:C=I370,'Top 1500 HS LatitudeLongitude'!E:E=H370),1,0,randarray(COUNTA(FILTER('Top 1500 HS LatitudeLongitude'!B:B,'Top"&amp;" 1500 HS LatitudeLongitude'!C:C=I370,'Top 1500 HS LatitudeLongitude'!E:E=H370)),1),TRUE)
)"),"")</f>
        <v/>
      </c>
      <c r="S370" s="13" t="b">
        <f>ISNUMBER(MATCH("*"&amp;H:H&amp;"*",'Public Schools'!C:C,0))</f>
        <v>1</v>
      </c>
      <c r="T370" s="13" t="str">
        <f ca="1">IFERROR(__xludf.DUMMYFUNCTION("IFERROR(IF(AND(R370="""",S370=true), SORTN(FILTER('Public Schools'!A:A,'Public Schools'!B:B=J370,'Public Schools'!C:C=H370),1,0,randarray(COUNTA(FILTER('Public Schools'!A:A,'Public Schools'!B:B=J370,'Public Schools'!C:C=H370)),1),TRUE),""""),"""")"),"Moses Lake High School")</f>
        <v>Moses Lake High School</v>
      </c>
      <c r="U370" s="23" t="str">
        <f t="array" aca="1" ref="U370" ca="1">IF(AND(R370="",T370=""),INDEX('Top 1500 HS LatitudeLongitude'!B$2:B$1501,MATCH(MIN(SQRT(('Top 1500 HS LatitudeLongitude'!H$2:H$1501-F370)^2+('Top 1500 HS LatitudeLongitude'!I$2:I$1501-G370)^2)),SQRT( ('Top 1500 HS LatitudeLongitude'!H$2:H$1501-F370)^2+('Top 1500 HS LatitudeLongitude'!I$2:I$1501-G370)^2),0),1),"")</f>
        <v/>
      </c>
    </row>
    <row r="371" spans="2:21" ht="15.6">
      <c r="B371" s="8">
        <v>0.91197563709999996</v>
      </c>
      <c r="C371" s="9" t="s">
        <v>341</v>
      </c>
      <c r="D371" s="9" t="s">
        <v>561</v>
      </c>
      <c r="E371" s="37" t="s">
        <v>13823</v>
      </c>
      <c r="F371" s="8">
        <v>30.953800000000001</v>
      </c>
      <c r="G371" s="8">
        <v>-95.909000000000006</v>
      </c>
      <c r="H371" s="3" t="str">
        <f t="shared" si="0"/>
        <v>Bristol</v>
      </c>
      <c r="I371" s="3" t="str">
        <f t="shared" si="1"/>
        <v>CT</v>
      </c>
      <c r="J371" s="3" t="str">
        <f t="array" ref="J371">INDEX('State Abbreviations'!$B$2:$B$52,MATCH(I371,'State Abbreviations'!$A$2:$A$52,0))</f>
        <v>Connecticut</v>
      </c>
      <c r="K371" s="125" t="e">
        <f t="shared" ca="1" si="12"/>
        <v>#NAME?</v>
      </c>
      <c r="L371" s="13">
        <f t="shared" ca="1" si="13"/>
        <v>8</v>
      </c>
      <c r="M371" s="13" t="str">
        <f ca="1">IFERROR(__xludf.DUMMYFUNCTION("IF(L371=10,ArrayFormula(VLOOKUP(QUERY(UNIQUE(RANDBETWEEN(ROW(INDIRECT(""A1:A""&amp;COUNTA('Leaving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1" s="13">
        <f t="shared" ca="1" si="14"/>
        <v>2</v>
      </c>
      <c r="O371" s="13"/>
      <c r="P371" s="13"/>
      <c r="Q371" s="13" t="b">
        <f>ISNUMBER(MATCH("*"&amp;E371&amp;"*",'Top 1500 HS LatitudeLongitude'!G:G,0))</f>
        <v>0</v>
      </c>
      <c r="R371" s="13" t="str">
        <f ca="1">IFERROR(__xludf.DUMMYFUNCTION("IFS(L371=10,"""",Q371=false,"""",N371=5,"""",Q371=true,SORTN(FILTER('Top 1500 HS LatitudeLongitude'!B:B,'Top 1500 HS LatitudeLongitude'!C:C=I371,'Top 1500 HS LatitudeLongitude'!E:E=H371),1,0,randarray(COUNTA(FILTER('Top 1500 HS LatitudeLongitude'!B:B,'Top"&amp;" 1500 HS LatitudeLongitude'!C:C=I371,'Top 1500 HS LatitudeLongitude'!E:E=H371)),1),TRUE)
)"),"")</f>
        <v/>
      </c>
      <c r="S371" s="13" t="b">
        <f>ISNUMBER(MATCH("*"&amp;H:H&amp;"*",'Public Schools'!C:C,0))</f>
        <v>1</v>
      </c>
      <c r="T371" s="13" t="str">
        <f ca="1">IFERROR(__xludf.DUMMYFUNCTION("IFERROR(IF(AND(R371="""",S371=true), SORTN(FILTER('Public Schools'!A:A,'Public Schools'!B:B=J371,'Public Schools'!C:C=H371),1,0,randarray(COUNTA(FILTER('Public Schools'!A:A,'Public Schools'!B:B=J371,'Public Schools'!C:C=H371)),1),TRUE),""""),"""")"),"Bristol Central High School")</f>
        <v>Bristol Central High School</v>
      </c>
      <c r="U371" s="23" t="str">
        <f t="array" aca="1" ref="U371" ca="1">IF(AND(R371="",T371=""),INDEX('Top 1500 HS LatitudeLongitude'!B$2:B$1501,MATCH(MIN(SQRT(('Top 1500 HS LatitudeLongitude'!H$2:H$1501-F371)^2+('Top 1500 HS LatitudeLongitude'!I$2:I$1501-G371)^2)),SQRT( ('Top 1500 HS LatitudeLongitude'!H$2:H$1501-F371)^2+('Top 1500 HS LatitudeLongitude'!I$2:I$1501-G371)^2),0),1),"")</f>
        <v/>
      </c>
    </row>
    <row r="372" spans="2:21" ht="15.6">
      <c r="B372" s="8">
        <v>0.67653283289999999</v>
      </c>
      <c r="C372" s="9" t="s">
        <v>300</v>
      </c>
      <c r="D372" s="9" t="s">
        <v>562</v>
      </c>
      <c r="E372" s="126" t="s">
        <v>13872</v>
      </c>
      <c r="F372" s="8">
        <v>43.092100000000002</v>
      </c>
      <c r="G372" s="8">
        <v>-79.014700000000005</v>
      </c>
      <c r="H372" s="3" t="str">
        <f t="shared" si="0"/>
        <v>Little Suamico</v>
      </c>
      <c r="I372" s="3" t="str">
        <f t="shared" si="1"/>
        <v>WI</v>
      </c>
      <c r="J372" s="3" t="str">
        <f t="array" ref="J372">INDEX('State Abbreviations'!$B$2:$B$52,MATCH(I372,'State Abbreviations'!$A$2:$A$52,0))</f>
        <v>Wisconsin</v>
      </c>
      <c r="K372" s="125" t="e">
        <f t="shared" ca="1" si="12"/>
        <v>#NAME?</v>
      </c>
      <c r="L372" s="13">
        <f t="shared" ca="1" si="13"/>
        <v>1</v>
      </c>
      <c r="M372" s="13" t="str">
        <f ca="1">IFERROR(__xludf.DUMMYFUNCTION("IF(L372=10,ArrayFormula(VLOOKUP(QUERY(UNIQUE(RANDBETWEEN(ROW(INDIRECT(""A1:A""&amp;COUNTA('Leaving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2" s="13">
        <f t="shared" ca="1" si="14"/>
        <v>3</v>
      </c>
      <c r="O372" s="13"/>
      <c r="P372" s="13"/>
      <c r="Q372" s="13" t="b">
        <f>ISNUMBER(MATCH("*"&amp;E372&amp;"*",'Top 1500 HS LatitudeLongitude'!G:G,0))</f>
        <v>0</v>
      </c>
      <c r="R372" s="13" t="str">
        <f ca="1">IFERROR(__xludf.DUMMYFUNCTION("IFS(L372=10,"""",Q372=false,"""",N372=5,"""",Q372=true,SORTN(FILTER('Top 1500 HS LatitudeLongitude'!B:B,'Top 1500 HS LatitudeLongitude'!C:C=I372,'Top 1500 HS LatitudeLongitude'!E:E=H372),1,0,randarray(COUNTA(FILTER('Top 1500 HS LatitudeLongitude'!B:B,'Top"&amp;" 1500 HS LatitudeLongitude'!C:C=I372,'Top 1500 HS LatitudeLongitude'!E:E=H372)),1),TRUE)
)"),"")</f>
        <v/>
      </c>
      <c r="S372" s="13" t="b">
        <f>ISNUMBER(MATCH("*"&amp;H:H&amp;"*",'Public Schools'!C:C,0))</f>
        <v>0</v>
      </c>
      <c r="T372" s="13" t="str">
        <f ca="1">IFERROR(__xludf.DUMMYFUNCTION("IFERROR(IF(AND(R372="""",S372=true), SORTN(FILTER('Public Schools'!A:A,'Public Schools'!B:B=J372,'Public Schools'!C:C=H372),1,0,randarray(COUNTA(FILTER('Public Schools'!A:A,'Public Schools'!B:B=J372,'Public Schools'!C:C=H372)),1),TRUE),""""),"""")"),"")</f>
        <v/>
      </c>
      <c r="U372" s="23" t="str">
        <f t="array" aca="1" ref="U372" ca="1">IF(AND(R372="",T372=""),INDEX('Top 1500 HS LatitudeLongitude'!B$2:B$1501,MATCH(MIN(SQRT(('Top 1500 HS LatitudeLongitude'!H$2:H$1501-F372)^2+('Top 1500 HS LatitudeLongitude'!I$2:I$1501-G372)^2)),SQRT( ('Top 1500 HS LatitudeLongitude'!H$2:H$1501-F372)^2+('Top 1500 HS LatitudeLongitude'!I$2:I$1501-G372)^2),0),1),"")</f>
        <v>St. Joseph's Collegiate Institute (Buffalo)</v>
      </c>
    </row>
    <row r="373" spans="2:21" ht="15.6">
      <c r="B373" s="8">
        <v>0.28431912459999997</v>
      </c>
      <c r="C373" s="9" t="s">
        <v>316</v>
      </c>
      <c r="D373" s="9" t="s">
        <v>563</v>
      </c>
      <c r="E373" s="37" t="s">
        <v>13921</v>
      </c>
      <c r="F373" s="8">
        <v>41.837299999999999</v>
      </c>
      <c r="G373" s="8">
        <v>-87.686099999999996</v>
      </c>
      <c r="H373" s="3" t="str">
        <f t="shared" si="0"/>
        <v>Vernal</v>
      </c>
      <c r="I373" s="3" t="str">
        <f t="shared" si="1"/>
        <v>UT</v>
      </c>
      <c r="J373" s="3" t="str">
        <f t="array" ref="J373">INDEX('State Abbreviations'!$B$2:$B$52,MATCH(I373,'State Abbreviations'!$A$2:$A$52,0))</f>
        <v>Utah</v>
      </c>
      <c r="K373" s="125" t="e">
        <f t="shared" ca="1" si="12"/>
        <v>#NAME?</v>
      </c>
      <c r="L373" s="13">
        <f t="shared" ca="1" si="13"/>
        <v>4</v>
      </c>
      <c r="M373" s="13" t="str">
        <f ca="1">IFERROR(__xludf.DUMMYFUNCTION("IF(L373=10,ArrayFormula(VLOOKUP(QUERY(UNIQUE(RANDBETWEEN(ROW(INDIRECT(""A1:A""&amp;COUNTA('Leaving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3" s="13">
        <f t="shared" ca="1" si="14"/>
        <v>4</v>
      </c>
      <c r="O373" s="13"/>
      <c r="P373" s="13"/>
      <c r="Q373" s="13" t="b">
        <f>ISNUMBER(MATCH("*"&amp;E373&amp;"*",'Top 1500 HS LatitudeLongitude'!G:G,0))</f>
        <v>0</v>
      </c>
      <c r="R373" s="13" t="str">
        <f ca="1">IFERROR(__xludf.DUMMYFUNCTION("IFS(L373=10,"""",Q373=false,"""",N373=5,"""",Q373=true,SORTN(FILTER('Top 1500 HS LatitudeLongitude'!B:B,'Top 1500 HS LatitudeLongitude'!C:C=I373,'Top 1500 HS LatitudeLongitude'!E:E=H373),1,0,randarray(COUNTA(FILTER('Top 1500 HS LatitudeLongitude'!B:B,'Top"&amp;" 1500 HS LatitudeLongitude'!C:C=I373,'Top 1500 HS LatitudeLongitude'!E:E=H373)),1),TRUE)
)"),"")</f>
        <v/>
      </c>
      <c r="S373" s="13" t="b">
        <f>ISNUMBER(MATCH("*"&amp;H:H&amp;"*",'Public Schools'!C:C,0))</f>
        <v>1</v>
      </c>
      <c r="T373" s="13" t="str">
        <f ca="1">IFERROR(__xludf.DUMMYFUNCTION("IFERROR(IF(AND(R373="""",S373=true), SORTN(FILTER('Public Schools'!A:A,'Public Schools'!B:B=J373,'Public Schools'!C:C=H373),1,0,randarray(COUNTA(FILTER('Public Schools'!A:A,'Public Schools'!B:B=J373,'Public Schools'!C:C=H373)),1),TRUE),""""),"""")"),"Uintah High School")</f>
        <v>Uintah High School</v>
      </c>
      <c r="U373" s="23" t="str">
        <f t="array" aca="1" ref="U373" ca="1">IF(AND(R373="",T373=""),INDEX('Top 1500 HS LatitudeLongitude'!B$2:B$1501,MATCH(MIN(SQRT(('Top 1500 HS LatitudeLongitude'!H$2:H$1501-F373)^2+('Top 1500 HS LatitudeLongitude'!I$2:I$1501-G373)^2)),SQRT( ('Top 1500 HS LatitudeLongitude'!H$2:H$1501-F373)^2+('Top 1500 HS LatitudeLongitude'!I$2:I$1501-G373)^2),0),1),"")</f>
        <v/>
      </c>
    </row>
    <row r="374" spans="2:21" ht="15.6">
      <c r="B374" s="8">
        <v>0.9944104963</v>
      </c>
      <c r="C374" s="9" t="s">
        <v>219</v>
      </c>
      <c r="D374" s="9" t="s">
        <v>564</v>
      </c>
      <c r="E374" s="126" t="s">
        <v>13962</v>
      </c>
      <c r="F374" s="8">
        <v>43.250100000000003</v>
      </c>
      <c r="G374" s="8">
        <v>-89.499799999999993</v>
      </c>
      <c r="H374" s="3" t="str">
        <f t="shared" si="0"/>
        <v>Starbuck</v>
      </c>
      <c r="I374" s="3" t="str">
        <f t="shared" si="1"/>
        <v>MN</v>
      </c>
      <c r="J374" s="3" t="str">
        <f t="array" ref="J374">INDEX('State Abbreviations'!$B$2:$B$52,MATCH(I374,'State Abbreviations'!$A$2:$A$52,0))</f>
        <v>Minnesota</v>
      </c>
      <c r="K374" s="125" t="e">
        <f t="shared" ca="1" si="12"/>
        <v>#NAME?</v>
      </c>
      <c r="L374" s="13">
        <f t="shared" ca="1" si="13"/>
        <v>2</v>
      </c>
      <c r="M374" s="13" t="str">
        <f ca="1">IFERROR(__xludf.DUMMYFUNCTION("IF(L374=10,ArrayFormula(VLOOKUP(QUERY(UNIQUE(RANDBETWEEN(ROW(INDIRECT(""A1:A""&amp;COUNTA('Leaving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4" s="13">
        <f t="shared" ca="1" si="14"/>
        <v>4</v>
      </c>
      <c r="O374" s="13"/>
      <c r="P374" s="13"/>
      <c r="Q374" s="13" t="b">
        <f>ISNUMBER(MATCH("*"&amp;E374&amp;"*",'Top 1500 HS LatitudeLongitude'!G:G,0))</f>
        <v>0</v>
      </c>
      <c r="R374" s="13" t="str">
        <f ca="1">IFERROR(__xludf.DUMMYFUNCTION("IFS(L374=10,"""",Q374=false,"""",N374=5,"""",Q374=true,SORTN(FILTER('Top 1500 HS LatitudeLongitude'!B:B,'Top 1500 HS LatitudeLongitude'!C:C=I374,'Top 1500 HS LatitudeLongitude'!E:E=H374),1,0,randarray(COUNTA(FILTER('Top 1500 HS LatitudeLongitude'!B:B,'Top"&amp;" 1500 HS LatitudeLongitude'!C:C=I374,'Top 1500 HS LatitudeLongitude'!E:E=H374)),1),TRUE)
)"),"")</f>
        <v/>
      </c>
      <c r="S374" s="13" t="b">
        <f>ISNUMBER(MATCH("*"&amp;H:H&amp;"*",'Public Schools'!C:C,0))</f>
        <v>0</v>
      </c>
      <c r="T374" s="13" t="str">
        <f ca="1">IFERROR(__xludf.DUMMYFUNCTION("IFERROR(IF(AND(R374="""",S374=true), SORTN(FILTER('Public Schools'!A:A,'Public Schools'!B:B=J374,'Public Schools'!C:C=H374),1,0,randarray(COUNTA(FILTER('Public Schools'!A:A,'Public Schools'!B:B=J374,'Public Schools'!C:C=H374)),1),TRUE),""""),"""")"),"")</f>
        <v/>
      </c>
      <c r="U374" s="23" t="str">
        <f t="array" aca="1" ref="U374" ca="1">IF(AND(R374="",T374=""),INDEX('Top 1500 HS LatitudeLongitude'!B$2:B$1501,MATCH(MIN(SQRT(('Top 1500 HS LatitudeLongitude'!H$2:H$1501-F374)^2+('Top 1500 HS LatitudeLongitude'!I$2:I$1501-G374)^2)),SQRT( ('Top 1500 HS LatitudeLongitude'!H$2:H$1501-F374)^2+('Top 1500 HS LatitudeLongitude'!I$2:I$1501-G374)^2),0),1),"")</f>
        <v>Waunakee</v>
      </c>
    </row>
    <row r="375" spans="2:21" ht="15.6">
      <c r="B375" s="8">
        <v>0.26940920820000003</v>
      </c>
      <c r="C375" s="9" t="s">
        <v>23</v>
      </c>
      <c r="D375" s="9" t="s">
        <v>565</v>
      </c>
      <c r="E375" s="37" t="s">
        <v>14008</v>
      </c>
      <c r="F375" s="8">
        <v>41.639000000000003</v>
      </c>
      <c r="G375" s="8">
        <v>-93.781400000000005</v>
      </c>
      <c r="H375" s="3" t="str">
        <f t="shared" si="0"/>
        <v>Southgate</v>
      </c>
      <c r="I375" s="3" t="str">
        <f t="shared" si="1"/>
        <v>MI</v>
      </c>
      <c r="J375" s="3" t="str">
        <f t="array" ref="J375">INDEX('State Abbreviations'!$B$2:$B$52,MATCH(I375,'State Abbreviations'!$A$2:$A$52,0))</f>
        <v>Michigan</v>
      </c>
      <c r="K375" s="125" t="e">
        <f t="shared" ca="1" si="12"/>
        <v>#NAME?</v>
      </c>
      <c r="L375" s="13">
        <f t="shared" ca="1" si="13"/>
        <v>2</v>
      </c>
      <c r="M375" s="13" t="str">
        <f ca="1">IFERROR(__xludf.DUMMYFUNCTION("IF(L375=10,ArrayFormula(VLOOKUP(QUERY(UNIQUE(RANDBETWEEN(ROW(INDIRECT(""A1:A""&amp;COUNTA('Leaving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5" s="13">
        <f t="shared" ca="1" si="14"/>
        <v>2</v>
      </c>
      <c r="O375" s="13"/>
      <c r="P375" s="13"/>
      <c r="Q375" s="13" t="b">
        <f>ISNUMBER(MATCH("*"&amp;E375&amp;"*",'Top 1500 HS LatitudeLongitude'!G:G,0))</f>
        <v>0</v>
      </c>
      <c r="R375" s="13" t="str">
        <f ca="1">IFERROR(__xludf.DUMMYFUNCTION("IFS(L375=10,"""",Q375=false,"""",N375=5,"""",Q375=true,SORTN(FILTER('Top 1500 HS LatitudeLongitude'!B:B,'Top 1500 HS LatitudeLongitude'!C:C=I375,'Top 1500 HS LatitudeLongitude'!E:E=H375),1,0,randarray(COUNTA(FILTER('Top 1500 HS LatitudeLongitude'!B:B,'Top"&amp;" 1500 HS LatitudeLongitude'!C:C=I375,'Top 1500 HS LatitudeLongitude'!E:E=H375)),1),TRUE)
)"),"")</f>
        <v/>
      </c>
      <c r="S375" s="13" t="b">
        <f>ISNUMBER(MATCH("*"&amp;H:H&amp;"*",'Public Schools'!C:C,0))</f>
        <v>1</v>
      </c>
      <c r="T375" s="13" t="str">
        <f ca="1">IFERROR(__xludf.DUMMYFUNCTION("IFERROR(IF(AND(R375="""",S375=true), SORTN(FILTER('Public Schools'!A:A,'Public Schools'!B:B=J375,'Public Schools'!C:C=H375),1,0,randarray(COUNTA(FILTER('Public Schools'!A:A,'Public Schools'!B:B=J375,'Public Schools'!C:C=H375)),1),TRUE),""""),"""")"),"Southgate Anderson High School")</f>
        <v>Southgate Anderson High School</v>
      </c>
      <c r="U375" s="23" t="str">
        <f t="array" aca="1" ref="U375" ca="1">IF(AND(R375="",T375=""),INDEX('Top 1500 HS LatitudeLongitude'!B$2:B$1501,MATCH(MIN(SQRT(('Top 1500 HS LatitudeLongitude'!H$2:H$1501-F375)^2+('Top 1500 HS LatitudeLongitude'!I$2:I$1501-G375)^2)),SQRT( ('Top 1500 HS LatitudeLongitude'!H$2:H$1501-F375)^2+('Top 1500 HS LatitudeLongitude'!I$2:I$1501-G375)^2),0),1),"")</f>
        <v/>
      </c>
    </row>
    <row r="376" spans="2:21" ht="15.6">
      <c r="B376" s="8">
        <v>0.1096823009</v>
      </c>
      <c r="C376" s="9" t="s">
        <v>249</v>
      </c>
      <c r="D376" s="9" t="s">
        <v>566</v>
      </c>
      <c r="E376" s="126" t="s">
        <v>14047</v>
      </c>
      <c r="F376" s="8">
        <v>38.1218</v>
      </c>
      <c r="G376" s="8">
        <v>-121.2933</v>
      </c>
      <c r="H376" s="3" t="str">
        <f t="shared" si="0"/>
        <v>Kernersville</v>
      </c>
      <c r="I376" s="3" t="str">
        <f t="shared" si="1"/>
        <v>NC</v>
      </c>
      <c r="J376" s="3" t="str">
        <f t="array" ref="J376">INDEX('State Abbreviations'!$B$2:$B$52,MATCH(I376,'State Abbreviations'!$A$2:$A$52,0))</f>
        <v>North Carolina</v>
      </c>
      <c r="K376" s="125" t="e">
        <f t="shared" ca="1" si="12"/>
        <v>#NAME?</v>
      </c>
      <c r="L376" s="13">
        <f t="shared" ca="1" si="13"/>
        <v>2</v>
      </c>
      <c r="M376" s="13" t="str">
        <f ca="1">IFERROR(__xludf.DUMMYFUNCTION("IF(L376=10,ArrayFormula(VLOOKUP(QUERY(UNIQUE(RANDBETWEEN(ROW(INDIRECT(""A1:A""&amp;COUNTA('Leaving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6" s="13">
        <f t="shared" ca="1" si="14"/>
        <v>3</v>
      </c>
      <c r="O376" s="13"/>
      <c r="P376" s="13"/>
      <c r="Q376" s="13" t="b">
        <f>ISNUMBER(MATCH("*"&amp;E376&amp;"*",'Top 1500 HS LatitudeLongitude'!G:G,0))</f>
        <v>0</v>
      </c>
      <c r="R376" s="13" t="str">
        <f ca="1">IFERROR(__xludf.DUMMYFUNCTION("IFS(L376=10,"""",Q376=false,"""",N376=5,"""",Q376=true,SORTN(FILTER('Top 1500 HS LatitudeLongitude'!B:B,'Top 1500 HS LatitudeLongitude'!C:C=I376,'Top 1500 HS LatitudeLongitude'!E:E=H376),1,0,randarray(COUNTA(FILTER('Top 1500 HS LatitudeLongitude'!B:B,'Top"&amp;" 1500 HS LatitudeLongitude'!C:C=I376,'Top 1500 HS LatitudeLongitude'!E:E=H376)),1),TRUE)
)"),"")</f>
        <v/>
      </c>
      <c r="S376" s="13" t="b">
        <f>ISNUMBER(MATCH("*"&amp;H:H&amp;"*",'Public Schools'!C:C,0))</f>
        <v>1</v>
      </c>
      <c r="T376" s="13" t="str">
        <f ca="1">IFERROR(__xludf.DUMMYFUNCTION("IFERROR(IF(AND(R376="""",S376=true), SORTN(FILTER('Public Schools'!A:A,'Public Schools'!B:B=J376,'Public Schools'!C:C=H376),1,0,randarray(COUNTA(FILTER('Public Schools'!A:A,'Public Schools'!B:B=J376,'Public Schools'!C:C=H376)),1),TRUE),""""),"""")"),"Robert B Glenn High School")</f>
        <v>Robert B Glenn High School</v>
      </c>
      <c r="U376" s="23" t="str">
        <f t="array" aca="1" ref="U376" ca="1">IF(AND(R376="",T376=""),INDEX('Top 1500 HS LatitudeLongitude'!B$2:B$1501,MATCH(MIN(SQRT(('Top 1500 HS LatitudeLongitude'!H$2:H$1501-F376)^2+('Top 1500 HS LatitudeLongitude'!I$2:I$1501-G376)^2)),SQRT( ('Top 1500 HS LatitudeLongitude'!H$2:H$1501-F376)^2+('Top 1500 HS LatitudeLongitude'!I$2:I$1501-G376)^2),0),1),"")</f>
        <v/>
      </c>
    </row>
    <row r="377" spans="2:21" ht="15.6">
      <c r="B377" s="8">
        <v>0.1027759827</v>
      </c>
      <c r="C377" s="9" t="s">
        <v>243</v>
      </c>
      <c r="D377" s="9" t="s">
        <v>567</v>
      </c>
      <c r="E377" s="37" t="s">
        <v>14084</v>
      </c>
      <c r="F377" s="8">
        <v>33.690899999999999</v>
      </c>
      <c r="G377" s="8">
        <v>-117.1849</v>
      </c>
      <c r="H377" s="3" t="str">
        <f t="shared" si="0"/>
        <v>York</v>
      </c>
      <c r="I377" s="3" t="str">
        <f t="shared" si="1"/>
        <v>PA</v>
      </c>
      <c r="J377" s="3" t="str">
        <f t="array" ref="J377">INDEX('State Abbreviations'!$B$2:$B$52,MATCH(I377,'State Abbreviations'!$A$2:$A$52,0))</f>
        <v>Pennsylvania</v>
      </c>
      <c r="K377" s="125" t="e">
        <f t="shared" ca="1" si="12"/>
        <v>#NAME?</v>
      </c>
      <c r="L377" s="13">
        <f t="shared" ca="1" si="13"/>
        <v>2</v>
      </c>
      <c r="M377" s="13" t="str">
        <f ca="1">IFERROR(__xludf.DUMMYFUNCTION("IF(L377=10,ArrayFormula(VLOOKUP(QUERY(UNIQUE(RANDBETWEEN(ROW(INDIRECT(""A1:A""&amp;COUNTA('Leaving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7" s="13">
        <f t="shared" ca="1" si="14"/>
        <v>1</v>
      </c>
      <c r="O377" s="13"/>
      <c r="P377" s="13"/>
      <c r="Q377" s="13" t="b">
        <f>ISNUMBER(MATCH("*"&amp;E377&amp;"*",'Top 1500 HS LatitudeLongitude'!G:G,0))</f>
        <v>1</v>
      </c>
      <c r="R377" s="13" t="str">
        <f ca="1">IFERROR(__xludf.DUMMYFUNCTION("IFS(L377=10,"""",Q377=false,"""",N377=5,"""",Q377=true,SORTN(FILTER('Top 1500 HS LatitudeLongitude'!B:B,'Top 1500 HS LatitudeLongitude'!C:C=I377,'Top 1500 HS LatitudeLongitude'!E:E=H377),1,0,randarray(COUNTA(FILTER('Top 1500 HS LatitudeLongitude'!B:B,'Top"&amp;" 1500 HS LatitudeLongitude'!C:C=I377,'Top 1500 HS LatitudeLongitude'!E:E=H377)),1),TRUE)
)"),"Central York (York)")</f>
        <v>Central York (York)</v>
      </c>
      <c r="S377" s="13" t="b">
        <f>ISNUMBER(MATCH("*"&amp;H:H&amp;"*",'Public Schools'!C:C,0))</f>
        <v>1</v>
      </c>
      <c r="T377" s="13" t="str">
        <f ca="1">IFERROR(__xludf.DUMMYFUNCTION("IFERROR(IF(AND(R377="""",S377=true), SORTN(FILTER('Public Schools'!A:A,'Public Schools'!B:B=J377,'Public Schools'!C:C=H377),1,0,randarray(COUNTA(FILTER('Public Schools'!A:A,'Public Schools'!B:B=J377,'Public Schools'!C:C=H377)),1),TRUE),""""),"""")"),"")</f>
        <v/>
      </c>
      <c r="U377" s="23" t="str">
        <f t="array" aca="1" ref="U377" ca="1">IF(AND(R377="",T377=""),INDEX('Top 1500 HS LatitudeLongitude'!B$2:B$1501,MATCH(MIN(SQRT(('Top 1500 HS LatitudeLongitude'!H$2:H$1501-F377)^2+('Top 1500 HS LatitudeLongitude'!I$2:I$1501-G377)^2)),SQRT( ('Top 1500 HS LatitudeLongitude'!H$2:H$1501-F377)^2+('Top 1500 HS LatitudeLongitude'!I$2:I$1501-G377)^2),0),1),"")</f>
        <v/>
      </c>
    </row>
    <row r="378" spans="2:21" ht="15.6">
      <c r="B378" s="8">
        <v>0.9903237721</v>
      </c>
      <c r="C378" s="9" t="s">
        <v>94</v>
      </c>
      <c r="D378" s="9" t="s">
        <v>568</v>
      </c>
      <c r="E378" s="126" t="s">
        <v>14124</v>
      </c>
      <c r="F378" s="8">
        <v>43.128900000000002</v>
      </c>
      <c r="G378" s="8">
        <v>-87.927700000000002</v>
      </c>
      <c r="H378" s="3" t="str">
        <f t="shared" si="0"/>
        <v>Dayton</v>
      </c>
      <c r="I378" s="3" t="str">
        <f t="shared" si="1"/>
        <v>OH</v>
      </c>
      <c r="J378" s="3" t="str">
        <f t="array" ref="J378">INDEX('State Abbreviations'!$B$2:$B$52,MATCH(I378,'State Abbreviations'!$A$2:$A$52,0))</f>
        <v>Ohio</v>
      </c>
      <c r="K378" s="125" t="e">
        <f t="shared" ca="1" si="12"/>
        <v>#NAME?</v>
      </c>
      <c r="L378" s="13">
        <f t="shared" ca="1" si="13"/>
        <v>3</v>
      </c>
      <c r="M378" s="13" t="str">
        <f ca="1">IFERROR(__xludf.DUMMYFUNCTION("IF(L378=10,ArrayFormula(VLOOKUP(QUERY(UNIQUE(RANDBETWEEN(ROW(INDIRECT(""A1:A""&amp;COUNTA('Leaving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8" s="13">
        <f t="shared" ca="1" si="14"/>
        <v>2</v>
      </c>
      <c r="O378" s="13"/>
      <c r="P378" s="13"/>
      <c r="Q378" s="13" t="b">
        <f>ISNUMBER(MATCH("*"&amp;E378&amp;"*",'Top 1500 HS LatitudeLongitude'!G:G,0))</f>
        <v>1</v>
      </c>
      <c r="R378" s="13" t="str">
        <f ca="1">IFERROR(__xludf.DUMMYFUNCTION("IFS(L378=10,"""",Q378=false,"""",N378=5,"""",Q378=true,SORTN(FILTER('Top 1500 HS LatitudeLongitude'!B:B,'Top 1500 HS LatitudeLongitude'!C:C=I378,'Top 1500 HS LatitudeLongitude'!E:E=H378),1,0,randarray(COUNTA(FILTER('Top 1500 HS LatitudeLongitude'!B:B,'Top"&amp;" 1500 HS LatitudeLongitude'!C:C=I378,'Top 1500 HS LatitudeLongitude'!E:E=H378)),1),TRUE)
)"),"Trotwood-Madison (Trotwood)")</f>
        <v>Trotwood-Madison (Trotwood)</v>
      </c>
      <c r="S378" s="13" t="b">
        <f>ISNUMBER(MATCH("*"&amp;H:H&amp;"*",'Public Schools'!C:C,0))</f>
        <v>1</v>
      </c>
      <c r="T378" s="13" t="str">
        <f ca="1">IFERROR(__xludf.DUMMYFUNCTION("IFERROR(IF(AND(R378="""",S378=true), SORTN(FILTER('Public Schools'!A:A,'Public Schools'!B:B=J378,'Public Schools'!C:C=H378),1,0,randarray(COUNTA(FILTER('Public Schools'!A:A,'Public Schools'!B:B=J378,'Public Schools'!C:C=H378)),1),TRUE),""""),"""")"),"")</f>
        <v/>
      </c>
      <c r="U378" s="23" t="str">
        <f t="array" aca="1" ref="U378" ca="1">IF(AND(R378="",T378=""),INDEX('Top 1500 HS LatitudeLongitude'!B$2:B$1501,MATCH(MIN(SQRT(('Top 1500 HS LatitudeLongitude'!H$2:H$1501-F378)^2+('Top 1500 HS LatitudeLongitude'!I$2:I$1501-G378)^2)),SQRT( ('Top 1500 HS LatitudeLongitude'!H$2:H$1501-F378)^2+('Top 1500 HS LatitudeLongitude'!I$2:I$1501-G378)^2),0),1),"")</f>
        <v/>
      </c>
    </row>
    <row r="379" spans="2:21" ht="15.6">
      <c r="B379" s="8">
        <v>0.34763221690000001</v>
      </c>
      <c r="C379" s="9" t="s">
        <v>270</v>
      </c>
      <c r="D379" s="9" t="s">
        <v>569</v>
      </c>
      <c r="E379" s="37" t="s">
        <v>14169</v>
      </c>
      <c r="F379" s="8">
        <v>40.463999999999999</v>
      </c>
      <c r="G379" s="8">
        <v>-86.127700000000004</v>
      </c>
      <c r="H379" s="3" t="str">
        <f t="shared" si="0"/>
        <v>Scotch Plains</v>
      </c>
      <c r="I379" s="3" t="str">
        <f t="shared" si="1"/>
        <v>NJ</v>
      </c>
      <c r="J379" s="3" t="str">
        <f t="array" ref="J379">INDEX('State Abbreviations'!$B$2:$B$52,MATCH(I379,'State Abbreviations'!$A$2:$A$52,0))</f>
        <v>New Jersey</v>
      </c>
      <c r="K379" s="125" t="e">
        <f t="shared" ca="1" si="12"/>
        <v>#NAME?</v>
      </c>
      <c r="L379" s="13">
        <f t="shared" ca="1" si="13"/>
        <v>3</v>
      </c>
      <c r="M379" s="13" t="str">
        <f ca="1">IFERROR(__xludf.DUMMYFUNCTION("IF(L379=10,ArrayFormula(VLOOKUP(QUERY(UNIQUE(RANDBETWEEN(ROW(INDIRECT(""A1:A""&amp;COUNTA('Leaving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79" s="13">
        <f t="shared" ca="1" si="14"/>
        <v>2</v>
      </c>
      <c r="O379" s="13"/>
      <c r="P379" s="13"/>
      <c r="Q379" s="13" t="b">
        <f>ISNUMBER(MATCH("*"&amp;E379&amp;"*",'Top 1500 HS LatitudeLongitude'!G:G,0))</f>
        <v>0</v>
      </c>
      <c r="R379" s="13" t="str">
        <f ca="1">IFERROR(__xludf.DUMMYFUNCTION("IFS(L379=10,"""",Q379=false,"""",N379=5,"""",Q379=true,SORTN(FILTER('Top 1500 HS LatitudeLongitude'!B:B,'Top 1500 HS LatitudeLongitude'!C:C=I379,'Top 1500 HS LatitudeLongitude'!E:E=H379),1,0,randarray(COUNTA(FILTER('Top 1500 HS LatitudeLongitude'!B:B,'Top"&amp;" 1500 HS LatitudeLongitude'!C:C=I379,'Top 1500 HS LatitudeLongitude'!E:E=H379)),1),TRUE)
)"),"")</f>
        <v/>
      </c>
      <c r="S379" s="13" t="b">
        <f>ISNUMBER(MATCH("*"&amp;H:H&amp;"*",'Public Schools'!C:C,0))</f>
        <v>1</v>
      </c>
      <c r="T379" s="13" t="str">
        <f ca="1">IFERROR(__xludf.DUMMYFUNCTION("IFERROR(IF(AND(R379="""",S379=true), SORTN(FILTER('Public Schools'!A:A,'Public Schools'!B:B=J379,'Public Schools'!C:C=H379),1,0,randarray(COUNTA(FILTER('Public Schools'!A:A,'Public Schools'!B:B=J379,'Public Schools'!C:C=H379)),1),TRUE),""""),"""")"),"Scotch Plains-Fanwood High School")</f>
        <v>Scotch Plains-Fanwood High School</v>
      </c>
      <c r="U379" s="23" t="str">
        <f t="array" aca="1" ref="U379" ca="1">IF(AND(R379="",T379=""),INDEX('Top 1500 HS LatitudeLongitude'!B$2:B$1501,MATCH(MIN(SQRT(('Top 1500 HS LatitudeLongitude'!H$2:H$1501-F379)^2+('Top 1500 HS LatitudeLongitude'!I$2:I$1501-G379)^2)),SQRT( ('Top 1500 HS LatitudeLongitude'!H$2:H$1501-F379)^2+('Top 1500 HS LatitudeLongitude'!I$2:I$1501-G379)^2),0),1),"")</f>
        <v/>
      </c>
    </row>
    <row r="380" spans="2:21" ht="15.6">
      <c r="B380" s="8">
        <v>0.42730859830000001</v>
      </c>
      <c r="C380" s="9" t="s">
        <v>238</v>
      </c>
      <c r="D380" s="9" t="s">
        <v>326</v>
      </c>
      <c r="E380" s="126" t="s">
        <v>3228</v>
      </c>
      <c r="F380" s="8">
        <v>39.305100000000003</v>
      </c>
      <c r="G380" s="8">
        <v>-76.614400000000003</v>
      </c>
      <c r="H380" s="3" t="str">
        <f t="shared" si="0"/>
        <v>Brooklyn</v>
      </c>
      <c r="I380" s="3" t="str">
        <f t="shared" si="1"/>
        <v>NY</v>
      </c>
      <c r="J380" s="3" t="str">
        <f t="array" ref="J380">INDEX('State Abbreviations'!$B$2:$B$52,MATCH(I380,'State Abbreviations'!$A$2:$A$52,0))</f>
        <v>New York</v>
      </c>
      <c r="K380" s="125" t="e">
        <f t="shared" ca="1" si="12"/>
        <v>#NAME?</v>
      </c>
      <c r="L380" s="13">
        <f t="shared" ca="1" si="13"/>
        <v>6</v>
      </c>
      <c r="M380" s="13" t="str">
        <f ca="1">IFERROR(__xludf.DUMMYFUNCTION("IF(L380=10,ArrayFormula(VLOOKUP(QUERY(UNIQUE(RANDBETWEEN(ROW(INDIRECT(""A1:A""&amp;COUNTA('Leaving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0" s="13">
        <f t="shared" ca="1" si="14"/>
        <v>4</v>
      </c>
      <c r="O380" s="13"/>
      <c r="P380" s="13"/>
      <c r="Q380" s="13" t="b">
        <f>ISNUMBER(MATCH("*"&amp;E380&amp;"*",'Top 1500 HS LatitudeLongitude'!G:G,0))</f>
        <v>1</v>
      </c>
      <c r="R380" s="13" t="str">
        <f ca="1">IFERROR(__xludf.DUMMYFUNCTION("IFS(L380=10,"""",Q380=false,"""",N380=5,"""",Q380=true,SORTN(FILTER('Top 1500 HS LatitudeLongitude'!B:B,'Top 1500 HS LatitudeLongitude'!C:C=I380,'Top 1500 HS LatitudeLongitude'!E:E=H380),1,0,randarray(COUNTA(FILTER('Top 1500 HS LatitudeLongitude'!B:B,'Top"&amp;" 1500 HS LatitudeLongitude'!C:C=I380,'Top 1500 HS LatitudeLongitude'!E:E=H380)),1),TRUE)
)"),"Banneker Academy (Brooklyn)")</f>
        <v>Banneker Academy (Brooklyn)</v>
      </c>
      <c r="S380" s="13" t="b">
        <f>ISNUMBER(MATCH("*"&amp;H:H&amp;"*",'Public Schools'!C:C,0))</f>
        <v>1</v>
      </c>
      <c r="T380" s="13" t="str">
        <f ca="1">IFERROR(__xludf.DUMMYFUNCTION("IFERROR(IF(AND(R380="""",S380=true), SORTN(FILTER('Public Schools'!A:A,'Public Schools'!B:B=J380,'Public Schools'!C:C=H380),1,0,randarray(COUNTA(FILTER('Public Schools'!A:A,'Public Schools'!B:B=J380,'Public Schools'!C:C=H380)),1),TRUE),""""),"""")"),"")</f>
        <v/>
      </c>
      <c r="U380" s="23" t="str">
        <f t="array" aca="1" ref="U380" ca="1">IF(AND(R380="",T380=""),INDEX('Top 1500 HS LatitudeLongitude'!B$2:B$1501,MATCH(MIN(SQRT(('Top 1500 HS LatitudeLongitude'!H$2:H$1501-F380)^2+('Top 1500 HS LatitudeLongitude'!I$2:I$1501-G380)^2)),SQRT( ('Top 1500 HS LatitudeLongitude'!H$2:H$1501-F380)^2+('Top 1500 HS LatitudeLongitude'!I$2:I$1501-G380)^2),0),1),"")</f>
        <v/>
      </c>
    </row>
    <row r="381" spans="2:21" ht="15.6">
      <c r="B381" s="8">
        <v>0.15878717980000001</v>
      </c>
      <c r="C381" s="9" t="s">
        <v>206</v>
      </c>
      <c r="D381" s="9" t="s">
        <v>570</v>
      </c>
      <c r="E381" s="37" t="s">
        <v>14260</v>
      </c>
      <c r="F381" s="8">
        <v>38.904699999999998</v>
      </c>
      <c r="G381" s="8">
        <v>-77.016300000000001</v>
      </c>
      <c r="H381" s="3" t="str">
        <f t="shared" si="0"/>
        <v>Bedias</v>
      </c>
      <c r="I381" s="3" t="str">
        <f t="shared" si="1"/>
        <v>TX</v>
      </c>
      <c r="J381" s="3" t="str">
        <f t="array" ref="J381">INDEX('State Abbreviations'!$B$2:$B$52,MATCH(I381,'State Abbreviations'!$A$2:$A$52,0))</f>
        <v>Texas</v>
      </c>
      <c r="K381" s="125" t="e">
        <f t="shared" ca="1" si="12"/>
        <v>#NAME?</v>
      </c>
      <c r="L381" s="13">
        <f t="shared" ca="1" si="13"/>
        <v>5</v>
      </c>
      <c r="M381" s="13" t="str">
        <f ca="1">IFERROR(__xludf.DUMMYFUNCTION("IF(L381=10,ArrayFormula(VLOOKUP(QUERY(UNIQUE(RANDBETWEEN(ROW(INDIRECT(""A1:A""&amp;COUNTA('Leaving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1" s="13">
        <f t="shared" ca="1" si="14"/>
        <v>2</v>
      </c>
      <c r="O381" s="13"/>
      <c r="P381" s="13"/>
      <c r="Q381" s="13" t="b">
        <f>ISNUMBER(MATCH("*"&amp;E381&amp;"*",'Top 1500 HS LatitudeLongitude'!G:G,0))</f>
        <v>0</v>
      </c>
      <c r="R381" s="13" t="str">
        <f ca="1">IFERROR(__xludf.DUMMYFUNCTION("IFS(L381=10,"""",Q381=false,"""",N381=5,"""",Q381=true,SORTN(FILTER('Top 1500 HS LatitudeLongitude'!B:B,'Top 1500 HS LatitudeLongitude'!C:C=I381,'Top 1500 HS LatitudeLongitude'!E:E=H381),1,0,randarray(COUNTA(FILTER('Top 1500 HS LatitudeLongitude'!B:B,'Top"&amp;" 1500 HS LatitudeLongitude'!C:C=I381,'Top 1500 HS LatitudeLongitude'!E:E=H381)),1),TRUE)
)"),"")</f>
        <v/>
      </c>
      <c r="S381" s="13" t="b">
        <f>ISNUMBER(MATCH("*"&amp;H:H&amp;"*",'Public Schools'!C:C,0))</f>
        <v>0</v>
      </c>
      <c r="T381" s="13" t="str">
        <f ca="1">IFERROR(__xludf.DUMMYFUNCTION("IFERROR(IF(AND(R381="""",S381=true), SORTN(FILTER('Public Schools'!A:A,'Public Schools'!B:B=J381,'Public Schools'!C:C=H381),1,0,randarray(COUNTA(FILTER('Public Schools'!A:A,'Public Schools'!B:B=J381,'Public Schools'!C:C=H381)),1),TRUE),""""),"""")"),"")</f>
        <v/>
      </c>
      <c r="U381" s="23" t="str">
        <f t="array" aca="1" ref="U381" ca="1">IF(AND(R381="",T381=""),INDEX('Top 1500 HS LatitudeLongitude'!B$2:B$1501,MATCH(MIN(SQRT(('Top 1500 HS LatitudeLongitude'!H$2:H$1501-F381)^2+('Top 1500 HS LatitudeLongitude'!I$2:I$1501-G381)^2)),SQRT( ('Top 1500 HS LatitudeLongitude'!H$2:H$1501-F381)^2+('Top 1500 HS LatitudeLongitude'!I$2:I$1501-G381)^2),0),1),"")</f>
        <v>Gonzaga (Washington)</v>
      </c>
    </row>
    <row r="382" spans="2:21" ht="15.6">
      <c r="B382" s="8">
        <v>0.675511843</v>
      </c>
      <c r="C382" s="9" t="s">
        <v>114</v>
      </c>
      <c r="D382" s="9" t="s">
        <v>167</v>
      </c>
      <c r="E382" s="126" t="s">
        <v>6530</v>
      </c>
      <c r="F382" s="8">
        <v>43.067399999999999</v>
      </c>
      <c r="G382" s="8">
        <v>-73.777500000000003</v>
      </c>
      <c r="H382" s="3" t="str">
        <f t="shared" si="0"/>
        <v>Orlando</v>
      </c>
      <c r="I382" s="3" t="str">
        <f t="shared" si="1"/>
        <v>FL</v>
      </c>
      <c r="J382" s="3" t="str">
        <f t="array" ref="J382">INDEX('State Abbreviations'!$B$2:$B$52,MATCH(I382,'State Abbreviations'!$A$2:$A$52,0))</f>
        <v>Florida</v>
      </c>
      <c r="K382" s="125" t="e">
        <f t="shared" ca="1" si="12"/>
        <v>#NAME?</v>
      </c>
      <c r="L382" s="13">
        <f t="shared" ca="1" si="13"/>
        <v>3</v>
      </c>
      <c r="M382" s="13" t="str">
        <f ca="1">IFERROR(__xludf.DUMMYFUNCTION("IF(L382=10,ArrayFormula(VLOOKUP(QUERY(UNIQUE(RANDBETWEEN(ROW(INDIRECT(""A1:A""&amp;COUNTA('Leaving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2" s="13">
        <f t="shared" ca="1" si="14"/>
        <v>1</v>
      </c>
      <c r="O382" s="13"/>
      <c r="P382" s="13"/>
      <c r="Q382" s="13" t="b">
        <f>ISNUMBER(MATCH("*"&amp;E382&amp;"*",'Top 1500 HS LatitudeLongitude'!G:G,0))</f>
        <v>1</v>
      </c>
      <c r="R382" s="13" t="str">
        <f ca="1">IFERROR(__xludf.DUMMYFUNCTION("IFS(L382=10,"""",Q382=false,"""",N382=5,"""",Q382=true,SORTN(FILTER('Top 1500 HS LatitudeLongitude'!B:B,'Top 1500 HS LatitudeLongitude'!C:C=I382,'Top 1500 HS LatitudeLongitude'!E:E=H382),1,0,randarray(COUNTA(FILTER('Top 1500 HS LatitudeLongitude'!B:B,'Top"&amp;" 1500 HS LatitudeLongitude'!C:C=I382,'Top 1500 HS LatitudeLongitude'!E:E=H382)),1),TRUE)
)"),"Orlando Christian Prep (Orlando)")</f>
        <v>Orlando Christian Prep (Orlando)</v>
      </c>
      <c r="S382" s="13" t="b">
        <f>ISNUMBER(MATCH("*"&amp;H:H&amp;"*",'Public Schools'!C:C,0))</f>
        <v>1</v>
      </c>
      <c r="T382" s="13" t="str">
        <f ca="1">IFERROR(__xludf.DUMMYFUNCTION("IFERROR(IF(AND(R382="""",S382=true), SORTN(FILTER('Public Schools'!A:A,'Public Schools'!B:B=J382,'Public Schools'!C:C=H382),1,0,randarray(COUNTA(FILTER('Public Schools'!A:A,'Public Schools'!B:B=J382,'Public Schools'!C:C=H382)),1),TRUE),""""),"""")"),"")</f>
        <v/>
      </c>
      <c r="U382" s="23" t="str">
        <f t="array" aca="1" ref="U382" ca="1">IF(AND(R382="",T382=""),INDEX('Top 1500 HS LatitudeLongitude'!B$2:B$1501,MATCH(MIN(SQRT(('Top 1500 HS LatitudeLongitude'!H$2:H$1501-F382)^2+('Top 1500 HS LatitudeLongitude'!I$2:I$1501-G382)^2)),SQRT( ('Top 1500 HS LatitudeLongitude'!H$2:H$1501-F382)^2+('Top 1500 HS LatitudeLongitude'!I$2:I$1501-G382)^2),0),1),"")</f>
        <v/>
      </c>
    </row>
    <row r="383" spans="2:21" ht="15.6">
      <c r="B383" s="8">
        <v>0.89741918359999995</v>
      </c>
      <c r="C383" s="9" t="s">
        <v>47</v>
      </c>
      <c r="D383" s="9" t="s">
        <v>348</v>
      </c>
      <c r="E383" s="37" t="s">
        <v>4185</v>
      </c>
      <c r="F383" s="8">
        <v>32.403500000000001</v>
      </c>
      <c r="G383" s="8">
        <v>-96.842799999999997</v>
      </c>
      <c r="H383" s="3" t="str">
        <f t="shared" si="0"/>
        <v>Sacramento</v>
      </c>
      <c r="I383" s="3" t="str">
        <f t="shared" si="1"/>
        <v>CA</v>
      </c>
      <c r="J383" s="3" t="str">
        <f t="array" ref="J383">INDEX('State Abbreviations'!$B$2:$B$52,MATCH(I383,'State Abbreviations'!$A$2:$A$52,0))</f>
        <v>California</v>
      </c>
      <c r="K383" s="125" t="e">
        <f t="shared" ca="1" si="12"/>
        <v>#NAME?</v>
      </c>
      <c r="L383" s="13">
        <f t="shared" ca="1" si="13"/>
        <v>4</v>
      </c>
      <c r="M383" s="13" t="str">
        <f ca="1">IFERROR(__xludf.DUMMYFUNCTION("IF(L383=10,ArrayFormula(VLOOKUP(QUERY(UNIQUE(RANDBETWEEN(ROW(INDIRECT(""A1:A""&amp;COUNTA('Leaving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3" s="13">
        <f t="shared" ca="1" si="14"/>
        <v>2</v>
      </c>
      <c r="O383" s="13"/>
      <c r="P383" s="13"/>
      <c r="Q383" s="13" t="b">
        <f>ISNUMBER(MATCH("*"&amp;E383&amp;"*",'Top 1500 HS LatitudeLongitude'!G:G,0))</f>
        <v>1</v>
      </c>
      <c r="R383" s="13" t="str">
        <f ca="1">IFERROR(__xludf.DUMMYFUNCTION("IFS(L383=10,"""",Q383=false,"""",N383=5,"""",Q383=true,SORTN(FILTER('Top 1500 HS LatitudeLongitude'!B:B,'Top 1500 HS LatitudeLongitude'!C:C=I383,'Top 1500 HS LatitudeLongitude'!E:E=H383),1,0,randarray(COUNTA(FILTER('Top 1500 HS LatitudeLongitude'!B:B,'Top"&amp;" 1500 HS LatitudeLongitude'!C:C=I383,'Top 1500 HS LatitudeLongitude'!E:E=H383)),1),TRUE)
)"),"Capital Christian (Sacramento)")</f>
        <v>Capital Christian (Sacramento)</v>
      </c>
      <c r="S383" s="13" t="b">
        <f>ISNUMBER(MATCH("*"&amp;H:H&amp;"*",'Public Schools'!C:C,0))</f>
        <v>1</v>
      </c>
      <c r="T383" s="13" t="str">
        <f ca="1">IFERROR(__xludf.DUMMYFUNCTION("IFERROR(IF(AND(R383="""",S383=true), SORTN(FILTER('Public Schools'!A:A,'Public Schools'!B:B=J383,'Public Schools'!C:C=H383),1,0,randarray(COUNTA(FILTER('Public Schools'!A:A,'Public Schools'!B:B=J383,'Public Schools'!C:C=H383)),1),TRUE),""""),"""")"),"")</f>
        <v/>
      </c>
      <c r="U383" s="23" t="str">
        <f t="array" aca="1" ref="U383" ca="1">IF(AND(R383="",T383=""),INDEX('Top 1500 HS LatitudeLongitude'!B$2:B$1501,MATCH(MIN(SQRT(('Top 1500 HS LatitudeLongitude'!H$2:H$1501-F383)^2+('Top 1500 HS LatitudeLongitude'!I$2:I$1501-G383)^2)),SQRT( ('Top 1500 HS LatitudeLongitude'!H$2:H$1501-F383)^2+('Top 1500 HS LatitudeLongitude'!I$2:I$1501-G383)^2),0),1),"")</f>
        <v/>
      </c>
    </row>
    <row r="384" spans="2:21" ht="15.6">
      <c r="B384" s="8">
        <v>0.60196637710000001</v>
      </c>
      <c r="C384" s="9" t="s">
        <v>94</v>
      </c>
      <c r="D384" s="9" t="s">
        <v>571</v>
      </c>
      <c r="E384" s="126" t="s">
        <v>14339</v>
      </c>
      <c r="F384" s="8">
        <v>40.465499999999999</v>
      </c>
      <c r="G384" s="8">
        <v>-74.323700000000002</v>
      </c>
      <c r="H384" s="3" t="str">
        <f t="shared" si="0"/>
        <v>Stow</v>
      </c>
      <c r="I384" s="3" t="str">
        <f t="shared" si="1"/>
        <v>OH</v>
      </c>
      <c r="J384" s="3" t="str">
        <f t="array" ref="J384">INDEX('State Abbreviations'!$B$2:$B$52,MATCH(I384,'State Abbreviations'!$A$2:$A$52,0))</f>
        <v>Ohio</v>
      </c>
      <c r="K384" s="125" t="e">
        <f t="shared" ca="1" si="12"/>
        <v>#NAME?</v>
      </c>
      <c r="L384" s="13">
        <f t="shared" ca="1" si="13"/>
        <v>9</v>
      </c>
      <c r="M384" s="13" t="str">
        <f ca="1">IFERROR(__xludf.DUMMYFUNCTION("IF(L384=10,ArrayFormula(VLOOKUP(QUERY(UNIQUE(RANDBETWEEN(ROW(INDIRECT(""A1:A""&amp;COUNTA('Leaving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4" s="13">
        <f t="shared" ca="1" si="14"/>
        <v>2</v>
      </c>
      <c r="O384" s="13"/>
      <c r="P384" s="13"/>
      <c r="Q384" s="13" t="b">
        <f>ISNUMBER(MATCH("*"&amp;E384&amp;"*",'Top 1500 HS LatitudeLongitude'!G:G,0))</f>
        <v>0</v>
      </c>
      <c r="R384" s="13" t="str">
        <f ca="1">IFERROR(__xludf.DUMMYFUNCTION("IFS(L384=10,"""",Q384=false,"""",N384=5,"""",Q384=true,SORTN(FILTER('Top 1500 HS LatitudeLongitude'!B:B,'Top 1500 HS LatitudeLongitude'!C:C=I384,'Top 1500 HS LatitudeLongitude'!E:E=H384),1,0,randarray(COUNTA(FILTER('Top 1500 HS LatitudeLongitude'!B:B,'Top"&amp;" 1500 HS LatitudeLongitude'!C:C=I384,'Top 1500 HS LatitudeLongitude'!E:E=H384)),1),TRUE)
)"),"")</f>
        <v/>
      </c>
      <c r="S384" s="13" t="b">
        <f>ISNUMBER(MATCH("*"&amp;H:H&amp;"*",'Public Schools'!C:C,0))</f>
        <v>1</v>
      </c>
      <c r="T384" s="13" t="str">
        <f ca="1">IFERROR(__xludf.DUMMYFUNCTION("IFERROR(IF(AND(R384="""",S384=true), SORTN(FILTER('Public Schools'!A:A,'Public Schools'!B:B=J384,'Public Schools'!C:C=H384),1,0,randarray(COUNTA(FILTER('Public Schools'!A:A,'Public Schools'!B:B=J384,'Public Schools'!C:C=H384)),1),TRUE),""""),"""")"),"Stow-Munroe Falls High School")</f>
        <v>Stow-Munroe Falls High School</v>
      </c>
      <c r="U384" s="23" t="str">
        <f t="array" aca="1" ref="U384" ca="1">IF(AND(R384="",T384=""),INDEX('Top 1500 HS LatitudeLongitude'!B$2:B$1501,MATCH(MIN(SQRT(('Top 1500 HS LatitudeLongitude'!H$2:H$1501-F384)^2+('Top 1500 HS LatitudeLongitude'!I$2:I$1501-G384)^2)),SQRT( ('Top 1500 HS LatitudeLongitude'!H$2:H$1501-F384)^2+('Top 1500 HS LatitudeLongitude'!I$2:I$1501-G384)^2),0),1),"")</f>
        <v/>
      </c>
    </row>
    <row r="385" spans="2:21" ht="15.6">
      <c r="B385" s="8">
        <v>6.0403711640000003E-2</v>
      </c>
      <c r="C385" s="9" t="s">
        <v>47</v>
      </c>
      <c r="D385" s="9" t="s">
        <v>323</v>
      </c>
      <c r="E385" s="37" t="s">
        <v>3103</v>
      </c>
      <c r="F385" s="8">
        <v>32.831200000000003</v>
      </c>
      <c r="G385" s="8">
        <v>-117.1225</v>
      </c>
      <c r="H385" s="3" t="str">
        <f t="shared" si="0"/>
        <v>Los Angeles</v>
      </c>
      <c r="I385" s="3" t="str">
        <f t="shared" si="1"/>
        <v>CA</v>
      </c>
      <c r="J385" s="3" t="str">
        <f t="array" ref="J385">INDEX('State Abbreviations'!$B$2:$B$52,MATCH(I385,'State Abbreviations'!$A$2:$A$52,0))</f>
        <v>California</v>
      </c>
      <c r="K385" s="125" t="e">
        <f t="shared" ca="1" si="12"/>
        <v>#NAME?</v>
      </c>
      <c r="L385" s="13">
        <f t="shared" ca="1" si="13"/>
        <v>2</v>
      </c>
      <c r="M385" s="13" t="str">
        <f ca="1">IFERROR(__xludf.DUMMYFUNCTION("IF(L385=10,ArrayFormula(VLOOKUP(QUERY(UNIQUE(RANDBETWEEN(ROW(INDIRECT(""A1:A""&amp;COUNTA('Leaving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5" s="13">
        <f t="shared" ca="1" si="14"/>
        <v>1</v>
      </c>
      <c r="O385" s="13"/>
      <c r="P385" s="13"/>
      <c r="Q385" s="13" t="b">
        <f>ISNUMBER(MATCH("*"&amp;E385&amp;"*",'Top 1500 HS LatitudeLongitude'!G:G,0))</f>
        <v>1</v>
      </c>
      <c r="R385" s="13" t="str">
        <f ca="1">IFERROR(__xludf.DUMMYFUNCTION("IFS(L385=10,"""",Q385=false,"""",N385=5,"""",Q385=true,SORTN(FILTER('Top 1500 HS LatitudeLongitude'!B:B,'Top 1500 HS LatitudeLongitude'!C:C=I385,'Top 1500 HS LatitudeLongitude'!E:E=H385),1,0,randarray(COUNTA(FILTER('Top 1500 HS LatitudeLongitude'!B:B,'Top"&amp;" 1500 HS LatitudeLongitude'!C:C=I385,'Top 1500 HS LatitudeLongitude'!E:E=H385)),1),TRUE)
)"),"Westchester (Los Angeles)")</f>
        <v>Westchester (Los Angeles)</v>
      </c>
      <c r="S385" s="13" t="b">
        <f>ISNUMBER(MATCH("*"&amp;H:H&amp;"*",'Public Schools'!C:C,0))</f>
        <v>1</v>
      </c>
      <c r="T385" s="13" t="str">
        <f ca="1">IFERROR(__xludf.DUMMYFUNCTION("IFERROR(IF(AND(R385="""",S385=true), SORTN(FILTER('Public Schools'!A:A,'Public Schools'!B:B=J385,'Public Schools'!C:C=H385),1,0,randarray(COUNTA(FILTER('Public Schools'!A:A,'Public Schools'!B:B=J385,'Public Schools'!C:C=H385)),1),TRUE),""""),"""")"),"")</f>
        <v/>
      </c>
      <c r="U385" s="23" t="str">
        <f t="array" aca="1" ref="U385" ca="1">IF(AND(R385="",T385=""),INDEX('Top 1500 HS LatitudeLongitude'!B$2:B$1501,MATCH(MIN(SQRT(('Top 1500 HS LatitudeLongitude'!H$2:H$1501-F385)^2+('Top 1500 HS LatitudeLongitude'!I$2:I$1501-G385)^2)),SQRT( ('Top 1500 HS LatitudeLongitude'!H$2:H$1501-F385)^2+('Top 1500 HS LatitudeLongitude'!I$2:I$1501-G385)^2),0),1),"")</f>
        <v/>
      </c>
    </row>
    <row r="386" spans="2:21" ht="15.6">
      <c r="B386" s="8">
        <v>9.3226235889999995E-2</v>
      </c>
      <c r="C386" s="9" t="s">
        <v>238</v>
      </c>
      <c r="D386" s="9" t="s">
        <v>572</v>
      </c>
      <c r="E386" s="126" t="s">
        <v>14373</v>
      </c>
      <c r="F386" s="8">
        <v>37.364600000000003</v>
      </c>
      <c r="G386" s="8">
        <v>-121.9679</v>
      </c>
      <c r="H386" s="3" t="str">
        <f t="shared" si="0"/>
        <v>Amityville</v>
      </c>
      <c r="I386" s="3" t="str">
        <f t="shared" si="1"/>
        <v>NY</v>
      </c>
      <c r="J386" s="3" t="str">
        <f t="array" ref="J386">INDEX('State Abbreviations'!$B$2:$B$52,MATCH(I386,'State Abbreviations'!$A$2:$A$52,0))</f>
        <v>New York</v>
      </c>
      <c r="K386" s="125" t="e">
        <f t="shared" ca="1" si="12"/>
        <v>#NAME?</v>
      </c>
      <c r="L386" s="13">
        <f t="shared" ca="1" si="13"/>
        <v>9</v>
      </c>
      <c r="M386" s="13" t="str">
        <f ca="1">IFERROR(__xludf.DUMMYFUNCTION("IF(L386=10,ArrayFormula(VLOOKUP(QUERY(UNIQUE(RANDBETWEEN(ROW(INDIRECT(""A1:A""&amp;COUNTA('Leaving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6" s="13">
        <f t="shared" ca="1" si="14"/>
        <v>1</v>
      </c>
      <c r="O386" s="13"/>
      <c r="P386" s="13"/>
      <c r="Q386" s="13" t="b">
        <f>ISNUMBER(MATCH("*"&amp;E386&amp;"*",'Top 1500 HS LatitudeLongitude'!G:G,0))</f>
        <v>1</v>
      </c>
      <c r="R386" s="13" t="str">
        <f ca="1">IFERROR(__xludf.DUMMYFUNCTION("IFS(L386=10,"""",Q386=false,"""",N386=5,"""",Q386=true,SORTN(FILTER('Top 1500 HS LatitudeLongitude'!B:B,'Top 1500 HS LatitudeLongitude'!C:C=I386,'Top 1500 HS LatitudeLongitude'!E:E=H386),1,0,randarray(COUNTA(FILTER('Top 1500 HS LatitudeLongitude'!B:B,'Top"&amp;" 1500 HS LatitudeLongitude'!C:C=I386,'Top 1500 HS LatitudeLongitude'!E:E=H386)),1),TRUE)
)"),"Amityville Memorial (Amityville)")</f>
        <v>Amityville Memorial (Amityville)</v>
      </c>
      <c r="S386" s="13" t="b">
        <f>ISNUMBER(MATCH("*"&amp;H:H&amp;"*",'Public Schools'!C:C,0))</f>
        <v>1</v>
      </c>
      <c r="T386" s="13" t="str">
        <f ca="1">IFERROR(__xludf.DUMMYFUNCTION("IFERROR(IF(AND(R386="""",S386=true), SORTN(FILTER('Public Schools'!A:A,'Public Schools'!B:B=J386,'Public Schools'!C:C=H386),1,0,randarray(COUNTA(FILTER('Public Schools'!A:A,'Public Schools'!B:B=J386,'Public Schools'!C:C=H386)),1),TRUE),""""),"""")"),"")</f>
        <v/>
      </c>
      <c r="U386" s="23" t="str">
        <f t="array" aca="1" ref="U386" ca="1">IF(AND(R386="",T386=""),INDEX('Top 1500 HS LatitudeLongitude'!B$2:B$1501,MATCH(MIN(SQRT(('Top 1500 HS LatitudeLongitude'!H$2:H$1501-F386)^2+('Top 1500 HS LatitudeLongitude'!I$2:I$1501-G386)^2)),SQRT( ('Top 1500 HS LatitudeLongitude'!H$2:H$1501-F386)^2+('Top 1500 HS LatitudeLongitude'!I$2:I$1501-G386)^2),0),1),"")</f>
        <v/>
      </c>
    </row>
    <row r="387" spans="2:21" ht="15.6">
      <c r="B387" s="8">
        <v>0.44872821070000002</v>
      </c>
      <c r="C387" s="9" t="s">
        <v>453</v>
      </c>
      <c r="D387" s="9" t="s">
        <v>573</v>
      </c>
      <c r="E387" s="37" t="s">
        <v>14389</v>
      </c>
      <c r="F387" s="8">
        <v>38.957700000000003</v>
      </c>
      <c r="G387" s="8">
        <v>-76.742099999999994</v>
      </c>
      <c r="H387" s="3" t="str">
        <f t="shared" si="0"/>
        <v>Vian</v>
      </c>
      <c r="I387" s="3" t="str">
        <f t="shared" si="1"/>
        <v>OK</v>
      </c>
      <c r="J387" s="3" t="str">
        <f t="array" ref="J387">INDEX('State Abbreviations'!$B$2:$B$52,MATCH(I387,'State Abbreviations'!$A$2:$A$52,0))</f>
        <v>Oklahoma</v>
      </c>
      <c r="K387" s="125" t="e">
        <f t="shared" ca="1" si="12"/>
        <v>#NAME?</v>
      </c>
      <c r="L387" s="13">
        <f t="shared" ca="1" si="13"/>
        <v>6</v>
      </c>
      <c r="M387" s="13" t="str">
        <f ca="1">IFERROR(__xludf.DUMMYFUNCTION("IF(L387=10,ArrayFormula(VLOOKUP(QUERY(UNIQUE(RANDBETWEEN(ROW(INDIRECT(""A1:A""&amp;COUNTA('Leaving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7" s="13">
        <f t="shared" ca="1" si="14"/>
        <v>3</v>
      </c>
      <c r="O387" s="13"/>
      <c r="P387" s="13"/>
      <c r="Q387" s="13" t="b">
        <f>ISNUMBER(MATCH("*"&amp;E387&amp;"*",'Top 1500 HS LatitudeLongitude'!G:G,0))</f>
        <v>0</v>
      </c>
      <c r="R387" s="13" t="str">
        <f ca="1">IFERROR(__xludf.DUMMYFUNCTION("IFS(L387=10,"""",Q387=false,"""",N387=5,"""",Q387=true,SORTN(FILTER('Top 1500 HS LatitudeLongitude'!B:B,'Top 1500 HS LatitudeLongitude'!C:C=I387,'Top 1500 HS LatitudeLongitude'!E:E=H387),1,0,randarray(COUNTA(FILTER('Top 1500 HS LatitudeLongitude'!B:B,'Top"&amp;" 1500 HS LatitudeLongitude'!C:C=I387,'Top 1500 HS LatitudeLongitude'!E:E=H387)),1),TRUE)
)"),"")</f>
        <v/>
      </c>
      <c r="S387" s="13" t="b">
        <f>ISNUMBER(MATCH("*"&amp;H:H&amp;"*",'Public Schools'!C:C,0))</f>
        <v>1</v>
      </c>
      <c r="T387" s="13" t="str">
        <f ca="1">IFERROR(__xludf.DUMMYFUNCTION("IFERROR(IF(AND(R387="""",S387=true), SORTN(FILTER('Public Schools'!A:A,'Public Schools'!B:B=J387,'Public Schools'!C:C=H387),1,0,randarray(COUNTA(FILTER('Public Schools'!A:A,'Public Schools'!B:B=J387,'Public Schools'!C:C=H387)),1),TRUE),""""),"""")"),"Vian High School")</f>
        <v>Vian High School</v>
      </c>
      <c r="U387" s="23" t="str">
        <f t="array" aca="1" ref="U387" ca="1">IF(AND(R387="",T387=""),INDEX('Top 1500 HS LatitudeLongitude'!B$2:B$1501,MATCH(MIN(SQRT(('Top 1500 HS LatitudeLongitude'!H$2:H$1501-F387)^2+('Top 1500 HS LatitudeLongitude'!I$2:I$1501-G387)^2)),SQRT( ('Top 1500 HS LatitudeLongitude'!H$2:H$1501-F387)^2+('Top 1500 HS LatitudeLongitude'!I$2:I$1501-G387)^2),0),1),"")</f>
        <v/>
      </c>
    </row>
    <row r="388" spans="2:21" ht="15.6">
      <c r="B388" s="8">
        <v>9.7542149310000006E-2</v>
      </c>
      <c r="C388" s="9" t="s">
        <v>206</v>
      </c>
      <c r="D388" s="9" t="s">
        <v>574</v>
      </c>
      <c r="E388" s="126" t="s">
        <v>14404</v>
      </c>
      <c r="F388" s="8">
        <v>33.9069</v>
      </c>
      <c r="G388" s="8">
        <v>-118.0829</v>
      </c>
      <c r="H388" s="3" t="str">
        <f t="shared" si="0"/>
        <v>Austin</v>
      </c>
      <c r="I388" s="3" t="str">
        <f t="shared" si="1"/>
        <v>TX</v>
      </c>
      <c r="J388" s="3" t="str">
        <f t="array" ref="J388">INDEX('State Abbreviations'!$B$2:$B$52,MATCH(I388,'State Abbreviations'!$A$2:$A$52,0))</f>
        <v>Texas</v>
      </c>
      <c r="K388" s="125" t="e">
        <f t="shared" ca="1" si="12"/>
        <v>#NAME?</v>
      </c>
      <c r="L388" s="13">
        <f t="shared" ca="1" si="13"/>
        <v>8</v>
      </c>
      <c r="M388" s="13" t="str">
        <f ca="1">IFERROR(__xludf.DUMMYFUNCTION("IF(L388=10,ArrayFormula(VLOOKUP(QUERY(UNIQUE(RANDBETWEEN(ROW(INDIRECT(""A1:A""&amp;COUNTA('Leaving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8" s="13">
        <f t="shared" ca="1" si="14"/>
        <v>3</v>
      </c>
      <c r="O388" s="13"/>
      <c r="P388" s="13"/>
      <c r="Q388" s="13" t="b">
        <f>ISNUMBER(MATCH("*"&amp;E388&amp;"*",'Top 1500 HS LatitudeLongitude'!G:G,0))</f>
        <v>1</v>
      </c>
      <c r="R388" s="13" t="str">
        <f ca="1">IFERROR(__xludf.DUMMYFUNCTION("IFS(L388=10,"""",Q388=false,"""",N388=5,"""",Q388=true,SORTN(FILTER('Top 1500 HS LatitudeLongitude'!B:B,'Top 1500 HS LatitudeLongitude'!C:C=I388,'Top 1500 HS LatitudeLongitude'!E:E=H388),1,0,randarray(COUNTA(FILTER('Top 1500 HS LatitudeLongitude'!B:B,'Top"&amp;" 1500 HS LatitudeLongitude'!C:C=I388,'Top 1500 HS LatitudeLongitude'!E:E=H388)),1),TRUE)
)"),"Anderson (Austin)")</f>
        <v>Anderson (Austin)</v>
      </c>
      <c r="S388" s="13" t="b">
        <f>ISNUMBER(MATCH("*"&amp;H:H&amp;"*",'Public Schools'!C:C,0))</f>
        <v>1</v>
      </c>
      <c r="T388" s="13" t="str">
        <f ca="1">IFERROR(__xludf.DUMMYFUNCTION("IFERROR(IF(AND(R388="""",S388=true), SORTN(FILTER('Public Schools'!A:A,'Public Schools'!B:B=J388,'Public Schools'!C:C=H388),1,0,randarray(COUNTA(FILTER('Public Schools'!A:A,'Public Schools'!B:B=J388,'Public Schools'!C:C=H388)),1),TRUE),""""),"""")"),"")</f>
        <v/>
      </c>
      <c r="U388" s="23" t="str">
        <f t="array" aca="1" ref="U388" ca="1">IF(AND(R388="",T388=""),INDEX('Top 1500 HS LatitudeLongitude'!B$2:B$1501,MATCH(MIN(SQRT(('Top 1500 HS LatitudeLongitude'!H$2:H$1501-F388)^2+('Top 1500 HS LatitudeLongitude'!I$2:I$1501-G388)^2)),SQRT( ('Top 1500 HS LatitudeLongitude'!H$2:H$1501-F388)^2+('Top 1500 HS LatitudeLongitude'!I$2:I$1501-G388)^2),0),1),"")</f>
        <v/>
      </c>
    </row>
    <row r="389" spans="2:21" ht="15.6">
      <c r="B389" s="8">
        <v>0.32882845890000001</v>
      </c>
      <c r="C389" s="9" t="s">
        <v>320</v>
      </c>
      <c r="D389" s="9" t="s">
        <v>575</v>
      </c>
      <c r="E389" s="37" t="s">
        <v>14417</v>
      </c>
      <c r="F389" s="8">
        <v>42.33</v>
      </c>
      <c r="G389" s="8">
        <v>-88.1601</v>
      </c>
      <c r="H389" s="3" t="str">
        <f t="shared" si="0"/>
        <v>Pueblo</v>
      </c>
      <c r="I389" s="3" t="str">
        <f t="shared" si="1"/>
        <v>CO</v>
      </c>
      <c r="J389" s="3" t="str">
        <f t="array" ref="J389">INDEX('State Abbreviations'!$B$2:$B$52,MATCH(I389,'State Abbreviations'!$A$2:$A$52,0))</f>
        <v>Colorado</v>
      </c>
      <c r="K389" s="125" t="e">
        <f t="shared" ca="1" si="12"/>
        <v>#NAME?</v>
      </c>
      <c r="L389" s="13">
        <f t="shared" ca="1" si="13"/>
        <v>3</v>
      </c>
      <c r="M389" s="13" t="str">
        <f ca="1">IFERROR(__xludf.DUMMYFUNCTION("IF(L389=10,ArrayFormula(VLOOKUP(QUERY(UNIQUE(RANDBETWEEN(ROW(INDIRECT(""A1:A""&amp;COUNTA('Leaving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89" s="13">
        <f t="shared" ca="1" si="14"/>
        <v>4</v>
      </c>
      <c r="O389" s="13"/>
      <c r="P389" s="13"/>
      <c r="Q389" s="13" t="b">
        <f>ISNUMBER(MATCH("*"&amp;E389&amp;"*",'Top 1500 HS LatitudeLongitude'!G:G,0))</f>
        <v>0</v>
      </c>
      <c r="R389" s="13" t="str">
        <f ca="1">IFERROR(__xludf.DUMMYFUNCTION("IFS(L389=10,"""",Q389=false,"""",N389=5,"""",Q389=true,SORTN(FILTER('Top 1500 HS LatitudeLongitude'!B:B,'Top 1500 HS LatitudeLongitude'!C:C=I389,'Top 1500 HS LatitudeLongitude'!E:E=H389),1,0,randarray(COUNTA(FILTER('Top 1500 HS LatitudeLongitude'!B:B,'Top"&amp;" 1500 HS LatitudeLongitude'!C:C=I389,'Top 1500 HS LatitudeLongitude'!E:E=H389)),1),TRUE)
)"),"")</f>
        <v/>
      </c>
      <c r="S389" s="13" t="b">
        <f>ISNUMBER(MATCH("*"&amp;H:H&amp;"*",'Public Schools'!C:C,0))</f>
        <v>1</v>
      </c>
      <c r="T389" s="13" t="str">
        <f ca="1">IFERROR(__xludf.DUMMYFUNCTION("IFERROR(IF(AND(R389="""",S389=true), SORTN(FILTER('Public Schools'!A:A,'Public Schools'!B:B=J389,'Public Schools'!C:C=H389),1,0,randarray(COUNTA(FILTER('Public Schools'!A:A,'Public Schools'!B:B=J389,'Public Schools'!C:C=H389)),1),TRUE),""""),"""")"),"East High School")</f>
        <v>East High School</v>
      </c>
      <c r="U389" s="23" t="str">
        <f t="array" aca="1" ref="U389" ca="1">IF(AND(R389="",T389=""),INDEX('Top 1500 HS LatitudeLongitude'!B$2:B$1501,MATCH(MIN(SQRT(('Top 1500 HS LatitudeLongitude'!H$2:H$1501-F389)^2+('Top 1500 HS LatitudeLongitude'!I$2:I$1501-G389)^2)),SQRT( ('Top 1500 HS LatitudeLongitude'!H$2:H$1501-F389)^2+('Top 1500 HS LatitudeLongitude'!I$2:I$1501-G389)^2),0),1),"")</f>
        <v/>
      </c>
    </row>
    <row r="390" spans="2:21" ht="15.6">
      <c r="B390" s="8">
        <v>0.77202502110000004</v>
      </c>
      <c r="C390" s="9" t="s">
        <v>456</v>
      </c>
      <c r="D390" s="9" t="s">
        <v>576</v>
      </c>
      <c r="E390" s="126" t="s">
        <v>14430</v>
      </c>
      <c r="F390" s="8">
        <v>41.101900000000001</v>
      </c>
      <c r="G390" s="8">
        <v>-76.769499999999994</v>
      </c>
      <c r="H390" s="3" t="str">
        <f t="shared" si="0"/>
        <v>Edgerton</v>
      </c>
      <c r="I390" s="3" t="str">
        <f t="shared" si="1"/>
        <v>KS</v>
      </c>
      <c r="J390" s="3" t="str">
        <f t="array" ref="J390">INDEX('State Abbreviations'!$B$2:$B$52,MATCH(I390,'State Abbreviations'!$A$2:$A$52,0))</f>
        <v>Kansas</v>
      </c>
      <c r="K390" s="125" t="e">
        <f t="shared" ca="1" si="12"/>
        <v>#NAME?</v>
      </c>
      <c r="L390" s="13">
        <f t="shared" ca="1" si="13"/>
        <v>6</v>
      </c>
      <c r="M390" s="13" t="str">
        <f ca="1">IFERROR(__xludf.DUMMYFUNCTION("IF(L390=10,ArrayFormula(VLOOKUP(QUERY(UNIQUE(RANDBETWEEN(ROW(INDIRECT(""A1:A""&amp;COUNTA('Leaving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0" s="13">
        <f t="shared" ca="1" si="14"/>
        <v>1</v>
      </c>
      <c r="O390" s="13"/>
      <c r="P390" s="13"/>
      <c r="Q390" s="13" t="b">
        <f>ISNUMBER(MATCH("*"&amp;E390&amp;"*",'Top 1500 HS LatitudeLongitude'!G:G,0))</f>
        <v>0</v>
      </c>
      <c r="R390" s="13" t="str">
        <f ca="1">IFERROR(__xludf.DUMMYFUNCTION("IFS(L390=10,"""",Q390=false,"""",N390=5,"""",Q390=true,SORTN(FILTER('Top 1500 HS LatitudeLongitude'!B:B,'Top 1500 HS LatitudeLongitude'!C:C=I390,'Top 1500 HS LatitudeLongitude'!E:E=H390),1,0,randarray(COUNTA(FILTER('Top 1500 HS LatitudeLongitude'!B:B,'Top"&amp;" 1500 HS LatitudeLongitude'!C:C=I390,'Top 1500 HS LatitudeLongitude'!E:E=H390)),1),TRUE)
)"),"")</f>
        <v/>
      </c>
      <c r="S390" s="13" t="b">
        <f>ISNUMBER(MATCH("*"&amp;H:H&amp;"*",'Public Schools'!C:C,0))</f>
        <v>1</v>
      </c>
      <c r="T390" s="13" t="str">
        <f ca="1">IFERROR(__xludf.DUMMYFUNCTION("IFERROR(IF(AND(R390="""",S390=true), SORTN(FILTER('Public Schools'!A:A,'Public Schools'!B:B=J390,'Public Schools'!C:C=H390),1,0,randarray(COUNTA(FILTER('Public Schools'!A:A,'Public Schools'!B:B=J390,'Public Schools'!C:C=H390)),1),TRUE),""""),"""")"),"")</f>
        <v/>
      </c>
      <c r="U390" s="23" t="str">
        <f t="array" aca="1" ref="U390" ca="1">IF(AND(R390="",T390=""),INDEX('Top 1500 HS LatitudeLongitude'!B$2:B$1501,MATCH(MIN(SQRT(('Top 1500 HS LatitudeLongitude'!H$2:H$1501-F390)^2+('Top 1500 HS LatitudeLongitude'!I$2:I$1501-G390)^2)),SQRT( ('Top 1500 HS LatitudeLongitude'!H$2:H$1501-F390)^2+('Top 1500 HS LatitudeLongitude'!I$2:I$1501-G390)^2),0),1),"")</f>
        <v>Loyalsock Township (Williamsport)</v>
      </c>
    </row>
    <row r="391" spans="2:21" ht="15.6">
      <c r="B391" s="8">
        <v>0.1058375188</v>
      </c>
      <c r="C391" s="9" t="s">
        <v>243</v>
      </c>
      <c r="D391" s="9" t="s">
        <v>577</v>
      </c>
      <c r="E391" s="37" t="s">
        <v>14452</v>
      </c>
      <c r="F391" s="8">
        <v>33.847099999999998</v>
      </c>
      <c r="G391" s="8">
        <v>-118.12220000000001</v>
      </c>
      <c r="H391" s="3" t="str">
        <f t="shared" si="0"/>
        <v>Grantham</v>
      </c>
      <c r="I391" s="3" t="str">
        <f t="shared" si="1"/>
        <v>PA</v>
      </c>
      <c r="J391" s="3" t="str">
        <f t="array" ref="J391">INDEX('State Abbreviations'!$B$2:$B$52,MATCH(I391,'State Abbreviations'!$A$2:$A$52,0))</f>
        <v>Pennsylvania</v>
      </c>
      <c r="K391" s="125" t="e">
        <f t="shared" ca="1" si="12"/>
        <v>#NAME?</v>
      </c>
      <c r="L391" s="13">
        <f t="shared" ca="1" si="13"/>
        <v>7</v>
      </c>
      <c r="M391" s="13" t="str">
        <f ca="1">IFERROR(__xludf.DUMMYFUNCTION("IF(L391=10,ArrayFormula(VLOOKUP(QUERY(UNIQUE(RANDBETWEEN(ROW(INDIRECT(""A1:A""&amp;COUNTA('Leaving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1" s="13">
        <f t="shared" ca="1" si="14"/>
        <v>1</v>
      </c>
      <c r="O391" s="13"/>
      <c r="P391" s="13"/>
      <c r="Q391" s="13" t="b">
        <f>ISNUMBER(MATCH("*"&amp;E391&amp;"*",'Top 1500 HS LatitudeLongitude'!G:G,0))</f>
        <v>0</v>
      </c>
      <c r="R391" s="13" t="str">
        <f ca="1">IFERROR(__xludf.DUMMYFUNCTION("IFS(L391=10,"""",Q391=false,"""",N391=5,"""",Q391=true,SORTN(FILTER('Top 1500 HS LatitudeLongitude'!B:B,'Top 1500 HS LatitudeLongitude'!C:C=I391,'Top 1500 HS LatitudeLongitude'!E:E=H391),1,0,randarray(COUNTA(FILTER('Top 1500 HS LatitudeLongitude'!B:B,'Top"&amp;" 1500 HS LatitudeLongitude'!C:C=I391,'Top 1500 HS LatitudeLongitude'!E:E=H391)),1),TRUE)
)"),"")</f>
        <v/>
      </c>
      <c r="S391" s="13" t="b">
        <f>ISNUMBER(MATCH("*"&amp;H:H&amp;"*",'Public Schools'!C:C,0))</f>
        <v>0</v>
      </c>
      <c r="T391" s="13" t="str">
        <f ca="1">IFERROR(__xludf.DUMMYFUNCTION("IFERROR(IF(AND(R391="""",S391=true), SORTN(FILTER('Public Schools'!A:A,'Public Schools'!B:B=J391,'Public Schools'!C:C=H391),1,0,randarray(COUNTA(FILTER('Public Schools'!A:A,'Public Schools'!B:B=J391,'Public Schools'!C:C=H391)),1),TRUE),""""),"""")"),"")</f>
        <v/>
      </c>
      <c r="U391" s="23" t="str">
        <f t="array" aca="1" ref="U391" ca="1">IF(AND(R391="",T391=""),INDEX('Top 1500 HS LatitudeLongitude'!B$2:B$1501,MATCH(MIN(SQRT(('Top 1500 HS LatitudeLongitude'!H$2:H$1501-F391)^2+('Top 1500 HS LatitudeLongitude'!I$2:I$1501-G391)^2)),SQRT( ('Top 1500 HS LatitudeLongitude'!H$2:H$1501-F391)^2+('Top 1500 HS LatitudeLongitude'!I$2:I$1501-G391)^2),0),1),"")</f>
        <v>Mayfair (Lakewood)</v>
      </c>
    </row>
    <row r="392" spans="2:21" ht="15.6">
      <c r="B392" s="8">
        <v>0.34515989450000001</v>
      </c>
      <c r="C392" s="9" t="s">
        <v>314</v>
      </c>
      <c r="D392" s="9" t="s">
        <v>578</v>
      </c>
      <c r="E392" s="126" t="s">
        <v>14473</v>
      </c>
      <c r="F392" s="8">
        <v>39.965800000000002</v>
      </c>
      <c r="G392" s="8">
        <v>-86.146100000000004</v>
      </c>
      <c r="H392" s="3" t="str">
        <f t="shared" si="0"/>
        <v>Reno</v>
      </c>
      <c r="I392" s="3" t="str">
        <f t="shared" si="1"/>
        <v>NV</v>
      </c>
      <c r="J392" s="3" t="str">
        <f t="array" ref="J392">INDEX('State Abbreviations'!$B$2:$B$52,MATCH(I392,'State Abbreviations'!$A$2:$A$52,0))</f>
        <v>Nevada</v>
      </c>
      <c r="K392" s="125" t="e">
        <f t="shared" ca="1" si="12"/>
        <v>#NAME?</v>
      </c>
      <c r="L392" s="13">
        <f t="shared" ca="1" si="13"/>
        <v>1</v>
      </c>
      <c r="M392" s="13" t="str">
        <f ca="1">IFERROR(__xludf.DUMMYFUNCTION("IF(L392=10,ArrayFormula(VLOOKUP(QUERY(UNIQUE(RANDBETWEEN(ROW(INDIRECT(""A1:A""&amp;COUNTA('Leaving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2" s="13">
        <f t="shared" ca="1" si="14"/>
        <v>2</v>
      </c>
      <c r="O392" s="13"/>
      <c r="P392" s="13"/>
      <c r="Q392" s="13" t="b">
        <f>ISNUMBER(MATCH("*"&amp;E392&amp;"*",'Top 1500 HS LatitudeLongitude'!G:G,0))</f>
        <v>1</v>
      </c>
      <c r="R392" s="13" t="str">
        <f ca="1">IFERROR(__xludf.DUMMYFUNCTION("IFS(L392=10,"""",Q392=false,"""",N392=5,"""",Q392=true,SORTN(FILTER('Top 1500 HS LatitudeLongitude'!B:B,'Top 1500 HS LatitudeLongitude'!C:C=I392,'Top 1500 HS LatitudeLongitude'!E:E=H392),1,0,randarray(COUNTA(FILTER('Top 1500 HS LatitudeLongitude'!B:B,'Top"&amp;" 1500 HS LatitudeLongitude'!C:C=I392,'Top 1500 HS LatitudeLongitude'!E:E=H392)),1),TRUE)
)"),"Bishop Manogue (Reno)")</f>
        <v>Bishop Manogue (Reno)</v>
      </c>
      <c r="S392" s="13" t="b">
        <f>ISNUMBER(MATCH("*"&amp;H:H&amp;"*",'Public Schools'!C:C,0))</f>
        <v>1</v>
      </c>
      <c r="T392" s="13" t="str">
        <f ca="1">IFERROR(__xludf.DUMMYFUNCTION("IFERROR(IF(AND(R392="""",S392=true), SORTN(FILTER('Public Schools'!A:A,'Public Schools'!B:B=J392,'Public Schools'!C:C=H392),1,0,randarray(COUNTA(FILTER('Public Schools'!A:A,'Public Schools'!B:B=J392,'Public Schools'!C:C=H392)),1),TRUE),""""),"""")"),"")</f>
        <v/>
      </c>
      <c r="U392" s="23" t="str">
        <f t="array" aca="1" ref="U392" ca="1">IF(AND(R392="",T392=""),INDEX('Top 1500 HS LatitudeLongitude'!B$2:B$1501,MATCH(MIN(SQRT(('Top 1500 HS LatitudeLongitude'!H$2:H$1501-F392)^2+('Top 1500 HS LatitudeLongitude'!I$2:I$1501-G392)^2)),SQRT( ('Top 1500 HS LatitudeLongitude'!H$2:H$1501-F392)^2+('Top 1500 HS LatitudeLongitude'!I$2:I$1501-G392)^2),0),1),"")</f>
        <v/>
      </c>
    </row>
    <row r="393" spans="2:21" ht="15.6">
      <c r="B393" s="8">
        <v>0.62425333049999998</v>
      </c>
      <c r="C393" s="9" t="s">
        <v>238</v>
      </c>
      <c r="D393" s="9" t="s">
        <v>579</v>
      </c>
      <c r="E393" s="37" t="s">
        <v>14489</v>
      </c>
      <c r="F393" s="8">
        <v>35.287300000000002</v>
      </c>
      <c r="G393" s="8">
        <v>-106.6979</v>
      </c>
      <c r="H393" s="3" t="str">
        <f t="shared" si="0"/>
        <v>Riverhead</v>
      </c>
      <c r="I393" s="3" t="str">
        <f t="shared" si="1"/>
        <v>NY</v>
      </c>
      <c r="J393" s="3" t="str">
        <f t="array" ref="J393">INDEX('State Abbreviations'!$B$2:$B$52,MATCH(I393,'State Abbreviations'!$A$2:$A$52,0))</f>
        <v>New York</v>
      </c>
      <c r="K393" s="125" t="e">
        <f t="shared" ca="1" si="12"/>
        <v>#NAME?</v>
      </c>
      <c r="L393" s="13">
        <f t="shared" ca="1" si="13"/>
        <v>7</v>
      </c>
      <c r="M393" s="13" t="str">
        <f ca="1">IFERROR(__xludf.DUMMYFUNCTION("IF(L393=10,ArrayFormula(VLOOKUP(QUERY(UNIQUE(RANDBETWEEN(ROW(INDIRECT(""A1:A""&amp;COUNTA('Leaving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3" s="13">
        <f t="shared" ca="1" si="14"/>
        <v>3</v>
      </c>
      <c r="O393" s="13"/>
      <c r="P393" s="13"/>
      <c r="Q393" s="13" t="b">
        <f>ISNUMBER(MATCH("*"&amp;E393&amp;"*",'Top 1500 HS LatitudeLongitude'!G:G,0))</f>
        <v>0</v>
      </c>
      <c r="R393" s="13" t="str">
        <f ca="1">IFERROR(__xludf.DUMMYFUNCTION("IFS(L393=10,"""",Q393=false,"""",N393=5,"""",Q393=true,SORTN(FILTER('Top 1500 HS LatitudeLongitude'!B:B,'Top 1500 HS LatitudeLongitude'!C:C=I393,'Top 1500 HS LatitudeLongitude'!E:E=H393),1,0,randarray(COUNTA(FILTER('Top 1500 HS LatitudeLongitude'!B:B,'Top"&amp;" 1500 HS LatitudeLongitude'!C:C=I393,'Top 1500 HS LatitudeLongitude'!E:E=H393)),1),TRUE)
)"),"")</f>
        <v/>
      </c>
      <c r="S393" s="13" t="b">
        <f>ISNUMBER(MATCH("*"&amp;H:H&amp;"*",'Public Schools'!C:C,0))</f>
        <v>1</v>
      </c>
      <c r="T393" s="13" t="str">
        <f ca="1">IFERROR(__xludf.DUMMYFUNCTION("IFERROR(IF(AND(R393="""",S393=true), SORTN(FILTER('Public Schools'!A:A,'Public Schools'!B:B=J393,'Public Schools'!C:C=H393),1,0,randarray(COUNTA(FILTER('Public Schools'!A:A,'Public Schools'!B:B=J393,'Public Schools'!C:C=H393)),1),TRUE),""""),"""")"),"Riverhead Senior High School")</f>
        <v>Riverhead Senior High School</v>
      </c>
      <c r="U393" s="23" t="str">
        <f t="array" aca="1" ref="U393" ca="1">IF(AND(R393="",T393=""),INDEX('Top 1500 HS LatitudeLongitude'!B$2:B$1501,MATCH(MIN(SQRT(('Top 1500 HS LatitudeLongitude'!H$2:H$1501-F393)^2+('Top 1500 HS LatitudeLongitude'!I$2:I$1501-G393)^2)),SQRT( ('Top 1500 HS LatitudeLongitude'!H$2:H$1501-F393)^2+('Top 1500 HS LatitudeLongitude'!I$2:I$1501-G393)^2),0),1),"")</f>
        <v/>
      </c>
    </row>
    <row r="394" spans="2:21" ht="15.6">
      <c r="B394" s="8">
        <v>1.9254335340000001E-2</v>
      </c>
      <c r="C394" s="9" t="s">
        <v>316</v>
      </c>
      <c r="D394" s="9" t="s">
        <v>580</v>
      </c>
      <c r="E394" s="126" t="s">
        <v>14505</v>
      </c>
      <c r="F394" s="8">
        <v>35.349400000000003</v>
      </c>
      <c r="G394" s="8">
        <v>-94.369500000000002</v>
      </c>
      <c r="H394" s="3" t="str">
        <f t="shared" si="0"/>
        <v>Midvale</v>
      </c>
      <c r="I394" s="3" t="str">
        <f t="shared" si="1"/>
        <v>UT</v>
      </c>
      <c r="J394" s="3" t="str">
        <f t="array" ref="J394">INDEX('State Abbreviations'!$B$2:$B$52,MATCH(I394,'State Abbreviations'!$A$2:$A$52,0))</f>
        <v>Utah</v>
      </c>
      <c r="K394" s="125" t="e">
        <f t="shared" ca="1" si="12"/>
        <v>#NAME?</v>
      </c>
      <c r="L394" s="13">
        <f t="shared" ca="1" si="13"/>
        <v>5</v>
      </c>
      <c r="M394" s="13" t="str">
        <f ca="1">IFERROR(__xludf.DUMMYFUNCTION("IF(L394=10,ArrayFormula(VLOOKUP(QUERY(UNIQUE(RANDBETWEEN(ROW(INDIRECT(""A1:A""&amp;COUNTA('Leaving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4" s="13">
        <f t="shared" ca="1" si="14"/>
        <v>1</v>
      </c>
      <c r="O394" s="13"/>
      <c r="P394" s="13"/>
      <c r="Q394" s="13" t="b">
        <f>ISNUMBER(MATCH("*"&amp;E394&amp;"*",'Top 1500 HS LatitudeLongitude'!G:G,0))</f>
        <v>0</v>
      </c>
      <c r="R394" s="13" t="str">
        <f ca="1">IFERROR(__xludf.DUMMYFUNCTION("IFS(L394=10,"""",Q394=false,"""",N394=5,"""",Q394=true,SORTN(FILTER('Top 1500 HS LatitudeLongitude'!B:B,'Top 1500 HS LatitudeLongitude'!C:C=I394,'Top 1500 HS LatitudeLongitude'!E:E=H394),1,0,randarray(COUNTA(FILTER('Top 1500 HS LatitudeLongitude'!B:B,'Top"&amp;" 1500 HS LatitudeLongitude'!C:C=I394,'Top 1500 HS LatitudeLongitude'!E:E=H394)),1),TRUE)
)"),"")</f>
        <v/>
      </c>
      <c r="S394" s="13" t="b">
        <f>ISNUMBER(MATCH("*"&amp;H:H&amp;"*",'Public Schools'!C:C,0))</f>
        <v>1</v>
      </c>
      <c r="T394" s="13" t="str">
        <f ca="1">IFERROR(__xludf.DUMMYFUNCTION("IFERROR(IF(AND(R394="""",S394=true), SORTN(FILTER('Public Schools'!A:A,'Public Schools'!B:B=J394,'Public Schools'!C:C=H394),1,0,randarray(COUNTA(FILTER('Public Schools'!A:A,'Public Schools'!B:B=J394,'Public Schools'!C:C=H394)),1),TRUE),""""),"""")"),"Hillcrest High School")</f>
        <v>Hillcrest High School</v>
      </c>
      <c r="U394" s="23" t="str">
        <f t="array" aca="1" ref="U394" ca="1">IF(AND(R394="",T394=""),INDEX('Top 1500 HS LatitudeLongitude'!B$2:B$1501,MATCH(MIN(SQRT(('Top 1500 HS LatitudeLongitude'!H$2:H$1501-F394)^2+('Top 1500 HS LatitudeLongitude'!I$2:I$1501-G394)^2)),SQRT( ('Top 1500 HS LatitudeLongitude'!H$2:H$1501-F394)^2+('Top 1500 HS LatitudeLongitude'!I$2:I$1501-G394)^2),0),1),"")</f>
        <v/>
      </c>
    </row>
    <row r="395" spans="2:21" ht="15.6">
      <c r="B395" s="8">
        <v>0.61304006769999997</v>
      </c>
      <c r="C395" s="9" t="s">
        <v>148</v>
      </c>
      <c r="D395" s="9" t="s">
        <v>581</v>
      </c>
      <c r="E395" s="37" t="s">
        <v>14522</v>
      </c>
      <c r="F395" s="8">
        <v>40.777200000000001</v>
      </c>
      <c r="G395" s="8">
        <v>-74.395300000000006</v>
      </c>
      <c r="H395" s="3" t="str">
        <f t="shared" si="0"/>
        <v>Mableton</v>
      </c>
      <c r="I395" s="3" t="str">
        <f t="shared" si="1"/>
        <v>GA</v>
      </c>
      <c r="J395" s="3" t="str">
        <f t="array" ref="J395">INDEX('State Abbreviations'!$B$2:$B$52,MATCH(I395,'State Abbreviations'!$A$2:$A$52,0))</f>
        <v>Georgia</v>
      </c>
      <c r="K395" s="125" t="e">
        <f t="shared" ca="1" si="12"/>
        <v>#NAME?</v>
      </c>
      <c r="L395" s="13">
        <f t="shared" ca="1" si="13"/>
        <v>1</v>
      </c>
      <c r="M395" s="13" t="str">
        <f ca="1">IFERROR(__xludf.DUMMYFUNCTION("IF(L395=10,ArrayFormula(VLOOKUP(QUERY(UNIQUE(RANDBETWEEN(ROW(INDIRECT(""A1:A""&amp;COUNTA('Leaving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5" s="13">
        <f t="shared" ca="1" si="14"/>
        <v>3</v>
      </c>
      <c r="O395" s="13"/>
      <c r="P395" s="13"/>
      <c r="Q395" s="13" t="b">
        <f>ISNUMBER(MATCH("*"&amp;E395&amp;"*",'Top 1500 HS LatitudeLongitude'!G:G,0))</f>
        <v>1</v>
      </c>
      <c r="R395" s="13" t="str">
        <f ca="1">IFERROR(__xludf.DUMMYFUNCTION("IFS(L395=10,"""",Q395=false,"""",N395=5,"""",Q395=true,SORTN(FILTER('Top 1500 HS LatitudeLongitude'!B:B,'Top 1500 HS LatitudeLongitude'!C:C=I395,'Top 1500 HS LatitudeLongitude'!E:E=H395),1,0,randarray(COUNTA(FILTER('Top 1500 HS LatitudeLongitude'!B:B,'Top"&amp;" 1500 HS LatitudeLongitude'!C:C=I395,'Top 1500 HS LatitudeLongitude'!E:E=H395)),1),TRUE)
)"),"South Cobb (Austell)")</f>
        <v>South Cobb (Austell)</v>
      </c>
      <c r="S395" s="13" t="b">
        <f>ISNUMBER(MATCH("*"&amp;H:H&amp;"*",'Public Schools'!C:C,0))</f>
        <v>1</v>
      </c>
      <c r="T395" s="13" t="str">
        <f ca="1">IFERROR(__xludf.DUMMYFUNCTION("IFERROR(IF(AND(R395="""",S395=true), SORTN(FILTER('Public Schools'!A:A,'Public Schools'!B:B=J395,'Public Schools'!C:C=H395),1,0,randarray(COUNTA(FILTER('Public Schools'!A:A,'Public Schools'!B:B=J395,'Public Schools'!C:C=H395)),1),TRUE),""""),"""")"),"")</f>
        <v/>
      </c>
      <c r="U395" s="23" t="str">
        <f t="array" aca="1" ref="U395" ca="1">IF(AND(R395="",T395=""),INDEX('Top 1500 HS LatitudeLongitude'!B$2:B$1501,MATCH(MIN(SQRT(('Top 1500 HS LatitudeLongitude'!H$2:H$1501-F395)^2+('Top 1500 HS LatitudeLongitude'!I$2:I$1501-G395)^2)),SQRT( ('Top 1500 HS LatitudeLongitude'!H$2:H$1501-F395)^2+('Top 1500 HS LatitudeLongitude'!I$2:I$1501-G395)^2),0),1),"")</f>
        <v/>
      </c>
    </row>
    <row r="396" spans="2:21" ht="15.6">
      <c r="B396" s="8">
        <v>0.25710867459999998</v>
      </c>
      <c r="C396" s="9" t="s">
        <v>47</v>
      </c>
      <c r="D396" s="9" t="s">
        <v>582</v>
      </c>
      <c r="E396" s="126" t="s">
        <v>14544</v>
      </c>
      <c r="F396" s="8">
        <v>33.660899999999998</v>
      </c>
      <c r="G396" s="8">
        <v>-84.409300000000002</v>
      </c>
      <c r="H396" s="3" t="str">
        <f t="shared" si="0"/>
        <v>King City</v>
      </c>
      <c r="I396" s="3" t="str">
        <f t="shared" si="1"/>
        <v>CA</v>
      </c>
      <c r="J396" s="3" t="str">
        <f t="array" ref="J396">INDEX('State Abbreviations'!$B$2:$B$52,MATCH(I396,'State Abbreviations'!$A$2:$A$52,0))</f>
        <v>California</v>
      </c>
      <c r="K396" s="125" t="e">
        <f t="shared" ca="1" si="12"/>
        <v>#NAME?</v>
      </c>
      <c r="L396" s="13">
        <f t="shared" ca="1" si="13"/>
        <v>6</v>
      </c>
      <c r="M396" s="13" t="str">
        <f ca="1">IFERROR(__xludf.DUMMYFUNCTION("IF(L396=10,ArrayFormula(VLOOKUP(QUERY(UNIQUE(RANDBETWEEN(ROW(INDIRECT(""A1:A""&amp;COUNTA('Leaving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6" s="13">
        <f t="shared" ca="1" si="14"/>
        <v>2</v>
      </c>
      <c r="O396" s="13"/>
      <c r="P396" s="13"/>
      <c r="Q396" s="13" t="b">
        <f>ISNUMBER(MATCH("*"&amp;E396&amp;"*",'Top 1500 HS LatitudeLongitude'!G:G,0))</f>
        <v>0</v>
      </c>
      <c r="R396" s="13" t="str">
        <f ca="1">IFERROR(__xludf.DUMMYFUNCTION("IFS(L396=10,"""",Q396=false,"""",N396=5,"""",Q396=true,SORTN(FILTER('Top 1500 HS LatitudeLongitude'!B:B,'Top 1500 HS LatitudeLongitude'!C:C=I396,'Top 1500 HS LatitudeLongitude'!E:E=H396),1,0,randarray(COUNTA(FILTER('Top 1500 HS LatitudeLongitude'!B:B,'Top"&amp;" 1500 HS LatitudeLongitude'!C:C=I396,'Top 1500 HS LatitudeLongitude'!E:E=H396)),1),TRUE)
)"),"")</f>
        <v/>
      </c>
      <c r="S396" s="13" t="b">
        <f>ISNUMBER(MATCH("*"&amp;H:H&amp;"*",'Public Schools'!C:C,0))</f>
        <v>1</v>
      </c>
      <c r="T396" s="13" t="str">
        <f ca="1">IFERROR(__xludf.DUMMYFUNCTION("IFERROR(IF(AND(R396="""",S396=true), SORTN(FILTER('Public Schools'!A:A,'Public Schools'!B:B=J396,'Public Schools'!C:C=H396),1,0,randarray(COUNTA(FILTER('Public Schools'!A:A,'Public Schools'!B:B=J396,'Public Schools'!C:C=H396)),1),TRUE),""""),"""")"),"Pinnacle Academy Charter - Independent Study")</f>
        <v>Pinnacle Academy Charter - Independent Study</v>
      </c>
      <c r="U396" s="23" t="str">
        <f t="array" aca="1" ref="U396" ca="1">IF(AND(R396="",T396=""),INDEX('Top 1500 HS LatitudeLongitude'!B$2:B$1501,MATCH(MIN(SQRT(('Top 1500 HS LatitudeLongitude'!H$2:H$1501-F396)^2+('Top 1500 HS LatitudeLongitude'!I$2:I$1501-G396)^2)),SQRT( ('Top 1500 HS LatitudeLongitude'!H$2:H$1501-F396)^2+('Top 1500 HS LatitudeLongitude'!I$2:I$1501-G396)^2),0),1),"")</f>
        <v/>
      </c>
    </row>
    <row r="397" spans="2:21" ht="15.6">
      <c r="B397" s="8">
        <v>0.30043649480000001</v>
      </c>
      <c r="C397" s="9" t="s">
        <v>406</v>
      </c>
      <c r="D397" s="9" t="s">
        <v>583</v>
      </c>
      <c r="E397" s="37" t="s">
        <v>14560</v>
      </c>
      <c r="F397" s="8">
        <v>42.118099999999998</v>
      </c>
      <c r="G397" s="8">
        <v>-88.043000000000006</v>
      </c>
      <c r="H397" s="3" t="str">
        <f t="shared" si="0"/>
        <v>Gorham</v>
      </c>
      <c r="I397" s="3" t="str">
        <f t="shared" si="1"/>
        <v>ME</v>
      </c>
      <c r="J397" s="3" t="str">
        <f t="array" ref="J397">INDEX('State Abbreviations'!$B$2:$B$52,MATCH(I397,'State Abbreviations'!$A$2:$A$52,0))</f>
        <v>Maine</v>
      </c>
      <c r="K397" s="125" t="e">
        <f t="shared" ca="1" si="12"/>
        <v>#NAME?</v>
      </c>
      <c r="L397" s="13">
        <f t="shared" ca="1" si="13"/>
        <v>4</v>
      </c>
      <c r="M397" s="13" t="str">
        <f ca="1">IFERROR(__xludf.DUMMYFUNCTION("IF(L397=10,ArrayFormula(VLOOKUP(QUERY(UNIQUE(RANDBETWEEN(ROW(INDIRECT(""A1:A""&amp;COUNTA('Leaving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7" s="13">
        <f t="shared" ca="1" si="14"/>
        <v>4</v>
      </c>
      <c r="O397" s="13"/>
      <c r="P397" s="13"/>
      <c r="Q397" s="13" t="b">
        <f>ISNUMBER(MATCH("*"&amp;E397&amp;"*",'Top 1500 HS LatitudeLongitude'!G:G,0))</f>
        <v>0</v>
      </c>
      <c r="R397" s="13" t="str">
        <f ca="1">IFERROR(__xludf.DUMMYFUNCTION("IFS(L397=10,"""",Q397=false,"""",N397=5,"""",Q397=true,SORTN(FILTER('Top 1500 HS LatitudeLongitude'!B:B,'Top 1500 HS LatitudeLongitude'!C:C=I397,'Top 1500 HS LatitudeLongitude'!E:E=H397),1,0,randarray(COUNTA(FILTER('Top 1500 HS LatitudeLongitude'!B:B,'Top"&amp;" 1500 HS LatitudeLongitude'!C:C=I397,'Top 1500 HS LatitudeLongitude'!E:E=H397)),1),TRUE)
)"),"")</f>
        <v/>
      </c>
      <c r="S397" s="13" t="b">
        <f>ISNUMBER(MATCH("*"&amp;H:H&amp;"*",'Public Schools'!C:C,0))</f>
        <v>1</v>
      </c>
      <c r="T397" s="13" t="str">
        <f ca="1">IFERROR(__xludf.DUMMYFUNCTION("IFERROR(IF(AND(R397="""",S397=true), SORTN(FILTER('Public Schools'!A:A,'Public Schools'!B:B=J397,'Public Schools'!C:C=H397),1,0,randarray(COUNTA(FILTER('Public Schools'!A:A,'Public Schools'!B:B=J397,'Public Schools'!C:C=H397)),1),TRUE),""""),"""")"),"Gorham High School")</f>
        <v>Gorham High School</v>
      </c>
      <c r="U397" s="23" t="str">
        <f t="array" aca="1" ref="U397" ca="1">IF(AND(R397="",T397=""),INDEX('Top 1500 HS LatitudeLongitude'!B$2:B$1501,MATCH(MIN(SQRT(('Top 1500 HS LatitudeLongitude'!H$2:H$1501-F397)^2+('Top 1500 HS LatitudeLongitude'!I$2:I$1501-G397)^2)),SQRT( ('Top 1500 HS LatitudeLongitude'!H$2:H$1501-F397)^2+('Top 1500 HS LatitudeLongitude'!I$2:I$1501-G397)^2),0),1),"")</f>
        <v/>
      </c>
    </row>
    <row r="398" spans="2:21" ht="15.6">
      <c r="B398" s="8">
        <v>0.30694938719999998</v>
      </c>
      <c r="C398" s="9" t="s">
        <v>273</v>
      </c>
      <c r="D398" s="9" t="s">
        <v>274</v>
      </c>
      <c r="E398" s="126" t="s">
        <v>1393</v>
      </c>
      <c r="F398" s="8">
        <v>42.020899999999997</v>
      </c>
      <c r="G398" s="8">
        <v>-88.177800000000005</v>
      </c>
      <c r="H398" s="3" t="str">
        <f t="shared" si="0"/>
        <v>Saint Louis</v>
      </c>
      <c r="I398" s="3" t="str">
        <f t="shared" si="1"/>
        <v>MO</v>
      </c>
      <c r="J398" s="3" t="str">
        <f t="array" ref="J398">INDEX('State Abbreviations'!$B$2:$B$52,MATCH(I398,'State Abbreviations'!$A$2:$A$52,0))</f>
        <v>Missouri</v>
      </c>
      <c r="K398" s="125" t="e">
        <f t="shared" ca="1" si="12"/>
        <v>#NAME?</v>
      </c>
      <c r="L398" s="13">
        <f t="shared" ca="1" si="13"/>
        <v>4</v>
      </c>
      <c r="M398" s="13" t="str">
        <f ca="1">IFERROR(__xludf.DUMMYFUNCTION("IF(L398=10,ArrayFormula(VLOOKUP(QUERY(UNIQUE(RANDBETWEEN(ROW(INDIRECT(""A1:A""&amp;COUNTA('Leaving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8" s="13">
        <f t="shared" ca="1" si="14"/>
        <v>3</v>
      </c>
      <c r="O398" s="13"/>
      <c r="P398" s="13"/>
      <c r="Q398" s="13" t="b">
        <f>ISNUMBER(MATCH("*"&amp;E398&amp;"*",'Top 1500 HS LatitudeLongitude'!G:G,0))</f>
        <v>0</v>
      </c>
      <c r="R398" s="13" t="str">
        <f ca="1">IFERROR(__xludf.DUMMYFUNCTION("IFS(L398=10,"""",Q398=false,"""",N398=5,"""",Q398=true,SORTN(FILTER('Top 1500 HS LatitudeLongitude'!B:B,'Top 1500 HS LatitudeLongitude'!C:C=I398,'Top 1500 HS LatitudeLongitude'!E:E=H398),1,0,randarray(COUNTA(FILTER('Top 1500 HS LatitudeLongitude'!B:B,'Top"&amp;" 1500 HS LatitudeLongitude'!C:C=I398,'Top 1500 HS LatitudeLongitude'!E:E=H398)),1),TRUE)
)"),"")</f>
        <v/>
      </c>
      <c r="S398" s="13" t="b">
        <f>ISNUMBER(MATCH("*"&amp;H:H&amp;"*",'Public Schools'!C:C,0))</f>
        <v>1</v>
      </c>
      <c r="T398" s="13" t="str">
        <f ca="1">IFERROR(__xludf.DUMMYFUNCTION("IFERROR(IF(AND(R398="""",S398=true), SORTN(FILTER('Public Schools'!A:A,'Public Schools'!B:B=J398,'Public Schools'!C:C=H398),1,0,randarray(COUNTA(FILTER('Public Schools'!A:A,'Public Schools'!B:B=J398,'Public Schools'!C:C=H398)),1),TRUE),""""),"""")"),"")</f>
        <v/>
      </c>
      <c r="U398" s="23" t="str">
        <f t="array" aca="1" ref="U398" ca="1">IF(AND(R398="",T398=""),INDEX('Top 1500 HS LatitudeLongitude'!B$2:B$1501,MATCH(MIN(SQRT(('Top 1500 HS LatitudeLongitude'!H$2:H$1501-F398)^2+('Top 1500 HS LatitudeLongitude'!I$2:I$1501-G398)^2)),SQRT( ('Top 1500 HS LatitudeLongitude'!H$2:H$1501-F398)^2+('Top 1500 HS LatitudeLongitude'!I$2:I$1501-G398)^2),0),1),"")</f>
        <v>Schaumburg</v>
      </c>
    </row>
    <row r="399" spans="2:21" ht="15.6">
      <c r="B399" s="8">
        <v>0.71863716369999997</v>
      </c>
      <c r="C399" s="9" t="s">
        <v>114</v>
      </c>
      <c r="D399" s="9" t="s">
        <v>115</v>
      </c>
      <c r="E399" s="37" t="s">
        <v>84</v>
      </c>
      <c r="F399" s="8">
        <v>41.031799999999997</v>
      </c>
      <c r="G399" s="8">
        <v>-82.519800000000004</v>
      </c>
      <c r="H399" s="3" t="str">
        <f t="shared" si="0"/>
        <v>Miami</v>
      </c>
      <c r="I399" s="3" t="str">
        <f t="shared" si="1"/>
        <v>FL</v>
      </c>
      <c r="J399" s="3" t="str">
        <f t="array" ref="J399">INDEX('State Abbreviations'!$B$2:$B$52,MATCH(I399,'State Abbreviations'!$A$2:$A$52,0))</f>
        <v>Florida</v>
      </c>
      <c r="K399" s="125" t="e">
        <f t="shared" ca="1" si="12"/>
        <v>#NAME?</v>
      </c>
      <c r="L399" s="13">
        <f t="shared" ca="1" si="13"/>
        <v>7</v>
      </c>
      <c r="M399" s="13" t="str">
        <f ca="1">IFERROR(__xludf.DUMMYFUNCTION("IF(L399=10,ArrayFormula(VLOOKUP(QUERY(UNIQUE(RANDBETWEEN(ROW(INDIRECT(""A1:A""&amp;COUNTA('Leaving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399" s="13">
        <f t="shared" ca="1" si="14"/>
        <v>2</v>
      </c>
      <c r="O399" s="13"/>
      <c r="P399" s="13"/>
      <c r="Q399" s="13" t="b">
        <f>ISNUMBER(MATCH("*"&amp;E399&amp;"*",'Top 1500 HS LatitudeLongitude'!G:G,0))</f>
        <v>1</v>
      </c>
      <c r="R399" s="13" t="str">
        <f ca="1">IFERROR(__xludf.DUMMYFUNCTION("IFS(L399=10,"""",Q399=false,"""",N399=5,"""",Q399=true,SORTN(FILTER('Top 1500 HS LatitudeLongitude'!B:B,'Top 1500 HS LatitudeLongitude'!C:C=I399,'Top 1500 HS LatitudeLongitude'!E:E=H399),1,0,randarray(COUNTA(FILTER('Top 1500 HS LatitudeLongitude'!B:B,'Top"&amp;" 1500 HS LatitudeLongitude'!C:C=I399,'Top 1500 HS LatitudeLongitude'!E:E=H399)),1),TRUE)
)"),"Riviera Prep (Miami)")</f>
        <v>Riviera Prep (Miami)</v>
      </c>
      <c r="S399" s="13" t="b">
        <f>ISNUMBER(MATCH("*"&amp;H:H&amp;"*",'Public Schools'!C:C,0))</f>
        <v>1</v>
      </c>
      <c r="T399" s="13" t="str">
        <f ca="1">IFERROR(__xludf.DUMMYFUNCTION("IFERROR(IF(AND(R399="""",S399=true), SORTN(FILTER('Public Schools'!A:A,'Public Schools'!B:B=J399,'Public Schools'!C:C=H399),1,0,randarray(COUNTA(FILTER('Public Schools'!A:A,'Public Schools'!B:B=J399,'Public Schools'!C:C=H399)),1),TRUE),""""),"""")"),"")</f>
        <v/>
      </c>
      <c r="U399" s="23" t="str">
        <f t="array" aca="1" ref="U399" ca="1">IF(AND(R399="",T399=""),INDEX('Top 1500 HS LatitudeLongitude'!B$2:B$1501,MATCH(MIN(SQRT(('Top 1500 HS LatitudeLongitude'!H$2:H$1501-F399)^2+('Top 1500 HS LatitudeLongitude'!I$2:I$1501-G399)^2)),SQRT( ('Top 1500 HS LatitudeLongitude'!H$2:H$1501-F399)^2+('Top 1500 HS LatitudeLongitude'!I$2:I$1501-G399)^2),0),1),"")</f>
        <v/>
      </c>
    </row>
    <row r="400" spans="2:21" ht="15.6">
      <c r="B400" s="8">
        <v>0.70716748259999995</v>
      </c>
      <c r="C400" s="9" t="s">
        <v>273</v>
      </c>
      <c r="D400" s="9" t="s">
        <v>584</v>
      </c>
      <c r="E400" s="126" t="s">
        <v>14607</v>
      </c>
      <c r="F400" s="8">
        <v>41.386499999999998</v>
      </c>
      <c r="G400" s="8">
        <v>-81.7637</v>
      </c>
      <c r="H400" s="3" t="str">
        <f t="shared" si="0"/>
        <v>Miller</v>
      </c>
      <c r="I400" s="3" t="str">
        <f t="shared" si="1"/>
        <v>MO</v>
      </c>
      <c r="J400" s="3" t="str">
        <f t="array" ref="J400">INDEX('State Abbreviations'!$B$2:$B$52,MATCH(I400,'State Abbreviations'!$A$2:$A$52,0))</f>
        <v>Missouri</v>
      </c>
      <c r="K400" s="125" t="e">
        <f t="shared" ca="1" si="12"/>
        <v>#NAME?</v>
      </c>
      <c r="L400" s="13">
        <f t="shared" ca="1" si="13"/>
        <v>3</v>
      </c>
      <c r="M400" s="13" t="str">
        <f ca="1">IFERROR(__xludf.DUMMYFUNCTION("IF(L400=10,ArrayFormula(VLOOKUP(QUERY(UNIQUE(RANDBETWEEN(ROW(INDIRECT(""A1:A""&amp;COUNTA('Leaving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400" s="13">
        <f t="shared" ca="1" si="14"/>
        <v>4</v>
      </c>
      <c r="O400" s="13"/>
      <c r="P400" s="13"/>
      <c r="Q400" s="13" t="b">
        <f>ISNUMBER(MATCH("*"&amp;E400&amp;"*",'Top 1500 HS LatitudeLongitude'!G:G,0))</f>
        <v>0</v>
      </c>
      <c r="R400" s="13" t="str">
        <f ca="1">IFERROR(__xludf.DUMMYFUNCTION("IFS(L400=10,"""",Q400=false,"""",N400=5,"""",Q400=true,SORTN(FILTER('Top 1500 HS LatitudeLongitude'!B:B,'Top 1500 HS LatitudeLongitude'!C:C=I400,'Top 1500 HS LatitudeLongitude'!E:E=H400),1,0,randarray(COUNTA(FILTER('Top 1500 HS LatitudeLongitude'!B:B,'Top"&amp;" 1500 HS LatitudeLongitude'!C:C=I400,'Top 1500 HS LatitudeLongitude'!E:E=H400)),1),TRUE)
)"),"")</f>
        <v/>
      </c>
      <c r="S400" s="13" t="b">
        <f>ISNUMBER(MATCH("*"&amp;H:H&amp;"*",'Public Schools'!C:C,0))</f>
        <v>1</v>
      </c>
      <c r="T400" s="13" t="str">
        <f ca="1">IFERROR(__xludf.DUMMYFUNCTION("IFERROR(IF(AND(R400="""",S400=true), SORTN(FILTER('Public Schools'!A:A,'Public Schools'!B:B=J400,'Public Schools'!C:C=H400),1,0,randarray(COUNTA(FILTER('Public Schools'!A:A,'Public Schools'!B:B=J400,'Public Schools'!C:C=H400)),1),TRUE),""""),"""")"),"Miller High School")</f>
        <v>Miller High School</v>
      </c>
      <c r="U400" s="23" t="str">
        <f t="array" aca="1" ref="U400" ca="1">IF(AND(R400="",T400=""),INDEX('Top 1500 HS LatitudeLongitude'!B$2:B$1501,MATCH(MIN(SQRT(('Top 1500 HS LatitudeLongitude'!H$2:H$1501-F400)^2+('Top 1500 HS LatitudeLongitude'!I$2:I$1501-G400)^2)),SQRT( ('Top 1500 HS LatitudeLongitude'!H$2:H$1501-F400)^2+('Top 1500 HS LatitudeLongitude'!I$2:I$1501-G400)^2),0),1),"")</f>
        <v/>
      </c>
    </row>
    <row r="401" spans="2:21" ht="15.6">
      <c r="B401" s="8">
        <v>0.40804542360000001</v>
      </c>
      <c r="C401" s="9" t="s">
        <v>47</v>
      </c>
      <c r="D401" s="9" t="s">
        <v>585</v>
      </c>
      <c r="E401" s="37" t="s">
        <v>14618</v>
      </c>
      <c r="F401" s="8">
        <v>30.480799999999999</v>
      </c>
      <c r="G401" s="8">
        <v>-90.112499999999997</v>
      </c>
      <c r="H401" s="3" t="str">
        <f t="shared" si="0"/>
        <v>Santa Clara</v>
      </c>
      <c r="I401" s="3" t="str">
        <f t="shared" si="1"/>
        <v>CA</v>
      </c>
      <c r="J401" s="3" t="str">
        <f t="array" ref="J401">INDEX('State Abbreviations'!$B$2:$B$52,MATCH(I401,'State Abbreviations'!$A$2:$A$52,0))</f>
        <v>California</v>
      </c>
      <c r="K401" s="125" t="e">
        <f t="shared" ca="1" si="12"/>
        <v>#NAME?</v>
      </c>
      <c r="L401" s="13">
        <f t="shared" ca="1" si="13"/>
        <v>6</v>
      </c>
      <c r="M401" s="13" t="str">
        <f ca="1">IFERROR(__xludf.DUMMYFUNCTION("IF(L401=10,ArrayFormula(VLOOKUP(QUERY(UNIQUE(RANDBETWEEN(ROW(INDIRECT(""A1:A""&amp;COUNTA('Leaving the StateInternational'!$G$2:$G$121)*10))^0,COUNTA('Leaving the StateInternational'!$G$2:$G$121))),""limit 1""),{ROW(INDIRECT(""A1:A""&amp;COUNTA('Leaving the State"&amp;"International'!$G$2:$G$121))),FILTER('Leaving the StateInternational'!$G$2:$G$121,'Leaving the StateInternational'!$G$2:$G$121&lt;&gt;"""")},2,0)),"""")"),"")</f>
        <v/>
      </c>
      <c r="N401" s="13">
        <f t="shared" ca="1" si="14"/>
        <v>3</v>
      </c>
      <c r="O401" s="13"/>
      <c r="P401" s="13"/>
      <c r="Q401" s="13" t="b">
        <f>ISNUMBER(MATCH("*"&amp;E401&amp;"*",'Top 1500 HS LatitudeLongitude'!G:G,0))</f>
        <v>0</v>
      </c>
      <c r="R401" s="13" t="str">
        <f ca="1">IFERROR(__xludf.DUMMYFUNCTION("IFS(L401=10,"""",Q401=false,"""",N401=5,"""",Q401=true,SORTN(FILTER('Top 1500 HS LatitudeLongitude'!B:B,'Top 1500 HS LatitudeLongitude'!C:C=I401,'Top 1500 HS LatitudeLongitude'!E:E=H401),1,0,randarray(COUNTA(FILTER('Top 1500 HS LatitudeLongitude'!B:B,'Top"&amp;" 1500 HS LatitudeLongitude'!C:C=I401,'Top 1500 HS LatitudeLongitude'!E:E=H401)),1),TRUE)
)"),"")</f>
        <v/>
      </c>
      <c r="S401" s="13" t="b">
        <f>ISNUMBER(MATCH("*"&amp;H:H&amp;"*",'Public Schools'!C:C,0))</f>
        <v>1</v>
      </c>
      <c r="T401" s="13" t="str">
        <f ca="1">IFERROR(__xludf.DUMMYFUNCTION("IFERROR(IF(AND(R401="""",S401=true), SORTN(FILTER('Public Schools'!A:A,'Public Schools'!B:B=J401,'Public Schools'!C:C=H401),1,0,randarray(COUNTA(FILTER('Public Schools'!A:A,'Public Schools'!B:B=J401,'Public Schools'!C:C=H401)),1),TRUE),""""),"""")"),"Santa Clara High School")</f>
        <v>Santa Clara High School</v>
      </c>
      <c r="U401" s="23" t="str">
        <f t="array" aca="1" ref="U401" ca="1">IF(AND(R401="",T401=""),INDEX('Top 1500 HS LatitudeLongitude'!B$2:B$1501,MATCH(MIN(SQRT(('Top 1500 HS LatitudeLongitude'!H$2:H$1501-F401)^2+('Top 1500 HS LatitudeLongitude'!I$2:I$1501-G401)^2)),SQRT( ('Top 1500 HS LatitudeLongitude'!H$2:H$1501-F401)^2+('Top 1500 HS LatitudeLongitude'!I$2:I$1501-G401)^2),0),1),"")</f>
        <v/>
      </c>
    </row>
    <row r="402" spans="2:21" ht="15.6">
      <c r="E402" s="127" t="s">
        <v>14641</v>
      </c>
      <c r="K402" s="128"/>
      <c r="L402" s="13"/>
      <c r="M402" s="13"/>
      <c r="N402" s="13"/>
      <c r="O402" s="13"/>
      <c r="P402" s="13"/>
      <c r="Q402" s="13"/>
      <c r="R402" s="13"/>
      <c r="S402" s="13"/>
      <c r="T402" s="13"/>
      <c r="U402" s="23"/>
    </row>
    <row r="403" spans="2:21" ht="15.6">
      <c r="K403" s="128"/>
      <c r="L403" s="13"/>
      <c r="M403" s="13"/>
      <c r="N403" s="13"/>
      <c r="O403" s="13"/>
      <c r="P403" s="13"/>
      <c r="Q403" s="13"/>
      <c r="R403" s="13"/>
      <c r="S403" s="13"/>
      <c r="T403" s="13"/>
      <c r="U403" s="23"/>
    </row>
    <row r="404" spans="2:21" ht="15.6">
      <c r="K404" s="128"/>
      <c r="L404" s="13"/>
      <c r="M404" s="13"/>
      <c r="N404" s="13"/>
      <c r="O404" s="13"/>
      <c r="P404" s="13"/>
      <c r="Q404" s="13"/>
      <c r="R404" s="13"/>
      <c r="S404" s="13"/>
      <c r="T404" s="13"/>
      <c r="U404" s="23"/>
    </row>
    <row r="405" spans="2:21" ht="15.6">
      <c r="K405" s="128">
        <f ca="1">COUNTIF(R2:R401,"&lt;&gt;")</f>
        <v>400</v>
      </c>
      <c r="L405" s="13"/>
      <c r="M405" s="129"/>
      <c r="N405" s="13"/>
      <c r="O405" s="13"/>
      <c r="P405" s="13"/>
      <c r="Q405" s="13"/>
      <c r="R405" s="13"/>
      <c r="S405" s="13"/>
      <c r="T405" s="13"/>
      <c r="U405" s="23"/>
    </row>
    <row r="406" spans="2:21" ht="15.6">
      <c r="K406" s="128" t="str">
        <f ca="1">K405/250&amp;" = Average # of Players in Recruiting Class On a Top 1500 Team"</f>
        <v>1.6 = Average # of Players in Recruiting Class On a Top 1500 Team</v>
      </c>
      <c r="L406" s="13"/>
      <c r="M406" s="129"/>
      <c r="N406" s="13"/>
      <c r="O406" s="13"/>
      <c r="P406" s="13"/>
      <c r="Q406" s="13"/>
      <c r="R406" s="13"/>
      <c r="S406" s="13"/>
      <c r="T406" s="13"/>
      <c r="U406" s="23"/>
    </row>
    <row r="407" spans="2:21" ht="15.6">
      <c r="K407" s="128"/>
      <c r="L407" s="129"/>
      <c r="M407" s="129"/>
      <c r="N407" s="13"/>
      <c r="O407" s="13"/>
      <c r="P407" s="13"/>
      <c r="Q407" s="13"/>
      <c r="R407" s="129"/>
      <c r="S407" s="13"/>
      <c r="T407" s="13"/>
      <c r="U407" s="23"/>
    </row>
    <row r="408" spans="2:21" ht="15.6">
      <c r="K408" s="128">
        <f ca="1">COUNTIF(N:N,"=5")</f>
        <v>26</v>
      </c>
      <c r="L408" s="129"/>
      <c r="M408" s="129"/>
      <c r="N408" s="13"/>
      <c r="O408" s="13"/>
      <c r="P408" s="13"/>
      <c r="Q408" s="13"/>
      <c r="R408" s="129"/>
      <c r="S408" s="13"/>
      <c r="T408" s="13"/>
      <c r="U408" s="23"/>
    </row>
    <row r="409" spans="2:21" ht="15.6">
      <c r="K409" s="128" t="str">
        <f ca="1">K408/400&amp;" = Average % of Recruiting Class that stay in state at a top 250 national program"</f>
        <v>0.065 = Average % of Recruiting Class that stay in state at a top 250 national program</v>
      </c>
      <c r="L409" s="13"/>
      <c r="N409" s="13"/>
      <c r="O409" s="13"/>
      <c r="P409" s="13"/>
      <c r="Q409" s="13"/>
      <c r="R409" s="13"/>
      <c r="S409" s="13"/>
      <c r="T409" s="13"/>
      <c r="U409" s="23"/>
    </row>
    <row r="410" spans="2:21" ht="15.6">
      <c r="K410" s="128"/>
      <c r="L410" s="129"/>
      <c r="M410" s="129"/>
      <c r="N410" s="13"/>
      <c r="O410" s="13"/>
      <c r="P410" s="13"/>
      <c r="Q410" s="13"/>
      <c r="R410" s="13"/>
      <c r="S410" s="13"/>
      <c r="T410" s="13"/>
      <c r="U410" s="23"/>
    </row>
    <row r="411" spans="2:21" ht="15.6">
      <c r="K411" s="128">
        <f ca="1">COUNTIF(L2:L401,"=10")</f>
        <v>12</v>
      </c>
      <c r="L411" s="13"/>
      <c r="M411" s="129"/>
      <c r="N411" s="13"/>
      <c r="O411" s="13"/>
      <c r="P411" s="13"/>
      <c r="Q411" s="13"/>
      <c r="R411" s="13"/>
      <c r="S411" s="13"/>
      <c r="T411" s="13"/>
      <c r="U411" s="23"/>
    </row>
    <row r="412" spans="2:21" ht="15.6">
      <c r="K412" s="128" t="str">
        <f ca="1">K411/400&amp;" = Average % of Recruiting Class that Leaves their State"</f>
        <v>0.03 = Average % of Recruiting Class that Leaves their State</v>
      </c>
      <c r="L412" s="13"/>
      <c r="M412" s="129"/>
      <c r="N412" s="13"/>
      <c r="O412" s="13"/>
      <c r="P412" s="13"/>
      <c r="Q412" s="13"/>
      <c r="R412" s="13"/>
      <c r="S412" s="13"/>
      <c r="T412" s="13"/>
      <c r="U412" s="23"/>
    </row>
    <row r="413" spans="2:21" ht="15.6">
      <c r="K413" s="128"/>
      <c r="L413" s="13"/>
      <c r="M413" s="129"/>
      <c r="N413" s="13"/>
      <c r="O413" s="13"/>
      <c r="P413" s="13"/>
      <c r="Q413" s="13"/>
      <c r="R413" s="13"/>
      <c r="S413" s="13"/>
      <c r="T413" s="13"/>
      <c r="U413" s="23"/>
    </row>
    <row r="414" spans="2:21" ht="15.6">
      <c r="K414" s="128"/>
      <c r="L414" s="13"/>
      <c r="M414" s="129"/>
      <c r="N414" s="13"/>
      <c r="O414" s="13"/>
      <c r="P414" s="13"/>
      <c r="Q414" s="13"/>
      <c r="R414" s="13"/>
      <c r="S414" s="13"/>
      <c r="T414" s="13"/>
      <c r="U414" s="23"/>
    </row>
    <row r="415" spans="2:21" ht="15.6">
      <c r="K415" s="128"/>
      <c r="L415" s="13"/>
      <c r="M415" s="129"/>
      <c r="N415" s="13"/>
      <c r="O415" s="13"/>
      <c r="P415" s="13"/>
      <c r="Q415" s="13"/>
      <c r="R415" s="13"/>
      <c r="S415" s="13"/>
      <c r="T415" s="13"/>
      <c r="U415" s="23"/>
    </row>
    <row r="416" spans="2:21" ht="15.6">
      <c r="K416" s="128"/>
      <c r="L416" s="13"/>
      <c r="M416" s="129"/>
      <c r="N416" s="13"/>
      <c r="O416" s="13"/>
      <c r="P416" s="13"/>
      <c r="Q416" s="13"/>
      <c r="R416" s="13"/>
      <c r="S416" s="13"/>
      <c r="T416" s="13"/>
      <c r="U416" s="23"/>
    </row>
    <row r="417" spans="11:21" ht="15.6">
      <c r="K417" s="128"/>
      <c r="L417" s="13"/>
      <c r="M417" s="129"/>
      <c r="N417" s="13"/>
      <c r="O417" s="13"/>
      <c r="P417" s="13"/>
      <c r="Q417" s="13"/>
      <c r="R417" s="13"/>
      <c r="S417" s="13"/>
      <c r="T417" s="13"/>
      <c r="U417" s="23"/>
    </row>
    <row r="418" spans="11:21" ht="15.6">
      <c r="K418" s="128"/>
      <c r="L418" s="13"/>
      <c r="M418" s="13"/>
      <c r="N418" s="13"/>
      <c r="O418" s="13"/>
      <c r="P418" s="13"/>
      <c r="Q418" s="13"/>
      <c r="R418" s="13"/>
      <c r="S418" s="13"/>
      <c r="T418" s="13"/>
      <c r="U418" s="23"/>
    </row>
    <row r="419" spans="11:21" ht="15.6">
      <c r="K419" s="128"/>
      <c r="L419" s="13"/>
      <c r="M419" s="13"/>
      <c r="N419" s="13"/>
      <c r="O419" s="13"/>
      <c r="P419" s="13"/>
      <c r="Q419" s="13"/>
      <c r="R419" s="13"/>
      <c r="S419" s="13"/>
      <c r="T419" s="13"/>
      <c r="U419" s="23"/>
    </row>
    <row r="420" spans="11:21" ht="15.6">
      <c r="K420" s="128"/>
      <c r="L420" s="13"/>
      <c r="M420" s="13"/>
      <c r="N420" s="13"/>
      <c r="O420" s="13"/>
      <c r="P420" s="13"/>
      <c r="Q420" s="13"/>
      <c r="R420" s="13"/>
      <c r="S420" s="13"/>
      <c r="T420" s="13"/>
      <c r="U420" s="23"/>
    </row>
    <row r="421" spans="11:21" ht="15.6">
      <c r="K421" s="128"/>
      <c r="L421" s="13"/>
      <c r="M421" s="13"/>
      <c r="N421" s="13"/>
      <c r="O421" s="13"/>
      <c r="P421" s="13"/>
      <c r="Q421" s="13"/>
      <c r="R421" s="13"/>
      <c r="S421" s="13"/>
      <c r="T421" s="13"/>
      <c r="U421" s="23"/>
    </row>
    <row r="422" spans="11:21" ht="15.6">
      <c r="K422" s="128"/>
      <c r="L422" s="13"/>
      <c r="M422" s="13"/>
      <c r="N422" s="13"/>
      <c r="O422" s="13"/>
      <c r="P422" s="13"/>
      <c r="Q422" s="13"/>
      <c r="R422" s="13"/>
      <c r="S422" s="13"/>
      <c r="T422" s="13"/>
      <c r="U422" s="23"/>
    </row>
    <row r="423" spans="11:21" ht="15.6">
      <c r="K423" s="128"/>
      <c r="L423" s="13"/>
      <c r="M423" s="13"/>
      <c r="N423" s="13"/>
      <c r="O423" s="13"/>
      <c r="P423" s="13"/>
      <c r="Q423" s="13"/>
      <c r="R423" s="13"/>
      <c r="S423" s="13"/>
      <c r="T423" s="13"/>
      <c r="U423" s="23"/>
    </row>
    <row r="424" spans="11:21" ht="15.6">
      <c r="K424" s="128"/>
      <c r="L424" s="13"/>
      <c r="M424" s="13"/>
      <c r="N424" s="13"/>
      <c r="O424" s="13"/>
      <c r="P424" s="13"/>
      <c r="Q424" s="13"/>
      <c r="R424" s="13"/>
      <c r="S424" s="13"/>
      <c r="T424" s="13"/>
      <c r="U424" s="23"/>
    </row>
    <row r="425" spans="11:21" ht="15.6">
      <c r="K425" s="128"/>
      <c r="L425" s="13"/>
      <c r="M425" s="13"/>
      <c r="N425" s="13"/>
      <c r="O425" s="13"/>
      <c r="P425" s="13"/>
      <c r="Q425" s="13"/>
      <c r="R425" s="13"/>
      <c r="S425" s="13"/>
      <c r="T425" s="13"/>
      <c r="U425" s="23"/>
    </row>
    <row r="426" spans="11:21" ht="15.6">
      <c r="K426" s="128"/>
      <c r="L426" s="13"/>
      <c r="M426" s="13"/>
      <c r="N426" s="13"/>
      <c r="O426" s="13"/>
      <c r="P426" s="13"/>
      <c r="Q426" s="13"/>
      <c r="R426" s="13"/>
      <c r="S426" s="13"/>
      <c r="T426" s="13"/>
      <c r="U426" s="23"/>
    </row>
    <row r="427" spans="11:21" ht="15.6">
      <c r="K427" s="128"/>
      <c r="L427" s="13"/>
      <c r="M427" s="13"/>
      <c r="N427" s="13"/>
      <c r="O427" s="13"/>
      <c r="P427" s="13"/>
      <c r="Q427" s="13"/>
      <c r="R427" s="13"/>
      <c r="S427" s="13"/>
      <c r="T427" s="13"/>
      <c r="U427" s="23"/>
    </row>
    <row r="428" spans="11:21" ht="15.6">
      <c r="K428" s="128"/>
      <c r="L428" s="13"/>
      <c r="M428" s="13"/>
      <c r="N428" s="13"/>
      <c r="O428" s="13"/>
      <c r="P428" s="13"/>
      <c r="Q428" s="13"/>
      <c r="R428" s="13"/>
      <c r="S428" s="13"/>
      <c r="T428" s="13"/>
      <c r="U428" s="23"/>
    </row>
    <row r="429" spans="11:21" ht="15.6">
      <c r="K429" s="128"/>
      <c r="L429" s="13"/>
      <c r="M429" s="13"/>
      <c r="N429" s="13"/>
      <c r="O429" s="13"/>
      <c r="P429" s="13"/>
      <c r="Q429" s="13"/>
      <c r="R429" s="13"/>
      <c r="S429" s="13"/>
      <c r="T429" s="13"/>
      <c r="U429" s="23"/>
    </row>
    <row r="430" spans="11:21" ht="15.6">
      <c r="K430" s="128"/>
      <c r="L430" s="13"/>
      <c r="M430" s="13"/>
      <c r="N430" s="13"/>
      <c r="O430" s="13"/>
      <c r="P430" s="13"/>
      <c r="Q430" s="13"/>
      <c r="R430" s="13"/>
      <c r="S430" s="13"/>
      <c r="T430" s="13"/>
      <c r="U430" s="23"/>
    </row>
    <row r="431" spans="11:21" ht="15.6">
      <c r="K431" s="128"/>
      <c r="L431" s="13"/>
      <c r="M431" s="13"/>
      <c r="N431" s="13"/>
      <c r="O431" s="13"/>
      <c r="P431" s="13"/>
      <c r="Q431" s="13"/>
      <c r="R431" s="13"/>
      <c r="S431" s="13"/>
      <c r="T431" s="13"/>
      <c r="U431" s="23"/>
    </row>
    <row r="432" spans="11:21" ht="15.6">
      <c r="K432" s="128"/>
      <c r="L432" s="13"/>
      <c r="M432" s="13"/>
      <c r="N432" s="13"/>
      <c r="O432" s="13"/>
      <c r="P432" s="13"/>
      <c r="Q432" s="13"/>
      <c r="R432" s="13"/>
      <c r="S432" s="13"/>
      <c r="T432" s="13"/>
      <c r="U432" s="23"/>
    </row>
    <row r="433" spans="11:21" ht="15.6">
      <c r="K433" s="128"/>
      <c r="L433" s="13"/>
      <c r="M433" s="13"/>
      <c r="N433" s="13"/>
      <c r="O433" s="13"/>
      <c r="P433" s="13"/>
      <c r="Q433" s="13"/>
      <c r="R433" s="13"/>
      <c r="S433" s="13"/>
      <c r="T433" s="13"/>
      <c r="U433" s="23"/>
    </row>
    <row r="434" spans="11:21" ht="15.6">
      <c r="K434" s="128"/>
      <c r="L434" s="13"/>
      <c r="M434" s="13"/>
      <c r="N434" s="13"/>
      <c r="O434" s="13"/>
      <c r="P434" s="13"/>
      <c r="Q434" s="13"/>
      <c r="R434" s="13"/>
      <c r="S434" s="13"/>
      <c r="T434" s="13"/>
      <c r="U434" s="23"/>
    </row>
    <row r="435" spans="11:21" ht="15.6">
      <c r="K435" s="128"/>
      <c r="L435" s="13"/>
      <c r="M435" s="13"/>
      <c r="N435" s="13"/>
      <c r="O435" s="13"/>
      <c r="P435" s="13"/>
      <c r="Q435" s="13"/>
      <c r="R435" s="13"/>
      <c r="S435" s="13"/>
      <c r="T435" s="13"/>
      <c r="U435" s="23"/>
    </row>
    <row r="436" spans="11:21" ht="15.6">
      <c r="K436" s="128"/>
      <c r="L436" s="13"/>
      <c r="M436" s="13"/>
      <c r="N436" s="13"/>
      <c r="O436" s="13"/>
      <c r="P436" s="13"/>
      <c r="Q436" s="13"/>
      <c r="R436" s="13"/>
      <c r="S436" s="13"/>
      <c r="T436" s="13"/>
      <c r="U436" s="23"/>
    </row>
    <row r="437" spans="11:21" ht="15.6">
      <c r="K437" s="128"/>
      <c r="L437" s="13"/>
      <c r="M437" s="13"/>
      <c r="N437" s="13"/>
      <c r="O437" s="13"/>
      <c r="P437" s="13"/>
      <c r="Q437" s="13"/>
      <c r="R437" s="13"/>
      <c r="S437" s="13"/>
      <c r="T437" s="13"/>
      <c r="U437" s="23"/>
    </row>
    <row r="438" spans="11:21" ht="15.6">
      <c r="K438" s="128"/>
      <c r="L438" s="13"/>
      <c r="M438" s="13"/>
      <c r="N438" s="13"/>
      <c r="O438" s="13"/>
      <c r="P438" s="13"/>
      <c r="Q438" s="13"/>
      <c r="R438" s="13"/>
      <c r="S438" s="13"/>
      <c r="T438" s="13"/>
      <c r="U438" s="23"/>
    </row>
    <row r="439" spans="11:21" ht="15.6">
      <c r="K439" s="128"/>
      <c r="L439" s="13"/>
      <c r="M439" s="13"/>
      <c r="N439" s="13"/>
      <c r="O439" s="13"/>
      <c r="P439" s="13"/>
      <c r="Q439" s="13"/>
      <c r="R439" s="13"/>
      <c r="S439" s="13"/>
      <c r="T439" s="13"/>
      <c r="U439" s="23"/>
    </row>
    <row r="440" spans="11:21" ht="15.6">
      <c r="K440" s="128"/>
      <c r="L440" s="13"/>
      <c r="M440" s="13"/>
      <c r="N440" s="13"/>
      <c r="O440" s="13"/>
      <c r="P440" s="13"/>
      <c r="Q440" s="13"/>
      <c r="R440" s="13"/>
      <c r="S440" s="13"/>
      <c r="T440" s="13"/>
      <c r="U440" s="23"/>
    </row>
    <row r="441" spans="11:21" ht="15.6">
      <c r="K441" s="128"/>
      <c r="L441" s="13"/>
      <c r="M441" s="13"/>
      <c r="N441" s="13"/>
      <c r="O441" s="13"/>
      <c r="P441" s="13"/>
      <c r="Q441" s="13"/>
      <c r="R441" s="13"/>
      <c r="S441" s="13"/>
      <c r="T441" s="13"/>
      <c r="U441" s="23"/>
    </row>
    <row r="442" spans="11:21" ht="15.6">
      <c r="K442" s="128"/>
      <c r="L442" s="13"/>
      <c r="M442" s="13"/>
      <c r="N442" s="13"/>
      <c r="O442" s="13"/>
      <c r="P442" s="13"/>
      <c r="Q442" s="13"/>
      <c r="R442" s="13"/>
      <c r="S442" s="13"/>
      <c r="T442" s="13"/>
      <c r="U442" s="23"/>
    </row>
    <row r="443" spans="11:21" ht="15.6">
      <c r="K443" s="128"/>
      <c r="L443" s="13"/>
      <c r="M443" s="13"/>
      <c r="N443" s="13"/>
      <c r="O443" s="13"/>
      <c r="P443" s="13"/>
      <c r="Q443" s="13"/>
      <c r="R443" s="13"/>
      <c r="S443" s="13"/>
      <c r="T443" s="13"/>
      <c r="U443" s="23"/>
    </row>
    <row r="444" spans="11:21" ht="15.6">
      <c r="K444" s="128"/>
      <c r="L444" s="13"/>
      <c r="M444" s="13"/>
      <c r="N444" s="13"/>
      <c r="O444" s="13"/>
      <c r="P444" s="13"/>
      <c r="Q444" s="13"/>
      <c r="R444" s="13"/>
      <c r="S444" s="13"/>
      <c r="T444" s="13"/>
      <c r="U444" s="23"/>
    </row>
    <row r="445" spans="11:21" ht="15.6">
      <c r="K445" s="128"/>
      <c r="L445" s="13"/>
      <c r="M445" s="13"/>
      <c r="N445" s="13"/>
      <c r="O445" s="13"/>
      <c r="P445" s="13"/>
      <c r="Q445" s="13"/>
      <c r="R445" s="13"/>
      <c r="S445" s="13"/>
      <c r="T445" s="13"/>
      <c r="U445" s="23"/>
    </row>
    <row r="446" spans="11:21" ht="15.6">
      <c r="K446" s="128"/>
      <c r="L446" s="13"/>
      <c r="M446" s="13"/>
      <c r="N446" s="13"/>
      <c r="O446" s="13"/>
      <c r="P446" s="13"/>
      <c r="Q446" s="13"/>
      <c r="R446" s="13"/>
      <c r="S446" s="13"/>
      <c r="T446" s="13"/>
      <c r="U446" s="23"/>
    </row>
    <row r="447" spans="11:21" ht="15.6">
      <c r="K447" s="128"/>
      <c r="L447" s="13"/>
      <c r="M447" s="13"/>
      <c r="N447" s="13"/>
      <c r="O447" s="13"/>
      <c r="P447" s="13"/>
      <c r="Q447" s="13"/>
      <c r="R447" s="13"/>
      <c r="S447" s="13"/>
      <c r="T447" s="13"/>
      <c r="U447" s="23"/>
    </row>
    <row r="448" spans="11:21" ht="15.6">
      <c r="K448" s="128"/>
      <c r="L448" s="13"/>
      <c r="M448" s="13"/>
      <c r="N448" s="13"/>
      <c r="O448" s="13"/>
      <c r="P448" s="13"/>
      <c r="Q448" s="13"/>
      <c r="R448" s="13"/>
      <c r="S448" s="13"/>
      <c r="T448" s="13"/>
      <c r="U448" s="23"/>
    </row>
    <row r="449" spans="11:21" ht="15.6">
      <c r="K449" s="128"/>
      <c r="L449" s="13"/>
      <c r="M449" s="13"/>
      <c r="N449" s="13"/>
      <c r="O449" s="13"/>
      <c r="P449" s="13"/>
      <c r="Q449" s="13"/>
      <c r="R449" s="13"/>
      <c r="S449" s="13"/>
      <c r="T449" s="13"/>
      <c r="U449" s="23"/>
    </row>
    <row r="450" spans="11:21" ht="15.6">
      <c r="K450" s="128"/>
      <c r="L450" s="13"/>
      <c r="M450" s="13"/>
      <c r="N450" s="13"/>
      <c r="O450" s="13"/>
      <c r="P450" s="13"/>
      <c r="Q450" s="13"/>
      <c r="R450" s="13"/>
      <c r="S450" s="13"/>
      <c r="T450" s="13"/>
      <c r="U450" s="23"/>
    </row>
    <row r="451" spans="11:21" ht="15.6">
      <c r="K451" s="128"/>
      <c r="L451" s="13"/>
      <c r="M451" s="13"/>
      <c r="N451" s="13"/>
      <c r="O451" s="13"/>
      <c r="P451" s="13"/>
      <c r="Q451" s="13"/>
      <c r="R451" s="13"/>
      <c r="S451" s="13"/>
      <c r="T451" s="13"/>
      <c r="U451" s="23"/>
    </row>
    <row r="452" spans="11:21" ht="15.6">
      <c r="K452" s="128"/>
      <c r="L452" s="13"/>
      <c r="M452" s="13"/>
      <c r="N452" s="13"/>
      <c r="O452" s="13"/>
      <c r="P452" s="13"/>
      <c r="Q452" s="13"/>
      <c r="R452" s="13"/>
      <c r="S452" s="13"/>
      <c r="T452" s="13"/>
      <c r="U452" s="23"/>
    </row>
    <row r="453" spans="11:21" ht="15.6">
      <c r="K453" s="128"/>
      <c r="L453" s="13"/>
      <c r="M453" s="13"/>
      <c r="N453" s="13"/>
      <c r="O453" s="13"/>
      <c r="P453" s="13"/>
      <c r="Q453" s="13"/>
      <c r="R453" s="13"/>
      <c r="S453" s="13"/>
      <c r="T453" s="13"/>
      <c r="U453" s="23"/>
    </row>
    <row r="454" spans="11:21" ht="15.6">
      <c r="K454" s="128"/>
      <c r="L454" s="13"/>
      <c r="M454" s="13"/>
      <c r="N454" s="13"/>
      <c r="O454" s="13"/>
      <c r="P454" s="13"/>
      <c r="Q454" s="13"/>
      <c r="R454" s="13"/>
      <c r="S454" s="13"/>
      <c r="T454" s="13"/>
      <c r="U454" s="23"/>
    </row>
    <row r="455" spans="11:21" ht="15.6">
      <c r="K455" s="128"/>
      <c r="L455" s="13"/>
      <c r="M455" s="13"/>
      <c r="N455" s="13"/>
      <c r="O455" s="13"/>
      <c r="P455" s="13"/>
      <c r="Q455" s="13"/>
      <c r="R455" s="13"/>
      <c r="S455" s="13"/>
      <c r="T455" s="13"/>
      <c r="U455" s="23"/>
    </row>
    <row r="456" spans="11:21" ht="15.6">
      <c r="K456" s="128"/>
      <c r="L456" s="13"/>
      <c r="M456" s="13"/>
      <c r="N456" s="13"/>
      <c r="O456" s="13"/>
      <c r="P456" s="13"/>
      <c r="Q456" s="13"/>
      <c r="R456" s="13"/>
      <c r="S456" s="13"/>
      <c r="T456" s="13"/>
      <c r="U456" s="23"/>
    </row>
    <row r="457" spans="11:21" ht="15.6">
      <c r="K457" s="128"/>
      <c r="L457" s="13"/>
      <c r="M457" s="13"/>
      <c r="N457" s="13"/>
      <c r="O457" s="13"/>
      <c r="P457" s="13"/>
      <c r="Q457" s="13"/>
      <c r="R457" s="13"/>
      <c r="S457" s="13"/>
      <c r="T457" s="13"/>
      <c r="U457" s="23"/>
    </row>
    <row r="458" spans="11:21" ht="15.6">
      <c r="K458" s="128"/>
      <c r="L458" s="13"/>
      <c r="M458" s="13"/>
      <c r="N458" s="13"/>
      <c r="O458" s="13"/>
      <c r="P458" s="13"/>
      <c r="Q458" s="13"/>
      <c r="R458" s="13"/>
      <c r="S458" s="13"/>
      <c r="T458" s="13"/>
      <c r="U458" s="23"/>
    </row>
    <row r="459" spans="11:21" ht="15.6">
      <c r="K459" s="128"/>
      <c r="L459" s="13"/>
      <c r="M459" s="13"/>
      <c r="N459" s="13"/>
      <c r="O459" s="13"/>
      <c r="P459" s="13"/>
      <c r="Q459" s="13"/>
      <c r="R459" s="13"/>
      <c r="S459" s="13"/>
      <c r="T459" s="13"/>
      <c r="U459" s="23"/>
    </row>
    <row r="460" spans="11:21" ht="15.6">
      <c r="K460" s="128"/>
      <c r="L460" s="13"/>
      <c r="M460" s="13"/>
      <c r="N460" s="13"/>
      <c r="O460" s="13"/>
      <c r="P460" s="13"/>
      <c r="Q460" s="13"/>
      <c r="R460" s="13"/>
      <c r="S460" s="13"/>
      <c r="T460" s="13"/>
      <c r="U460" s="23"/>
    </row>
    <row r="461" spans="11:21" ht="15.6">
      <c r="K461" s="128"/>
      <c r="L461" s="13"/>
      <c r="M461" s="13"/>
      <c r="N461" s="13"/>
      <c r="O461" s="13"/>
      <c r="P461" s="13"/>
      <c r="Q461" s="13"/>
      <c r="R461" s="13"/>
      <c r="S461" s="13"/>
      <c r="T461" s="13"/>
      <c r="U461" s="23"/>
    </row>
    <row r="462" spans="11:21" ht="15.6">
      <c r="K462" s="128"/>
      <c r="L462" s="13"/>
      <c r="M462" s="13"/>
      <c r="N462" s="13"/>
      <c r="O462" s="13"/>
      <c r="P462" s="13"/>
      <c r="Q462" s="13"/>
      <c r="R462" s="13"/>
      <c r="S462" s="13"/>
      <c r="T462" s="13"/>
      <c r="U462" s="23"/>
    </row>
    <row r="463" spans="11:21" ht="15.6">
      <c r="K463" s="128"/>
      <c r="L463" s="13"/>
      <c r="M463" s="13"/>
      <c r="N463" s="13"/>
      <c r="O463" s="13"/>
      <c r="P463" s="13"/>
      <c r="Q463" s="13"/>
      <c r="R463" s="13"/>
      <c r="S463" s="13"/>
      <c r="T463" s="13"/>
      <c r="U463" s="23"/>
    </row>
    <row r="464" spans="11:21" ht="15.6">
      <c r="K464" s="128"/>
      <c r="L464" s="13"/>
      <c r="M464" s="13"/>
      <c r="N464" s="13"/>
      <c r="O464" s="13"/>
      <c r="P464" s="13"/>
      <c r="Q464" s="13"/>
      <c r="R464" s="13"/>
      <c r="S464" s="13"/>
      <c r="T464" s="13"/>
      <c r="U464" s="23"/>
    </row>
    <row r="465" spans="11:21" ht="15.6">
      <c r="K465" s="128"/>
      <c r="L465" s="13"/>
      <c r="M465" s="13"/>
      <c r="N465" s="13"/>
      <c r="O465" s="13"/>
      <c r="P465" s="13"/>
      <c r="Q465" s="13"/>
      <c r="R465" s="13"/>
      <c r="S465" s="13"/>
      <c r="T465" s="13"/>
      <c r="U465" s="23"/>
    </row>
    <row r="466" spans="11:21" ht="15.6">
      <c r="K466" s="128"/>
      <c r="L466" s="13"/>
      <c r="M466" s="13"/>
      <c r="N466" s="13"/>
      <c r="O466" s="13"/>
      <c r="P466" s="13"/>
      <c r="Q466" s="13"/>
      <c r="R466" s="13"/>
      <c r="S466" s="13"/>
      <c r="T466" s="13"/>
      <c r="U466" s="23"/>
    </row>
    <row r="467" spans="11:21" ht="15.6">
      <c r="K467" s="128"/>
      <c r="L467" s="13"/>
      <c r="M467" s="13"/>
      <c r="N467" s="13"/>
      <c r="O467" s="13"/>
      <c r="P467" s="13"/>
      <c r="Q467" s="13"/>
      <c r="R467" s="13"/>
      <c r="S467" s="13"/>
      <c r="T467" s="13"/>
      <c r="U467" s="23"/>
    </row>
    <row r="468" spans="11:21" ht="15.6">
      <c r="K468" s="128"/>
      <c r="L468" s="13"/>
      <c r="M468" s="13"/>
      <c r="N468" s="13"/>
      <c r="O468" s="13"/>
      <c r="P468" s="13"/>
      <c r="Q468" s="13"/>
      <c r="R468" s="13"/>
      <c r="S468" s="13"/>
      <c r="T468" s="13"/>
      <c r="U468" s="23"/>
    </row>
    <row r="469" spans="11:21" ht="15.6">
      <c r="K469" s="128"/>
      <c r="L469" s="13"/>
      <c r="M469" s="13"/>
      <c r="N469" s="13"/>
      <c r="O469" s="13"/>
      <c r="P469" s="13"/>
      <c r="Q469" s="13"/>
      <c r="R469" s="13"/>
      <c r="S469" s="13"/>
      <c r="T469" s="13"/>
      <c r="U469" s="23"/>
    </row>
    <row r="470" spans="11:21" ht="15.6">
      <c r="K470" s="128"/>
      <c r="L470" s="13"/>
      <c r="M470" s="13"/>
      <c r="N470" s="13"/>
      <c r="O470" s="13"/>
      <c r="P470" s="13"/>
      <c r="Q470" s="13"/>
      <c r="R470" s="13"/>
      <c r="S470" s="13"/>
      <c r="T470" s="13"/>
      <c r="U470" s="23"/>
    </row>
    <row r="471" spans="11:21" ht="15.6">
      <c r="K471" s="128"/>
      <c r="L471" s="13"/>
      <c r="M471" s="13"/>
      <c r="N471" s="13"/>
      <c r="O471" s="13"/>
      <c r="P471" s="13"/>
      <c r="Q471" s="13"/>
      <c r="R471" s="13"/>
      <c r="S471" s="13"/>
      <c r="T471" s="13"/>
      <c r="U471" s="23"/>
    </row>
    <row r="472" spans="11:21" ht="15.6">
      <c r="K472" s="128"/>
      <c r="L472" s="13"/>
      <c r="M472" s="13"/>
      <c r="N472" s="13"/>
      <c r="O472" s="13"/>
      <c r="P472" s="13"/>
      <c r="Q472" s="13"/>
      <c r="R472" s="13"/>
      <c r="S472" s="13"/>
      <c r="T472" s="13"/>
      <c r="U472" s="23"/>
    </row>
    <row r="473" spans="11:21" ht="15.6">
      <c r="K473" s="128"/>
      <c r="L473" s="13"/>
      <c r="M473" s="13"/>
      <c r="N473" s="13"/>
      <c r="O473" s="13"/>
      <c r="P473" s="13"/>
      <c r="Q473" s="13"/>
      <c r="R473" s="13"/>
      <c r="S473" s="13"/>
      <c r="T473" s="13"/>
      <c r="U473" s="23"/>
    </row>
    <row r="474" spans="11:21" ht="15.6">
      <c r="K474" s="128"/>
      <c r="L474" s="13"/>
      <c r="M474" s="13"/>
      <c r="N474" s="13"/>
      <c r="O474" s="13"/>
      <c r="P474" s="13"/>
      <c r="Q474" s="13"/>
      <c r="R474" s="13"/>
      <c r="S474" s="13"/>
      <c r="T474" s="13"/>
      <c r="U474" s="23"/>
    </row>
    <row r="475" spans="11:21" ht="15.6">
      <c r="K475" s="128"/>
      <c r="L475" s="13"/>
      <c r="M475" s="13"/>
      <c r="N475" s="13"/>
      <c r="O475" s="13"/>
      <c r="P475" s="13"/>
      <c r="Q475" s="13"/>
      <c r="R475" s="13"/>
      <c r="S475" s="13"/>
      <c r="T475" s="13"/>
      <c r="U475" s="23"/>
    </row>
    <row r="476" spans="11:21" ht="15.6">
      <c r="K476" s="128"/>
      <c r="L476" s="13"/>
      <c r="M476" s="13"/>
      <c r="N476" s="13"/>
      <c r="O476" s="13"/>
      <c r="P476" s="13"/>
      <c r="Q476" s="13"/>
      <c r="R476" s="13"/>
      <c r="S476" s="13"/>
      <c r="T476" s="13"/>
      <c r="U476" s="23"/>
    </row>
    <row r="477" spans="11:21" ht="15.6">
      <c r="K477" s="128"/>
      <c r="L477" s="13"/>
      <c r="M477" s="13"/>
      <c r="N477" s="13"/>
      <c r="O477" s="13"/>
      <c r="P477" s="13"/>
      <c r="Q477" s="13"/>
      <c r="R477" s="13"/>
      <c r="S477" s="13"/>
      <c r="T477" s="13"/>
      <c r="U477" s="23"/>
    </row>
    <row r="478" spans="11:21" ht="15.6">
      <c r="K478" s="128"/>
      <c r="L478" s="13"/>
      <c r="M478" s="13"/>
      <c r="N478" s="13"/>
      <c r="O478" s="13"/>
      <c r="P478" s="13"/>
      <c r="Q478" s="13"/>
      <c r="R478" s="13"/>
      <c r="S478" s="13"/>
      <c r="T478" s="13"/>
      <c r="U478" s="23"/>
    </row>
    <row r="479" spans="11:21" ht="15.6">
      <c r="K479" s="128"/>
      <c r="L479" s="13"/>
      <c r="M479" s="13"/>
      <c r="N479" s="13"/>
      <c r="O479" s="13"/>
      <c r="P479" s="13"/>
      <c r="Q479" s="13"/>
      <c r="R479" s="13"/>
      <c r="S479" s="13"/>
      <c r="T479" s="13"/>
      <c r="U479" s="23"/>
    </row>
    <row r="480" spans="11:21" ht="15.6">
      <c r="K480" s="128"/>
      <c r="L480" s="13"/>
      <c r="M480" s="13"/>
      <c r="N480" s="13"/>
      <c r="O480" s="13"/>
      <c r="P480" s="13"/>
      <c r="Q480" s="13"/>
      <c r="R480" s="13"/>
      <c r="S480" s="13"/>
      <c r="T480" s="13"/>
      <c r="U480" s="23"/>
    </row>
    <row r="481" spans="11:21" ht="15.6">
      <c r="K481" s="128"/>
      <c r="L481" s="13"/>
      <c r="M481" s="13"/>
      <c r="N481" s="13"/>
      <c r="O481" s="13"/>
      <c r="P481" s="13"/>
      <c r="Q481" s="13"/>
      <c r="R481" s="13"/>
      <c r="S481" s="13"/>
      <c r="T481" s="13"/>
      <c r="U481" s="23"/>
    </row>
    <row r="482" spans="11:21" ht="15.6">
      <c r="K482" s="128"/>
      <c r="L482" s="13"/>
      <c r="M482" s="13"/>
      <c r="N482" s="13"/>
      <c r="O482" s="13"/>
      <c r="P482" s="13"/>
      <c r="Q482" s="13"/>
      <c r="R482" s="13"/>
      <c r="S482" s="13"/>
      <c r="T482" s="13"/>
      <c r="U482" s="23"/>
    </row>
    <row r="483" spans="11:21" ht="15.6">
      <c r="K483" s="128"/>
      <c r="L483" s="13"/>
      <c r="M483" s="13"/>
      <c r="N483" s="13"/>
      <c r="O483" s="13"/>
      <c r="P483" s="13"/>
      <c r="Q483" s="13"/>
      <c r="R483" s="13"/>
      <c r="S483" s="13"/>
      <c r="T483" s="13"/>
      <c r="U483" s="23"/>
    </row>
    <row r="484" spans="11:21" ht="15.6">
      <c r="K484" s="128"/>
      <c r="L484" s="13"/>
      <c r="M484" s="13"/>
      <c r="N484" s="13"/>
      <c r="O484" s="13"/>
      <c r="P484" s="13"/>
      <c r="Q484" s="13"/>
      <c r="R484" s="13"/>
      <c r="S484" s="13"/>
      <c r="T484" s="13"/>
      <c r="U484" s="23"/>
    </row>
    <row r="485" spans="11:21" ht="15.6">
      <c r="K485" s="128"/>
      <c r="L485" s="13"/>
      <c r="M485" s="13"/>
      <c r="N485" s="13"/>
      <c r="O485" s="13"/>
      <c r="P485" s="13"/>
      <c r="Q485" s="13"/>
      <c r="R485" s="13"/>
      <c r="S485" s="13"/>
      <c r="T485" s="13"/>
      <c r="U485" s="23"/>
    </row>
    <row r="486" spans="11:21" ht="15.6">
      <c r="K486" s="128"/>
      <c r="L486" s="13"/>
      <c r="M486" s="13"/>
      <c r="N486" s="13"/>
      <c r="O486" s="13"/>
      <c r="P486" s="13"/>
      <c r="Q486" s="13"/>
      <c r="R486" s="13"/>
      <c r="S486" s="13"/>
      <c r="T486" s="13"/>
      <c r="U486" s="23"/>
    </row>
    <row r="487" spans="11:21" ht="15.6">
      <c r="K487" s="128"/>
      <c r="L487" s="13"/>
      <c r="M487" s="13"/>
      <c r="N487" s="13"/>
      <c r="O487" s="13"/>
      <c r="P487" s="13"/>
      <c r="Q487" s="13"/>
      <c r="R487" s="13"/>
      <c r="S487" s="13"/>
      <c r="T487" s="13"/>
      <c r="U487" s="23"/>
    </row>
    <row r="488" spans="11:21" ht="15.6">
      <c r="K488" s="128"/>
      <c r="L488" s="13"/>
      <c r="M488" s="13"/>
      <c r="N488" s="13"/>
      <c r="O488" s="13"/>
      <c r="P488" s="13"/>
      <c r="Q488" s="13"/>
      <c r="R488" s="13"/>
      <c r="S488" s="13"/>
      <c r="T488" s="13"/>
      <c r="U488" s="23"/>
    </row>
    <row r="489" spans="11:21" ht="15.6">
      <c r="K489" s="128"/>
      <c r="L489" s="13"/>
      <c r="M489" s="13"/>
      <c r="N489" s="13"/>
      <c r="O489" s="13"/>
      <c r="P489" s="13"/>
      <c r="Q489" s="13"/>
      <c r="R489" s="13"/>
      <c r="S489" s="13"/>
      <c r="T489" s="13"/>
      <c r="U489" s="23"/>
    </row>
    <row r="490" spans="11:21" ht="15.6">
      <c r="K490" s="128"/>
      <c r="L490" s="13"/>
      <c r="M490" s="13"/>
      <c r="N490" s="13"/>
      <c r="O490" s="13"/>
      <c r="P490" s="13"/>
      <c r="Q490" s="13"/>
      <c r="R490" s="13"/>
      <c r="S490" s="13"/>
      <c r="T490" s="13"/>
      <c r="U490" s="23"/>
    </row>
    <row r="491" spans="11:21" ht="15.6">
      <c r="K491" s="128"/>
      <c r="L491" s="13"/>
      <c r="M491" s="13"/>
      <c r="N491" s="13"/>
      <c r="O491" s="13"/>
      <c r="P491" s="13"/>
      <c r="Q491" s="13"/>
      <c r="R491" s="13"/>
      <c r="S491" s="13"/>
      <c r="T491" s="13"/>
      <c r="U491" s="23"/>
    </row>
    <row r="492" spans="11:21" ht="15.6">
      <c r="K492" s="128"/>
      <c r="L492" s="13"/>
      <c r="M492" s="13"/>
      <c r="N492" s="13"/>
      <c r="O492" s="13"/>
      <c r="P492" s="13"/>
      <c r="Q492" s="13"/>
      <c r="R492" s="13"/>
      <c r="S492" s="13"/>
      <c r="T492" s="13"/>
      <c r="U492" s="23"/>
    </row>
    <row r="493" spans="11:21" ht="15.6">
      <c r="K493" s="128"/>
      <c r="L493" s="13"/>
      <c r="M493" s="13"/>
      <c r="N493" s="13"/>
      <c r="O493" s="13"/>
      <c r="P493" s="13"/>
      <c r="Q493" s="13"/>
      <c r="R493" s="13"/>
      <c r="S493" s="13"/>
      <c r="T493" s="13"/>
      <c r="U493" s="23"/>
    </row>
    <row r="494" spans="11:21" ht="15.6">
      <c r="K494" s="128"/>
      <c r="L494" s="13"/>
      <c r="M494" s="13"/>
      <c r="N494" s="13"/>
      <c r="O494" s="13"/>
      <c r="P494" s="13"/>
      <c r="Q494" s="13"/>
      <c r="R494" s="13"/>
      <c r="S494" s="13"/>
      <c r="T494" s="13"/>
      <c r="U494" s="23"/>
    </row>
    <row r="495" spans="11:21" ht="15.6">
      <c r="K495" s="128"/>
      <c r="L495" s="13"/>
      <c r="M495" s="13"/>
      <c r="N495" s="13"/>
      <c r="O495" s="13"/>
      <c r="P495" s="13"/>
      <c r="Q495" s="13"/>
      <c r="R495" s="13"/>
      <c r="S495" s="13"/>
      <c r="T495" s="13"/>
      <c r="U495" s="23"/>
    </row>
    <row r="496" spans="11:21" ht="15.6">
      <c r="K496" s="128"/>
      <c r="L496" s="13"/>
      <c r="M496" s="13"/>
      <c r="N496" s="13"/>
      <c r="O496" s="13"/>
      <c r="P496" s="13"/>
      <c r="Q496" s="13"/>
      <c r="R496" s="13"/>
      <c r="S496" s="13"/>
      <c r="T496" s="13"/>
      <c r="U496" s="23"/>
    </row>
    <row r="497" spans="11:21" ht="15.6">
      <c r="K497" s="128"/>
      <c r="L497" s="13"/>
      <c r="M497" s="13"/>
      <c r="N497" s="13"/>
      <c r="O497" s="13"/>
      <c r="P497" s="13"/>
      <c r="Q497" s="13"/>
      <c r="R497" s="13"/>
      <c r="S497" s="13"/>
      <c r="T497" s="13"/>
      <c r="U497" s="23"/>
    </row>
    <row r="498" spans="11:21" ht="15.6">
      <c r="K498" s="128"/>
      <c r="L498" s="13"/>
      <c r="M498" s="13"/>
      <c r="N498" s="13"/>
      <c r="O498" s="13"/>
      <c r="P498" s="13"/>
      <c r="Q498" s="13"/>
      <c r="R498" s="13"/>
      <c r="S498" s="13"/>
      <c r="T498" s="13"/>
      <c r="U498" s="23"/>
    </row>
    <row r="499" spans="11:21" ht="15.6">
      <c r="K499" s="128"/>
      <c r="L499" s="13"/>
      <c r="M499" s="13"/>
      <c r="N499" s="13"/>
      <c r="O499" s="13"/>
      <c r="P499" s="13"/>
      <c r="Q499" s="13"/>
      <c r="R499" s="13"/>
      <c r="S499" s="13"/>
      <c r="T499" s="13"/>
      <c r="U499" s="23"/>
    </row>
    <row r="500" spans="11:21" ht="15.6">
      <c r="K500" s="128"/>
      <c r="L500" s="13"/>
      <c r="M500" s="13"/>
      <c r="N500" s="13"/>
      <c r="O500" s="13"/>
      <c r="P500" s="13"/>
      <c r="Q500" s="13"/>
      <c r="R500" s="13"/>
      <c r="S500" s="13"/>
      <c r="T500" s="13"/>
      <c r="U500" s="23"/>
    </row>
    <row r="501" spans="11:21" ht="15.6">
      <c r="K501" s="128"/>
      <c r="L501" s="13"/>
      <c r="M501" s="13"/>
      <c r="N501" s="13"/>
      <c r="O501" s="13"/>
      <c r="P501" s="13"/>
      <c r="Q501" s="13"/>
      <c r="R501" s="13"/>
      <c r="S501" s="13"/>
      <c r="T501" s="13"/>
      <c r="U501" s="23"/>
    </row>
    <row r="502" spans="11:21" ht="15.6">
      <c r="K502" s="128"/>
      <c r="L502" s="13"/>
      <c r="M502" s="13"/>
      <c r="N502" s="13"/>
      <c r="O502" s="13"/>
      <c r="P502" s="13"/>
      <c r="Q502" s="13"/>
      <c r="R502" s="13"/>
      <c r="S502" s="13"/>
      <c r="T502" s="13"/>
      <c r="U502" s="23"/>
    </row>
    <row r="503" spans="11:21" ht="15.6">
      <c r="K503" s="128"/>
      <c r="L503" s="13"/>
      <c r="M503" s="13"/>
      <c r="N503" s="13"/>
      <c r="O503" s="13"/>
      <c r="P503" s="13"/>
      <c r="Q503" s="13"/>
      <c r="R503" s="13"/>
      <c r="S503" s="13"/>
      <c r="T503" s="13"/>
      <c r="U503" s="23"/>
    </row>
    <row r="504" spans="11:21" ht="15.6">
      <c r="K504" s="128"/>
      <c r="L504" s="13"/>
      <c r="M504" s="13"/>
      <c r="N504" s="13"/>
      <c r="O504" s="13"/>
      <c r="P504" s="13"/>
      <c r="Q504" s="13"/>
      <c r="R504" s="13"/>
      <c r="S504" s="13"/>
      <c r="T504" s="13"/>
      <c r="U504" s="23"/>
    </row>
    <row r="505" spans="11:21" ht="15.6">
      <c r="K505" s="128"/>
      <c r="L505" s="13"/>
      <c r="M505" s="13"/>
      <c r="N505" s="13"/>
      <c r="O505" s="13"/>
      <c r="P505" s="13"/>
      <c r="Q505" s="13"/>
      <c r="R505" s="13"/>
      <c r="S505" s="13"/>
      <c r="T505" s="13"/>
      <c r="U505" s="23"/>
    </row>
    <row r="506" spans="11:21" ht="15.6">
      <c r="K506" s="128"/>
      <c r="L506" s="13"/>
      <c r="M506" s="13"/>
      <c r="N506" s="13"/>
      <c r="O506" s="13"/>
      <c r="P506" s="13"/>
      <c r="Q506" s="13"/>
      <c r="R506" s="13"/>
      <c r="S506" s="13"/>
      <c r="T506" s="13"/>
      <c r="U506" s="23"/>
    </row>
    <row r="507" spans="11:21" ht="15.6">
      <c r="K507" s="128"/>
      <c r="L507" s="13"/>
      <c r="M507" s="13"/>
      <c r="N507" s="13"/>
      <c r="O507" s="13"/>
      <c r="P507" s="13"/>
      <c r="Q507" s="13"/>
      <c r="R507" s="13"/>
      <c r="S507" s="13"/>
      <c r="T507" s="13"/>
      <c r="U507" s="23"/>
    </row>
    <row r="508" spans="11:21" ht="15.6">
      <c r="K508" s="128"/>
      <c r="L508" s="13"/>
      <c r="M508" s="13"/>
      <c r="N508" s="13"/>
      <c r="O508" s="13"/>
      <c r="P508" s="13"/>
      <c r="Q508" s="13"/>
      <c r="R508" s="13"/>
      <c r="S508" s="13"/>
      <c r="T508" s="13"/>
      <c r="U508" s="23"/>
    </row>
    <row r="509" spans="11:21" ht="15.6">
      <c r="K509" s="128"/>
      <c r="L509" s="13"/>
      <c r="M509" s="13"/>
      <c r="N509" s="13"/>
      <c r="O509" s="13"/>
      <c r="P509" s="13"/>
      <c r="Q509" s="13"/>
      <c r="R509" s="13"/>
      <c r="S509" s="13"/>
      <c r="T509" s="13"/>
      <c r="U509" s="23"/>
    </row>
    <row r="510" spans="11:21" ht="15.6">
      <c r="K510" s="128"/>
      <c r="L510" s="13"/>
      <c r="M510" s="13"/>
      <c r="N510" s="13"/>
      <c r="O510" s="13"/>
      <c r="P510" s="13"/>
      <c r="Q510" s="13"/>
      <c r="R510" s="13"/>
      <c r="S510" s="13"/>
      <c r="T510" s="13"/>
      <c r="U510" s="23"/>
    </row>
    <row r="511" spans="11:21" ht="15.6">
      <c r="K511" s="128"/>
      <c r="L511" s="13"/>
      <c r="M511" s="13"/>
      <c r="N511" s="13"/>
      <c r="O511" s="13"/>
      <c r="P511" s="13"/>
      <c r="Q511" s="13"/>
      <c r="R511" s="13"/>
      <c r="S511" s="13"/>
      <c r="T511" s="13"/>
      <c r="U511" s="23"/>
    </row>
    <row r="512" spans="11:21" ht="15.6">
      <c r="K512" s="128"/>
      <c r="L512" s="13"/>
      <c r="M512" s="13"/>
      <c r="N512" s="13"/>
      <c r="O512" s="13"/>
      <c r="P512" s="13"/>
      <c r="Q512" s="13"/>
      <c r="R512" s="13"/>
      <c r="S512" s="13"/>
      <c r="T512" s="13"/>
      <c r="U512" s="23"/>
    </row>
    <row r="513" spans="11:21" ht="15.6">
      <c r="K513" s="128"/>
      <c r="L513" s="13"/>
      <c r="M513" s="13"/>
      <c r="N513" s="13"/>
      <c r="O513" s="13"/>
      <c r="P513" s="13"/>
      <c r="Q513" s="13"/>
      <c r="R513" s="13"/>
      <c r="S513" s="13"/>
      <c r="T513" s="13"/>
      <c r="U513" s="23"/>
    </row>
    <row r="514" spans="11:21" ht="15.6">
      <c r="K514" s="128"/>
      <c r="L514" s="13"/>
      <c r="M514" s="13"/>
      <c r="N514" s="13"/>
      <c r="O514" s="13"/>
      <c r="P514" s="13"/>
      <c r="Q514" s="13"/>
      <c r="R514" s="13"/>
      <c r="S514" s="13"/>
      <c r="T514" s="13"/>
      <c r="U514" s="23"/>
    </row>
    <row r="515" spans="11:21" ht="15.6">
      <c r="K515" s="128"/>
      <c r="L515" s="13"/>
      <c r="M515" s="13"/>
      <c r="N515" s="13"/>
      <c r="O515" s="13"/>
      <c r="P515" s="13"/>
      <c r="Q515" s="13"/>
      <c r="R515" s="13"/>
      <c r="S515" s="13"/>
      <c r="T515" s="13"/>
      <c r="U515" s="23"/>
    </row>
    <row r="516" spans="11:21" ht="15.6">
      <c r="K516" s="128"/>
      <c r="L516" s="13"/>
      <c r="M516" s="13"/>
      <c r="N516" s="13"/>
      <c r="O516" s="13"/>
      <c r="P516" s="13"/>
      <c r="Q516" s="13"/>
      <c r="R516" s="13"/>
      <c r="S516" s="13"/>
      <c r="T516" s="13"/>
      <c r="U516" s="23"/>
    </row>
    <row r="517" spans="11:21" ht="15.6">
      <c r="K517" s="128"/>
      <c r="L517" s="13"/>
      <c r="M517" s="13"/>
      <c r="N517" s="13"/>
      <c r="O517" s="13"/>
      <c r="P517" s="13"/>
      <c r="Q517" s="13"/>
      <c r="R517" s="13"/>
      <c r="S517" s="13"/>
      <c r="T517" s="13"/>
      <c r="U517" s="23"/>
    </row>
    <row r="518" spans="11:21" ht="15.6">
      <c r="K518" s="128"/>
      <c r="L518" s="13"/>
      <c r="M518" s="13"/>
      <c r="N518" s="13"/>
      <c r="O518" s="13"/>
      <c r="P518" s="13"/>
      <c r="Q518" s="13"/>
      <c r="R518" s="13"/>
      <c r="S518" s="13"/>
      <c r="T518" s="13"/>
      <c r="U518" s="23"/>
    </row>
    <row r="519" spans="11:21" ht="15.6">
      <c r="K519" s="128"/>
      <c r="L519" s="13"/>
      <c r="M519" s="13"/>
      <c r="N519" s="13"/>
      <c r="O519" s="13"/>
      <c r="P519" s="13"/>
      <c r="Q519" s="13"/>
      <c r="R519" s="13"/>
      <c r="S519" s="13"/>
      <c r="T519" s="13"/>
      <c r="U519" s="23"/>
    </row>
    <row r="520" spans="11:21" ht="15.6">
      <c r="K520" s="128"/>
      <c r="L520" s="13"/>
      <c r="M520" s="13"/>
      <c r="N520" s="13"/>
      <c r="O520" s="13"/>
      <c r="P520" s="13"/>
      <c r="Q520" s="13"/>
      <c r="R520" s="13"/>
      <c r="S520" s="13"/>
      <c r="T520" s="13"/>
      <c r="U520" s="23"/>
    </row>
    <row r="521" spans="11:21" ht="15.6">
      <c r="K521" s="128"/>
      <c r="L521" s="13"/>
      <c r="M521" s="13"/>
      <c r="N521" s="13"/>
      <c r="O521" s="13"/>
      <c r="P521" s="13"/>
      <c r="Q521" s="13"/>
      <c r="R521" s="13"/>
      <c r="S521" s="13"/>
      <c r="T521" s="13"/>
      <c r="U521" s="23"/>
    </row>
    <row r="522" spans="11:21" ht="15.6">
      <c r="K522" s="128"/>
      <c r="L522" s="13"/>
      <c r="M522" s="13"/>
      <c r="N522" s="13"/>
      <c r="O522" s="13"/>
      <c r="P522" s="13"/>
      <c r="Q522" s="13"/>
      <c r="R522" s="13"/>
      <c r="S522" s="13"/>
      <c r="T522" s="13"/>
      <c r="U522" s="23"/>
    </row>
    <row r="523" spans="11:21" ht="15.6">
      <c r="K523" s="128"/>
      <c r="L523" s="13"/>
      <c r="M523" s="13"/>
      <c r="N523" s="13"/>
      <c r="O523" s="13"/>
      <c r="P523" s="13"/>
      <c r="Q523" s="13"/>
      <c r="R523" s="13"/>
      <c r="S523" s="13"/>
      <c r="T523" s="13"/>
      <c r="U523" s="23"/>
    </row>
    <row r="524" spans="11:21" ht="15.6">
      <c r="K524" s="128"/>
      <c r="L524" s="13"/>
      <c r="M524" s="13"/>
      <c r="N524" s="13"/>
      <c r="O524" s="13"/>
      <c r="P524" s="13"/>
      <c r="Q524" s="13"/>
      <c r="R524" s="13"/>
      <c r="S524" s="13"/>
      <c r="T524" s="13"/>
      <c r="U524" s="23"/>
    </row>
    <row r="525" spans="11:21" ht="15.6">
      <c r="K525" s="128"/>
      <c r="L525" s="13"/>
      <c r="M525" s="13"/>
      <c r="N525" s="13"/>
      <c r="O525" s="13"/>
      <c r="P525" s="13"/>
      <c r="Q525" s="13"/>
      <c r="R525" s="13"/>
      <c r="S525" s="13"/>
      <c r="T525" s="13"/>
      <c r="U525" s="23"/>
    </row>
    <row r="526" spans="11:21" ht="15.6">
      <c r="K526" s="128"/>
      <c r="L526" s="13"/>
      <c r="M526" s="13"/>
      <c r="N526" s="13"/>
      <c r="O526" s="13"/>
      <c r="P526" s="13"/>
      <c r="Q526" s="13"/>
      <c r="R526" s="13"/>
      <c r="S526" s="13"/>
      <c r="T526" s="13"/>
      <c r="U526" s="23"/>
    </row>
    <row r="527" spans="11:21" ht="15.6">
      <c r="K527" s="128"/>
      <c r="L527" s="13"/>
      <c r="M527" s="13"/>
      <c r="N527" s="13"/>
      <c r="O527" s="13"/>
      <c r="P527" s="13"/>
      <c r="Q527" s="13"/>
      <c r="R527" s="13"/>
      <c r="S527" s="13"/>
      <c r="T527" s="13"/>
      <c r="U527" s="23"/>
    </row>
    <row r="528" spans="11:21" ht="15.6">
      <c r="K528" s="128"/>
      <c r="L528" s="13"/>
      <c r="M528" s="13"/>
      <c r="N528" s="13"/>
      <c r="O528" s="13"/>
      <c r="P528" s="13"/>
      <c r="Q528" s="13"/>
      <c r="R528" s="13"/>
      <c r="S528" s="13"/>
      <c r="T528" s="13"/>
      <c r="U528" s="23"/>
    </row>
    <row r="529" spans="11:21" ht="15.6">
      <c r="K529" s="128"/>
      <c r="L529" s="13"/>
      <c r="M529" s="13"/>
      <c r="N529" s="13"/>
      <c r="O529" s="13"/>
      <c r="P529" s="13"/>
      <c r="Q529" s="13"/>
      <c r="R529" s="13"/>
      <c r="S529" s="13"/>
      <c r="T529" s="13"/>
      <c r="U529" s="23"/>
    </row>
    <row r="530" spans="11:21" ht="15.6">
      <c r="K530" s="128"/>
      <c r="L530" s="13"/>
      <c r="M530" s="13"/>
      <c r="N530" s="13"/>
      <c r="O530" s="13"/>
      <c r="P530" s="13"/>
      <c r="Q530" s="13"/>
      <c r="R530" s="13"/>
      <c r="S530" s="13"/>
      <c r="T530" s="13"/>
      <c r="U530" s="23"/>
    </row>
    <row r="531" spans="11:21" ht="15.6">
      <c r="K531" s="128"/>
      <c r="L531" s="13"/>
      <c r="M531" s="13"/>
      <c r="N531" s="13"/>
      <c r="O531" s="13"/>
      <c r="P531" s="13"/>
      <c r="Q531" s="13"/>
      <c r="R531" s="13"/>
      <c r="S531" s="13"/>
      <c r="T531" s="13"/>
      <c r="U531" s="23"/>
    </row>
    <row r="532" spans="11:21" ht="15.6">
      <c r="K532" s="128"/>
      <c r="L532" s="13"/>
      <c r="M532" s="13"/>
      <c r="N532" s="13"/>
      <c r="O532" s="13"/>
      <c r="P532" s="13"/>
      <c r="Q532" s="13"/>
      <c r="R532" s="13"/>
      <c r="S532" s="13"/>
      <c r="T532" s="13"/>
      <c r="U532" s="23"/>
    </row>
    <row r="533" spans="11:21" ht="15.6">
      <c r="K533" s="128"/>
      <c r="L533" s="13"/>
      <c r="M533" s="13"/>
      <c r="N533" s="13"/>
      <c r="O533" s="13"/>
      <c r="P533" s="13"/>
      <c r="Q533" s="13"/>
      <c r="R533" s="13"/>
      <c r="S533" s="13"/>
      <c r="T533" s="13"/>
      <c r="U533" s="23"/>
    </row>
    <row r="534" spans="11:21" ht="15.6">
      <c r="K534" s="128"/>
      <c r="L534" s="13"/>
      <c r="M534" s="13"/>
      <c r="N534" s="13"/>
      <c r="O534" s="13"/>
      <c r="P534" s="13"/>
      <c r="Q534" s="13"/>
      <c r="R534" s="13"/>
      <c r="S534" s="13"/>
      <c r="T534" s="13"/>
      <c r="U534" s="23"/>
    </row>
    <row r="535" spans="11:21" ht="15.6">
      <c r="K535" s="128"/>
      <c r="L535" s="13"/>
      <c r="M535" s="13"/>
      <c r="N535" s="13"/>
      <c r="O535" s="13"/>
      <c r="P535" s="13"/>
      <c r="Q535" s="13"/>
      <c r="R535" s="13"/>
      <c r="S535" s="13"/>
      <c r="T535" s="13"/>
      <c r="U535" s="23"/>
    </row>
    <row r="536" spans="11:21" ht="15.6">
      <c r="K536" s="128"/>
      <c r="L536" s="13"/>
      <c r="M536" s="13"/>
      <c r="N536" s="13"/>
      <c r="O536" s="13"/>
      <c r="P536" s="13"/>
      <c r="Q536" s="13"/>
      <c r="R536" s="13"/>
      <c r="S536" s="13"/>
      <c r="T536" s="13"/>
      <c r="U536" s="23"/>
    </row>
    <row r="537" spans="11:21" ht="15.6">
      <c r="K537" s="128"/>
      <c r="L537" s="13"/>
      <c r="M537" s="13"/>
      <c r="N537" s="13"/>
      <c r="O537" s="13"/>
      <c r="P537" s="13"/>
      <c r="Q537" s="13"/>
      <c r="R537" s="13"/>
      <c r="S537" s="13"/>
      <c r="T537" s="13"/>
      <c r="U537" s="23"/>
    </row>
    <row r="538" spans="11:21" ht="15.6">
      <c r="K538" s="128"/>
      <c r="L538" s="13"/>
      <c r="M538" s="13"/>
      <c r="N538" s="13"/>
      <c r="O538" s="13"/>
      <c r="P538" s="13"/>
      <c r="Q538" s="13"/>
      <c r="R538" s="13"/>
      <c r="S538" s="13"/>
      <c r="T538" s="13"/>
      <c r="U538" s="23"/>
    </row>
    <row r="539" spans="11:21" ht="15.6">
      <c r="K539" s="128"/>
      <c r="L539" s="13"/>
      <c r="M539" s="13"/>
      <c r="N539" s="13"/>
      <c r="O539" s="13"/>
      <c r="P539" s="13"/>
      <c r="Q539" s="13"/>
      <c r="R539" s="13"/>
      <c r="S539" s="13"/>
      <c r="T539" s="13"/>
      <c r="U539" s="23"/>
    </row>
    <row r="540" spans="11:21" ht="15.6">
      <c r="K540" s="128"/>
      <c r="L540" s="13"/>
      <c r="M540" s="13"/>
      <c r="N540" s="13"/>
      <c r="O540" s="13"/>
      <c r="P540" s="13"/>
      <c r="Q540" s="13"/>
      <c r="R540" s="13"/>
      <c r="S540" s="13"/>
      <c r="T540" s="13"/>
      <c r="U540" s="23"/>
    </row>
    <row r="541" spans="11:21" ht="15.6">
      <c r="K541" s="128"/>
      <c r="L541" s="13"/>
      <c r="M541" s="13"/>
      <c r="N541" s="13"/>
      <c r="O541" s="13"/>
      <c r="P541" s="13"/>
      <c r="Q541" s="13"/>
      <c r="R541" s="13"/>
      <c r="S541" s="13"/>
      <c r="T541" s="13"/>
      <c r="U541" s="23"/>
    </row>
    <row r="542" spans="11:21" ht="15.6">
      <c r="K542" s="128"/>
      <c r="L542" s="13"/>
      <c r="M542" s="13"/>
      <c r="N542" s="13"/>
      <c r="O542" s="13"/>
      <c r="P542" s="13"/>
      <c r="Q542" s="13"/>
      <c r="R542" s="13"/>
      <c r="S542" s="13"/>
      <c r="T542" s="13"/>
      <c r="U542" s="23"/>
    </row>
    <row r="543" spans="11:21" ht="15.6">
      <c r="K543" s="128"/>
      <c r="L543" s="13"/>
      <c r="M543" s="13"/>
      <c r="N543" s="13"/>
      <c r="O543" s="13"/>
      <c r="P543" s="13"/>
      <c r="Q543" s="13"/>
      <c r="R543" s="13"/>
      <c r="S543" s="13"/>
      <c r="T543" s="13"/>
      <c r="U543" s="23"/>
    </row>
    <row r="544" spans="11:21" ht="15.6">
      <c r="K544" s="128"/>
      <c r="L544" s="13"/>
      <c r="M544" s="13"/>
      <c r="N544" s="13"/>
      <c r="O544" s="13"/>
      <c r="P544" s="13"/>
      <c r="Q544" s="13"/>
      <c r="R544" s="13"/>
      <c r="S544" s="13"/>
      <c r="T544" s="13"/>
      <c r="U544" s="23"/>
    </row>
    <row r="545" spans="11:21" ht="15.6">
      <c r="K545" s="128"/>
      <c r="L545" s="13"/>
      <c r="M545" s="13"/>
      <c r="N545" s="13"/>
      <c r="O545" s="13"/>
      <c r="P545" s="13"/>
      <c r="Q545" s="13"/>
      <c r="R545" s="13"/>
      <c r="S545" s="13"/>
      <c r="T545" s="13"/>
      <c r="U545" s="23"/>
    </row>
    <row r="546" spans="11:21" ht="15.6">
      <c r="K546" s="128"/>
      <c r="L546" s="13"/>
      <c r="M546" s="13"/>
      <c r="N546" s="13"/>
      <c r="O546" s="13"/>
      <c r="P546" s="13"/>
      <c r="Q546" s="13"/>
      <c r="R546" s="13"/>
      <c r="S546" s="13"/>
      <c r="T546" s="13"/>
      <c r="U546" s="23"/>
    </row>
    <row r="547" spans="11:21" ht="15.6">
      <c r="K547" s="128"/>
      <c r="L547" s="13"/>
      <c r="M547" s="13"/>
      <c r="N547" s="13"/>
      <c r="O547" s="13"/>
      <c r="P547" s="13"/>
      <c r="Q547" s="13"/>
      <c r="R547" s="13"/>
      <c r="S547" s="13"/>
      <c r="T547" s="13"/>
      <c r="U547" s="23"/>
    </row>
    <row r="548" spans="11:21" ht="15.6">
      <c r="K548" s="128"/>
      <c r="L548" s="13"/>
      <c r="M548" s="13"/>
      <c r="N548" s="13"/>
      <c r="O548" s="13"/>
      <c r="P548" s="13"/>
      <c r="Q548" s="13"/>
      <c r="R548" s="13"/>
      <c r="S548" s="13"/>
      <c r="T548" s="13"/>
      <c r="U548" s="23"/>
    </row>
    <row r="549" spans="11:21" ht="15.6">
      <c r="K549" s="128"/>
      <c r="L549" s="13"/>
      <c r="M549" s="13"/>
      <c r="N549" s="13"/>
      <c r="O549" s="13"/>
      <c r="P549" s="13"/>
      <c r="Q549" s="13"/>
      <c r="R549" s="13"/>
      <c r="S549" s="13"/>
      <c r="T549" s="13"/>
      <c r="U549" s="23"/>
    </row>
    <row r="550" spans="11:21" ht="15.6">
      <c r="K550" s="128"/>
      <c r="L550" s="13"/>
      <c r="M550" s="13"/>
      <c r="N550" s="13"/>
      <c r="O550" s="13"/>
      <c r="P550" s="13"/>
      <c r="Q550" s="13"/>
      <c r="R550" s="13"/>
      <c r="S550" s="13"/>
      <c r="T550" s="13"/>
      <c r="U550" s="23"/>
    </row>
    <row r="551" spans="11:21" ht="15.6">
      <c r="K551" s="128"/>
      <c r="L551" s="13"/>
      <c r="M551" s="13"/>
      <c r="N551" s="13"/>
      <c r="O551" s="13"/>
      <c r="P551" s="13"/>
      <c r="Q551" s="13"/>
      <c r="R551" s="13"/>
      <c r="S551" s="13"/>
      <c r="T551" s="13"/>
      <c r="U551" s="23"/>
    </row>
    <row r="552" spans="11:21" ht="15.6">
      <c r="K552" s="128"/>
      <c r="L552" s="13"/>
      <c r="M552" s="13"/>
      <c r="N552" s="13"/>
      <c r="O552" s="13"/>
      <c r="P552" s="13"/>
      <c r="Q552" s="13"/>
      <c r="R552" s="13"/>
      <c r="S552" s="13"/>
      <c r="T552" s="13"/>
      <c r="U552" s="23"/>
    </row>
    <row r="553" spans="11:21" ht="15.6">
      <c r="K553" s="128"/>
      <c r="L553" s="13"/>
      <c r="M553" s="13"/>
      <c r="N553" s="13"/>
      <c r="O553" s="13"/>
      <c r="P553" s="13"/>
      <c r="Q553" s="13"/>
      <c r="R553" s="13"/>
      <c r="S553" s="13"/>
      <c r="T553" s="13"/>
      <c r="U553" s="23"/>
    </row>
    <row r="554" spans="11:21" ht="15.6">
      <c r="K554" s="128"/>
      <c r="L554" s="13"/>
      <c r="M554" s="13"/>
      <c r="N554" s="13"/>
      <c r="O554" s="13"/>
      <c r="P554" s="13"/>
      <c r="Q554" s="13"/>
      <c r="R554" s="13"/>
      <c r="S554" s="13"/>
      <c r="T554" s="13"/>
      <c r="U554" s="23"/>
    </row>
    <row r="555" spans="11:21" ht="15.6">
      <c r="K555" s="128"/>
      <c r="L555" s="13"/>
      <c r="M555" s="13"/>
      <c r="N555" s="13"/>
      <c r="O555" s="13"/>
      <c r="P555" s="13"/>
      <c r="Q555" s="13"/>
      <c r="R555" s="13"/>
      <c r="S555" s="13"/>
      <c r="T555" s="13"/>
      <c r="U555" s="23"/>
    </row>
    <row r="556" spans="11:21" ht="15.6">
      <c r="K556" s="128"/>
      <c r="L556" s="13"/>
      <c r="M556" s="13"/>
      <c r="N556" s="13"/>
      <c r="O556" s="13"/>
      <c r="P556" s="13"/>
      <c r="Q556" s="13"/>
      <c r="R556" s="13"/>
      <c r="S556" s="13"/>
      <c r="T556" s="13"/>
      <c r="U556" s="23"/>
    </row>
    <row r="557" spans="11:21" ht="15.6">
      <c r="K557" s="128"/>
      <c r="L557" s="13"/>
      <c r="M557" s="13"/>
      <c r="N557" s="13"/>
      <c r="O557" s="13"/>
      <c r="P557" s="13"/>
      <c r="Q557" s="13"/>
      <c r="R557" s="13"/>
      <c r="S557" s="13"/>
      <c r="T557" s="13"/>
      <c r="U557" s="23"/>
    </row>
    <row r="558" spans="11:21" ht="15.6">
      <c r="K558" s="128"/>
      <c r="L558" s="13"/>
      <c r="M558" s="13"/>
      <c r="N558" s="13"/>
      <c r="O558" s="13"/>
      <c r="P558" s="13"/>
      <c r="Q558" s="13"/>
      <c r="R558" s="13"/>
      <c r="S558" s="13"/>
      <c r="T558" s="13"/>
      <c r="U558" s="23"/>
    </row>
    <row r="559" spans="11:21" ht="15.6">
      <c r="K559" s="128"/>
      <c r="L559" s="13"/>
      <c r="M559" s="13"/>
      <c r="N559" s="13"/>
      <c r="O559" s="13"/>
      <c r="P559" s="13"/>
      <c r="Q559" s="13"/>
      <c r="R559" s="13"/>
      <c r="S559" s="13"/>
      <c r="T559" s="13"/>
      <c r="U559" s="23"/>
    </row>
    <row r="560" spans="11:21" ht="15.6">
      <c r="K560" s="128"/>
      <c r="L560" s="13"/>
      <c r="M560" s="13"/>
      <c r="N560" s="13"/>
      <c r="O560" s="13"/>
      <c r="P560" s="13"/>
      <c r="Q560" s="13"/>
      <c r="R560" s="13"/>
      <c r="S560" s="13"/>
      <c r="T560" s="13"/>
      <c r="U560" s="23"/>
    </row>
    <row r="561" spans="11:21" ht="15.6">
      <c r="K561" s="128"/>
      <c r="L561" s="13"/>
      <c r="M561" s="13"/>
      <c r="N561" s="13"/>
      <c r="O561" s="13"/>
      <c r="P561" s="13"/>
      <c r="Q561" s="13"/>
      <c r="R561" s="13"/>
      <c r="S561" s="13"/>
      <c r="T561" s="13"/>
      <c r="U561" s="23"/>
    </row>
    <row r="562" spans="11:21" ht="15.6">
      <c r="K562" s="128"/>
      <c r="L562" s="13"/>
      <c r="M562" s="13"/>
      <c r="N562" s="13"/>
      <c r="O562" s="13"/>
      <c r="P562" s="13"/>
      <c r="Q562" s="13"/>
      <c r="R562" s="13"/>
      <c r="S562" s="13"/>
      <c r="T562" s="13"/>
      <c r="U562" s="23"/>
    </row>
    <row r="563" spans="11:21" ht="15.6">
      <c r="K563" s="128"/>
      <c r="L563" s="13"/>
      <c r="M563" s="13"/>
      <c r="N563" s="13"/>
      <c r="O563" s="13"/>
      <c r="P563" s="13"/>
      <c r="Q563" s="13"/>
      <c r="R563" s="13"/>
      <c r="S563" s="13"/>
      <c r="T563" s="13"/>
      <c r="U563" s="23"/>
    </row>
    <row r="564" spans="11:21" ht="15.6">
      <c r="K564" s="128"/>
      <c r="L564" s="13"/>
      <c r="M564" s="13"/>
      <c r="N564" s="13"/>
      <c r="O564" s="13"/>
      <c r="P564" s="13"/>
      <c r="Q564" s="13"/>
      <c r="R564" s="13"/>
      <c r="S564" s="13"/>
      <c r="T564" s="13"/>
      <c r="U564" s="23"/>
    </row>
    <row r="565" spans="11:21" ht="15.6">
      <c r="K565" s="128"/>
      <c r="L565" s="13"/>
      <c r="M565" s="13"/>
      <c r="N565" s="13"/>
      <c r="O565" s="13"/>
      <c r="P565" s="13"/>
      <c r="Q565" s="13"/>
      <c r="R565" s="13"/>
      <c r="S565" s="13"/>
      <c r="T565" s="13"/>
      <c r="U565" s="23"/>
    </row>
    <row r="566" spans="11:21" ht="15.6">
      <c r="K566" s="128"/>
      <c r="L566" s="13"/>
      <c r="M566" s="13"/>
      <c r="N566" s="13"/>
      <c r="O566" s="13"/>
      <c r="P566" s="13"/>
      <c r="Q566" s="13"/>
      <c r="R566" s="13"/>
      <c r="S566" s="13"/>
      <c r="T566" s="13"/>
      <c r="U566" s="23"/>
    </row>
    <row r="567" spans="11:21" ht="15.6">
      <c r="K567" s="128"/>
      <c r="L567" s="13"/>
      <c r="M567" s="13"/>
      <c r="N567" s="13"/>
      <c r="O567" s="13"/>
      <c r="P567" s="13"/>
      <c r="Q567" s="13"/>
      <c r="R567" s="13"/>
      <c r="S567" s="13"/>
      <c r="T567" s="13"/>
      <c r="U567" s="23"/>
    </row>
    <row r="568" spans="11:21" ht="15.6">
      <c r="K568" s="128"/>
      <c r="L568" s="13"/>
      <c r="M568" s="13"/>
      <c r="N568" s="13"/>
      <c r="O568" s="13"/>
      <c r="P568" s="13"/>
      <c r="Q568" s="13"/>
      <c r="R568" s="13"/>
      <c r="S568" s="13"/>
      <c r="T568" s="13"/>
      <c r="U568" s="23"/>
    </row>
    <row r="569" spans="11:21" ht="15.6">
      <c r="K569" s="128"/>
      <c r="L569" s="13"/>
      <c r="M569" s="13"/>
      <c r="N569" s="13"/>
      <c r="O569" s="13"/>
      <c r="P569" s="13"/>
      <c r="Q569" s="13"/>
      <c r="R569" s="13"/>
      <c r="S569" s="13"/>
      <c r="T569" s="13"/>
      <c r="U569" s="23"/>
    </row>
    <row r="570" spans="11:21" ht="15.6">
      <c r="K570" s="128"/>
      <c r="L570" s="13"/>
      <c r="M570" s="13"/>
      <c r="N570" s="13"/>
      <c r="O570" s="13"/>
      <c r="P570" s="13"/>
      <c r="Q570" s="13"/>
      <c r="R570" s="13"/>
      <c r="S570" s="13"/>
      <c r="T570" s="13"/>
      <c r="U570" s="23"/>
    </row>
    <row r="571" spans="11:21" ht="15.6">
      <c r="K571" s="128"/>
      <c r="L571" s="13"/>
      <c r="M571" s="13"/>
      <c r="N571" s="13"/>
      <c r="O571" s="13"/>
      <c r="P571" s="13"/>
      <c r="Q571" s="13"/>
      <c r="R571" s="13"/>
      <c r="S571" s="13"/>
      <c r="T571" s="13"/>
      <c r="U571" s="23"/>
    </row>
    <row r="572" spans="11:21" ht="15.6">
      <c r="K572" s="128"/>
      <c r="L572" s="13"/>
      <c r="M572" s="13"/>
      <c r="N572" s="13"/>
      <c r="O572" s="13"/>
      <c r="P572" s="13"/>
      <c r="Q572" s="13"/>
      <c r="R572" s="13"/>
      <c r="S572" s="13"/>
      <c r="T572" s="13"/>
      <c r="U572" s="23"/>
    </row>
    <row r="573" spans="11:21" ht="15.6">
      <c r="K573" s="128"/>
      <c r="L573" s="13"/>
      <c r="M573" s="13"/>
      <c r="N573" s="13"/>
      <c r="O573" s="13"/>
      <c r="P573" s="13"/>
      <c r="Q573" s="13"/>
      <c r="R573" s="13"/>
      <c r="S573" s="13"/>
      <c r="T573" s="13"/>
      <c r="U573" s="23"/>
    </row>
    <row r="574" spans="11:21" ht="15.6">
      <c r="K574" s="128"/>
      <c r="L574" s="13"/>
      <c r="M574" s="13"/>
      <c r="N574" s="13"/>
      <c r="O574" s="13"/>
      <c r="P574" s="13"/>
      <c r="Q574" s="13"/>
      <c r="R574" s="13"/>
      <c r="S574" s="13"/>
      <c r="T574" s="13"/>
      <c r="U574" s="23"/>
    </row>
    <row r="575" spans="11:21" ht="15.6">
      <c r="K575" s="128"/>
      <c r="L575" s="13"/>
      <c r="M575" s="13"/>
      <c r="N575" s="13"/>
      <c r="O575" s="13"/>
      <c r="P575" s="13"/>
      <c r="Q575" s="13"/>
      <c r="R575" s="13"/>
      <c r="S575" s="13"/>
      <c r="T575" s="13"/>
      <c r="U575" s="23"/>
    </row>
    <row r="576" spans="11:21" ht="15.6">
      <c r="K576" s="128"/>
      <c r="L576" s="13"/>
      <c r="M576" s="13"/>
      <c r="N576" s="13"/>
      <c r="O576" s="13"/>
      <c r="P576" s="13"/>
      <c r="Q576" s="13"/>
      <c r="R576" s="13"/>
      <c r="S576" s="13"/>
      <c r="T576" s="13"/>
      <c r="U576" s="23"/>
    </row>
    <row r="577" spans="11:21" ht="15.6">
      <c r="K577" s="128"/>
      <c r="L577" s="13"/>
      <c r="M577" s="13"/>
      <c r="N577" s="13"/>
      <c r="O577" s="13"/>
      <c r="P577" s="13"/>
      <c r="Q577" s="13"/>
      <c r="R577" s="13"/>
      <c r="S577" s="13"/>
      <c r="T577" s="13"/>
      <c r="U577" s="23"/>
    </row>
    <row r="578" spans="11:21" ht="15.6">
      <c r="K578" s="128"/>
      <c r="L578" s="13"/>
      <c r="M578" s="13"/>
      <c r="N578" s="13"/>
      <c r="O578" s="13"/>
      <c r="P578" s="13"/>
      <c r="Q578" s="13"/>
      <c r="R578" s="13"/>
      <c r="S578" s="13"/>
      <c r="T578" s="13"/>
      <c r="U578" s="23"/>
    </row>
    <row r="579" spans="11:21" ht="15.6">
      <c r="K579" s="128"/>
      <c r="L579" s="13"/>
      <c r="M579" s="13"/>
      <c r="N579" s="13"/>
      <c r="O579" s="13"/>
      <c r="P579" s="13"/>
      <c r="Q579" s="13"/>
      <c r="R579" s="13"/>
      <c r="S579" s="13"/>
      <c r="T579" s="13"/>
      <c r="U579" s="23"/>
    </row>
    <row r="580" spans="11:21" ht="15.6">
      <c r="K580" s="128"/>
      <c r="L580" s="13"/>
      <c r="M580" s="13"/>
      <c r="N580" s="13"/>
      <c r="O580" s="13"/>
      <c r="P580" s="13"/>
      <c r="Q580" s="13"/>
      <c r="R580" s="13"/>
      <c r="S580" s="13"/>
      <c r="T580" s="13"/>
      <c r="U580" s="23"/>
    </row>
    <row r="581" spans="11:21" ht="15.6">
      <c r="K581" s="128"/>
      <c r="L581" s="13"/>
      <c r="M581" s="13"/>
      <c r="N581" s="13"/>
      <c r="O581" s="13"/>
      <c r="P581" s="13"/>
      <c r="Q581" s="13"/>
      <c r="R581" s="13"/>
      <c r="S581" s="13"/>
      <c r="T581" s="13"/>
      <c r="U581" s="23"/>
    </row>
    <row r="582" spans="11:21" ht="15.6">
      <c r="K582" s="128"/>
      <c r="L582" s="13"/>
      <c r="M582" s="13"/>
      <c r="N582" s="13"/>
      <c r="O582" s="13"/>
      <c r="P582" s="13"/>
      <c r="Q582" s="13"/>
      <c r="R582" s="13"/>
      <c r="S582" s="13"/>
      <c r="T582" s="13"/>
      <c r="U582" s="23"/>
    </row>
    <row r="583" spans="11:21" ht="15.6">
      <c r="K583" s="128"/>
      <c r="L583" s="13"/>
      <c r="M583" s="13"/>
      <c r="N583" s="13"/>
      <c r="O583" s="13"/>
      <c r="P583" s="13"/>
      <c r="Q583" s="13"/>
      <c r="R583" s="13"/>
      <c r="S583" s="13"/>
      <c r="T583" s="13"/>
      <c r="U583" s="23"/>
    </row>
    <row r="584" spans="11:21" ht="15.6">
      <c r="K584" s="128"/>
      <c r="L584" s="13"/>
      <c r="M584" s="13"/>
      <c r="N584" s="13"/>
      <c r="O584" s="13"/>
      <c r="P584" s="13"/>
      <c r="Q584" s="13"/>
      <c r="R584" s="13"/>
      <c r="S584" s="13"/>
      <c r="T584" s="13"/>
      <c r="U584" s="23"/>
    </row>
    <row r="585" spans="11:21" ht="15.6">
      <c r="K585" s="128"/>
      <c r="L585" s="13"/>
      <c r="M585" s="13"/>
      <c r="N585" s="13"/>
      <c r="O585" s="13"/>
      <c r="P585" s="13"/>
      <c r="Q585" s="13"/>
      <c r="R585" s="13"/>
      <c r="S585" s="13"/>
      <c r="T585" s="13"/>
      <c r="U585" s="23"/>
    </row>
    <row r="586" spans="11:21" ht="15.6">
      <c r="K586" s="128"/>
      <c r="L586" s="13"/>
      <c r="M586" s="13"/>
      <c r="N586" s="13"/>
      <c r="O586" s="13"/>
      <c r="P586" s="13"/>
      <c r="Q586" s="13"/>
      <c r="R586" s="13"/>
      <c r="S586" s="13"/>
      <c r="T586" s="13"/>
      <c r="U586" s="23"/>
    </row>
    <row r="587" spans="11:21" ht="15.6">
      <c r="K587" s="128"/>
      <c r="L587" s="13"/>
      <c r="M587" s="13"/>
      <c r="N587" s="13"/>
      <c r="O587" s="13"/>
      <c r="P587" s="13"/>
      <c r="Q587" s="13"/>
      <c r="R587" s="13"/>
      <c r="S587" s="13"/>
      <c r="T587" s="13"/>
      <c r="U587" s="23"/>
    </row>
    <row r="588" spans="11:21" ht="15.6">
      <c r="K588" s="128"/>
      <c r="L588" s="13"/>
      <c r="M588" s="13"/>
      <c r="N588" s="13"/>
      <c r="O588" s="13"/>
      <c r="P588" s="13"/>
      <c r="Q588" s="13"/>
      <c r="R588" s="13"/>
      <c r="S588" s="13"/>
      <c r="T588" s="13"/>
      <c r="U588" s="23"/>
    </row>
    <row r="589" spans="11:21" ht="15.6">
      <c r="K589" s="128"/>
      <c r="L589" s="13"/>
      <c r="M589" s="13"/>
      <c r="N589" s="13"/>
      <c r="O589" s="13"/>
      <c r="P589" s="13"/>
      <c r="Q589" s="13"/>
      <c r="R589" s="13"/>
      <c r="S589" s="13"/>
      <c r="T589" s="13"/>
      <c r="U589" s="23"/>
    </row>
    <row r="590" spans="11:21" ht="15.6">
      <c r="K590" s="128"/>
      <c r="L590" s="13"/>
      <c r="M590" s="13"/>
      <c r="N590" s="13"/>
      <c r="O590" s="13"/>
      <c r="P590" s="13"/>
      <c r="Q590" s="13"/>
      <c r="R590" s="13"/>
      <c r="S590" s="13"/>
      <c r="T590" s="13"/>
      <c r="U590" s="23"/>
    </row>
    <row r="591" spans="11:21" ht="15.6">
      <c r="K591" s="128"/>
      <c r="L591" s="13"/>
      <c r="M591" s="13"/>
      <c r="N591" s="13"/>
      <c r="O591" s="13"/>
      <c r="P591" s="13"/>
      <c r="Q591" s="13"/>
      <c r="R591" s="13"/>
      <c r="S591" s="13"/>
      <c r="T591" s="13"/>
      <c r="U591" s="23"/>
    </row>
    <row r="592" spans="11:21" ht="15.6">
      <c r="K592" s="128"/>
      <c r="L592" s="13"/>
      <c r="M592" s="13"/>
      <c r="N592" s="13"/>
      <c r="O592" s="13"/>
      <c r="P592" s="13"/>
      <c r="Q592" s="13"/>
      <c r="R592" s="13"/>
      <c r="S592" s="13"/>
      <c r="T592" s="13"/>
      <c r="U592" s="23"/>
    </row>
    <row r="593" spans="11:21" ht="15.6">
      <c r="K593" s="128"/>
      <c r="L593" s="13"/>
      <c r="M593" s="13"/>
      <c r="N593" s="13"/>
      <c r="O593" s="13"/>
      <c r="P593" s="13"/>
      <c r="Q593" s="13"/>
      <c r="R593" s="13"/>
      <c r="S593" s="13"/>
      <c r="T593" s="13"/>
      <c r="U593" s="23"/>
    </row>
    <row r="594" spans="11:21" ht="15.6">
      <c r="K594" s="128"/>
      <c r="L594" s="13"/>
      <c r="M594" s="13"/>
      <c r="N594" s="13"/>
      <c r="O594" s="13"/>
      <c r="P594" s="13"/>
      <c r="Q594" s="13"/>
      <c r="R594" s="13"/>
      <c r="S594" s="13"/>
      <c r="T594" s="13"/>
      <c r="U594" s="23"/>
    </row>
    <row r="595" spans="11:21" ht="15.6">
      <c r="K595" s="128"/>
      <c r="L595" s="13"/>
      <c r="M595" s="13"/>
      <c r="N595" s="13"/>
      <c r="O595" s="13"/>
      <c r="P595" s="13"/>
      <c r="Q595" s="13"/>
      <c r="R595" s="13"/>
      <c r="S595" s="13"/>
      <c r="T595" s="13"/>
      <c r="U595" s="23"/>
    </row>
    <row r="596" spans="11:21" ht="15.6">
      <c r="K596" s="128"/>
      <c r="L596" s="13"/>
      <c r="M596" s="13"/>
      <c r="N596" s="13"/>
      <c r="O596" s="13"/>
      <c r="P596" s="13"/>
      <c r="Q596" s="13"/>
      <c r="R596" s="13"/>
      <c r="S596" s="13"/>
      <c r="T596" s="13"/>
      <c r="U596" s="23"/>
    </row>
    <row r="597" spans="11:21" ht="15.6">
      <c r="K597" s="128"/>
      <c r="L597" s="13"/>
      <c r="M597" s="13"/>
      <c r="N597" s="13"/>
      <c r="O597" s="13"/>
      <c r="P597" s="13"/>
      <c r="Q597" s="13"/>
      <c r="R597" s="13"/>
      <c r="S597" s="13"/>
      <c r="T597" s="13"/>
      <c r="U597" s="23"/>
    </row>
    <row r="598" spans="11:21" ht="15.6">
      <c r="K598" s="128"/>
      <c r="L598" s="13"/>
      <c r="M598" s="13"/>
      <c r="N598" s="13"/>
      <c r="O598" s="13"/>
      <c r="P598" s="13"/>
      <c r="Q598" s="13"/>
      <c r="R598" s="13"/>
      <c r="S598" s="13"/>
      <c r="T598" s="13"/>
      <c r="U598" s="23"/>
    </row>
    <row r="599" spans="11:21" ht="15.6">
      <c r="K599" s="128"/>
      <c r="L599" s="13"/>
      <c r="M599" s="13"/>
      <c r="N599" s="13"/>
      <c r="O599" s="13"/>
      <c r="P599" s="13"/>
      <c r="Q599" s="13"/>
      <c r="R599" s="13"/>
      <c r="S599" s="13"/>
      <c r="T599" s="13"/>
      <c r="U599" s="23"/>
    </row>
    <row r="600" spans="11:21" ht="15.6">
      <c r="K600" s="128"/>
      <c r="L600" s="13"/>
      <c r="M600" s="13"/>
      <c r="N600" s="13"/>
      <c r="O600" s="13"/>
      <c r="P600" s="13"/>
      <c r="Q600" s="13"/>
      <c r="R600" s="13"/>
      <c r="S600" s="13"/>
      <c r="T600" s="13"/>
      <c r="U600" s="23"/>
    </row>
    <row r="601" spans="11:21" ht="15.6">
      <c r="K601" s="128"/>
      <c r="L601" s="13"/>
      <c r="M601" s="13"/>
      <c r="N601" s="13"/>
      <c r="O601" s="13"/>
      <c r="P601" s="13"/>
      <c r="Q601" s="13"/>
      <c r="R601" s="13"/>
      <c r="S601" s="13"/>
      <c r="T601" s="13"/>
      <c r="U601" s="23"/>
    </row>
    <row r="602" spans="11:21" ht="15.6">
      <c r="K602" s="128"/>
      <c r="L602" s="13"/>
      <c r="M602" s="13"/>
      <c r="N602" s="13"/>
      <c r="O602" s="13"/>
      <c r="P602" s="13"/>
      <c r="Q602" s="13"/>
      <c r="R602" s="13"/>
      <c r="S602" s="13"/>
      <c r="T602" s="13"/>
      <c r="U602" s="23"/>
    </row>
    <row r="603" spans="11:21" ht="15.6">
      <c r="K603" s="128"/>
      <c r="L603" s="13"/>
      <c r="M603" s="13"/>
      <c r="N603" s="13"/>
      <c r="O603" s="13"/>
      <c r="P603" s="13"/>
      <c r="Q603" s="13"/>
      <c r="R603" s="13"/>
      <c r="S603" s="13"/>
      <c r="T603" s="13"/>
      <c r="U603" s="23"/>
    </row>
    <row r="604" spans="11:21" ht="15.6">
      <c r="K604" s="128"/>
      <c r="L604" s="13"/>
      <c r="M604" s="13"/>
      <c r="N604" s="13"/>
      <c r="O604" s="13"/>
      <c r="P604" s="13"/>
      <c r="Q604" s="13"/>
      <c r="R604" s="13"/>
      <c r="S604" s="13"/>
      <c r="T604" s="13"/>
      <c r="U604" s="23"/>
    </row>
    <row r="605" spans="11:21" ht="15.6">
      <c r="K605" s="128"/>
      <c r="L605" s="13"/>
      <c r="M605" s="13"/>
      <c r="N605" s="13"/>
      <c r="O605" s="13"/>
      <c r="P605" s="13"/>
      <c r="Q605" s="13"/>
      <c r="R605" s="13"/>
      <c r="S605" s="13"/>
      <c r="T605" s="13"/>
      <c r="U605" s="23"/>
    </row>
    <row r="606" spans="11:21" ht="15.6">
      <c r="K606" s="128"/>
      <c r="L606" s="13"/>
      <c r="M606" s="13"/>
      <c r="N606" s="13"/>
      <c r="O606" s="13"/>
      <c r="P606" s="13"/>
      <c r="Q606" s="13"/>
      <c r="R606" s="13"/>
      <c r="S606" s="13"/>
      <c r="T606" s="13"/>
      <c r="U606" s="23"/>
    </row>
    <row r="607" spans="11:21" ht="15.6">
      <c r="K607" s="128"/>
      <c r="L607" s="13"/>
      <c r="M607" s="13"/>
      <c r="N607" s="13"/>
      <c r="O607" s="13"/>
      <c r="P607" s="13"/>
      <c r="Q607" s="13"/>
      <c r="R607" s="13"/>
      <c r="S607" s="13"/>
      <c r="T607" s="13"/>
      <c r="U607" s="23"/>
    </row>
    <row r="608" spans="11:21" ht="15.6">
      <c r="K608" s="128"/>
      <c r="L608" s="13"/>
      <c r="M608" s="13"/>
      <c r="N608" s="13"/>
      <c r="O608" s="13"/>
      <c r="P608" s="13"/>
      <c r="Q608" s="13"/>
      <c r="R608" s="13"/>
      <c r="S608" s="13"/>
      <c r="T608" s="13"/>
      <c r="U608" s="23"/>
    </row>
    <row r="609" spans="11:21" ht="15.6">
      <c r="K609" s="128"/>
      <c r="L609" s="13"/>
      <c r="M609" s="13"/>
      <c r="N609" s="13"/>
      <c r="O609" s="13"/>
      <c r="P609" s="13"/>
      <c r="Q609" s="13"/>
      <c r="R609" s="13"/>
      <c r="S609" s="13"/>
      <c r="T609" s="13"/>
      <c r="U609" s="23"/>
    </row>
    <row r="610" spans="11:21" ht="15.6">
      <c r="K610" s="128"/>
      <c r="L610" s="13"/>
      <c r="M610" s="13"/>
      <c r="N610" s="13"/>
      <c r="O610" s="13"/>
      <c r="P610" s="13"/>
      <c r="Q610" s="13"/>
      <c r="R610" s="13"/>
      <c r="S610" s="13"/>
      <c r="T610" s="13"/>
      <c r="U610" s="23"/>
    </row>
    <row r="611" spans="11:21" ht="15.6">
      <c r="K611" s="128"/>
      <c r="L611" s="13"/>
      <c r="M611" s="13"/>
      <c r="N611" s="13"/>
      <c r="O611" s="13"/>
      <c r="P611" s="13"/>
      <c r="Q611" s="13"/>
      <c r="R611" s="13"/>
      <c r="S611" s="13"/>
      <c r="T611" s="13"/>
      <c r="U611" s="23"/>
    </row>
    <row r="612" spans="11:21" ht="15.6">
      <c r="K612" s="128"/>
      <c r="L612" s="13"/>
      <c r="M612" s="13"/>
      <c r="N612" s="13"/>
      <c r="O612" s="13"/>
      <c r="P612" s="13"/>
      <c r="Q612" s="13"/>
      <c r="R612" s="13"/>
      <c r="S612" s="13"/>
      <c r="T612" s="13"/>
      <c r="U612" s="23"/>
    </row>
    <row r="613" spans="11:21" ht="15.6">
      <c r="K613" s="128"/>
      <c r="L613" s="13"/>
      <c r="M613" s="13"/>
      <c r="N613" s="13"/>
      <c r="O613" s="13"/>
      <c r="P613" s="13"/>
      <c r="Q613" s="13"/>
      <c r="R613" s="13"/>
      <c r="S613" s="13"/>
      <c r="T613" s="13"/>
      <c r="U613" s="23"/>
    </row>
    <row r="614" spans="11:21" ht="15.6">
      <c r="K614" s="128"/>
      <c r="L614" s="13"/>
      <c r="M614" s="13"/>
      <c r="N614" s="13"/>
      <c r="O614" s="13"/>
      <c r="P614" s="13"/>
      <c r="Q614" s="13"/>
      <c r="R614" s="13"/>
      <c r="S614" s="13"/>
      <c r="T614" s="13"/>
      <c r="U614" s="23"/>
    </row>
    <row r="615" spans="11:21" ht="15.6">
      <c r="K615" s="128"/>
      <c r="L615" s="13"/>
      <c r="M615" s="13"/>
      <c r="N615" s="13"/>
      <c r="O615" s="13"/>
      <c r="P615" s="13"/>
      <c r="Q615" s="13"/>
      <c r="R615" s="13"/>
      <c r="S615" s="13"/>
      <c r="T615" s="13"/>
      <c r="U615" s="23"/>
    </row>
    <row r="616" spans="11:21" ht="15.6">
      <c r="K616" s="128"/>
      <c r="L616" s="13"/>
      <c r="M616" s="13"/>
      <c r="N616" s="13"/>
      <c r="O616" s="13"/>
      <c r="P616" s="13"/>
      <c r="Q616" s="13"/>
      <c r="R616" s="13"/>
      <c r="S616" s="13"/>
      <c r="T616" s="13"/>
      <c r="U616" s="23"/>
    </row>
    <row r="617" spans="11:21" ht="15.6">
      <c r="K617" s="128"/>
      <c r="L617" s="13"/>
      <c r="M617" s="13"/>
      <c r="N617" s="13"/>
      <c r="O617" s="13"/>
      <c r="P617" s="13"/>
      <c r="Q617" s="13"/>
      <c r="R617" s="13"/>
      <c r="S617" s="13"/>
      <c r="T617" s="13"/>
      <c r="U617" s="23"/>
    </row>
    <row r="618" spans="11:21" ht="15.6">
      <c r="K618" s="128"/>
      <c r="L618" s="13"/>
      <c r="M618" s="13"/>
      <c r="N618" s="13"/>
      <c r="O618" s="13"/>
      <c r="P618" s="13"/>
      <c r="Q618" s="13"/>
      <c r="R618" s="13"/>
      <c r="S618" s="13"/>
      <c r="T618" s="13"/>
      <c r="U618" s="23"/>
    </row>
    <row r="619" spans="11:21" ht="15.6">
      <c r="K619" s="128"/>
      <c r="L619" s="13"/>
      <c r="M619" s="13"/>
      <c r="N619" s="13"/>
      <c r="O619" s="13"/>
      <c r="P619" s="13"/>
      <c r="Q619" s="13"/>
      <c r="R619" s="13"/>
      <c r="S619" s="13"/>
      <c r="T619" s="13"/>
      <c r="U619" s="23"/>
    </row>
    <row r="620" spans="11:21" ht="15.6">
      <c r="K620" s="128"/>
      <c r="L620" s="13"/>
      <c r="M620" s="13"/>
      <c r="N620" s="13"/>
      <c r="O620" s="13"/>
      <c r="P620" s="13"/>
      <c r="Q620" s="13"/>
      <c r="R620" s="13"/>
      <c r="S620" s="13"/>
      <c r="T620" s="13"/>
      <c r="U620" s="23"/>
    </row>
    <row r="621" spans="11:21" ht="15.6">
      <c r="K621" s="128"/>
      <c r="L621" s="13"/>
      <c r="M621" s="13"/>
      <c r="N621" s="13"/>
      <c r="O621" s="13"/>
      <c r="P621" s="13"/>
      <c r="Q621" s="13"/>
      <c r="R621" s="13"/>
      <c r="S621" s="13"/>
      <c r="T621" s="13"/>
      <c r="U621" s="23"/>
    </row>
    <row r="622" spans="11:21" ht="15.6">
      <c r="K622" s="128"/>
      <c r="L622" s="13"/>
      <c r="M622" s="13"/>
      <c r="N622" s="13"/>
      <c r="O622" s="13"/>
      <c r="P622" s="13"/>
      <c r="Q622" s="13"/>
      <c r="R622" s="13"/>
      <c r="S622" s="13"/>
      <c r="T622" s="13"/>
      <c r="U622" s="23"/>
    </row>
    <row r="623" spans="11:21" ht="15.6">
      <c r="K623" s="128"/>
      <c r="L623" s="13"/>
      <c r="M623" s="13"/>
      <c r="N623" s="13"/>
      <c r="O623" s="13"/>
      <c r="P623" s="13"/>
      <c r="Q623" s="13"/>
      <c r="R623" s="13"/>
      <c r="S623" s="13"/>
      <c r="T623" s="13"/>
      <c r="U623" s="23"/>
    </row>
    <row r="624" spans="11:21" ht="15.6">
      <c r="K624" s="128"/>
      <c r="L624" s="13"/>
      <c r="M624" s="13"/>
      <c r="N624" s="13"/>
      <c r="O624" s="13"/>
      <c r="P624" s="13"/>
      <c r="Q624" s="13"/>
      <c r="R624" s="13"/>
      <c r="S624" s="13"/>
      <c r="T624" s="13"/>
      <c r="U624" s="23"/>
    </row>
    <row r="625" spans="11:21" ht="15.6">
      <c r="K625" s="128"/>
      <c r="L625" s="13"/>
      <c r="M625" s="13"/>
      <c r="N625" s="13"/>
      <c r="O625" s="13"/>
      <c r="P625" s="13"/>
      <c r="Q625" s="13"/>
      <c r="R625" s="13"/>
      <c r="S625" s="13"/>
      <c r="T625" s="13"/>
      <c r="U625" s="23"/>
    </row>
    <row r="626" spans="11:21" ht="15.6">
      <c r="K626" s="128"/>
      <c r="L626" s="13"/>
      <c r="M626" s="13"/>
      <c r="N626" s="13"/>
      <c r="O626" s="13"/>
      <c r="P626" s="13"/>
      <c r="Q626" s="13"/>
      <c r="R626" s="13"/>
      <c r="S626" s="13"/>
      <c r="T626" s="13"/>
      <c r="U626" s="23"/>
    </row>
    <row r="627" spans="11:21" ht="15.6">
      <c r="K627" s="128"/>
      <c r="L627" s="13"/>
      <c r="M627" s="13"/>
      <c r="N627" s="13"/>
      <c r="O627" s="13"/>
      <c r="P627" s="13"/>
      <c r="Q627" s="13"/>
      <c r="R627" s="13"/>
      <c r="S627" s="13"/>
      <c r="T627" s="13"/>
      <c r="U627" s="23"/>
    </row>
    <row r="628" spans="11:21" ht="15.6">
      <c r="K628" s="128"/>
      <c r="L628" s="13"/>
      <c r="M628" s="13"/>
      <c r="N628" s="13"/>
      <c r="O628" s="13"/>
      <c r="P628" s="13"/>
      <c r="Q628" s="13"/>
      <c r="R628" s="13"/>
      <c r="S628" s="13"/>
      <c r="T628" s="13"/>
      <c r="U628" s="23"/>
    </row>
    <row r="629" spans="11:21" ht="15.6">
      <c r="K629" s="128"/>
      <c r="L629" s="13"/>
      <c r="M629" s="13"/>
      <c r="N629" s="13"/>
      <c r="O629" s="13"/>
      <c r="P629" s="13"/>
      <c r="Q629" s="13"/>
      <c r="R629" s="13"/>
      <c r="S629" s="13"/>
      <c r="T629" s="13"/>
      <c r="U629" s="23"/>
    </row>
    <row r="630" spans="11:21" ht="15.6">
      <c r="K630" s="128"/>
      <c r="L630" s="13"/>
      <c r="M630" s="13"/>
      <c r="N630" s="13"/>
      <c r="O630" s="13"/>
      <c r="P630" s="13"/>
      <c r="Q630" s="13"/>
      <c r="R630" s="13"/>
      <c r="S630" s="13"/>
      <c r="T630" s="13"/>
      <c r="U630" s="23"/>
    </row>
    <row r="631" spans="11:21" ht="15.6">
      <c r="K631" s="128"/>
      <c r="L631" s="13"/>
      <c r="M631" s="13"/>
      <c r="N631" s="13"/>
      <c r="O631" s="13"/>
      <c r="P631" s="13"/>
      <c r="Q631" s="13"/>
      <c r="R631" s="13"/>
      <c r="S631" s="13"/>
      <c r="T631" s="13"/>
      <c r="U631" s="23"/>
    </row>
    <row r="632" spans="11:21" ht="15.6">
      <c r="K632" s="128"/>
      <c r="L632" s="13"/>
      <c r="M632" s="13"/>
      <c r="N632" s="13"/>
      <c r="O632" s="13"/>
      <c r="P632" s="13"/>
      <c r="Q632" s="13"/>
      <c r="R632" s="13"/>
      <c r="S632" s="13"/>
      <c r="T632" s="13"/>
      <c r="U632" s="23"/>
    </row>
    <row r="633" spans="11:21" ht="15.6">
      <c r="K633" s="128"/>
      <c r="L633" s="13"/>
      <c r="M633" s="13"/>
      <c r="N633" s="13"/>
      <c r="O633" s="13"/>
      <c r="P633" s="13"/>
      <c r="Q633" s="13"/>
      <c r="R633" s="13"/>
      <c r="S633" s="13"/>
      <c r="T633" s="13"/>
      <c r="U633" s="23"/>
    </row>
    <row r="634" spans="11:21" ht="15.6">
      <c r="K634" s="128"/>
      <c r="L634" s="13"/>
      <c r="M634" s="13"/>
      <c r="N634" s="13"/>
      <c r="O634" s="13"/>
      <c r="P634" s="13"/>
      <c r="Q634" s="13"/>
      <c r="R634" s="13"/>
      <c r="S634" s="13"/>
      <c r="T634" s="13"/>
      <c r="U634" s="23"/>
    </row>
    <row r="635" spans="11:21" ht="15.6">
      <c r="K635" s="128"/>
      <c r="L635" s="13"/>
      <c r="M635" s="13"/>
      <c r="N635" s="13"/>
      <c r="O635" s="13"/>
      <c r="P635" s="13"/>
      <c r="Q635" s="13"/>
      <c r="R635" s="13"/>
      <c r="S635" s="13"/>
      <c r="T635" s="13"/>
      <c r="U635" s="23"/>
    </row>
    <row r="636" spans="11:21" ht="15.6">
      <c r="K636" s="128"/>
      <c r="L636" s="13"/>
      <c r="M636" s="13"/>
      <c r="N636" s="13"/>
      <c r="O636" s="13"/>
      <c r="P636" s="13"/>
      <c r="Q636" s="13"/>
      <c r="R636" s="13"/>
      <c r="S636" s="13"/>
      <c r="T636" s="13"/>
      <c r="U636" s="23"/>
    </row>
    <row r="637" spans="11:21" ht="15.6">
      <c r="K637" s="128"/>
      <c r="L637" s="13"/>
      <c r="M637" s="13"/>
      <c r="N637" s="13"/>
      <c r="O637" s="13"/>
      <c r="P637" s="13"/>
      <c r="Q637" s="13"/>
      <c r="R637" s="13"/>
      <c r="S637" s="13"/>
      <c r="T637" s="13"/>
      <c r="U637" s="23"/>
    </row>
    <row r="638" spans="11:21" ht="15.6">
      <c r="K638" s="128"/>
      <c r="L638" s="13"/>
      <c r="M638" s="13"/>
      <c r="N638" s="13"/>
      <c r="O638" s="13"/>
      <c r="P638" s="13"/>
      <c r="Q638" s="13"/>
      <c r="R638" s="13"/>
      <c r="S638" s="13"/>
      <c r="T638" s="13"/>
      <c r="U638" s="23"/>
    </row>
    <row r="639" spans="11:21" ht="15.6">
      <c r="K639" s="128"/>
      <c r="L639" s="13"/>
      <c r="M639" s="13"/>
      <c r="N639" s="13"/>
      <c r="O639" s="13"/>
      <c r="P639" s="13"/>
      <c r="Q639" s="13"/>
      <c r="R639" s="13"/>
      <c r="S639" s="13"/>
      <c r="T639" s="13"/>
      <c r="U639" s="23"/>
    </row>
    <row r="640" spans="11:21" ht="15.6">
      <c r="K640" s="128"/>
      <c r="L640" s="13"/>
      <c r="M640" s="13"/>
      <c r="N640" s="13"/>
      <c r="O640" s="13"/>
      <c r="P640" s="13"/>
      <c r="Q640" s="13"/>
      <c r="R640" s="13"/>
      <c r="S640" s="13"/>
      <c r="T640" s="13"/>
      <c r="U640" s="23"/>
    </row>
    <row r="641" spans="11:21" ht="15.6">
      <c r="K641" s="128"/>
      <c r="L641" s="13"/>
      <c r="M641" s="13"/>
      <c r="N641" s="13"/>
      <c r="O641" s="13"/>
      <c r="P641" s="13"/>
      <c r="Q641" s="13"/>
      <c r="R641" s="13"/>
      <c r="S641" s="13"/>
      <c r="T641" s="13"/>
      <c r="U641" s="23"/>
    </row>
    <row r="642" spans="11:21" ht="15.6">
      <c r="K642" s="128"/>
      <c r="L642" s="13"/>
      <c r="M642" s="13"/>
      <c r="N642" s="13"/>
      <c r="O642" s="13"/>
      <c r="P642" s="13"/>
      <c r="Q642" s="13"/>
      <c r="R642" s="13"/>
      <c r="S642" s="13"/>
      <c r="T642" s="13"/>
      <c r="U642" s="23"/>
    </row>
    <row r="643" spans="11:21" ht="15.6">
      <c r="K643" s="128"/>
      <c r="L643" s="13"/>
      <c r="M643" s="13"/>
      <c r="N643" s="13"/>
      <c r="O643" s="13"/>
      <c r="P643" s="13"/>
      <c r="Q643" s="13"/>
      <c r="R643" s="13"/>
      <c r="S643" s="13"/>
      <c r="T643" s="13"/>
      <c r="U643" s="23"/>
    </row>
    <row r="644" spans="11:21" ht="15.6">
      <c r="K644" s="128"/>
      <c r="L644" s="13"/>
      <c r="M644" s="13"/>
      <c r="N644" s="13"/>
      <c r="O644" s="13"/>
      <c r="P644" s="13"/>
      <c r="Q644" s="13"/>
      <c r="R644" s="13"/>
      <c r="S644" s="13"/>
      <c r="T644" s="13"/>
      <c r="U644" s="23"/>
    </row>
    <row r="645" spans="11:21" ht="15.6">
      <c r="K645" s="128"/>
      <c r="L645" s="13"/>
      <c r="M645" s="13"/>
      <c r="N645" s="13"/>
      <c r="O645" s="13"/>
      <c r="P645" s="13"/>
      <c r="Q645" s="13"/>
      <c r="R645" s="13"/>
      <c r="S645" s="13"/>
      <c r="T645" s="13"/>
      <c r="U645" s="23"/>
    </row>
    <row r="646" spans="11:21" ht="15.6">
      <c r="K646" s="128"/>
      <c r="L646" s="13"/>
      <c r="M646" s="13"/>
      <c r="N646" s="13"/>
      <c r="O646" s="13"/>
      <c r="P646" s="13"/>
      <c r="Q646" s="13"/>
      <c r="R646" s="13"/>
      <c r="S646" s="13"/>
      <c r="T646" s="13"/>
      <c r="U646" s="23"/>
    </row>
    <row r="647" spans="11:21" ht="15.6">
      <c r="K647" s="128"/>
      <c r="L647" s="13"/>
      <c r="M647" s="13"/>
      <c r="N647" s="13"/>
      <c r="O647" s="13"/>
      <c r="P647" s="13"/>
      <c r="Q647" s="13"/>
      <c r="R647" s="13"/>
      <c r="S647" s="13"/>
      <c r="T647" s="13"/>
      <c r="U647" s="23"/>
    </row>
    <row r="648" spans="11:21" ht="15.6">
      <c r="K648" s="128"/>
      <c r="L648" s="13"/>
      <c r="M648" s="13"/>
      <c r="N648" s="13"/>
      <c r="O648" s="13"/>
      <c r="P648" s="13"/>
      <c r="Q648" s="13"/>
      <c r="R648" s="13"/>
      <c r="S648" s="13"/>
      <c r="T648" s="13"/>
      <c r="U648" s="23"/>
    </row>
    <row r="649" spans="11:21" ht="15.6">
      <c r="K649" s="128"/>
      <c r="L649" s="13"/>
      <c r="M649" s="13"/>
      <c r="N649" s="13"/>
      <c r="O649" s="13"/>
      <c r="P649" s="13"/>
      <c r="Q649" s="13"/>
      <c r="R649" s="13"/>
      <c r="S649" s="13"/>
      <c r="T649" s="13"/>
      <c r="U649" s="23"/>
    </row>
    <row r="650" spans="11:21" ht="15.6">
      <c r="K650" s="128"/>
      <c r="L650" s="13"/>
      <c r="M650" s="13"/>
      <c r="N650" s="13"/>
      <c r="O650" s="13"/>
      <c r="P650" s="13"/>
      <c r="Q650" s="13"/>
      <c r="R650" s="13"/>
      <c r="S650" s="13"/>
      <c r="T650" s="13"/>
      <c r="U650" s="23"/>
    </row>
    <row r="651" spans="11:21" ht="15.6">
      <c r="K651" s="128"/>
      <c r="L651" s="13"/>
      <c r="M651" s="13"/>
      <c r="N651" s="13"/>
      <c r="O651" s="13"/>
      <c r="P651" s="13"/>
      <c r="Q651" s="13"/>
      <c r="R651" s="13"/>
      <c r="S651" s="13"/>
      <c r="T651" s="13"/>
      <c r="U651" s="23"/>
    </row>
    <row r="652" spans="11:21" ht="15.6">
      <c r="K652" s="128"/>
      <c r="L652" s="13"/>
      <c r="M652" s="13"/>
      <c r="N652" s="13"/>
      <c r="O652" s="13"/>
      <c r="P652" s="13"/>
      <c r="Q652" s="13"/>
      <c r="R652" s="13"/>
      <c r="S652" s="13"/>
      <c r="T652" s="13"/>
      <c r="U652" s="23"/>
    </row>
    <row r="653" spans="11:21" ht="15.6">
      <c r="K653" s="128"/>
      <c r="L653" s="13"/>
      <c r="M653" s="13"/>
      <c r="N653" s="13"/>
      <c r="O653" s="13"/>
      <c r="P653" s="13"/>
      <c r="Q653" s="13"/>
      <c r="R653" s="13"/>
      <c r="S653" s="13"/>
      <c r="T653" s="13"/>
      <c r="U653" s="23"/>
    </row>
    <row r="654" spans="11:21" ht="15.6">
      <c r="K654" s="128"/>
      <c r="L654" s="13"/>
      <c r="M654" s="13"/>
      <c r="N654" s="13"/>
      <c r="O654" s="13"/>
      <c r="P654" s="13"/>
      <c r="Q654" s="13"/>
      <c r="R654" s="13"/>
      <c r="S654" s="13"/>
      <c r="T654" s="13"/>
      <c r="U654" s="23"/>
    </row>
    <row r="655" spans="11:21" ht="15.6">
      <c r="K655" s="128"/>
      <c r="L655" s="13"/>
      <c r="M655" s="13"/>
      <c r="N655" s="13"/>
      <c r="O655" s="13"/>
      <c r="P655" s="13"/>
      <c r="Q655" s="13"/>
      <c r="R655" s="13"/>
      <c r="S655" s="13"/>
      <c r="T655" s="13"/>
      <c r="U655" s="23"/>
    </row>
    <row r="656" spans="11:21" ht="15.6">
      <c r="K656" s="128"/>
      <c r="L656" s="13"/>
      <c r="M656" s="13"/>
      <c r="N656" s="13"/>
      <c r="O656" s="13"/>
      <c r="P656" s="13"/>
      <c r="Q656" s="13"/>
      <c r="R656" s="13"/>
      <c r="S656" s="13"/>
      <c r="T656" s="13"/>
      <c r="U656" s="23"/>
    </row>
    <row r="657" spans="11:21" ht="15.6">
      <c r="K657" s="128"/>
      <c r="L657" s="13"/>
      <c r="M657" s="13"/>
      <c r="N657" s="13"/>
      <c r="O657" s="13"/>
      <c r="P657" s="13"/>
      <c r="Q657" s="13"/>
      <c r="R657" s="13"/>
      <c r="S657" s="13"/>
      <c r="T657" s="13"/>
      <c r="U657" s="23"/>
    </row>
    <row r="658" spans="11:21" ht="15.6">
      <c r="K658" s="128"/>
      <c r="L658" s="13"/>
      <c r="M658" s="13"/>
      <c r="N658" s="13"/>
      <c r="O658" s="13"/>
      <c r="P658" s="13"/>
      <c r="Q658" s="13"/>
      <c r="R658" s="13"/>
      <c r="S658" s="13"/>
      <c r="T658" s="13"/>
      <c r="U658" s="23"/>
    </row>
    <row r="659" spans="11:21" ht="15.6">
      <c r="K659" s="128"/>
      <c r="L659" s="13"/>
      <c r="M659" s="13"/>
      <c r="N659" s="13"/>
      <c r="O659" s="13"/>
      <c r="P659" s="13"/>
      <c r="Q659" s="13"/>
      <c r="R659" s="13"/>
      <c r="S659" s="13"/>
      <c r="T659" s="13"/>
      <c r="U659" s="23"/>
    </row>
    <row r="660" spans="11:21" ht="15.6">
      <c r="K660" s="128"/>
      <c r="L660" s="13"/>
      <c r="M660" s="13"/>
      <c r="N660" s="13"/>
      <c r="O660" s="13"/>
      <c r="P660" s="13"/>
      <c r="Q660" s="13"/>
      <c r="R660" s="13"/>
      <c r="S660" s="13"/>
      <c r="T660" s="13"/>
      <c r="U660" s="23"/>
    </row>
    <row r="661" spans="11:21" ht="15.6">
      <c r="K661" s="128"/>
      <c r="L661" s="13"/>
      <c r="M661" s="13"/>
      <c r="N661" s="13"/>
      <c r="O661" s="13"/>
      <c r="P661" s="13"/>
      <c r="Q661" s="13"/>
      <c r="R661" s="13"/>
      <c r="S661" s="13"/>
      <c r="T661" s="13"/>
      <c r="U661" s="23"/>
    </row>
    <row r="662" spans="11:21" ht="15.6">
      <c r="K662" s="128"/>
      <c r="L662" s="13"/>
      <c r="M662" s="13"/>
      <c r="N662" s="13"/>
      <c r="O662" s="13"/>
      <c r="P662" s="13"/>
      <c r="Q662" s="13"/>
      <c r="R662" s="13"/>
      <c r="S662" s="13"/>
      <c r="T662" s="13"/>
      <c r="U662" s="23"/>
    </row>
    <row r="663" spans="11:21" ht="15.6">
      <c r="K663" s="128"/>
      <c r="L663" s="13"/>
      <c r="M663" s="13"/>
      <c r="N663" s="13"/>
      <c r="O663" s="13"/>
      <c r="P663" s="13"/>
      <c r="Q663" s="13"/>
      <c r="R663" s="13"/>
      <c r="S663" s="13"/>
      <c r="T663" s="13"/>
      <c r="U663" s="23"/>
    </row>
    <row r="664" spans="11:21" ht="15.6">
      <c r="K664" s="128"/>
      <c r="L664" s="13"/>
      <c r="M664" s="13"/>
      <c r="N664" s="13"/>
      <c r="O664" s="13"/>
      <c r="P664" s="13"/>
      <c r="Q664" s="13"/>
      <c r="R664" s="13"/>
      <c r="S664" s="13"/>
      <c r="T664" s="13"/>
      <c r="U664" s="23"/>
    </row>
    <row r="665" spans="11:21" ht="15.6">
      <c r="K665" s="128"/>
      <c r="L665" s="13"/>
      <c r="M665" s="13"/>
      <c r="N665" s="13"/>
      <c r="O665" s="13"/>
      <c r="P665" s="13"/>
      <c r="Q665" s="13"/>
      <c r="R665" s="13"/>
      <c r="S665" s="13"/>
      <c r="T665" s="13"/>
      <c r="U665" s="23"/>
    </row>
    <row r="666" spans="11:21" ht="15.6">
      <c r="K666" s="128"/>
      <c r="L666" s="13"/>
      <c r="M666" s="13"/>
      <c r="N666" s="13"/>
      <c r="O666" s="13"/>
      <c r="P666" s="13"/>
      <c r="Q666" s="13"/>
      <c r="R666" s="13"/>
      <c r="S666" s="13"/>
      <c r="T666" s="13"/>
      <c r="U666" s="23"/>
    </row>
    <row r="667" spans="11:21" ht="15.6">
      <c r="K667" s="128"/>
      <c r="L667" s="13"/>
      <c r="M667" s="13"/>
      <c r="N667" s="13"/>
      <c r="O667" s="13"/>
      <c r="P667" s="13"/>
      <c r="Q667" s="13"/>
      <c r="R667" s="13"/>
      <c r="S667" s="13"/>
      <c r="T667" s="13"/>
      <c r="U667" s="23"/>
    </row>
    <row r="668" spans="11:21" ht="15.6">
      <c r="K668" s="128"/>
      <c r="L668" s="13"/>
      <c r="M668" s="13"/>
      <c r="N668" s="13"/>
      <c r="O668" s="13"/>
      <c r="P668" s="13"/>
      <c r="Q668" s="13"/>
      <c r="R668" s="13"/>
      <c r="S668" s="13"/>
      <c r="T668" s="13"/>
      <c r="U668" s="23"/>
    </row>
    <row r="669" spans="11:21" ht="15.6">
      <c r="K669" s="128"/>
      <c r="L669" s="13"/>
      <c r="M669" s="13"/>
      <c r="N669" s="13"/>
      <c r="O669" s="13"/>
      <c r="P669" s="13"/>
      <c r="Q669" s="13"/>
      <c r="R669" s="13"/>
      <c r="S669" s="13"/>
      <c r="T669" s="13"/>
      <c r="U669" s="23"/>
    </row>
    <row r="670" spans="11:21" ht="15.6">
      <c r="K670" s="128"/>
      <c r="L670" s="13"/>
      <c r="M670" s="13"/>
      <c r="N670" s="13"/>
      <c r="O670" s="13"/>
      <c r="P670" s="13"/>
      <c r="Q670" s="13"/>
      <c r="R670" s="13"/>
      <c r="S670" s="13"/>
      <c r="T670" s="13"/>
      <c r="U670" s="23"/>
    </row>
    <row r="671" spans="11:21" ht="15.6">
      <c r="K671" s="128"/>
      <c r="L671" s="13"/>
      <c r="M671" s="13"/>
      <c r="N671" s="13"/>
      <c r="O671" s="13"/>
      <c r="P671" s="13"/>
      <c r="Q671" s="13"/>
      <c r="R671" s="13"/>
      <c r="S671" s="13"/>
      <c r="T671" s="13"/>
      <c r="U671" s="23"/>
    </row>
    <row r="672" spans="11:21" ht="15.6">
      <c r="K672" s="128"/>
      <c r="L672" s="13"/>
      <c r="M672" s="13"/>
      <c r="N672" s="13"/>
      <c r="O672" s="13"/>
      <c r="P672" s="13"/>
      <c r="Q672" s="13"/>
      <c r="R672" s="13"/>
      <c r="S672" s="13"/>
      <c r="T672" s="13"/>
      <c r="U672" s="23"/>
    </row>
    <row r="673" spans="11:21" ht="15.6">
      <c r="K673" s="128"/>
      <c r="L673" s="13"/>
      <c r="M673" s="13"/>
      <c r="N673" s="13"/>
      <c r="O673" s="13"/>
      <c r="P673" s="13"/>
      <c r="Q673" s="13"/>
      <c r="R673" s="13"/>
      <c r="S673" s="13"/>
      <c r="T673" s="13"/>
      <c r="U673" s="23"/>
    </row>
    <row r="674" spans="11:21" ht="15.6">
      <c r="K674" s="128"/>
      <c r="L674" s="13"/>
      <c r="M674" s="13"/>
      <c r="N674" s="13"/>
      <c r="O674" s="13"/>
      <c r="P674" s="13"/>
      <c r="Q674" s="13"/>
      <c r="R674" s="13"/>
      <c r="S674" s="13"/>
      <c r="T674" s="13"/>
      <c r="U674" s="23"/>
    </row>
    <row r="675" spans="11:21" ht="15.6">
      <c r="K675" s="128"/>
      <c r="L675" s="13"/>
      <c r="M675" s="13"/>
      <c r="N675" s="13"/>
      <c r="O675" s="13"/>
      <c r="P675" s="13"/>
      <c r="Q675" s="13"/>
      <c r="R675" s="13"/>
      <c r="S675" s="13"/>
      <c r="T675" s="13"/>
      <c r="U675" s="23"/>
    </row>
    <row r="676" spans="11:21" ht="15.6">
      <c r="K676" s="128"/>
      <c r="L676" s="13"/>
      <c r="M676" s="13"/>
      <c r="N676" s="13"/>
      <c r="O676" s="13"/>
      <c r="P676" s="13"/>
      <c r="Q676" s="13"/>
      <c r="R676" s="13"/>
      <c r="S676" s="13"/>
      <c r="T676" s="13"/>
      <c r="U676" s="23"/>
    </row>
    <row r="677" spans="11:21" ht="15.6">
      <c r="K677" s="128"/>
      <c r="L677" s="13"/>
      <c r="M677" s="13"/>
      <c r="N677" s="13"/>
      <c r="O677" s="13"/>
      <c r="P677" s="13"/>
      <c r="Q677" s="13"/>
      <c r="R677" s="13"/>
      <c r="S677" s="13"/>
      <c r="T677" s="13"/>
      <c r="U677" s="23"/>
    </row>
    <row r="678" spans="11:21" ht="15.6">
      <c r="K678" s="128"/>
      <c r="L678" s="13"/>
      <c r="M678" s="13"/>
      <c r="N678" s="13"/>
      <c r="O678" s="13"/>
      <c r="P678" s="13"/>
      <c r="Q678" s="13"/>
      <c r="R678" s="13"/>
      <c r="S678" s="13"/>
      <c r="T678" s="13"/>
      <c r="U678" s="23"/>
    </row>
    <row r="679" spans="11:21" ht="15.6">
      <c r="K679" s="128"/>
      <c r="L679" s="13"/>
      <c r="M679" s="13"/>
      <c r="N679" s="13"/>
      <c r="O679" s="13"/>
      <c r="P679" s="13"/>
      <c r="Q679" s="13"/>
      <c r="R679" s="13"/>
      <c r="S679" s="13"/>
      <c r="T679" s="13"/>
      <c r="U679" s="23"/>
    </row>
    <row r="680" spans="11:21" ht="15.6">
      <c r="K680" s="128"/>
      <c r="L680" s="13"/>
      <c r="M680" s="13"/>
      <c r="N680" s="13"/>
      <c r="O680" s="13"/>
      <c r="P680" s="13"/>
      <c r="Q680" s="13"/>
      <c r="R680" s="13"/>
      <c r="S680" s="13"/>
      <c r="T680" s="13"/>
      <c r="U680" s="23"/>
    </row>
    <row r="681" spans="11:21" ht="15.6">
      <c r="K681" s="128"/>
      <c r="L681" s="13"/>
      <c r="M681" s="13"/>
      <c r="N681" s="13"/>
      <c r="O681" s="13"/>
      <c r="P681" s="13"/>
      <c r="Q681" s="13"/>
      <c r="R681" s="13"/>
      <c r="S681" s="13"/>
      <c r="T681" s="13"/>
      <c r="U681" s="23"/>
    </row>
    <row r="682" spans="11:21" ht="15.6">
      <c r="K682" s="128"/>
      <c r="L682" s="13"/>
      <c r="M682" s="13"/>
      <c r="N682" s="13"/>
      <c r="O682" s="13"/>
      <c r="P682" s="13"/>
      <c r="Q682" s="13"/>
      <c r="R682" s="13"/>
      <c r="S682" s="13"/>
      <c r="T682" s="13"/>
      <c r="U682" s="23"/>
    </row>
    <row r="683" spans="11:21" ht="15.6">
      <c r="K683" s="128"/>
      <c r="L683" s="13"/>
      <c r="M683" s="13"/>
      <c r="N683" s="13"/>
      <c r="O683" s="13"/>
      <c r="P683" s="13"/>
      <c r="Q683" s="13"/>
      <c r="R683" s="13"/>
      <c r="S683" s="13"/>
      <c r="T683" s="13"/>
      <c r="U683" s="23"/>
    </row>
    <row r="684" spans="11:21" ht="15.6">
      <c r="K684" s="128"/>
      <c r="L684" s="13"/>
      <c r="M684" s="13"/>
      <c r="N684" s="13"/>
      <c r="O684" s="13"/>
      <c r="P684" s="13"/>
      <c r="Q684" s="13"/>
      <c r="R684" s="13"/>
      <c r="S684" s="13"/>
      <c r="T684" s="13"/>
      <c r="U684" s="23"/>
    </row>
    <row r="685" spans="11:21" ht="15.6">
      <c r="K685" s="128"/>
      <c r="L685" s="13"/>
      <c r="M685" s="13"/>
      <c r="N685" s="13"/>
      <c r="O685" s="13"/>
      <c r="P685" s="13"/>
      <c r="Q685" s="13"/>
      <c r="R685" s="13"/>
      <c r="S685" s="13"/>
      <c r="T685" s="13"/>
      <c r="U685" s="23"/>
    </row>
    <row r="686" spans="11:21" ht="15.6">
      <c r="K686" s="128"/>
      <c r="L686" s="13"/>
      <c r="M686" s="13"/>
      <c r="N686" s="13"/>
      <c r="O686" s="13"/>
      <c r="P686" s="13"/>
      <c r="Q686" s="13"/>
      <c r="R686" s="13"/>
      <c r="S686" s="13"/>
      <c r="T686" s="13"/>
      <c r="U686" s="23"/>
    </row>
    <row r="687" spans="11:21" ht="15.6">
      <c r="K687" s="128"/>
      <c r="L687" s="13"/>
      <c r="M687" s="13"/>
      <c r="N687" s="13"/>
      <c r="O687" s="13"/>
      <c r="P687" s="13"/>
      <c r="Q687" s="13"/>
      <c r="R687" s="13"/>
      <c r="S687" s="13"/>
      <c r="T687" s="13"/>
      <c r="U687" s="23"/>
    </row>
    <row r="688" spans="11:21" ht="15.6">
      <c r="K688" s="128"/>
      <c r="L688" s="13"/>
      <c r="M688" s="13"/>
      <c r="N688" s="13"/>
      <c r="O688" s="13"/>
      <c r="P688" s="13"/>
      <c r="Q688" s="13"/>
      <c r="R688" s="13"/>
      <c r="S688" s="13"/>
      <c r="T688" s="13"/>
      <c r="U688" s="23"/>
    </row>
    <row r="689" spans="11:21" ht="15.6">
      <c r="K689" s="128"/>
      <c r="L689" s="13"/>
      <c r="M689" s="13"/>
      <c r="N689" s="13"/>
      <c r="O689" s="13"/>
      <c r="P689" s="13"/>
      <c r="Q689" s="13"/>
      <c r="R689" s="13"/>
      <c r="S689" s="13"/>
      <c r="T689" s="13"/>
      <c r="U689" s="23"/>
    </row>
    <row r="690" spans="11:21" ht="15.6">
      <c r="K690" s="128"/>
      <c r="L690" s="13"/>
      <c r="M690" s="13"/>
      <c r="N690" s="13"/>
      <c r="O690" s="13"/>
      <c r="P690" s="13"/>
      <c r="Q690" s="13"/>
      <c r="R690" s="13"/>
      <c r="S690" s="13"/>
      <c r="T690" s="13"/>
      <c r="U690" s="23"/>
    </row>
    <row r="691" spans="11:21" ht="15.6">
      <c r="K691" s="128"/>
      <c r="L691" s="13"/>
      <c r="M691" s="13"/>
      <c r="N691" s="13"/>
      <c r="O691" s="13"/>
      <c r="P691" s="13"/>
      <c r="Q691" s="13"/>
      <c r="R691" s="13"/>
      <c r="S691" s="13"/>
      <c r="T691" s="13"/>
      <c r="U691" s="23"/>
    </row>
    <row r="692" spans="11:21" ht="15.6">
      <c r="K692" s="128"/>
      <c r="L692" s="13"/>
      <c r="M692" s="13"/>
      <c r="N692" s="13"/>
      <c r="O692" s="13"/>
      <c r="P692" s="13"/>
      <c r="Q692" s="13"/>
      <c r="R692" s="13"/>
      <c r="S692" s="13"/>
      <c r="T692" s="13"/>
      <c r="U692" s="23"/>
    </row>
    <row r="693" spans="11:21" ht="15.6">
      <c r="K693" s="128"/>
      <c r="L693" s="13"/>
      <c r="M693" s="13"/>
      <c r="N693" s="13"/>
      <c r="O693" s="13"/>
      <c r="P693" s="13"/>
      <c r="Q693" s="13"/>
      <c r="R693" s="13"/>
      <c r="S693" s="13"/>
      <c r="T693" s="13"/>
      <c r="U693" s="23"/>
    </row>
    <row r="694" spans="11:21" ht="15.6">
      <c r="K694" s="128"/>
      <c r="L694" s="13"/>
      <c r="M694" s="13"/>
      <c r="N694" s="13"/>
      <c r="O694" s="13"/>
      <c r="P694" s="13"/>
      <c r="Q694" s="13"/>
      <c r="R694" s="13"/>
      <c r="S694" s="13"/>
      <c r="T694" s="13"/>
      <c r="U694" s="23"/>
    </row>
    <row r="695" spans="11:21" ht="15.6">
      <c r="K695" s="128"/>
      <c r="L695" s="13"/>
      <c r="M695" s="13"/>
      <c r="N695" s="13"/>
      <c r="O695" s="13"/>
      <c r="P695" s="13"/>
      <c r="Q695" s="13"/>
      <c r="R695" s="13"/>
      <c r="S695" s="13"/>
      <c r="T695" s="13"/>
      <c r="U695" s="23"/>
    </row>
    <row r="696" spans="11:21" ht="15.6">
      <c r="K696" s="128"/>
      <c r="L696" s="13"/>
      <c r="M696" s="13"/>
      <c r="N696" s="13"/>
      <c r="O696" s="13"/>
      <c r="P696" s="13"/>
      <c r="Q696" s="13"/>
      <c r="R696" s="13"/>
      <c r="S696" s="13"/>
      <c r="T696" s="13"/>
      <c r="U696" s="23"/>
    </row>
    <row r="697" spans="11:21" ht="15.6">
      <c r="K697" s="128"/>
      <c r="L697" s="13"/>
      <c r="M697" s="13"/>
      <c r="N697" s="13"/>
      <c r="O697" s="13"/>
      <c r="P697" s="13"/>
      <c r="Q697" s="13"/>
      <c r="R697" s="13"/>
      <c r="S697" s="13"/>
      <c r="T697" s="13"/>
      <c r="U697" s="23"/>
    </row>
    <row r="698" spans="11:21" ht="15.6">
      <c r="K698" s="128"/>
      <c r="L698" s="13"/>
      <c r="M698" s="13"/>
      <c r="N698" s="13"/>
      <c r="O698" s="13"/>
      <c r="P698" s="13"/>
      <c r="Q698" s="13"/>
      <c r="R698" s="13"/>
      <c r="S698" s="13"/>
      <c r="T698" s="13"/>
      <c r="U698" s="23"/>
    </row>
    <row r="699" spans="11:21" ht="15.6">
      <c r="K699" s="128"/>
      <c r="L699" s="13"/>
      <c r="M699" s="13"/>
      <c r="N699" s="13"/>
      <c r="O699" s="13"/>
      <c r="P699" s="13"/>
      <c r="Q699" s="13"/>
      <c r="R699" s="13"/>
      <c r="S699" s="13"/>
      <c r="T699" s="13"/>
      <c r="U699" s="23"/>
    </row>
    <row r="700" spans="11:21" ht="15.6">
      <c r="K700" s="128"/>
      <c r="L700" s="13"/>
      <c r="M700" s="13"/>
      <c r="N700" s="13"/>
      <c r="O700" s="13"/>
      <c r="P700" s="13"/>
      <c r="Q700" s="13"/>
      <c r="R700" s="13"/>
      <c r="S700" s="13"/>
      <c r="T700" s="13"/>
      <c r="U700" s="23"/>
    </row>
    <row r="701" spans="11:21" ht="15.6">
      <c r="K701" s="128"/>
      <c r="L701" s="13"/>
      <c r="M701" s="13"/>
      <c r="N701" s="13"/>
      <c r="O701" s="13"/>
      <c r="P701" s="13"/>
      <c r="Q701" s="13"/>
      <c r="R701" s="13"/>
      <c r="S701" s="13"/>
      <c r="T701" s="13"/>
      <c r="U701" s="23"/>
    </row>
    <row r="702" spans="11:21" ht="15.6">
      <c r="K702" s="128"/>
      <c r="L702" s="13"/>
      <c r="M702" s="13"/>
      <c r="N702" s="13"/>
      <c r="O702" s="13"/>
      <c r="P702" s="13"/>
      <c r="Q702" s="13"/>
      <c r="R702" s="13"/>
      <c r="S702" s="13"/>
      <c r="T702" s="13"/>
      <c r="U702" s="23"/>
    </row>
    <row r="703" spans="11:21" ht="15.6">
      <c r="K703" s="128"/>
      <c r="L703" s="13"/>
      <c r="M703" s="13"/>
      <c r="N703" s="13"/>
      <c r="O703" s="13"/>
      <c r="P703" s="13"/>
      <c r="Q703" s="13"/>
      <c r="R703" s="13"/>
      <c r="S703" s="13"/>
      <c r="T703" s="13"/>
      <c r="U703" s="23"/>
    </row>
    <row r="704" spans="11:21" ht="15.6">
      <c r="K704" s="128"/>
      <c r="L704" s="13"/>
      <c r="M704" s="13"/>
      <c r="N704" s="13"/>
      <c r="O704" s="13"/>
      <c r="P704" s="13"/>
      <c r="Q704" s="13"/>
      <c r="R704" s="13"/>
      <c r="S704" s="13"/>
      <c r="T704" s="13"/>
      <c r="U704" s="23"/>
    </row>
    <row r="705" spans="11:21" ht="15.6">
      <c r="K705" s="128"/>
      <c r="L705" s="13"/>
      <c r="M705" s="13"/>
      <c r="N705" s="13"/>
      <c r="O705" s="13"/>
      <c r="P705" s="13"/>
      <c r="Q705" s="13"/>
      <c r="R705" s="13"/>
      <c r="S705" s="13"/>
      <c r="T705" s="13"/>
      <c r="U705" s="23"/>
    </row>
    <row r="706" spans="11:21" ht="15.6">
      <c r="K706" s="128"/>
      <c r="L706" s="13"/>
      <c r="M706" s="13"/>
      <c r="N706" s="13"/>
      <c r="O706" s="13"/>
      <c r="P706" s="13"/>
      <c r="Q706" s="13"/>
      <c r="R706" s="13"/>
      <c r="S706" s="13"/>
      <c r="T706" s="13"/>
      <c r="U706" s="23"/>
    </row>
    <row r="707" spans="11:21" ht="15.6">
      <c r="K707" s="128"/>
      <c r="L707" s="13"/>
      <c r="M707" s="13"/>
      <c r="N707" s="13"/>
      <c r="O707" s="13"/>
      <c r="P707" s="13"/>
      <c r="Q707" s="13"/>
      <c r="R707" s="13"/>
      <c r="S707" s="13"/>
      <c r="T707" s="13"/>
      <c r="U707" s="23"/>
    </row>
    <row r="708" spans="11:21" ht="15.6">
      <c r="K708" s="128"/>
      <c r="L708" s="13"/>
      <c r="M708" s="13"/>
      <c r="N708" s="13"/>
      <c r="O708" s="13"/>
      <c r="P708" s="13"/>
      <c r="Q708" s="13"/>
      <c r="R708" s="13"/>
      <c r="S708" s="13"/>
      <c r="T708" s="13"/>
      <c r="U708" s="23"/>
    </row>
    <row r="709" spans="11:21" ht="15.6">
      <c r="K709" s="128"/>
      <c r="L709" s="13"/>
      <c r="M709" s="13"/>
      <c r="N709" s="13"/>
      <c r="O709" s="13"/>
      <c r="P709" s="13"/>
      <c r="Q709" s="13"/>
      <c r="R709" s="13"/>
      <c r="S709" s="13"/>
      <c r="T709" s="13"/>
      <c r="U709" s="23"/>
    </row>
    <row r="710" spans="11:21" ht="15.6">
      <c r="K710" s="128"/>
      <c r="L710" s="13"/>
      <c r="M710" s="13"/>
      <c r="N710" s="13"/>
      <c r="O710" s="13"/>
      <c r="P710" s="13"/>
      <c r="Q710" s="13"/>
      <c r="R710" s="13"/>
      <c r="S710" s="13"/>
      <c r="T710" s="13"/>
      <c r="U710" s="23"/>
    </row>
    <row r="711" spans="11:21" ht="15.6">
      <c r="K711" s="128"/>
      <c r="L711" s="13"/>
      <c r="M711" s="13"/>
      <c r="N711" s="13"/>
      <c r="O711" s="13"/>
      <c r="P711" s="13"/>
      <c r="Q711" s="13"/>
      <c r="R711" s="13"/>
      <c r="S711" s="13"/>
      <c r="T711" s="13"/>
      <c r="U711" s="23"/>
    </row>
    <row r="712" spans="11:21" ht="15.6">
      <c r="K712" s="128"/>
      <c r="L712" s="13"/>
      <c r="M712" s="13"/>
      <c r="N712" s="13"/>
      <c r="O712" s="13"/>
      <c r="P712" s="13"/>
      <c r="Q712" s="13"/>
      <c r="R712" s="13"/>
      <c r="S712" s="13"/>
      <c r="T712" s="13"/>
      <c r="U712" s="23"/>
    </row>
    <row r="713" spans="11:21" ht="15.6">
      <c r="K713" s="128"/>
      <c r="L713" s="13"/>
      <c r="M713" s="13"/>
      <c r="N713" s="13"/>
      <c r="O713" s="13"/>
      <c r="P713" s="13"/>
      <c r="Q713" s="13"/>
      <c r="R713" s="13"/>
      <c r="S713" s="13"/>
      <c r="T713" s="13"/>
      <c r="U713" s="23"/>
    </row>
    <row r="714" spans="11:21" ht="15.6">
      <c r="K714" s="128"/>
      <c r="L714" s="13"/>
      <c r="M714" s="13"/>
      <c r="N714" s="13"/>
      <c r="O714" s="13"/>
      <c r="P714" s="13"/>
      <c r="Q714" s="13"/>
      <c r="R714" s="13"/>
      <c r="S714" s="13"/>
      <c r="T714" s="13"/>
      <c r="U714" s="23"/>
    </row>
    <row r="715" spans="11:21" ht="15.6">
      <c r="K715" s="128"/>
      <c r="L715" s="13"/>
      <c r="M715" s="13"/>
      <c r="N715" s="13"/>
      <c r="O715" s="13"/>
      <c r="P715" s="13"/>
      <c r="Q715" s="13"/>
      <c r="R715" s="13"/>
      <c r="S715" s="13"/>
      <c r="T715" s="13"/>
      <c r="U715" s="23"/>
    </row>
    <row r="716" spans="11:21" ht="15.6">
      <c r="K716" s="128"/>
      <c r="L716" s="13"/>
      <c r="M716" s="13"/>
      <c r="N716" s="13"/>
      <c r="O716" s="13"/>
      <c r="P716" s="13"/>
      <c r="Q716" s="13"/>
      <c r="R716" s="13"/>
      <c r="S716" s="13"/>
      <c r="T716" s="13"/>
      <c r="U716" s="23"/>
    </row>
    <row r="717" spans="11:21" ht="15.6">
      <c r="K717" s="128"/>
      <c r="L717" s="13"/>
      <c r="M717" s="13"/>
      <c r="N717" s="13"/>
      <c r="O717" s="13"/>
      <c r="P717" s="13"/>
      <c r="Q717" s="13"/>
      <c r="R717" s="13"/>
      <c r="S717" s="13"/>
      <c r="T717" s="13"/>
      <c r="U717" s="23"/>
    </row>
    <row r="718" spans="11:21" ht="15.6">
      <c r="K718" s="128"/>
      <c r="L718" s="13"/>
      <c r="M718" s="13"/>
      <c r="N718" s="13"/>
      <c r="O718" s="13"/>
      <c r="P718" s="13"/>
      <c r="Q718" s="13"/>
      <c r="R718" s="13"/>
      <c r="S718" s="13"/>
      <c r="T718" s="13"/>
      <c r="U718" s="23"/>
    </row>
    <row r="719" spans="11:21" ht="15.6">
      <c r="K719" s="128"/>
      <c r="L719" s="13"/>
      <c r="M719" s="13"/>
      <c r="N719" s="13"/>
      <c r="O719" s="13"/>
      <c r="P719" s="13"/>
      <c r="Q719" s="13"/>
      <c r="R719" s="13"/>
      <c r="S719" s="13"/>
      <c r="T719" s="13"/>
      <c r="U719" s="23"/>
    </row>
    <row r="720" spans="11:21" ht="15.6">
      <c r="K720" s="128"/>
      <c r="L720" s="13"/>
      <c r="M720" s="13"/>
      <c r="N720" s="13"/>
      <c r="O720" s="13"/>
      <c r="P720" s="13"/>
      <c r="Q720" s="13"/>
      <c r="R720" s="13"/>
      <c r="S720" s="13"/>
      <c r="T720" s="13"/>
      <c r="U720" s="23"/>
    </row>
    <row r="721" spans="11:21" ht="15.6">
      <c r="K721" s="128"/>
      <c r="L721" s="13"/>
      <c r="M721" s="13"/>
      <c r="N721" s="13"/>
      <c r="O721" s="13"/>
      <c r="P721" s="13"/>
      <c r="Q721" s="13"/>
      <c r="R721" s="13"/>
      <c r="S721" s="13"/>
      <c r="T721" s="13"/>
      <c r="U721" s="23"/>
    </row>
    <row r="722" spans="11:21" ht="15.6">
      <c r="K722" s="128"/>
      <c r="L722" s="13"/>
      <c r="M722" s="13"/>
      <c r="N722" s="13"/>
      <c r="O722" s="13"/>
      <c r="P722" s="13"/>
      <c r="Q722" s="13"/>
      <c r="R722" s="13"/>
      <c r="S722" s="13"/>
      <c r="T722" s="13"/>
      <c r="U722" s="23"/>
    </row>
    <row r="723" spans="11:21" ht="15.6">
      <c r="K723" s="128"/>
      <c r="L723" s="13"/>
      <c r="M723" s="13"/>
      <c r="N723" s="13"/>
      <c r="O723" s="13"/>
      <c r="P723" s="13"/>
      <c r="Q723" s="13"/>
      <c r="R723" s="13"/>
      <c r="S723" s="13"/>
      <c r="T723" s="13"/>
      <c r="U723" s="23"/>
    </row>
    <row r="724" spans="11:21" ht="15.6">
      <c r="K724" s="128"/>
      <c r="L724" s="13"/>
      <c r="M724" s="13"/>
      <c r="N724" s="13"/>
      <c r="O724" s="13"/>
      <c r="P724" s="13"/>
      <c r="Q724" s="13"/>
      <c r="R724" s="13"/>
      <c r="S724" s="13"/>
      <c r="T724" s="13"/>
      <c r="U724" s="23"/>
    </row>
    <row r="725" spans="11:21" ht="15.6">
      <c r="K725" s="128"/>
      <c r="L725" s="13"/>
      <c r="M725" s="13"/>
      <c r="N725" s="13"/>
      <c r="O725" s="13"/>
      <c r="P725" s="13"/>
      <c r="Q725" s="13"/>
      <c r="R725" s="13"/>
      <c r="S725" s="13"/>
      <c r="T725" s="13"/>
      <c r="U725" s="23"/>
    </row>
    <row r="726" spans="11:21" ht="15.6">
      <c r="K726" s="128"/>
      <c r="L726" s="13"/>
      <c r="M726" s="13"/>
      <c r="N726" s="13"/>
      <c r="O726" s="13"/>
      <c r="P726" s="13"/>
      <c r="Q726" s="13"/>
      <c r="R726" s="13"/>
      <c r="S726" s="13"/>
      <c r="T726" s="13"/>
      <c r="U726" s="23"/>
    </row>
    <row r="727" spans="11:21" ht="15.6">
      <c r="K727" s="128"/>
      <c r="L727" s="13"/>
      <c r="M727" s="13"/>
      <c r="N727" s="13"/>
      <c r="O727" s="13"/>
      <c r="P727" s="13"/>
      <c r="Q727" s="13"/>
      <c r="R727" s="13"/>
      <c r="S727" s="13"/>
      <c r="T727" s="13"/>
      <c r="U727" s="23"/>
    </row>
    <row r="728" spans="11:21" ht="15.6">
      <c r="K728" s="128"/>
      <c r="L728" s="13"/>
      <c r="M728" s="13"/>
      <c r="N728" s="13"/>
      <c r="O728" s="13"/>
      <c r="P728" s="13"/>
      <c r="Q728" s="13"/>
      <c r="R728" s="13"/>
      <c r="S728" s="13"/>
      <c r="T728" s="13"/>
      <c r="U728" s="23"/>
    </row>
    <row r="729" spans="11:21" ht="15.6">
      <c r="K729" s="128"/>
      <c r="L729" s="13"/>
      <c r="M729" s="13"/>
      <c r="N729" s="13"/>
      <c r="O729" s="13"/>
      <c r="P729" s="13"/>
      <c r="Q729" s="13"/>
      <c r="R729" s="13"/>
      <c r="S729" s="13"/>
      <c r="T729" s="13"/>
      <c r="U729" s="23"/>
    </row>
    <row r="730" spans="11:21" ht="15.6">
      <c r="K730" s="128"/>
      <c r="L730" s="13"/>
      <c r="M730" s="13"/>
      <c r="N730" s="13"/>
      <c r="O730" s="13"/>
      <c r="P730" s="13"/>
      <c r="Q730" s="13"/>
      <c r="R730" s="13"/>
      <c r="S730" s="13"/>
      <c r="T730" s="13"/>
      <c r="U730" s="23"/>
    </row>
    <row r="731" spans="11:21" ht="15.6">
      <c r="K731" s="128"/>
      <c r="L731" s="13"/>
      <c r="M731" s="13"/>
      <c r="N731" s="13"/>
      <c r="O731" s="13"/>
      <c r="P731" s="13"/>
      <c r="Q731" s="13"/>
      <c r="R731" s="13"/>
      <c r="S731" s="13"/>
      <c r="T731" s="13"/>
      <c r="U731" s="23"/>
    </row>
    <row r="732" spans="11:21" ht="15.6">
      <c r="K732" s="128"/>
      <c r="L732" s="13"/>
      <c r="M732" s="13"/>
      <c r="N732" s="13"/>
      <c r="O732" s="13"/>
      <c r="P732" s="13"/>
      <c r="Q732" s="13"/>
      <c r="R732" s="13"/>
      <c r="S732" s="13"/>
      <c r="T732" s="13"/>
      <c r="U732" s="23"/>
    </row>
    <row r="733" spans="11:21" ht="15.6">
      <c r="K733" s="128"/>
      <c r="L733" s="13"/>
      <c r="M733" s="13"/>
      <c r="N733" s="13"/>
      <c r="O733" s="13"/>
      <c r="P733" s="13"/>
      <c r="Q733" s="13"/>
      <c r="R733" s="13"/>
      <c r="S733" s="13"/>
      <c r="T733" s="13"/>
      <c r="U733" s="23"/>
    </row>
    <row r="734" spans="11:21" ht="15.6">
      <c r="K734" s="128"/>
      <c r="L734" s="13"/>
      <c r="M734" s="13"/>
      <c r="N734" s="13"/>
      <c r="O734" s="13"/>
      <c r="P734" s="13"/>
      <c r="Q734" s="13"/>
      <c r="R734" s="13"/>
      <c r="S734" s="13"/>
      <c r="T734" s="13"/>
      <c r="U734" s="23"/>
    </row>
    <row r="735" spans="11:21" ht="15.6">
      <c r="K735" s="128"/>
      <c r="L735" s="13"/>
      <c r="M735" s="13"/>
      <c r="N735" s="13"/>
      <c r="O735" s="13"/>
      <c r="P735" s="13"/>
      <c r="Q735" s="13"/>
      <c r="R735" s="13"/>
      <c r="S735" s="13"/>
      <c r="T735" s="13"/>
      <c r="U735" s="23"/>
    </row>
    <row r="736" spans="11:21" ht="15.6">
      <c r="K736" s="128"/>
      <c r="L736" s="13"/>
      <c r="M736" s="13"/>
      <c r="N736" s="13"/>
      <c r="O736" s="13"/>
      <c r="P736" s="13"/>
      <c r="Q736" s="13"/>
      <c r="R736" s="13"/>
      <c r="S736" s="13"/>
      <c r="T736" s="13"/>
      <c r="U736" s="23"/>
    </row>
    <row r="737" spans="11:21" ht="15.6">
      <c r="K737" s="128"/>
      <c r="L737" s="13"/>
      <c r="M737" s="13"/>
      <c r="N737" s="13"/>
      <c r="O737" s="13"/>
      <c r="P737" s="13"/>
      <c r="Q737" s="13"/>
      <c r="R737" s="13"/>
      <c r="S737" s="13"/>
      <c r="T737" s="13"/>
      <c r="U737" s="23"/>
    </row>
    <row r="738" spans="11:21" ht="15.6">
      <c r="K738" s="128"/>
      <c r="L738" s="13"/>
      <c r="M738" s="13"/>
      <c r="N738" s="13"/>
      <c r="O738" s="13"/>
      <c r="P738" s="13"/>
      <c r="Q738" s="13"/>
      <c r="R738" s="13"/>
      <c r="S738" s="13"/>
      <c r="T738" s="13"/>
      <c r="U738" s="23"/>
    </row>
    <row r="739" spans="11:21" ht="15.6">
      <c r="K739" s="128"/>
      <c r="L739" s="13"/>
      <c r="M739" s="13"/>
      <c r="N739" s="13"/>
      <c r="O739" s="13"/>
      <c r="P739" s="13"/>
      <c r="Q739" s="13"/>
      <c r="R739" s="13"/>
      <c r="S739" s="13"/>
      <c r="T739" s="13"/>
      <c r="U739" s="23"/>
    </row>
    <row r="740" spans="11:21" ht="15.6">
      <c r="K740" s="128"/>
      <c r="L740" s="13"/>
      <c r="M740" s="13"/>
      <c r="N740" s="13"/>
      <c r="O740" s="13"/>
      <c r="P740" s="13"/>
      <c r="Q740" s="13"/>
      <c r="R740" s="13"/>
      <c r="S740" s="13"/>
      <c r="T740" s="13"/>
      <c r="U740" s="23"/>
    </row>
    <row r="741" spans="11:21" ht="15.6">
      <c r="K741" s="128"/>
      <c r="L741" s="13"/>
      <c r="M741" s="13"/>
      <c r="N741" s="13"/>
      <c r="O741" s="13"/>
      <c r="P741" s="13"/>
      <c r="Q741" s="13"/>
      <c r="R741" s="13"/>
      <c r="S741" s="13"/>
      <c r="T741" s="13"/>
      <c r="U741" s="23"/>
    </row>
    <row r="742" spans="11:21" ht="15.6">
      <c r="K742" s="128"/>
      <c r="L742" s="13"/>
      <c r="M742" s="13"/>
      <c r="N742" s="13"/>
      <c r="O742" s="13"/>
      <c r="P742" s="13"/>
      <c r="Q742" s="13"/>
      <c r="R742" s="13"/>
      <c r="S742" s="13"/>
      <c r="T742" s="13"/>
      <c r="U742" s="23"/>
    </row>
    <row r="743" spans="11:21" ht="15.6">
      <c r="K743" s="128"/>
      <c r="L743" s="13"/>
      <c r="M743" s="13"/>
      <c r="N743" s="13"/>
      <c r="O743" s="13"/>
      <c r="P743" s="13"/>
      <c r="Q743" s="13"/>
      <c r="R743" s="13"/>
      <c r="S743" s="13"/>
      <c r="T743" s="13"/>
      <c r="U743" s="23"/>
    </row>
    <row r="744" spans="11:21" ht="15.6">
      <c r="K744" s="128"/>
      <c r="L744" s="13"/>
      <c r="M744" s="13"/>
      <c r="N744" s="13"/>
      <c r="O744" s="13"/>
      <c r="P744" s="13"/>
      <c r="Q744" s="13"/>
      <c r="R744" s="13"/>
      <c r="S744" s="13"/>
      <c r="T744" s="13"/>
      <c r="U744" s="23"/>
    </row>
    <row r="745" spans="11:21" ht="15.6">
      <c r="K745" s="128"/>
      <c r="L745" s="13"/>
      <c r="M745" s="13"/>
      <c r="N745" s="13"/>
      <c r="O745" s="13"/>
      <c r="P745" s="13"/>
      <c r="Q745" s="13"/>
      <c r="R745" s="13"/>
      <c r="S745" s="13"/>
      <c r="T745" s="13"/>
      <c r="U745" s="23"/>
    </row>
    <row r="746" spans="11:21" ht="15.6">
      <c r="K746" s="128"/>
      <c r="L746" s="13"/>
      <c r="M746" s="13"/>
      <c r="N746" s="13"/>
      <c r="O746" s="13"/>
      <c r="P746" s="13"/>
      <c r="Q746" s="13"/>
      <c r="R746" s="13"/>
      <c r="S746" s="13"/>
      <c r="T746" s="13"/>
      <c r="U746" s="23"/>
    </row>
    <row r="747" spans="11:21" ht="15.6">
      <c r="K747" s="128"/>
      <c r="L747" s="13"/>
      <c r="M747" s="13"/>
      <c r="N747" s="13"/>
      <c r="O747" s="13"/>
      <c r="P747" s="13"/>
      <c r="Q747" s="13"/>
      <c r="R747" s="13"/>
      <c r="S747" s="13"/>
      <c r="T747" s="13"/>
      <c r="U747" s="23"/>
    </row>
    <row r="748" spans="11:21" ht="15.6">
      <c r="K748" s="128"/>
      <c r="L748" s="13"/>
      <c r="M748" s="13"/>
      <c r="N748" s="13"/>
      <c r="O748" s="13"/>
      <c r="P748" s="13"/>
      <c r="Q748" s="13"/>
      <c r="R748" s="13"/>
      <c r="S748" s="13"/>
      <c r="T748" s="13"/>
      <c r="U748" s="23"/>
    </row>
    <row r="749" spans="11:21" ht="15.6">
      <c r="K749" s="128"/>
      <c r="L749" s="13"/>
      <c r="M749" s="13"/>
      <c r="N749" s="13"/>
      <c r="O749" s="13"/>
      <c r="P749" s="13"/>
      <c r="Q749" s="13"/>
      <c r="R749" s="13"/>
      <c r="S749" s="13"/>
      <c r="T749" s="13"/>
      <c r="U749" s="23"/>
    </row>
    <row r="750" spans="11:21" ht="15.6">
      <c r="K750" s="128"/>
      <c r="L750" s="13"/>
      <c r="M750" s="13"/>
      <c r="N750" s="13"/>
      <c r="O750" s="13"/>
      <c r="P750" s="13"/>
      <c r="Q750" s="13"/>
      <c r="R750" s="13"/>
      <c r="S750" s="13"/>
      <c r="T750" s="13"/>
      <c r="U750" s="23"/>
    </row>
    <row r="751" spans="11:21" ht="15.6">
      <c r="K751" s="128"/>
      <c r="L751" s="13"/>
      <c r="M751" s="13"/>
      <c r="N751" s="13"/>
      <c r="O751" s="13"/>
      <c r="P751" s="13"/>
      <c r="Q751" s="13"/>
      <c r="R751" s="13"/>
      <c r="S751" s="13"/>
      <c r="T751" s="13"/>
      <c r="U751" s="23"/>
    </row>
    <row r="752" spans="11:21" ht="15.6">
      <c r="K752" s="128"/>
      <c r="L752" s="13"/>
      <c r="M752" s="13"/>
      <c r="N752" s="13"/>
      <c r="O752" s="13"/>
      <c r="P752" s="13"/>
      <c r="Q752" s="13"/>
      <c r="R752" s="13"/>
      <c r="S752" s="13"/>
      <c r="T752" s="13"/>
      <c r="U752" s="23"/>
    </row>
    <row r="753" spans="11:21" ht="15.6">
      <c r="K753" s="128"/>
      <c r="L753" s="13"/>
      <c r="M753" s="13"/>
      <c r="N753" s="13"/>
      <c r="O753" s="13"/>
      <c r="P753" s="13"/>
      <c r="Q753" s="13"/>
      <c r="R753" s="13"/>
      <c r="S753" s="13"/>
      <c r="T753" s="13"/>
      <c r="U753" s="23"/>
    </row>
    <row r="754" spans="11:21" ht="15.6">
      <c r="K754" s="128"/>
      <c r="L754" s="13"/>
      <c r="M754" s="13"/>
      <c r="N754" s="13"/>
      <c r="O754" s="13"/>
      <c r="P754" s="13"/>
      <c r="Q754" s="13"/>
      <c r="R754" s="13"/>
      <c r="S754" s="13"/>
      <c r="T754" s="13"/>
      <c r="U754" s="23"/>
    </row>
    <row r="755" spans="11:21" ht="15.6">
      <c r="K755" s="128"/>
      <c r="L755" s="13"/>
      <c r="M755" s="13"/>
      <c r="N755" s="13"/>
      <c r="O755" s="13"/>
      <c r="P755" s="13"/>
      <c r="Q755" s="13"/>
      <c r="R755" s="13"/>
      <c r="S755" s="13"/>
      <c r="T755" s="13"/>
      <c r="U755" s="23"/>
    </row>
    <row r="756" spans="11:21" ht="15.6">
      <c r="K756" s="128"/>
      <c r="L756" s="13"/>
      <c r="M756" s="13"/>
      <c r="N756" s="13"/>
      <c r="O756" s="13"/>
      <c r="P756" s="13"/>
      <c r="Q756" s="13"/>
      <c r="R756" s="13"/>
      <c r="S756" s="13"/>
      <c r="T756" s="13"/>
      <c r="U756" s="23"/>
    </row>
    <row r="757" spans="11:21" ht="15.6">
      <c r="K757" s="128"/>
      <c r="L757" s="13"/>
      <c r="M757" s="13"/>
      <c r="N757" s="13"/>
      <c r="O757" s="13"/>
      <c r="P757" s="13"/>
      <c r="Q757" s="13"/>
      <c r="R757" s="13"/>
      <c r="S757" s="13"/>
      <c r="T757" s="13"/>
      <c r="U757" s="23"/>
    </row>
    <row r="758" spans="11:21" ht="15.6">
      <c r="K758" s="128"/>
      <c r="L758" s="13"/>
      <c r="M758" s="13"/>
      <c r="N758" s="13"/>
      <c r="O758" s="13"/>
      <c r="P758" s="13"/>
      <c r="Q758" s="13"/>
      <c r="R758" s="13"/>
      <c r="S758" s="13"/>
      <c r="T758" s="13"/>
      <c r="U758" s="23"/>
    </row>
    <row r="759" spans="11:21" ht="15.6">
      <c r="K759" s="128"/>
      <c r="L759" s="13"/>
      <c r="M759" s="13"/>
      <c r="N759" s="13"/>
      <c r="O759" s="13"/>
      <c r="P759" s="13"/>
      <c r="Q759" s="13"/>
      <c r="R759" s="13"/>
      <c r="S759" s="13"/>
      <c r="T759" s="13"/>
      <c r="U759" s="23"/>
    </row>
    <row r="760" spans="11:21" ht="15.6">
      <c r="K760" s="128"/>
      <c r="L760" s="13"/>
      <c r="M760" s="13"/>
      <c r="N760" s="13"/>
      <c r="O760" s="13"/>
      <c r="P760" s="13"/>
      <c r="Q760" s="13"/>
      <c r="R760" s="13"/>
      <c r="S760" s="13"/>
      <c r="T760" s="13"/>
      <c r="U760" s="23"/>
    </row>
    <row r="761" spans="11:21" ht="15.6">
      <c r="K761" s="128"/>
      <c r="L761" s="13"/>
      <c r="M761" s="13"/>
      <c r="N761" s="13"/>
      <c r="O761" s="13"/>
      <c r="P761" s="13"/>
      <c r="Q761" s="13"/>
      <c r="R761" s="13"/>
      <c r="S761" s="13"/>
      <c r="T761" s="13"/>
      <c r="U761" s="23"/>
    </row>
    <row r="762" spans="11:21" ht="15.6">
      <c r="K762" s="128"/>
      <c r="L762" s="13"/>
      <c r="M762" s="13"/>
      <c r="N762" s="13"/>
      <c r="O762" s="13"/>
      <c r="P762" s="13"/>
      <c r="Q762" s="13"/>
      <c r="R762" s="13"/>
      <c r="S762" s="13"/>
      <c r="T762" s="13"/>
      <c r="U762" s="23"/>
    </row>
    <row r="763" spans="11:21" ht="15.6">
      <c r="K763" s="128"/>
      <c r="L763" s="13"/>
      <c r="M763" s="13"/>
      <c r="N763" s="13"/>
      <c r="O763" s="13"/>
      <c r="P763" s="13"/>
      <c r="Q763" s="13"/>
      <c r="R763" s="13"/>
      <c r="S763" s="13"/>
      <c r="T763" s="13"/>
      <c r="U763" s="23"/>
    </row>
    <row r="764" spans="11:21" ht="15.6">
      <c r="K764" s="128"/>
      <c r="L764" s="13"/>
      <c r="M764" s="13"/>
      <c r="N764" s="13"/>
      <c r="O764" s="13"/>
      <c r="P764" s="13"/>
      <c r="Q764" s="13"/>
      <c r="R764" s="13"/>
      <c r="S764" s="13"/>
      <c r="T764" s="13"/>
      <c r="U764" s="23"/>
    </row>
    <row r="765" spans="11:21" ht="15.6">
      <c r="K765" s="128"/>
      <c r="L765" s="13"/>
      <c r="M765" s="13"/>
      <c r="N765" s="13"/>
      <c r="O765" s="13"/>
      <c r="P765" s="13"/>
      <c r="Q765" s="13"/>
      <c r="R765" s="13"/>
      <c r="S765" s="13"/>
      <c r="T765" s="13"/>
      <c r="U765" s="23"/>
    </row>
    <row r="766" spans="11:21" ht="15.6">
      <c r="K766" s="128"/>
      <c r="L766" s="13"/>
      <c r="M766" s="13"/>
      <c r="N766" s="13"/>
      <c r="O766" s="13"/>
      <c r="P766" s="13"/>
      <c r="Q766" s="13"/>
      <c r="R766" s="13"/>
      <c r="S766" s="13"/>
      <c r="T766" s="13"/>
      <c r="U766" s="23"/>
    </row>
    <row r="767" spans="11:21" ht="15.6">
      <c r="K767" s="128"/>
      <c r="L767" s="13"/>
      <c r="M767" s="13"/>
      <c r="N767" s="13"/>
      <c r="O767" s="13"/>
      <c r="P767" s="13"/>
      <c r="Q767" s="13"/>
      <c r="R767" s="13"/>
      <c r="S767" s="13"/>
      <c r="T767" s="13"/>
      <c r="U767" s="23"/>
    </row>
    <row r="768" spans="11:21" ht="15.6">
      <c r="K768" s="128"/>
      <c r="L768" s="13"/>
      <c r="M768" s="13"/>
      <c r="N768" s="13"/>
      <c r="O768" s="13"/>
      <c r="P768" s="13"/>
      <c r="Q768" s="13"/>
      <c r="R768" s="13"/>
      <c r="S768" s="13"/>
      <c r="T768" s="13"/>
      <c r="U768" s="23"/>
    </row>
    <row r="769" spans="11:21" ht="15.6">
      <c r="K769" s="128"/>
      <c r="L769" s="13"/>
      <c r="M769" s="13"/>
      <c r="N769" s="13"/>
      <c r="O769" s="13"/>
      <c r="P769" s="13"/>
      <c r="Q769" s="13"/>
      <c r="R769" s="13"/>
      <c r="S769" s="13"/>
      <c r="T769" s="13"/>
      <c r="U769" s="23"/>
    </row>
    <row r="770" spans="11:21" ht="15.6">
      <c r="K770" s="128"/>
      <c r="L770" s="13"/>
      <c r="M770" s="13"/>
      <c r="N770" s="13"/>
      <c r="O770" s="13"/>
      <c r="P770" s="13"/>
      <c r="Q770" s="13"/>
      <c r="R770" s="13"/>
      <c r="S770" s="13"/>
      <c r="T770" s="13"/>
      <c r="U770" s="23"/>
    </row>
    <row r="771" spans="11:21" ht="15.6">
      <c r="K771" s="128"/>
      <c r="L771" s="13"/>
      <c r="M771" s="13"/>
      <c r="N771" s="13"/>
      <c r="O771" s="13"/>
      <c r="P771" s="13"/>
      <c r="Q771" s="13"/>
      <c r="R771" s="13"/>
      <c r="S771" s="13"/>
      <c r="T771" s="13"/>
      <c r="U771" s="23"/>
    </row>
    <row r="772" spans="11:21" ht="15.6">
      <c r="K772" s="128"/>
      <c r="L772" s="13"/>
      <c r="M772" s="13"/>
      <c r="N772" s="13"/>
      <c r="O772" s="13"/>
      <c r="P772" s="13"/>
      <c r="Q772" s="13"/>
      <c r="R772" s="13"/>
      <c r="S772" s="13"/>
      <c r="T772" s="13"/>
      <c r="U772" s="23"/>
    </row>
    <row r="773" spans="11:21" ht="15.6">
      <c r="K773" s="128"/>
      <c r="L773" s="13"/>
      <c r="M773" s="13"/>
      <c r="N773" s="13"/>
      <c r="O773" s="13"/>
      <c r="P773" s="13"/>
      <c r="Q773" s="13"/>
      <c r="R773" s="13"/>
      <c r="S773" s="13"/>
      <c r="T773" s="13"/>
      <c r="U773" s="23"/>
    </row>
    <row r="774" spans="11:21" ht="15.6">
      <c r="K774" s="128"/>
      <c r="L774" s="13"/>
      <c r="M774" s="13"/>
      <c r="N774" s="13"/>
      <c r="O774" s="13"/>
      <c r="P774" s="13"/>
      <c r="Q774" s="13"/>
      <c r="R774" s="13"/>
      <c r="S774" s="13"/>
      <c r="T774" s="13"/>
      <c r="U774" s="23"/>
    </row>
    <row r="775" spans="11:21" ht="15.6">
      <c r="K775" s="128"/>
      <c r="L775" s="13"/>
      <c r="M775" s="13"/>
      <c r="N775" s="13"/>
      <c r="O775" s="13"/>
      <c r="P775" s="13"/>
      <c r="Q775" s="13"/>
      <c r="R775" s="13"/>
      <c r="S775" s="13"/>
      <c r="T775" s="13"/>
      <c r="U775" s="23"/>
    </row>
    <row r="776" spans="11:21" ht="15.6">
      <c r="K776" s="128"/>
      <c r="L776" s="13"/>
      <c r="M776" s="13"/>
      <c r="N776" s="13"/>
      <c r="O776" s="13"/>
      <c r="P776" s="13"/>
      <c r="Q776" s="13"/>
      <c r="R776" s="13"/>
      <c r="S776" s="13"/>
      <c r="T776" s="13"/>
      <c r="U776" s="23"/>
    </row>
    <row r="777" spans="11:21" ht="15.6">
      <c r="K777" s="128"/>
      <c r="L777" s="13"/>
      <c r="M777" s="13"/>
      <c r="N777" s="13"/>
      <c r="O777" s="13"/>
      <c r="P777" s="13"/>
      <c r="Q777" s="13"/>
      <c r="R777" s="13"/>
      <c r="S777" s="13"/>
      <c r="T777" s="13"/>
      <c r="U777" s="23"/>
    </row>
    <row r="778" spans="11:21" ht="15.6">
      <c r="K778" s="128"/>
      <c r="L778" s="13"/>
      <c r="M778" s="13"/>
      <c r="N778" s="13"/>
      <c r="O778" s="13"/>
      <c r="P778" s="13"/>
      <c r="Q778" s="13"/>
      <c r="R778" s="13"/>
      <c r="S778" s="13"/>
      <c r="T778" s="13"/>
      <c r="U778" s="23"/>
    </row>
    <row r="779" spans="11:21" ht="15.6">
      <c r="K779" s="128"/>
      <c r="L779" s="13"/>
      <c r="M779" s="13"/>
      <c r="N779" s="13"/>
      <c r="O779" s="13"/>
      <c r="P779" s="13"/>
      <c r="Q779" s="13"/>
      <c r="R779" s="13"/>
      <c r="S779" s="13"/>
      <c r="T779" s="13"/>
      <c r="U779" s="23"/>
    </row>
    <row r="780" spans="11:21" ht="15.6">
      <c r="K780" s="128"/>
      <c r="L780" s="13"/>
      <c r="M780" s="13"/>
      <c r="N780" s="13"/>
      <c r="O780" s="13"/>
      <c r="P780" s="13"/>
      <c r="Q780" s="13"/>
      <c r="R780" s="13"/>
      <c r="S780" s="13"/>
      <c r="T780" s="13"/>
      <c r="U780" s="23"/>
    </row>
    <row r="781" spans="11:21" ht="15.6">
      <c r="K781" s="128"/>
      <c r="L781" s="13"/>
      <c r="M781" s="13"/>
      <c r="N781" s="13"/>
      <c r="O781" s="13"/>
      <c r="P781" s="13"/>
      <c r="Q781" s="13"/>
      <c r="R781" s="13"/>
      <c r="S781" s="13"/>
      <c r="T781" s="13"/>
      <c r="U781" s="23"/>
    </row>
    <row r="782" spans="11:21" ht="15.6">
      <c r="K782" s="128"/>
      <c r="L782" s="13"/>
      <c r="M782" s="13"/>
      <c r="N782" s="13"/>
      <c r="O782" s="13"/>
      <c r="P782" s="13"/>
      <c r="Q782" s="13"/>
      <c r="R782" s="13"/>
      <c r="S782" s="13"/>
      <c r="T782" s="13"/>
      <c r="U782" s="23"/>
    </row>
    <row r="783" spans="11:21" ht="15.6">
      <c r="K783" s="128"/>
      <c r="L783" s="13"/>
      <c r="M783" s="13"/>
      <c r="N783" s="13"/>
      <c r="O783" s="13"/>
      <c r="P783" s="13"/>
      <c r="Q783" s="13"/>
      <c r="R783" s="13"/>
      <c r="S783" s="13"/>
      <c r="T783" s="13"/>
      <c r="U783" s="23"/>
    </row>
    <row r="784" spans="11:21" ht="15.6">
      <c r="K784" s="128"/>
      <c r="L784" s="13"/>
      <c r="M784" s="13"/>
      <c r="N784" s="13"/>
      <c r="O784" s="13"/>
      <c r="P784" s="13"/>
      <c r="Q784" s="13"/>
      <c r="R784" s="13"/>
      <c r="S784" s="13"/>
      <c r="T784" s="13"/>
      <c r="U784" s="23"/>
    </row>
    <row r="785" spans="11:21" ht="15.6">
      <c r="K785" s="128"/>
      <c r="L785" s="13"/>
      <c r="M785" s="13"/>
      <c r="N785" s="13"/>
      <c r="O785" s="13"/>
      <c r="P785" s="13"/>
      <c r="Q785" s="13"/>
      <c r="R785" s="13"/>
      <c r="S785" s="13"/>
      <c r="T785" s="13"/>
      <c r="U785" s="23"/>
    </row>
    <row r="786" spans="11:21" ht="15.6">
      <c r="K786" s="128"/>
      <c r="L786" s="13"/>
      <c r="M786" s="13"/>
      <c r="N786" s="13"/>
      <c r="O786" s="13"/>
      <c r="P786" s="13"/>
      <c r="Q786" s="13"/>
      <c r="R786" s="13"/>
      <c r="S786" s="13"/>
      <c r="T786" s="13"/>
      <c r="U786" s="23"/>
    </row>
    <row r="787" spans="11:21" ht="15.6">
      <c r="K787" s="128"/>
      <c r="L787" s="13"/>
      <c r="M787" s="13"/>
      <c r="N787" s="13"/>
      <c r="O787" s="13"/>
      <c r="P787" s="13"/>
      <c r="Q787" s="13"/>
      <c r="R787" s="13"/>
      <c r="S787" s="13"/>
      <c r="T787" s="13"/>
      <c r="U787" s="23"/>
    </row>
    <row r="788" spans="11:21" ht="15.6">
      <c r="K788" s="128"/>
      <c r="L788" s="13"/>
      <c r="M788" s="13"/>
      <c r="N788" s="13"/>
      <c r="O788" s="13"/>
      <c r="P788" s="13"/>
      <c r="Q788" s="13"/>
      <c r="R788" s="13"/>
      <c r="S788" s="13"/>
      <c r="T788" s="13"/>
      <c r="U788" s="23"/>
    </row>
    <row r="789" spans="11:21" ht="15.6">
      <c r="K789" s="128"/>
      <c r="L789" s="13"/>
      <c r="M789" s="13"/>
      <c r="N789" s="13"/>
      <c r="O789" s="13"/>
      <c r="P789" s="13"/>
      <c r="Q789" s="13"/>
      <c r="R789" s="13"/>
      <c r="S789" s="13"/>
      <c r="T789" s="13"/>
      <c r="U789" s="23"/>
    </row>
    <row r="790" spans="11:21" ht="15.6">
      <c r="K790" s="128"/>
      <c r="L790" s="13"/>
      <c r="M790" s="13"/>
      <c r="N790" s="13"/>
      <c r="O790" s="13"/>
      <c r="P790" s="13"/>
      <c r="Q790" s="13"/>
      <c r="R790" s="13"/>
      <c r="S790" s="13"/>
      <c r="T790" s="13"/>
      <c r="U790" s="23"/>
    </row>
    <row r="791" spans="11:21" ht="15.6">
      <c r="K791" s="128"/>
      <c r="L791" s="13"/>
      <c r="M791" s="13"/>
      <c r="N791" s="13"/>
      <c r="O791" s="13"/>
      <c r="P791" s="13"/>
      <c r="Q791" s="13"/>
      <c r="R791" s="13"/>
      <c r="S791" s="13"/>
      <c r="T791" s="13"/>
      <c r="U791" s="23"/>
    </row>
    <row r="792" spans="11:21" ht="15.6">
      <c r="K792" s="128"/>
      <c r="L792" s="13"/>
      <c r="M792" s="13"/>
      <c r="N792" s="13"/>
      <c r="O792" s="13"/>
      <c r="P792" s="13"/>
      <c r="Q792" s="13"/>
      <c r="R792" s="13"/>
      <c r="S792" s="13"/>
      <c r="T792" s="13"/>
      <c r="U792" s="23"/>
    </row>
    <row r="793" spans="11:21" ht="15.6">
      <c r="K793" s="128"/>
      <c r="L793" s="13"/>
      <c r="M793" s="13"/>
      <c r="N793" s="13"/>
      <c r="O793" s="13"/>
      <c r="P793" s="13"/>
      <c r="Q793" s="13"/>
      <c r="R793" s="13"/>
      <c r="S793" s="13"/>
      <c r="T793" s="13"/>
      <c r="U793" s="23"/>
    </row>
    <row r="794" spans="11:21" ht="15.6">
      <c r="K794" s="128"/>
      <c r="L794" s="13"/>
      <c r="M794" s="13"/>
      <c r="N794" s="13"/>
      <c r="O794" s="13"/>
      <c r="P794" s="13"/>
      <c r="Q794" s="13"/>
      <c r="R794" s="13"/>
      <c r="S794" s="13"/>
      <c r="T794" s="13"/>
      <c r="U794" s="23"/>
    </row>
    <row r="795" spans="11:21" ht="15.6">
      <c r="K795" s="128"/>
      <c r="L795" s="13"/>
      <c r="M795" s="13"/>
      <c r="N795" s="13"/>
      <c r="O795" s="13"/>
      <c r="P795" s="13"/>
      <c r="Q795" s="13"/>
      <c r="R795" s="13"/>
      <c r="S795" s="13"/>
      <c r="T795" s="13"/>
      <c r="U795" s="23"/>
    </row>
    <row r="796" spans="11:21" ht="15.6">
      <c r="K796" s="128"/>
      <c r="L796" s="13"/>
      <c r="M796" s="13"/>
      <c r="N796" s="13"/>
      <c r="O796" s="13"/>
      <c r="P796" s="13"/>
      <c r="Q796" s="13"/>
      <c r="R796" s="13"/>
      <c r="S796" s="13"/>
      <c r="T796" s="13"/>
      <c r="U796" s="23"/>
    </row>
    <row r="797" spans="11:21" ht="15.6">
      <c r="K797" s="128"/>
      <c r="L797" s="13"/>
      <c r="M797" s="13"/>
      <c r="N797" s="13"/>
      <c r="O797" s="13"/>
      <c r="P797" s="13"/>
      <c r="Q797" s="13"/>
      <c r="R797" s="13"/>
      <c r="S797" s="13"/>
      <c r="T797" s="13"/>
      <c r="U797" s="23"/>
    </row>
    <row r="798" spans="11:21" ht="15.6">
      <c r="K798" s="128"/>
      <c r="L798" s="13"/>
      <c r="M798" s="13"/>
      <c r="N798" s="13"/>
      <c r="O798" s="13"/>
      <c r="P798" s="13"/>
      <c r="Q798" s="13"/>
      <c r="R798" s="13"/>
      <c r="S798" s="13"/>
      <c r="T798" s="13"/>
      <c r="U798" s="23"/>
    </row>
    <row r="799" spans="11:21" ht="15.6">
      <c r="K799" s="128"/>
      <c r="L799" s="13"/>
      <c r="M799" s="13"/>
      <c r="N799" s="13"/>
      <c r="O799" s="13"/>
      <c r="P799" s="13"/>
      <c r="Q799" s="13"/>
      <c r="R799" s="13"/>
      <c r="S799" s="13"/>
      <c r="T799" s="13"/>
      <c r="U799" s="23"/>
    </row>
    <row r="800" spans="11:21" ht="15.6">
      <c r="K800" s="128"/>
      <c r="L800" s="13"/>
      <c r="M800" s="13"/>
      <c r="N800" s="13"/>
      <c r="O800" s="13"/>
      <c r="P800" s="13"/>
      <c r="Q800" s="13"/>
      <c r="R800" s="13"/>
      <c r="S800" s="13"/>
      <c r="T800" s="13"/>
      <c r="U800" s="23"/>
    </row>
    <row r="801" spans="11:21" ht="15.6">
      <c r="K801" s="128"/>
      <c r="L801" s="13"/>
      <c r="M801" s="13"/>
      <c r="N801" s="13"/>
      <c r="O801" s="13"/>
      <c r="P801" s="13"/>
      <c r="Q801" s="13"/>
      <c r="R801" s="13"/>
      <c r="S801" s="13"/>
      <c r="T801" s="13"/>
      <c r="U801" s="23"/>
    </row>
    <row r="802" spans="11:21" ht="15.6">
      <c r="K802" s="128"/>
      <c r="L802" s="13"/>
      <c r="M802" s="13"/>
      <c r="N802" s="13"/>
      <c r="O802" s="13"/>
      <c r="P802" s="13"/>
      <c r="Q802" s="13"/>
      <c r="R802" s="13"/>
      <c r="S802" s="13"/>
      <c r="T802" s="13"/>
      <c r="U802" s="23"/>
    </row>
    <row r="803" spans="11:21" ht="15.6">
      <c r="K803" s="128"/>
      <c r="L803" s="13"/>
      <c r="M803" s="13"/>
      <c r="N803" s="13"/>
      <c r="O803" s="13"/>
      <c r="P803" s="13"/>
      <c r="Q803" s="13"/>
      <c r="R803" s="13"/>
      <c r="S803" s="13"/>
      <c r="T803" s="13"/>
      <c r="U803" s="23"/>
    </row>
    <row r="804" spans="11:21" ht="15.6">
      <c r="K804" s="128"/>
      <c r="L804" s="13"/>
      <c r="M804" s="13"/>
      <c r="N804" s="13"/>
      <c r="O804" s="13"/>
      <c r="P804" s="13"/>
      <c r="Q804" s="13"/>
      <c r="R804" s="13"/>
      <c r="S804" s="13"/>
      <c r="T804" s="13"/>
      <c r="U804" s="23"/>
    </row>
    <row r="805" spans="11:21" ht="15.6">
      <c r="K805" s="128"/>
      <c r="L805" s="13"/>
      <c r="M805" s="13"/>
      <c r="N805" s="13"/>
      <c r="O805" s="13"/>
      <c r="P805" s="13"/>
      <c r="Q805" s="13"/>
      <c r="R805" s="13"/>
      <c r="S805" s="13"/>
      <c r="T805" s="13"/>
      <c r="U805" s="23"/>
    </row>
    <row r="806" spans="11:21" ht="15.6">
      <c r="K806" s="128"/>
      <c r="L806" s="13"/>
      <c r="M806" s="13"/>
      <c r="N806" s="13"/>
      <c r="O806" s="13"/>
      <c r="P806" s="13"/>
      <c r="Q806" s="13"/>
      <c r="R806" s="13"/>
      <c r="S806" s="13"/>
      <c r="T806" s="13"/>
      <c r="U806" s="23"/>
    </row>
    <row r="807" spans="11:21" ht="15.6">
      <c r="K807" s="128"/>
      <c r="L807" s="13"/>
      <c r="M807" s="13"/>
      <c r="N807" s="13"/>
      <c r="O807" s="13"/>
      <c r="P807" s="13"/>
      <c r="Q807" s="13"/>
      <c r="R807" s="13"/>
      <c r="S807" s="13"/>
      <c r="T807" s="13"/>
      <c r="U807" s="23"/>
    </row>
    <row r="808" spans="11:21" ht="15.6">
      <c r="K808" s="128"/>
      <c r="L808" s="13"/>
      <c r="M808" s="13"/>
      <c r="N808" s="13"/>
      <c r="O808" s="13"/>
      <c r="P808" s="13"/>
      <c r="Q808" s="13"/>
      <c r="R808" s="13"/>
      <c r="S808" s="13"/>
      <c r="T808" s="13"/>
      <c r="U808" s="23"/>
    </row>
    <row r="809" spans="11:21" ht="15.6">
      <c r="K809" s="128"/>
      <c r="L809" s="13"/>
      <c r="M809" s="13"/>
      <c r="N809" s="13"/>
      <c r="O809" s="13"/>
      <c r="P809" s="13"/>
      <c r="Q809" s="13"/>
      <c r="R809" s="13"/>
      <c r="S809" s="13"/>
      <c r="T809" s="13"/>
      <c r="U809" s="23"/>
    </row>
    <row r="810" spans="11:21" ht="15.6">
      <c r="K810" s="128"/>
      <c r="L810" s="13"/>
      <c r="M810" s="13"/>
      <c r="N810" s="13"/>
      <c r="O810" s="13"/>
      <c r="P810" s="13"/>
      <c r="Q810" s="13"/>
      <c r="R810" s="13"/>
      <c r="S810" s="13"/>
      <c r="T810" s="13"/>
      <c r="U810" s="23"/>
    </row>
    <row r="811" spans="11:21" ht="15.6">
      <c r="K811" s="128"/>
      <c r="L811" s="13"/>
      <c r="M811" s="13"/>
      <c r="N811" s="13"/>
      <c r="O811" s="13"/>
      <c r="P811" s="13"/>
      <c r="Q811" s="13"/>
      <c r="R811" s="13"/>
      <c r="S811" s="13"/>
      <c r="T811" s="13"/>
      <c r="U811" s="23"/>
    </row>
    <row r="812" spans="11:21" ht="15.6">
      <c r="K812" s="128"/>
      <c r="L812" s="13"/>
      <c r="M812" s="13"/>
      <c r="N812" s="13"/>
      <c r="O812" s="13"/>
      <c r="P812" s="13"/>
      <c r="Q812" s="13"/>
      <c r="R812" s="13"/>
      <c r="S812" s="13"/>
      <c r="T812" s="13"/>
      <c r="U812" s="23"/>
    </row>
    <row r="813" spans="11:21" ht="15.6">
      <c r="K813" s="128"/>
      <c r="L813" s="13"/>
      <c r="M813" s="13"/>
      <c r="N813" s="13"/>
      <c r="O813" s="13"/>
      <c r="P813" s="13"/>
      <c r="Q813" s="13"/>
      <c r="R813" s="13"/>
      <c r="S813" s="13"/>
      <c r="T813" s="13"/>
      <c r="U813" s="23"/>
    </row>
    <row r="814" spans="11:21" ht="15.6">
      <c r="K814" s="128"/>
      <c r="L814" s="13"/>
      <c r="M814" s="13"/>
      <c r="N814" s="13"/>
      <c r="O814" s="13"/>
      <c r="P814" s="13"/>
      <c r="Q814" s="13"/>
      <c r="R814" s="13"/>
      <c r="S814" s="13"/>
      <c r="T814" s="13"/>
      <c r="U814" s="23"/>
    </row>
    <row r="815" spans="11:21" ht="15.6">
      <c r="K815" s="128"/>
      <c r="L815" s="13"/>
      <c r="M815" s="13"/>
      <c r="N815" s="13"/>
      <c r="O815" s="13"/>
      <c r="P815" s="13"/>
      <c r="Q815" s="13"/>
      <c r="R815" s="13"/>
      <c r="S815" s="13"/>
      <c r="T815" s="13"/>
      <c r="U815" s="23"/>
    </row>
    <row r="816" spans="11:21" ht="15.6">
      <c r="K816" s="128"/>
      <c r="L816" s="13"/>
      <c r="M816" s="13"/>
      <c r="N816" s="13"/>
      <c r="O816" s="13"/>
      <c r="P816" s="13"/>
      <c r="Q816" s="13"/>
      <c r="R816" s="13"/>
      <c r="S816" s="13"/>
      <c r="T816" s="13"/>
      <c r="U816" s="23"/>
    </row>
    <row r="817" spans="11:21" ht="15.6">
      <c r="K817" s="128"/>
      <c r="L817" s="13"/>
      <c r="M817" s="13"/>
      <c r="N817" s="13"/>
      <c r="O817" s="13"/>
      <c r="P817" s="13"/>
      <c r="Q817" s="13"/>
      <c r="R817" s="13"/>
      <c r="S817" s="13"/>
      <c r="T817" s="13"/>
      <c r="U817" s="23"/>
    </row>
    <row r="818" spans="11:21" ht="15.6">
      <c r="K818" s="128"/>
      <c r="L818" s="13"/>
      <c r="M818" s="13"/>
      <c r="N818" s="13"/>
      <c r="O818" s="13"/>
      <c r="P818" s="13"/>
      <c r="Q818" s="13"/>
      <c r="R818" s="13"/>
      <c r="S818" s="13"/>
      <c r="T818" s="13"/>
      <c r="U818" s="23"/>
    </row>
    <row r="819" spans="11:21" ht="15.6">
      <c r="K819" s="128"/>
      <c r="L819" s="13"/>
      <c r="M819" s="13"/>
      <c r="N819" s="13"/>
      <c r="O819" s="13"/>
      <c r="P819" s="13"/>
      <c r="Q819" s="13"/>
      <c r="R819" s="13"/>
      <c r="S819" s="13"/>
      <c r="T819" s="13"/>
      <c r="U819" s="23"/>
    </row>
    <row r="820" spans="11:21" ht="15.6">
      <c r="K820" s="128"/>
      <c r="L820" s="13"/>
      <c r="M820" s="13"/>
      <c r="N820" s="13"/>
      <c r="O820" s="13"/>
      <c r="P820" s="13"/>
      <c r="Q820" s="13"/>
      <c r="R820" s="13"/>
      <c r="S820" s="13"/>
      <c r="T820" s="13"/>
      <c r="U820" s="23"/>
    </row>
    <row r="821" spans="11:21" ht="15.6">
      <c r="K821" s="128"/>
      <c r="L821" s="13"/>
      <c r="M821" s="13"/>
      <c r="N821" s="13"/>
      <c r="O821" s="13"/>
      <c r="P821" s="13"/>
      <c r="Q821" s="13"/>
      <c r="R821" s="13"/>
      <c r="S821" s="13"/>
      <c r="T821" s="13"/>
      <c r="U821" s="23"/>
    </row>
    <row r="822" spans="11:21" ht="15.6">
      <c r="K822" s="128"/>
      <c r="L822" s="13"/>
      <c r="M822" s="13"/>
      <c r="N822" s="13"/>
      <c r="O822" s="13"/>
      <c r="P822" s="13"/>
      <c r="Q822" s="13"/>
      <c r="R822" s="13"/>
      <c r="S822" s="13"/>
      <c r="T822" s="13"/>
      <c r="U822" s="23"/>
    </row>
    <row r="823" spans="11:21" ht="15.6">
      <c r="K823" s="128"/>
      <c r="L823" s="13"/>
      <c r="M823" s="13"/>
      <c r="N823" s="13"/>
      <c r="O823" s="13"/>
      <c r="P823" s="13"/>
      <c r="Q823" s="13"/>
      <c r="R823" s="13"/>
      <c r="S823" s="13"/>
      <c r="T823" s="13"/>
      <c r="U823" s="23"/>
    </row>
    <row r="824" spans="11:21" ht="15.6">
      <c r="K824" s="128"/>
      <c r="L824" s="13"/>
      <c r="M824" s="13"/>
      <c r="N824" s="13"/>
      <c r="O824" s="13"/>
      <c r="P824" s="13"/>
      <c r="Q824" s="13"/>
      <c r="R824" s="13"/>
      <c r="S824" s="13"/>
      <c r="T824" s="13"/>
      <c r="U824" s="23"/>
    </row>
    <row r="825" spans="11:21" ht="15.6">
      <c r="K825" s="128"/>
      <c r="L825" s="13"/>
      <c r="M825" s="13"/>
      <c r="N825" s="13"/>
      <c r="O825" s="13"/>
      <c r="P825" s="13"/>
      <c r="Q825" s="13"/>
      <c r="R825" s="13"/>
      <c r="S825" s="13"/>
      <c r="T825" s="13"/>
      <c r="U825" s="23"/>
    </row>
    <row r="826" spans="11:21" ht="15.6">
      <c r="K826" s="128"/>
      <c r="L826" s="13"/>
      <c r="M826" s="13"/>
      <c r="N826" s="13"/>
      <c r="O826" s="13"/>
      <c r="P826" s="13"/>
      <c r="Q826" s="13"/>
      <c r="R826" s="13"/>
      <c r="S826" s="13"/>
      <c r="T826" s="13"/>
      <c r="U826" s="23"/>
    </row>
    <row r="827" spans="11:21" ht="15.6">
      <c r="K827" s="128"/>
      <c r="L827" s="13"/>
      <c r="M827" s="13"/>
      <c r="N827" s="13"/>
      <c r="O827" s="13"/>
      <c r="P827" s="13"/>
      <c r="Q827" s="13"/>
      <c r="R827" s="13"/>
      <c r="S827" s="13"/>
      <c r="T827" s="13"/>
      <c r="U827" s="23"/>
    </row>
    <row r="828" spans="11:21" ht="15.6">
      <c r="K828" s="128"/>
      <c r="L828" s="13"/>
      <c r="M828" s="13"/>
      <c r="N828" s="13"/>
      <c r="O828" s="13"/>
      <c r="P828" s="13"/>
      <c r="Q828" s="13"/>
      <c r="R828" s="13"/>
      <c r="S828" s="13"/>
      <c r="T828" s="13"/>
      <c r="U828" s="23"/>
    </row>
    <row r="829" spans="11:21" ht="15.6">
      <c r="K829" s="128"/>
      <c r="L829" s="13"/>
      <c r="M829" s="13"/>
      <c r="N829" s="13"/>
      <c r="O829" s="13"/>
      <c r="P829" s="13"/>
      <c r="Q829" s="13"/>
      <c r="R829" s="13"/>
      <c r="S829" s="13"/>
      <c r="T829" s="13"/>
      <c r="U829" s="23"/>
    </row>
    <row r="830" spans="11:21" ht="15.6">
      <c r="K830" s="128"/>
      <c r="L830" s="13"/>
      <c r="M830" s="13"/>
      <c r="N830" s="13"/>
      <c r="O830" s="13"/>
      <c r="P830" s="13"/>
      <c r="Q830" s="13"/>
      <c r="R830" s="13"/>
      <c r="S830" s="13"/>
      <c r="T830" s="13"/>
      <c r="U830" s="23"/>
    </row>
    <row r="831" spans="11:21" ht="15.6">
      <c r="K831" s="128"/>
      <c r="L831" s="13"/>
      <c r="M831" s="13"/>
      <c r="N831" s="13"/>
      <c r="O831" s="13"/>
      <c r="P831" s="13"/>
      <c r="Q831" s="13"/>
      <c r="R831" s="13"/>
      <c r="S831" s="13"/>
      <c r="T831" s="13"/>
      <c r="U831" s="23"/>
    </row>
    <row r="832" spans="11:21" ht="15.6">
      <c r="K832" s="128"/>
      <c r="L832" s="13"/>
      <c r="M832" s="13"/>
      <c r="N832" s="13"/>
      <c r="O832" s="13"/>
      <c r="P832" s="13"/>
      <c r="Q832" s="13"/>
      <c r="R832" s="13"/>
      <c r="S832" s="13"/>
      <c r="T832" s="13"/>
      <c r="U832" s="23"/>
    </row>
    <row r="833" spans="11:21" ht="15.6">
      <c r="K833" s="128"/>
      <c r="L833" s="13"/>
      <c r="M833" s="13"/>
      <c r="N833" s="13"/>
      <c r="O833" s="13"/>
      <c r="P833" s="13"/>
      <c r="Q833" s="13"/>
      <c r="R833" s="13"/>
      <c r="S833" s="13"/>
      <c r="T833" s="13"/>
      <c r="U833" s="23"/>
    </row>
    <row r="834" spans="11:21" ht="15.6">
      <c r="K834" s="128"/>
      <c r="L834" s="13"/>
      <c r="M834" s="13"/>
      <c r="N834" s="13"/>
      <c r="O834" s="13"/>
      <c r="P834" s="13"/>
      <c r="Q834" s="13"/>
      <c r="R834" s="13"/>
      <c r="S834" s="13"/>
      <c r="T834" s="13"/>
      <c r="U834" s="23"/>
    </row>
    <row r="835" spans="11:21" ht="15.6">
      <c r="K835" s="128"/>
      <c r="L835" s="13"/>
      <c r="M835" s="13"/>
      <c r="N835" s="13"/>
      <c r="O835" s="13"/>
      <c r="P835" s="13"/>
      <c r="Q835" s="13"/>
      <c r="R835" s="13"/>
      <c r="S835" s="13"/>
      <c r="T835" s="13"/>
      <c r="U835" s="23"/>
    </row>
    <row r="836" spans="11:21" ht="15.6">
      <c r="K836" s="128"/>
      <c r="L836" s="13"/>
      <c r="M836" s="13"/>
      <c r="N836" s="13"/>
      <c r="O836" s="13"/>
      <c r="P836" s="13"/>
      <c r="Q836" s="13"/>
      <c r="R836" s="13"/>
      <c r="S836" s="13"/>
      <c r="T836" s="13"/>
      <c r="U836" s="23"/>
    </row>
    <row r="837" spans="11:21" ht="15.6">
      <c r="K837" s="128"/>
      <c r="L837" s="13"/>
      <c r="M837" s="13"/>
      <c r="N837" s="13"/>
      <c r="O837" s="13"/>
      <c r="P837" s="13"/>
      <c r="Q837" s="13"/>
      <c r="R837" s="13"/>
      <c r="S837" s="13"/>
      <c r="T837" s="13"/>
      <c r="U837" s="23"/>
    </row>
    <row r="838" spans="11:21" ht="15.6">
      <c r="K838" s="128"/>
      <c r="L838" s="13"/>
      <c r="M838" s="13"/>
      <c r="N838" s="13"/>
      <c r="O838" s="13"/>
      <c r="P838" s="13"/>
      <c r="Q838" s="13"/>
      <c r="R838" s="13"/>
      <c r="S838" s="13"/>
      <c r="T838" s="13"/>
      <c r="U838" s="23"/>
    </row>
    <row r="839" spans="11:21" ht="15.6">
      <c r="K839" s="128"/>
      <c r="L839" s="13"/>
      <c r="M839" s="13"/>
      <c r="N839" s="13"/>
      <c r="O839" s="13"/>
      <c r="P839" s="13"/>
      <c r="Q839" s="13"/>
      <c r="R839" s="13"/>
      <c r="S839" s="13"/>
      <c r="T839" s="13"/>
      <c r="U839" s="23"/>
    </row>
    <row r="840" spans="11:21" ht="15.6">
      <c r="K840" s="128"/>
      <c r="L840" s="13"/>
      <c r="M840" s="13"/>
      <c r="N840" s="13"/>
      <c r="O840" s="13"/>
      <c r="P840" s="13"/>
      <c r="Q840" s="13"/>
      <c r="R840" s="13"/>
      <c r="S840" s="13"/>
      <c r="T840" s="13"/>
      <c r="U840" s="23"/>
    </row>
    <row r="841" spans="11:21" ht="15.6">
      <c r="K841" s="128"/>
      <c r="L841" s="13"/>
      <c r="M841" s="13"/>
      <c r="N841" s="13"/>
      <c r="O841" s="13"/>
      <c r="P841" s="13"/>
      <c r="Q841" s="13"/>
      <c r="R841" s="13"/>
      <c r="S841" s="13"/>
      <c r="T841" s="13"/>
      <c r="U841" s="23"/>
    </row>
    <row r="842" spans="11:21" ht="15.6">
      <c r="K842" s="128"/>
      <c r="L842" s="13"/>
      <c r="M842" s="13"/>
      <c r="N842" s="13"/>
      <c r="O842" s="13"/>
      <c r="P842" s="13"/>
      <c r="Q842" s="13"/>
      <c r="R842" s="13"/>
      <c r="S842" s="13"/>
      <c r="T842" s="13"/>
      <c r="U842" s="23"/>
    </row>
    <row r="843" spans="11:21" ht="15.6">
      <c r="K843" s="128"/>
      <c r="L843" s="13"/>
      <c r="M843" s="13"/>
      <c r="N843" s="13"/>
      <c r="O843" s="13"/>
      <c r="P843" s="13"/>
      <c r="Q843" s="13"/>
      <c r="R843" s="13"/>
      <c r="S843" s="13"/>
      <c r="T843" s="13"/>
      <c r="U843" s="23"/>
    </row>
    <row r="844" spans="11:21" ht="15.6">
      <c r="K844" s="128"/>
      <c r="L844" s="13"/>
      <c r="M844" s="13"/>
      <c r="N844" s="13"/>
      <c r="O844" s="13"/>
      <c r="P844" s="13"/>
      <c r="Q844" s="13"/>
      <c r="R844" s="13"/>
      <c r="S844" s="13"/>
      <c r="T844" s="13"/>
      <c r="U844" s="23"/>
    </row>
    <row r="845" spans="11:21" ht="15.6">
      <c r="K845" s="128"/>
      <c r="L845" s="13"/>
      <c r="M845" s="13"/>
      <c r="N845" s="13"/>
      <c r="O845" s="13"/>
      <c r="P845" s="13"/>
      <c r="Q845" s="13"/>
      <c r="R845" s="13"/>
      <c r="S845" s="13"/>
      <c r="T845" s="13"/>
      <c r="U845" s="23"/>
    </row>
    <row r="846" spans="11:21" ht="15.6">
      <c r="K846" s="128"/>
      <c r="L846" s="13"/>
      <c r="M846" s="13"/>
      <c r="N846" s="13"/>
      <c r="O846" s="13"/>
      <c r="P846" s="13"/>
      <c r="Q846" s="13"/>
      <c r="R846" s="13"/>
      <c r="S846" s="13"/>
      <c r="T846" s="13"/>
      <c r="U846" s="23"/>
    </row>
    <row r="847" spans="11:21" ht="15.6">
      <c r="K847" s="128"/>
      <c r="L847" s="13"/>
      <c r="M847" s="13"/>
      <c r="N847" s="13"/>
      <c r="O847" s="13"/>
      <c r="P847" s="13"/>
      <c r="Q847" s="13"/>
      <c r="R847" s="13"/>
      <c r="S847" s="13"/>
      <c r="T847" s="13"/>
      <c r="U847" s="23"/>
    </row>
    <row r="848" spans="11:21" ht="15.6">
      <c r="K848" s="128"/>
      <c r="L848" s="13"/>
      <c r="M848" s="13"/>
      <c r="N848" s="13"/>
      <c r="O848" s="13"/>
      <c r="P848" s="13"/>
      <c r="Q848" s="13"/>
      <c r="R848" s="13"/>
      <c r="S848" s="13"/>
      <c r="T848" s="13"/>
      <c r="U848" s="23"/>
    </row>
    <row r="849" spans="11:21" ht="15.6">
      <c r="K849" s="128"/>
      <c r="L849" s="13"/>
      <c r="M849" s="13"/>
      <c r="N849" s="13"/>
      <c r="O849" s="13"/>
      <c r="P849" s="13"/>
      <c r="Q849" s="13"/>
      <c r="R849" s="13"/>
      <c r="S849" s="13"/>
      <c r="T849" s="13"/>
      <c r="U849" s="23"/>
    </row>
    <row r="850" spans="11:21" ht="15.6">
      <c r="K850" s="128"/>
      <c r="L850" s="13"/>
      <c r="M850" s="13"/>
      <c r="N850" s="13"/>
      <c r="O850" s="13"/>
      <c r="P850" s="13"/>
      <c r="Q850" s="13"/>
      <c r="R850" s="13"/>
      <c r="S850" s="13"/>
      <c r="T850" s="13"/>
      <c r="U850" s="23"/>
    </row>
    <row r="851" spans="11:21" ht="15.6">
      <c r="K851" s="128"/>
      <c r="L851" s="13"/>
      <c r="M851" s="13"/>
      <c r="N851" s="13"/>
      <c r="O851" s="13"/>
      <c r="P851" s="13"/>
      <c r="Q851" s="13"/>
      <c r="R851" s="13"/>
      <c r="S851" s="13"/>
      <c r="T851" s="13"/>
      <c r="U851" s="23"/>
    </row>
    <row r="852" spans="11:21" ht="15.6">
      <c r="K852" s="128"/>
      <c r="L852" s="13"/>
      <c r="M852" s="13"/>
      <c r="N852" s="13"/>
      <c r="O852" s="13"/>
      <c r="P852" s="13"/>
      <c r="Q852" s="13"/>
      <c r="R852" s="13"/>
      <c r="S852" s="13"/>
      <c r="T852" s="13"/>
      <c r="U852" s="23"/>
    </row>
    <row r="853" spans="11:21" ht="15.6">
      <c r="K853" s="128"/>
      <c r="L853" s="13"/>
      <c r="M853" s="13"/>
      <c r="N853" s="13"/>
      <c r="O853" s="13"/>
      <c r="P853" s="13"/>
      <c r="Q853" s="13"/>
      <c r="R853" s="13"/>
      <c r="S853" s="13"/>
      <c r="T853" s="13"/>
      <c r="U853" s="23"/>
    </row>
    <row r="854" spans="11:21" ht="15.6">
      <c r="K854" s="128"/>
      <c r="L854" s="13"/>
      <c r="M854" s="13"/>
      <c r="N854" s="13"/>
      <c r="O854" s="13"/>
      <c r="P854" s="13"/>
      <c r="Q854" s="13"/>
      <c r="R854" s="13"/>
      <c r="S854" s="13"/>
      <c r="T854" s="13"/>
      <c r="U854" s="23"/>
    </row>
    <row r="855" spans="11:21" ht="15.6">
      <c r="K855" s="128"/>
      <c r="L855" s="13"/>
      <c r="M855" s="13"/>
      <c r="N855" s="13"/>
      <c r="O855" s="13"/>
      <c r="P855" s="13"/>
      <c r="Q855" s="13"/>
      <c r="R855" s="13"/>
      <c r="S855" s="13"/>
      <c r="T855" s="13"/>
      <c r="U855" s="23"/>
    </row>
    <row r="856" spans="11:21" ht="15.6">
      <c r="K856" s="128"/>
      <c r="L856" s="13"/>
      <c r="M856" s="13"/>
      <c r="N856" s="13"/>
      <c r="O856" s="13"/>
      <c r="P856" s="13"/>
      <c r="Q856" s="13"/>
      <c r="R856" s="13"/>
      <c r="S856" s="13"/>
      <c r="T856" s="13"/>
      <c r="U856" s="23"/>
    </row>
    <row r="857" spans="11:21" ht="15.6">
      <c r="K857" s="128"/>
      <c r="L857" s="13"/>
      <c r="M857" s="13"/>
      <c r="N857" s="13"/>
      <c r="O857" s="13"/>
      <c r="P857" s="13"/>
      <c r="Q857" s="13"/>
      <c r="R857" s="13"/>
      <c r="S857" s="13"/>
      <c r="T857" s="13"/>
      <c r="U857" s="23"/>
    </row>
    <row r="858" spans="11:21" ht="15.6">
      <c r="K858" s="128"/>
      <c r="L858" s="13"/>
      <c r="M858" s="13"/>
      <c r="N858" s="13"/>
      <c r="O858" s="13"/>
      <c r="P858" s="13"/>
      <c r="Q858" s="13"/>
      <c r="R858" s="13"/>
      <c r="S858" s="13"/>
      <c r="T858" s="13"/>
      <c r="U858" s="23"/>
    </row>
    <row r="859" spans="11:21" ht="15.6">
      <c r="K859" s="128"/>
      <c r="L859" s="13"/>
      <c r="M859" s="13"/>
      <c r="N859" s="13"/>
      <c r="O859" s="13"/>
      <c r="P859" s="13"/>
      <c r="Q859" s="13"/>
      <c r="R859" s="13"/>
      <c r="S859" s="13"/>
      <c r="T859" s="13"/>
      <c r="U859" s="23"/>
    </row>
    <row r="860" spans="11:21" ht="15.6">
      <c r="K860" s="128"/>
      <c r="L860" s="13"/>
      <c r="M860" s="13"/>
      <c r="N860" s="13"/>
      <c r="O860" s="13"/>
      <c r="P860" s="13"/>
      <c r="Q860" s="13"/>
      <c r="R860" s="13"/>
      <c r="S860" s="13"/>
      <c r="T860" s="13"/>
      <c r="U860" s="23"/>
    </row>
    <row r="861" spans="11:21" ht="15.6">
      <c r="K861" s="128"/>
      <c r="L861" s="13"/>
      <c r="M861" s="13"/>
      <c r="N861" s="13"/>
      <c r="O861" s="13"/>
      <c r="P861" s="13"/>
      <c r="Q861" s="13"/>
      <c r="R861" s="13"/>
      <c r="S861" s="13"/>
      <c r="T861" s="13"/>
      <c r="U861" s="23"/>
    </row>
    <row r="862" spans="11:21" ht="15.6">
      <c r="K862" s="128"/>
      <c r="L862" s="13"/>
      <c r="M862" s="13"/>
      <c r="N862" s="13"/>
      <c r="O862" s="13"/>
      <c r="P862" s="13"/>
      <c r="Q862" s="13"/>
      <c r="R862" s="13"/>
      <c r="S862" s="13"/>
      <c r="T862" s="13"/>
      <c r="U862" s="23"/>
    </row>
    <row r="863" spans="11:21" ht="15.6">
      <c r="K863" s="128"/>
      <c r="L863" s="13"/>
      <c r="M863" s="13"/>
      <c r="N863" s="13"/>
      <c r="O863" s="13"/>
      <c r="P863" s="13"/>
      <c r="Q863" s="13"/>
      <c r="R863" s="13"/>
      <c r="S863" s="13"/>
      <c r="T863" s="13"/>
      <c r="U863" s="23"/>
    </row>
    <row r="864" spans="11:21" ht="15.6">
      <c r="K864" s="128"/>
      <c r="L864" s="13"/>
      <c r="M864" s="13"/>
      <c r="N864" s="13"/>
      <c r="O864" s="13"/>
      <c r="P864" s="13"/>
      <c r="Q864" s="13"/>
      <c r="R864" s="13"/>
      <c r="S864" s="13"/>
      <c r="T864" s="13"/>
      <c r="U864" s="23"/>
    </row>
    <row r="865" spans="11:21" ht="15.6">
      <c r="K865" s="128"/>
      <c r="L865" s="13"/>
      <c r="M865" s="13"/>
      <c r="N865" s="13"/>
      <c r="O865" s="13"/>
      <c r="P865" s="13"/>
      <c r="Q865" s="13"/>
      <c r="R865" s="13"/>
      <c r="S865" s="13"/>
      <c r="T865" s="13"/>
      <c r="U865" s="23"/>
    </row>
    <row r="866" spans="11:21" ht="15.6">
      <c r="K866" s="128"/>
      <c r="L866" s="13"/>
      <c r="M866" s="13"/>
      <c r="N866" s="13"/>
      <c r="O866" s="13"/>
      <c r="P866" s="13"/>
      <c r="Q866" s="13"/>
      <c r="R866" s="13"/>
      <c r="S866" s="13"/>
      <c r="T866" s="13"/>
      <c r="U866" s="23"/>
    </row>
    <row r="867" spans="11:21" ht="15.6">
      <c r="K867" s="128"/>
      <c r="L867" s="13"/>
      <c r="M867" s="13"/>
      <c r="N867" s="13"/>
      <c r="O867" s="13"/>
      <c r="P867" s="13"/>
      <c r="Q867" s="13"/>
      <c r="R867" s="13"/>
      <c r="S867" s="13"/>
      <c r="T867" s="13"/>
      <c r="U867" s="23"/>
    </row>
    <row r="868" spans="11:21" ht="15.6">
      <c r="K868" s="128"/>
      <c r="L868" s="13"/>
      <c r="M868" s="13"/>
      <c r="N868" s="13"/>
      <c r="O868" s="13"/>
      <c r="P868" s="13"/>
      <c r="Q868" s="13"/>
      <c r="R868" s="13"/>
      <c r="S868" s="13"/>
      <c r="T868" s="13"/>
      <c r="U868" s="23"/>
    </row>
    <row r="869" spans="11:21" ht="15.6">
      <c r="K869" s="128"/>
      <c r="L869" s="13"/>
      <c r="M869" s="13"/>
      <c r="N869" s="13"/>
      <c r="O869" s="13"/>
      <c r="P869" s="13"/>
      <c r="Q869" s="13"/>
      <c r="R869" s="13"/>
      <c r="S869" s="13"/>
      <c r="T869" s="13"/>
      <c r="U869" s="23"/>
    </row>
    <row r="870" spans="11:21" ht="15.6">
      <c r="K870" s="128"/>
      <c r="L870" s="13"/>
      <c r="M870" s="13"/>
      <c r="N870" s="13"/>
      <c r="O870" s="13"/>
      <c r="P870" s="13"/>
      <c r="Q870" s="13"/>
      <c r="R870" s="13"/>
      <c r="S870" s="13"/>
      <c r="T870" s="13"/>
      <c r="U870" s="23"/>
    </row>
    <row r="871" spans="11:21" ht="15.6">
      <c r="K871" s="128"/>
      <c r="L871" s="13"/>
      <c r="M871" s="13"/>
      <c r="N871" s="13"/>
      <c r="O871" s="13"/>
      <c r="P871" s="13"/>
      <c r="Q871" s="13"/>
      <c r="R871" s="13"/>
      <c r="S871" s="13"/>
      <c r="T871" s="13"/>
      <c r="U871" s="23"/>
    </row>
    <row r="872" spans="11:21" ht="15.6">
      <c r="K872" s="128"/>
      <c r="L872" s="13"/>
      <c r="M872" s="13"/>
      <c r="N872" s="13"/>
      <c r="O872" s="13"/>
      <c r="P872" s="13"/>
      <c r="Q872" s="13"/>
      <c r="R872" s="13"/>
      <c r="S872" s="13"/>
      <c r="T872" s="13"/>
      <c r="U872" s="23"/>
    </row>
    <row r="873" spans="11:21" ht="15.6">
      <c r="K873" s="128"/>
      <c r="L873" s="13"/>
      <c r="M873" s="13"/>
      <c r="N873" s="13"/>
      <c r="O873" s="13"/>
      <c r="P873" s="13"/>
      <c r="Q873" s="13"/>
      <c r="R873" s="13"/>
      <c r="S873" s="13"/>
      <c r="T873" s="13"/>
      <c r="U873" s="23"/>
    </row>
    <row r="874" spans="11:21" ht="15.6">
      <c r="K874" s="128"/>
      <c r="L874" s="13"/>
      <c r="M874" s="13"/>
      <c r="N874" s="13"/>
      <c r="O874" s="13"/>
      <c r="P874" s="13"/>
      <c r="Q874" s="13"/>
      <c r="R874" s="13"/>
      <c r="S874" s="13"/>
      <c r="T874" s="13"/>
      <c r="U874" s="23"/>
    </row>
    <row r="875" spans="11:21" ht="15.6">
      <c r="K875" s="128"/>
      <c r="L875" s="13"/>
      <c r="M875" s="13"/>
      <c r="N875" s="13"/>
      <c r="O875" s="13"/>
      <c r="P875" s="13"/>
      <c r="Q875" s="13"/>
      <c r="R875" s="13"/>
      <c r="S875" s="13"/>
      <c r="T875" s="13"/>
      <c r="U875" s="23"/>
    </row>
    <row r="876" spans="11:21" ht="15.6">
      <c r="K876" s="128"/>
      <c r="L876" s="13"/>
      <c r="M876" s="13"/>
      <c r="N876" s="13"/>
      <c r="O876" s="13"/>
      <c r="P876" s="13"/>
      <c r="Q876" s="13"/>
      <c r="R876" s="13"/>
      <c r="S876" s="13"/>
      <c r="T876" s="13"/>
      <c r="U876" s="23"/>
    </row>
    <row r="877" spans="11:21" ht="15.6">
      <c r="K877" s="128"/>
      <c r="L877" s="13"/>
      <c r="M877" s="13"/>
      <c r="N877" s="13"/>
      <c r="O877" s="13"/>
      <c r="P877" s="13"/>
      <c r="Q877" s="13"/>
      <c r="R877" s="13"/>
      <c r="S877" s="13"/>
      <c r="T877" s="13"/>
      <c r="U877" s="23"/>
    </row>
    <row r="878" spans="11:21" ht="15.6">
      <c r="K878" s="128"/>
      <c r="L878" s="13"/>
      <c r="M878" s="13"/>
      <c r="N878" s="13"/>
      <c r="O878" s="13"/>
      <c r="P878" s="13"/>
      <c r="Q878" s="13"/>
      <c r="R878" s="13"/>
      <c r="S878" s="13"/>
      <c r="T878" s="13"/>
      <c r="U878" s="23"/>
    </row>
    <row r="879" spans="11:21" ht="15.6">
      <c r="K879" s="128"/>
      <c r="L879" s="13"/>
      <c r="M879" s="13"/>
      <c r="N879" s="13"/>
      <c r="O879" s="13"/>
      <c r="P879" s="13"/>
      <c r="Q879" s="13"/>
      <c r="R879" s="13"/>
      <c r="S879" s="13"/>
      <c r="T879" s="13"/>
      <c r="U879" s="23"/>
    </row>
    <row r="880" spans="11:21" ht="15.6">
      <c r="K880" s="128"/>
      <c r="L880" s="13"/>
      <c r="M880" s="13"/>
      <c r="N880" s="13"/>
      <c r="O880" s="13"/>
      <c r="P880" s="13"/>
      <c r="Q880" s="13"/>
      <c r="R880" s="13"/>
      <c r="S880" s="13"/>
      <c r="T880" s="13"/>
      <c r="U880" s="23"/>
    </row>
    <row r="881" spans="11:21" ht="15.6">
      <c r="K881" s="128"/>
      <c r="L881" s="13"/>
      <c r="M881" s="13"/>
      <c r="N881" s="13"/>
      <c r="O881" s="13"/>
      <c r="P881" s="13"/>
      <c r="Q881" s="13"/>
      <c r="R881" s="13"/>
      <c r="S881" s="13"/>
      <c r="T881" s="13"/>
      <c r="U881" s="23"/>
    </row>
    <row r="882" spans="11:21" ht="15.6">
      <c r="K882" s="128"/>
      <c r="L882" s="13"/>
      <c r="M882" s="13"/>
      <c r="N882" s="13"/>
      <c r="O882" s="13"/>
      <c r="P882" s="13"/>
      <c r="Q882" s="13"/>
      <c r="R882" s="13"/>
      <c r="S882" s="13"/>
      <c r="T882" s="13"/>
      <c r="U882" s="23"/>
    </row>
    <row r="883" spans="11:21" ht="15.6">
      <c r="K883" s="128"/>
      <c r="L883" s="13"/>
      <c r="M883" s="13"/>
      <c r="N883" s="13"/>
      <c r="O883" s="13"/>
      <c r="P883" s="13"/>
      <c r="Q883" s="13"/>
      <c r="R883" s="13"/>
      <c r="S883" s="13"/>
      <c r="T883" s="13"/>
      <c r="U883" s="23"/>
    </row>
    <row r="884" spans="11:21" ht="15.6">
      <c r="K884" s="128"/>
      <c r="L884" s="13"/>
      <c r="M884" s="13"/>
      <c r="N884" s="13"/>
      <c r="O884" s="13"/>
      <c r="P884" s="13"/>
      <c r="Q884" s="13"/>
      <c r="R884" s="13"/>
      <c r="S884" s="13"/>
      <c r="T884" s="13"/>
      <c r="U884" s="23"/>
    </row>
    <row r="885" spans="11:21" ht="15.6">
      <c r="K885" s="128"/>
      <c r="L885" s="13"/>
      <c r="M885" s="13"/>
      <c r="N885" s="13"/>
      <c r="O885" s="13"/>
      <c r="P885" s="13"/>
      <c r="Q885" s="13"/>
      <c r="R885" s="13"/>
      <c r="S885" s="13"/>
      <c r="T885" s="13"/>
      <c r="U885" s="23"/>
    </row>
    <row r="886" spans="11:21" ht="15.6">
      <c r="K886" s="128"/>
      <c r="L886" s="13"/>
      <c r="M886" s="13"/>
      <c r="N886" s="13"/>
      <c r="O886" s="13"/>
      <c r="P886" s="13"/>
      <c r="Q886" s="13"/>
      <c r="R886" s="13"/>
      <c r="S886" s="13"/>
      <c r="T886" s="13"/>
      <c r="U886" s="23"/>
    </row>
    <row r="887" spans="11:21" ht="15.6">
      <c r="K887" s="128"/>
      <c r="L887" s="13"/>
      <c r="M887" s="13"/>
      <c r="N887" s="13"/>
      <c r="O887" s="13"/>
      <c r="P887" s="13"/>
      <c r="Q887" s="13"/>
      <c r="R887" s="13"/>
      <c r="S887" s="13"/>
      <c r="T887" s="13"/>
      <c r="U887" s="23"/>
    </row>
    <row r="888" spans="11:21" ht="15.6">
      <c r="K888" s="128"/>
      <c r="L888" s="13"/>
      <c r="M888" s="13"/>
      <c r="N888" s="13"/>
      <c r="O888" s="13"/>
      <c r="P888" s="13"/>
      <c r="Q888" s="13"/>
      <c r="R888" s="13"/>
      <c r="S888" s="13"/>
      <c r="T888" s="13"/>
      <c r="U888" s="23"/>
    </row>
    <row r="889" spans="11:21" ht="15.6">
      <c r="K889" s="128"/>
      <c r="L889" s="13"/>
      <c r="M889" s="13"/>
      <c r="N889" s="13"/>
      <c r="O889" s="13"/>
      <c r="P889" s="13"/>
      <c r="Q889" s="13"/>
      <c r="R889" s="13"/>
      <c r="S889" s="13"/>
      <c r="T889" s="13"/>
      <c r="U889" s="23"/>
    </row>
    <row r="890" spans="11:21" ht="15.6">
      <c r="K890" s="128"/>
      <c r="L890" s="13"/>
      <c r="M890" s="13"/>
      <c r="N890" s="13"/>
      <c r="O890" s="13"/>
      <c r="P890" s="13"/>
      <c r="Q890" s="13"/>
      <c r="R890" s="13"/>
      <c r="S890" s="13"/>
      <c r="T890" s="13"/>
      <c r="U890" s="23"/>
    </row>
    <row r="891" spans="11:21" ht="15.6">
      <c r="K891" s="128"/>
      <c r="L891" s="13"/>
      <c r="M891" s="13"/>
      <c r="N891" s="13"/>
      <c r="O891" s="13"/>
      <c r="P891" s="13"/>
      <c r="Q891" s="13"/>
      <c r="R891" s="13"/>
      <c r="S891" s="13"/>
      <c r="T891" s="13"/>
      <c r="U891" s="23"/>
    </row>
    <row r="892" spans="11:21" ht="15.6">
      <c r="K892" s="128"/>
      <c r="L892" s="13"/>
      <c r="M892" s="13"/>
      <c r="N892" s="13"/>
      <c r="O892" s="13"/>
      <c r="P892" s="13"/>
      <c r="Q892" s="13"/>
      <c r="R892" s="13"/>
      <c r="S892" s="13"/>
      <c r="T892" s="13"/>
      <c r="U892" s="23"/>
    </row>
    <row r="893" spans="11:21" ht="15.6">
      <c r="K893" s="128"/>
      <c r="L893" s="13"/>
      <c r="M893" s="13"/>
      <c r="N893" s="13"/>
      <c r="O893" s="13"/>
      <c r="P893" s="13"/>
      <c r="Q893" s="13"/>
      <c r="R893" s="13"/>
      <c r="S893" s="13"/>
      <c r="T893" s="13"/>
      <c r="U893" s="23"/>
    </row>
    <row r="894" spans="11:21" ht="15.6">
      <c r="K894" s="128"/>
      <c r="L894" s="13"/>
      <c r="M894" s="13"/>
      <c r="N894" s="13"/>
      <c r="O894" s="13"/>
      <c r="P894" s="13"/>
      <c r="Q894" s="13"/>
      <c r="R894" s="13"/>
      <c r="S894" s="13"/>
      <c r="T894" s="13"/>
      <c r="U894" s="23"/>
    </row>
    <row r="895" spans="11:21" ht="15.6">
      <c r="K895" s="128"/>
      <c r="L895" s="13"/>
      <c r="M895" s="13"/>
      <c r="N895" s="13"/>
      <c r="O895" s="13"/>
      <c r="P895" s="13"/>
      <c r="Q895" s="13"/>
      <c r="R895" s="13"/>
      <c r="S895" s="13"/>
      <c r="T895" s="13"/>
      <c r="U895" s="23"/>
    </row>
    <row r="896" spans="11:21" ht="15.6">
      <c r="K896" s="128"/>
      <c r="L896" s="13"/>
      <c r="M896" s="13"/>
      <c r="N896" s="13"/>
      <c r="O896" s="13"/>
      <c r="P896" s="13"/>
      <c r="Q896" s="13"/>
      <c r="R896" s="13"/>
      <c r="S896" s="13"/>
      <c r="T896" s="13"/>
      <c r="U896" s="23"/>
    </row>
    <row r="897" spans="11:21" ht="15.6">
      <c r="K897" s="128"/>
      <c r="L897" s="13"/>
      <c r="M897" s="13"/>
      <c r="N897" s="13"/>
      <c r="O897" s="13"/>
      <c r="P897" s="13"/>
      <c r="Q897" s="13"/>
      <c r="R897" s="13"/>
      <c r="S897" s="13"/>
      <c r="T897" s="13"/>
      <c r="U897" s="23"/>
    </row>
    <row r="898" spans="11:21" ht="15.6">
      <c r="K898" s="128"/>
      <c r="L898" s="13"/>
      <c r="M898" s="13"/>
      <c r="N898" s="13"/>
      <c r="O898" s="13"/>
      <c r="P898" s="13"/>
      <c r="Q898" s="13"/>
      <c r="R898" s="13"/>
      <c r="S898" s="13"/>
      <c r="T898" s="13"/>
      <c r="U898" s="23"/>
    </row>
    <row r="899" spans="11:21" ht="15.6">
      <c r="K899" s="128"/>
      <c r="L899" s="13"/>
      <c r="M899" s="13"/>
      <c r="N899" s="13"/>
      <c r="O899" s="13"/>
      <c r="P899" s="13"/>
      <c r="Q899" s="13"/>
      <c r="R899" s="13"/>
      <c r="S899" s="13"/>
      <c r="T899" s="13"/>
      <c r="U899" s="23"/>
    </row>
    <row r="900" spans="11:21" ht="15.6">
      <c r="K900" s="128"/>
      <c r="L900" s="13"/>
      <c r="M900" s="13"/>
      <c r="N900" s="13"/>
      <c r="O900" s="13"/>
      <c r="P900" s="13"/>
      <c r="Q900" s="13"/>
      <c r="R900" s="13"/>
      <c r="S900" s="13"/>
      <c r="T900" s="13"/>
      <c r="U900" s="23"/>
    </row>
    <row r="901" spans="11:21" ht="15.6">
      <c r="K901" s="128"/>
      <c r="L901" s="13"/>
      <c r="M901" s="13"/>
      <c r="N901" s="13"/>
      <c r="O901" s="13"/>
      <c r="P901" s="13"/>
      <c r="Q901" s="13"/>
      <c r="R901" s="13"/>
      <c r="S901" s="13"/>
      <c r="T901" s="13"/>
      <c r="U901" s="23"/>
    </row>
    <row r="902" spans="11:21" ht="15.6">
      <c r="K902" s="128"/>
      <c r="L902" s="13"/>
      <c r="M902" s="13"/>
      <c r="N902" s="13"/>
      <c r="O902" s="13"/>
      <c r="P902" s="13"/>
      <c r="Q902" s="13"/>
      <c r="R902" s="13"/>
      <c r="S902" s="13"/>
      <c r="T902" s="13"/>
      <c r="U902" s="23"/>
    </row>
    <row r="903" spans="11:21" ht="15.6">
      <c r="K903" s="128"/>
      <c r="L903" s="13"/>
      <c r="M903" s="13"/>
      <c r="N903" s="13"/>
      <c r="O903" s="13"/>
      <c r="P903" s="13"/>
      <c r="Q903" s="13"/>
      <c r="R903" s="13"/>
      <c r="S903" s="13"/>
      <c r="T903" s="13"/>
      <c r="U903" s="23"/>
    </row>
    <row r="904" spans="11:21" ht="15.6">
      <c r="K904" s="128"/>
      <c r="L904" s="13"/>
      <c r="M904" s="13"/>
      <c r="N904" s="13"/>
      <c r="O904" s="13"/>
      <c r="P904" s="13"/>
      <c r="Q904" s="13"/>
      <c r="R904" s="13"/>
      <c r="S904" s="13"/>
      <c r="T904" s="13"/>
      <c r="U904" s="23"/>
    </row>
    <row r="905" spans="11:21" ht="15.6">
      <c r="K905" s="128"/>
      <c r="L905" s="13"/>
      <c r="M905" s="13"/>
      <c r="N905" s="13"/>
      <c r="O905" s="13"/>
      <c r="P905" s="13"/>
      <c r="Q905" s="13"/>
      <c r="R905" s="13"/>
      <c r="S905" s="13"/>
      <c r="T905" s="13"/>
      <c r="U905" s="23"/>
    </row>
    <row r="906" spans="11:21" ht="15.6">
      <c r="K906" s="128"/>
      <c r="L906" s="13"/>
      <c r="M906" s="13"/>
      <c r="N906" s="13"/>
      <c r="O906" s="13"/>
      <c r="P906" s="13"/>
      <c r="Q906" s="13"/>
      <c r="R906" s="13"/>
      <c r="S906" s="13"/>
      <c r="T906" s="13"/>
      <c r="U906" s="23"/>
    </row>
    <row r="907" spans="11:21" ht="15.6">
      <c r="K907" s="128"/>
      <c r="L907" s="13"/>
      <c r="M907" s="13"/>
      <c r="N907" s="13"/>
      <c r="O907" s="13"/>
      <c r="P907" s="13"/>
      <c r="Q907" s="13"/>
      <c r="R907" s="13"/>
      <c r="S907" s="13"/>
      <c r="T907" s="13"/>
      <c r="U907" s="23"/>
    </row>
    <row r="908" spans="11:21" ht="15.6">
      <c r="K908" s="128"/>
      <c r="L908" s="13"/>
      <c r="M908" s="13"/>
      <c r="N908" s="13"/>
      <c r="O908" s="13"/>
      <c r="P908" s="13"/>
      <c r="Q908" s="13"/>
      <c r="R908" s="13"/>
      <c r="S908" s="13"/>
      <c r="T908" s="13"/>
      <c r="U908" s="23"/>
    </row>
    <row r="909" spans="11:21" ht="15.6">
      <c r="K909" s="128"/>
      <c r="L909" s="13"/>
      <c r="M909" s="13"/>
      <c r="N909" s="13"/>
      <c r="O909" s="13"/>
      <c r="P909" s="13"/>
      <c r="Q909" s="13"/>
      <c r="R909" s="13"/>
      <c r="S909" s="13"/>
      <c r="T909" s="13"/>
      <c r="U909" s="23"/>
    </row>
    <row r="910" spans="11:21" ht="15.6">
      <c r="K910" s="128"/>
      <c r="L910" s="13"/>
      <c r="M910" s="13"/>
      <c r="N910" s="13"/>
      <c r="O910" s="13"/>
      <c r="P910" s="13"/>
      <c r="Q910" s="13"/>
      <c r="R910" s="13"/>
      <c r="S910" s="13"/>
      <c r="T910" s="13"/>
      <c r="U910" s="23"/>
    </row>
    <row r="911" spans="11:21" ht="15.6">
      <c r="K911" s="128"/>
      <c r="L911" s="13"/>
      <c r="M911" s="13"/>
      <c r="N911" s="13"/>
      <c r="O911" s="13"/>
      <c r="P911" s="13"/>
      <c r="Q911" s="13"/>
      <c r="R911" s="13"/>
      <c r="S911" s="13"/>
      <c r="T911" s="13"/>
      <c r="U911" s="23"/>
    </row>
    <row r="912" spans="11:21" ht="15.6">
      <c r="K912" s="128"/>
      <c r="L912" s="13"/>
      <c r="M912" s="13"/>
      <c r="N912" s="13"/>
      <c r="O912" s="13"/>
      <c r="P912" s="13"/>
      <c r="Q912" s="13"/>
      <c r="R912" s="13"/>
      <c r="S912" s="13"/>
      <c r="T912" s="13"/>
      <c r="U912" s="23"/>
    </row>
    <row r="913" spans="11:21" ht="15.6">
      <c r="K913" s="128"/>
      <c r="L913" s="13"/>
      <c r="M913" s="13"/>
      <c r="N913" s="13"/>
      <c r="O913" s="13"/>
      <c r="P913" s="13"/>
      <c r="Q913" s="13"/>
      <c r="R913" s="13"/>
      <c r="S913" s="13"/>
      <c r="T913" s="13"/>
      <c r="U913" s="23"/>
    </row>
    <row r="914" spans="11:21" ht="15.6">
      <c r="K914" s="128"/>
      <c r="L914" s="13"/>
      <c r="M914" s="13"/>
      <c r="N914" s="13"/>
      <c r="O914" s="13"/>
      <c r="P914" s="13"/>
      <c r="Q914" s="13"/>
      <c r="R914" s="13"/>
      <c r="S914" s="13"/>
      <c r="T914" s="13"/>
      <c r="U914" s="23"/>
    </row>
    <row r="915" spans="11:21" ht="15.6">
      <c r="K915" s="128"/>
      <c r="L915" s="13"/>
      <c r="M915" s="13"/>
      <c r="N915" s="13"/>
      <c r="O915" s="13"/>
      <c r="P915" s="13"/>
      <c r="Q915" s="13"/>
      <c r="R915" s="13"/>
      <c r="S915" s="13"/>
      <c r="T915" s="13"/>
      <c r="U915" s="23"/>
    </row>
    <row r="916" spans="11:21" ht="15.6">
      <c r="K916" s="128"/>
      <c r="L916" s="13"/>
      <c r="M916" s="13"/>
      <c r="N916" s="13"/>
      <c r="O916" s="13"/>
      <c r="P916" s="13"/>
      <c r="Q916" s="13"/>
      <c r="R916" s="13"/>
      <c r="S916" s="13"/>
      <c r="T916" s="13"/>
      <c r="U916" s="23"/>
    </row>
    <row r="917" spans="11:21" ht="15.6">
      <c r="K917" s="128"/>
      <c r="L917" s="13"/>
      <c r="M917" s="13"/>
      <c r="N917" s="13"/>
      <c r="O917" s="13"/>
      <c r="P917" s="13"/>
      <c r="Q917" s="13"/>
      <c r="R917" s="13"/>
      <c r="S917" s="13"/>
      <c r="T917" s="13"/>
      <c r="U917" s="23"/>
    </row>
    <row r="918" spans="11:21" ht="15.6">
      <c r="K918" s="128"/>
      <c r="L918" s="13"/>
      <c r="M918" s="13"/>
      <c r="N918" s="13"/>
      <c r="O918" s="13"/>
      <c r="P918" s="13"/>
      <c r="Q918" s="13"/>
      <c r="R918" s="13"/>
      <c r="S918" s="13"/>
      <c r="T918" s="13"/>
      <c r="U918" s="23"/>
    </row>
    <row r="919" spans="11:21" ht="15.6">
      <c r="K919" s="128"/>
      <c r="L919" s="13"/>
      <c r="M919" s="13"/>
      <c r="N919" s="13"/>
      <c r="O919" s="13"/>
      <c r="P919" s="13"/>
      <c r="Q919" s="13"/>
      <c r="R919" s="13"/>
      <c r="S919" s="13"/>
      <c r="T919" s="13"/>
      <c r="U919" s="23"/>
    </row>
    <row r="920" spans="11:21" ht="15.6">
      <c r="K920" s="128"/>
      <c r="L920" s="13"/>
      <c r="M920" s="13"/>
      <c r="N920" s="13"/>
      <c r="O920" s="13"/>
      <c r="P920" s="13"/>
      <c r="Q920" s="13"/>
      <c r="R920" s="13"/>
      <c r="S920" s="13"/>
      <c r="T920" s="13"/>
      <c r="U920" s="23"/>
    </row>
    <row r="921" spans="11:21" ht="15.6">
      <c r="K921" s="128"/>
      <c r="L921" s="13"/>
      <c r="M921" s="13"/>
      <c r="N921" s="13"/>
      <c r="O921" s="13"/>
      <c r="P921" s="13"/>
      <c r="Q921" s="13"/>
      <c r="R921" s="13"/>
      <c r="S921" s="13"/>
      <c r="T921" s="13"/>
      <c r="U921" s="23"/>
    </row>
    <row r="922" spans="11:21" ht="15.6">
      <c r="K922" s="128"/>
      <c r="L922" s="13"/>
      <c r="M922" s="13"/>
      <c r="N922" s="13"/>
      <c r="O922" s="13"/>
      <c r="P922" s="13"/>
      <c r="Q922" s="13"/>
      <c r="R922" s="13"/>
      <c r="S922" s="13"/>
      <c r="T922" s="13"/>
      <c r="U922" s="23"/>
    </row>
    <row r="923" spans="11:21" ht="15.6">
      <c r="K923" s="128"/>
      <c r="L923" s="13"/>
      <c r="M923" s="13"/>
      <c r="N923" s="13"/>
      <c r="O923" s="13"/>
      <c r="P923" s="13"/>
      <c r="Q923" s="13"/>
      <c r="R923" s="13"/>
      <c r="S923" s="13"/>
      <c r="T923" s="13"/>
      <c r="U923" s="23"/>
    </row>
    <row r="924" spans="11:21" ht="15.6">
      <c r="K924" s="128"/>
      <c r="L924" s="13"/>
      <c r="M924" s="13"/>
      <c r="N924" s="13"/>
      <c r="O924" s="13"/>
      <c r="P924" s="13"/>
      <c r="Q924" s="13"/>
      <c r="R924" s="13"/>
      <c r="S924" s="13"/>
      <c r="T924" s="13"/>
      <c r="U924" s="23"/>
    </row>
    <row r="925" spans="11:21" ht="15.6">
      <c r="K925" s="128"/>
      <c r="L925" s="13"/>
      <c r="M925" s="13"/>
      <c r="N925" s="13"/>
      <c r="O925" s="13"/>
      <c r="P925" s="13"/>
      <c r="Q925" s="13"/>
      <c r="R925" s="13"/>
      <c r="S925" s="13"/>
      <c r="T925" s="13"/>
      <c r="U925" s="23"/>
    </row>
    <row r="926" spans="11:21" ht="15.6">
      <c r="K926" s="128"/>
      <c r="L926" s="13"/>
      <c r="M926" s="13"/>
      <c r="N926" s="13"/>
      <c r="O926" s="13"/>
      <c r="P926" s="13"/>
      <c r="Q926" s="13"/>
      <c r="R926" s="13"/>
      <c r="S926" s="13"/>
      <c r="T926" s="13"/>
      <c r="U926" s="23"/>
    </row>
    <row r="927" spans="11:21" ht="15.6">
      <c r="K927" s="128"/>
      <c r="L927" s="13"/>
      <c r="M927" s="13"/>
      <c r="N927" s="13"/>
      <c r="O927" s="13"/>
      <c r="P927" s="13"/>
      <c r="Q927" s="13"/>
      <c r="R927" s="13"/>
      <c r="S927" s="13"/>
      <c r="T927" s="13"/>
      <c r="U927" s="23"/>
    </row>
    <row r="928" spans="11:21" ht="15.6">
      <c r="K928" s="128"/>
      <c r="L928" s="13"/>
      <c r="M928" s="13"/>
      <c r="N928" s="13"/>
      <c r="O928" s="13"/>
      <c r="P928" s="13"/>
      <c r="Q928" s="13"/>
      <c r="R928" s="13"/>
      <c r="S928" s="13"/>
      <c r="T928" s="13"/>
      <c r="U928" s="23"/>
    </row>
    <row r="929" spans="11:21" ht="15.6">
      <c r="K929" s="128"/>
      <c r="L929" s="13"/>
      <c r="M929" s="13"/>
      <c r="N929" s="13"/>
      <c r="O929" s="13"/>
      <c r="P929" s="13"/>
      <c r="Q929" s="13"/>
      <c r="R929" s="13"/>
      <c r="S929" s="13"/>
      <c r="T929" s="13"/>
      <c r="U929" s="23"/>
    </row>
    <row r="930" spans="11:21" ht="15.6">
      <c r="K930" s="128"/>
      <c r="L930" s="13"/>
      <c r="M930" s="13"/>
      <c r="N930" s="13"/>
      <c r="O930" s="13"/>
      <c r="P930" s="13"/>
      <c r="Q930" s="13"/>
      <c r="R930" s="13"/>
      <c r="S930" s="13"/>
      <c r="T930" s="13"/>
      <c r="U930" s="23"/>
    </row>
    <row r="931" spans="11:21" ht="15.6">
      <c r="K931" s="128"/>
      <c r="L931" s="13"/>
      <c r="M931" s="13"/>
      <c r="N931" s="13"/>
      <c r="O931" s="13"/>
      <c r="P931" s="13"/>
      <c r="Q931" s="13"/>
      <c r="R931" s="13"/>
      <c r="S931" s="13"/>
      <c r="T931" s="13"/>
      <c r="U931" s="23"/>
    </row>
    <row r="932" spans="11:21" ht="15.6">
      <c r="K932" s="128"/>
      <c r="L932" s="13"/>
      <c r="M932" s="13"/>
      <c r="N932" s="13"/>
      <c r="O932" s="13"/>
      <c r="P932" s="13"/>
      <c r="Q932" s="13"/>
      <c r="R932" s="13"/>
      <c r="S932" s="13"/>
      <c r="T932" s="13"/>
      <c r="U932" s="23"/>
    </row>
    <row r="933" spans="11:21" ht="15.6">
      <c r="K933" s="128"/>
      <c r="L933" s="13"/>
      <c r="M933" s="13"/>
      <c r="N933" s="13"/>
      <c r="O933" s="13"/>
      <c r="P933" s="13"/>
      <c r="Q933" s="13"/>
      <c r="R933" s="13"/>
      <c r="S933" s="13"/>
      <c r="T933" s="13"/>
      <c r="U933" s="23"/>
    </row>
    <row r="934" spans="11:21" ht="15.6">
      <c r="K934" s="128"/>
      <c r="L934" s="13"/>
      <c r="M934" s="13"/>
      <c r="N934" s="13"/>
      <c r="O934" s="13"/>
      <c r="P934" s="13"/>
      <c r="Q934" s="13"/>
      <c r="R934" s="13"/>
      <c r="S934" s="13"/>
      <c r="T934" s="13"/>
      <c r="U934" s="23"/>
    </row>
    <row r="935" spans="11:21" ht="15.6">
      <c r="K935" s="128"/>
      <c r="L935" s="13"/>
      <c r="M935" s="13"/>
      <c r="N935" s="13"/>
      <c r="O935" s="13"/>
      <c r="P935" s="13"/>
      <c r="Q935" s="13"/>
      <c r="R935" s="13"/>
      <c r="S935" s="13"/>
      <c r="T935" s="13"/>
      <c r="U935" s="23"/>
    </row>
    <row r="936" spans="11:21" ht="15.6">
      <c r="K936" s="128"/>
      <c r="L936" s="13"/>
      <c r="M936" s="13"/>
      <c r="N936" s="13"/>
      <c r="O936" s="13"/>
      <c r="P936" s="13"/>
      <c r="Q936" s="13"/>
      <c r="R936" s="13"/>
      <c r="S936" s="13"/>
      <c r="T936" s="13"/>
      <c r="U936" s="23"/>
    </row>
    <row r="937" spans="11:21" ht="15.6">
      <c r="K937" s="128"/>
      <c r="L937" s="13"/>
      <c r="M937" s="13"/>
      <c r="N937" s="13"/>
      <c r="O937" s="13"/>
      <c r="P937" s="13"/>
      <c r="Q937" s="13"/>
      <c r="R937" s="13"/>
      <c r="S937" s="13"/>
      <c r="T937" s="13"/>
      <c r="U937" s="23"/>
    </row>
    <row r="938" spans="11:21" ht="15.6">
      <c r="K938" s="128"/>
      <c r="L938" s="13"/>
      <c r="M938" s="13"/>
      <c r="N938" s="13"/>
      <c r="O938" s="13"/>
      <c r="P938" s="13"/>
      <c r="Q938" s="13"/>
      <c r="R938" s="13"/>
      <c r="S938" s="13"/>
      <c r="T938" s="13"/>
      <c r="U938" s="23"/>
    </row>
    <row r="939" spans="11:21" ht="15.6">
      <c r="K939" s="128"/>
      <c r="L939" s="13"/>
      <c r="M939" s="13"/>
      <c r="N939" s="13"/>
      <c r="O939" s="13"/>
      <c r="P939" s="13"/>
      <c r="Q939" s="13"/>
      <c r="R939" s="13"/>
      <c r="S939" s="13"/>
      <c r="T939" s="13"/>
      <c r="U939" s="23"/>
    </row>
    <row r="940" spans="11:21" ht="15.6">
      <c r="K940" s="128"/>
      <c r="L940" s="13"/>
      <c r="M940" s="13"/>
      <c r="N940" s="13"/>
      <c r="O940" s="13"/>
      <c r="P940" s="13"/>
      <c r="Q940" s="13"/>
      <c r="R940" s="13"/>
      <c r="S940" s="13"/>
      <c r="T940" s="13"/>
      <c r="U940" s="23"/>
    </row>
    <row r="941" spans="11:21" ht="15.6">
      <c r="K941" s="128"/>
      <c r="L941" s="13"/>
      <c r="M941" s="13"/>
      <c r="N941" s="13"/>
      <c r="O941" s="13"/>
      <c r="P941" s="13"/>
      <c r="Q941" s="13"/>
      <c r="R941" s="13"/>
      <c r="S941" s="13"/>
      <c r="T941" s="13"/>
      <c r="U941" s="23"/>
    </row>
    <row r="942" spans="11:21" ht="15.6">
      <c r="K942" s="128"/>
      <c r="L942" s="13"/>
      <c r="M942" s="13"/>
      <c r="N942" s="13"/>
      <c r="O942" s="13"/>
      <c r="P942" s="13"/>
      <c r="Q942" s="13"/>
      <c r="R942" s="13"/>
      <c r="S942" s="13"/>
      <c r="T942" s="13"/>
      <c r="U942" s="23"/>
    </row>
    <row r="943" spans="11:21" ht="15.6">
      <c r="K943" s="128"/>
      <c r="L943" s="13"/>
      <c r="M943" s="13"/>
      <c r="N943" s="13"/>
      <c r="O943" s="13"/>
      <c r="P943" s="13"/>
      <c r="Q943" s="13"/>
      <c r="R943" s="13"/>
      <c r="S943" s="13"/>
      <c r="T943" s="13"/>
      <c r="U943" s="23"/>
    </row>
    <row r="944" spans="11:21" ht="15.6">
      <c r="K944" s="128"/>
      <c r="L944" s="13"/>
      <c r="M944" s="13"/>
      <c r="N944" s="13"/>
      <c r="O944" s="13"/>
      <c r="P944" s="13"/>
      <c r="Q944" s="13"/>
      <c r="R944" s="13"/>
      <c r="S944" s="13"/>
      <c r="T944" s="13"/>
      <c r="U944" s="23"/>
    </row>
    <row r="945" spans="11:21" ht="15.6">
      <c r="K945" s="128"/>
      <c r="L945" s="13"/>
      <c r="M945" s="13"/>
      <c r="N945" s="13"/>
      <c r="O945" s="13"/>
      <c r="P945" s="13"/>
      <c r="Q945" s="13"/>
      <c r="R945" s="13"/>
      <c r="S945" s="13"/>
      <c r="T945" s="13"/>
      <c r="U945" s="23"/>
    </row>
    <row r="946" spans="11:21" ht="15.6">
      <c r="K946" s="128"/>
      <c r="L946" s="13"/>
      <c r="M946" s="13"/>
      <c r="N946" s="13"/>
      <c r="O946" s="13"/>
      <c r="P946" s="13"/>
      <c r="Q946" s="13"/>
      <c r="R946" s="13"/>
      <c r="S946" s="13"/>
      <c r="T946" s="13"/>
      <c r="U946" s="23"/>
    </row>
    <row r="947" spans="11:21" ht="15.6">
      <c r="K947" s="128"/>
      <c r="L947" s="13"/>
      <c r="M947" s="13"/>
      <c r="N947" s="13"/>
      <c r="O947" s="13"/>
      <c r="P947" s="13"/>
      <c r="Q947" s="13"/>
      <c r="R947" s="13"/>
      <c r="S947" s="13"/>
      <c r="T947" s="13"/>
      <c r="U947" s="23"/>
    </row>
    <row r="948" spans="11:21" ht="15.6">
      <c r="K948" s="128"/>
      <c r="L948" s="13"/>
      <c r="M948" s="13"/>
      <c r="N948" s="13"/>
      <c r="O948" s="13"/>
      <c r="P948" s="13"/>
      <c r="Q948" s="13"/>
      <c r="R948" s="13"/>
      <c r="S948" s="13"/>
      <c r="T948" s="13"/>
      <c r="U948" s="23"/>
    </row>
    <row r="949" spans="11:21" ht="15.6">
      <c r="K949" s="128"/>
      <c r="L949" s="13"/>
      <c r="M949" s="13"/>
      <c r="N949" s="13"/>
      <c r="O949" s="13"/>
      <c r="P949" s="13"/>
      <c r="Q949" s="13"/>
      <c r="R949" s="13"/>
      <c r="S949" s="13"/>
      <c r="T949" s="13"/>
      <c r="U949" s="23"/>
    </row>
    <row r="950" spans="11:21" ht="15.6">
      <c r="K950" s="128"/>
      <c r="L950" s="13"/>
      <c r="M950" s="13"/>
      <c r="N950" s="13"/>
      <c r="O950" s="13"/>
      <c r="P950" s="13"/>
      <c r="Q950" s="13"/>
      <c r="R950" s="13"/>
      <c r="S950" s="13"/>
      <c r="T950" s="13"/>
      <c r="U950" s="23"/>
    </row>
    <row r="951" spans="11:21" ht="15.6">
      <c r="K951" s="128"/>
      <c r="L951" s="13"/>
      <c r="M951" s="13"/>
      <c r="N951" s="13"/>
      <c r="O951" s="13"/>
      <c r="P951" s="13"/>
      <c r="Q951" s="13"/>
      <c r="R951" s="13"/>
      <c r="S951" s="13"/>
      <c r="T951" s="13"/>
      <c r="U951" s="23"/>
    </row>
    <row r="952" spans="11:21" ht="15.6">
      <c r="K952" s="128"/>
      <c r="L952" s="13"/>
      <c r="M952" s="13"/>
      <c r="N952" s="13"/>
      <c r="O952" s="13"/>
      <c r="P952" s="13"/>
      <c r="Q952" s="13"/>
      <c r="R952" s="13"/>
      <c r="S952" s="13"/>
      <c r="T952" s="13"/>
      <c r="U952" s="23"/>
    </row>
    <row r="953" spans="11:21" ht="15.6">
      <c r="K953" s="128"/>
      <c r="L953" s="13"/>
      <c r="M953" s="13"/>
      <c r="N953" s="13"/>
      <c r="O953" s="13"/>
      <c r="P953" s="13"/>
      <c r="Q953" s="13"/>
      <c r="R953" s="13"/>
      <c r="S953" s="13"/>
      <c r="T953" s="13"/>
      <c r="U953" s="23"/>
    </row>
    <row r="954" spans="11:21" ht="15.6">
      <c r="K954" s="128"/>
      <c r="L954" s="13"/>
      <c r="M954" s="13"/>
      <c r="N954" s="13"/>
      <c r="O954" s="13"/>
      <c r="P954" s="13"/>
      <c r="Q954" s="13"/>
      <c r="R954" s="13"/>
      <c r="S954" s="13"/>
      <c r="T954" s="13"/>
      <c r="U954" s="23"/>
    </row>
    <row r="955" spans="11:21" ht="15.6">
      <c r="K955" s="128"/>
      <c r="L955" s="13"/>
      <c r="M955" s="13"/>
      <c r="N955" s="13"/>
      <c r="O955" s="13"/>
      <c r="P955" s="13"/>
      <c r="Q955" s="13"/>
      <c r="R955" s="13"/>
      <c r="S955" s="13"/>
      <c r="T955" s="13"/>
      <c r="U955" s="23"/>
    </row>
    <row r="956" spans="11:21" ht="15.6">
      <c r="K956" s="128"/>
      <c r="L956" s="13"/>
      <c r="M956" s="13"/>
      <c r="N956" s="13"/>
      <c r="O956" s="13"/>
      <c r="P956" s="13"/>
      <c r="Q956" s="13"/>
      <c r="R956" s="13"/>
      <c r="S956" s="13"/>
      <c r="T956" s="13"/>
      <c r="U956" s="23"/>
    </row>
    <row r="957" spans="11:21" ht="15.6">
      <c r="K957" s="128"/>
      <c r="L957" s="13"/>
      <c r="M957" s="13"/>
      <c r="N957" s="13"/>
      <c r="O957" s="13"/>
      <c r="P957" s="13"/>
      <c r="Q957" s="13"/>
      <c r="R957" s="13"/>
      <c r="S957" s="13"/>
      <c r="T957" s="13"/>
      <c r="U957" s="23"/>
    </row>
    <row r="958" spans="11:21" ht="15.6">
      <c r="K958" s="128"/>
      <c r="L958" s="13"/>
      <c r="M958" s="13"/>
      <c r="N958" s="13"/>
      <c r="O958" s="13"/>
      <c r="P958" s="13"/>
      <c r="Q958" s="13"/>
      <c r="R958" s="13"/>
      <c r="S958" s="13"/>
      <c r="T958" s="13"/>
      <c r="U958" s="23"/>
    </row>
    <row r="959" spans="11:21" ht="15.6">
      <c r="K959" s="128"/>
      <c r="L959" s="13"/>
      <c r="M959" s="13"/>
      <c r="N959" s="13"/>
      <c r="O959" s="13"/>
      <c r="P959" s="13"/>
      <c r="Q959" s="13"/>
      <c r="R959" s="13"/>
      <c r="S959" s="13"/>
      <c r="T959" s="13"/>
      <c r="U959" s="23"/>
    </row>
    <row r="960" spans="11:21" ht="15.6">
      <c r="K960" s="128"/>
      <c r="L960" s="13"/>
      <c r="M960" s="13"/>
      <c r="N960" s="13"/>
      <c r="O960" s="13"/>
      <c r="P960" s="13"/>
      <c r="Q960" s="13"/>
      <c r="R960" s="13"/>
      <c r="S960" s="13"/>
      <c r="T960" s="13"/>
      <c r="U960" s="23"/>
    </row>
    <row r="961" spans="11:21" ht="15.6">
      <c r="K961" s="128"/>
      <c r="L961" s="13"/>
      <c r="M961" s="13"/>
      <c r="N961" s="13"/>
      <c r="O961" s="13"/>
      <c r="P961" s="13"/>
      <c r="Q961" s="13"/>
      <c r="R961" s="13"/>
      <c r="S961" s="13"/>
      <c r="T961" s="13"/>
      <c r="U961" s="23"/>
    </row>
    <row r="962" spans="11:21" ht="15.6">
      <c r="K962" s="128"/>
      <c r="L962" s="13"/>
      <c r="M962" s="13"/>
      <c r="N962" s="13"/>
      <c r="O962" s="13"/>
      <c r="P962" s="13"/>
      <c r="Q962" s="13"/>
      <c r="R962" s="13"/>
      <c r="S962" s="13"/>
      <c r="T962" s="13"/>
      <c r="U962" s="23"/>
    </row>
    <row r="963" spans="11:21" ht="15.6">
      <c r="K963" s="128"/>
      <c r="L963" s="13"/>
      <c r="M963" s="13"/>
      <c r="N963" s="13"/>
      <c r="O963" s="13"/>
      <c r="P963" s="13"/>
      <c r="Q963" s="13"/>
      <c r="R963" s="13"/>
      <c r="S963" s="13"/>
      <c r="T963" s="13"/>
      <c r="U963" s="23"/>
    </row>
    <row r="964" spans="11:21" ht="15.6">
      <c r="K964" s="128"/>
      <c r="L964" s="13"/>
      <c r="M964" s="13"/>
      <c r="N964" s="13"/>
      <c r="O964" s="13"/>
      <c r="P964" s="13"/>
      <c r="Q964" s="13"/>
      <c r="R964" s="13"/>
      <c r="S964" s="13"/>
      <c r="T964" s="13"/>
      <c r="U964" s="23"/>
    </row>
    <row r="965" spans="11:21" ht="15.6">
      <c r="K965" s="128"/>
      <c r="L965" s="13"/>
      <c r="M965" s="13"/>
      <c r="N965" s="13"/>
      <c r="O965" s="13"/>
      <c r="P965" s="13"/>
      <c r="Q965" s="13"/>
      <c r="R965" s="13"/>
      <c r="S965" s="13"/>
      <c r="T965" s="13"/>
      <c r="U965" s="23"/>
    </row>
    <row r="966" spans="11:21" ht="15.6">
      <c r="K966" s="128"/>
      <c r="L966" s="13"/>
      <c r="M966" s="13"/>
      <c r="N966" s="13"/>
      <c r="O966" s="13"/>
      <c r="P966" s="13"/>
      <c r="Q966" s="13"/>
      <c r="R966" s="13"/>
      <c r="S966" s="13"/>
      <c r="T966" s="13"/>
      <c r="U966" s="23"/>
    </row>
    <row r="967" spans="11:21" ht="15.6">
      <c r="K967" s="128"/>
      <c r="L967" s="13"/>
      <c r="M967" s="13"/>
      <c r="N967" s="13"/>
      <c r="O967" s="13"/>
      <c r="P967" s="13"/>
      <c r="Q967" s="13"/>
      <c r="R967" s="13"/>
      <c r="S967" s="13"/>
      <c r="T967" s="13"/>
      <c r="U967" s="23"/>
    </row>
    <row r="968" spans="11:21" ht="15.6">
      <c r="K968" s="128"/>
      <c r="L968" s="13"/>
      <c r="M968" s="13"/>
      <c r="N968" s="13"/>
      <c r="O968" s="13"/>
      <c r="P968" s="13"/>
      <c r="Q968" s="13"/>
      <c r="R968" s="13"/>
      <c r="S968" s="13"/>
      <c r="T968" s="13"/>
      <c r="U968" s="23"/>
    </row>
    <row r="969" spans="11:21" ht="15.6">
      <c r="K969" s="128"/>
      <c r="L969" s="13"/>
      <c r="M969" s="13"/>
      <c r="N969" s="13"/>
      <c r="O969" s="13"/>
      <c r="P969" s="13"/>
      <c r="Q969" s="13"/>
      <c r="R969" s="13"/>
      <c r="S969" s="13"/>
      <c r="T969" s="13"/>
      <c r="U969" s="23"/>
    </row>
    <row r="970" spans="11:21" ht="15.6">
      <c r="K970" s="128"/>
      <c r="L970" s="13"/>
      <c r="M970" s="13"/>
      <c r="N970" s="13"/>
      <c r="O970" s="13"/>
      <c r="P970" s="13"/>
      <c r="Q970" s="13"/>
      <c r="R970" s="13"/>
      <c r="S970" s="13"/>
      <c r="T970" s="13"/>
      <c r="U970" s="23"/>
    </row>
    <row r="971" spans="11:21" ht="15.6">
      <c r="K971" s="128"/>
      <c r="L971" s="13"/>
      <c r="M971" s="13"/>
      <c r="N971" s="13"/>
      <c r="O971" s="13"/>
      <c r="P971" s="13"/>
      <c r="Q971" s="13"/>
      <c r="R971" s="13"/>
      <c r="S971" s="13"/>
      <c r="T971" s="13"/>
      <c r="U971" s="23"/>
    </row>
    <row r="972" spans="11:21" ht="15.6">
      <c r="K972" s="128"/>
      <c r="L972" s="13"/>
      <c r="M972" s="13"/>
      <c r="N972" s="13"/>
      <c r="O972" s="13"/>
      <c r="P972" s="13"/>
      <c r="Q972" s="13"/>
      <c r="R972" s="13"/>
      <c r="S972" s="13"/>
      <c r="T972" s="13"/>
      <c r="U972" s="23"/>
    </row>
    <row r="973" spans="11:21" ht="15.6">
      <c r="K973" s="128"/>
      <c r="L973" s="13"/>
      <c r="M973" s="13"/>
      <c r="N973" s="13"/>
      <c r="O973" s="13"/>
      <c r="P973" s="13"/>
      <c r="Q973" s="13"/>
      <c r="R973" s="13"/>
      <c r="S973" s="13"/>
      <c r="T973" s="13"/>
      <c r="U973" s="23"/>
    </row>
    <row r="974" spans="11:21" ht="15.6">
      <c r="K974" s="128"/>
      <c r="L974" s="13"/>
      <c r="M974" s="13"/>
      <c r="N974" s="13"/>
      <c r="O974" s="13"/>
      <c r="P974" s="13"/>
      <c r="Q974" s="13"/>
      <c r="R974" s="13"/>
      <c r="S974" s="13"/>
      <c r="T974" s="13"/>
      <c r="U974" s="23"/>
    </row>
    <row r="975" spans="11:21" ht="15.6">
      <c r="K975" s="128"/>
      <c r="L975" s="13"/>
      <c r="M975" s="13"/>
      <c r="N975" s="13"/>
      <c r="O975" s="13"/>
      <c r="P975" s="13"/>
      <c r="Q975" s="13"/>
      <c r="R975" s="13"/>
      <c r="S975" s="13"/>
      <c r="T975" s="13"/>
      <c r="U975" s="23"/>
    </row>
    <row r="976" spans="11:21" ht="15.6">
      <c r="K976" s="128"/>
      <c r="L976" s="13"/>
      <c r="M976" s="13"/>
      <c r="N976" s="13"/>
      <c r="O976" s="13"/>
      <c r="P976" s="13"/>
      <c r="Q976" s="13"/>
      <c r="R976" s="13"/>
      <c r="S976" s="13"/>
      <c r="T976" s="13"/>
      <c r="U976" s="23"/>
    </row>
    <row r="977" spans="11:21" ht="15.6">
      <c r="K977" s="128"/>
      <c r="L977" s="13"/>
      <c r="M977" s="13"/>
      <c r="N977" s="13"/>
      <c r="O977" s="13"/>
      <c r="P977" s="13"/>
      <c r="Q977" s="13"/>
      <c r="R977" s="13"/>
      <c r="S977" s="13"/>
      <c r="T977" s="13"/>
      <c r="U977" s="23"/>
    </row>
    <row r="978" spans="11:21" ht="15.6">
      <c r="K978" s="128"/>
      <c r="L978" s="13"/>
      <c r="M978" s="13"/>
      <c r="N978" s="13"/>
      <c r="O978" s="13"/>
      <c r="P978" s="13"/>
      <c r="Q978" s="13"/>
      <c r="R978" s="13"/>
      <c r="S978" s="13"/>
      <c r="T978" s="13"/>
      <c r="U978" s="23"/>
    </row>
    <row r="979" spans="11:21" ht="15.6">
      <c r="K979" s="128"/>
      <c r="L979" s="13"/>
      <c r="M979" s="13"/>
      <c r="N979" s="13"/>
      <c r="O979" s="13"/>
      <c r="P979" s="13"/>
      <c r="Q979" s="13"/>
      <c r="R979" s="13"/>
      <c r="S979" s="13"/>
      <c r="T979" s="13"/>
      <c r="U979" s="23"/>
    </row>
    <row r="980" spans="11:21" ht="15.6">
      <c r="K980" s="128"/>
      <c r="L980" s="13"/>
      <c r="M980" s="13"/>
      <c r="N980" s="13"/>
      <c r="O980" s="13"/>
      <c r="P980" s="13"/>
      <c r="Q980" s="13"/>
      <c r="R980" s="13"/>
      <c r="S980" s="13"/>
      <c r="T980" s="13"/>
      <c r="U980" s="23"/>
    </row>
    <row r="981" spans="11:21" ht="15.6">
      <c r="K981" s="128"/>
      <c r="L981" s="13"/>
      <c r="M981" s="13"/>
      <c r="N981" s="13"/>
      <c r="O981" s="13"/>
      <c r="P981" s="13"/>
      <c r="Q981" s="13"/>
      <c r="R981" s="13"/>
      <c r="S981" s="13"/>
      <c r="T981" s="13"/>
      <c r="U981" s="23"/>
    </row>
    <row r="982" spans="11:21" ht="15.6">
      <c r="K982" s="128"/>
      <c r="L982" s="13"/>
      <c r="M982" s="13"/>
      <c r="N982" s="13"/>
      <c r="O982" s="13"/>
      <c r="P982" s="13"/>
      <c r="Q982" s="13"/>
      <c r="R982" s="13"/>
      <c r="S982" s="13"/>
      <c r="T982" s="13"/>
      <c r="U982" s="23"/>
    </row>
    <row r="983" spans="11:21" ht="15.6">
      <c r="K983" s="128"/>
      <c r="L983" s="13"/>
      <c r="M983" s="13"/>
      <c r="N983" s="13"/>
      <c r="O983" s="13"/>
      <c r="P983" s="13"/>
      <c r="Q983" s="13"/>
      <c r="R983" s="13"/>
      <c r="S983" s="13"/>
      <c r="T983" s="13"/>
      <c r="U983" s="23"/>
    </row>
    <row r="984" spans="11:21" ht="15.6">
      <c r="K984" s="128"/>
      <c r="L984" s="13"/>
      <c r="M984" s="13"/>
      <c r="N984" s="13"/>
      <c r="O984" s="13"/>
      <c r="P984" s="13"/>
      <c r="Q984" s="13"/>
      <c r="R984" s="13"/>
      <c r="S984" s="13"/>
      <c r="T984" s="13"/>
      <c r="U984" s="23"/>
    </row>
    <row r="985" spans="11:21" ht="15.6">
      <c r="K985" s="128"/>
      <c r="L985" s="13"/>
      <c r="M985" s="13"/>
      <c r="N985" s="13"/>
      <c r="O985" s="13"/>
      <c r="P985" s="13"/>
      <c r="Q985" s="13"/>
      <c r="R985" s="13"/>
      <c r="S985" s="13"/>
      <c r="T985" s="13"/>
      <c r="U985" s="23"/>
    </row>
    <row r="986" spans="11:21" ht="15.6">
      <c r="K986" s="128"/>
      <c r="L986" s="13"/>
      <c r="M986" s="13"/>
      <c r="N986" s="13"/>
      <c r="O986" s="13"/>
      <c r="P986" s="13"/>
      <c r="Q986" s="13"/>
      <c r="R986" s="13"/>
      <c r="S986" s="13"/>
      <c r="T986" s="13"/>
      <c r="U986" s="23"/>
    </row>
    <row r="987" spans="11:21" ht="15.6">
      <c r="K987" s="128"/>
      <c r="L987" s="13"/>
      <c r="M987" s="13"/>
      <c r="N987" s="13"/>
      <c r="O987" s="13"/>
      <c r="P987" s="13"/>
      <c r="Q987" s="13"/>
      <c r="R987" s="13"/>
      <c r="S987" s="13"/>
      <c r="T987" s="13"/>
      <c r="U987" s="23"/>
    </row>
    <row r="988" spans="11:21" ht="15.6">
      <c r="K988" s="128"/>
      <c r="L988" s="13"/>
      <c r="M988" s="13"/>
      <c r="N988" s="13"/>
      <c r="O988" s="13"/>
      <c r="P988" s="13"/>
      <c r="Q988" s="13"/>
      <c r="R988" s="13"/>
      <c r="S988" s="13"/>
      <c r="T988" s="13"/>
      <c r="U988" s="23"/>
    </row>
    <row r="989" spans="11:21" ht="15.6">
      <c r="K989" s="128"/>
      <c r="L989" s="13"/>
      <c r="M989" s="13"/>
      <c r="N989" s="13"/>
      <c r="O989" s="13"/>
      <c r="P989" s="13"/>
      <c r="Q989" s="13"/>
      <c r="R989" s="13"/>
      <c r="S989" s="13"/>
      <c r="T989" s="13"/>
      <c r="U989" s="23"/>
    </row>
    <row r="990" spans="11:21" ht="15.6">
      <c r="K990" s="128"/>
      <c r="L990" s="13"/>
      <c r="M990" s="13"/>
      <c r="N990" s="13"/>
      <c r="O990" s="13"/>
      <c r="P990" s="13"/>
      <c r="Q990" s="13"/>
      <c r="R990" s="13"/>
      <c r="S990" s="13"/>
      <c r="T990" s="13"/>
      <c r="U990" s="23"/>
    </row>
    <row r="991" spans="11:21" ht="15.6">
      <c r="K991" s="128"/>
      <c r="L991" s="13"/>
      <c r="M991" s="13"/>
      <c r="N991" s="13"/>
      <c r="O991" s="13"/>
      <c r="P991" s="13"/>
      <c r="Q991" s="13"/>
      <c r="R991" s="13"/>
      <c r="S991" s="13"/>
      <c r="T991" s="13"/>
      <c r="U991" s="23"/>
    </row>
    <row r="992" spans="11:21" ht="15.6">
      <c r="K992" s="128"/>
      <c r="L992" s="13"/>
      <c r="M992" s="13"/>
      <c r="N992" s="13"/>
      <c r="O992" s="13"/>
      <c r="P992" s="13"/>
      <c r="Q992" s="13"/>
      <c r="R992" s="13"/>
      <c r="S992" s="13"/>
      <c r="T992" s="13"/>
      <c r="U992" s="23"/>
    </row>
    <row r="993" spans="11:21" ht="15.6">
      <c r="K993" s="128"/>
      <c r="L993" s="13"/>
      <c r="M993" s="13"/>
      <c r="N993" s="13"/>
      <c r="O993" s="13"/>
      <c r="P993" s="13"/>
      <c r="Q993" s="13"/>
      <c r="R993" s="13"/>
      <c r="S993" s="13"/>
      <c r="T993" s="13"/>
      <c r="U993" s="23"/>
    </row>
    <row r="994" spans="11:21" ht="15.6">
      <c r="K994" s="128"/>
      <c r="L994" s="13"/>
      <c r="M994" s="13"/>
      <c r="N994" s="13"/>
      <c r="O994" s="13"/>
      <c r="P994" s="13"/>
      <c r="Q994" s="13"/>
      <c r="R994" s="13"/>
      <c r="S994" s="13"/>
      <c r="T994" s="13"/>
      <c r="U994" s="23"/>
    </row>
    <row r="995" spans="11:21" ht="15.6">
      <c r="K995" s="128"/>
      <c r="L995" s="13"/>
      <c r="M995" s="13"/>
      <c r="N995" s="13"/>
      <c r="O995" s="13"/>
      <c r="P995" s="13"/>
      <c r="Q995" s="13"/>
      <c r="R995" s="13"/>
      <c r="S995" s="13"/>
      <c r="T995" s="13"/>
      <c r="U995" s="23"/>
    </row>
    <row r="996" spans="11:21" ht="15.6">
      <c r="K996" s="128"/>
      <c r="L996" s="13"/>
      <c r="M996" s="13"/>
      <c r="N996" s="13"/>
      <c r="O996" s="13"/>
      <c r="P996" s="13"/>
      <c r="Q996" s="13"/>
      <c r="R996" s="13"/>
      <c r="S996" s="13"/>
      <c r="T996" s="13"/>
      <c r="U996" s="23"/>
    </row>
    <row r="997" spans="11:21" ht="15.6">
      <c r="K997" s="128"/>
      <c r="L997" s="13"/>
      <c r="M997" s="13"/>
      <c r="N997" s="13"/>
      <c r="O997" s="13"/>
      <c r="P997" s="13"/>
      <c r="Q997" s="13"/>
      <c r="R997" s="13"/>
      <c r="S997" s="13"/>
      <c r="T997" s="13"/>
      <c r="U997" s="23"/>
    </row>
    <row r="998" spans="11:21" ht="15.6">
      <c r="K998" s="128"/>
      <c r="L998" s="13"/>
      <c r="M998" s="13"/>
      <c r="N998" s="13"/>
      <c r="O998" s="13"/>
      <c r="P998" s="13"/>
      <c r="Q998" s="13"/>
      <c r="R998" s="13"/>
      <c r="S998" s="13"/>
      <c r="T998" s="13"/>
      <c r="U998" s="23"/>
    </row>
    <row r="999" spans="11:21" ht="15.6">
      <c r="K999" s="128"/>
      <c r="L999" s="13"/>
      <c r="M999" s="13"/>
      <c r="N999" s="13"/>
      <c r="O999" s="13"/>
      <c r="P999" s="13"/>
      <c r="Q999" s="13"/>
      <c r="R999" s="13"/>
      <c r="S999" s="13"/>
      <c r="T999" s="13"/>
      <c r="U999" s="23"/>
    </row>
    <row r="1000" spans="11:21" ht="15.6">
      <c r="K1000" s="128"/>
      <c r="L1000" s="13"/>
      <c r="M1000" s="13"/>
      <c r="N1000" s="13"/>
      <c r="O1000" s="13"/>
      <c r="P1000" s="13"/>
      <c r="Q1000" s="13"/>
      <c r="R1000" s="13"/>
      <c r="S1000" s="13"/>
      <c r="T1000" s="13"/>
      <c r="U1000" s="2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462"/>
  <sheetViews>
    <sheetView workbookViewId="0"/>
  </sheetViews>
  <sheetFormatPr defaultColWidth="14.44140625" defaultRowHeight="15.75" customHeight="1"/>
  <cols>
    <col min="10" max="10" width="34.109375" customWidth="1"/>
    <col min="11" max="11" width="21" customWidth="1"/>
  </cols>
  <sheetData>
    <row r="1" spans="1:14">
      <c r="A1" s="11" t="s">
        <v>26</v>
      </c>
      <c r="C1" s="2" t="str">
        <f ca="1">IFERROR(__xludf.DUMMYFUNCTION("IFS(REGEXMATCH(A1,"", AL""),ArrayFormula(VLOOKUP(QUERY(UNIQUE(RANDBETWEEN(ROW(INDIRECT(""A1:A""&amp;COUNTA('List of Other High Schools'!$B$8:$B$76)*10))^0,COUNTA('List of Other High Schools'!$B$8:$B$76))),""limit 1""),{ROW(INDIRECT(""A1:A""&amp;COUNTA('List of Ot"&amp;"her High Schools'!$B$8:$B$76))),FILTER('List of Other High Schools'!$B$8:$B$76,'List of Other High Schools'!$B$8:$B$76&lt;&gt;"""")},2,0)),REGEXMATCH(A1,"", AK""),ArrayFormula(VLOOKUP(QUERY(UNIQUE(RANDBETWEEN(ROW(INDIRECT(""B1:B""&amp;COUNTA('List of Other High Sch"&amp;"ools'!C$2:C$26)*10))^0,COUNTA('List of Other High Schools'!C$2:C$26))),""limit 1""),{ROW(INDIRECT(""B1:B""&amp;COUNTA('List of Other High Schools'!C$2:C$26))),FILTER('List of Other High Schools'!C$2:C$26,'List of Other High Schools'!C$2:C$26&lt;&gt;"""")},2,0)),REG"&amp;"EXMATCH(A1, "", AZ""),ArrayFormula(VLOOKUP(QUERY(UNIQUE(RANDBETWEEN(ROW(INDIRECT(""C1:C""&amp;COUNTA('List of Other High Schools'!$D$4:$D$76)*10))^0,COUNTA('List of Other High Schools'!$D$4:$D$76))),""limit 1""),{ROW(INDIRECT(""C1:C""&amp;COUNTA('List of Other Hi"&amp;"gh Schools'!$D$4:$D$76))),FILTER('List of Other High Schools'!$D$4:$D$76,'List of Other High Schools'!$D$4:$D$76&lt;&gt;"""")},2,0)),REGEXMATCH(A1, "", AR""),ArrayFormula(VLOOKUP(QUERY(UNIQUE(RANDBETWEEN(ROW(INDIRECT(""D1:D""&amp;COUNTA('List of Other High Schools'"&amp;"!$E$7:$E$76)*10))^0,COUNTA('List of Other High Schools'!$E$7:$E$76))),""limit 1""),{ROW(INDIRECT(""D1:D""&amp;COUNTA('List of Other High Schools'!$E$7:$E$76))),FILTER('List of Other High Schools'!$E$7:$E$76,'List of Other High Schools'!$E$7:$E$76&lt;&gt;"""")},2,0)"&amp;"),REGEXMATCH(A1,"", CA""),ArrayFormula(VLOOKUP(QUERY(UNIQUE(RANDBETWEEN(ROW(INDIRECT(""E1:E""&amp;COUNTA('List of Other High Schools'!$F$41:$F$276)*10))^0,COUNTA('List of Other High Schools'!$F$41:$F$276))),""limit 1""),{ROW(INDIRECT(""E1:E""&amp;COUNTA('List of "&amp;"Other High Schools'!$F$41:$F$276))),FILTER('List of Other High Schools'!$F$41:$F$276,'List of Other High Schools'!$F$41:$F$276&lt;&gt;"""")},2,0)),REGEXMATCH(A1,"", CO""),ArrayFormula(VLOOKUP(QUERY(UNIQUE(RANDBETWEEN(ROW(INDIRECT(""F1:F""&amp;COUNTA('List of Other "&amp;"High Schools'!$G$2:$G$76)*10))^0,COUNTA('List of Other High Schools'!$G$2:$G$76))),""limit 1""),{ROW(INDIRECT(""F1:F""&amp;COUNTA('List of Other High Schools'!$G$2:$G$76))),FILTER('List of Other High Schools'!$G$2:$G$76,'List of Other High Schools'!$G$2:$G$76"&amp;"&lt;&gt;"""")},2,0)))"),"#N/A")</f>
        <v>#N/A</v>
      </c>
    </row>
    <row r="2" spans="1:14">
      <c r="A2" s="16" t="s">
        <v>35</v>
      </c>
      <c r="C2" s="2" t="str">
        <f ca="1">IFERROR(__xludf.DUMMYFUNCTION("IFS(REGEXMATCH(A2,"", AL""),ArrayFormula(VLOOKUP(QUERY(UNIQUE(RANDBETWEEN(ROW(INDIRECT(""A1:A""&amp;COUNTA('List of Other High Schools'!$B$8:$B$76)*10))^0,COUNTA('List of Other High Schools'!$B$8:$B$76))),""limit 1""),{ROW(INDIRECT(""A1:A""&amp;COUNTA('List of Ot"&amp;"her High Schools'!$B$8:$B$76))),FILTER('List of Other High Schools'!$B$8:$B$76,'List of Other High Schools'!$B$8:$B$76&lt;&gt;"""")},2,0)),REGEXMATCH(A2,"", AK""),ArrayFormula(VLOOKUP(QUERY(UNIQUE(RANDBETWEEN(ROW(INDIRECT(""B1:B""&amp;COUNTA('List of Other High Sch"&amp;"ools'!C$2:C$26)*10))^0,COUNTA('List of Other High Schools'!C$2:C$26))),""limit 1""),{ROW(INDIRECT(""B1:B""&amp;COUNTA('List of Other High Schools'!C$2:C$26))),FILTER('List of Other High Schools'!C$2:C$26,'List of Other High Schools'!C$2:C$26&lt;&gt;"""")},2,0)),REG"&amp;"EXMATCH(A2, "", AZ""),ArrayFormula(VLOOKUP(QUERY(UNIQUE(RANDBETWEEN(ROW(INDIRECT(""C1:C""&amp;COUNTA('List of Other High Schools'!$D$4:$D$76)*10))^0,COUNTA('List of Other High Schools'!$D$4:$D$76))),""limit 1""),{ROW(INDIRECT(""C1:C""&amp;COUNTA('List of Other Hi"&amp;"gh Schools'!$D$4:$D$76))),FILTER('List of Other High Schools'!$D$4:$D$76,'List of Other High Schools'!$D$4:$D$76&lt;&gt;"""")},2,0)),REGEXMATCH(A2, "", AR""),ArrayFormula(VLOOKUP(QUERY(UNIQUE(RANDBETWEEN(ROW(INDIRECT(""D1:D""&amp;COUNTA('List of Other High Schools'"&amp;"!$E$7:$E$76)*10))^0,COUNTA('List of Other High Schools'!$E$7:$E$76))),""limit 1""),{ROW(INDIRECT(""D1:D""&amp;COUNTA('List of Other High Schools'!$E$7:$E$76))),FILTER('List of Other High Schools'!$E$7:$E$76,'List of Other High Schools'!$E$7:$E$76&lt;&gt;"""")},2,0)"&amp;"),REGEXMATCH(A2,"", CA""),ArrayFormula(VLOOKUP(QUERY(UNIQUE(RANDBETWEEN(ROW(INDIRECT(""E1:E""&amp;COUNTA('List of Other High Schools'!$F$41:$F$276)*10))^0,COUNTA('List of Other High Schools'!$F$41:$F$276))),""limit 1""),{ROW(INDIRECT(""E1:E""&amp;COUNTA('List of "&amp;"Other High Schools'!$F$41:$F$276))),FILTER('List of Other High Schools'!$F$41:$F$276,'List of Other High Schools'!$F$41:$F$276&lt;&gt;"""")},2,0)))"),"#N/A")</f>
        <v>#N/A</v>
      </c>
      <c r="J2" s="3" t="s">
        <v>38</v>
      </c>
      <c r="K2" s="3" t="s">
        <v>39</v>
      </c>
    </row>
    <row r="3" spans="1:14">
      <c r="A3" s="11" t="s">
        <v>40</v>
      </c>
      <c r="C3" s="2" t="str">
        <f ca="1">IFERROR(__xludf.DUMMYFUNCTION("IFS(REGEXMATCH(A3,"", AL""),ArrayFormula(VLOOKUP(QUERY(UNIQUE(RANDBETWEEN(ROW(INDIRECT(""A1:A""&amp;COUNTA('List of Other High Schools'!$B$8:$B$76)*10))^0,COUNTA('List of Other High Schools'!$B$8:$B$76))),""limit 1""),{ROW(INDIRECT(""A1:A""&amp;COUNTA('List of Ot"&amp;"her High Schools'!$B$8:$B$76))),FILTER('List of Other High Schools'!$B$8:$B$76,'List of Other High Schools'!$B$8:$B$76&lt;&gt;"""")},2,0)),REGEXMATCH(A3,"", AK""),ArrayFormula(VLOOKUP(QUERY(UNIQUE(RANDBETWEEN(ROW(INDIRECT(""B1:B""&amp;COUNTA('List of Other High Sch"&amp;"ools'!C$2:C$26)*10))^0,COUNTA('List of Other High Schools'!C$2:C$26))),""limit 1""),{ROW(INDIRECT(""B1:B""&amp;COUNTA('List of Other High Schools'!C$2:C$26))),FILTER('List of Other High Schools'!C$2:C$26,'List of Other High Schools'!C$2:C$26&lt;&gt;"""")},2,0)),REG"&amp;"EXMATCH(A3, "", AZ""),ArrayFormula(VLOOKUP(QUERY(UNIQUE(RANDBETWEEN(ROW(INDIRECT(""C1:C""&amp;COUNTA('List of Other High Schools'!$D$4:$D$76)*10))^0,COUNTA('List of Other High Schools'!$D$4:$D$76))),""limit 1""),{ROW(INDIRECT(""C1:C""&amp;COUNTA('List of Other Hi"&amp;"gh Schools'!$D$4:$D$76))),FILTER('List of Other High Schools'!$D$4:$D$76,'List of Other High Schools'!$D$4:$D$76&lt;&gt;"""")},2,0)),REGEXMATCH(A3, "", AR""),ArrayFormula(VLOOKUP(QUERY(UNIQUE(RANDBETWEEN(ROW(INDIRECT(""D1:D""&amp;COUNTA('List of Other High Schools'"&amp;"!$E$7:$E$76)*10))^0,COUNTA('List of Other High Schools'!$E$7:$E$76))),""limit 1""),{ROW(INDIRECT(""D1:D""&amp;COUNTA('List of Other High Schools'!$E$7:$E$76))),FILTER('List of Other High Schools'!$E$7:$E$76,'List of Other High Schools'!$E$7:$E$76&lt;&gt;"""")},2,0)"&amp;"),REGEXMATCH(A3,"", CA""),ArrayFormula(VLOOKUP(QUERY(UNIQUE(RANDBETWEEN(ROW(INDIRECT(""E1:E""&amp;COUNTA('List of Other High Schools'!$F$41:$F$276)*10))^0,COUNTA('List of Other High Schools'!$F$41:$F$276))),""limit 1""),{ROW(INDIRECT(""E1:E""&amp;COUNTA('List of "&amp;"Other High Schools'!$F$41:$F$276))),FILTER('List of Other High Schools'!$F$41:$F$276,'List of Other High Schools'!$F$41:$F$276&lt;&gt;"""")},2,0)))"),"#REF!")</f>
        <v>#REF!</v>
      </c>
      <c r="J3" s="2" t="str">
        <f ca="1">IFERROR(__xludf.DUMMYFUNCTION("ArrayFormula(VLOOKUP(QUERY(UNIQUE(RANDBETWEEN(ROW(INDIRECT(""B1:B""&amp;COUNTA('State Abbreviations'!$A$2:$A$51)*10))^0,COUNTA('State Abbreviations'!$A$2:$A$51))),""limit 1""),{ROW(INDIRECT(""B1:B""&amp;COUNTA('State Abbreviations'!$A$2:$A$51))),FILTER('State Abb"&amp;"reviations'!$A$2:$A$51,'State Abbreviations'!$A$2:$A$51&lt;&gt;"""")},2,0))"),"KY")</f>
        <v>KY</v>
      </c>
      <c r="K3" s="2">
        <f ca="1">RANDBETWEEN(1,4)</f>
        <v>4</v>
      </c>
    </row>
    <row r="4" spans="1:14">
      <c r="A4" s="16" t="s">
        <v>44</v>
      </c>
      <c r="C4" s="2" t="str">
        <f ca="1">IFERROR(__xludf.DUMMYFUNCTION("IFS(REGEXMATCH(A4,"", AL""),ArrayFormula(VLOOKUP(QUERY(UNIQUE(RANDBETWEEN(ROW(INDIRECT(""A1:A""&amp;COUNTA('List of Other High Schools'!$B$8:$B$76)*10))^0,COUNTA('List of Other High Schools'!$B$8:$B$76))),""limit 1""),{ROW(INDIRECT(""A1:A""&amp;COUNTA('List of Ot"&amp;"her High Schools'!$B$8:$B$76))),FILTER('List of Other High Schools'!$B$8:$B$76,'List of Other High Schools'!$B$8:$B$76&lt;&gt;"""")},2,0)),REGEXMATCH(A4,"", AK""),ArrayFormula(VLOOKUP(QUERY(UNIQUE(RANDBETWEEN(ROW(INDIRECT(""B1:B""&amp;COUNTA('List of Other High Sch"&amp;"ools'!C$2:C$26)*10))^0,COUNTA('List of Other High Schools'!C$2:C$26))),""limit 1""),{ROW(INDIRECT(""B1:B""&amp;COUNTA('List of Other High Schools'!C$2:C$26))),FILTER('List of Other High Schools'!C$2:C$26,'List of Other High Schools'!C$2:C$26&lt;&gt;"""")},2,0)),REG"&amp;"EXMATCH(A4, "", AZ""),ArrayFormula(VLOOKUP(QUERY(UNIQUE(RANDBETWEEN(ROW(INDIRECT(""C1:C""&amp;COUNTA('List of Other High Schools'!$D$4:$D$76)*10))^0,COUNTA('List of Other High Schools'!$D$4:$D$76))),""limit 1""),{ROW(INDIRECT(""C1:C""&amp;COUNTA('List of Other Hi"&amp;"gh Schools'!$D$4:$D$76))),FILTER('List of Other High Schools'!$D$4:$D$76,'List of Other High Schools'!$D$4:$D$76&lt;&gt;"""")},2,0)),REGEXMATCH(A4, "", AR""),ArrayFormula(VLOOKUP(QUERY(UNIQUE(RANDBETWEEN(ROW(INDIRECT(""D1:D""&amp;COUNTA('List of Other High Schools'"&amp;"!$E$7:$E$76)*10))^0,COUNTA('List of Other High Schools'!$E$7:$E$76))),""limit 1""),{ROW(INDIRECT(""D1:D""&amp;COUNTA('List of Other High Schools'!$E$7:$E$76))),FILTER('List of Other High Schools'!$E$7:$E$76,'List of Other High Schools'!$E$7:$E$76&lt;&gt;"""")},2,0)"&amp;"),REGEXMATCH(A4,"", CA""),ArrayFormula(VLOOKUP(QUERY(UNIQUE(RANDBETWEEN(ROW(INDIRECT(""E1:E""&amp;COUNTA('List of Other High Schools'!$F$41:$F$276)*10))^0,COUNTA('List of Other High Schools'!$F$41:$F$276))),""limit 1""),{ROW(INDIRECT(""E1:E""&amp;COUNTA('List of "&amp;"Other High Schools'!$F$41:$F$276))),FILTER('List of Other High Schools'!$F$41:$F$276,'List of Other High Schools'!$F$41:$F$276&lt;&gt;"""")},2,0)))"),"#N/A")</f>
        <v>#N/A</v>
      </c>
    </row>
    <row r="5" spans="1:14">
      <c r="A5" s="11" t="s">
        <v>46</v>
      </c>
      <c r="C5" s="2" t="str">
        <f ca="1">IFERROR(__xludf.DUMMYFUNCTION("IFS(REGEXMATCH(A5,"", AL""),ArrayFormula(VLOOKUP(QUERY(UNIQUE(RANDBETWEEN(ROW(INDIRECT(""A1:A""&amp;COUNTA('List of Other High Schools'!$B$8:$B$76)*10))^0,COUNTA('List of Other High Schools'!$B$8:$B$76))),""limit 1""),{ROW(INDIRECT(""A1:A""&amp;COUNTA('List of Ot"&amp;"her High Schools'!$B$8:$B$76))),FILTER('List of Other High Schools'!$B$8:$B$76,'List of Other High Schools'!$B$8:$B$76&lt;&gt;"""")},2,0)),REGEXMATCH(A5,"", AK""),ArrayFormula(VLOOKUP(QUERY(UNIQUE(RANDBETWEEN(ROW(INDIRECT(""B1:B""&amp;COUNTA('List of Other High Sch"&amp;"ools'!C$2:C$26)*10))^0,COUNTA('List of Other High Schools'!C$2:C$26))),""limit 1""),{ROW(INDIRECT(""B1:B""&amp;COUNTA('List of Other High Schools'!C$2:C$26))),FILTER('List of Other High Schools'!C$2:C$26,'List of Other High Schools'!C$2:C$26&lt;&gt;"""")},2,0)),REG"&amp;"EXMATCH(A5, "", AZ""),ArrayFormula(VLOOKUP(QUERY(UNIQUE(RANDBETWEEN(ROW(INDIRECT(""C1:C""&amp;COUNTA('List of Other High Schools'!$D$4:$D$76)*10))^0,COUNTA('List of Other High Schools'!$D$4:$D$76))),""limit 1""),{ROW(INDIRECT(""C1:C""&amp;COUNTA('List of Other Hi"&amp;"gh Schools'!$D$4:$D$76))),FILTER('List of Other High Schools'!$D$4:$D$76,'List of Other High Schools'!$D$4:$D$76&lt;&gt;"""")},2,0)),REGEXMATCH(A5, "", AR""),ArrayFormula(VLOOKUP(QUERY(UNIQUE(RANDBETWEEN(ROW(INDIRECT(""D1:D""&amp;COUNTA('List of Other High Schools'"&amp;"!$E$7:$E$76)*10))^0,COUNTA('List of Other High Schools'!$E$7:$E$76))),""limit 1""),{ROW(INDIRECT(""D1:D""&amp;COUNTA('List of Other High Schools'!$E$7:$E$76))),FILTER('List of Other High Schools'!$E$7:$E$76,'List of Other High Schools'!$E$7:$E$76&lt;&gt;"""")},2,0)"&amp;"),REGEXMATCH(A5,"", CA""),ArrayFormula(VLOOKUP(QUERY(UNIQUE(RANDBETWEEN(ROW(INDIRECT(""E1:E""&amp;COUNTA('List of Other High Schools'!$F$41:$F$276)*10))^0,COUNTA('List of Other High Schools'!$F$41:$F$276))),""limit 1""),{ROW(INDIRECT(""E1:E""&amp;COUNTA('List of "&amp;"Other High Schools'!$F$41:$F$276))),FILTER('List of Other High Schools'!$F$41:$F$276,'List of Other High Schools'!$F$41:$F$276&lt;&gt;"""")},2,0)))"),"#N/A")</f>
        <v>#N/A</v>
      </c>
      <c r="F5" s="3"/>
      <c r="H5" s="2" t="e">
        <f t="array" aca="1" ref="H5" ca="1">INDEX('[1]List of Other High Schools'!B2:AZ300,MATCH(G20,'[1]List of Other High Schools'!A2:A300,0),MATCH(J3,'[1]List of Other High Schools'!B1:AZ1,0))</f>
        <v>#NAME?</v>
      </c>
    </row>
    <row r="6" spans="1:14">
      <c r="A6" s="16" t="s">
        <v>53</v>
      </c>
      <c r="C6" s="2" t="str">
        <f ca="1">IFERROR(__xludf.DUMMYFUNCTION("IFS(REGEXMATCH(A6,"", AL""),ArrayFormula(VLOOKUP(QUERY(UNIQUE(RANDBETWEEN(ROW(INDIRECT(""A1:A""&amp;COUNTA('List of Other High Schools'!$B$8:$B$76)*10))^0,COUNTA('List of Other High Schools'!$B$8:$B$76))),""limit 1""),{ROW(INDIRECT(""A1:A""&amp;COUNTA('List of Ot"&amp;"her High Schools'!$B$8:$B$76))),FILTER('List of Other High Schools'!$B$8:$B$76,'List of Other High Schools'!$B$8:$B$76&lt;&gt;"""")},2,0)),REGEXMATCH(A6,"", AK""),ArrayFormula(VLOOKUP(QUERY(UNIQUE(RANDBETWEEN(ROW(INDIRECT(""B1:B""&amp;COUNTA('List of Other High Sch"&amp;"ools'!C$2:C$26)*10))^0,COUNTA('List of Other High Schools'!C$2:C$26))),""limit 1""),{ROW(INDIRECT(""B1:B""&amp;COUNTA('List of Other High Schools'!C$2:C$26))),FILTER('List of Other High Schools'!C$2:C$26,'List of Other High Schools'!C$2:C$26&lt;&gt;"""")},2,0)),REG"&amp;"EXMATCH(A6, "", AZ""),ArrayFormula(VLOOKUP(QUERY(UNIQUE(RANDBETWEEN(ROW(INDIRECT(""C1:C""&amp;COUNTA('List of Other High Schools'!$D$4:$D$76)*10))^0,COUNTA('List of Other High Schools'!$D$4:$D$76))),""limit 1""),{ROW(INDIRECT(""C1:C""&amp;COUNTA('List of Other Hi"&amp;"gh Schools'!$D$4:$D$76))),FILTER('List of Other High Schools'!$D$4:$D$76,'List of Other High Schools'!$D$4:$D$76&lt;&gt;"""")},2,0)),REGEXMATCH(A6, "", AR""),ArrayFormula(VLOOKUP(QUERY(UNIQUE(RANDBETWEEN(ROW(INDIRECT(""D1:D""&amp;COUNTA('List of Other High Schools'"&amp;"!$E$7:$E$76)*10))^0,COUNTA('List of Other High Schools'!$E$7:$E$76))),""limit 1""),{ROW(INDIRECT(""D1:D""&amp;COUNTA('List of Other High Schools'!$E$7:$E$76))),FILTER('List of Other High Schools'!$E$7:$E$76,'List of Other High Schools'!$E$7:$E$76&lt;&gt;"""")},2,0)"&amp;"),REGEXMATCH(A6,"", CA""),ArrayFormula(VLOOKUP(QUERY(UNIQUE(RANDBETWEEN(ROW(INDIRECT(""E1:E""&amp;COUNTA('List of Other High Schools'!$F$41:$F$276)*10))^0,COUNTA('List of Other High Schools'!$F$41:$F$276))),""limit 1""),{ROW(INDIRECT(""E1:E""&amp;COUNTA('List of "&amp;"Other High Schools'!$F$41:$F$276))),FILTER('List of Other High Schools'!$F$41:$F$276,'List of Other High Schools'!$F$41:$F$276&lt;&gt;"""")},2,0)))"),"#REF!")</f>
        <v>#REF!</v>
      </c>
    </row>
    <row r="7" spans="1:14">
      <c r="A7" s="11" t="s">
        <v>56</v>
      </c>
      <c r="C7" s="2" t="str">
        <f ca="1">IFERROR(__xludf.DUMMYFUNCTION("IFS(REGEXMATCH(A7,"", AL""),ArrayFormula(VLOOKUP(QUERY(UNIQUE(RANDBETWEEN(ROW(INDIRECT(""A1:A""&amp;COUNTA('List of Other High Schools'!$B$8:$B$76)*10))^0,COUNTA('List of Other High Schools'!$B$8:$B$76))),""limit 1""),{ROW(INDIRECT(""A1:A""&amp;COUNTA('List of Ot"&amp;"her High Schools'!$B$8:$B$76))),FILTER('List of Other High Schools'!$B$8:$B$76,'List of Other High Schools'!$B$8:$B$76&lt;&gt;"""")},2,0)),REGEXMATCH(A7,"", AK""),ArrayFormula(VLOOKUP(QUERY(UNIQUE(RANDBETWEEN(ROW(INDIRECT(""B1:B""&amp;COUNTA('List of Other High Sch"&amp;"ools'!C$2:C$26)*10))^0,COUNTA('List of Other High Schools'!C$2:C$26))),""limit 1""),{ROW(INDIRECT(""B1:B""&amp;COUNTA('List of Other High Schools'!C$2:C$26))),FILTER('List of Other High Schools'!C$2:C$26,'List of Other High Schools'!C$2:C$26&lt;&gt;"""")},2,0)),REG"&amp;"EXMATCH(A7, "", AZ""),ArrayFormula(VLOOKUP(QUERY(UNIQUE(RANDBETWEEN(ROW(INDIRECT(""C1:C""&amp;COUNTA('List of Other High Schools'!$D$4:$D$76)*10))^0,COUNTA('List of Other High Schools'!$D$4:$D$76))),""limit 1""),{ROW(INDIRECT(""C1:C""&amp;COUNTA('List of Other Hi"&amp;"gh Schools'!$D$4:$D$76))),FILTER('List of Other High Schools'!$D$4:$D$76,'List of Other High Schools'!$D$4:$D$76&lt;&gt;"""")},2,0)),REGEXMATCH(A7, "", AR""),ArrayFormula(VLOOKUP(QUERY(UNIQUE(RANDBETWEEN(ROW(INDIRECT(""D1:D""&amp;COUNTA('List of Other High Schools'"&amp;"!$E$7:$E$76)*10))^0,COUNTA('List of Other High Schools'!$E$7:$E$76))),""limit 1""),{ROW(INDIRECT(""D1:D""&amp;COUNTA('List of Other High Schools'!$E$7:$E$76))),FILTER('List of Other High Schools'!$E$7:$E$76,'List of Other High Schools'!$E$7:$E$76&lt;&gt;"""")},2,0)"&amp;"),REGEXMATCH(A7,"", CA""),ArrayFormula(VLOOKUP(QUERY(UNIQUE(RANDBETWEEN(ROW(INDIRECT(""E1:E""&amp;COUNTA('List of Other High Schools'!$F$41:$F$276)*10))^0,COUNTA('List of Other High Schools'!$F$41:$F$276))),""limit 1""),{ROW(INDIRECT(""E1:E""&amp;COUNTA('List of "&amp;"Other High Schools'!$F$41:$F$276))),FILTER('List of Other High Schools'!$F$41:$F$276,'List of Other High Schools'!$F$41:$F$276&lt;&gt;"""")},2,0)))"),"#N/A")</f>
        <v>#N/A</v>
      </c>
    </row>
    <row r="8" spans="1:14">
      <c r="A8" s="28" t="s">
        <v>58</v>
      </c>
      <c r="C8" s="2" t="str">
        <f ca="1">IFERROR(__xludf.DUMMYFUNCTION("IFS(REGEXMATCH(A8,"", AL""),ArrayFormula(VLOOKUP(QUERY(UNIQUE(RANDBETWEEN(ROW(INDIRECT(""A1:A""&amp;COUNTA('List of Other High Schools'!$B$8:$B$76)*10))^0,COUNTA('List of Other High Schools'!$B$8:$B$76))),""limit 1""),{ROW(INDIRECT(""A1:A""&amp;COUNTA('List of Ot"&amp;"her High Schools'!$B$8:$B$76))),FILTER('List of Other High Schools'!$B$8:$B$76,'List of Other High Schools'!$B$8:$B$76&lt;&gt;"""")},2,0)),REGEXMATCH(A8,"", AK""),ArrayFormula(VLOOKUP(QUERY(UNIQUE(RANDBETWEEN(ROW(INDIRECT(""B1:B""&amp;COUNTA('List of Other High Sch"&amp;"ools'!C$2:C$26)*10))^0,COUNTA('List of Other High Schools'!C$2:C$26))),""limit 1""),{ROW(INDIRECT(""B1:B""&amp;COUNTA('List of Other High Schools'!C$2:C$26))),FILTER('List of Other High Schools'!C$2:C$26,'List of Other High Schools'!C$2:C$26&lt;&gt;"""")},2,0)),REG"&amp;"EXMATCH(A8, "", AZ""),ArrayFormula(VLOOKUP(QUERY(UNIQUE(RANDBETWEEN(ROW(INDIRECT(""C1:C""&amp;COUNTA('List of Other High Schools'!$D$4:$D$76)*10))^0,COUNTA('List of Other High Schools'!$D$4:$D$76))),""limit 1""),{ROW(INDIRECT(""C1:C""&amp;COUNTA('List of Other Hi"&amp;"gh Schools'!$D$4:$D$76))),FILTER('List of Other High Schools'!$D$4:$D$76,'List of Other High Schools'!$D$4:$D$76&lt;&gt;"""")},2,0)),REGEXMATCH(A8, "", AR""),ArrayFormula(VLOOKUP(QUERY(UNIQUE(RANDBETWEEN(ROW(INDIRECT(""D1:D""&amp;COUNTA('List of Other High Schools'"&amp;"!$E$7:$E$76)*10))^0,COUNTA('List of Other High Schools'!$E$7:$E$76))),""limit 1""),{ROW(INDIRECT(""D1:D""&amp;COUNTA('List of Other High Schools'!$E$7:$E$76))),FILTER('List of Other High Schools'!$E$7:$E$76,'List of Other High Schools'!$E$7:$E$76&lt;&gt;"""")},2,0)"&amp;"),REGEXMATCH(A8,"", CA""),ArrayFormula(VLOOKUP(QUERY(UNIQUE(RANDBETWEEN(ROW(INDIRECT(""E1:E""&amp;COUNTA('List of Other High Schools'!$F$41:$F$276)*10))^0,COUNTA('List of Other High Schools'!$F$41:$F$276))),""limit 1""),{ROW(INDIRECT(""E1:E""&amp;COUNTA('List of "&amp;"Other High Schools'!$F$41:$F$276))),FILTER('List of Other High Schools'!$F$41:$F$276,'List of Other High Schools'!$F$41:$F$276&lt;&gt;"""")},2,0)))"),"#N/A")</f>
        <v>#N/A</v>
      </c>
    </row>
    <row r="9" spans="1:14">
      <c r="A9" s="29" t="s">
        <v>62</v>
      </c>
      <c r="C9" s="2" t="str">
        <f ca="1">IFERROR(__xludf.DUMMYFUNCTION("IFS(REGEXMATCH(A9,"", AL""),ArrayFormula(VLOOKUP(QUERY(UNIQUE(RANDBETWEEN(ROW(INDIRECT(""A1:A""&amp;COUNTA('List of Other High Schools'!$B$8:$B$76)*10))^0,COUNTA('List of Other High Schools'!$B$8:$B$76))),""limit 1""),{ROW(INDIRECT(""A1:A""&amp;COUNTA('List of Ot"&amp;"her High Schools'!$B$8:$B$76))),FILTER('List of Other High Schools'!$B$8:$B$76,'List of Other High Schools'!$B$8:$B$76&lt;&gt;"""")},2,0)),REGEXMATCH(A9,"", AK""),ArrayFormula(VLOOKUP(QUERY(UNIQUE(RANDBETWEEN(ROW(INDIRECT(""B1:B""&amp;COUNTA('List of Other High Sch"&amp;"ools'!C$2:C$26)*10))^0,COUNTA('List of Other High Schools'!C$2:C$26))),""limit 1""),{ROW(INDIRECT(""B1:B""&amp;COUNTA('List of Other High Schools'!C$2:C$26))),FILTER('List of Other High Schools'!C$2:C$26,'List of Other High Schools'!C$2:C$26&lt;&gt;"""")},2,0)),REG"&amp;"EXMATCH(A9, "", AZ""),ArrayFormula(VLOOKUP(QUERY(UNIQUE(RANDBETWEEN(ROW(INDIRECT(""C1:C""&amp;COUNTA('List of Other High Schools'!$D$4:$D$76)*10))^0,COUNTA('List of Other High Schools'!$D$4:$D$76))),""limit 1""),{ROW(INDIRECT(""C1:C""&amp;COUNTA('List of Other Hi"&amp;"gh Schools'!$D$4:$D$76))),FILTER('List of Other High Schools'!$D$4:$D$76,'List of Other High Schools'!$D$4:$D$76&lt;&gt;"""")},2,0)),REGEXMATCH(A9, "", AR""),ArrayFormula(VLOOKUP(QUERY(UNIQUE(RANDBETWEEN(ROW(INDIRECT(""D1:D""&amp;COUNTA('List of Other High Schools'"&amp;"!$E$7:$E$76)*10))^0,COUNTA('List of Other High Schools'!$E$7:$E$76))),""limit 1""),{ROW(INDIRECT(""D1:D""&amp;COUNTA('List of Other High Schools'!$E$7:$E$76))),FILTER('List of Other High Schools'!$E$7:$E$76,'List of Other High Schools'!$E$7:$E$76&lt;&gt;"""")},2,0)"&amp;"),REGEXMATCH(A9,"", CA""),ArrayFormula(VLOOKUP(QUERY(UNIQUE(RANDBETWEEN(ROW(INDIRECT(""E1:E""&amp;COUNTA('List of Other High Schools'!$F$41:$F$276)*10))^0,COUNTA('List of Other High Schools'!$F$41:$F$276))),""limit 1""),{ROW(INDIRECT(""E1:E""&amp;COUNTA('List of "&amp;"Other High Schools'!$F$41:$F$276))),FILTER('List of Other High Schools'!$F$41:$F$276,'List of Other High Schools'!$F$41:$F$276&lt;&gt;"""")},2,0)))"),"#N/A")</f>
        <v>#N/A</v>
      </c>
      <c r="L9" s="14" t="s">
        <v>69</v>
      </c>
      <c r="M9" s="14" t="s">
        <v>70</v>
      </c>
      <c r="N9" s="14" t="s">
        <v>71</v>
      </c>
    </row>
    <row r="10" spans="1:14">
      <c r="A10" s="28" t="s">
        <v>72</v>
      </c>
      <c r="C10" s="2" t="str">
        <f ca="1">IFERROR(__xludf.DUMMYFUNCTION("IFS(REGEXMATCH(A10,"",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Schools'!$B$8:$B$76&lt;&gt;"""")},2,0)),REGEXMATCH(A10,"",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Schools'!C$2:C$26&lt;&gt;"""")},2,0)),R"&amp;"EGEXMATCH(A10,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Schools'!$D$4:$D$76&lt;&gt;"""")},2,0)),REGEXMATCH(A10,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Schools'!$E$7:$E$76&lt;&gt;"""")},"&amp;"2,0)),REGEXMATCH(A10,"",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  <c r="K10" s="14">
        <v>1</v>
      </c>
      <c r="L10" s="3" t="s">
        <v>75</v>
      </c>
      <c r="M10" s="3" t="s">
        <v>76</v>
      </c>
      <c r="N10" s="3" t="s">
        <v>77</v>
      </c>
    </row>
    <row r="11" spans="1:14">
      <c r="A11" s="29" t="s">
        <v>78</v>
      </c>
      <c r="C11" s="2" t="str">
        <f ca="1">IFERROR(__xludf.DUMMYFUNCTION("IFS(REGEXMATCH(A11,"",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Schools'!$B$8:$B$76&lt;&gt;"""")},2,0)),REGEXMATCH(A11,"",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Schools'!C$2:C$26&lt;&gt;"""")},2,0)),R"&amp;"EGEXMATCH(A11,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Schools'!$D$4:$D$76&lt;&gt;"""")},2,0)),REGEXMATCH(A11,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Schools'!$E$7:$E$76&lt;&gt;"""")},"&amp;"2,0)),REGEXMATCH(A11,"",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  <c r="K11" s="14">
        <v>2</v>
      </c>
      <c r="L11" s="3" t="s">
        <v>81</v>
      </c>
      <c r="M11" s="3" t="s">
        <v>82</v>
      </c>
      <c r="N11" s="3" t="s">
        <v>83</v>
      </c>
    </row>
    <row r="12" spans="1:14">
      <c r="A12" s="16" t="s">
        <v>84</v>
      </c>
      <c r="C12" s="2" t="str">
        <f ca="1">IFERROR(__xludf.DUMMYFUNCTION("IFS(REGEXMATCH(A12,"",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Schools'!$B$8:$B$76&lt;&gt;"""")},2,0)),REGEXMATCH(A12,"",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Schools'!C$2:C$26&lt;&gt;"""")},2,0)),R"&amp;"EGEXMATCH(A12,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Schools'!$D$4:$D$76&lt;&gt;"""")},2,0)),REGEXMATCH(A12,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Schools'!$E$7:$E$76&lt;&gt;"""")},"&amp;"2,0)),REGEXMATCH(A12,"",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  <c r="K12" s="14">
        <v>3</v>
      </c>
      <c r="L12" s="3" t="s">
        <v>88</v>
      </c>
      <c r="M12" s="3" t="s">
        <v>89</v>
      </c>
      <c r="N12" s="3" t="s">
        <v>90</v>
      </c>
    </row>
    <row r="13" spans="1:14">
      <c r="A13" s="11" t="s">
        <v>91</v>
      </c>
      <c r="C13" s="2" t="str">
        <f ca="1">IFERROR(__xludf.DUMMYFUNCTION("IFS(REGEXMATCH(A13,"",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Schools'!$B$8:$B$76&lt;&gt;"""")},2,0)),REGEXMATCH(A13,"",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Schools'!C$2:C$26&lt;&gt;"""")},2,0)),R"&amp;"EGEXMATCH(A13,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Schools'!$D$4:$D$76&lt;&gt;"""")},2,0)),REGEXMATCH(A13,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Schools'!$E$7:$E$76&lt;&gt;"""")},"&amp;"2,0)),REGEXMATCH(A13,"",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  <c r="K13" s="14">
        <v>4</v>
      </c>
      <c r="L13" s="3" t="s">
        <v>97</v>
      </c>
      <c r="M13" s="3" t="s">
        <v>98</v>
      </c>
      <c r="N13" s="3" t="s">
        <v>99</v>
      </c>
    </row>
    <row r="14" spans="1:14">
      <c r="A14" s="16" t="s">
        <v>100</v>
      </c>
      <c r="C14" s="2" t="str">
        <f ca="1">IFERROR(__xludf.DUMMYFUNCTION("IFS(REGEXMATCH(A14,"",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Schools'!$B$8:$B$76&lt;&gt;"""")},2,0)),REGEXMATCH(A14,"",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Schools'!C$2:C$26&lt;&gt;"""")},2,0)),R"&amp;"EGEXMATCH(A14,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Schools'!$D$4:$D$76&lt;&gt;"""")},2,0)),REGEXMATCH(A14,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Schools'!$E$7:$E$76&lt;&gt;"""")},"&amp;"2,0)),REGEXMATCH(A14,"",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Schools'!$F$41:$F$276&lt;&gt;"""")},2,0)))"),"#REF!")</f>
        <v>#REF!</v>
      </c>
    </row>
    <row r="15" spans="1:14">
      <c r="A15" s="11" t="s">
        <v>103</v>
      </c>
      <c r="C15" s="2" t="str">
        <f ca="1">IFERROR(__xludf.DUMMYFUNCTION("IFS(REGEXMATCH(A15,"",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Schools'!$B$8:$B$76&lt;&gt;"""")},2,0)),REGEXMATCH(A15,"",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Schools'!C$2:C$26&lt;&gt;"""")},2,0)),R"&amp;"EGEXMATCH(A15,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Schools'!$D$4:$D$76&lt;&gt;"""")},2,0)),REGEXMATCH(A15,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Schools'!$E$7:$E$76&lt;&gt;"""")},"&amp;"2,0)),REGEXMATCH(A15,"",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</row>
    <row r="16" spans="1:14">
      <c r="A16" s="16" t="s">
        <v>106</v>
      </c>
      <c r="C16" s="2" t="str">
        <f ca="1">IFERROR(__xludf.DUMMYFUNCTION("IFS(REGEXMATCH(A16,"",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Schools'!$B$8:$B$76&lt;&gt;"""")},2,0)),REGEXMATCH(A16,"",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Schools'!C$2:C$26&lt;&gt;"""")},2,0)),R"&amp;"EGEXMATCH(A16,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Schools'!$D$4:$D$76&lt;&gt;"""")},2,0)),REGEXMATCH(A16,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Schools'!$E$7:$E$76&lt;&gt;"""")},"&amp;"2,0)),REGEXMATCH(A16,"",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</row>
    <row r="17" spans="1:11">
      <c r="A17" s="11" t="s">
        <v>109</v>
      </c>
      <c r="C17" s="2" t="str">
        <f ca="1">IFERROR(__xludf.DUMMYFUNCTION("IFS(REGEXMATCH(A17,"",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Schools'!$B$8:$B$76&lt;&gt;"""")},2,0)),REGEXMATCH(A17,"",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Schools'!C$2:C$26&lt;&gt;"""")},2,0)),R"&amp;"EGEXMATCH(A17,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Schools'!$D$4:$D$76&lt;&gt;"""")},2,0)),REGEXMATCH(A17,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Schools'!$E$7:$E$76&lt;&gt;"""")},"&amp;"2,0)),REGEXMATCH(A17,"",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</row>
    <row r="18" spans="1:11">
      <c r="A18" s="16" t="s">
        <v>111</v>
      </c>
      <c r="C18" s="2" t="str">
        <f ca="1">IFERROR(__xludf.DUMMYFUNCTION("IFS(REGEXMATCH(A18,"",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Schools'!$B$8:$B$76&lt;&gt;"""")},2,0)),REGEXMATCH(A18,"",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Schools'!C$2:C$26&lt;&gt;"""")},2,0)),R"&amp;"EGEXMATCH(A18,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Schools'!$D$4:$D$76&lt;&gt;"""")},2,0)),REGEXMATCH(A18,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Schools'!$E$7:$E$76&lt;&gt;"""")},"&amp;"2,0)),REGEXMATCH(A18,"",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</row>
    <row r="19" spans="1:11">
      <c r="A19" s="43" t="s">
        <v>117</v>
      </c>
      <c r="C19" s="2" t="str">
        <f ca="1">IFERROR(__xludf.DUMMYFUNCTION("IFS(REGEXMATCH(A19,"",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Schools'!$B$8:$B$76&lt;&gt;"""")},2,0)),REGEXMATCH(A19,"",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Schools'!C$2:C$26&lt;&gt;"""")},2,0)),R"&amp;"EGEXMATCH(A19,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Schools'!$D$4:$D$76&lt;&gt;"""")},2,0)),REGEXMATCH(A19,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Schools'!$E$7:$E$76&lt;&gt;"""")},"&amp;"2,0)),REGEXMATCH(A19,"",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</row>
    <row r="20" spans="1:11">
      <c r="A20" s="29" t="s">
        <v>121</v>
      </c>
      <c r="C20" s="2" t="str">
        <f ca="1">IFERROR(__xludf.DUMMYFUNCTION("IFS(REGEXMATCH(A20,"",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Schools'!$B$8:$B$76&lt;&gt;"""")},2,0)),REGEXMATCH(A20,"",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Schools'!C$2:C$26&lt;&gt;"""")},2,0)),R"&amp;"EGEXMATCH(A20,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Schools'!$D$4:$D$76&lt;&gt;"""")},2,0)),REGEXMATCH(A20,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Schools'!$E$7:$E$76&lt;&gt;"""")},"&amp;"2,0)),REGEXMATCH(A20,"",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Schools'!$F$41:$F$276&lt;&gt;"""")},2,0)))"),"#N/A")</f>
        <v>#N/A</v>
      </c>
      <c r="G20" s="2" t="e">
        <f ca="1">IFS(J3="AL",RANDBETWEEN(1,69),J3="AK",RANDBETWEEN(1,25),J3="AZ",RANDBETWEEN(1,73),J3="AR",RANDBETWEEN(1,70),J3="CA",RANDBETWEEN(1,236),J3="CO",RANDBETWEEN(1,75),J3="CT",RANDBETWEEN(1,50),J3="DE",RANDBETWEEN(1,23),J3="DC",RANDBETWEEN(1,28),J3="FL",RANDBETWEEN(1,153),J3="GA",RANDBETWEEN(1,92),J3="HI",RANDBETWEEN(1,25),J3="ID",RANDBETWEEN(1,74),J3="IL",RANDBETWEEN(1,136),J3="IN",RANDBETWEEN(1,95),J3="IA",RANDBETWEEN(1,49),J3="KS",RANDBETWEEN(1,71),J3="KY",RANDBETWEEN(1,49),J3="LA",RANDBETWEEN(1,70),J3="ME",RANDBETWEEN(1,24),J3="MD",RANDBETWEEN(1,57),J3="MA", RANDBETWEEN(1,48),J3="MI",RANDBETWEEN(1,95),J3="MN",RANDBETWEEN(1,72),J3="MS",RANDBETWEEN(1,72),J3="MO",RANDBETWEEN(1,97),J3="MT",RANDBETWEEN(1,28),J3="NE",RANDBETWEEN(1,49),J3="NV",RANDBETWEEN(1,23),J3="NH",RANDBETWEEN(1,25),J3="NJ",RANDBETWEEN(1,68),J3="NM",RANDBETWEEN(1,28),J3="NY",RANDBETWEEN(1,143),J3="NC",RANDBETWEEN(1,93),J3="ND",RANDBETWEEN(1,11),J3="OH",RANDBETWEEN(1,117),J3="OK",RANDBETWEEN(1,72),J3="OR",RANDBETWEEN(1,39),J3="PA",RANDBETWEEN(1,110),J3="RI",RANDBETWEEN(1,10),J3="SC",RANDBETWEEN(1,49),J3="SD",RANDBETWEEN(1,30),J3="TN",RANDBETWEEN(1,70),J3="TX",RANDBETWEEN(1,69),J3="UT",RANDBETWEEN(1,40),J3="VT",RANDBETWEEN(1,9),J3="VA",RANDBETWEEN(1,73),J3="WA",RANDBETWEEN(1,55),J3="WV",RANDBETWEEN(1,24),J3="WI",RANDBETWEEN(1,67),J3="WY",RANDBETWEEN(1,10))</f>
        <v>#NAME?</v>
      </c>
    </row>
    <row r="21" spans="1:11">
      <c r="A21" s="11" t="s">
        <v>132</v>
      </c>
      <c r="C21" s="2" t="str">
        <f ca="1">IFERROR(__xludf.DUMMYFUNCTION("IFS(REGEXMATCH(A21,"", AL""),ArrayFormula(VLOOKUP(QUERY(UNIQUE(RANDBETWEEN(ROW(INDIRECT(""A1:A""&amp;COUNTA('List of Other High Schools'!$B$8:$B$76)*10))^0,COUNTA('List of Other High Schools'!$B$8:$B$76))),""limit 1""),{ROW(INDIRECT(""A1:A""&amp;COUNTA('List of O"&amp;"ther High Schools'!$B$8:$B$76))),FILTER('List of Other High Schools'!$B$8:$B$76,'List of Other High Schools'!$B$8:$B$76&lt;&gt;"""")},2,0)),REGEXMATCH(A21,"", AK""),ArrayFormula(VLOOKUP(QUERY(UNIQUE(RANDBETWEEN(ROW(INDIRECT(""B1:B""&amp;COUNTA('List of Other High S"&amp;"chools'!C$2:C$26)*10))^0,COUNTA('List of Other High Schools'!C$2:C$26))),""limit 1""),{ROW(INDIRECT(""B1:B""&amp;COUNTA('List of Other High Schools'!C$2:C$26))),FILTER('List of Other High Schools'!C$2:C$26,'List of Other High Schools'!C$2:C$26&lt;&gt;"""")},2,0)),R"&amp;"EGEXMATCH(A21, "", AZ""),ArrayFormula(VLOOKUP(QUERY(UNIQUE(RANDBETWEEN(ROW(INDIRECT(""C1:C""&amp;COUNTA('List of Other High Schools'!$D$4:$D$76)*10))^0,COUNTA('List of Other High Schools'!$D$4:$D$76))),""limit 1""),{ROW(INDIRECT(""C1:C""&amp;COUNTA('List of Other"&amp;" High Schools'!$D$4:$D$76))),FILTER('List of Other High Schools'!$D$4:$D$76,'List of Other High Schools'!$D$4:$D$76&lt;&gt;"""")},2,0)),REGEXMATCH(A21, "", AR""),ArrayFormula(VLOOKUP(QUERY(UNIQUE(RANDBETWEEN(ROW(INDIRECT(""D1:D""&amp;COUNTA('List of Other High Scho"&amp;"ols'!$E$7:$E$76)*10))^0,COUNTA('List of Other High Schools'!$E$7:$E$76))),""limit 1""),{ROW(INDIRECT(""D1:D""&amp;COUNTA('List of Other High Schools'!$E$7:$E$76))),FILTER('List of Other High Schools'!$E$7:$E$76,'List of Other High Schools'!$E$7:$E$76&lt;&gt;"""")},"&amp;"2,0)),REGEXMATCH(A21,"", CA""),ArrayFormula(VLOOKUP(QUERY(UNIQUE(RANDBETWEEN(ROW(INDIRECT(""E1:E""&amp;COUNTA('List of Other High Schools'!$F$41:$F$276)*10))^0,COUNTA('List of Other High Schools'!$F$41:$F$276))),""limit 1""),{ROW(INDIRECT(""E1:E""&amp;COUNTA('Lis"&amp;"t of Other High Schools'!$F$41:$F$276))),FILTER('List of Other High Schools'!$F$41:$F$276,'List of Other High Schools'!$F$41:$F$276&lt;&gt;"""")},2,0)))"),"#REF!")</f>
        <v>#REF!</v>
      </c>
      <c r="F21" s="3" t="s">
        <v>135</v>
      </c>
      <c r="G21" s="3" t="s">
        <v>136</v>
      </c>
    </row>
    <row r="22" spans="1:11">
      <c r="A22" s="16" t="s">
        <v>137</v>
      </c>
      <c r="I22" s="48" t="s">
        <v>135</v>
      </c>
      <c r="J22" s="51" t="s">
        <v>43</v>
      </c>
      <c r="K22" s="48" t="s">
        <v>136</v>
      </c>
    </row>
    <row r="23" spans="1:11">
      <c r="A23" s="11" t="s">
        <v>128</v>
      </c>
      <c r="F23" s="3"/>
      <c r="I23" s="52">
        <v>2</v>
      </c>
      <c r="J23" s="53" t="s">
        <v>51</v>
      </c>
      <c r="K23" s="52" t="s">
        <v>140</v>
      </c>
    </row>
    <row r="24" spans="1:11">
      <c r="A24" s="16" t="s">
        <v>141</v>
      </c>
      <c r="I24" s="48">
        <v>3</v>
      </c>
      <c r="J24" s="51" t="s">
        <v>42</v>
      </c>
      <c r="K24" s="48" t="s">
        <v>142</v>
      </c>
    </row>
    <row r="25" spans="1:11">
      <c r="A25" s="11" t="s">
        <v>143</v>
      </c>
      <c r="E25" s="3"/>
      <c r="G25" s="54" t="str">
        <f ca="1">IFERROR(__xludf.DUMMYFUNCTION("SORTN(FILTER(J22:J36,K22:K36=G21,I22:I36=F21),1,0,randarray(COUNTA(FILTER(J22:J36,K22:K36=G21,I22:I36=F21)),1),TRUE)
"),"Montverde Academy (Montverde)")</f>
        <v>Montverde Academy (Montverde)</v>
      </c>
      <c r="I25" s="52">
        <v>4</v>
      </c>
      <c r="J25" s="53" t="s">
        <v>36</v>
      </c>
      <c r="K25" s="48" t="s">
        <v>140</v>
      </c>
    </row>
    <row r="26" spans="1:11">
      <c r="A26" s="16" t="s">
        <v>144</v>
      </c>
      <c r="I26" s="48">
        <v>5</v>
      </c>
      <c r="J26" s="51" t="s">
        <v>60</v>
      </c>
      <c r="K26" s="48" t="s">
        <v>142</v>
      </c>
    </row>
    <row r="27" spans="1:11">
      <c r="A27" s="11" t="s">
        <v>145</v>
      </c>
      <c r="H27" s="3"/>
      <c r="I27" s="52">
        <v>1</v>
      </c>
      <c r="J27" s="53" t="s">
        <v>73</v>
      </c>
      <c r="K27" s="48" t="s">
        <v>140</v>
      </c>
    </row>
    <row r="28" spans="1:11">
      <c r="A28" s="16" t="s">
        <v>146</v>
      </c>
      <c r="I28" s="48">
        <v>2</v>
      </c>
      <c r="J28" s="51" t="s">
        <v>41</v>
      </c>
      <c r="K28" s="48" t="s">
        <v>142</v>
      </c>
    </row>
    <row r="29" spans="1:11">
      <c r="A29" s="11" t="s">
        <v>147</v>
      </c>
      <c r="I29" s="52">
        <v>3</v>
      </c>
      <c r="J29" s="53" t="s">
        <v>86</v>
      </c>
      <c r="K29" s="48" t="s">
        <v>140</v>
      </c>
    </row>
    <row r="30" spans="1:11">
      <c r="A30" s="28" t="s">
        <v>151</v>
      </c>
      <c r="B30" s="55" t="e">
        <f t="shared" ref="B30:B31" ca="1" si="0">INDEX('[1]List of Other High Schools'!$B$2:$AZ$300,MATCH($G$20,'[1]List of Other High Schools'!$A$2:$A$300,0),MATCH(RIGHT(A30,2),'[1]List of Other High Schools'!$B$1:$AZ$1,0))</f>
        <v>#NAME?</v>
      </c>
      <c r="E30" s="55" t="e">
        <f ca="1">IF(OR(RIGHT(A30,2)='[1]List of Other High Schools'!B1,J3='[1]List of Other High Schools'!D1),RANDBETWEEN(1,75),RANDBETWEEN(1,25))</f>
        <v>#REF!</v>
      </c>
      <c r="I30" s="48">
        <v>4</v>
      </c>
      <c r="J30" s="51" t="s">
        <v>102</v>
      </c>
      <c r="K30" s="48" t="s">
        <v>142</v>
      </c>
    </row>
    <row r="31" spans="1:11">
      <c r="A31" s="58" t="s">
        <v>155</v>
      </c>
      <c r="B31" s="55" t="e">
        <f t="shared" ca="1" si="0"/>
        <v>#NAME?</v>
      </c>
      <c r="I31" s="52">
        <v>5</v>
      </c>
      <c r="J31" s="53" t="s">
        <v>57</v>
      </c>
      <c r="K31" s="48" t="s">
        <v>140</v>
      </c>
    </row>
    <row r="32" spans="1:11">
      <c r="A32" s="16" t="s">
        <v>156</v>
      </c>
      <c r="I32" s="48">
        <v>1</v>
      </c>
      <c r="J32" s="51" t="s">
        <v>37</v>
      </c>
      <c r="K32" s="48" t="s">
        <v>142</v>
      </c>
    </row>
    <row r="33" spans="1:11">
      <c r="A33" s="58" t="s">
        <v>157</v>
      </c>
      <c r="I33" s="52">
        <v>2</v>
      </c>
      <c r="J33" s="53" t="s">
        <v>55</v>
      </c>
      <c r="K33" s="48" t="s">
        <v>140</v>
      </c>
    </row>
    <row r="34" spans="1:11">
      <c r="A34" s="16" t="s">
        <v>158</v>
      </c>
      <c r="I34" s="48">
        <v>3</v>
      </c>
      <c r="J34" s="51" t="s">
        <v>68</v>
      </c>
      <c r="K34" s="48" t="s">
        <v>142</v>
      </c>
    </row>
    <row r="35" spans="1:11">
      <c r="A35" s="58" t="s">
        <v>160</v>
      </c>
      <c r="I35" s="52">
        <v>4</v>
      </c>
      <c r="J35" s="53" t="s">
        <v>54</v>
      </c>
      <c r="K35" s="48" t="s">
        <v>140</v>
      </c>
    </row>
    <row r="36" spans="1:11">
      <c r="A36" s="16" t="s">
        <v>161</v>
      </c>
      <c r="I36" s="48">
        <v>5</v>
      </c>
      <c r="J36" s="51" t="s">
        <v>67</v>
      </c>
      <c r="K36" s="48" t="s">
        <v>142</v>
      </c>
    </row>
    <row r="37" spans="1:11">
      <c r="A37" s="58" t="s">
        <v>162</v>
      </c>
      <c r="K37" s="48"/>
    </row>
    <row r="38" spans="1:11">
      <c r="A38" s="16" t="s">
        <v>163</v>
      </c>
    </row>
    <row r="39" spans="1:11">
      <c r="A39" s="58" t="s">
        <v>164</v>
      </c>
    </row>
    <row r="40" spans="1:11">
      <c r="A40" s="16" t="s">
        <v>161</v>
      </c>
    </row>
    <row r="41" spans="1:11">
      <c r="A41" s="58" t="s">
        <v>165</v>
      </c>
    </row>
    <row r="42" spans="1:11">
      <c r="A42" s="16" t="s">
        <v>166</v>
      </c>
      <c r="D42" s="3" t="s">
        <v>167</v>
      </c>
      <c r="E42" s="3" t="s">
        <v>136</v>
      </c>
      <c r="F42" s="69" t="str">
        <f t="shared" ref="F42:F50" si="1">D42&amp;", "&amp;E42</f>
        <v>Orlando, FL</v>
      </c>
      <c r="G42" s="70" t="s">
        <v>169</v>
      </c>
      <c r="H42" s="70"/>
      <c r="I42" s="70"/>
      <c r="J42" s="3" t="b">
        <f t="shared" ref="J42:J50" si="2">ISNUMBER(MATCH("*"&amp;F42&amp;"*",G$42:G$50,0))</f>
        <v>1</v>
      </c>
    </row>
    <row r="43" spans="1:11">
      <c r="A43" s="58" t="s">
        <v>172</v>
      </c>
      <c r="D43" s="14" t="s">
        <v>115</v>
      </c>
      <c r="E43" s="14" t="s">
        <v>174</v>
      </c>
      <c r="F43" s="72" t="str">
        <f t="shared" si="1"/>
        <v>Miami, OH</v>
      </c>
      <c r="G43" s="73" t="s">
        <v>176</v>
      </c>
      <c r="H43" s="73"/>
      <c r="I43" s="73"/>
      <c r="J43" s="14" t="b">
        <f t="shared" si="2"/>
        <v>0</v>
      </c>
    </row>
    <row r="44" spans="1:11">
      <c r="A44" s="16" t="s">
        <v>177</v>
      </c>
      <c r="D44" s="14" t="s">
        <v>178</v>
      </c>
      <c r="E44" s="14" t="s">
        <v>179</v>
      </c>
      <c r="F44" s="72" t="str">
        <f t="shared" si="1"/>
        <v>Greensboro, NC</v>
      </c>
      <c r="G44" s="73" t="s">
        <v>180</v>
      </c>
      <c r="H44" s="73"/>
      <c r="I44" s="73"/>
      <c r="J44" s="14" t="b">
        <f t="shared" si="2"/>
        <v>0</v>
      </c>
    </row>
    <row r="45" spans="1:11">
      <c r="A45" s="58" t="s">
        <v>181</v>
      </c>
      <c r="D45" s="14" t="s">
        <v>182</v>
      </c>
      <c r="E45" s="14" t="s">
        <v>183</v>
      </c>
      <c r="F45" s="72" t="str">
        <f t="shared" si="1"/>
        <v>Albany, NY</v>
      </c>
      <c r="G45" s="73" t="s">
        <v>184</v>
      </c>
      <c r="H45" s="73"/>
      <c r="I45" s="73"/>
      <c r="J45" s="14" t="b">
        <f t="shared" si="2"/>
        <v>0</v>
      </c>
    </row>
    <row r="46" spans="1:11">
      <c r="A46" s="16" t="s">
        <v>187</v>
      </c>
      <c r="D46" s="3" t="s">
        <v>188</v>
      </c>
      <c r="E46" s="3" t="s">
        <v>183</v>
      </c>
      <c r="F46" s="69" t="str">
        <f t="shared" si="1"/>
        <v>New York, NY</v>
      </c>
      <c r="G46" s="76" t="s">
        <v>189</v>
      </c>
      <c r="H46" s="76"/>
      <c r="I46" s="76"/>
      <c r="J46" s="3" t="b">
        <f t="shared" si="2"/>
        <v>1</v>
      </c>
    </row>
    <row r="47" spans="1:11">
      <c r="A47" s="58" t="s">
        <v>190</v>
      </c>
      <c r="D47" s="3" t="s">
        <v>24</v>
      </c>
      <c r="E47" s="3" t="s">
        <v>191</v>
      </c>
      <c r="F47" s="69" t="str">
        <f t="shared" si="1"/>
        <v>Detroit, MI</v>
      </c>
      <c r="G47" s="70" t="s">
        <v>192</v>
      </c>
      <c r="H47" s="70"/>
      <c r="I47" s="70"/>
      <c r="J47" s="3" t="b">
        <f t="shared" si="2"/>
        <v>1</v>
      </c>
    </row>
    <row r="48" spans="1:11">
      <c r="A48" s="16" t="s">
        <v>193</v>
      </c>
      <c r="D48" s="14" t="s">
        <v>194</v>
      </c>
      <c r="E48" s="14" t="s">
        <v>195</v>
      </c>
      <c r="F48" s="72" t="str">
        <f t="shared" si="1"/>
        <v>Paris, France</v>
      </c>
      <c r="G48" s="77" t="s">
        <v>196</v>
      </c>
      <c r="H48" s="77"/>
      <c r="I48" s="77"/>
      <c r="J48" s="14" t="b">
        <f t="shared" si="2"/>
        <v>0</v>
      </c>
    </row>
    <row r="49" spans="1:10">
      <c r="A49" s="58" t="s">
        <v>197</v>
      </c>
      <c r="D49" s="3" t="s">
        <v>115</v>
      </c>
      <c r="E49" s="3" t="s">
        <v>136</v>
      </c>
      <c r="F49" s="69" t="str">
        <f t="shared" si="1"/>
        <v>Miami, FL</v>
      </c>
      <c r="G49" s="76" t="s">
        <v>198</v>
      </c>
      <c r="H49" s="76"/>
      <c r="I49" s="76"/>
      <c r="J49" s="3" t="b">
        <f t="shared" si="2"/>
        <v>1</v>
      </c>
    </row>
    <row r="50" spans="1:10">
      <c r="A50" s="16" t="s">
        <v>199</v>
      </c>
      <c r="D50" s="3" t="s">
        <v>167</v>
      </c>
      <c r="E50" s="3" t="s">
        <v>136</v>
      </c>
      <c r="F50" s="69" t="str">
        <f t="shared" si="1"/>
        <v>Orlando, FL</v>
      </c>
      <c r="G50" s="3" t="s">
        <v>200</v>
      </c>
      <c r="H50" s="3"/>
      <c r="I50" s="3"/>
      <c r="J50" s="3" t="b">
        <f t="shared" si="2"/>
        <v>1</v>
      </c>
    </row>
    <row r="51" spans="1:10">
      <c r="A51" s="58" t="s">
        <v>201</v>
      </c>
    </row>
    <row r="52" spans="1:10">
      <c r="A52" s="16" t="s">
        <v>202</v>
      </c>
    </row>
    <row r="53" spans="1:10">
      <c r="A53" s="58" t="s">
        <v>203</v>
      </c>
    </row>
    <row r="54" spans="1:10">
      <c r="A54" s="16" t="s">
        <v>204</v>
      </c>
    </row>
    <row r="55" spans="1:10">
      <c r="A55" s="78" t="s">
        <v>193</v>
      </c>
    </row>
    <row r="56" spans="1:10">
      <c r="A56" s="29" t="s">
        <v>62</v>
      </c>
    </row>
    <row r="57" spans="1:10">
      <c r="A57" s="58" t="s">
        <v>205</v>
      </c>
    </row>
    <row r="58" spans="1:10">
      <c r="A58" s="16" t="s">
        <v>207</v>
      </c>
    </row>
    <row r="59" spans="1:10">
      <c r="A59" s="58" t="s">
        <v>209</v>
      </c>
    </row>
    <row r="60" spans="1:10">
      <c r="A60" s="16" t="s">
        <v>210</v>
      </c>
    </row>
    <row r="63" spans="1:10">
      <c r="A63" s="9"/>
      <c r="B63" s="9" t="s">
        <v>23</v>
      </c>
      <c r="C63" s="9" t="s">
        <v>24</v>
      </c>
    </row>
    <row r="64" spans="1:10">
      <c r="A64" s="9"/>
      <c r="B64" s="24" t="s">
        <v>47</v>
      </c>
      <c r="C64" s="9" t="s">
        <v>49</v>
      </c>
    </row>
    <row r="65" spans="1:3">
      <c r="A65" s="9"/>
      <c r="B65" s="24" t="s">
        <v>64</v>
      </c>
      <c r="C65" s="9" t="s">
        <v>65</v>
      </c>
    </row>
    <row r="66" spans="1:3">
      <c r="A66" s="9"/>
      <c r="B66" s="9" t="s">
        <v>94</v>
      </c>
      <c r="C66" s="9" t="s">
        <v>95</v>
      </c>
    </row>
    <row r="67" spans="1:3">
      <c r="A67" s="9"/>
      <c r="B67" s="24" t="s">
        <v>114</v>
      </c>
      <c r="C67" s="9" t="s">
        <v>115</v>
      </c>
    </row>
    <row r="68" spans="1:3">
      <c r="A68" s="9"/>
      <c r="B68" s="24" t="s">
        <v>94</v>
      </c>
      <c r="C68" s="9" t="s">
        <v>127</v>
      </c>
    </row>
    <row r="69" spans="1:3">
      <c r="A69" s="9"/>
      <c r="B69" s="24" t="s">
        <v>94</v>
      </c>
      <c r="C69" s="9" t="s">
        <v>138</v>
      </c>
    </row>
    <row r="70" spans="1:3">
      <c r="A70" s="9"/>
      <c r="B70" s="9" t="s">
        <v>148</v>
      </c>
      <c r="C70" s="9" t="s">
        <v>149</v>
      </c>
    </row>
    <row r="71" spans="1:3">
      <c r="A71" s="9"/>
      <c r="B71" s="9" t="s">
        <v>94</v>
      </c>
      <c r="C71" s="9" t="s">
        <v>138</v>
      </c>
    </row>
    <row r="72" spans="1:3">
      <c r="A72" s="9"/>
      <c r="B72" s="9" t="s">
        <v>114</v>
      </c>
      <c r="C72" s="9" t="s">
        <v>170</v>
      </c>
    </row>
    <row r="73" spans="1:3">
      <c r="A73" s="9"/>
      <c r="B73" s="9" t="s">
        <v>206</v>
      </c>
      <c r="C73" s="9" t="s">
        <v>118</v>
      </c>
    </row>
    <row r="74" spans="1:3">
      <c r="A74" s="9"/>
      <c r="B74" s="9" t="s">
        <v>23</v>
      </c>
      <c r="C74" s="9" t="s">
        <v>211</v>
      </c>
    </row>
    <row r="75" spans="1:3">
      <c r="A75" s="9"/>
      <c r="B75" s="9" t="s">
        <v>212</v>
      </c>
      <c r="C75" s="9" t="s">
        <v>213</v>
      </c>
    </row>
    <row r="76" spans="1:3">
      <c r="A76" s="9"/>
      <c r="B76" s="9" t="s">
        <v>212</v>
      </c>
      <c r="C76" s="9" t="s">
        <v>214</v>
      </c>
    </row>
    <row r="77" spans="1:3">
      <c r="A77" s="9"/>
      <c r="B77" s="9" t="s">
        <v>215</v>
      </c>
      <c r="C77" s="9" t="s">
        <v>216</v>
      </c>
    </row>
    <row r="78" spans="1:3">
      <c r="A78" s="9"/>
      <c r="B78" s="9" t="s">
        <v>217</v>
      </c>
      <c r="C78" s="9" t="s">
        <v>218</v>
      </c>
    </row>
    <row r="79" spans="1:3">
      <c r="A79" s="9"/>
      <c r="B79" s="24" t="s">
        <v>219</v>
      </c>
      <c r="C79" s="9" t="s">
        <v>220</v>
      </c>
    </row>
    <row r="80" spans="1:3">
      <c r="A80" s="9"/>
      <c r="B80" s="9" t="s">
        <v>221</v>
      </c>
      <c r="C80" s="9" t="s">
        <v>222</v>
      </c>
    </row>
    <row r="81" spans="1:3">
      <c r="A81" s="9"/>
      <c r="B81" s="9" t="s">
        <v>212</v>
      </c>
      <c r="C81" s="9" t="s">
        <v>223</v>
      </c>
    </row>
    <row r="82" spans="1:3">
      <c r="A82" s="9"/>
      <c r="B82" s="9" t="s">
        <v>224</v>
      </c>
      <c r="C82" s="9" t="s">
        <v>225</v>
      </c>
    </row>
    <row r="83" spans="1:3">
      <c r="A83" s="9"/>
      <c r="B83" s="9" t="s">
        <v>226</v>
      </c>
      <c r="C83" s="9" t="s">
        <v>227</v>
      </c>
    </row>
    <row r="84" spans="1:3">
      <c r="A84" s="9"/>
      <c r="B84" s="9" t="s">
        <v>228</v>
      </c>
      <c r="C84" s="9" t="s">
        <v>229</v>
      </c>
    </row>
    <row r="85" spans="1:3">
      <c r="A85" s="9"/>
      <c r="B85" s="9" t="s">
        <v>114</v>
      </c>
      <c r="C85" s="9" t="s">
        <v>230</v>
      </c>
    </row>
    <row r="86" spans="1:3">
      <c r="A86" s="9"/>
      <c r="B86" s="24" t="s">
        <v>148</v>
      </c>
      <c r="C86" s="9" t="s">
        <v>149</v>
      </c>
    </row>
    <row r="87" spans="1:3">
      <c r="A87" s="9"/>
      <c r="B87" s="24" t="s">
        <v>231</v>
      </c>
      <c r="C87" s="9" t="s">
        <v>232</v>
      </c>
    </row>
    <row r="88" spans="1:3">
      <c r="A88" s="9"/>
      <c r="B88" s="9" t="s">
        <v>148</v>
      </c>
      <c r="C88" s="9" t="s">
        <v>233</v>
      </c>
    </row>
    <row r="89" spans="1:3">
      <c r="A89" s="9"/>
      <c r="B89" s="9" t="s">
        <v>47</v>
      </c>
      <c r="C89" s="9" t="s">
        <v>234</v>
      </c>
    </row>
    <row r="90" spans="1:3">
      <c r="A90" s="9"/>
      <c r="B90" s="9" t="s">
        <v>235</v>
      </c>
      <c r="C90" s="9" t="s">
        <v>236</v>
      </c>
    </row>
    <row r="91" spans="1:3">
      <c r="A91" s="9"/>
      <c r="B91" s="9" t="s">
        <v>47</v>
      </c>
      <c r="C91" s="9" t="s">
        <v>237</v>
      </c>
    </row>
    <row r="92" spans="1:3">
      <c r="A92" s="9"/>
      <c r="B92" s="9" t="s">
        <v>238</v>
      </c>
      <c r="C92" s="9" t="s">
        <v>188</v>
      </c>
    </row>
    <row r="93" spans="1:3">
      <c r="A93" s="9"/>
      <c r="B93" s="24" t="s">
        <v>23</v>
      </c>
      <c r="C93" s="9" t="s">
        <v>239</v>
      </c>
    </row>
    <row r="94" spans="1:3">
      <c r="A94" s="9"/>
      <c r="B94" s="24" t="s">
        <v>240</v>
      </c>
      <c r="C94" s="9" t="s">
        <v>241</v>
      </c>
    </row>
    <row r="95" spans="1:3">
      <c r="A95" s="9"/>
      <c r="B95" s="9" t="s">
        <v>228</v>
      </c>
      <c r="C95" s="9" t="s">
        <v>242</v>
      </c>
    </row>
    <row r="96" spans="1:3">
      <c r="A96" s="9"/>
      <c r="B96" s="9" t="s">
        <v>243</v>
      </c>
      <c r="C96" s="9" t="s">
        <v>244</v>
      </c>
    </row>
    <row r="97" spans="1:3">
      <c r="A97" s="9"/>
      <c r="B97" s="9" t="s">
        <v>245</v>
      </c>
      <c r="C97" s="9" t="s">
        <v>246</v>
      </c>
    </row>
    <row r="98" spans="1:3">
      <c r="A98" s="9"/>
      <c r="B98" s="9" t="s">
        <v>247</v>
      </c>
      <c r="C98" s="9" t="s">
        <v>248</v>
      </c>
    </row>
    <row r="99" spans="1:3">
      <c r="A99" s="9"/>
      <c r="B99" s="9" t="s">
        <v>249</v>
      </c>
      <c r="C99" s="9" t="s">
        <v>250</v>
      </c>
    </row>
    <row r="100" spans="1:3">
      <c r="A100" s="9"/>
      <c r="B100" s="9" t="s">
        <v>206</v>
      </c>
      <c r="C100" s="9" t="s">
        <v>251</v>
      </c>
    </row>
    <row r="101" spans="1:3">
      <c r="A101" s="9"/>
      <c r="B101" s="9" t="s">
        <v>206</v>
      </c>
      <c r="C101" s="9" t="s">
        <v>252</v>
      </c>
    </row>
    <row r="102" spans="1:3">
      <c r="A102" s="9"/>
      <c r="B102" s="9" t="s">
        <v>247</v>
      </c>
      <c r="C102" s="9" t="s">
        <v>253</v>
      </c>
    </row>
    <row r="103" spans="1:3">
      <c r="A103" s="9"/>
      <c r="B103" s="9" t="s">
        <v>254</v>
      </c>
      <c r="C103" s="9" t="s">
        <v>255</v>
      </c>
    </row>
    <row r="104" spans="1:3">
      <c r="A104" s="9"/>
      <c r="B104" s="9" t="s">
        <v>256</v>
      </c>
      <c r="C104" s="9" t="s">
        <v>257</v>
      </c>
    </row>
    <row r="105" spans="1:3">
      <c r="A105" s="9"/>
      <c r="B105" s="9" t="s">
        <v>235</v>
      </c>
      <c r="C105" s="9" t="s">
        <v>236</v>
      </c>
    </row>
    <row r="106" spans="1:3">
      <c r="A106" s="9"/>
      <c r="B106" s="9" t="s">
        <v>228</v>
      </c>
      <c r="C106" s="9" t="s">
        <v>258</v>
      </c>
    </row>
    <row r="107" spans="1:3">
      <c r="A107" s="9"/>
      <c r="B107" s="9" t="s">
        <v>47</v>
      </c>
      <c r="C107" s="9" t="s">
        <v>259</v>
      </c>
    </row>
    <row r="108" spans="1:3">
      <c r="A108" s="9"/>
      <c r="B108" s="9" t="s">
        <v>238</v>
      </c>
      <c r="C108" s="9" t="s">
        <v>188</v>
      </c>
    </row>
    <row r="109" spans="1:3">
      <c r="A109" s="9"/>
      <c r="B109" s="9" t="s">
        <v>47</v>
      </c>
      <c r="C109" s="9" t="s">
        <v>260</v>
      </c>
    </row>
    <row r="110" spans="1:3">
      <c r="A110" s="9"/>
      <c r="B110" s="9" t="s">
        <v>206</v>
      </c>
      <c r="C110" s="9" t="s">
        <v>261</v>
      </c>
    </row>
    <row r="111" spans="1:3">
      <c r="A111" s="9"/>
      <c r="B111" s="9" t="s">
        <v>262</v>
      </c>
      <c r="C111" s="9" t="s">
        <v>263</v>
      </c>
    </row>
    <row r="112" spans="1:3">
      <c r="A112" s="9"/>
      <c r="B112" s="24" t="s">
        <v>264</v>
      </c>
      <c r="C112" s="9" t="s">
        <v>265</v>
      </c>
    </row>
    <row r="113" spans="1:3">
      <c r="A113" s="9"/>
      <c r="B113" s="9" t="s">
        <v>266</v>
      </c>
      <c r="C113" s="9" t="s">
        <v>267</v>
      </c>
    </row>
    <row r="114" spans="1:3">
      <c r="A114" s="9"/>
      <c r="B114" s="9" t="s">
        <v>254</v>
      </c>
      <c r="C114" s="9" t="s">
        <v>268</v>
      </c>
    </row>
    <row r="115" spans="1:3">
      <c r="A115" s="9"/>
      <c r="B115" s="9" t="s">
        <v>217</v>
      </c>
      <c r="C115" s="9" t="s">
        <v>269</v>
      </c>
    </row>
    <row r="116" spans="1:3">
      <c r="A116" s="9"/>
      <c r="B116" s="9" t="s">
        <v>270</v>
      </c>
      <c r="C116" s="9" t="s">
        <v>271</v>
      </c>
    </row>
    <row r="117" spans="1:3">
      <c r="A117" s="9"/>
      <c r="B117" s="9" t="s">
        <v>249</v>
      </c>
      <c r="C117" s="9" t="s">
        <v>272</v>
      </c>
    </row>
    <row r="118" spans="1:3">
      <c r="A118" s="9"/>
      <c r="B118" s="9" t="s">
        <v>273</v>
      </c>
      <c r="C118" s="9" t="s">
        <v>274</v>
      </c>
    </row>
    <row r="119" spans="1:3">
      <c r="A119" s="9"/>
      <c r="B119" s="9" t="s">
        <v>275</v>
      </c>
      <c r="C119" s="9" t="s">
        <v>276</v>
      </c>
    </row>
    <row r="120" spans="1:3">
      <c r="A120" s="9"/>
      <c r="B120" s="9" t="s">
        <v>262</v>
      </c>
      <c r="C120" s="9" t="s">
        <v>277</v>
      </c>
    </row>
    <row r="121" spans="1:3">
      <c r="A121" s="9"/>
      <c r="B121" s="9" t="s">
        <v>256</v>
      </c>
      <c r="C121" s="9" t="s">
        <v>278</v>
      </c>
    </row>
    <row r="122" spans="1:3">
      <c r="A122" s="9"/>
      <c r="B122" s="9" t="s">
        <v>212</v>
      </c>
      <c r="C122" s="9" t="s">
        <v>279</v>
      </c>
    </row>
    <row r="123" spans="1:3">
      <c r="A123" s="9"/>
      <c r="B123" s="9" t="s">
        <v>270</v>
      </c>
      <c r="C123" s="9" t="s">
        <v>280</v>
      </c>
    </row>
    <row r="124" spans="1:3">
      <c r="A124" s="9"/>
      <c r="B124" s="9" t="s">
        <v>266</v>
      </c>
      <c r="C124" s="9" t="s">
        <v>281</v>
      </c>
    </row>
    <row r="125" spans="1:3">
      <c r="A125" s="9"/>
      <c r="B125" s="9" t="s">
        <v>148</v>
      </c>
      <c r="C125" s="9" t="s">
        <v>282</v>
      </c>
    </row>
    <row r="126" spans="1:3">
      <c r="A126" s="9"/>
      <c r="B126" s="9" t="s">
        <v>249</v>
      </c>
      <c r="C126" s="9" t="s">
        <v>283</v>
      </c>
    </row>
    <row r="127" spans="1:3">
      <c r="A127" s="9"/>
      <c r="B127" s="9" t="s">
        <v>212</v>
      </c>
      <c r="C127" s="9" t="s">
        <v>284</v>
      </c>
    </row>
    <row r="128" spans="1:3">
      <c r="A128" s="9"/>
      <c r="B128" s="9" t="s">
        <v>114</v>
      </c>
      <c r="C128" s="9" t="s">
        <v>285</v>
      </c>
    </row>
    <row r="129" spans="1:3">
      <c r="A129" s="9"/>
      <c r="B129" s="9" t="s">
        <v>249</v>
      </c>
      <c r="C129" s="9" t="s">
        <v>286</v>
      </c>
    </row>
    <row r="130" spans="1:3">
      <c r="A130" s="9"/>
      <c r="B130" s="9" t="s">
        <v>206</v>
      </c>
      <c r="C130" s="9" t="s">
        <v>287</v>
      </c>
    </row>
    <row r="131" spans="1:3">
      <c r="A131" s="9"/>
      <c r="B131" s="9" t="s">
        <v>288</v>
      </c>
      <c r="C131" s="9" t="s">
        <v>289</v>
      </c>
    </row>
    <row r="132" spans="1:3">
      <c r="A132" s="9"/>
      <c r="B132" s="9" t="s">
        <v>206</v>
      </c>
      <c r="C132" s="9" t="s">
        <v>290</v>
      </c>
    </row>
    <row r="133" spans="1:3">
      <c r="A133" s="9"/>
      <c r="B133" s="9" t="s">
        <v>114</v>
      </c>
      <c r="C133" s="9" t="s">
        <v>291</v>
      </c>
    </row>
    <row r="134" spans="1:3">
      <c r="A134" s="9"/>
      <c r="B134" s="9" t="s">
        <v>47</v>
      </c>
      <c r="C134" s="9" t="s">
        <v>292</v>
      </c>
    </row>
    <row r="135" spans="1:3">
      <c r="A135" s="9"/>
      <c r="B135" s="9" t="s">
        <v>206</v>
      </c>
      <c r="C135" s="9" t="s">
        <v>293</v>
      </c>
    </row>
    <row r="136" spans="1:3">
      <c r="A136" s="9"/>
      <c r="B136" s="9" t="s">
        <v>288</v>
      </c>
      <c r="C136" s="9" t="s">
        <v>294</v>
      </c>
    </row>
    <row r="137" spans="1:3">
      <c r="A137" s="9"/>
      <c r="B137" s="9" t="s">
        <v>254</v>
      </c>
      <c r="C137" s="9" t="s">
        <v>296</v>
      </c>
    </row>
    <row r="138" spans="1:3">
      <c r="A138" s="9"/>
      <c r="B138" s="9" t="s">
        <v>288</v>
      </c>
      <c r="C138" s="9" t="s">
        <v>294</v>
      </c>
    </row>
    <row r="139" spans="1:3">
      <c r="A139" s="9"/>
      <c r="B139" s="9" t="s">
        <v>256</v>
      </c>
      <c r="C139" s="9" t="s">
        <v>297</v>
      </c>
    </row>
    <row r="140" spans="1:3">
      <c r="A140" s="9"/>
      <c r="B140" s="9" t="s">
        <v>270</v>
      </c>
      <c r="C140" s="9" t="s">
        <v>298</v>
      </c>
    </row>
    <row r="141" spans="1:3">
      <c r="A141" s="9"/>
      <c r="B141" s="9" t="s">
        <v>288</v>
      </c>
      <c r="C141" s="9" t="s">
        <v>299</v>
      </c>
    </row>
    <row r="142" spans="1:3">
      <c r="A142" s="9"/>
      <c r="B142" s="9" t="s">
        <v>300</v>
      </c>
      <c r="C142" s="9" t="s">
        <v>301</v>
      </c>
    </row>
    <row r="143" spans="1:3">
      <c r="A143" s="9"/>
      <c r="B143" s="9" t="s">
        <v>23</v>
      </c>
      <c r="C143" s="9" t="s">
        <v>302</v>
      </c>
    </row>
    <row r="144" spans="1:3">
      <c r="A144" s="9"/>
      <c r="B144" s="9" t="s">
        <v>238</v>
      </c>
      <c r="C144" s="9" t="s">
        <v>188</v>
      </c>
    </row>
    <row r="145" spans="1:3">
      <c r="A145" s="9"/>
      <c r="B145" s="9" t="s">
        <v>262</v>
      </c>
      <c r="C145" s="9" t="s">
        <v>303</v>
      </c>
    </row>
    <row r="146" spans="1:3">
      <c r="A146" s="9"/>
      <c r="B146" s="9" t="s">
        <v>148</v>
      </c>
      <c r="C146" s="9" t="s">
        <v>304</v>
      </c>
    </row>
    <row r="147" spans="1:3">
      <c r="A147" s="9"/>
      <c r="B147" s="9" t="s">
        <v>245</v>
      </c>
      <c r="C147" s="9" t="s">
        <v>305</v>
      </c>
    </row>
    <row r="148" spans="1:3">
      <c r="A148" s="9"/>
      <c r="B148" s="9" t="s">
        <v>306</v>
      </c>
      <c r="C148" s="9" t="s">
        <v>307</v>
      </c>
    </row>
    <row r="149" spans="1:3">
      <c r="A149" s="9"/>
      <c r="B149" s="9" t="s">
        <v>270</v>
      </c>
      <c r="C149" s="9" t="s">
        <v>308</v>
      </c>
    </row>
    <row r="150" spans="1:3">
      <c r="A150" s="9"/>
      <c r="B150" s="9" t="s">
        <v>94</v>
      </c>
      <c r="C150" s="9" t="s">
        <v>309</v>
      </c>
    </row>
    <row r="151" spans="1:3">
      <c r="A151" s="9"/>
      <c r="B151" s="9" t="s">
        <v>264</v>
      </c>
      <c r="C151" s="9" t="s">
        <v>310</v>
      </c>
    </row>
    <row r="152" spans="1:3">
      <c r="A152" s="9"/>
      <c r="B152" s="9" t="s">
        <v>311</v>
      </c>
      <c r="C152" s="9" t="s">
        <v>312</v>
      </c>
    </row>
    <row r="153" spans="1:3">
      <c r="A153" s="9"/>
      <c r="B153" s="9" t="s">
        <v>238</v>
      </c>
      <c r="C153" s="9" t="s">
        <v>313</v>
      </c>
    </row>
    <row r="154" spans="1:3">
      <c r="A154" s="9"/>
      <c r="B154" s="9" t="s">
        <v>314</v>
      </c>
      <c r="C154" s="9" t="s">
        <v>315</v>
      </c>
    </row>
    <row r="155" spans="1:3">
      <c r="A155" s="9"/>
      <c r="B155" s="9" t="s">
        <v>316</v>
      </c>
      <c r="C155" s="9" t="s">
        <v>317</v>
      </c>
    </row>
    <row r="156" spans="1:3">
      <c r="A156" s="9"/>
      <c r="B156" s="9" t="s">
        <v>238</v>
      </c>
      <c r="C156" s="9" t="s">
        <v>318</v>
      </c>
    </row>
    <row r="157" spans="1:3">
      <c r="A157" s="9"/>
      <c r="B157" s="9" t="s">
        <v>47</v>
      </c>
      <c r="C157" s="9" t="s">
        <v>319</v>
      </c>
    </row>
    <row r="158" spans="1:3">
      <c r="A158" s="9"/>
      <c r="B158" s="9" t="s">
        <v>320</v>
      </c>
      <c r="C158" s="9" t="s">
        <v>321</v>
      </c>
    </row>
    <row r="159" spans="1:3">
      <c r="A159" s="9"/>
      <c r="B159" s="9" t="s">
        <v>219</v>
      </c>
      <c r="C159" s="9" t="s">
        <v>322</v>
      </c>
    </row>
    <row r="160" spans="1:3">
      <c r="A160" s="9"/>
      <c r="B160" s="9" t="s">
        <v>47</v>
      </c>
      <c r="C160" s="9" t="s">
        <v>323</v>
      </c>
    </row>
    <row r="161" spans="1:3">
      <c r="A161" s="9"/>
      <c r="B161" s="9" t="s">
        <v>306</v>
      </c>
      <c r="C161" s="9" t="s">
        <v>324</v>
      </c>
    </row>
    <row r="162" spans="1:3">
      <c r="A162" s="9"/>
      <c r="B162" s="9" t="s">
        <v>23</v>
      </c>
      <c r="C162" s="9" t="s">
        <v>325</v>
      </c>
    </row>
    <row r="163" spans="1:3">
      <c r="A163" s="9"/>
      <c r="B163" s="9" t="s">
        <v>238</v>
      </c>
      <c r="C163" s="9" t="s">
        <v>326</v>
      </c>
    </row>
    <row r="164" spans="1:3">
      <c r="A164" s="9"/>
      <c r="B164" s="9" t="s">
        <v>238</v>
      </c>
      <c r="C164" s="9" t="s">
        <v>188</v>
      </c>
    </row>
    <row r="165" spans="1:3">
      <c r="A165" s="9"/>
      <c r="B165" s="9" t="s">
        <v>262</v>
      </c>
      <c r="C165" s="9" t="s">
        <v>327</v>
      </c>
    </row>
    <row r="166" spans="1:3">
      <c r="A166" s="9"/>
      <c r="B166" s="9" t="s">
        <v>254</v>
      </c>
      <c r="C166" s="9" t="s">
        <v>268</v>
      </c>
    </row>
    <row r="167" spans="1:3">
      <c r="A167" s="9"/>
      <c r="B167" s="9" t="s">
        <v>238</v>
      </c>
      <c r="C167" s="9" t="s">
        <v>326</v>
      </c>
    </row>
    <row r="168" spans="1:3">
      <c r="A168" s="9"/>
      <c r="B168" s="9" t="s">
        <v>316</v>
      </c>
      <c r="C168" s="9" t="s">
        <v>328</v>
      </c>
    </row>
    <row r="169" spans="1:3">
      <c r="A169" s="9"/>
      <c r="B169" s="9" t="s">
        <v>329</v>
      </c>
      <c r="C169" s="9" t="s">
        <v>327</v>
      </c>
    </row>
    <row r="170" spans="1:3">
      <c r="A170" s="9"/>
      <c r="B170" s="9" t="s">
        <v>235</v>
      </c>
      <c r="C170" s="9" t="s">
        <v>330</v>
      </c>
    </row>
    <row r="171" spans="1:3">
      <c r="A171" s="9"/>
      <c r="B171" s="9" t="s">
        <v>300</v>
      </c>
      <c r="C171" s="9" t="s">
        <v>331</v>
      </c>
    </row>
    <row r="172" spans="1:3">
      <c r="A172" s="9"/>
      <c r="B172" s="9" t="s">
        <v>47</v>
      </c>
      <c r="C172" s="9" t="s">
        <v>332</v>
      </c>
    </row>
    <row r="173" spans="1:3">
      <c r="A173" s="9"/>
      <c r="B173" s="9" t="s">
        <v>47</v>
      </c>
      <c r="C173" s="9" t="s">
        <v>333</v>
      </c>
    </row>
    <row r="174" spans="1:3">
      <c r="A174" s="9"/>
      <c r="B174" s="9" t="s">
        <v>23</v>
      </c>
      <c r="C174" s="9" t="s">
        <v>334</v>
      </c>
    </row>
    <row r="175" spans="1:3">
      <c r="A175" s="9"/>
      <c r="B175" s="9" t="s">
        <v>300</v>
      </c>
      <c r="C175" s="9" t="s">
        <v>335</v>
      </c>
    </row>
    <row r="176" spans="1:3">
      <c r="A176" s="9"/>
      <c r="B176" s="9" t="s">
        <v>243</v>
      </c>
      <c r="C176" s="9" t="s">
        <v>336</v>
      </c>
    </row>
    <row r="177" spans="1:3">
      <c r="A177" s="9"/>
      <c r="B177" s="9" t="s">
        <v>148</v>
      </c>
      <c r="C177" s="9" t="s">
        <v>337</v>
      </c>
    </row>
    <row r="178" spans="1:3">
      <c r="A178" s="9"/>
      <c r="B178" s="9" t="s">
        <v>47</v>
      </c>
      <c r="C178" s="9" t="s">
        <v>338</v>
      </c>
    </row>
    <row r="179" spans="1:3">
      <c r="A179" s="9"/>
      <c r="B179" s="9" t="s">
        <v>114</v>
      </c>
      <c r="C179" s="9" t="s">
        <v>339</v>
      </c>
    </row>
    <row r="180" spans="1:3">
      <c r="A180" s="9"/>
      <c r="B180" s="9" t="s">
        <v>264</v>
      </c>
      <c r="C180" s="9" t="s">
        <v>340</v>
      </c>
    </row>
    <row r="181" spans="1:3">
      <c r="A181" s="9"/>
      <c r="B181" s="9" t="s">
        <v>341</v>
      </c>
      <c r="C181" s="9" t="s">
        <v>342</v>
      </c>
    </row>
    <row r="182" spans="1:3">
      <c r="A182" s="9"/>
      <c r="B182" s="9" t="s">
        <v>343</v>
      </c>
      <c r="C182" s="9" t="s">
        <v>344</v>
      </c>
    </row>
    <row r="183" spans="1:3">
      <c r="A183" s="9"/>
      <c r="B183" s="9" t="s">
        <v>345</v>
      </c>
      <c r="C183" s="9" t="s">
        <v>346</v>
      </c>
    </row>
    <row r="184" spans="1:3">
      <c r="A184" s="9"/>
      <c r="B184" s="9" t="s">
        <v>23</v>
      </c>
      <c r="C184" s="9" t="s">
        <v>347</v>
      </c>
    </row>
    <row r="185" spans="1:3">
      <c r="A185" s="9"/>
      <c r="B185" s="9" t="s">
        <v>47</v>
      </c>
      <c r="C185" s="9" t="s">
        <v>348</v>
      </c>
    </row>
    <row r="186" spans="1:3">
      <c r="A186" s="9"/>
      <c r="B186" s="9" t="s">
        <v>245</v>
      </c>
      <c r="C186" s="9" t="s">
        <v>349</v>
      </c>
    </row>
    <row r="187" spans="1:3">
      <c r="A187" s="9"/>
      <c r="B187" s="9" t="s">
        <v>256</v>
      </c>
      <c r="C187" s="9" t="s">
        <v>350</v>
      </c>
    </row>
    <row r="188" spans="1:3">
      <c r="A188" s="9"/>
      <c r="B188" s="9" t="s">
        <v>273</v>
      </c>
      <c r="C188" s="9" t="s">
        <v>351</v>
      </c>
    </row>
    <row r="189" spans="1:3">
      <c r="A189" s="9"/>
      <c r="B189" s="9" t="s">
        <v>148</v>
      </c>
      <c r="C189" s="9" t="s">
        <v>352</v>
      </c>
    </row>
    <row r="190" spans="1:3">
      <c r="A190" s="9"/>
      <c r="B190" s="9" t="s">
        <v>320</v>
      </c>
      <c r="C190" s="9" t="s">
        <v>353</v>
      </c>
    </row>
    <row r="191" spans="1:3">
      <c r="A191" s="9"/>
      <c r="B191" s="9" t="s">
        <v>114</v>
      </c>
      <c r="C191" s="9" t="s">
        <v>354</v>
      </c>
    </row>
    <row r="192" spans="1:3">
      <c r="A192" s="9"/>
      <c r="B192" s="9" t="s">
        <v>228</v>
      </c>
      <c r="C192" s="9" t="s">
        <v>356</v>
      </c>
    </row>
    <row r="193" spans="1:3">
      <c r="A193" s="9"/>
      <c r="B193" s="9" t="s">
        <v>243</v>
      </c>
      <c r="C193" s="9" t="s">
        <v>357</v>
      </c>
    </row>
    <row r="194" spans="1:3">
      <c r="A194" s="9"/>
      <c r="B194" s="9" t="s">
        <v>238</v>
      </c>
      <c r="C194" s="9" t="s">
        <v>358</v>
      </c>
    </row>
    <row r="195" spans="1:3">
      <c r="A195" s="9"/>
      <c r="B195" s="9" t="s">
        <v>206</v>
      </c>
      <c r="C195" s="9" t="s">
        <v>359</v>
      </c>
    </row>
    <row r="196" spans="1:3">
      <c r="A196" s="9"/>
      <c r="B196" s="9" t="s">
        <v>23</v>
      </c>
      <c r="C196" s="9" t="s">
        <v>360</v>
      </c>
    </row>
    <row r="197" spans="1:3">
      <c r="A197" s="9"/>
      <c r="B197" s="9" t="s">
        <v>270</v>
      </c>
      <c r="C197" s="9" t="s">
        <v>361</v>
      </c>
    </row>
    <row r="198" spans="1:3">
      <c r="A198" s="9"/>
      <c r="B198" s="9" t="s">
        <v>206</v>
      </c>
      <c r="C198" s="9" t="s">
        <v>362</v>
      </c>
    </row>
    <row r="199" spans="1:3">
      <c r="A199" s="9"/>
      <c r="B199" s="9" t="s">
        <v>217</v>
      </c>
      <c r="C199" s="9" t="s">
        <v>218</v>
      </c>
    </row>
    <row r="200" spans="1:3">
      <c r="A200" s="9"/>
      <c r="B200" s="9" t="s">
        <v>47</v>
      </c>
      <c r="C200" s="9" t="s">
        <v>363</v>
      </c>
    </row>
    <row r="201" spans="1:3">
      <c r="A201" s="9"/>
      <c r="B201" s="9" t="s">
        <v>206</v>
      </c>
      <c r="C201" s="9" t="s">
        <v>364</v>
      </c>
    </row>
    <row r="202" spans="1:3">
      <c r="A202" s="9"/>
      <c r="B202" s="9" t="s">
        <v>148</v>
      </c>
      <c r="C202" s="9" t="s">
        <v>365</v>
      </c>
    </row>
    <row r="203" spans="1:3">
      <c r="A203" s="9"/>
      <c r="B203" s="9" t="s">
        <v>206</v>
      </c>
      <c r="C203" s="9" t="s">
        <v>366</v>
      </c>
    </row>
    <row r="204" spans="1:3">
      <c r="A204" s="9"/>
      <c r="B204" s="9" t="s">
        <v>23</v>
      </c>
      <c r="C204" s="9" t="s">
        <v>367</v>
      </c>
    </row>
    <row r="205" spans="1:3">
      <c r="A205" s="9"/>
      <c r="B205" s="9" t="s">
        <v>206</v>
      </c>
      <c r="C205" s="9" t="s">
        <v>368</v>
      </c>
    </row>
    <row r="206" spans="1:3">
      <c r="A206" s="9"/>
      <c r="B206" s="9" t="s">
        <v>369</v>
      </c>
      <c r="C206" s="9" t="s">
        <v>370</v>
      </c>
    </row>
    <row r="207" spans="1:3">
      <c r="A207" s="9"/>
      <c r="B207" s="9" t="s">
        <v>254</v>
      </c>
      <c r="C207" s="9" t="s">
        <v>268</v>
      </c>
    </row>
    <row r="208" spans="1:3">
      <c r="A208" s="9"/>
      <c r="B208" s="9" t="s">
        <v>219</v>
      </c>
      <c r="C208" s="9" t="s">
        <v>371</v>
      </c>
    </row>
    <row r="209" spans="1:3">
      <c r="A209" s="9"/>
      <c r="B209" s="9" t="s">
        <v>206</v>
      </c>
      <c r="C209" s="9" t="s">
        <v>368</v>
      </c>
    </row>
    <row r="210" spans="1:3">
      <c r="A210" s="9"/>
      <c r="B210" s="9" t="s">
        <v>206</v>
      </c>
      <c r="C210" s="9" t="s">
        <v>372</v>
      </c>
    </row>
    <row r="211" spans="1:3">
      <c r="A211" s="9"/>
      <c r="B211" s="9" t="s">
        <v>238</v>
      </c>
      <c r="C211" s="9" t="s">
        <v>373</v>
      </c>
    </row>
    <row r="212" spans="1:3">
      <c r="A212" s="9"/>
      <c r="B212" s="9" t="s">
        <v>47</v>
      </c>
      <c r="C212" s="9" t="s">
        <v>374</v>
      </c>
    </row>
    <row r="213" spans="1:3">
      <c r="A213" s="9"/>
      <c r="B213" s="9" t="s">
        <v>243</v>
      </c>
      <c r="C213" s="9" t="s">
        <v>336</v>
      </c>
    </row>
    <row r="214" spans="1:3">
      <c r="A214" s="9"/>
      <c r="B214" s="9" t="s">
        <v>343</v>
      </c>
      <c r="C214" s="9" t="s">
        <v>375</v>
      </c>
    </row>
    <row r="215" spans="1:3">
      <c r="A215" s="9"/>
      <c r="B215" s="9" t="s">
        <v>256</v>
      </c>
      <c r="C215" s="9" t="s">
        <v>127</v>
      </c>
    </row>
    <row r="216" spans="1:3">
      <c r="A216" s="9"/>
      <c r="B216" s="9" t="s">
        <v>254</v>
      </c>
      <c r="C216" s="9" t="s">
        <v>268</v>
      </c>
    </row>
    <row r="217" spans="1:3">
      <c r="A217" s="9"/>
      <c r="B217" s="9" t="s">
        <v>238</v>
      </c>
      <c r="C217" s="9" t="s">
        <v>376</v>
      </c>
    </row>
    <row r="218" spans="1:3">
      <c r="A218" s="9"/>
      <c r="B218" s="9" t="s">
        <v>94</v>
      </c>
      <c r="C218" s="9" t="s">
        <v>377</v>
      </c>
    </row>
    <row r="219" spans="1:3">
      <c r="A219" s="9"/>
      <c r="B219" s="9" t="s">
        <v>235</v>
      </c>
      <c r="C219" s="9" t="s">
        <v>378</v>
      </c>
    </row>
    <row r="220" spans="1:3">
      <c r="A220" s="9"/>
      <c r="B220" s="9" t="s">
        <v>206</v>
      </c>
      <c r="C220" s="9" t="s">
        <v>118</v>
      </c>
    </row>
    <row r="221" spans="1:3">
      <c r="A221" s="9"/>
      <c r="B221" s="9" t="s">
        <v>94</v>
      </c>
      <c r="C221" s="9" t="s">
        <v>379</v>
      </c>
    </row>
    <row r="222" spans="1:3">
      <c r="A222" s="9"/>
      <c r="B222" s="9" t="s">
        <v>23</v>
      </c>
      <c r="C222" s="9" t="s">
        <v>380</v>
      </c>
    </row>
    <row r="223" spans="1:3">
      <c r="A223" s="9"/>
      <c r="B223" s="9" t="s">
        <v>300</v>
      </c>
      <c r="C223" s="9" t="s">
        <v>381</v>
      </c>
    </row>
    <row r="224" spans="1:3">
      <c r="A224" s="9"/>
      <c r="B224" s="9" t="s">
        <v>224</v>
      </c>
      <c r="C224" s="9" t="s">
        <v>382</v>
      </c>
    </row>
    <row r="225" spans="1:3">
      <c r="A225" s="9"/>
      <c r="B225" s="9" t="s">
        <v>23</v>
      </c>
      <c r="C225" s="9" t="s">
        <v>383</v>
      </c>
    </row>
    <row r="226" spans="1:3">
      <c r="A226" s="9"/>
      <c r="B226" s="9" t="s">
        <v>384</v>
      </c>
      <c r="C226" s="9" t="s">
        <v>385</v>
      </c>
    </row>
    <row r="227" spans="1:3">
      <c r="A227" s="9"/>
      <c r="B227" s="9" t="s">
        <v>245</v>
      </c>
      <c r="C227" s="9" t="s">
        <v>386</v>
      </c>
    </row>
    <row r="228" spans="1:3">
      <c r="A228" s="9"/>
      <c r="B228" s="9" t="s">
        <v>219</v>
      </c>
      <c r="C228" s="9" t="s">
        <v>387</v>
      </c>
    </row>
    <row r="229" spans="1:3">
      <c r="A229" s="9"/>
      <c r="B229" s="9" t="s">
        <v>320</v>
      </c>
      <c r="C229" s="9" t="s">
        <v>388</v>
      </c>
    </row>
    <row r="230" spans="1:3">
      <c r="A230" s="9"/>
      <c r="B230" s="9" t="s">
        <v>245</v>
      </c>
      <c r="C230" s="9" t="s">
        <v>389</v>
      </c>
    </row>
    <row r="231" spans="1:3">
      <c r="A231" s="9"/>
      <c r="B231" s="9" t="s">
        <v>245</v>
      </c>
      <c r="C231" s="9" t="s">
        <v>390</v>
      </c>
    </row>
    <row r="232" spans="1:3">
      <c r="A232" s="9"/>
      <c r="B232" s="9" t="s">
        <v>245</v>
      </c>
      <c r="C232" s="9" t="s">
        <v>391</v>
      </c>
    </row>
    <row r="233" spans="1:3">
      <c r="A233" s="9"/>
      <c r="B233" s="9" t="s">
        <v>270</v>
      </c>
      <c r="C233" s="9" t="s">
        <v>392</v>
      </c>
    </row>
    <row r="234" spans="1:3">
      <c r="A234" s="9"/>
      <c r="B234" s="9" t="s">
        <v>288</v>
      </c>
      <c r="C234" s="9" t="s">
        <v>393</v>
      </c>
    </row>
    <row r="235" spans="1:3">
      <c r="A235" s="9"/>
      <c r="B235" s="9" t="s">
        <v>369</v>
      </c>
      <c r="C235" s="9" t="s">
        <v>370</v>
      </c>
    </row>
    <row r="236" spans="1:3">
      <c r="A236" s="9"/>
      <c r="B236" s="9" t="s">
        <v>47</v>
      </c>
      <c r="C236" s="9" t="s">
        <v>394</v>
      </c>
    </row>
    <row r="237" spans="1:3">
      <c r="A237" s="9"/>
      <c r="B237" s="9" t="s">
        <v>238</v>
      </c>
      <c r="C237" s="9" t="s">
        <v>395</v>
      </c>
    </row>
    <row r="238" spans="1:3">
      <c r="A238" s="9"/>
      <c r="B238" s="9" t="s">
        <v>47</v>
      </c>
      <c r="C238" s="9" t="s">
        <v>396</v>
      </c>
    </row>
    <row r="239" spans="1:3">
      <c r="A239" s="9"/>
      <c r="B239" s="9" t="s">
        <v>47</v>
      </c>
      <c r="C239" s="9" t="s">
        <v>397</v>
      </c>
    </row>
    <row r="240" spans="1:3">
      <c r="A240" s="9"/>
      <c r="B240" s="9" t="s">
        <v>226</v>
      </c>
      <c r="C240" s="9" t="s">
        <v>398</v>
      </c>
    </row>
    <row r="241" spans="1:3">
      <c r="A241" s="9"/>
      <c r="B241" s="9" t="s">
        <v>212</v>
      </c>
      <c r="C241" s="9" t="s">
        <v>399</v>
      </c>
    </row>
    <row r="242" spans="1:3">
      <c r="A242" s="9"/>
      <c r="B242" s="9" t="s">
        <v>114</v>
      </c>
      <c r="C242" s="9" t="s">
        <v>167</v>
      </c>
    </row>
    <row r="243" spans="1:3">
      <c r="A243" s="9"/>
      <c r="B243" s="9" t="s">
        <v>254</v>
      </c>
      <c r="C243" s="9" t="s">
        <v>400</v>
      </c>
    </row>
    <row r="244" spans="1:3">
      <c r="A244" s="9"/>
      <c r="B244" s="9" t="s">
        <v>206</v>
      </c>
      <c r="C244" s="9" t="s">
        <v>251</v>
      </c>
    </row>
    <row r="245" spans="1:3">
      <c r="A245" s="9"/>
      <c r="B245" s="9" t="s">
        <v>256</v>
      </c>
      <c r="C245" s="9" t="s">
        <v>257</v>
      </c>
    </row>
    <row r="246" spans="1:3">
      <c r="A246" s="9"/>
      <c r="B246" s="9" t="s">
        <v>245</v>
      </c>
      <c r="C246" s="9" t="s">
        <v>401</v>
      </c>
    </row>
    <row r="247" spans="1:3">
      <c r="A247" s="9"/>
      <c r="B247" s="9" t="s">
        <v>228</v>
      </c>
      <c r="C247" s="9" t="s">
        <v>242</v>
      </c>
    </row>
    <row r="248" spans="1:3">
      <c r="A248" s="9"/>
      <c r="B248" s="9" t="s">
        <v>212</v>
      </c>
      <c r="C248" s="9" t="s">
        <v>297</v>
      </c>
    </row>
    <row r="249" spans="1:3">
      <c r="A249" s="9"/>
      <c r="B249" s="9" t="s">
        <v>235</v>
      </c>
      <c r="C249" s="9" t="s">
        <v>402</v>
      </c>
    </row>
    <row r="250" spans="1:3">
      <c r="A250" s="9"/>
      <c r="B250" s="9" t="s">
        <v>47</v>
      </c>
      <c r="C250" s="9" t="s">
        <v>403</v>
      </c>
    </row>
    <row r="251" spans="1:3">
      <c r="A251" s="9"/>
      <c r="B251" s="9" t="s">
        <v>254</v>
      </c>
      <c r="C251" s="9" t="s">
        <v>268</v>
      </c>
    </row>
    <row r="252" spans="1:3">
      <c r="A252" s="9"/>
      <c r="B252" s="9" t="s">
        <v>114</v>
      </c>
      <c r="C252" s="9" t="s">
        <v>404</v>
      </c>
    </row>
    <row r="253" spans="1:3">
      <c r="A253" s="9"/>
      <c r="B253" s="9" t="s">
        <v>238</v>
      </c>
      <c r="C253" s="9" t="s">
        <v>326</v>
      </c>
    </row>
    <row r="254" spans="1:3">
      <c r="A254" s="9"/>
      <c r="B254" s="9" t="s">
        <v>256</v>
      </c>
      <c r="C254" s="9" t="s">
        <v>405</v>
      </c>
    </row>
    <row r="255" spans="1:3">
      <c r="A255" s="9"/>
      <c r="B255" s="9" t="s">
        <v>406</v>
      </c>
      <c r="C255" s="9" t="s">
        <v>407</v>
      </c>
    </row>
    <row r="256" spans="1:3">
      <c r="A256" s="9"/>
      <c r="B256" s="9" t="s">
        <v>249</v>
      </c>
      <c r="C256" s="9" t="s">
        <v>408</v>
      </c>
    </row>
    <row r="257" spans="1:3">
      <c r="A257" s="9"/>
      <c r="B257" s="9" t="s">
        <v>148</v>
      </c>
      <c r="C257" s="9" t="s">
        <v>409</v>
      </c>
    </row>
    <row r="258" spans="1:3">
      <c r="A258" s="9"/>
      <c r="B258" s="9" t="s">
        <v>206</v>
      </c>
      <c r="C258" s="9" t="s">
        <v>368</v>
      </c>
    </row>
    <row r="259" spans="1:3">
      <c r="A259" s="9"/>
      <c r="B259" s="9" t="s">
        <v>206</v>
      </c>
      <c r="C259" s="9" t="s">
        <v>410</v>
      </c>
    </row>
    <row r="260" spans="1:3">
      <c r="A260" s="9"/>
      <c r="B260" s="9" t="s">
        <v>288</v>
      </c>
      <c r="C260" s="9" t="s">
        <v>294</v>
      </c>
    </row>
    <row r="261" spans="1:3">
      <c r="A261" s="9"/>
      <c r="B261" s="9" t="s">
        <v>256</v>
      </c>
      <c r="C261" s="9" t="s">
        <v>257</v>
      </c>
    </row>
    <row r="262" spans="1:3">
      <c r="A262" s="9"/>
      <c r="B262" s="9" t="s">
        <v>288</v>
      </c>
      <c r="C262" s="9" t="s">
        <v>411</v>
      </c>
    </row>
    <row r="263" spans="1:3">
      <c r="A263" s="9"/>
      <c r="B263" s="9" t="s">
        <v>270</v>
      </c>
      <c r="C263" s="9" t="s">
        <v>413</v>
      </c>
    </row>
    <row r="264" spans="1:3">
      <c r="A264" s="9"/>
      <c r="B264" s="9" t="s">
        <v>264</v>
      </c>
      <c r="C264" s="9" t="s">
        <v>414</v>
      </c>
    </row>
    <row r="265" spans="1:3">
      <c r="A265" s="9"/>
      <c r="B265" s="9" t="s">
        <v>47</v>
      </c>
      <c r="C265" s="9" t="s">
        <v>415</v>
      </c>
    </row>
    <row r="266" spans="1:3">
      <c r="A266" s="9"/>
      <c r="B266" s="9" t="s">
        <v>264</v>
      </c>
      <c r="C266" s="9" t="s">
        <v>416</v>
      </c>
    </row>
    <row r="267" spans="1:3">
      <c r="A267" s="9"/>
      <c r="B267" s="9" t="s">
        <v>270</v>
      </c>
      <c r="C267" s="9" t="s">
        <v>303</v>
      </c>
    </row>
    <row r="268" spans="1:3">
      <c r="A268" s="9"/>
      <c r="B268" s="9" t="s">
        <v>114</v>
      </c>
      <c r="C268" s="9" t="s">
        <v>417</v>
      </c>
    </row>
    <row r="269" spans="1:3">
      <c r="A269" s="9"/>
      <c r="B269" s="9" t="s">
        <v>47</v>
      </c>
      <c r="C269" s="9" t="s">
        <v>418</v>
      </c>
    </row>
    <row r="270" spans="1:3">
      <c r="A270" s="9"/>
      <c r="B270" s="9" t="s">
        <v>254</v>
      </c>
      <c r="C270" s="9" t="s">
        <v>419</v>
      </c>
    </row>
    <row r="271" spans="1:3">
      <c r="A271" s="9"/>
      <c r="B271" s="9" t="s">
        <v>94</v>
      </c>
      <c r="C271" s="9" t="s">
        <v>420</v>
      </c>
    </row>
    <row r="272" spans="1:3">
      <c r="A272" s="9"/>
      <c r="B272" s="9" t="s">
        <v>148</v>
      </c>
      <c r="C272" s="9" t="s">
        <v>421</v>
      </c>
    </row>
    <row r="273" spans="1:3">
      <c r="A273" s="9"/>
      <c r="B273" s="9" t="s">
        <v>228</v>
      </c>
      <c r="C273" s="9" t="s">
        <v>422</v>
      </c>
    </row>
    <row r="274" spans="1:3">
      <c r="A274" s="9"/>
      <c r="B274" s="9" t="s">
        <v>254</v>
      </c>
      <c r="C274" s="9" t="s">
        <v>423</v>
      </c>
    </row>
    <row r="275" spans="1:3">
      <c r="A275" s="9"/>
      <c r="B275" s="9" t="s">
        <v>47</v>
      </c>
      <c r="C275" s="9" t="s">
        <v>424</v>
      </c>
    </row>
    <row r="276" spans="1:3">
      <c r="A276" s="9"/>
      <c r="B276" s="9" t="s">
        <v>47</v>
      </c>
      <c r="C276" s="9" t="s">
        <v>323</v>
      </c>
    </row>
    <row r="277" spans="1:3">
      <c r="A277" s="9"/>
      <c r="B277" s="9" t="s">
        <v>212</v>
      </c>
      <c r="C277" s="9" t="s">
        <v>223</v>
      </c>
    </row>
    <row r="278" spans="1:3">
      <c r="A278" s="9"/>
      <c r="B278" s="9" t="s">
        <v>47</v>
      </c>
      <c r="C278" s="9" t="s">
        <v>425</v>
      </c>
    </row>
    <row r="279" spans="1:3">
      <c r="A279" s="9"/>
      <c r="B279" s="9" t="s">
        <v>206</v>
      </c>
      <c r="C279" s="9" t="s">
        <v>426</v>
      </c>
    </row>
    <row r="280" spans="1:3">
      <c r="A280" s="9"/>
      <c r="B280" s="9" t="s">
        <v>273</v>
      </c>
      <c r="C280" s="9" t="s">
        <v>274</v>
      </c>
    </row>
    <row r="281" spans="1:3">
      <c r="A281" s="9"/>
      <c r="B281" s="9" t="s">
        <v>47</v>
      </c>
      <c r="C281" s="9" t="s">
        <v>427</v>
      </c>
    </row>
    <row r="282" spans="1:3">
      <c r="A282" s="9"/>
      <c r="B282" s="9" t="s">
        <v>300</v>
      </c>
      <c r="C282" s="9" t="s">
        <v>428</v>
      </c>
    </row>
    <row r="283" spans="1:3">
      <c r="A283" s="9"/>
      <c r="B283" s="9" t="s">
        <v>384</v>
      </c>
      <c r="C283" s="9" t="s">
        <v>429</v>
      </c>
    </row>
    <row r="284" spans="1:3">
      <c r="A284" s="9"/>
      <c r="B284" s="9" t="s">
        <v>341</v>
      </c>
      <c r="C284" s="9" t="s">
        <v>430</v>
      </c>
    </row>
    <row r="285" spans="1:3">
      <c r="A285" s="9"/>
      <c r="B285" s="9" t="s">
        <v>431</v>
      </c>
      <c r="C285" s="9" t="s">
        <v>432</v>
      </c>
    </row>
    <row r="286" spans="1:3">
      <c r="A286" s="9"/>
      <c r="B286" s="9" t="s">
        <v>266</v>
      </c>
      <c r="C286" s="9" t="s">
        <v>267</v>
      </c>
    </row>
    <row r="287" spans="1:3">
      <c r="A287" s="9"/>
      <c r="B287" s="9" t="s">
        <v>94</v>
      </c>
      <c r="C287" s="9" t="s">
        <v>433</v>
      </c>
    </row>
    <row r="288" spans="1:3">
      <c r="A288" s="9"/>
      <c r="B288" s="9" t="s">
        <v>215</v>
      </c>
      <c r="C288" s="9" t="s">
        <v>434</v>
      </c>
    </row>
    <row r="289" spans="1:3">
      <c r="A289" s="9"/>
      <c r="B289" s="9" t="s">
        <v>254</v>
      </c>
      <c r="C289" s="9" t="s">
        <v>435</v>
      </c>
    </row>
    <row r="290" spans="1:3">
      <c r="A290" s="9"/>
      <c r="B290" s="9" t="s">
        <v>273</v>
      </c>
      <c r="C290" s="9" t="s">
        <v>351</v>
      </c>
    </row>
    <row r="291" spans="1:3">
      <c r="A291" s="9"/>
      <c r="B291" s="9" t="s">
        <v>254</v>
      </c>
      <c r="C291" s="9" t="s">
        <v>436</v>
      </c>
    </row>
    <row r="292" spans="1:3">
      <c r="A292" s="9"/>
      <c r="B292" s="9" t="s">
        <v>94</v>
      </c>
      <c r="C292" s="9" t="s">
        <v>344</v>
      </c>
    </row>
    <row r="293" spans="1:3">
      <c r="A293" s="9"/>
      <c r="B293" s="9" t="s">
        <v>238</v>
      </c>
      <c r="C293" s="9" t="s">
        <v>437</v>
      </c>
    </row>
    <row r="294" spans="1:3">
      <c r="A294" s="9"/>
      <c r="B294" s="9" t="s">
        <v>206</v>
      </c>
      <c r="C294" s="9" t="s">
        <v>438</v>
      </c>
    </row>
    <row r="295" spans="1:3">
      <c r="A295" s="9"/>
      <c r="B295" s="9" t="s">
        <v>262</v>
      </c>
      <c r="C295" s="9" t="s">
        <v>439</v>
      </c>
    </row>
    <row r="296" spans="1:3">
      <c r="A296" s="9"/>
      <c r="B296" s="9" t="s">
        <v>243</v>
      </c>
      <c r="C296" s="9" t="s">
        <v>440</v>
      </c>
    </row>
    <row r="297" spans="1:3">
      <c r="A297" s="9"/>
      <c r="B297" s="9" t="s">
        <v>23</v>
      </c>
      <c r="C297" s="9" t="s">
        <v>441</v>
      </c>
    </row>
    <row r="298" spans="1:3">
      <c r="A298" s="9"/>
      <c r="B298" s="9" t="s">
        <v>148</v>
      </c>
      <c r="C298" s="9" t="s">
        <v>442</v>
      </c>
    </row>
    <row r="299" spans="1:3">
      <c r="A299" s="9"/>
      <c r="B299" s="9" t="s">
        <v>266</v>
      </c>
      <c r="C299" s="9" t="s">
        <v>443</v>
      </c>
    </row>
    <row r="300" spans="1:3">
      <c r="A300" s="9"/>
      <c r="B300" s="9" t="s">
        <v>148</v>
      </c>
      <c r="C300" s="9" t="s">
        <v>444</v>
      </c>
    </row>
    <row r="301" spans="1:3">
      <c r="A301" s="9"/>
      <c r="B301" s="9" t="s">
        <v>148</v>
      </c>
      <c r="C301" s="9" t="s">
        <v>445</v>
      </c>
    </row>
    <row r="302" spans="1:3">
      <c r="A302" s="9"/>
      <c r="B302" s="9" t="s">
        <v>47</v>
      </c>
      <c r="C302" s="9" t="s">
        <v>446</v>
      </c>
    </row>
    <row r="303" spans="1:3">
      <c r="A303" s="9"/>
      <c r="B303" s="9" t="s">
        <v>114</v>
      </c>
      <c r="C303" s="9" t="s">
        <v>447</v>
      </c>
    </row>
    <row r="304" spans="1:3">
      <c r="A304" s="9"/>
      <c r="B304" s="9" t="s">
        <v>262</v>
      </c>
      <c r="C304" s="9" t="s">
        <v>448</v>
      </c>
    </row>
    <row r="305" spans="1:3">
      <c r="A305" s="9"/>
      <c r="B305" s="9" t="s">
        <v>238</v>
      </c>
      <c r="C305" s="9" t="s">
        <v>449</v>
      </c>
    </row>
    <row r="306" spans="1:3">
      <c r="A306" s="9"/>
      <c r="B306" s="9" t="s">
        <v>270</v>
      </c>
      <c r="C306" s="9" t="s">
        <v>450</v>
      </c>
    </row>
    <row r="307" spans="1:3">
      <c r="A307" s="9"/>
      <c r="B307" s="9" t="s">
        <v>264</v>
      </c>
      <c r="C307" s="9" t="s">
        <v>451</v>
      </c>
    </row>
    <row r="308" spans="1:3">
      <c r="A308" s="9"/>
      <c r="B308" s="9" t="s">
        <v>47</v>
      </c>
      <c r="C308" s="9" t="s">
        <v>452</v>
      </c>
    </row>
    <row r="309" spans="1:3">
      <c r="A309" s="9"/>
      <c r="B309" s="9" t="s">
        <v>453</v>
      </c>
      <c r="C309" s="9" t="s">
        <v>454</v>
      </c>
    </row>
    <row r="310" spans="1:3">
      <c r="A310" s="9"/>
      <c r="B310" s="9" t="s">
        <v>235</v>
      </c>
      <c r="C310" s="9" t="s">
        <v>455</v>
      </c>
    </row>
    <row r="311" spans="1:3">
      <c r="A311" s="9"/>
      <c r="B311" s="9" t="s">
        <v>456</v>
      </c>
      <c r="C311" s="9" t="s">
        <v>457</v>
      </c>
    </row>
    <row r="312" spans="1:3">
      <c r="A312" s="9"/>
      <c r="B312" s="9" t="s">
        <v>316</v>
      </c>
      <c r="C312" s="9" t="s">
        <v>458</v>
      </c>
    </row>
    <row r="313" spans="1:3">
      <c r="A313" s="9"/>
      <c r="B313" s="9" t="s">
        <v>300</v>
      </c>
      <c r="C313" s="9" t="s">
        <v>459</v>
      </c>
    </row>
    <row r="314" spans="1:3">
      <c r="A314" s="9"/>
      <c r="B314" s="9" t="s">
        <v>94</v>
      </c>
      <c r="C314" s="9" t="s">
        <v>138</v>
      </c>
    </row>
    <row r="315" spans="1:3">
      <c r="A315" s="9"/>
      <c r="B315" s="9" t="s">
        <v>215</v>
      </c>
      <c r="C315" s="9" t="s">
        <v>460</v>
      </c>
    </row>
    <row r="316" spans="1:3">
      <c r="A316" s="9"/>
      <c r="B316" s="9" t="s">
        <v>256</v>
      </c>
      <c r="C316" s="9" t="s">
        <v>278</v>
      </c>
    </row>
    <row r="317" spans="1:3">
      <c r="A317" s="9"/>
      <c r="B317" s="9" t="s">
        <v>243</v>
      </c>
      <c r="C317" s="9" t="s">
        <v>461</v>
      </c>
    </row>
    <row r="318" spans="1:3">
      <c r="A318" s="9"/>
      <c r="B318" s="9" t="s">
        <v>254</v>
      </c>
      <c r="C318" s="9" t="s">
        <v>462</v>
      </c>
    </row>
    <row r="319" spans="1:3">
      <c r="A319" s="9"/>
      <c r="B319" s="9" t="s">
        <v>249</v>
      </c>
      <c r="C319" s="9" t="s">
        <v>463</v>
      </c>
    </row>
    <row r="320" spans="1:3">
      <c r="A320" s="9"/>
      <c r="B320" s="9" t="s">
        <v>270</v>
      </c>
      <c r="C320" s="9" t="s">
        <v>464</v>
      </c>
    </row>
    <row r="321" spans="1:3">
      <c r="A321" s="9"/>
      <c r="B321" s="9" t="s">
        <v>224</v>
      </c>
      <c r="C321" s="9" t="s">
        <v>465</v>
      </c>
    </row>
    <row r="322" spans="1:3">
      <c r="A322" s="9"/>
      <c r="B322" s="9" t="s">
        <v>215</v>
      </c>
      <c r="C322" s="9" t="s">
        <v>466</v>
      </c>
    </row>
    <row r="323" spans="1:3">
      <c r="A323" s="9"/>
      <c r="B323" s="9" t="s">
        <v>215</v>
      </c>
      <c r="C323" s="9" t="s">
        <v>467</v>
      </c>
    </row>
    <row r="324" spans="1:3">
      <c r="A324" s="9"/>
      <c r="B324" s="9" t="s">
        <v>270</v>
      </c>
      <c r="C324" s="9" t="s">
        <v>468</v>
      </c>
    </row>
    <row r="325" spans="1:3">
      <c r="A325" s="9"/>
      <c r="B325" s="9" t="s">
        <v>221</v>
      </c>
      <c r="C325" s="9" t="s">
        <v>469</v>
      </c>
    </row>
    <row r="326" spans="1:3">
      <c r="A326" s="9"/>
      <c r="B326" s="9" t="s">
        <v>288</v>
      </c>
      <c r="C326" s="9" t="s">
        <v>470</v>
      </c>
    </row>
    <row r="327" spans="1:3">
      <c r="A327" s="9"/>
      <c r="B327" s="9" t="s">
        <v>206</v>
      </c>
      <c r="C327" s="9" t="s">
        <v>252</v>
      </c>
    </row>
    <row r="328" spans="1:3">
      <c r="A328" s="9"/>
      <c r="B328" s="9" t="s">
        <v>243</v>
      </c>
      <c r="C328" s="9" t="s">
        <v>471</v>
      </c>
    </row>
    <row r="329" spans="1:3">
      <c r="A329" s="9"/>
      <c r="B329" s="9" t="s">
        <v>316</v>
      </c>
      <c r="C329" s="9" t="s">
        <v>472</v>
      </c>
    </row>
    <row r="330" spans="1:3">
      <c r="A330" s="9"/>
      <c r="B330" s="9" t="s">
        <v>148</v>
      </c>
      <c r="C330" s="9" t="s">
        <v>473</v>
      </c>
    </row>
    <row r="331" spans="1:3">
      <c r="A331" s="9"/>
      <c r="B331" s="9" t="s">
        <v>300</v>
      </c>
      <c r="C331" s="9" t="s">
        <v>474</v>
      </c>
    </row>
    <row r="332" spans="1:3">
      <c r="A332" s="9"/>
      <c r="B332" s="9" t="s">
        <v>47</v>
      </c>
      <c r="C332" s="9" t="s">
        <v>323</v>
      </c>
    </row>
    <row r="333" spans="1:3">
      <c r="A333" s="9"/>
      <c r="B333" s="9" t="s">
        <v>256</v>
      </c>
      <c r="C333" s="9" t="s">
        <v>257</v>
      </c>
    </row>
    <row r="334" spans="1:3">
      <c r="A334" s="9"/>
      <c r="B334" s="9" t="s">
        <v>47</v>
      </c>
      <c r="C334" s="9" t="s">
        <v>475</v>
      </c>
    </row>
    <row r="335" spans="1:3">
      <c r="A335" s="9"/>
      <c r="B335" s="9" t="s">
        <v>148</v>
      </c>
      <c r="C335" s="9" t="s">
        <v>476</v>
      </c>
    </row>
    <row r="336" spans="1:3">
      <c r="A336" s="9"/>
      <c r="B336" s="9" t="s">
        <v>47</v>
      </c>
      <c r="C336" s="9" t="s">
        <v>260</v>
      </c>
    </row>
    <row r="337" spans="1:3">
      <c r="A337" s="9"/>
      <c r="B337" s="9" t="s">
        <v>266</v>
      </c>
      <c r="C337" s="9" t="s">
        <v>477</v>
      </c>
    </row>
    <row r="338" spans="1:3">
      <c r="A338" s="9"/>
      <c r="B338" s="9" t="s">
        <v>266</v>
      </c>
      <c r="C338" s="9" t="s">
        <v>478</v>
      </c>
    </row>
    <row r="339" spans="1:3">
      <c r="A339" s="9"/>
      <c r="B339" s="9" t="s">
        <v>456</v>
      </c>
      <c r="C339" s="9" t="s">
        <v>479</v>
      </c>
    </row>
    <row r="340" spans="1:3">
      <c r="A340" s="9"/>
      <c r="B340" s="9" t="s">
        <v>254</v>
      </c>
      <c r="C340" s="9" t="s">
        <v>480</v>
      </c>
    </row>
    <row r="341" spans="1:3">
      <c r="A341" s="9"/>
      <c r="B341" s="9" t="s">
        <v>221</v>
      </c>
      <c r="C341" s="9" t="s">
        <v>481</v>
      </c>
    </row>
    <row r="342" spans="1:3">
      <c r="A342" s="9"/>
      <c r="B342" s="9" t="s">
        <v>300</v>
      </c>
      <c r="C342" s="9" t="s">
        <v>482</v>
      </c>
    </row>
    <row r="343" spans="1:3">
      <c r="A343" s="9"/>
      <c r="B343" s="9" t="s">
        <v>273</v>
      </c>
      <c r="C343" s="9" t="s">
        <v>483</v>
      </c>
    </row>
    <row r="344" spans="1:3">
      <c r="A344" s="9"/>
      <c r="B344" s="9" t="s">
        <v>206</v>
      </c>
      <c r="C344" s="9" t="s">
        <v>485</v>
      </c>
    </row>
    <row r="345" spans="1:3">
      <c r="A345" s="9"/>
      <c r="B345" s="9" t="s">
        <v>206</v>
      </c>
      <c r="C345" s="9" t="s">
        <v>486</v>
      </c>
    </row>
    <row r="346" spans="1:3">
      <c r="A346" s="9"/>
      <c r="B346" s="9" t="s">
        <v>254</v>
      </c>
      <c r="C346" s="9" t="s">
        <v>487</v>
      </c>
    </row>
    <row r="347" spans="1:3">
      <c r="A347" s="9"/>
      <c r="B347" s="9" t="s">
        <v>300</v>
      </c>
      <c r="C347" s="9" t="s">
        <v>488</v>
      </c>
    </row>
    <row r="348" spans="1:3">
      <c r="A348" s="9"/>
      <c r="B348" s="9" t="s">
        <v>228</v>
      </c>
      <c r="C348" s="9" t="s">
        <v>489</v>
      </c>
    </row>
    <row r="349" spans="1:3">
      <c r="A349" s="9"/>
      <c r="B349" s="9" t="s">
        <v>490</v>
      </c>
      <c r="C349" s="9" t="s">
        <v>491</v>
      </c>
    </row>
    <row r="350" spans="1:3">
      <c r="A350" s="9"/>
      <c r="B350" s="9" t="s">
        <v>492</v>
      </c>
      <c r="C350" s="9" t="s">
        <v>493</v>
      </c>
    </row>
    <row r="351" spans="1:3">
      <c r="A351" s="9"/>
      <c r="B351" s="9" t="s">
        <v>320</v>
      </c>
      <c r="C351" s="9" t="s">
        <v>494</v>
      </c>
    </row>
    <row r="352" spans="1:3">
      <c r="A352" s="9"/>
      <c r="B352" s="9" t="s">
        <v>256</v>
      </c>
      <c r="C352" s="9" t="s">
        <v>495</v>
      </c>
    </row>
    <row r="353" spans="1:3">
      <c r="A353" s="9"/>
      <c r="B353" s="9" t="s">
        <v>94</v>
      </c>
      <c r="C353" s="9" t="s">
        <v>496</v>
      </c>
    </row>
    <row r="354" spans="1:3">
      <c r="A354" s="9"/>
      <c r="B354" s="9" t="s">
        <v>249</v>
      </c>
      <c r="C354" s="9" t="s">
        <v>497</v>
      </c>
    </row>
    <row r="355" spans="1:3">
      <c r="A355" s="9"/>
      <c r="B355" s="9" t="s">
        <v>498</v>
      </c>
      <c r="C355" s="9" t="s">
        <v>499</v>
      </c>
    </row>
    <row r="356" spans="1:3">
      <c r="A356" s="9"/>
      <c r="B356" s="9" t="s">
        <v>270</v>
      </c>
      <c r="C356" s="9" t="s">
        <v>500</v>
      </c>
    </row>
    <row r="357" spans="1:3">
      <c r="A357" s="9"/>
      <c r="B357" s="9" t="s">
        <v>254</v>
      </c>
      <c r="C357" s="9" t="s">
        <v>501</v>
      </c>
    </row>
    <row r="358" spans="1:3">
      <c r="A358" s="9"/>
      <c r="B358" s="9" t="s">
        <v>254</v>
      </c>
      <c r="C358" s="9" t="s">
        <v>502</v>
      </c>
    </row>
    <row r="359" spans="1:3">
      <c r="A359" s="9"/>
      <c r="B359" s="9" t="s">
        <v>114</v>
      </c>
      <c r="C359" s="9" t="s">
        <v>503</v>
      </c>
    </row>
    <row r="360" spans="1:3">
      <c r="A360" s="9"/>
      <c r="B360" s="9" t="s">
        <v>114</v>
      </c>
      <c r="C360" s="9" t="s">
        <v>115</v>
      </c>
    </row>
    <row r="361" spans="1:3">
      <c r="A361" s="9"/>
      <c r="B361" s="9" t="s">
        <v>114</v>
      </c>
      <c r="C361" s="9" t="s">
        <v>504</v>
      </c>
    </row>
    <row r="362" spans="1:3">
      <c r="A362" s="9"/>
      <c r="B362" s="9" t="s">
        <v>238</v>
      </c>
      <c r="C362" s="9" t="s">
        <v>505</v>
      </c>
    </row>
    <row r="363" spans="1:3">
      <c r="A363" s="9"/>
      <c r="B363" s="9" t="s">
        <v>247</v>
      </c>
      <c r="C363" s="9" t="s">
        <v>506</v>
      </c>
    </row>
    <row r="364" spans="1:3">
      <c r="A364" s="9"/>
      <c r="B364" s="9" t="s">
        <v>254</v>
      </c>
      <c r="C364" s="9" t="s">
        <v>507</v>
      </c>
    </row>
    <row r="365" spans="1:3">
      <c r="A365" s="9"/>
      <c r="B365" s="9" t="s">
        <v>320</v>
      </c>
      <c r="C365" s="9" t="s">
        <v>508</v>
      </c>
    </row>
    <row r="366" spans="1:3">
      <c r="A366" s="9"/>
      <c r="B366" s="9" t="s">
        <v>47</v>
      </c>
      <c r="C366" s="9" t="s">
        <v>509</v>
      </c>
    </row>
    <row r="367" spans="1:3">
      <c r="A367" s="9"/>
      <c r="B367" s="9" t="s">
        <v>238</v>
      </c>
      <c r="C367" s="9" t="s">
        <v>326</v>
      </c>
    </row>
    <row r="368" spans="1:3">
      <c r="A368" s="9"/>
      <c r="B368" s="9" t="s">
        <v>47</v>
      </c>
      <c r="C368" s="9" t="s">
        <v>510</v>
      </c>
    </row>
    <row r="369" spans="1:3">
      <c r="A369" s="9"/>
      <c r="B369" s="9" t="s">
        <v>300</v>
      </c>
      <c r="C369" s="9" t="s">
        <v>511</v>
      </c>
    </row>
    <row r="370" spans="1:3">
      <c r="A370" s="9"/>
      <c r="B370" s="9" t="s">
        <v>249</v>
      </c>
      <c r="C370" s="9" t="s">
        <v>512</v>
      </c>
    </row>
    <row r="371" spans="1:3">
      <c r="A371" s="9"/>
      <c r="B371" s="9" t="s">
        <v>94</v>
      </c>
      <c r="C371" s="9" t="s">
        <v>513</v>
      </c>
    </row>
    <row r="372" spans="1:3">
      <c r="A372" s="9"/>
      <c r="B372" s="9" t="s">
        <v>47</v>
      </c>
      <c r="C372" s="9" t="s">
        <v>514</v>
      </c>
    </row>
    <row r="373" spans="1:3">
      <c r="A373" s="9"/>
      <c r="B373" s="9" t="s">
        <v>206</v>
      </c>
      <c r="C373" s="9" t="s">
        <v>515</v>
      </c>
    </row>
    <row r="374" spans="1:3">
      <c r="A374" s="9"/>
      <c r="B374" s="9" t="s">
        <v>245</v>
      </c>
      <c r="C374" s="9" t="s">
        <v>516</v>
      </c>
    </row>
    <row r="375" spans="1:3">
      <c r="A375" s="9"/>
      <c r="B375" s="9" t="s">
        <v>456</v>
      </c>
      <c r="C375" s="9" t="s">
        <v>517</v>
      </c>
    </row>
    <row r="376" spans="1:3">
      <c r="A376" s="9"/>
      <c r="B376" s="9" t="s">
        <v>300</v>
      </c>
      <c r="C376" s="9" t="s">
        <v>518</v>
      </c>
    </row>
    <row r="377" spans="1:3">
      <c r="A377" s="9"/>
      <c r="B377" s="9" t="s">
        <v>114</v>
      </c>
      <c r="C377" s="9" t="s">
        <v>167</v>
      </c>
    </row>
    <row r="378" spans="1:3">
      <c r="A378" s="9"/>
      <c r="B378" s="9" t="s">
        <v>224</v>
      </c>
      <c r="C378" s="9" t="s">
        <v>519</v>
      </c>
    </row>
    <row r="379" spans="1:3">
      <c r="A379" s="9"/>
      <c r="B379" s="9" t="s">
        <v>520</v>
      </c>
      <c r="C379" s="9" t="s">
        <v>521</v>
      </c>
    </row>
    <row r="380" spans="1:3">
      <c r="A380" s="9"/>
      <c r="B380" s="9" t="s">
        <v>148</v>
      </c>
      <c r="C380" s="9" t="s">
        <v>291</v>
      </c>
    </row>
    <row r="381" spans="1:3">
      <c r="A381" s="9"/>
      <c r="B381" s="9" t="s">
        <v>206</v>
      </c>
      <c r="C381" s="9" t="s">
        <v>368</v>
      </c>
    </row>
    <row r="382" spans="1:3">
      <c r="A382" s="9"/>
      <c r="B382" s="9" t="s">
        <v>23</v>
      </c>
      <c r="C382" s="9" t="s">
        <v>383</v>
      </c>
    </row>
    <row r="383" spans="1:3">
      <c r="A383" s="9"/>
      <c r="B383" s="9" t="s">
        <v>243</v>
      </c>
      <c r="C383" s="9" t="s">
        <v>522</v>
      </c>
    </row>
    <row r="384" spans="1:3">
      <c r="A384" s="9"/>
      <c r="B384" s="9" t="s">
        <v>235</v>
      </c>
      <c r="C384" s="9" t="s">
        <v>523</v>
      </c>
    </row>
    <row r="385" spans="1:3">
      <c r="A385" s="9"/>
      <c r="B385" s="9" t="s">
        <v>221</v>
      </c>
      <c r="C385" s="9" t="s">
        <v>524</v>
      </c>
    </row>
    <row r="386" spans="1:3">
      <c r="A386" s="9"/>
      <c r="B386" s="9" t="s">
        <v>245</v>
      </c>
      <c r="C386" s="9" t="s">
        <v>246</v>
      </c>
    </row>
    <row r="387" spans="1:3">
      <c r="A387" s="9"/>
      <c r="B387" s="9" t="s">
        <v>256</v>
      </c>
      <c r="C387" s="9" t="s">
        <v>525</v>
      </c>
    </row>
    <row r="388" spans="1:3">
      <c r="A388" s="9"/>
      <c r="B388" s="9" t="s">
        <v>262</v>
      </c>
      <c r="C388" s="9" t="s">
        <v>526</v>
      </c>
    </row>
    <row r="389" spans="1:3">
      <c r="A389" s="9"/>
      <c r="B389" s="9" t="s">
        <v>47</v>
      </c>
      <c r="C389" s="9" t="s">
        <v>527</v>
      </c>
    </row>
    <row r="390" spans="1:3">
      <c r="A390" s="9"/>
      <c r="B390" s="9" t="s">
        <v>47</v>
      </c>
      <c r="C390" s="9" t="s">
        <v>528</v>
      </c>
    </row>
    <row r="391" spans="1:3">
      <c r="A391" s="9"/>
      <c r="B391" s="9" t="s">
        <v>238</v>
      </c>
      <c r="C391" s="9" t="s">
        <v>188</v>
      </c>
    </row>
    <row r="392" spans="1:3">
      <c r="A392" s="9"/>
      <c r="B392" s="9" t="s">
        <v>47</v>
      </c>
      <c r="C392" s="9" t="s">
        <v>529</v>
      </c>
    </row>
    <row r="393" spans="1:3">
      <c r="A393" s="9"/>
      <c r="B393" s="9" t="s">
        <v>114</v>
      </c>
      <c r="C393" s="9" t="s">
        <v>530</v>
      </c>
    </row>
    <row r="394" spans="1:3">
      <c r="A394" s="9"/>
      <c r="B394" s="9" t="s">
        <v>114</v>
      </c>
      <c r="C394" s="9" t="s">
        <v>531</v>
      </c>
    </row>
    <row r="395" spans="1:3">
      <c r="A395" s="9"/>
      <c r="B395" s="9" t="s">
        <v>243</v>
      </c>
      <c r="C395" s="9" t="s">
        <v>333</v>
      </c>
    </row>
    <row r="396" spans="1:3">
      <c r="A396" s="9"/>
      <c r="B396" s="9" t="s">
        <v>206</v>
      </c>
      <c r="C396" s="9" t="s">
        <v>532</v>
      </c>
    </row>
    <row r="397" spans="1:3">
      <c r="A397" s="9"/>
      <c r="B397" s="9" t="s">
        <v>148</v>
      </c>
      <c r="C397" s="9" t="s">
        <v>149</v>
      </c>
    </row>
    <row r="398" spans="1:3">
      <c r="A398" s="9"/>
      <c r="B398" s="9" t="s">
        <v>243</v>
      </c>
      <c r="C398" s="9" t="s">
        <v>533</v>
      </c>
    </row>
    <row r="399" spans="1:3">
      <c r="A399" s="9"/>
      <c r="B399" s="9" t="s">
        <v>238</v>
      </c>
      <c r="C399" s="9" t="s">
        <v>534</v>
      </c>
    </row>
    <row r="400" spans="1:3">
      <c r="A400" s="9"/>
      <c r="B400" s="9" t="s">
        <v>228</v>
      </c>
      <c r="C400" s="9" t="s">
        <v>535</v>
      </c>
    </row>
    <row r="401" spans="1:3">
      <c r="A401" s="9"/>
      <c r="B401" s="9" t="s">
        <v>235</v>
      </c>
      <c r="C401" s="9" t="s">
        <v>536</v>
      </c>
    </row>
    <row r="402" spans="1:3">
      <c r="A402" s="9"/>
      <c r="B402" s="9" t="s">
        <v>316</v>
      </c>
      <c r="C402" s="9" t="s">
        <v>537</v>
      </c>
    </row>
    <row r="403" spans="1:3">
      <c r="A403" s="9"/>
      <c r="B403" s="9" t="s">
        <v>431</v>
      </c>
      <c r="C403" s="9" t="s">
        <v>432</v>
      </c>
    </row>
    <row r="404" spans="1:3">
      <c r="A404" s="9"/>
      <c r="B404" s="9" t="s">
        <v>114</v>
      </c>
      <c r="C404" s="9" t="s">
        <v>538</v>
      </c>
    </row>
    <row r="405" spans="1:3">
      <c r="A405" s="9"/>
      <c r="B405" s="9" t="s">
        <v>243</v>
      </c>
      <c r="C405" s="9" t="s">
        <v>539</v>
      </c>
    </row>
    <row r="406" spans="1:3">
      <c r="A406" s="9"/>
      <c r="B406" s="9" t="s">
        <v>114</v>
      </c>
      <c r="C406" s="9" t="s">
        <v>540</v>
      </c>
    </row>
    <row r="407" spans="1:3">
      <c r="A407" s="9"/>
      <c r="B407" s="9" t="s">
        <v>206</v>
      </c>
      <c r="C407" s="9" t="s">
        <v>368</v>
      </c>
    </row>
    <row r="408" spans="1:3">
      <c r="A408" s="9"/>
      <c r="B408" s="9" t="s">
        <v>94</v>
      </c>
      <c r="C408" s="9" t="s">
        <v>127</v>
      </c>
    </row>
    <row r="409" spans="1:3">
      <c r="A409" s="9"/>
      <c r="B409" s="9" t="s">
        <v>224</v>
      </c>
      <c r="C409" s="9" t="s">
        <v>541</v>
      </c>
    </row>
    <row r="410" spans="1:3">
      <c r="A410" s="9"/>
      <c r="B410" s="9" t="s">
        <v>288</v>
      </c>
      <c r="C410" s="9" t="s">
        <v>542</v>
      </c>
    </row>
    <row r="411" spans="1:3">
      <c r="A411" s="9"/>
      <c r="B411" s="9" t="s">
        <v>314</v>
      </c>
      <c r="C411" s="9" t="s">
        <v>543</v>
      </c>
    </row>
    <row r="412" spans="1:3">
      <c r="A412" s="9"/>
      <c r="B412" s="9" t="s">
        <v>544</v>
      </c>
      <c r="C412" s="9" t="s">
        <v>545</v>
      </c>
    </row>
    <row r="413" spans="1:3">
      <c r="A413" s="9"/>
      <c r="B413" s="9" t="s">
        <v>47</v>
      </c>
      <c r="C413" s="9" t="s">
        <v>546</v>
      </c>
    </row>
    <row r="414" spans="1:3">
      <c r="A414" s="9"/>
      <c r="B414" s="9" t="s">
        <v>254</v>
      </c>
      <c r="C414" s="9" t="s">
        <v>547</v>
      </c>
    </row>
    <row r="415" spans="1:3">
      <c r="A415" s="9"/>
      <c r="B415" s="9" t="s">
        <v>47</v>
      </c>
      <c r="C415" s="9" t="s">
        <v>548</v>
      </c>
    </row>
    <row r="416" spans="1:3">
      <c r="A416" s="9"/>
      <c r="B416" s="9" t="s">
        <v>221</v>
      </c>
      <c r="C416" s="9" t="s">
        <v>549</v>
      </c>
    </row>
    <row r="417" spans="1:3">
      <c r="A417" s="9"/>
      <c r="B417" s="9" t="s">
        <v>550</v>
      </c>
      <c r="C417" s="9" t="s">
        <v>551</v>
      </c>
    </row>
    <row r="418" spans="1:3">
      <c r="A418" s="9"/>
      <c r="B418" s="9" t="s">
        <v>238</v>
      </c>
      <c r="C418" s="9" t="s">
        <v>552</v>
      </c>
    </row>
    <row r="419" spans="1:3">
      <c r="A419" s="9"/>
      <c r="B419" s="9" t="s">
        <v>238</v>
      </c>
      <c r="C419" s="9" t="s">
        <v>553</v>
      </c>
    </row>
    <row r="420" spans="1:3">
      <c r="A420" s="9"/>
      <c r="B420" s="9" t="s">
        <v>249</v>
      </c>
      <c r="C420" s="9" t="s">
        <v>554</v>
      </c>
    </row>
    <row r="421" spans="1:3">
      <c r="A421" s="9"/>
      <c r="B421" s="9" t="s">
        <v>243</v>
      </c>
      <c r="C421" s="9" t="s">
        <v>336</v>
      </c>
    </row>
    <row r="422" spans="1:3">
      <c r="A422" s="9"/>
      <c r="B422" s="9" t="s">
        <v>212</v>
      </c>
      <c r="C422" s="9" t="s">
        <v>555</v>
      </c>
    </row>
    <row r="423" spans="1:3">
      <c r="A423" s="9"/>
      <c r="B423" s="9" t="s">
        <v>23</v>
      </c>
      <c r="C423" s="9" t="s">
        <v>347</v>
      </c>
    </row>
    <row r="424" spans="1:3">
      <c r="A424" s="9"/>
      <c r="B424" s="9" t="s">
        <v>492</v>
      </c>
      <c r="C424" s="9" t="s">
        <v>556</v>
      </c>
    </row>
    <row r="425" spans="1:3">
      <c r="A425" s="9"/>
      <c r="B425" s="9" t="s">
        <v>266</v>
      </c>
      <c r="C425" s="9" t="s">
        <v>558</v>
      </c>
    </row>
    <row r="426" spans="1:3">
      <c r="A426" s="9"/>
      <c r="B426" s="9" t="s">
        <v>221</v>
      </c>
      <c r="C426" s="9" t="s">
        <v>416</v>
      </c>
    </row>
    <row r="427" spans="1:3">
      <c r="A427" s="9"/>
      <c r="B427" s="9" t="s">
        <v>148</v>
      </c>
      <c r="C427" s="9" t="s">
        <v>291</v>
      </c>
    </row>
    <row r="428" spans="1:3">
      <c r="A428" s="9"/>
      <c r="B428" s="9" t="s">
        <v>114</v>
      </c>
      <c r="C428" s="9" t="s">
        <v>559</v>
      </c>
    </row>
    <row r="429" spans="1:3">
      <c r="A429" s="9"/>
      <c r="B429" s="9" t="s">
        <v>47</v>
      </c>
      <c r="C429" s="9" t="s">
        <v>237</v>
      </c>
    </row>
    <row r="430" spans="1:3">
      <c r="A430" s="9"/>
      <c r="B430" s="9" t="s">
        <v>47</v>
      </c>
      <c r="C430" s="9" t="s">
        <v>225</v>
      </c>
    </row>
    <row r="431" spans="1:3">
      <c r="A431" s="9"/>
      <c r="B431" s="9" t="s">
        <v>245</v>
      </c>
      <c r="C431" s="9" t="s">
        <v>560</v>
      </c>
    </row>
    <row r="432" spans="1:3">
      <c r="A432" s="9"/>
      <c r="B432" s="9" t="s">
        <v>341</v>
      </c>
      <c r="C432" s="9" t="s">
        <v>561</v>
      </c>
    </row>
    <row r="433" spans="1:3">
      <c r="A433" s="9"/>
      <c r="B433" s="9" t="s">
        <v>300</v>
      </c>
      <c r="C433" s="9" t="s">
        <v>562</v>
      </c>
    </row>
    <row r="434" spans="1:3">
      <c r="A434" s="9"/>
      <c r="B434" s="9" t="s">
        <v>316</v>
      </c>
      <c r="C434" s="9" t="s">
        <v>563</v>
      </c>
    </row>
    <row r="435" spans="1:3">
      <c r="A435" s="9"/>
      <c r="B435" s="9" t="s">
        <v>219</v>
      </c>
      <c r="C435" s="9" t="s">
        <v>564</v>
      </c>
    </row>
    <row r="436" spans="1:3">
      <c r="A436" s="9"/>
      <c r="B436" s="9" t="s">
        <v>23</v>
      </c>
      <c r="C436" s="9" t="s">
        <v>565</v>
      </c>
    </row>
    <row r="437" spans="1:3">
      <c r="A437" s="9"/>
      <c r="B437" s="9" t="s">
        <v>249</v>
      </c>
      <c r="C437" s="9" t="s">
        <v>566</v>
      </c>
    </row>
    <row r="438" spans="1:3">
      <c r="A438" s="9"/>
      <c r="B438" s="9" t="s">
        <v>243</v>
      </c>
      <c r="C438" s="9" t="s">
        <v>567</v>
      </c>
    </row>
    <row r="439" spans="1:3">
      <c r="A439" s="9"/>
      <c r="B439" s="9" t="s">
        <v>94</v>
      </c>
      <c r="C439" s="9" t="s">
        <v>568</v>
      </c>
    </row>
    <row r="440" spans="1:3">
      <c r="A440" s="9"/>
      <c r="B440" s="9" t="s">
        <v>270</v>
      </c>
      <c r="C440" s="9" t="s">
        <v>569</v>
      </c>
    </row>
    <row r="441" spans="1:3">
      <c r="A441" s="9"/>
      <c r="B441" s="9" t="s">
        <v>238</v>
      </c>
      <c r="C441" s="9" t="s">
        <v>326</v>
      </c>
    </row>
    <row r="442" spans="1:3">
      <c r="A442" s="9"/>
      <c r="B442" s="9" t="s">
        <v>206</v>
      </c>
      <c r="C442" s="9" t="s">
        <v>570</v>
      </c>
    </row>
    <row r="443" spans="1:3">
      <c r="A443" s="9"/>
      <c r="B443" s="9" t="s">
        <v>114</v>
      </c>
      <c r="C443" s="9" t="s">
        <v>167</v>
      </c>
    </row>
    <row r="444" spans="1:3">
      <c r="A444" s="9"/>
      <c r="B444" s="9" t="s">
        <v>47</v>
      </c>
      <c r="C444" s="9" t="s">
        <v>348</v>
      </c>
    </row>
    <row r="445" spans="1:3">
      <c r="A445" s="9"/>
      <c r="B445" s="9" t="s">
        <v>94</v>
      </c>
      <c r="C445" s="9" t="s">
        <v>571</v>
      </c>
    </row>
    <row r="446" spans="1:3">
      <c r="A446" s="9"/>
      <c r="B446" s="9" t="s">
        <v>47</v>
      </c>
      <c r="C446" s="9" t="s">
        <v>323</v>
      </c>
    </row>
    <row r="447" spans="1:3">
      <c r="A447" s="9"/>
      <c r="B447" s="9" t="s">
        <v>238</v>
      </c>
      <c r="C447" s="9" t="s">
        <v>572</v>
      </c>
    </row>
    <row r="448" spans="1:3">
      <c r="A448" s="9"/>
      <c r="B448" s="9" t="s">
        <v>453</v>
      </c>
      <c r="C448" s="9" t="s">
        <v>573</v>
      </c>
    </row>
    <row r="449" spans="1:3">
      <c r="A449" s="9"/>
      <c r="B449" s="9" t="s">
        <v>206</v>
      </c>
      <c r="C449" s="9" t="s">
        <v>574</v>
      </c>
    </row>
    <row r="450" spans="1:3">
      <c r="A450" s="9"/>
      <c r="B450" s="9" t="s">
        <v>320</v>
      </c>
      <c r="C450" s="9" t="s">
        <v>575</v>
      </c>
    </row>
    <row r="451" spans="1:3">
      <c r="A451" s="9"/>
      <c r="B451" s="9" t="s">
        <v>456</v>
      </c>
      <c r="C451" s="9" t="s">
        <v>576</v>
      </c>
    </row>
    <row r="452" spans="1:3">
      <c r="A452" s="9"/>
      <c r="B452" s="9" t="s">
        <v>243</v>
      </c>
      <c r="C452" s="9" t="s">
        <v>577</v>
      </c>
    </row>
    <row r="453" spans="1:3">
      <c r="A453" s="9"/>
      <c r="B453" s="9" t="s">
        <v>314</v>
      </c>
      <c r="C453" s="9" t="s">
        <v>578</v>
      </c>
    </row>
    <row r="454" spans="1:3">
      <c r="A454" s="9"/>
      <c r="B454" s="9" t="s">
        <v>238</v>
      </c>
      <c r="C454" s="9" t="s">
        <v>579</v>
      </c>
    </row>
    <row r="455" spans="1:3">
      <c r="A455" s="9"/>
      <c r="B455" s="9" t="s">
        <v>316</v>
      </c>
      <c r="C455" s="9" t="s">
        <v>580</v>
      </c>
    </row>
    <row r="456" spans="1:3">
      <c r="A456" s="9"/>
      <c r="B456" s="9" t="s">
        <v>148</v>
      </c>
      <c r="C456" s="9" t="s">
        <v>581</v>
      </c>
    </row>
    <row r="457" spans="1:3">
      <c r="A457" s="9"/>
      <c r="B457" s="9" t="s">
        <v>47</v>
      </c>
      <c r="C457" s="9" t="s">
        <v>582</v>
      </c>
    </row>
    <row r="458" spans="1:3">
      <c r="A458" s="9"/>
      <c r="B458" s="9" t="s">
        <v>406</v>
      </c>
      <c r="C458" s="9" t="s">
        <v>583</v>
      </c>
    </row>
    <row r="459" spans="1:3">
      <c r="A459" s="9"/>
      <c r="B459" s="9" t="s">
        <v>273</v>
      </c>
      <c r="C459" s="9" t="s">
        <v>274</v>
      </c>
    </row>
    <row r="460" spans="1:3">
      <c r="A460" s="9"/>
      <c r="B460" s="9" t="s">
        <v>114</v>
      </c>
      <c r="C460" s="9" t="s">
        <v>115</v>
      </c>
    </row>
    <row r="461" spans="1:3">
      <c r="A461" s="9"/>
      <c r="B461" s="9" t="s">
        <v>273</v>
      </c>
      <c r="C461" s="9" t="s">
        <v>584</v>
      </c>
    </row>
    <row r="462" spans="1:3">
      <c r="A462" s="9"/>
      <c r="B462" s="9" t="s">
        <v>47</v>
      </c>
      <c r="C462" s="9" t="s">
        <v>585</v>
      </c>
    </row>
  </sheetData>
  <hyperlinks>
    <hyperlink ref="J22" r:id="rId1"/>
    <hyperlink ref="J23" r:id="rId2"/>
    <hyperlink ref="J24" r:id="rId3"/>
    <hyperlink ref="J25" r:id="rId4"/>
    <hyperlink ref="J26" r:id="rId5"/>
    <hyperlink ref="J27" r:id="rId6"/>
    <hyperlink ref="J28" r:id="rId7"/>
    <hyperlink ref="J29" r:id="rId8"/>
    <hyperlink ref="J30" r:id="rId9"/>
    <hyperlink ref="J31" r:id="rId10"/>
    <hyperlink ref="J32" r:id="rId11"/>
    <hyperlink ref="J33" r:id="rId12"/>
    <hyperlink ref="J34" r:id="rId13"/>
    <hyperlink ref="J35" r:id="rId14"/>
    <hyperlink ref="J36" r:id="rId15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6"/>
  <sheetViews>
    <sheetView workbookViewId="0"/>
  </sheetViews>
  <sheetFormatPr defaultColWidth="14.44140625" defaultRowHeight="15.75" customHeight="1"/>
  <cols>
    <col min="1" max="1" width="23.88671875" customWidth="1"/>
    <col min="2" max="2" width="36" customWidth="1"/>
    <col min="3" max="3" width="29" customWidth="1"/>
    <col min="4" max="4" width="25.44140625" customWidth="1"/>
    <col min="5" max="5" width="32.44140625" customWidth="1"/>
    <col min="6" max="6" width="38.6640625" customWidth="1"/>
    <col min="7" max="7" width="19.109375" customWidth="1"/>
    <col min="8" max="8" width="26.33203125" customWidth="1"/>
  </cols>
  <sheetData>
    <row r="1" spans="1:26">
      <c r="A1" s="14" t="s">
        <v>27</v>
      </c>
      <c r="B1" s="14" t="s">
        <v>28</v>
      </c>
      <c r="C1" s="14" t="s">
        <v>29</v>
      </c>
      <c r="D1" s="14" t="s">
        <v>30</v>
      </c>
      <c r="E1" s="14" t="s">
        <v>31</v>
      </c>
      <c r="F1" s="14" t="s">
        <v>32</v>
      </c>
      <c r="G1" s="14" t="s">
        <v>33</v>
      </c>
      <c r="H1" s="14" t="s">
        <v>34</v>
      </c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>
      <c r="B2" s="17" t="s">
        <v>36</v>
      </c>
      <c r="C2" s="18" t="s">
        <v>37</v>
      </c>
      <c r="D2" s="19" t="s">
        <v>41</v>
      </c>
      <c r="E2" s="20" t="s">
        <v>42</v>
      </c>
      <c r="F2" s="21" t="s">
        <v>43</v>
      </c>
      <c r="G2" s="22" t="s">
        <v>45</v>
      </c>
      <c r="H2" s="18" t="s">
        <v>48</v>
      </c>
    </row>
    <row r="3" spans="1:26">
      <c r="B3" s="21" t="s">
        <v>51</v>
      </c>
      <c r="C3" s="22" t="s">
        <v>52</v>
      </c>
      <c r="D3" s="18" t="s">
        <v>54</v>
      </c>
      <c r="E3" s="26" t="s">
        <v>55</v>
      </c>
      <c r="F3" s="27" t="s">
        <v>57</v>
      </c>
      <c r="H3" s="18" t="s">
        <v>59</v>
      </c>
    </row>
    <row r="4" spans="1:26">
      <c r="B4" s="21" t="s">
        <v>60</v>
      </c>
      <c r="D4" s="18" t="s">
        <v>61</v>
      </c>
      <c r="E4" s="30" t="s">
        <v>63</v>
      </c>
      <c r="F4" s="32" t="s">
        <v>67</v>
      </c>
      <c r="H4" s="18" t="s">
        <v>68</v>
      </c>
    </row>
    <row r="5" spans="1:26">
      <c r="B5" s="34" t="s">
        <v>73</v>
      </c>
      <c r="D5" s="35" t="s">
        <v>74</v>
      </c>
      <c r="E5" s="22" t="s">
        <v>79</v>
      </c>
      <c r="F5" s="32" t="s">
        <v>80</v>
      </c>
      <c r="H5" s="18" t="s">
        <v>85</v>
      </c>
    </row>
    <row r="6" spans="1:26">
      <c r="B6" s="34" t="s">
        <v>86</v>
      </c>
      <c r="D6" s="22" t="s">
        <v>87</v>
      </c>
      <c r="E6" s="22" t="s">
        <v>92</v>
      </c>
      <c r="F6" s="38" t="s">
        <v>93</v>
      </c>
      <c r="H6" s="18" t="s">
        <v>101</v>
      </c>
    </row>
    <row r="7" spans="1:26">
      <c r="B7" s="34" t="s">
        <v>102</v>
      </c>
      <c r="D7" s="22" t="s">
        <v>104</v>
      </c>
      <c r="F7" s="39" t="s">
        <v>105</v>
      </c>
      <c r="H7" s="40" t="s">
        <v>107</v>
      </c>
    </row>
    <row r="8" spans="1:26">
      <c r="B8" s="41" t="s">
        <v>108</v>
      </c>
      <c r="D8" s="22" t="s">
        <v>110</v>
      </c>
      <c r="F8" s="39" t="s">
        <v>112</v>
      </c>
      <c r="H8" s="22" t="s">
        <v>113</v>
      </c>
    </row>
    <row r="9" spans="1:26">
      <c r="B9" s="41" t="s">
        <v>116</v>
      </c>
      <c r="D9" s="22" t="s">
        <v>118</v>
      </c>
      <c r="F9" s="39" t="s">
        <v>119</v>
      </c>
      <c r="H9" s="22" t="s">
        <v>120</v>
      </c>
    </row>
    <row r="10" spans="1:26">
      <c r="B10" s="41" t="s">
        <v>122</v>
      </c>
      <c r="D10" s="44"/>
      <c r="F10" s="39" t="s">
        <v>123</v>
      </c>
    </row>
    <row r="11" spans="1:26">
      <c r="B11" s="45" t="s">
        <v>124</v>
      </c>
      <c r="F11" s="44"/>
    </row>
    <row r="12" spans="1:26">
      <c r="B12" s="45" t="s">
        <v>125</v>
      </c>
    </row>
    <row r="13" spans="1:26">
      <c r="B13" s="45" t="s">
        <v>126</v>
      </c>
      <c r="H13" s="44"/>
    </row>
    <row r="14" spans="1:26">
      <c r="B14" s="45" t="s">
        <v>129</v>
      </c>
      <c r="H14" s="44"/>
    </row>
    <row r="15" spans="1:26">
      <c r="B15" s="45" t="s">
        <v>130</v>
      </c>
      <c r="F15" s="46"/>
      <c r="H15" s="44"/>
    </row>
    <row r="16" spans="1:26">
      <c r="B16" s="45" t="s">
        <v>131</v>
      </c>
      <c r="F16" s="46"/>
      <c r="H16" s="44"/>
    </row>
    <row r="17" spans="2:8">
      <c r="B17" s="45" t="s">
        <v>133</v>
      </c>
      <c r="F17" s="47"/>
      <c r="H17" s="44"/>
    </row>
    <row r="18" spans="2:8">
      <c r="B18" s="45" t="s">
        <v>134</v>
      </c>
      <c r="F18" s="46"/>
      <c r="H18" s="44"/>
    </row>
    <row r="19" spans="2:8">
      <c r="F19" s="47"/>
      <c r="H19" s="44"/>
    </row>
    <row r="20" spans="2:8">
      <c r="F20" s="47"/>
      <c r="H20" s="44"/>
    </row>
    <row r="21" spans="2:8">
      <c r="F21" s="47"/>
    </row>
    <row r="22" spans="2:8">
      <c r="F22" s="47"/>
    </row>
    <row r="23" spans="2:8">
      <c r="C23" s="49"/>
    </row>
    <row r="24" spans="2:8">
      <c r="C24" s="49"/>
    </row>
    <row r="25" spans="2:8">
      <c r="C25" s="49"/>
    </row>
    <row r="26" spans="2:8">
      <c r="C26" s="50"/>
    </row>
  </sheetData>
  <hyperlinks>
    <hyperlink ref="B2" r:id="rId1"/>
    <hyperlink ref="C2" r:id="rId2"/>
    <hyperlink ref="D2" r:id="rId3"/>
    <hyperlink ref="E2" r:id="rId4"/>
    <hyperlink ref="F2" r:id="rId5"/>
    <hyperlink ref="G2" r:id="rId6"/>
    <hyperlink ref="H2" r:id="rId7"/>
    <hyperlink ref="B3" r:id="rId8"/>
    <hyperlink ref="C3" r:id="rId9"/>
    <hyperlink ref="D3" r:id="rId10"/>
    <hyperlink ref="E3" r:id="rId11"/>
    <hyperlink ref="F3" r:id="rId12"/>
    <hyperlink ref="H3" r:id="rId13"/>
    <hyperlink ref="B4" r:id="rId14"/>
    <hyperlink ref="D4" r:id="rId15"/>
    <hyperlink ref="E4" r:id="rId16"/>
    <hyperlink ref="F4" r:id="rId17"/>
    <hyperlink ref="H4" r:id="rId18"/>
    <hyperlink ref="B5" r:id="rId19"/>
    <hyperlink ref="D5" r:id="rId20"/>
    <hyperlink ref="E5" r:id="rId21"/>
    <hyperlink ref="F5" r:id="rId22"/>
    <hyperlink ref="H5" r:id="rId23"/>
    <hyperlink ref="B6" r:id="rId24"/>
    <hyperlink ref="D6" r:id="rId25"/>
    <hyperlink ref="E6" r:id="rId26"/>
    <hyperlink ref="F6" r:id="rId27"/>
    <hyperlink ref="H6" r:id="rId28"/>
    <hyperlink ref="B7" r:id="rId29"/>
    <hyperlink ref="D7" r:id="rId30"/>
    <hyperlink ref="F7" r:id="rId31"/>
    <hyperlink ref="H7" r:id="rId32"/>
    <hyperlink ref="B8" r:id="rId33"/>
    <hyperlink ref="D8" r:id="rId34"/>
    <hyperlink ref="F8" r:id="rId35"/>
    <hyperlink ref="H8" r:id="rId36"/>
    <hyperlink ref="B9" r:id="rId37"/>
    <hyperlink ref="D9" r:id="rId38"/>
    <hyperlink ref="F9" r:id="rId39"/>
    <hyperlink ref="H9" r:id="rId40"/>
    <hyperlink ref="B10" r:id="rId41"/>
    <hyperlink ref="F10" r:id="rId42"/>
    <hyperlink ref="B11" r:id="rId43"/>
    <hyperlink ref="B12" r:id="rId44"/>
    <hyperlink ref="B13" r:id="rId45"/>
    <hyperlink ref="B14" r:id="rId46"/>
    <hyperlink ref="B15" r:id="rId47"/>
    <hyperlink ref="B16" r:id="rId48"/>
    <hyperlink ref="B17" r:id="rId49"/>
    <hyperlink ref="B18" r:id="rId50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121"/>
  <sheetViews>
    <sheetView workbookViewId="0">
      <selection activeCell="C2" sqref="C2:C52"/>
    </sheetView>
  </sheetViews>
  <sheetFormatPr defaultColWidth="14.44140625" defaultRowHeight="15.75" customHeight="1"/>
  <cols>
    <col min="2" max="2" width="37.6640625" customWidth="1"/>
    <col min="7" max="7" width="40" customWidth="1"/>
  </cols>
  <sheetData>
    <row r="1" spans="1:10">
      <c r="A1" s="14" t="s">
        <v>152</v>
      </c>
      <c r="B1" s="14" t="s">
        <v>153</v>
      </c>
      <c r="G1" s="56" t="s">
        <v>154</v>
      </c>
    </row>
    <row r="2" spans="1:10">
      <c r="A2" s="50">
        <v>1</v>
      </c>
      <c r="B2" s="57" t="s">
        <v>43</v>
      </c>
      <c r="C2" t="str">
        <f>VLOOKUP(B2,'Top 250 HS'!$B$1:$C$1000,2,)</f>
        <v>FL</v>
      </c>
      <c r="G2" s="57" t="s">
        <v>43</v>
      </c>
    </row>
    <row r="3" spans="1:10">
      <c r="A3" s="48">
        <v>2</v>
      </c>
      <c r="B3" s="59" t="s">
        <v>51</v>
      </c>
      <c r="C3" t="str">
        <f>VLOOKUP(B3,'Top 250 HS'!$B$1:$C$1000,2,)</f>
        <v>CA</v>
      </c>
      <c r="D3" s="60"/>
      <c r="E3" s="61"/>
      <c r="F3" s="60"/>
      <c r="G3" s="59" t="s">
        <v>51</v>
      </c>
      <c r="I3" s="62" t="str">
        <f>"1-5"</f>
        <v>1-5</v>
      </c>
      <c r="J3" s="63" t="s">
        <v>159</v>
      </c>
    </row>
    <row r="4" spans="1:10">
      <c r="A4" s="52">
        <v>3</v>
      </c>
      <c r="B4" s="64" t="s">
        <v>42</v>
      </c>
      <c r="C4" t="str">
        <f>VLOOKUP(B4,'Top 250 HS'!$B$1:$C$1000,2,)</f>
        <v>MD</v>
      </c>
      <c r="D4" s="65"/>
      <c r="E4" s="66"/>
      <c r="F4" s="65"/>
      <c r="G4" s="64" t="s">
        <v>42</v>
      </c>
      <c r="I4" s="67" t="str">
        <f>"6-15"</f>
        <v>6-15</v>
      </c>
      <c r="J4" s="68" t="s">
        <v>168</v>
      </c>
    </row>
    <row r="5" spans="1:10">
      <c r="A5" s="50">
        <v>4</v>
      </c>
      <c r="B5" s="59" t="s">
        <v>36</v>
      </c>
      <c r="C5" t="str">
        <f>VLOOKUP(B5,'Top 250 HS'!$B$1:$C$1000,2,)</f>
        <v>NV</v>
      </c>
      <c r="D5" s="60"/>
      <c r="E5" s="61"/>
      <c r="F5" s="60"/>
      <c r="G5" s="59" t="s">
        <v>36</v>
      </c>
      <c r="I5" s="71" t="s">
        <v>173</v>
      </c>
      <c r="J5" s="68" t="s">
        <v>175</v>
      </c>
    </row>
    <row r="6" spans="1:10">
      <c r="A6" s="48">
        <v>5</v>
      </c>
      <c r="B6" s="64" t="s">
        <v>60</v>
      </c>
      <c r="C6" t="str">
        <f>VLOOKUP(B6,'Top 250 HS'!$B$1:$C$1000,2,)</f>
        <v>CA</v>
      </c>
      <c r="D6" s="65"/>
      <c r="E6" s="66"/>
      <c r="F6" s="65"/>
      <c r="G6" s="64" t="s">
        <v>60</v>
      </c>
      <c r="I6" s="74" t="s">
        <v>185</v>
      </c>
      <c r="J6" s="75" t="s">
        <v>186</v>
      </c>
    </row>
    <row r="7" spans="1:10">
      <c r="A7" s="52">
        <v>6</v>
      </c>
      <c r="B7" s="59" t="s">
        <v>73</v>
      </c>
      <c r="C7" t="str">
        <f>VLOOKUP(B7,'Top 250 HS'!$B$1:$C$1000,2,)</f>
        <v>CA</v>
      </c>
      <c r="D7" s="60"/>
      <c r="E7" s="61"/>
      <c r="F7" s="60"/>
      <c r="G7" s="57" t="s">
        <v>43</v>
      </c>
    </row>
    <row r="8" spans="1:10">
      <c r="A8" s="50">
        <v>7</v>
      </c>
      <c r="B8" s="64" t="s">
        <v>41</v>
      </c>
      <c r="C8" t="str">
        <f>VLOOKUP(B8,'Top 250 HS'!$B$1:$C$1000,2,)</f>
        <v>TX</v>
      </c>
      <c r="D8" s="65"/>
      <c r="E8" s="66"/>
      <c r="F8" s="65"/>
      <c r="G8" s="59" t="s">
        <v>51</v>
      </c>
    </row>
    <row r="9" spans="1:10">
      <c r="A9" s="48">
        <v>8</v>
      </c>
      <c r="B9" s="59" t="s">
        <v>86</v>
      </c>
      <c r="C9" t="str">
        <f>VLOOKUP(B9,'Top 250 HS'!$B$1:$C$1000,2,)</f>
        <v>CA</v>
      </c>
      <c r="D9" s="60"/>
      <c r="E9" s="61"/>
      <c r="F9" s="60"/>
      <c r="G9" s="64" t="s">
        <v>42</v>
      </c>
    </row>
    <row r="10" spans="1:10">
      <c r="A10" s="52">
        <v>9</v>
      </c>
      <c r="B10" s="64" t="s">
        <v>102</v>
      </c>
      <c r="C10" t="str">
        <f>VLOOKUP(B10,'Top 250 HS'!$B$1:$C$1000,2,)</f>
        <v>CA</v>
      </c>
      <c r="D10" s="65"/>
      <c r="E10" s="66"/>
      <c r="F10" s="65"/>
      <c r="G10" s="59" t="s">
        <v>36</v>
      </c>
    </row>
    <row r="11" spans="1:10">
      <c r="A11" s="50">
        <v>10</v>
      </c>
      <c r="B11" s="59" t="s">
        <v>57</v>
      </c>
      <c r="C11" t="str">
        <f>VLOOKUP(B11,'Top 250 HS'!$B$1:$C$1000,2,)</f>
        <v>GA</v>
      </c>
      <c r="D11" s="60"/>
      <c r="E11" s="61"/>
      <c r="F11" s="60"/>
      <c r="G11" s="64" t="s">
        <v>60</v>
      </c>
    </row>
    <row r="12" spans="1:10">
      <c r="A12" s="48">
        <v>11</v>
      </c>
      <c r="B12" s="64" t="s">
        <v>37</v>
      </c>
      <c r="C12" t="str">
        <f>VLOOKUP(B12,'Top 250 HS'!$B$1:$C$1000,2,)</f>
        <v>NY</v>
      </c>
      <c r="D12" s="65"/>
      <c r="E12" s="66"/>
      <c r="F12" s="65"/>
      <c r="G12" s="57" t="s">
        <v>43</v>
      </c>
    </row>
    <row r="13" spans="1:10">
      <c r="A13" s="52">
        <v>12</v>
      </c>
      <c r="B13" s="59" t="s">
        <v>55</v>
      </c>
      <c r="C13" t="str">
        <f>VLOOKUP(B13,'Top 250 HS'!$B$1:$C$1000,2,)</f>
        <v>VA</v>
      </c>
      <c r="D13" s="60"/>
      <c r="E13" s="61"/>
      <c r="F13" s="60"/>
      <c r="G13" s="59" t="s">
        <v>51</v>
      </c>
    </row>
    <row r="14" spans="1:10">
      <c r="A14" s="50">
        <v>13</v>
      </c>
      <c r="B14" s="64" t="s">
        <v>68</v>
      </c>
      <c r="C14" t="str">
        <f>VLOOKUP(B14,'Top 250 HS'!$B$1:$C$1000,2,)</f>
        <v>IL</v>
      </c>
      <c r="D14" s="65"/>
      <c r="E14" s="66"/>
      <c r="F14" s="65"/>
      <c r="G14" s="64" t="s">
        <v>42</v>
      </c>
    </row>
    <row r="15" spans="1:10">
      <c r="A15" s="48">
        <v>14</v>
      </c>
      <c r="B15" s="59" t="s">
        <v>54</v>
      </c>
      <c r="C15" t="str">
        <f>VLOOKUP(B15,'Top 250 HS'!$B$1:$C$1000,2,)</f>
        <v>TX</v>
      </c>
      <c r="D15" s="60"/>
      <c r="E15" s="61"/>
      <c r="F15" s="60"/>
      <c r="G15" s="59" t="s">
        <v>36</v>
      </c>
    </row>
    <row r="16" spans="1:10">
      <c r="A16" s="52">
        <v>15</v>
      </c>
      <c r="B16" s="64" t="s">
        <v>67</v>
      </c>
      <c r="C16" t="str">
        <f>VLOOKUP(B16,'Top 250 HS'!$B$1:$C$1000,2,)</f>
        <v>SC</v>
      </c>
      <c r="D16" s="65"/>
      <c r="E16" s="66"/>
      <c r="F16" s="65"/>
      <c r="G16" s="64" t="s">
        <v>60</v>
      </c>
    </row>
    <row r="17" spans="1:7">
      <c r="A17" s="50">
        <v>16</v>
      </c>
      <c r="B17" s="59" t="s">
        <v>101</v>
      </c>
      <c r="C17" t="str">
        <f>VLOOKUP(B17,'Top 250 HS'!$B$1:$C$1000,2,)</f>
        <v>MN</v>
      </c>
      <c r="D17" s="60"/>
      <c r="E17" s="61"/>
      <c r="F17" s="60"/>
      <c r="G17" s="57" t="s">
        <v>43</v>
      </c>
    </row>
    <row r="18" spans="1:7">
      <c r="A18" s="48">
        <v>17</v>
      </c>
      <c r="B18" s="64" t="s">
        <v>61</v>
      </c>
      <c r="C18" t="str">
        <f>VLOOKUP(B18,'Top 250 HS'!$B$1:$C$1000,2,)</f>
        <v>TX</v>
      </c>
      <c r="D18" s="65"/>
      <c r="E18" s="66"/>
      <c r="F18" s="65"/>
      <c r="G18" s="59" t="s">
        <v>51</v>
      </c>
    </row>
    <row r="19" spans="1:7">
      <c r="A19" s="52">
        <v>18</v>
      </c>
      <c r="B19" s="59" t="s">
        <v>48</v>
      </c>
      <c r="C19" t="str">
        <f>VLOOKUP(B19,'Top 250 HS'!$B$1:$C$1000,2,)</f>
        <v>OH</v>
      </c>
      <c r="D19" s="60"/>
      <c r="E19" s="61"/>
      <c r="F19" s="60"/>
      <c r="G19" s="64" t="s">
        <v>42</v>
      </c>
    </row>
    <row r="20" spans="1:7">
      <c r="A20" s="50">
        <v>19</v>
      </c>
      <c r="B20" s="64" t="s">
        <v>108</v>
      </c>
      <c r="C20" t="str">
        <f>VLOOKUP(B20,'Top 250 HS'!$B$1:$C$1000,2,)</f>
        <v>CA</v>
      </c>
      <c r="D20" s="65"/>
      <c r="E20" s="66"/>
      <c r="F20" s="65"/>
      <c r="G20" s="59" t="s">
        <v>36</v>
      </c>
    </row>
    <row r="21" spans="1:7">
      <c r="A21" s="48">
        <v>20</v>
      </c>
      <c r="B21" s="59" t="s">
        <v>80</v>
      </c>
      <c r="C21" t="str">
        <f>VLOOKUP(B21,'Top 250 HS'!$B$1:$C$1000,2,)</f>
        <v>AL</v>
      </c>
      <c r="D21" s="60"/>
      <c r="E21" s="61"/>
      <c r="F21" s="60"/>
      <c r="G21" s="64" t="s">
        <v>60</v>
      </c>
    </row>
    <row r="22" spans="1:7">
      <c r="A22" s="52">
        <v>21</v>
      </c>
      <c r="B22" s="64" t="s">
        <v>59</v>
      </c>
      <c r="C22" t="str">
        <f>VLOOKUP(B22,'Top 250 HS'!$B$1:$C$1000,2,)</f>
        <v>OH</v>
      </c>
      <c r="D22" s="65"/>
      <c r="E22" s="66"/>
      <c r="F22" s="65"/>
      <c r="G22" s="57" t="s">
        <v>43</v>
      </c>
    </row>
    <row r="23" spans="1:7">
      <c r="A23" s="50">
        <v>22</v>
      </c>
      <c r="B23" s="59" t="s">
        <v>116</v>
      </c>
      <c r="C23" t="str">
        <f>VLOOKUP(B23,'Top 250 HS'!$B$1:$C$1000,2,)</f>
        <v>CA</v>
      </c>
      <c r="D23" s="60"/>
      <c r="E23" s="61"/>
      <c r="F23" s="60"/>
      <c r="G23" s="59" t="s">
        <v>51</v>
      </c>
    </row>
    <row r="24" spans="1:7">
      <c r="A24" s="48">
        <v>23</v>
      </c>
      <c r="B24" s="64" t="s">
        <v>122</v>
      </c>
      <c r="C24" t="str">
        <f>VLOOKUP(B24,'Top 250 HS'!$B$1:$C$1000,2,)</f>
        <v>CA</v>
      </c>
      <c r="D24" s="65"/>
      <c r="E24" s="66"/>
      <c r="F24" s="65"/>
      <c r="G24" s="64" t="s">
        <v>42</v>
      </c>
    </row>
    <row r="25" spans="1:7">
      <c r="A25" s="52">
        <v>24</v>
      </c>
      <c r="B25" s="59" t="s">
        <v>85</v>
      </c>
      <c r="C25" t="str">
        <f>VLOOKUP(B25,'Top 250 HS'!$B$1:$C$1000,2,)</f>
        <v>IN</v>
      </c>
      <c r="D25" s="60"/>
      <c r="E25" s="61"/>
      <c r="F25" s="60"/>
      <c r="G25" s="59" t="s">
        <v>36</v>
      </c>
    </row>
    <row r="26" spans="1:7">
      <c r="A26" s="50">
        <v>25</v>
      </c>
      <c r="B26" s="64" t="s">
        <v>74</v>
      </c>
      <c r="C26" t="str">
        <f>VLOOKUP(B26,'Top 250 HS'!$B$1:$C$1000,2,)</f>
        <v>LA</v>
      </c>
      <c r="D26" s="65"/>
      <c r="E26" s="66"/>
      <c r="F26" s="65"/>
      <c r="G26" s="64" t="s">
        <v>60</v>
      </c>
    </row>
    <row r="27" spans="1:7">
      <c r="A27" s="48">
        <v>26</v>
      </c>
      <c r="B27" s="64" t="s">
        <v>124</v>
      </c>
      <c r="C27" t="str">
        <f>VLOOKUP(B27,'Top 250 HS'!$B$1:$C$1000,2,)</f>
        <v>CA</v>
      </c>
      <c r="D27" s="60"/>
      <c r="E27" s="61"/>
      <c r="F27" s="60"/>
      <c r="G27" s="57" t="s">
        <v>43</v>
      </c>
    </row>
    <row r="28" spans="1:7">
      <c r="A28" s="52">
        <v>27</v>
      </c>
      <c r="B28" s="59" t="s">
        <v>125</v>
      </c>
      <c r="C28" t="str">
        <f>VLOOKUP(B28,'Top 250 HS'!$B$1:$C$1000,2,)</f>
        <v>CA</v>
      </c>
      <c r="D28" s="60"/>
      <c r="E28" s="61"/>
      <c r="F28" s="60"/>
      <c r="G28" s="59" t="s">
        <v>51</v>
      </c>
    </row>
    <row r="29" spans="1:7">
      <c r="A29" s="50">
        <v>28</v>
      </c>
      <c r="B29" s="64" t="s">
        <v>126</v>
      </c>
      <c r="C29" t="str">
        <f>VLOOKUP(B29,'Top 250 HS'!$B$1:$C$1000,2,)</f>
        <v>CA</v>
      </c>
      <c r="D29" s="65"/>
      <c r="E29" s="66"/>
      <c r="F29" s="65"/>
      <c r="G29" s="64" t="s">
        <v>42</v>
      </c>
    </row>
    <row r="30" spans="1:7">
      <c r="A30" s="48">
        <v>29</v>
      </c>
      <c r="B30" s="59" t="s">
        <v>45</v>
      </c>
      <c r="C30" t="str">
        <f>VLOOKUP(B30,'Top 250 HS'!$B$1:$C$1000,2,)</f>
        <v>MT</v>
      </c>
      <c r="D30" s="60"/>
      <c r="E30" s="61"/>
      <c r="F30" s="60"/>
      <c r="G30" s="59" t="s">
        <v>36</v>
      </c>
    </row>
    <row r="31" spans="1:7">
      <c r="A31" s="52">
        <v>30</v>
      </c>
      <c r="B31" s="64" t="s">
        <v>92</v>
      </c>
      <c r="C31" t="str">
        <f>VLOOKUP(B31,'Top 250 HS'!$B$1:$C$1000,2,)</f>
        <v>VA</v>
      </c>
      <c r="D31" s="65"/>
      <c r="E31" s="66"/>
      <c r="F31" s="65"/>
      <c r="G31" s="64" t="s">
        <v>60</v>
      </c>
    </row>
    <row r="32" spans="1:7">
      <c r="A32" s="50">
        <v>31</v>
      </c>
      <c r="B32" s="59" t="s">
        <v>129</v>
      </c>
      <c r="C32" t="str">
        <f>VLOOKUP(B32,'Top 250 HS'!$B$1:$C$1000,2,)</f>
        <v>CA</v>
      </c>
      <c r="D32" s="60"/>
      <c r="E32" s="61"/>
      <c r="F32" s="60"/>
      <c r="G32" s="57" t="s">
        <v>43</v>
      </c>
    </row>
    <row r="33" spans="1:7">
      <c r="A33" s="48">
        <v>32</v>
      </c>
      <c r="B33" s="64" t="s">
        <v>130</v>
      </c>
      <c r="C33" t="str">
        <f>VLOOKUP(B33,'Top 250 HS'!$B$1:$C$1000,2,)</f>
        <v>CA</v>
      </c>
      <c r="D33" s="65"/>
      <c r="E33" s="66"/>
      <c r="F33" s="65"/>
      <c r="G33" s="59" t="s">
        <v>51</v>
      </c>
    </row>
    <row r="34" spans="1:7">
      <c r="A34" s="52">
        <v>33</v>
      </c>
      <c r="B34" s="59" t="s">
        <v>107</v>
      </c>
      <c r="C34" t="str">
        <f>VLOOKUP(B34,'Top 250 HS'!$B$1:$C$1000,2,)</f>
        <v>OH</v>
      </c>
      <c r="D34" s="60"/>
      <c r="E34" s="61"/>
      <c r="F34" s="60"/>
      <c r="G34" s="64" t="s">
        <v>42</v>
      </c>
    </row>
    <row r="35" spans="1:7">
      <c r="A35" s="50">
        <v>34</v>
      </c>
      <c r="B35" s="64" t="s">
        <v>131</v>
      </c>
      <c r="C35" t="str">
        <f>VLOOKUP(B35,'Top 250 HS'!$B$1:$C$1000,2,)</f>
        <v>CA</v>
      </c>
      <c r="D35" s="65"/>
      <c r="E35" s="66"/>
      <c r="F35" s="65"/>
      <c r="G35" s="59" t="s">
        <v>36</v>
      </c>
    </row>
    <row r="36" spans="1:7">
      <c r="A36" s="48">
        <v>35</v>
      </c>
      <c r="B36" s="59" t="s">
        <v>79</v>
      </c>
      <c r="C36" t="str">
        <f>VLOOKUP(B36,'Top 250 HS'!$B$1:$C$1000,2,)</f>
        <v>PA</v>
      </c>
      <c r="D36" s="60"/>
      <c r="E36" s="61"/>
      <c r="F36" s="60"/>
      <c r="G36" s="64" t="s">
        <v>60</v>
      </c>
    </row>
    <row r="37" spans="1:7">
      <c r="A37" s="52">
        <v>36</v>
      </c>
      <c r="B37" s="64" t="s">
        <v>113</v>
      </c>
      <c r="C37" t="str">
        <f>VLOOKUP(B37,'Top 250 HS'!$B$1:$C$1000,2,)</f>
        <v>WI</v>
      </c>
      <c r="D37" s="65"/>
      <c r="E37" s="66"/>
      <c r="F37" s="65"/>
      <c r="G37" s="59" t="s">
        <v>73</v>
      </c>
    </row>
    <row r="38" spans="1:7">
      <c r="A38" s="50">
        <v>37</v>
      </c>
      <c r="B38" s="59" t="s">
        <v>119</v>
      </c>
      <c r="C38" t="str">
        <f>VLOOKUP(B38,'Top 250 HS'!$B$1:$C$1000,2,)</f>
        <v>NC</v>
      </c>
      <c r="D38" s="60"/>
      <c r="E38" s="61"/>
      <c r="F38" s="60"/>
      <c r="G38" s="64" t="s">
        <v>41</v>
      </c>
    </row>
    <row r="39" spans="1:7">
      <c r="A39" s="48">
        <v>38</v>
      </c>
      <c r="B39" s="64" t="s">
        <v>112</v>
      </c>
      <c r="C39" t="str">
        <f>VLOOKUP(B39,'Top 250 HS'!$B$1:$C$1000,2,)</f>
        <v>MS</v>
      </c>
      <c r="D39" s="65"/>
      <c r="E39" s="66"/>
      <c r="F39" s="65"/>
      <c r="G39" s="59" t="s">
        <v>86</v>
      </c>
    </row>
    <row r="40" spans="1:7">
      <c r="A40" s="52">
        <v>39</v>
      </c>
      <c r="B40" s="59" t="s">
        <v>87</v>
      </c>
      <c r="C40" t="str">
        <f>VLOOKUP(B40,'Top 250 HS'!$B$1:$C$1000,2,)</f>
        <v>TX</v>
      </c>
      <c r="D40" s="60"/>
      <c r="E40" s="61"/>
      <c r="F40" s="60"/>
      <c r="G40" s="64" t="s">
        <v>102</v>
      </c>
    </row>
    <row r="41" spans="1:7">
      <c r="A41" s="50">
        <v>40</v>
      </c>
      <c r="B41" s="64" t="s">
        <v>104</v>
      </c>
      <c r="C41" t="str">
        <f>VLOOKUP(B41,'Top 250 HS'!$B$1:$C$1000,2,)</f>
        <v>TX</v>
      </c>
      <c r="D41" s="65"/>
      <c r="E41" s="66"/>
      <c r="F41" s="65"/>
      <c r="G41" s="59" t="s">
        <v>57</v>
      </c>
    </row>
    <row r="42" spans="1:7">
      <c r="A42" s="48">
        <v>41</v>
      </c>
      <c r="B42" s="59" t="s">
        <v>110</v>
      </c>
      <c r="C42" t="str">
        <f>VLOOKUP(B42,'Top 250 HS'!$B$1:$C$1000,2,)</f>
        <v>TX</v>
      </c>
      <c r="D42" s="60"/>
      <c r="E42" s="61"/>
      <c r="F42" s="60"/>
      <c r="G42" s="64" t="s">
        <v>37</v>
      </c>
    </row>
    <row r="43" spans="1:7">
      <c r="A43" s="52">
        <v>42</v>
      </c>
      <c r="B43" s="64" t="s">
        <v>63</v>
      </c>
      <c r="C43" t="str">
        <f>VLOOKUP(B43,'Top 250 HS'!$B$1:$C$1000,2,)</f>
        <v>DC</v>
      </c>
      <c r="D43" s="65"/>
      <c r="E43" s="66"/>
      <c r="F43" s="65"/>
      <c r="G43" s="59" t="s">
        <v>55</v>
      </c>
    </row>
    <row r="44" spans="1:7">
      <c r="A44" s="50">
        <v>43</v>
      </c>
      <c r="B44" s="59" t="s">
        <v>93</v>
      </c>
      <c r="C44" t="str">
        <f>VLOOKUP(B44,'Top 250 HS'!$B$1:$C$1000,2,)</f>
        <v>FL</v>
      </c>
      <c r="D44" s="60"/>
      <c r="E44" s="61"/>
      <c r="F44" s="60"/>
      <c r="G44" s="64" t="s">
        <v>68</v>
      </c>
    </row>
    <row r="45" spans="1:7">
      <c r="A45" s="48">
        <v>44</v>
      </c>
      <c r="B45" s="64" t="s">
        <v>133</v>
      </c>
      <c r="C45" t="str">
        <f>VLOOKUP(B45,'Top 250 HS'!$B$1:$C$1000,2,)</f>
        <v>CA</v>
      </c>
      <c r="D45" s="65"/>
      <c r="E45" s="66"/>
      <c r="F45" s="65"/>
      <c r="G45" s="59" t="s">
        <v>54</v>
      </c>
    </row>
    <row r="46" spans="1:7">
      <c r="A46" s="52">
        <v>45</v>
      </c>
      <c r="B46" s="59" t="s">
        <v>123</v>
      </c>
      <c r="C46" t="str">
        <f>VLOOKUP(B46,'Top 250 HS'!$B$1:$C$1000,2,)</f>
        <v>NC</v>
      </c>
      <c r="D46" s="60"/>
      <c r="E46" s="61"/>
      <c r="F46" s="60"/>
      <c r="G46" s="64" t="s">
        <v>67</v>
      </c>
    </row>
    <row r="47" spans="1:7">
      <c r="A47" s="50">
        <v>46</v>
      </c>
      <c r="B47" s="64" t="s">
        <v>134</v>
      </c>
      <c r="C47" t="str">
        <f>VLOOKUP(B47,'Top 250 HS'!$B$1:$C$1000,2,)</f>
        <v>CA</v>
      </c>
      <c r="D47" s="65"/>
      <c r="E47" s="66"/>
      <c r="F47" s="65"/>
      <c r="G47" s="59" t="s">
        <v>73</v>
      </c>
    </row>
    <row r="48" spans="1:7">
      <c r="A48" s="48">
        <v>47</v>
      </c>
      <c r="B48" s="59" t="s">
        <v>118</v>
      </c>
      <c r="C48" t="str">
        <f>VLOOKUP(B48,'Top 250 HS'!$B$1:$C$1000,2,)</f>
        <v>TX</v>
      </c>
      <c r="D48" s="60"/>
      <c r="E48" s="61"/>
      <c r="F48" s="60"/>
      <c r="G48" s="64" t="s">
        <v>41</v>
      </c>
    </row>
    <row r="49" spans="1:7">
      <c r="A49" s="52">
        <v>48</v>
      </c>
      <c r="B49" s="64" t="s">
        <v>52</v>
      </c>
      <c r="C49" t="str">
        <f>VLOOKUP(B49,'Top 250 HS'!$B$1:$C$1000,2,)</f>
        <v>NJ</v>
      </c>
      <c r="D49" s="65"/>
      <c r="E49" s="66"/>
      <c r="F49" s="65"/>
      <c r="G49" s="59" t="s">
        <v>86</v>
      </c>
    </row>
    <row r="50" spans="1:7">
      <c r="A50" s="50">
        <v>49</v>
      </c>
      <c r="B50" s="59" t="s">
        <v>120</v>
      </c>
      <c r="C50" t="str">
        <f>VLOOKUP(B50,'Top 250 HS'!$B$1:$C$1000,2,)</f>
        <v>WI</v>
      </c>
      <c r="D50" s="60"/>
      <c r="E50" s="61"/>
      <c r="F50" s="60"/>
      <c r="G50" s="64" t="s">
        <v>102</v>
      </c>
    </row>
    <row r="51" spans="1:7">
      <c r="A51" s="48">
        <v>50</v>
      </c>
      <c r="B51" s="64" t="s">
        <v>105</v>
      </c>
      <c r="C51" t="str">
        <f>VLOOKUP(B51,'Top 250 HS'!$B$1:$C$1000,2,)</f>
        <v>AL</v>
      </c>
      <c r="D51" s="65"/>
      <c r="E51" s="66"/>
      <c r="F51" s="65"/>
      <c r="G51" s="59" t="s">
        <v>57</v>
      </c>
    </row>
    <row r="52" spans="1:7">
      <c r="A52" s="60"/>
      <c r="B52" s="83"/>
      <c r="C52" s="60"/>
      <c r="D52" s="60"/>
      <c r="E52" s="61"/>
      <c r="F52" s="60"/>
      <c r="G52" s="64" t="s">
        <v>37</v>
      </c>
    </row>
    <row r="53" spans="1:7">
      <c r="G53" s="59" t="s">
        <v>55</v>
      </c>
    </row>
    <row r="54" spans="1:7">
      <c r="G54" s="64" t="s">
        <v>68</v>
      </c>
    </row>
    <row r="55" spans="1:7">
      <c r="G55" s="59" t="s">
        <v>54</v>
      </c>
    </row>
    <row r="56" spans="1:7">
      <c r="G56" s="64" t="s">
        <v>67</v>
      </c>
    </row>
    <row r="57" spans="1:7">
      <c r="G57" s="59" t="s">
        <v>73</v>
      </c>
    </row>
    <row r="58" spans="1:7">
      <c r="G58" s="64" t="s">
        <v>41</v>
      </c>
    </row>
    <row r="59" spans="1:7">
      <c r="G59" s="59" t="s">
        <v>86</v>
      </c>
    </row>
    <row r="60" spans="1:7">
      <c r="G60" s="64" t="s">
        <v>102</v>
      </c>
    </row>
    <row r="61" spans="1:7">
      <c r="G61" s="59" t="s">
        <v>57</v>
      </c>
    </row>
    <row r="62" spans="1:7">
      <c r="G62" s="64" t="s">
        <v>37</v>
      </c>
    </row>
    <row r="63" spans="1:7">
      <c r="G63" s="59" t="s">
        <v>55</v>
      </c>
    </row>
    <row r="64" spans="1:7">
      <c r="G64" s="64" t="s">
        <v>68</v>
      </c>
    </row>
    <row r="65" spans="7:7">
      <c r="G65" s="59" t="s">
        <v>54</v>
      </c>
    </row>
    <row r="66" spans="7:7">
      <c r="G66" s="64" t="s">
        <v>67</v>
      </c>
    </row>
    <row r="67" spans="7:7">
      <c r="G67" s="59" t="s">
        <v>73</v>
      </c>
    </row>
    <row r="68" spans="7:7">
      <c r="G68" s="64" t="s">
        <v>41</v>
      </c>
    </row>
    <row r="69" spans="7:7">
      <c r="G69" s="59" t="s">
        <v>86</v>
      </c>
    </row>
    <row r="70" spans="7:7">
      <c r="G70" s="64" t="s">
        <v>102</v>
      </c>
    </row>
    <row r="71" spans="7:7">
      <c r="G71" s="59" t="s">
        <v>57</v>
      </c>
    </row>
    <row r="72" spans="7:7">
      <c r="G72" s="64" t="s">
        <v>37</v>
      </c>
    </row>
    <row r="73" spans="7:7">
      <c r="G73" s="59" t="s">
        <v>55</v>
      </c>
    </row>
    <row r="74" spans="7:7">
      <c r="G74" s="64" t="s">
        <v>68</v>
      </c>
    </row>
    <row r="75" spans="7:7">
      <c r="G75" s="59" t="s">
        <v>54</v>
      </c>
    </row>
    <row r="76" spans="7:7">
      <c r="G76" s="64" t="s">
        <v>67</v>
      </c>
    </row>
    <row r="77" spans="7:7">
      <c r="G77" s="59" t="s">
        <v>101</v>
      </c>
    </row>
    <row r="78" spans="7:7">
      <c r="G78" s="64" t="s">
        <v>61</v>
      </c>
    </row>
    <row r="79" spans="7:7">
      <c r="G79" s="59" t="s">
        <v>48</v>
      </c>
    </row>
    <row r="80" spans="7:7">
      <c r="G80" s="64" t="s">
        <v>108</v>
      </c>
    </row>
    <row r="81" spans="7:7">
      <c r="G81" s="59" t="s">
        <v>80</v>
      </c>
    </row>
    <row r="82" spans="7:7">
      <c r="G82" s="64" t="s">
        <v>59</v>
      </c>
    </row>
    <row r="83" spans="7:7">
      <c r="G83" s="59" t="s">
        <v>116</v>
      </c>
    </row>
    <row r="84" spans="7:7">
      <c r="G84" s="64" t="s">
        <v>122</v>
      </c>
    </row>
    <row r="85" spans="7:7">
      <c r="G85" s="59" t="s">
        <v>85</v>
      </c>
    </row>
    <row r="86" spans="7:7">
      <c r="G86" s="64" t="s">
        <v>74</v>
      </c>
    </row>
    <row r="87" spans="7:7">
      <c r="G87" s="59" t="s">
        <v>101</v>
      </c>
    </row>
    <row r="88" spans="7:7">
      <c r="G88" s="64" t="s">
        <v>61</v>
      </c>
    </row>
    <row r="89" spans="7:7">
      <c r="G89" s="59" t="s">
        <v>48</v>
      </c>
    </row>
    <row r="90" spans="7:7">
      <c r="G90" s="64" t="s">
        <v>108</v>
      </c>
    </row>
    <row r="91" spans="7:7">
      <c r="G91" s="59" t="s">
        <v>80</v>
      </c>
    </row>
    <row r="92" spans="7:7">
      <c r="G92" s="64" t="s">
        <v>59</v>
      </c>
    </row>
    <row r="93" spans="7:7">
      <c r="G93" s="59" t="s">
        <v>116</v>
      </c>
    </row>
    <row r="94" spans="7:7">
      <c r="G94" s="64" t="s">
        <v>122</v>
      </c>
    </row>
    <row r="95" spans="7:7">
      <c r="G95" s="59" t="s">
        <v>85</v>
      </c>
    </row>
    <row r="96" spans="7:7">
      <c r="G96" s="64" t="s">
        <v>74</v>
      </c>
    </row>
    <row r="97" spans="7:7">
      <c r="G97" s="64" t="s">
        <v>124</v>
      </c>
    </row>
    <row r="98" spans="7:7">
      <c r="G98" s="59" t="s">
        <v>125</v>
      </c>
    </row>
    <row r="99" spans="7:7">
      <c r="G99" s="64" t="s">
        <v>126</v>
      </c>
    </row>
    <row r="100" spans="7:7">
      <c r="G100" s="59" t="s">
        <v>45</v>
      </c>
    </row>
    <row r="101" spans="7:7">
      <c r="G101" s="64" t="s">
        <v>92</v>
      </c>
    </row>
    <row r="102" spans="7:7">
      <c r="G102" s="59" t="s">
        <v>129</v>
      </c>
    </row>
    <row r="103" spans="7:7">
      <c r="G103" s="64" t="s">
        <v>130</v>
      </c>
    </row>
    <row r="104" spans="7:7">
      <c r="G104" s="59" t="s">
        <v>107</v>
      </c>
    </row>
    <row r="105" spans="7:7">
      <c r="G105" s="64" t="s">
        <v>131</v>
      </c>
    </row>
    <row r="106" spans="7:7">
      <c r="G106" s="59" t="s">
        <v>79</v>
      </c>
    </row>
    <row r="107" spans="7:7">
      <c r="G107" s="64" t="s">
        <v>113</v>
      </c>
    </row>
    <row r="108" spans="7:7">
      <c r="G108" s="59" t="s">
        <v>119</v>
      </c>
    </row>
    <row r="109" spans="7:7">
      <c r="G109" s="64" t="s">
        <v>112</v>
      </c>
    </row>
    <row r="110" spans="7:7">
      <c r="G110" s="59" t="s">
        <v>87</v>
      </c>
    </row>
    <row r="111" spans="7:7">
      <c r="G111" s="64" t="s">
        <v>104</v>
      </c>
    </row>
    <row r="112" spans="7:7">
      <c r="G112" s="59" t="s">
        <v>110</v>
      </c>
    </row>
    <row r="113" spans="7:7">
      <c r="G113" s="64" t="s">
        <v>63</v>
      </c>
    </row>
    <row r="114" spans="7:7">
      <c r="G114" s="59" t="s">
        <v>93</v>
      </c>
    </row>
    <row r="115" spans="7:7">
      <c r="G115" s="64" t="s">
        <v>133</v>
      </c>
    </row>
    <row r="116" spans="7:7">
      <c r="G116" s="59" t="s">
        <v>123</v>
      </c>
    </row>
    <row r="117" spans="7:7">
      <c r="G117" s="64" t="s">
        <v>134</v>
      </c>
    </row>
    <row r="118" spans="7:7">
      <c r="G118" s="59" t="s">
        <v>118</v>
      </c>
    </row>
    <row r="119" spans="7:7">
      <c r="G119" s="64" t="s">
        <v>52</v>
      </c>
    </row>
    <row r="120" spans="7:7">
      <c r="G120" s="59" t="s">
        <v>120</v>
      </c>
    </row>
    <row r="121" spans="7:7">
      <c r="G121" s="64" t="s">
        <v>105</v>
      </c>
    </row>
  </sheetData>
  <hyperlinks>
    <hyperlink ref="B2" r:id="rId1"/>
    <hyperlink ref="G2" r:id="rId2"/>
    <hyperlink ref="B3" r:id="rId3"/>
    <hyperlink ref="G3" r:id="rId4"/>
    <hyperlink ref="B4" r:id="rId5"/>
    <hyperlink ref="G4" r:id="rId6"/>
    <hyperlink ref="B5" r:id="rId7"/>
    <hyperlink ref="G5" r:id="rId8"/>
    <hyperlink ref="B6" r:id="rId9"/>
    <hyperlink ref="G6" r:id="rId10"/>
    <hyperlink ref="B7" r:id="rId11"/>
    <hyperlink ref="G7" r:id="rId12"/>
    <hyperlink ref="B8" r:id="rId13"/>
    <hyperlink ref="G8" r:id="rId14"/>
    <hyperlink ref="B9" r:id="rId15"/>
    <hyperlink ref="G9" r:id="rId16"/>
    <hyperlink ref="B10" r:id="rId17"/>
    <hyperlink ref="G10" r:id="rId18"/>
    <hyperlink ref="B11" r:id="rId19"/>
    <hyperlink ref="G11" r:id="rId20"/>
    <hyperlink ref="B12" r:id="rId21"/>
    <hyperlink ref="G12" r:id="rId22"/>
    <hyperlink ref="B13" r:id="rId23"/>
    <hyperlink ref="G13" r:id="rId24"/>
    <hyperlink ref="B14" r:id="rId25"/>
    <hyperlink ref="G14" r:id="rId26"/>
    <hyperlink ref="B15" r:id="rId27"/>
    <hyperlink ref="G15" r:id="rId28"/>
    <hyperlink ref="B16" r:id="rId29"/>
    <hyperlink ref="G16" r:id="rId30"/>
    <hyperlink ref="B17" r:id="rId31"/>
    <hyperlink ref="G17" r:id="rId32"/>
    <hyperlink ref="B18" r:id="rId33"/>
    <hyperlink ref="G18" r:id="rId34"/>
    <hyperlink ref="B19" r:id="rId35"/>
    <hyperlink ref="G19" r:id="rId36"/>
    <hyperlink ref="B20" r:id="rId37"/>
    <hyperlink ref="G20" r:id="rId38"/>
    <hyperlink ref="B21" r:id="rId39"/>
    <hyperlink ref="G21" r:id="rId40"/>
    <hyperlink ref="B22" r:id="rId41"/>
    <hyperlink ref="G22" r:id="rId42"/>
    <hyperlink ref="B23" r:id="rId43"/>
    <hyperlink ref="G23" r:id="rId44"/>
    <hyperlink ref="B24" r:id="rId45"/>
    <hyperlink ref="G24" r:id="rId46"/>
    <hyperlink ref="B25" r:id="rId47"/>
    <hyperlink ref="G25" r:id="rId48"/>
    <hyperlink ref="B26" r:id="rId49"/>
    <hyperlink ref="G26" r:id="rId50"/>
    <hyperlink ref="B27" r:id="rId51"/>
    <hyperlink ref="G27" r:id="rId52"/>
    <hyperlink ref="B28" r:id="rId53"/>
    <hyperlink ref="G28" r:id="rId54"/>
    <hyperlink ref="B29" r:id="rId55"/>
    <hyperlink ref="G29" r:id="rId56"/>
    <hyperlink ref="B30" r:id="rId57"/>
    <hyperlink ref="G30" r:id="rId58"/>
    <hyperlink ref="B31" r:id="rId59"/>
    <hyperlink ref="G31" r:id="rId60"/>
    <hyperlink ref="B32" r:id="rId61"/>
    <hyperlink ref="G32" r:id="rId62"/>
    <hyperlink ref="B33" r:id="rId63"/>
    <hyperlink ref="G33" r:id="rId64"/>
    <hyperlink ref="B34" r:id="rId65"/>
    <hyperlink ref="G34" r:id="rId66"/>
    <hyperlink ref="B35" r:id="rId67"/>
    <hyperlink ref="G35" r:id="rId68"/>
    <hyperlink ref="B36" r:id="rId69"/>
    <hyperlink ref="G36" r:id="rId70"/>
    <hyperlink ref="B37" r:id="rId71"/>
    <hyperlink ref="G37" r:id="rId72"/>
    <hyperlink ref="B38" r:id="rId73"/>
    <hyperlink ref="G38" r:id="rId74"/>
    <hyperlink ref="B39" r:id="rId75"/>
    <hyperlink ref="G39" r:id="rId76"/>
    <hyperlink ref="B40" r:id="rId77"/>
    <hyperlink ref="G40" r:id="rId78"/>
    <hyperlink ref="B41" r:id="rId79"/>
    <hyperlink ref="G41" r:id="rId80"/>
    <hyperlink ref="B42" r:id="rId81"/>
    <hyperlink ref="G42" r:id="rId82"/>
    <hyperlink ref="B43" r:id="rId83"/>
    <hyperlink ref="G43" r:id="rId84"/>
    <hyperlink ref="B44" r:id="rId85"/>
    <hyperlink ref="G44" r:id="rId86"/>
    <hyperlink ref="B45" r:id="rId87"/>
    <hyperlink ref="G45" r:id="rId88"/>
    <hyperlink ref="B46" r:id="rId89"/>
    <hyperlink ref="G46" r:id="rId90"/>
    <hyperlink ref="B47" r:id="rId91"/>
    <hyperlink ref="G47" r:id="rId92"/>
    <hyperlink ref="B48" r:id="rId93"/>
    <hyperlink ref="G48" r:id="rId94"/>
    <hyperlink ref="B49" r:id="rId95"/>
    <hyperlink ref="G49" r:id="rId96"/>
    <hyperlink ref="B50" r:id="rId97"/>
    <hyperlink ref="G50" r:id="rId98"/>
    <hyperlink ref="B51" r:id="rId99"/>
    <hyperlink ref="G51" r:id="rId100"/>
    <hyperlink ref="G52" r:id="rId101"/>
    <hyperlink ref="G53" r:id="rId102"/>
    <hyperlink ref="G54" r:id="rId103"/>
    <hyperlink ref="G55" r:id="rId104"/>
    <hyperlink ref="G56" r:id="rId105"/>
    <hyperlink ref="G57" r:id="rId106"/>
    <hyperlink ref="G58" r:id="rId107"/>
    <hyperlink ref="G59" r:id="rId108"/>
    <hyperlink ref="G60" r:id="rId109"/>
    <hyperlink ref="G61" r:id="rId110"/>
    <hyperlink ref="G62" r:id="rId111"/>
    <hyperlink ref="G63" r:id="rId112"/>
    <hyperlink ref="G64" r:id="rId113"/>
    <hyperlink ref="G65" r:id="rId114"/>
    <hyperlink ref="G66" r:id="rId115"/>
    <hyperlink ref="G67" r:id="rId116"/>
    <hyperlink ref="G68" r:id="rId117"/>
    <hyperlink ref="G69" r:id="rId118"/>
    <hyperlink ref="G70" r:id="rId119"/>
    <hyperlink ref="G71" r:id="rId120"/>
    <hyperlink ref="G72" r:id="rId121"/>
    <hyperlink ref="G73" r:id="rId122"/>
    <hyperlink ref="G74" r:id="rId123"/>
    <hyperlink ref="G75" r:id="rId124"/>
    <hyperlink ref="G76" r:id="rId125"/>
    <hyperlink ref="G77" r:id="rId126"/>
    <hyperlink ref="G78" r:id="rId127"/>
    <hyperlink ref="G79" r:id="rId128"/>
    <hyperlink ref="G80" r:id="rId129"/>
    <hyperlink ref="G81" r:id="rId130"/>
    <hyperlink ref="G82" r:id="rId131"/>
    <hyperlink ref="G83" r:id="rId132"/>
    <hyperlink ref="G84" r:id="rId133"/>
    <hyperlink ref="G85" r:id="rId134"/>
    <hyperlink ref="G86" r:id="rId135"/>
    <hyperlink ref="G87" r:id="rId136"/>
    <hyperlink ref="G88" r:id="rId137"/>
    <hyperlink ref="G89" r:id="rId138"/>
    <hyperlink ref="G90" r:id="rId139"/>
    <hyperlink ref="G91" r:id="rId140"/>
    <hyperlink ref="G92" r:id="rId141"/>
    <hyperlink ref="G93" r:id="rId142"/>
    <hyperlink ref="G94" r:id="rId143"/>
    <hyperlink ref="G95" r:id="rId144"/>
    <hyperlink ref="G96" r:id="rId145"/>
    <hyperlink ref="G97" r:id="rId146"/>
    <hyperlink ref="G98" r:id="rId147"/>
    <hyperlink ref="G99" r:id="rId148"/>
    <hyperlink ref="G100" r:id="rId149"/>
    <hyperlink ref="G101" r:id="rId150"/>
    <hyperlink ref="G102" r:id="rId151"/>
    <hyperlink ref="G103" r:id="rId152"/>
    <hyperlink ref="G104" r:id="rId153"/>
    <hyperlink ref="G105" r:id="rId154"/>
    <hyperlink ref="G106" r:id="rId155"/>
    <hyperlink ref="G107" r:id="rId156"/>
    <hyperlink ref="G108" r:id="rId157"/>
    <hyperlink ref="G109" r:id="rId158"/>
    <hyperlink ref="G110" r:id="rId159"/>
    <hyperlink ref="G111" r:id="rId160"/>
    <hyperlink ref="G112" r:id="rId161"/>
    <hyperlink ref="G113" r:id="rId162"/>
    <hyperlink ref="G114" r:id="rId163"/>
    <hyperlink ref="G115" r:id="rId164"/>
    <hyperlink ref="G116" r:id="rId165"/>
    <hyperlink ref="G117" r:id="rId166"/>
    <hyperlink ref="G118" r:id="rId167"/>
    <hyperlink ref="G119" r:id="rId168"/>
    <hyperlink ref="G120" r:id="rId169"/>
    <hyperlink ref="G121" r:id="rId170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449"/>
  <sheetViews>
    <sheetView topLeftCell="A285" workbookViewId="0">
      <selection activeCell="A125" sqref="A125"/>
    </sheetView>
  </sheetViews>
  <sheetFormatPr defaultColWidth="14.44140625" defaultRowHeight="15.75" customHeight="1"/>
  <cols>
    <col min="2" max="2" width="41" customWidth="1"/>
    <col min="5" max="5" width="22.5546875" customWidth="1"/>
  </cols>
  <sheetData>
    <row r="1" spans="1:5">
      <c r="A1" s="60">
        <v>1</v>
      </c>
      <c r="B1" s="79" t="s">
        <v>43</v>
      </c>
      <c r="C1" s="48" t="s">
        <v>136</v>
      </c>
      <c r="D1" s="48" t="str">
        <f>VLOOKUP(C1,'State Abbreviations'!A:B,2)</f>
        <v>Florida</v>
      </c>
      <c r="E1" s="48" t="s">
        <v>135</v>
      </c>
    </row>
    <row r="2" spans="1:5">
      <c r="A2" s="60">
        <v>1</v>
      </c>
      <c r="B2" s="79" t="s">
        <v>43</v>
      </c>
      <c r="C2" s="48" t="s">
        <v>136</v>
      </c>
      <c r="D2" s="48" t="str">
        <f>VLOOKUP(C2,'State Abbreviations'!A:B,2)</f>
        <v>Florida</v>
      </c>
      <c r="E2" s="48" t="s">
        <v>135</v>
      </c>
    </row>
    <row r="3" spans="1:5">
      <c r="A3" s="60">
        <v>1</v>
      </c>
      <c r="B3" s="79" t="s">
        <v>43</v>
      </c>
      <c r="C3" s="48" t="s">
        <v>136</v>
      </c>
      <c r="D3" s="48" t="str">
        <f>VLOOKUP(C3,'State Abbreviations'!A:B,2)</f>
        <v>Florida</v>
      </c>
      <c r="E3" s="48" t="s">
        <v>135</v>
      </c>
    </row>
    <row r="4" spans="1:5">
      <c r="A4" s="60">
        <v>1</v>
      </c>
      <c r="B4" s="79" t="s">
        <v>43</v>
      </c>
      <c r="C4" s="48" t="s">
        <v>136</v>
      </c>
      <c r="D4" s="48" t="str">
        <f>VLOOKUP(C4,'State Abbreviations'!A:B,2)</f>
        <v>Florida</v>
      </c>
      <c r="E4" s="48" t="s">
        <v>135</v>
      </c>
    </row>
    <row r="5" spans="1:5">
      <c r="A5" s="60">
        <v>1</v>
      </c>
      <c r="B5" s="79" t="s">
        <v>43</v>
      </c>
      <c r="C5" s="48" t="s">
        <v>136</v>
      </c>
      <c r="D5" s="48" t="str">
        <f>VLOOKUP(C5,'State Abbreviations'!A:B,2)</f>
        <v>Florida</v>
      </c>
      <c r="E5" s="48" t="s">
        <v>135</v>
      </c>
    </row>
    <row r="6" spans="1:5">
      <c r="A6" s="65">
        <v>2</v>
      </c>
      <c r="B6" s="80" t="s">
        <v>51</v>
      </c>
      <c r="C6" s="52" t="s">
        <v>588</v>
      </c>
      <c r="D6" s="48" t="str">
        <f>VLOOKUP(C6,'State Abbreviations'!A:B,2)</f>
        <v>California</v>
      </c>
      <c r="E6" s="81" t="s">
        <v>589</v>
      </c>
    </row>
    <row r="7" spans="1:5">
      <c r="A7" s="65">
        <v>2</v>
      </c>
      <c r="B7" s="80" t="s">
        <v>51</v>
      </c>
      <c r="C7" s="52" t="s">
        <v>588</v>
      </c>
      <c r="D7" s="48" t="str">
        <f>VLOOKUP(C7,'State Abbreviations'!A:B,2)</f>
        <v>California</v>
      </c>
      <c r="E7" s="81" t="s">
        <v>589</v>
      </c>
    </row>
    <row r="8" spans="1:5">
      <c r="A8" s="65">
        <v>2</v>
      </c>
      <c r="B8" s="80" t="s">
        <v>51</v>
      </c>
      <c r="C8" s="52" t="s">
        <v>588</v>
      </c>
      <c r="D8" s="48" t="str">
        <f>VLOOKUP(C8,'State Abbreviations'!A:B,2)</f>
        <v>California</v>
      </c>
      <c r="E8" s="81" t="s">
        <v>589</v>
      </c>
    </row>
    <row r="9" spans="1:5">
      <c r="A9" s="65">
        <v>2</v>
      </c>
      <c r="B9" s="80" t="s">
        <v>51</v>
      </c>
      <c r="C9" s="52" t="s">
        <v>588</v>
      </c>
      <c r="D9" s="48" t="str">
        <f>VLOOKUP(C9,'State Abbreviations'!A:B,2)</f>
        <v>California</v>
      </c>
      <c r="E9" s="81" t="s">
        <v>589</v>
      </c>
    </row>
    <row r="10" spans="1:5">
      <c r="A10" s="65">
        <v>2</v>
      </c>
      <c r="B10" s="80" t="s">
        <v>51</v>
      </c>
      <c r="C10" s="52" t="s">
        <v>588</v>
      </c>
      <c r="D10" s="48" t="str">
        <f>VLOOKUP(C10,'State Abbreviations'!A:B,2)</f>
        <v>California</v>
      </c>
      <c r="E10" s="81" t="s">
        <v>589</v>
      </c>
    </row>
    <row r="11" spans="1:5">
      <c r="A11" s="60">
        <v>3</v>
      </c>
      <c r="B11" s="79" t="s">
        <v>42</v>
      </c>
      <c r="C11" s="48" t="s">
        <v>590</v>
      </c>
      <c r="D11" s="48" t="str">
        <f>VLOOKUP(C11,'State Abbreviations'!A:B,2)</f>
        <v>Louisiana</v>
      </c>
      <c r="E11" s="82" t="s">
        <v>591</v>
      </c>
    </row>
    <row r="12" spans="1:5">
      <c r="A12" s="60">
        <v>3</v>
      </c>
      <c r="B12" s="79" t="s">
        <v>42</v>
      </c>
      <c r="C12" s="48" t="s">
        <v>590</v>
      </c>
      <c r="D12" s="48" t="str">
        <f>VLOOKUP(C12,'State Abbreviations'!A:B,2)</f>
        <v>Louisiana</v>
      </c>
      <c r="E12" s="82" t="s">
        <v>591</v>
      </c>
    </row>
    <row r="13" spans="1:5">
      <c r="A13" s="60">
        <v>3</v>
      </c>
      <c r="B13" s="79" t="s">
        <v>42</v>
      </c>
      <c r="C13" s="48" t="s">
        <v>590</v>
      </c>
      <c r="D13" s="48" t="str">
        <f>VLOOKUP(C13,'State Abbreviations'!A:B,2)</f>
        <v>Louisiana</v>
      </c>
      <c r="E13" s="82" t="s">
        <v>591</v>
      </c>
    </row>
    <row r="14" spans="1:5">
      <c r="A14" s="60">
        <v>3</v>
      </c>
      <c r="B14" s="79" t="s">
        <v>42</v>
      </c>
      <c r="C14" s="48" t="s">
        <v>590</v>
      </c>
      <c r="D14" s="48" t="str">
        <f>VLOOKUP(C14,'State Abbreviations'!A:B,2)</f>
        <v>Louisiana</v>
      </c>
      <c r="E14" s="82" t="s">
        <v>591</v>
      </c>
    </row>
    <row r="15" spans="1:5">
      <c r="A15" s="60">
        <v>3</v>
      </c>
      <c r="B15" s="79" t="s">
        <v>42</v>
      </c>
      <c r="C15" s="48" t="s">
        <v>590</v>
      </c>
      <c r="D15" s="48" t="str">
        <f>VLOOKUP(C15,'State Abbreviations'!A:B,2)</f>
        <v>Louisiana</v>
      </c>
      <c r="E15" s="82" t="s">
        <v>591</v>
      </c>
    </row>
    <row r="16" spans="1:5">
      <c r="A16" s="65">
        <v>4</v>
      </c>
      <c r="B16" s="80" t="s">
        <v>36</v>
      </c>
      <c r="C16" s="65" t="s">
        <v>593</v>
      </c>
      <c r="D16" s="48" t="str">
        <f>VLOOKUP(C16,'State Abbreviations'!A:B,2)</f>
        <v>North Dakota</v>
      </c>
      <c r="E16" s="81" t="s">
        <v>315</v>
      </c>
    </row>
    <row r="17" spans="1:5">
      <c r="A17" s="65">
        <v>4</v>
      </c>
      <c r="B17" s="80" t="s">
        <v>36</v>
      </c>
      <c r="C17" s="65" t="s">
        <v>593</v>
      </c>
      <c r="D17" s="48" t="str">
        <f>VLOOKUP(C17,'State Abbreviations'!A:B,2)</f>
        <v>North Dakota</v>
      </c>
      <c r="E17" s="81" t="s">
        <v>315</v>
      </c>
    </row>
    <row r="18" spans="1:5">
      <c r="A18" s="65">
        <v>4</v>
      </c>
      <c r="B18" s="80" t="s">
        <v>36</v>
      </c>
      <c r="C18" s="65" t="s">
        <v>593</v>
      </c>
      <c r="D18" s="48" t="str">
        <f>VLOOKUP(C18,'State Abbreviations'!A:B,2)</f>
        <v>North Dakota</v>
      </c>
      <c r="E18" s="81" t="s">
        <v>315</v>
      </c>
    </row>
    <row r="19" spans="1:5">
      <c r="A19" s="65">
        <v>4</v>
      </c>
      <c r="B19" s="80" t="s">
        <v>36</v>
      </c>
      <c r="C19" s="65" t="s">
        <v>593</v>
      </c>
      <c r="D19" s="48" t="str">
        <f>VLOOKUP(C19,'State Abbreviations'!A:B,2)</f>
        <v>North Dakota</v>
      </c>
      <c r="E19" s="81" t="s">
        <v>315</v>
      </c>
    </row>
    <row r="20" spans="1:5">
      <c r="A20" s="65">
        <v>4</v>
      </c>
      <c r="B20" s="80" t="s">
        <v>36</v>
      </c>
      <c r="C20" s="65" t="s">
        <v>593</v>
      </c>
      <c r="D20" s="48" t="str">
        <f>VLOOKUP(C20,'State Abbreviations'!A:B,2)</f>
        <v>North Dakota</v>
      </c>
      <c r="E20" s="81" t="s">
        <v>315</v>
      </c>
    </row>
    <row r="21" spans="1:5">
      <c r="A21" s="60">
        <v>5</v>
      </c>
      <c r="B21" s="79" t="s">
        <v>60</v>
      </c>
      <c r="C21" s="60" t="s">
        <v>588</v>
      </c>
      <c r="D21" s="48" t="str">
        <f>VLOOKUP(C21,'State Abbreviations'!A:B,2)</f>
        <v>California</v>
      </c>
      <c r="E21" s="82" t="s">
        <v>348</v>
      </c>
    </row>
    <row r="22" spans="1:5">
      <c r="A22" s="60">
        <v>5</v>
      </c>
      <c r="B22" s="79" t="s">
        <v>60</v>
      </c>
      <c r="C22" s="60" t="s">
        <v>588</v>
      </c>
      <c r="D22" s="48" t="str">
        <f>VLOOKUP(C22,'State Abbreviations'!A:B,2)</f>
        <v>California</v>
      </c>
      <c r="E22" s="82" t="s">
        <v>348</v>
      </c>
    </row>
    <row r="23" spans="1:5">
      <c r="A23" s="60">
        <v>5</v>
      </c>
      <c r="B23" s="79" t="s">
        <v>60</v>
      </c>
      <c r="C23" s="60" t="s">
        <v>588</v>
      </c>
      <c r="D23" s="48" t="str">
        <f>VLOOKUP(C23,'State Abbreviations'!A:B,2)</f>
        <v>California</v>
      </c>
      <c r="E23" s="82" t="s">
        <v>348</v>
      </c>
    </row>
    <row r="24" spans="1:5">
      <c r="A24" s="60">
        <v>5</v>
      </c>
      <c r="B24" s="79" t="s">
        <v>60</v>
      </c>
      <c r="C24" s="60" t="s">
        <v>588</v>
      </c>
      <c r="D24" s="48" t="str">
        <f>VLOOKUP(C24,'State Abbreviations'!A:B,2)</f>
        <v>California</v>
      </c>
      <c r="E24" s="82" t="s">
        <v>348</v>
      </c>
    </row>
    <row r="25" spans="1:5">
      <c r="A25" s="60">
        <v>5</v>
      </c>
      <c r="B25" s="79" t="s">
        <v>60</v>
      </c>
      <c r="C25" s="60" t="s">
        <v>588</v>
      </c>
      <c r="D25" s="48" t="str">
        <f>VLOOKUP(C25,'State Abbreviations'!A:B,2)</f>
        <v>California</v>
      </c>
      <c r="E25" s="82" t="s">
        <v>348</v>
      </c>
    </row>
    <row r="26" spans="1:5">
      <c r="A26" s="65">
        <v>6</v>
      </c>
      <c r="B26" s="80" t="s">
        <v>73</v>
      </c>
      <c r="C26" s="65" t="s">
        <v>588</v>
      </c>
      <c r="D26" s="48" t="str">
        <f>VLOOKUP(C26,'State Abbreviations'!A:B,2)</f>
        <v>California</v>
      </c>
      <c r="E26" s="81" t="s">
        <v>323</v>
      </c>
    </row>
    <row r="27" spans="1:5">
      <c r="A27" s="65">
        <v>6</v>
      </c>
      <c r="B27" s="80" t="s">
        <v>73</v>
      </c>
      <c r="C27" s="65" t="s">
        <v>588</v>
      </c>
      <c r="D27" s="48" t="str">
        <f>VLOOKUP(C27,'State Abbreviations'!A:B,2)</f>
        <v>California</v>
      </c>
      <c r="E27" s="81" t="s">
        <v>323</v>
      </c>
    </row>
    <row r="28" spans="1:5">
      <c r="A28" s="65">
        <v>6</v>
      </c>
      <c r="B28" s="80" t="s">
        <v>73</v>
      </c>
      <c r="C28" s="65" t="s">
        <v>588</v>
      </c>
      <c r="D28" s="48" t="str">
        <f>VLOOKUP(C28,'State Abbreviations'!A:B,2)</f>
        <v>California</v>
      </c>
      <c r="E28" s="81" t="s">
        <v>323</v>
      </c>
    </row>
    <row r="29" spans="1:5">
      <c r="A29" s="65">
        <v>6</v>
      </c>
      <c r="B29" s="80" t="s">
        <v>73</v>
      </c>
      <c r="C29" s="65" t="s">
        <v>588</v>
      </c>
      <c r="D29" s="48" t="str">
        <f>VLOOKUP(C29,'State Abbreviations'!A:B,2)</f>
        <v>California</v>
      </c>
      <c r="E29" s="81" t="s">
        <v>323</v>
      </c>
    </row>
    <row r="30" spans="1:5">
      <c r="A30" s="65">
        <v>6</v>
      </c>
      <c r="B30" s="80" t="s">
        <v>73</v>
      </c>
      <c r="C30" s="65" t="s">
        <v>588</v>
      </c>
      <c r="D30" s="48" t="str">
        <f>VLOOKUP(C30,'State Abbreviations'!A:B,2)</f>
        <v>California</v>
      </c>
      <c r="E30" s="81" t="s">
        <v>323</v>
      </c>
    </row>
    <row r="31" spans="1:5">
      <c r="A31" s="60">
        <v>7</v>
      </c>
      <c r="B31" s="79" t="s">
        <v>41</v>
      </c>
      <c r="C31" s="60" t="s">
        <v>595</v>
      </c>
      <c r="D31" s="48" t="str">
        <f>VLOOKUP(C31,'State Abbreviations'!A:B,2)</f>
        <v>Texas</v>
      </c>
      <c r="E31" s="82" t="s">
        <v>41</v>
      </c>
    </row>
    <row r="32" spans="1:5">
      <c r="A32" s="60">
        <v>7</v>
      </c>
      <c r="B32" s="79" t="s">
        <v>41</v>
      </c>
      <c r="C32" s="60" t="s">
        <v>595</v>
      </c>
      <c r="D32" s="48" t="str">
        <f>VLOOKUP(C32,'State Abbreviations'!A:B,2)</f>
        <v>Texas</v>
      </c>
      <c r="E32" s="82" t="s">
        <v>41</v>
      </c>
    </row>
    <row r="33" spans="1:5">
      <c r="A33" s="60">
        <v>7</v>
      </c>
      <c r="B33" s="79" t="s">
        <v>41</v>
      </c>
      <c r="C33" s="60" t="s">
        <v>595</v>
      </c>
      <c r="D33" s="48" t="str">
        <f>VLOOKUP(C33,'State Abbreviations'!A:B,2)</f>
        <v>Texas</v>
      </c>
      <c r="E33" s="82" t="s">
        <v>41</v>
      </c>
    </row>
    <row r="34" spans="1:5">
      <c r="A34" s="60">
        <v>7</v>
      </c>
      <c r="B34" s="79" t="s">
        <v>41</v>
      </c>
      <c r="C34" s="60" t="s">
        <v>595</v>
      </c>
      <c r="D34" s="48" t="str">
        <f>VLOOKUP(C34,'State Abbreviations'!A:B,2)</f>
        <v>Texas</v>
      </c>
      <c r="E34" s="82" t="s">
        <v>41</v>
      </c>
    </row>
    <row r="35" spans="1:5">
      <c r="A35" s="60">
        <v>7</v>
      </c>
      <c r="B35" s="79" t="s">
        <v>41</v>
      </c>
      <c r="C35" s="60" t="s">
        <v>595</v>
      </c>
      <c r="D35" s="48" t="str">
        <f>VLOOKUP(C35,'State Abbreviations'!A:B,2)</f>
        <v>Texas</v>
      </c>
      <c r="E35" s="82" t="s">
        <v>41</v>
      </c>
    </row>
    <row r="36" spans="1:5">
      <c r="A36" s="65">
        <v>8</v>
      </c>
      <c r="B36" s="80" t="s">
        <v>86</v>
      </c>
      <c r="C36" s="65" t="s">
        <v>588</v>
      </c>
      <c r="D36" s="48" t="str">
        <f>VLOOKUP(C36,'State Abbreviations'!A:B,2)</f>
        <v>California</v>
      </c>
      <c r="E36" s="52" t="s">
        <v>446</v>
      </c>
    </row>
    <row r="37" spans="1:5">
      <c r="A37" s="65">
        <v>8</v>
      </c>
      <c r="B37" s="80" t="s">
        <v>86</v>
      </c>
      <c r="C37" s="65" t="s">
        <v>588</v>
      </c>
      <c r="D37" s="48" t="str">
        <f>VLOOKUP(C37,'State Abbreviations'!A:B,2)</f>
        <v>California</v>
      </c>
      <c r="E37" s="52" t="s">
        <v>446</v>
      </c>
    </row>
    <row r="38" spans="1:5">
      <c r="A38" s="65">
        <v>8</v>
      </c>
      <c r="B38" s="80" t="s">
        <v>86</v>
      </c>
      <c r="C38" s="65" t="s">
        <v>588</v>
      </c>
      <c r="D38" s="48" t="str">
        <f>VLOOKUP(C38,'State Abbreviations'!A:B,2)</f>
        <v>California</v>
      </c>
      <c r="E38" s="52" t="s">
        <v>446</v>
      </c>
    </row>
    <row r="39" spans="1:5">
      <c r="A39" s="65">
        <v>8</v>
      </c>
      <c r="B39" s="80" t="s">
        <v>86</v>
      </c>
      <c r="C39" s="65" t="s">
        <v>588</v>
      </c>
      <c r="D39" s="48" t="str">
        <f>VLOOKUP(C39,'State Abbreviations'!A:B,2)</f>
        <v>California</v>
      </c>
      <c r="E39" s="52" t="s">
        <v>446</v>
      </c>
    </row>
    <row r="40" spans="1:5">
      <c r="A40" s="65">
        <v>8</v>
      </c>
      <c r="B40" s="80" t="s">
        <v>86</v>
      </c>
      <c r="C40" s="65" t="s">
        <v>588</v>
      </c>
      <c r="D40" s="48" t="str">
        <f>VLOOKUP(C40,'State Abbreviations'!A:B,2)</f>
        <v>California</v>
      </c>
      <c r="E40" s="52" t="s">
        <v>446</v>
      </c>
    </row>
    <row r="41" spans="1:5">
      <c r="A41" s="60">
        <v>9</v>
      </c>
      <c r="B41" s="79" t="s">
        <v>102</v>
      </c>
      <c r="C41" s="60" t="s">
        <v>588</v>
      </c>
      <c r="D41" s="48" t="str">
        <f>VLOOKUP(C41,'State Abbreviations'!A:B,2)</f>
        <v>California</v>
      </c>
      <c r="E41" s="82" t="s">
        <v>597</v>
      </c>
    </row>
    <row r="42" spans="1:5">
      <c r="A42" s="60">
        <v>9</v>
      </c>
      <c r="B42" s="79" t="s">
        <v>102</v>
      </c>
      <c r="C42" s="60" t="s">
        <v>588</v>
      </c>
      <c r="D42" s="48" t="str">
        <f>VLOOKUP(C42,'State Abbreviations'!A:B,2)</f>
        <v>California</v>
      </c>
      <c r="E42" s="82" t="s">
        <v>597</v>
      </c>
    </row>
    <row r="43" spans="1:5">
      <c r="A43" s="60">
        <v>9</v>
      </c>
      <c r="B43" s="79" t="s">
        <v>102</v>
      </c>
      <c r="C43" s="60" t="s">
        <v>588</v>
      </c>
      <c r="D43" s="48" t="str">
        <f>VLOOKUP(C43,'State Abbreviations'!A:B,2)</f>
        <v>California</v>
      </c>
      <c r="E43" s="82" t="s">
        <v>597</v>
      </c>
    </row>
    <row r="44" spans="1:5">
      <c r="A44" s="60">
        <v>9</v>
      </c>
      <c r="B44" s="79" t="s">
        <v>102</v>
      </c>
      <c r="C44" s="60" t="s">
        <v>588</v>
      </c>
      <c r="D44" s="48" t="str">
        <f>VLOOKUP(C44,'State Abbreviations'!A:B,2)</f>
        <v>California</v>
      </c>
      <c r="E44" s="82" t="s">
        <v>597</v>
      </c>
    </row>
    <row r="45" spans="1:5">
      <c r="A45" s="60">
        <v>9</v>
      </c>
      <c r="B45" s="79" t="s">
        <v>102</v>
      </c>
      <c r="C45" s="60" t="s">
        <v>588</v>
      </c>
      <c r="D45" s="48" t="str">
        <f>VLOOKUP(C45,'State Abbreviations'!A:B,2)</f>
        <v>California</v>
      </c>
      <c r="E45" s="82" t="s">
        <v>597</v>
      </c>
    </row>
    <row r="46" spans="1:5">
      <c r="A46" s="65">
        <v>10</v>
      </c>
      <c r="B46" s="80" t="s">
        <v>57</v>
      </c>
      <c r="C46" s="65" t="s">
        <v>598</v>
      </c>
      <c r="D46" s="48" t="str">
        <f>VLOOKUP(C46,'State Abbreviations'!A:B,2)</f>
        <v>Georgia</v>
      </c>
      <c r="E46" s="65" t="s">
        <v>599</v>
      </c>
    </row>
    <row r="47" spans="1:5">
      <c r="A47" s="65">
        <v>10</v>
      </c>
      <c r="B47" s="80" t="s">
        <v>57</v>
      </c>
      <c r="C47" s="65" t="s">
        <v>598</v>
      </c>
      <c r="D47" s="48" t="str">
        <f>VLOOKUP(C47,'State Abbreviations'!A:B,2)</f>
        <v>Georgia</v>
      </c>
      <c r="E47" s="65" t="s">
        <v>599</v>
      </c>
    </row>
    <row r="48" spans="1:5">
      <c r="A48" s="65">
        <v>10</v>
      </c>
      <c r="B48" s="80" t="s">
        <v>57</v>
      </c>
      <c r="C48" s="65" t="s">
        <v>598</v>
      </c>
      <c r="D48" s="48" t="str">
        <f>VLOOKUP(C48,'State Abbreviations'!A:B,2)</f>
        <v>Georgia</v>
      </c>
      <c r="E48" s="65" t="s">
        <v>599</v>
      </c>
    </row>
    <row r="49" spans="1:5">
      <c r="A49" s="65">
        <v>10</v>
      </c>
      <c r="B49" s="80" t="s">
        <v>57</v>
      </c>
      <c r="C49" s="65" t="s">
        <v>598</v>
      </c>
      <c r="D49" s="48" t="str">
        <f>VLOOKUP(C49,'State Abbreviations'!A:B,2)</f>
        <v>Georgia</v>
      </c>
      <c r="E49" s="65" t="s">
        <v>599</v>
      </c>
    </row>
    <row r="50" spans="1:5">
      <c r="A50" s="65">
        <v>10</v>
      </c>
      <c r="B50" s="80" t="s">
        <v>57</v>
      </c>
      <c r="C50" s="65" t="s">
        <v>598</v>
      </c>
      <c r="D50" s="48" t="str">
        <f>VLOOKUP(C50,'State Abbreviations'!A:B,2)</f>
        <v>Georgia</v>
      </c>
      <c r="E50" s="65" t="s">
        <v>599</v>
      </c>
    </row>
    <row r="51" spans="1:5">
      <c r="A51" s="60">
        <v>11</v>
      </c>
      <c r="B51" s="79" t="s">
        <v>37</v>
      </c>
      <c r="C51" s="60" t="s">
        <v>183</v>
      </c>
      <c r="D51" s="48" t="str">
        <f>VLOOKUP(C51,'State Abbreviations'!A:B,2)</f>
        <v>North Dakota</v>
      </c>
      <c r="E51" s="82" t="s">
        <v>601</v>
      </c>
    </row>
    <row r="52" spans="1:5">
      <c r="A52" s="60">
        <v>11</v>
      </c>
      <c r="B52" s="79" t="s">
        <v>37</v>
      </c>
      <c r="C52" s="60" t="s">
        <v>183</v>
      </c>
      <c r="D52" s="48" t="str">
        <f>VLOOKUP(C52,'State Abbreviations'!A:B,2)</f>
        <v>North Dakota</v>
      </c>
      <c r="E52" s="82" t="s">
        <v>601</v>
      </c>
    </row>
    <row r="53" spans="1:5">
      <c r="A53" s="60">
        <v>11</v>
      </c>
      <c r="B53" s="79" t="s">
        <v>37</v>
      </c>
      <c r="C53" s="60" t="s">
        <v>183</v>
      </c>
      <c r="D53" s="48" t="str">
        <f>VLOOKUP(C53,'State Abbreviations'!A:B,2)</f>
        <v>North Dakota</v>
      </c>
      <c r="E53" s="82" t="s">
        <v>601</v>
      </c>
    </row>
    <row r="54" spans="1:5">
      <c r="A54" s="60">
        <v>11</v>
      </c>
      <c r="B54" s="79" t="s">
        <v>37</v>
      </c>
      <c r="C54" s="60" t="s">
        <v>183</v>
      </c>
      <c r="D54" s="48" t="str">
        <f>VLOOKUP(C54,'State Abbreviations'!A:B,2)</f>
        <v>North Dakota</v>
      </c>
      <c r="E54" s="82" t="s">
        <v>601</v>
      </c>
    </row>
    <row r="55" spans="1:5">
      <c r="A55" s="60">
        <v>11</v>
      </c>
      <c r="B55" s="79" t="s">
        <v>37</v>
      </c>
      <c r="C55" s="60" t="s">
        <v>183</v>
      </c>
      <c r="D55" s="48" t="str">
        <f>VLOOKUP(C55,'State Abbreviations'!A:B,2)</f>
        <v>North Dakota</v>
      </c>
      <c r="E55" s="82" t="s">
        <v>601</v>
      </c>
    </row>
    <row r="56" spans="1:5">
      <c r="A56" s="65">
        <v>12</v>
      </c>
      <c r="B56" s="80" t="s">
        <v>55</v>
      </c>
      <c r="C56" s="65" t="s">
        <v>602</v>
      </c>
      <c r="D56" s="48" t="str">
        <f>VLOOKUP(C56,'State Abbreviations'!A:B,2)</f>
        <v>Utah</v>
      </c>
      <c r="E56" s="81" t="s">
        <v>603</v>
      </c>
    </row>
    <row r="57" spans="1:5">
      <c r="A57" s="65">
        <v>12</v>
      </c>
      <c r="B57" s="80" t="s">
        <v>55</v>
      </c>
      <c r="C57" s="65" t="s">
        <v>602</v>
      </c>
      <c r="D57" s="48" t="str">
        <f>VLOOKUP(C57,'State Abbreviations'!A:B,2)</f>
        <v>Utah</v>
      </c>
      <c r="E57" s="81" t="s">
        <v>603</v>
      </c>
    </row>
    <row r="58" spans="1:5">
      <c r="A58" s="65">
        <v>12</v>
      </c>
      <c r="B58" s="80" t="s">
        <v>55</v>
      </c>
      <c r="C58" s="65" t="s">
        <v>602</v>
      </c>
      <c r="D58" s="48" t="str">
        <f>VLOOKUP(C58,'State Abbreviations'!A:B,2)</f>
        <v>Utah</v>
      </c>
      <c r="E58" s="81" t="s">
        <v>603</v>
      </c>
    </row>
    <row r="59" spans="1:5">
      <c r="A59" s="65">
        <v>12</v>
      </c>
      <c r="B59" s="80" t="s">
        <v>55</v>
      </c>
      <c r="C59" s="65" t="s">
        <v>602</v>
      </c>
      <c r="D59" s="48" t="str">
        <f>VLOOKUP(C59,'State Abbreviations'!A:B,2)</f>
        <v>Utah</v>
      </c>
      <c r="E59" s="81" t="s">
        <v>603</v>
      </c>
    </row>
    <row r="60" spans="1:5">
      <c r="A60" s="65">
        <v>12</v>
      </c>
      <c r="B60" s="80" t="s">
        <v>55</v>
      </c>
      <c r="C60" s="65" t="s">
        <v>602</v>
      </c>
      <c r="D60" s="48" t="str">
        <f>VLOOKUP(C60,'State Abbreviations'!A:B,2)</f>
        <v>Utah</v>
      </c>
      <c r="E60" s="81" t="s">
        <v>603</v>
      </c>
    </row>
    <row r="61" spans="1:5">
      <c r="A61" s="60">
        <v>13</v>
      </c>
      <c r="B61" s="79" t="s">
        <v>68</v>
      </c>
      <c r="C61" s="60" t="s">
        <v>604</v>
      </c>
      <c r="D61" s="48" t="str">
        <f>VLOOKUP(C61,'State Abbreviations'!A:B,2)</f>
        <v>Iowa</v>
      </c>
      <c r="E61" s="84" t="s">
        <v>268</v>
      </c>
    </row>
    <row r="62" spans="1:5">
      <c r="A62" s="60">
        <v>13</v>
      </c>
      <c r="B62" s="79" t="s">
        <v>68</v>
      </c>
      <c r="C62" s="60" t="s">
        <v>604</v>
      </c>
      <c r="D62" s="48" t="str">
        <f>VLOOKUP(C62,'State Abbreviations'!A:B,2)</f>
        <v>Iowa</v>
      </c>
      <c r="E62" s="84" t="s">
        <v>268</v>
      </c>
    </row>
    <row r="63" spans="1:5">
      <c r="A63" s="60">
        <v>13</v>
      </c>
      <c r="B63" s="79" t="s">
        <v>68</v>
      </c>
      <c r="C63" s="60" t="s">
        <v>604</v>
      </c>
      <c r="D63" s="48" t="str">
        <f>VLOOKUP(C63,'State Abbreviations'!A:B,2)</f>
        <v>Iowa</v>
      </c>
      <c r="E63" s="84" t="s">
        <v>268</v>
      </c>
    </row>
    <row r="64" spans="1:5">
      <c r="A64" s="60">
        <v>13</v>
      </c>
      <c r="B64" s="79" t="s">
        <v>68</v>
      </c>
      <c r="C64" s="60" t="s">
        <v>604</v>
      </c>
      <c r="D64" s="48" t="str">
        <f>VLOOKUP(C64,'State Abbreviations'!A:B,2)</f>
        <v>Iowa</v>
      </c>
      <c r="E64" s="84" t="s">
        <v>268</v>
      </c>
    </row>
    <row r="65" spans="1:5">
      <c r="A65" s="60">
        <v>13</v>
      </c>
      <c r="B65" s="79" t="s">
        <v>68</v>
      </c>
      <c r="C65" s="60" t="s">
        <v>604</v>
      </c>
      <c r="D65" s="48" t="str">
        <f>VLOOKUP(C65,'State Abbreviations'!A:B,2)</f>
        <v>Iowa</v>
      </c>
      <c r="E65" s="84" t="s">
        <v>268</v>
      </c>
    </row>
    <row r="66" spans="1:5">
      <c r="A66" s="65">
        <v>14</v>
      </c>
      <c r="B66" s="80" t="s">
        <v>54</v>
      </c>
      <c r="C66" s="65" t="s">
        <v>595</v>
      </c>
      <c r="D66" s="48" t="str">
        <f>VLOOKUP(C66,'State Abbreviations'!A:B,2)</f>
        <v>Texas</v>
      </c>
      <c r="E66" s="81" t="s">
        <v>54</v>
      </c>
    </row>
    <row r="67" spans="1:5">
      <c r="A67" s="65">
        <v>14</v>
      </c>
      <c r="B67" s="80" t="s">
        <v>54</v>
      </c>
      <c r="C67" s="65" t="s">
        <v>595</v>
      </c>
      <c r="D67" s="48" t="str">
        <f>VLOOKUP(C67,'State Abbreviations'!A:B,2)</f>
        <v>Texas</v>
      </c>
      <c r="E67" s="81" t="s">
        <v>54</v>
      </c>
    </row>
    <row r="68" spans="1:5">
      <c r="A68" s="65">
        <v>14</v>
      </c>
      <c r="B68" s="80" t="s">
        <v>54</v>
      </c>
      <c r="C68" s="65" t="s">
        <v>595</v>
      </c>
      <c r="D68" s="48" t="str">
        <f>VLOOKUP(C68,'State Abbreviations'!A:B,2)</f>
        <v>Texas</v>
      </c>
      <c r="E68" s="81" t="s">
        <v>54</v>
      </c>
    </row>
    <row r="69" spans="1:5">
      <c r="A69" s="65">
        <v>14</v>
      </c>
      <c r="B69" s="80" t="s">
        <v>54</v>
      </c>
      <c r="C69" s="65" t="s">
        <v>595</v>
      </c>
      <c r="D69" s="48" t="str">
        <f>VLOOKUP(C69,'State Abbreviations'!A:B,2)</f>
        <v>Texas</v>
      </c>
      <c r="E69" s="81" t="s">
        <v>54</v>
      </c>
    </row>
    <row r="70" spans="1:5">
      <c r="A70" s="65">
        <v>14</v>
      </c>
      <c r="B70" s="80" t="s">
        <v>54</v>
      </c>
      <c r="C70" s="65" t="s">
        <v>595</v>
      </c>
      <c r="D70" s="48" t="str">
        <f>VLOOKUP(C70,'State Abbreviations'!A:B,2)</f>
        <v>Texas</v>
      </c>
      <c r="E70" s="81" t="s">
        <v>54</v>
      </c>
    </row>
    <row r="71" spans="1:5">
      <c r="A71" s="60">
        <v>15</v>
      </c>
      <c r="B71" s="79" t="s">
        <v>67</v>
      </c>
      <c r="C71" s="60" t="s">
        <v>606</v>
      </c>
      <c r="D71" s="48" t="str">
        <f>VLOOKUP(C71,'State Abbreviations'!A:B,2)</f>
        <v>South Carolina</v>
      </c>
      <c r="E71" s="82" t="s">
        <v>607</v>
      </c>
    </row>
    <row r="72" spans="1:5">
      <c r="A72" s="60">
        <v>15</v>
      </c>
      <c r="B72" s="79" t="s">
        <v>67</v>
      </c>
      <c r="C72" s="60" t="s">
        <v>606</v>
      </c>
      <c r="D72" s="48" t="str">
        <f>VLOOKUP(C72,'State Abbreviations'!A:B,2)</f>
        <v>South Carolina</v>
      </c>
      <c r="E72" s="82" t="s">
        <v>607</v>
      </c>
    </row>
    <row r="73" spans="1:5">
      <c r="A73" s="60">
        <v>15</v>
      </c>
      <c r="B73" s="79" t="s">
        <v>67</v>
      </c>
      <c r="C73" s="60" t="s">
        <v>606</v>
      </c>
      <c r="D73" s="48" t="str">
        <f>VLOOKUP(C73,'State Abbreviations'!A:B,2)</f>
        <v>South Carolina</v>
      </c>
      <c r="E73" s="82" t="s">
        <v>607</v>
      </c>
    </row>
    <row r="74" spans="1:5">
      <c r="A74" s="60">
        <v>15</v>
      </c>
      <c r="B74" s="79" t="s">
        <v>67</v>
      </c>
      <c r="C74" s="60" t="s">
        <v>606</v>
      </c>
      <c r="D74" s="48" t="str">
        <f>VLOOKUP(C74,'State Abbreviations'!A:B,2)</f>
        <v>South Carolina</v>
      </c>
      <c r="E74" s="82" t="s">
        <v>607</v>
      </c>
    </row>
    <row r="75" spans="1:5">
      <c r="A75" s="60">
        <v>15</v>
      </c>
      <c r="B75" s="79" t="s">
        <v>67</v>
      </c>
      <c r="C75" s="60" t="s">
        <v>606</v>
      </c>
      <c r="D75" s="48" t="str">
        <f>VLOOKUP(C75,'State Abbreviations'!A:B,2)</f>
        <v>South Carolina</v>
      </c>
      <c r="E75" s="82" t="s">
        <v>607</v>
      </c>
    </row>
    <row r="76" spans="1:5">
      <c r="A76" s="65">
        <v>16</v>
      </c>
      <c r="B76" s="80" t="s">
        <v>101</v>
      </c>
      <c r="C76" s="65" t="s">
        <v>608</v>
      </c>
      <c r="D76" s="48" t="str">
        <f>VLOOKUP(C76,'State Abbreviations'!A:B,2)</f>
        <v>Minnesota</v>
      </c>
      <c r="E76" s="81" t="s">
        <v>101</v>
      </c>
    </row>
    <row r="77" spans="1:5">
      <c r="A77" s="65">
        <v>16</v>
      </c>
      <c r="B77" s="80" t="s">
        <v>101</v>
      </c>
      <c r="C77" s="65" t="s">
        <v>608</v>
      </c>
      <c r="D77" s="48" t="str">
        <f>VLOOKUP(C77,'State Abbreviations'!A:B,2)</f>
        <v>Minnesota</v>
      </c>
      <c r="E77" s="81" t="s">
        <v>101</v>
      </c>
    </row>
    <row r="78" spans="1:5">
      <c r="A78" s="65">
        <v>16</v>
      </c>
      <c r="B78" s="80" t="s">
        <v>101</v>
      </c>
      <c r="C78" s="65" t="s">
        <v>608</v>
      </c>
      <c r="D78" s="48" t="str">
        <f>VLOOKUP(C78,'State Abbreviations'!A:B,2)</f>
        <v>Minnesota</v>
      </c>
      <c r="E78" s="81" t="s">
        <v>101</v>
      </c>
    </row>
    <row r="79" spans="1:5">
      <c r="A79" s="65">
        <v>16</v>
      </c>
      <c r="B79" s="80" t="s">
        <v>101</v>
      </c>
      <c r="C79" s="65" t="s">
        <v>608</v>
      </c>
      <c r="D79" s="48" t="str">
        <f>VLOOKUP(C79,'State Abbreviations'!A:B,2)</f>
        <v>Minnesota</v>
      </c>
      <c r="E79" s="81" t="s">
        <v>101</v>
      </c>
    </row>
    <row r="80" spans="1:5">
      <c r="A80" s="65">
        <v>16</v>
      </c>
      <c r="B80" s="80" t="s">
        <v>101</v>
      </c>
      <c r="C80" s="65" t="s">
        <v>608</v>
      </c>
      <c r="D80" s="48" t="str">
        <f>VLOOKUP(C80,'State Abbreviations'!A:B,2)</f>
        <v>Minnesota</v>
      </c>
      <c r="E80" s="81" t="s">
        <v>101</v>
      </c>
    </row>
    <row r="81" spans="1:5">
      <c r="A81" s="60">
        <v>17</v>
      </c>
      <c r="B81" s="79" t="s">
        <v>61</v>
      </c>
      <c r="C81" s="60" t="s">
        <v>595</v>
      </c>
      <c r="D81" s="48" t="str">
        <f>VLOOKUP(C81,'State Abbreviations'!A:B,2)</f>
        <v>Texas</v>
      </c>
      <c r="E81" s="82" t="s">
        <v>61</v>
      </c>
    </row>
    <row r="82" spans="1:5">
      <c r="A82" s="60">
        <v>17</v>
      </c>
      <c r="B82" s="79" t="s">
        <v>61</v>
      </c>
      <c r="C82" s="60" t="s">
        <v>595</v>
      </c>
      <c r="D82" s="48" t="str">
        <f>VLOOKUP(C82,'State Abbreviations'!A:B,2)</f>
        <v>Texas</v>
      </c>
      <c r="E82" s="82" t="s">
        <v>61</v>
      </c>
    </row>
    <row r="83" spans="1:5">
      <c r="A83" s="60">
        <v>17</v>
      </c>
      <c r="B83" s="79" t="s">
        <v>61</v>
      </c>
      <c r="C83" s="60" t="s">
        <v>595</v>
      </c>
      <c r="D83" s="48" t="str">
        <f>VLOOKUP(C83,'State Abbreviations'!A:B,2)</f>
        <v>Texas</v>
      </c>
      <c r="E83" s="82" t="s">
        <v>61</v>
      </c>
    </row>
    <row r="84" spans="1:5">
      <c r="A84" s="60">
        <v>17</v>
      </c>
      <c r="B84" s="79" t="s">
        <v>61</v>
      </c>
      <c r="C84" s="60" t="s">
        <v>595</v>
      </c>
      <c r="D84" s="48" t="str">
        <f>VLOOKUP(C84,'State Abbreviations'!A:B,2)</f>
        <v>Texas</v>
      </c>
      <c r="E84" s="82" t="s">
        <v>61</v>
      </c>
    </row>
    <row r="85" spans="1:5">
      <c r="A85" s="60">
        <v>17</v>
      </c>
      <c r="B85" s="79" t="s">
        <v>61</v>
      </c>
      <c r="C85" s="60" t="s">
        <v>595</v>
      </c>
      <c r="D85" s="48" t="str">
        <f>VLOOKUP(C85,'State Abbreviations'!A:B,2)</f>
        <v>Texas</v>
      </c>
      <c r="E85" s="82" t="s">
        <v>61</v>
      </c>
    </row>
    <row r="86" spans="1:5">
      <c r="A86" s="65">
        <v>18</v>
      </c>
      <c r="B86" s="80" t="s">
        <v>48</v>
      </c>
      <c r="C86" s="65" t="s">
        <v>174</v>
      </c>
      <c r="D86" s="48" t="str">
        <f>VLOOKUP(C86,'State Abbreviations'!A:B,2)</f>
        <v>Ohio</v>
      </c>
      <c r="E86" s="81" t="s">
        <v>609</v>
      </c>
    </row>
    <row r="87" spans="1:5">
      <c r="A87" s="65">
        <v>18</v>
      </c>
      <c r="B87" s="80" t="s">
        <v>48</v>
      </c>
      <c r="C87" s="65" t="s">
        <v>174</v>
      </c>
      <c r="D87" s="48" t="str">
        <f>VLOOKUP(C87,'State Abbreviations'!A:B,2)</f>
        <v>Ohio</v>
      </c>
      <c r="E87" s="81" t="s">
        <v>609</v>
      </c>
    </row>
    <row r="88" spans="1:5">
      <c r="A88" s="65">
        <v>18</v>
      </c>
      <c r="B88" s="80" t="s">
        <v>48</v>
      </c>
      <c r="C88" s="65" t="s">
        <v>174</v>
      </c>
      <c r="D88" s="48" t="str">
        <f>VLOOKUP(C88,'State Abbreviations'!A:B,2)</f>
        <v>Ohio</v>
      </c>
      <c r="E88" s="81" t="s">
        <v>609</v>
      </c>
    </row>
    <row r="89" spans="1:5">
      <c r="A89" s="65">
        <v>18</v>
      </c>
      <c r="B89" s="80" t="s">
        <v>48</v>
      </c>
      <c r="C89" s="65" t="s">
        <v>174</v>
      </c>
      <c r="D89" s="48" t="str">
        <f>VLOOKUP(C89,'State Abbreviations'!A:B,2)</f>
        <v>Ohio</v>
      </c>
      <c r="E89" s="81" t="s">
        <v>609</v>
      </c>
    </row>
    <row r="90" spans="1:5">
      <c r="A90" s="65">
        <v>18</v>
      </c>
      <c r="B90" s="80" t="s">
        <v>48</v>
      </c>
      <c r="C90" s="65" t="s">
        <v>174</v>
      </c>
      <c r="D90" s="48" t="str">
        <f>VLOOKUP(C90,'State Abbreviations'!A:B,2)</f>
        <v>Ohio</v>
      </c>
      <c r="E90" s="81" t="s">
        <v>609</v>
      </c>
    </row>
    <row r="91" spans="1:5">
      <c r="A91" s="60">
        <v>19</v>
      </c>
      <c r="B91" s="79" t="s">
        <v>108</v>
      </c>
      <c r="C91" s="60" t="s">
        <v>588</v>
      </c>
      <c r="D91" s="48" t="str">
        <f>VLOOKUP(C91,'State Abbreviations'!A:B,2)</f>
        <v>California</v>
      </c>
      <c r="E91" s="82" t="s">
        <v>611</v>
      </c>
    </row>
    <row r="92" spans="1:5">
      <c r="A92" s="60">
        <v>19</v>
      </c>
      <c r="B92" s="79" t="s">
        <v>108</v>
      </c>
      <c r="C92" s="60" t="s">
        <v>588</v>
      </c>
      <c r="D92" s="48" t="str">
        <f>VLOOKUP(C92,'State Abbreviations'!A:B,2)</f>
        <v>California</v>
      </c>
      <c r="E92" s="82" t="s">
        <v>611</v>
      </c>
    </row>
    <row r="93" spans="1:5">
      <c r="A93" s="60">
        <v>19</v>
      </c>
      <c r="B93" s="79" t="s">
        <v>108</v>
      </c>
      <c r="C93" s="60" t="s">
        <v>588</v>
      </c>
      <c r="D93" s="48" t="str">
        <f>VLOOKUP(C93,'State Abbreviations'!A:B,2)</f>
        <v>California</v>
      </c>
      <c r="E93" s="82" t="s">
        <v>611</v>
      </c>
    </row>
    <row r="94" spans="1:5">
      <c r="A94" s="60">
        <v>19</v>
      </c>
      <c r="B94" s="79" t="s">
        <v>108</v>
      </c>
      <c r="C94" s="60" t="s">
        <v>588</v>
      </c>
      <c r="D94" s="48" t="str">
        <f>VLOOKUP(C94,'State Abbreviations'!A:B,2)</f>
        <v>California</v>
      </c>
      <c r="E94" s="82" t="s">
        <v>611</v>
      </c>
    </row>
    <row r="95" spans="1:5">
      <c r="A95" s="60">
        <v>19</v>
      </c>
      <c r="B95" s="79" t="s">
        <v>108</v>
      </c>
      <c r="C95" s="60" t="s">
        <v>588</v>
      </c>
      <c r="D95" s="48" t="str">
        <f>VLOOKUP(C95,'State Abbreviations'!A:B,2)</f>
        <v>California</v>
      </c>
      <c r="E95" s="82" t="s">
        <v>611</v>
      </c>
    </row>
    <row r="96" spans="1:5">
      <c r="A96" s="65">
        <v>20</v>
      </c>
      <c r="B96" s="80" t="s">
        <v>80</v>
      </c>
      <c r="C96" s="65" t="s">
        <v>69</v>
      </c>
      <c r="D96" s="48" t="str">
        <f>VLOOKUP(C96,'State Abbreviations'!A:B,2)</f>
        <v>Alabama</v>
      </c>
      <c r="E96" s="81" t="s">
        <v>612</v>
      </c>
    </row>
    <row r="97" spans="1:5">
      <c r="A97" s="65">
        <v>20</v>
      </c>
      <c r="B97" s="80" t="s">
        <v>80</v>
      </c>
      <c r="C97" s="65" t="s">
        <v>69</v>
      </c>
      <c r="D97" s="48" t="str">
        <f>VLOOKUP(C97,'State Abbreviations'!A:B,2)</f>
        <v>Alabama</v>
      </c>
      <c r="E97" s="81" t="s">
        <v>612</v>
      </c>
    </row>
    <row r="98" spans="1:5">
      <c r="A98" s="65">
        <v>20</v>
      </c>
      <c r="B98" s="80" t="s">
        <v>80</v>
      </c>
      <c r="C98" s="65" t="s">
        <v>69</v>
      </c>
      <c r="D98" s="48" t="str">
        <f>VLOOKUP(C98,'State Abbreviations'!A:B,2)</f>
        <v>Alabama</v>
      </c>
      <c r="E98" s="81" t="s">
        <v>612</v>
      </c>
    </row>
    <row r="99" spans="1:5">
      <c r="A99" s="65">
        <v>20</v>
      </c>
      <c r="B99" s="80" t="s">
        <v>80</v>
      </c>
      <c r="C99" s="65" t="s">
        <v>69</v>
      </c>
      <c r="D99" s="48" t="str">
        <f>VLOOKUP(C99,'State Abbreviations'!A:B,2)</f>
        <v>Alabama</v>
      </c>
      <c r="E99" s="81" t="s">
        <v>612</v>
      </c>
    </row>
    <row r="100" spans="1:5">
      <c r="A100" s="65">
        <v>20</v>
      </c>
      <c r="B100" s="80" t="s">
        <v>80</v>
      </c>
      <c r="C100" s="65" t="s">
        <v>69</v>
      </c>
      <c r="D100" s="48" t="str">
        <f>VLOOKUP(C100,'State Abbreviations'!A:B,2)</f>
        <v>Alabama</v>
      </c>
      <c r="E100" s="81" t="s">
        <v>612</v>
      </c>
    </row>
    <row r="101" spans="1:5">
      <c r="A101" s="60">
        <v>21</v>
      </c>
      <c r="B101" s="79" t="s">
        <v>59</v>
      </c>
      <c r="C101" s="60" t="s">
        <v>174</v>
      </c>
      <c r="D101" s="48" t="str">
        <f>VLOOKUP(C101,'State Abbreviations'!A:B,2)</f>
        <v>Ohio</v>
      </c>
      <c r="E101" s="60" t="s">
        <v>614</v>
      </c>
    </row>
    <row r="102" spans="1:5">
      <c r="A102" s="60">
        <v>21</v>
      </c>
      <c r="B102" s="79" t="s">
        <v>59</v>
      </c>
      <c r="C102" s="60" t="s">
        <v>174</v>
      </c>
      <c r="D102" s="48" t="str">
        <f>VLOOKUP(C102,'State Abbreviations'!A:B,2)</f>
        <v>Ohio</v>
      </c>
      <c r="E102" s="60" t="s">
        <v>614</v>
      </c>
    </row>
    <row r="103" spans="1:5">
      <c r="A103" s="60">
        <v>21</v>
      </c>
      <c r="B103" s="79" t="s">
        <v>59</v>
      </c>
      <c r="C103" s="60" t="s">
        <v>174</v>
      </c>
      <c r="D103" s="48" t="str">
        <f>VLOOKUP(C103,'State Abbreviations'!A:B,2)</f>
        <v>Ohio</v>
      </c>
      <c r="E103" s="60" t="s">
        <v>614</v>
      </c>
    </row>
    <row r="104" spans="1:5">
      <c r="A104" s="60">
        <v>21</v>
      </c>
      <c r="B104" s="79" t="s">
        <v>59</v>
      </c>
      <c r="C104" s="60" t="s">
        <v>174</v>
      </c>
      <c r="D104" s="48" t="str">
        <f>VLOOKUP(C104,'State Abbreviations'!A:B,2)</f>
        <v>Ohio</v>
      </c>
      <c r="E104" s="60" t="s">
        <v>614</v>
      </c>
    </row>
    <row r="105" spans="1:5">
      <c r="A105" s="60">
        <v>21</v>
      </c>
      <c r="B105" s="79" t="s">
        <v>59</v>
      </c>
      <c r="C105" s="60" t="s">
        <v>174</v>
      </c>
      <c r="D105" s="48" t="str">
        <f>VLOOKUP(C105,'State Abbreviations'!A:B,2)</f>
        <v>Ohio</v>
      </c>
      <c r="E105" s="60" t="s">
        <v>614</v>
      </c>
    </row>
    <row r="106" spans="1:5">
      <c r="A106" s="65">
        <v>22</v>
      </c>
      <c r="B106" s="80" t="s">
        <v>116</v>
      </c>
      <c r="C106" s="65" t="s">
        <v>588</v>
      </c>
      <c r="D106" s="48" t="str">
        <f>VLOOKUP(C106,'State Abbreviations'!A:B,2)</f>
        <v>California</v>
      </c>
      <c r="E106" s="81" t="s">
        <v>615</v>
      </c>
    </row>
    <row r="107" spans="1:5">
      <c r="A107" s="65">
        <v>22</v>
      </c>
      <c r="B107" s="80" t="s">
        <v>116</v>
      </c>
      <c r="C107" s="65" t="s">
        <v>588</v>
      </c>
      <c r="D107" s="48" t="str">
        <f>VLOOKUP(C107,'State Abbreviations'!A:B,2)</f>
        <v>California</v>
      </c>
      <c r="E107" s="81" t="s">
        <v>615</v>
      </c>
    </row>
    <row r="108" spans="1:5">
      <c r="A108" s="65">
        <v>22</v>
      </c>
      <c r="B108" s="80" t="s">
        <v>116</v>
      </c>
      <c r="C108" s="65" t="s">
        <v>588</v>
      </c>
      <c r="D108" s="48" t="str">
        <f>VLOOKUP(C108,'State Abbreviations'!A:B,2)</f>
        <v>California</v>
      </c>
      <c r="E108" s="81" t="s">
        <v>615</v>
      </c>
    </row>
    <row r="109" spans="1:5">
      <c r="A109" s="65">
        <v>22</v>
      </c>
      <c r="B109" s="80" t="s">
        <v>116</v>
      </c>
      <c r="C109" s="65" t="s">
        <v>588</v>
      </c>
      <c r="D109" s="48" t="str">
        <f>VLOOKUP(C109,'State Abbreviations'!A:B,2)</f>
        <v>California</v>
      </c>
      <c r="E109" s="81" t="s">
        <v>615</v>
      </c>
    </row>
    <row r="110" spans="1:5">
      <c r="A110" s="65">
        <v>22</v>
      </c>
      <c r="B110" s="80" t="s">
        <v>116</v>
      </c>
      <c r="C110" s="65" t="s">
        <v>588</v>
      </c>
      <c r="D110" s="48" t="str">
        <f>VLOOKUP(C110,'State Abbreviations'!A:B,2)</f>
        <v>California</v>
      </c>
      <c r="E110" s="81" t="s">
        <v>615</v>
      </c>
    </row>
    <row r="111" spans="1:5">
      <c r="A111" s="60">
        <v>23</v>
      </c>
      <c r="B111" s="79" t="s">
        <v>122</v>
      </c>
      <c r="C111" s="60" t="s">
        <v>588</v>
      </c>
      <c r="D111" s="48" t="str">
        <f>VLOOKUP(C111,'State Abbreviations'!A:B,2)</f>
        <v>California</v>
      </c>
      <c r="E111" s="82" t="s">
        <v>616</v>
      </c>
    </row>
    <row r="112" spans="1:5">
      <c r="A112" s="60">
        <v>23</v>
      </c>
      <c r="B112" s="79" t="s">
        <v>122</v>
      </c>
      <c r="C112" s="60" t="s">
        <v>588</v>
      </c>
      <c r="D112" s="48" t="str">
        <f>VLOOKUP(C112,'State Abbreviations'!A:B,2)</f>
        <v>California</v>
      </c>
      <c r="E112" s="82" t="s">
        <v>616</v>
      </c>
    </row>
    <row r="113" spans="1:5">
      <c r="A113" s="60">
        <v>23</v>
      </c>
      <c r="B113" s="79" t="s">
        <v>122</v>
      </c>
      <c r="C113" s="60" t="s">
        <v>588</v>
      </c>
      <c r="D113" s="48" t="str">
        <f>VLOOKUP(C113,'State Abbreviations'!A:B,2)</f>
        <v>California</v>
      </c>
      <c r="E113" s="82" t="s">
        <v>616</v>
      </c>
    </row>
    <row r="114" spans="1:5">
      <c r="A114" s="60">
        <v>23</v>
      </c>
      <c r="B114" s="79" t="s">
        <v>122</v>
      </c>
      <c r="C114" s="60" t="s">
        <v>588</v>
      </c>
      <c r="D114" s="48" t="str">
        <f>VLOOKUP(C114,'State Abbreviations'!A:B,2)</f>
        <v>California</v>
      </c>
      <c r="E114" s="82" t="s">
        <v>616</v>
      </c>
    </row>
    <row r="115" spans="1:5">
      <c r="A115" s="60">
        <v>23</v>
      </c>
      <c r="B115" s="79" t="s">
        <v>122</v>
      </c>
      <c r="C115" s="60" t="s">
        <v>588</v>
      </c>
      <c r="D115" s="48" t="str">
        <f>VLOOKUP(C115,'State Abbreviations'!A:B,2)</f>
        <v>California</v>
      </c>
      <c r="E115" s="82" t="s">
        <v>616</v>
      </c>
    </row>
    <row r="116" spans="1:5">
      <c r="A116" s="65">
        <v>24</v>
      </c>
      <c r="B116" s="80" t="s">
        <v>85</v>
      </c>
      <c r="C116" s="65" t="s">
        <v>618</v>
      </c>
      <c r="D116" s="48" t="str">
        <f>VLOOKUP(C116,'State Abbreviations'!A:B,2)</f>
        <v>Iowa</v>
      </c>
      <c r="E116" s="81" t="s">
        <v>294</v>
      </c>
    </row>
    <row r="117" spans="1:5">
      <c r="A117" s="65">
        <v>24</v>
      </c>
      <c r="B117" s="80" t="s">
        <v>85</v>
      </c>
      <c r="C117" s="65" t="s">
        <v>618</v>
      </c>
      <c r="D117" s="48" t="str">
        <f>VLOOKUP(C117,'State Abbreviations'!A:B,2)</f>
        <v>Iowa</v>
      </c>
      <c r="E117" s="81" t="s">
        <v>294</v>
      </c>
    </row>
    <row r="118" spans="1:5">
      <c r="A118" s="65">
        <v>24</v>
      </c>
      <c r="B118" s="80" t="s">
        <v>85</v>
      </c>
      <c r="C118" s="65" t="s">
        <v>618</v>
      </c>
      <c r="D118" s="48" t="str">
        <f>VLOOKUP(C118,'State Abbreviations'!A:B,2)</f>
        <v>Iowa</v>
      </c>
      <c r="E118" s="81" t="s">
        <v>294</v>
      </c>
    </row>
    <row r="119" spans="1:5">
      <c r="A119" s="65">
        <v>24</v>
      </c>
      <c r="B119" s="80" t="s">
        <v>85</v>
      </c>
      <c r="C119" s="65" t="s">
        <v>618</v>
      </c>
      <c r="D119" s="48" t="str">
        <f>VLOOKUP(C119,'State Abbreviations'!A:B,2)</f>
        <v>Iowa</v>
      </c>
      <c r="E119" s="81" t="s">
        <v>294</v>
      </c>
    </row>
    <row r="120" spans="1:5">
      <c r="A120" s="65">
        <v>24</v>
      </c>
      <c r="B120" s="80" t="s">
        <v>85</v>
      </c>
      <c r="C120" s="65" t="s">
        <v>618</v>
      </c>
      <c r="D120" s="48" t="str">
        <f>VLOOKUP(C120,'State Abbreviations'!A:B,2)</f>
        <v>Iowa</v>
      </c>
      <c r="E120" s="81" t="s">
        <v>294</v>
      </c>
    </row>
    <row r="121" spans="1:5">
      <c r="A121" s="60">
        <v>25</v>
      </c>
      <c r="B121" s="79" t="s">
        <v>74</v>
      </c>
      <c r="C121" s="60" t="s">
        <v>624</v>
      </c>
      <c r="D121" s="48" t="str">
        <f>VLOOKUP(C121,'State Abbreviations'!A:B,2)</f>
        <v>Louisiana</v>
      </c>
      <c r="E121" s="84" t="s">
        <v>523</v>
      </c>
    </row>
    <row r="122" spans="1:5">
      <c r="A122" s="60">
        <v>25</v>
      </c>
      <c r="B122" s="79" t="s">
        <v>74</v>
      </c>
      <c r="C122" s="60" t="s">
        <v>624</v>
      </c>
      <c r="D122" s="48" t="str">
        <f>VLOOKUP(C122,'State Abbreviations'!A:B,2)</f>
        <v>Louisiana</v>
      </c>
      <c r="E122" s="84" t="s">
        <v>523</v>
      </c>
    </row>
    <row r="123" spans="1:5">
      <c r="A123" s="60">
        <v>25</v>
      </c>
      <c r="B123" s="79" t="s">
        <v>74</v>
      </c>
      <c r="C123" s="60" t="s">
        <v>624</v>
      </c>
      <c r="D123" s="48" t="str">
        <f>VLOOKUP(C123,'State Abbreviations'!A:B,2)</f>
        <v>Louisiana</v>
      </c>
      <c r="E123" s="84" t="s">
        <v>523</v>
      </c>
    </row>
    <row r="124" spans="1:5">
      <c r="A124" s="60">
        <v>25</v>
      </c>
      <c r="B124" s="79" t="s">
        <v>74</v>
      </c>
      <c r="C124" s="60" t="s">
        <v>624</v>
      </c>
      <c r="D124" s="48" t="str">
        <f>VLOOKUP(C124,'State Abbreviations'!A:B,2)</f>
        <v>Louisiana</v>
      </c>
      <c r="E124" s="84" t="s">
        <v>523</v>
      </c>
    </row>
    <row r="125" spans="1:5">
      <c r="A125" s="60">
        <v>25</v>
      </c>
      <c r="B125" s="79" t="s">
        <v>74</v>
      </c>
      <c r="C125" s="60" t="s">
        <v>624</v>
      </c>
      <c r="D125" s="48" t="str">
        <f>VLOOKUP(C125,'State Abbreviations'!A:B,2)</f>
        <v>Louisiana</v>
      </c>
      <c r="E125" s="84" t="s">
        <v>523</v>
      </c>
    </row>
    <row r="126" spans="1:5">
      <c r="A126" s="60">
        <v>26</v>
      </c>
      <c r="B126" s="79" t="s">
        <v>124</v>
      </c>
      <c r="C126" s="60" t="s">
        <v>588</v>
      </c>
      <c r="D126" s="48" t="str">
        <f>VLOOKUP(C126,'State Abbreviations'!A:B,2)</f>
        <v>California</v>
      </c>
      <c r="E126" s="82" t="s">
        <v>632</v>
      </c>
    </row>
    <row r="127" spans="1:5">
      <c r="A127" s="60">
        <v>26</v>
      </c>
      <c r="B127" s="79" t="s">
        <v>124</v>
      </c>
      <c r="C127" s="60" t="s">
        <v>588</v>
      </c>
      <c r="D127" s="48" t="str">
        <f>VLOOKUP(C127,'State Abbreviations'!A:B,2)</f>
        <v>California</v>
      </c>
      <c r="E127" s="82" t="s">
        <v>632</v>
      </c>
    </row>
    <row r="128" spans="1:5">
      <c r="A128" s="60">
        <v>26</v>
      </c>
      <c r="B128" s="79" t="s">
        <v>124</v>
      </c>
      <c r="C128" s="60" t="s">
        <v>588</v>
      </c>
      <c r="D128" s="48" t="str">
        <f>VLOOKUP(C128,'State Abbreviations'!A:B,2)</f>
        <v>California</v>
      </c>
      <c r="E128" s="82" t="s">
        <v>632</v>
      </c>
    </row>
    <row r="129" spans="1:5">
      <c r="A129" s="65">
        <v>27</v>
      </c>
      <c r="B129" s="80" t="s">
        <v>125</v>
      </c>
      <c r="C129" s="65" t="s">
        <v>588</v>
      </c>
      <c r="D129" s="48" t="str">
        <f>VLOOKUP(C129,'State Abbreviations'!A:B,2)</f>
        <v>California</v>
      </c>
      <c r="E129" s="81" t="s">
        <v>323</v>
      </c>
    </row>
    <row r="130" spans="1:5">
      <c r="A130" s="65">
        <v>27</v>
      </c>
      <c r="B130" s="80" t="s">
        <v>125</v>
      </c>
      <c r="C130" s="65" t="s">
        <v>588</v>
      </c>
      <c r="D130" s="48" t="str">
        <f>VLOOKUP(C130,'State Abbreviations'!A:B,2)</f>
        <v>California</v>
      </c>
      <c r="E130" s="81" t="s">
        <v>323</v>
      </c>
    </row>
    <row r="131" spans="1:5">
      <c r="A131" s="65">
        <v>27</v>
      </c>
      <c r="B131" s="80" t="s">
        <v>125</v>
      </c>
      <c r="C131" s="65" t="s">
        <v>588</v>
      </c>
      <c r="D131" s="48" t="str">
        <f>VLOOKUP(C131,'State Abbreviations'!A:B,2)</f>
        <v>California</v>
      </c>
      <c r="E131" s="81" t="s">
        <v>323</v>
      </c>
    </row>
    <row r="132" spans="1:5">
      <c r="A132" s="60">
        <v>28</v>
      </c>
      <c r="B132" s="79" t="s">
        <v>126</v>
      </c>
      <c r="C132" s="60" t="s">
        <v>588</v>
      </c>
      <c r="D132" s="48" t="str">
        <f>VLOOKUP(C132,'State Abbreviations'!A:B,2)</f>
        <v>California</v>
      </c>
      <c r="E132" s="82" t="s">
        <v>643</v>
      </c>
    </row>
    <row r="133" spans="1:5">
      <c r="A133" s="60">
        <v>28</v>
      </c>
      <c r="B133" s="79" t="s">
        <v>126</v>
      </c>
      <c r="C133" s="60" t="s">
        <v>588</v>
      </c>
      <c r="D133" s="48" t="str">
        <f>VLOOKUP(C133,'State Abbreviations'!A:B,2)</f>
        <v>California</v>
      </c>
      <c r="E133" s="82" t="s">
        <v>643</v>
      </c>
    </row>
    <row r="134" spans="1:5">
      <c r="A134" s="60">
        <v>28</v>
      </c>
      <c r="B134" s="79" t="s">
        <v>126</v>
      </c>
      <c r="C134" s="60" t="s">
        <v>588</v>
      </c>
      <c r="D134" s="48" t="str">
        <f>VLOOKUP(C134,'State Abbreviations'!A:B,2)</f>
        <v>California</v>
      </c>
      <c r="E134" s="82" t="s">
        <v>643</v>
      </c>
    </row>
    <row r="135" spans="1:5">
      <c r="A135" s="65">
        <v>29</v>
      </c>
      <c r="B135" s="80" t="s">
        <v>45</v>
      </c>
      <c r="C135" s="65" t="s">
        <v>646</v>
      </c>
      <c r="D135" s="48" t="str">
        <f>VLOOKUP(C135,'State Abbreviations'!A:B,2)</f>
        <v>Montana</v>
      </c>
      <c r="E135" s="81" t="s">
        <v>649</v>
      </c>
    </row>
    <row r="136" spans="1:5">
      <c r="A136" s="65">
        <v>29</v>
      </c>
      <c r="B136" s="80" t="s">
        <v>45</v>
      </c>
      <c r="C136" s="65" t="s">
        <v>646</v>
      </c>
      <c r="D136" s="48" t="str">
        <f>VLOOKUP(C136,'State Abbreviations'!A:B,2)</f>
        <v>Montana</v>
      </c>
      <c r="E136" s="81" t="s">
        <v>649</v>
      </c>
    </row>
    <row r="137" spans="1:5">
      <c r="A137" s="65">
        <v>29</v>
      </c>
      <c r="B137" s="80" t="s">
        <v>45</v>
      </c>
      <c r="C137" s="65" t="s">
        <v>646</v>
      </c>
      <c r="D137" s="48" t="str">
        <f>VLOOKUP(C137,'State Abbreviations'!A:B,2)</f>
        <v>Montana</v>
      </c>
      <c r="E137" s="81" t="s">
        <v>649</v>
      </c>
    </row>
    <row r="138" spans="1:5">
      <c r="A138" s="60">
        <v>30</v>
      </c>
      <c r="B138" s="79" t="s">
        <v>92</v>
      </c>
      <c r="C138" s="60" t="s">
        <v>602</v>
      </c>
      <c r="D138" s="48" t="str">
        <f>VLOOKUP(C138,'State Abbreviations'!A:B,2)</f>
        <v>Utah</v>
      </c>
      <c r="E138" s="82" t="s">
        <v>653</v>
      </c>
    </row>
    <row r="139" spans="1:5">
      <c r="A139" s="60">
        <v>30</v>
      </c>
      <c r="B139" s="79" t="s">
        <v>92</v>
      </c>
      <c r="C139" s="60" t="s">
        <v>602</v>
      </c>
      <c r="D139" s="48" t="str">
        <f>VLOOKUP(C139,'State Abbreviations'!A:B,2)</f>
        <v>Utah</v>
      </c>
      <c r="E139" s="82" t="s">
        <v>653</v>
      </c>
    </row>
    <row r="140" spans="1:5">
      <c r="A140" s="60">
        <v>30</v>
      </c>
      <c r="B140" s="79" t="s">
        <v>92</v>
      </c>
      <c r="C140" s="60" t="s">
        <v>602</v>
      </c>
      <c r="D140" s="48" t="str">
        <f>VLOOKUP(C140,'State Abbreviations'!A:B,2)</f>
        <v>Utah</v>
      </c>
      <c r="E140" s="82" t="s">
        <v>653</v>
      </c>
    </row>
    <row r="141" spans="1:5">
      <c r="A141" s="65">
        <v>31</v>
      </c>
      <c r="B141" s="80" t="s">
        <v>129</v>
      </c>
      <c r="C141" s="65" t="s">
        <v>588</v>
      </c>
      <c r="D141" s="48" t="str">
        <f>VLOOKUP(C141,'State Abbreviations'!A:B,2)</f>
        <v>California</v>
      </c>
      <c r="E141" s="81" t="s">
        <v>657</v>
      </c>
    </row>
    <row r="142" spans="1:5">
      <c r="A142" s="65">
        <v>31</v>
      </c>
      <c r="B142" s="80" t="s">
        <v>129</v>
      </c>
      <c r="C142" s="65" t="s">
        <v>588</v>
      </c>
      <c r="D142" s="48" t="str">
        <f>VLOOKUP(C142,'State Abbreviations'!A:B,2)</f>
        <v>California</v>
      </c>
      <c r="E142" s="81" t="s">
        <v>657</v>
      </c>
    </row>
    <row r="143" spans="1:5">
      <c r="A143" s="65">
        <v>31</v>
      </c>
      <c r="B143" s="80" t="s">
        <v>129</v>
      </c>
      <c r="C143" s="65" t="s">
        <v>588</v>
      </c>
      <c r="D143" s="48" t="str">
        <f>VLOOKUP(C143,'State Abbreviations'!A:B,2)</f>
        <v>California</v>
      </c>
      <c r="E143" s="81" t="s">
        <v>657</v>
      </c>
    </row>
    <row r="144" spans="1:5">
      <c r="A144" s="60">
        <v>32</v>
      </c>
      <c r="B144" s="79" t="s">
        <v>130</v>
      </c>
      <c r="C144" s="60" t="s">
        <v>588</v>
      </c>
      <c r="D144" s="48" t="str">
        <f>VLOOKUP(C144,'State Abbreviations'!A:B,2)</f>
        <v>California</v>
      </c>
      <c r="E144" s="60" t="s">
        <v>662</v>
      </c>
    </row>
    <row r="145" spans="1:5">
      <c r="A145" s="60">
        <v>32</v>
      </c>
      <c r="B145" s="79" t="s">
        <v>130</v>
      </c>
      <c r="C145" s="60" t="s">
        <v>588</v>
      </c>
      <c r="D145" s="48" t="str">
        <f>VLOOKUP(C145,'State Abbreviations'!A:B,2)</f>
        <v>California</v>
      </c>
      <c r="E145" s="60" t="s">
        <v>662</v>
      </c>
    </row>
    <row r="146" spans="1:5">
      <c r="A146" s="60">
        <v>32</v>
      </c>
      <c r="B146" s="79" t="s">
        <v>130</v>
      </c>
      <c r="C146" s="60" t="s">
        <v>588</v>
      </c>
      <c r="D146" s="48" t="str">
        <f>VLOOKUP(C146,'State Abbreviations'!A:B,2)</f>
        <v>California</v>
      </c>
      <c r="E146" s="60" t="s">
        <v>662</v>
      </c>
    </row>
    <row r="147" spans="1:5">
      <c r="A147" s="65">
        <v>33</v>
      </c>
      <c r="B147" s="80" t="s">
        <v>107</v>
      </c>
      <c r="C147" s="65" t="s">
        <v>174</v>
      </c>
      <c r="D147" s="48" t="str">
        <f>VLOOKUP(C147,'State Abbreviations'!A:B,2)</f>
        <v>Ohio</v>
      </c>
      <c r="E147" s="81" t="s">
        <v>665</v>
      </c>
    </row>
    <row r="148" spans="1:5">
      <c r="A148" s="65">
        <v>33</v>
      </c>
      <c r="B148" s="80" t="s">
        <v>107</v>
      </c>
      <c r="C148" s="65" t="s">
        <v>174</v>
      </c>
      <c r="D148" s="48" t="str">
        <f>VLOOKUP(C148,'State Abbreviations'!A:B,2)</f>
        <v>Ohio</v>
      </c>
      <c r="E148" s="81" t="s">
        <v>665</v>
      </c>
    </row>
    <row r="149" spans="1:5">
      <c r="A149" s="65">
        <v>33</v>
      </c>
      <c r="B149" s="80" t="s">
        <v>107</v>
      </c>
      <c r="C149" s="65" t="s">
        <v>174</v>
      </c>
      <c r="D149" s="48" t="str">
        <f>VLOOKUP(C149,'State Abbreviations'!A:B,2)</f>
        <v>Ohio</v>
      </c>
      <c r="E149" s="81" t="s">
        <v>665</v>
      </c>
    </row>
    <row r="150" spans="1:5">
      <c r="A150" s="60">
        <v>34</v>
      </c>
      <c r="B150" s="79" t="s">
        <v>131</v>
      </c>
      <c r="C150" s="60" t="s">
        <v>588</v>
      </c>
      <c r="D150" s="48" t="str">
        <f>VLOOKUP(C150,'State Abbreviations'!A:B,2)</f>
        <v>California</v>
      </c>
      <c r="E150" s="82" t="s">
        <v>424</v>
      </c>
    </row>
    <row r="151" spans="1:5">
      <c r="A151" s="60">
        <v>34</v>
      </c>
      <c r="B151" s="79" t="s">
        <v>131</v>
      </c>
      <c r="C151" s="60" t="s">
        <v>588</v>
      </c>
      <c r="D151" s="48" t="str">
        <f>VLOOKUP(C151,'State Abbreviations'!A:B,2)</f>
        <v>California</v>
      </c>
      <c r="E151" s="82" t="s">
        <v>424</v>
      </c>
    </row>
    <row r="152" spans="1:5">
      <c r="A152" s="60">
        <v>34</v>
      </c>
      <c r="B152" s="79" t="s">
        <v>131</v>
      </c>
      <c r="C152" s="60" t="s">
        <v>588</v>
      </c>
      <c r="D152" s="48" t="str">
        <f>VLOOKUP(C152,'State Abbreviations'!A:B,2)</f>
        <v>California</v>
      </c>
      <c r="E152" s="82" t="s">
        <v>424</v>
      </c>
    </row>
    <row r="153" spans="1:5">
      <c r="A153" s="65">
        <v>35</v>
      </c>
      <c r="B153" s="80" t="s">
        <v>79</v>
      </c>
      <c r="C153" s="65" t="s">
        <v>675</v>
      </c>
      <c r="D153" s="48" t="str">
        <f>VLOOKUP(C153,'State Abbreviations'!A:B,2)</f>
        <v>Pennsylvania</v>
      </c>
      <c r="E153" s="81" t="s">
        <v>539</v>
      </c>
    </row>
    <row r="154" spans="1:5">
      <c r="A154" s="65">
        <v>35</v>
      </c>
      <c r="B154" s="80" t="s">
        <v>79</v>
      </c>
      <c r="C154" s="65" t="s">
        <v>675</v>
      </c>
      <c r="D154" s="48" t="str">
        <f>VLOOKUP(C154,'State Abbreviations'!A:B,2)</f>
        <v>Pennsylvania</v>
      </c>
      <c r="E154" s="81" t="s">
        <v>539</v>
      </c>
    </row>
    <row r="155" spans="1:5">
      <c r="A155" s="65">
        <v>35</v>
      </c>
      <c r="B155" s="80" t="s">
        <v>79</v>
      </c>
      <c r="C155" s="65" t="s">
        <v>675</v>
      </c>
      <c r="D155" s="48" t="str">
        <f>VLOOKUP(C155,'State Abbreviations'!A:B,2)</f>
        <v>Pennsylvania</v>
      </c>
      <c r="E155" s="81" t="s">
        <v>539</v>
      </c>
    </row>
    <row r="156" spans="1:5">
      <c r="A156" s="60">
        <v>36</v>
      </c>
      <c r="B156" s="79" t="s">
        <v>113</v>
      </c>
      <c r="C156" s="60" t="s">
        <v>682</v>
      </c>
      <c r="D156" s="48" t="str">
        <f>VLOOKUP(C156,'State Abbreviations'!A:B,2)</f>
        <v>District Of Columbia</v>
      </c>
      <c r="E156" s="82" t="s">
        <v>430</v>
      </c>
    </row>
    <row r="157" spans="1:5">
      <c r="A157" s="60">
        <v>36</v>
      </c>
      <c r="B157" s="79" t="s">
        <v>113</v>
      </c>
      <c r="C157" s="60" t="s">
        <v>682</v>
      </c>
      <c r="D157" s="48" t="str">
        <f>VLOOKUP(C157,'State Abbreviations'!A:B,2)</f>
        <v>District Of Columbia</v>
      </c>
      <c r="E157" s="82" t="s">
        <v>430</v>
      </c>
    </row>
    <row r="158" spans="1:5">
      <c r="A158" s="60">
        <v>36</v>
      </c>
      <c r="B158" s="79" t="s">
        <v>113</v>
      </c>
      <c r="C158" s="60" t="s">
        <v>682</v>
      </c>
      <c r="D158" s="48" t="str">
        <f>VLOOKUP(C158,'State Abbreviations'!A:B,2)</f>
        <v>District Of Columbia</v>
      </c>
      <c r="E158" s="82" t="s">
        <v>430</v>
      </c>
    </row>
    <row r="159" spans="1:5">
      <c r="A159" s="65">
        <v>37</v>
      </c>
      <c r="B159" s="80" t="s">
        <v>119</v>
      </c>
      <c r="C159" s="65" t="s">
        <v>179</v>
      </c>
      <c r="D159" s="48" t="str">
        <f>VLOOKUP(C159,'State Abbreviations'!A:B,2)</f>
        <v>Montana</v>
      </c>
      <c r="E159" s="81" t="s">
        <v>687</v>
      </c>
    </row>
    <row r="160" spans="1:5">
      <c r="A160" s="65">
        <v>37</v>
      </c>
      <c r="B160" s="80" t="s">
        <v>119</v>
      </c>
      <c r="C160" s="65" t="s">
        <v>179</v>
      </c>
      <c r="D160" s="48" t="str">
        <f>VLOOKUP(C160,'State Abbreviations'!A:B,2)</f>
        <v>Montana</v>
      </c>
      <c r="E160" s="81" t="s">
        <v>687</v>
      </c>
    </row>
    <row r="161" spans="1:5">
      <c r="A161" s="65">
        <v>37</v>
      </c>
      <c r="B161" s="80" t="s">
        <v>119</v>
      </c>
      <c r="C161" s="65" t="s">
        <v>179</v>
      </c>
      <c r="D161" s="48" t="str">
        <f>VLOOKUP(C161,'State Abbreviations'!A:B,2)</f>
        <v>Montana</v>
      </c>
      <c r="E161" s="81" t="s">
        <v>687</v>
      </c>
    </row>
    <row r="162" spans="1:5">
      <c r="A162" s="60">
        <v>38</v>
      </c>
      <c r="B162" s="79" t="s">
        <v>112</v>
      </c>
      <c r="C162" s="60" t="s">
        <v>693</v>
      </c>
      <c r="D162" s="48" t="str">
        <f>VLOOKUP(C162,'State Abbreviations'!A:B,2)</f>
        <v>Missouri</v>
      </c>
      <c r="E162" s="82" t="s">
        <v>297</v>
      </c>
    </row>
    <row r="163" spans="1:5">
      <c r="A163" s="60">
        <v>38</v>
      </c>
      <c r="B163" s="79" t="s">
        <v>112</v>
      </c>
      <c r="C163" s="60" t="s">
        <v>693</v>
      </c>
      <c r="D163" s="48" t="str">
        <f>VLOOKUP(C163,'State Abbreviations'!A:B,2)</f>
        <v>Missouri</v>
      </c>
      <c r="E163" s="82" t="s">
        <v>297</v>
      </c>
    </row>
    <row r="164" spans="1:5">
      <c r="A164" s="60">
        <v>38</v>
      </c>
      <c r="B164" s="79" t="s">
        <v>112</v>
      </c>
      <c r="C164" s="60" t="s">
        <v>693</v>
      </c>
      <c r="D164" s="48" t="str">
        <f>VLOOKUP(C164,'State Abbreviations'!A:B,2)</f>
        <v>Missouri</v>
      </c>
      <c r="E164" s="82" t="s">
        <v>297</v>
      </c>
    </row>
    <row r="165" spans="1:5">
      <c r="A165" s="65">
        <v>39</v>
      </c>
      <c r="B165" s="80" t="s">
        <v>87</v>
      </c>
      <c r="C165" s="65" t="s">
        <v>595</v>
      </c>
      <c r="D165" s="48" t="str">
        <f>VLOOKUP(C165,'State Abbreviations'!A:B,2)</f>
        <v>Texas</v>
      </c>
      <c r="E165" s="81" t="s">
        <v>87</v>
      </c>
    </row>
    <row r="166" spans="1:5">
      <c r="A166" s="65">
        <v>39</v>
      </c>
      <c r="B166" s="80" t="s">
        <v>87</v>
      </c>
      <c r="C166" s="65" t="s">
        <v>595</v>
      </c>
      <c r="D166" s="48" t="str">
        <f>VLOOKUP(C166,'State Abbreviations'!A:B,2)</f>
        <v>Texas</v>
      </c>
      <c r="E166" s="81" t="s">
        <v>87</v>
      </c>
    </row>
    <row r="167" spans="1:5">
      <c r="A167" s="65">
        <v>39</v>
      </c>
      <c r="B167" s="80" t="s">
        <v>87</v>
      </c>
      <c r="C167" s="65" t="s">
        <v>595</v>
      </c>
      <c r="D167" s="48" t="str">
        <f>VLOOKUP(C167,'State Abbreviations'!A:B,2)</f>
        <v>Texas</v>
      </c>
      <c r="E167" s="81" t="s">
        <v>87</v>
      </c>
    </row>
    <row r="168" spans="1:5">
      <c r="A168" s="60">
        <v>40</v>
      </c>
      <c r="B168" s="79" t="s">
        <v>104</v>
      </c>
      <c r="C168" s="60" t="s">
        <v>595</v>
      </c>
      <c r="D168" s="48" t="str">
        <f>VLOOKUP(C168,'State Abbreviations'!A:B,2)</f>
        <v>Texas</v>
      </c>
      <c r="E168" s="82" t="s">
        <v>104</v>
      </c>
    </row>
    <row r="169" spans="1:5">
      <c r="A169" s="60">
        <v>40</v>
      </c>
      <c r="B169" s="79" t="s">
        <v>104</v>
      </c>
      <c r="C169" s="60" t="s">
        <v>595</v>
      </c>
      <c r="D169" s="48" t="str">
        <f>VLOOKUP(C169,'State Abbreviations'!A:B,2)</f>
        <v>Texas</v>
      </c>
      <c r="E169" s="82" t="s">
        <v>104</v>
      </c>
    </row>
    <row r="170" spans="1:5">
      <c r="A170" s="60">
        <v>40</v>
      </c>
      <c r="B170" s="79" t="s">
        <v>104</v>
      </c>
      <c r="C170" s="60" t="s">
        <v>595</v>
      </c>
      <c r="D170" s="48" t="str">
        <f>VLOOKUP(C170,'State Abbreviations'!A:B,2)</f>
        <v>Texas</v>
      </c>
      <c r="E170" s="82" t="s">
        <v>104</v>
      </c>
    </row>
    <row r="171" spans="1:5">
      <c r="A171" s="65">
        <v>41</v>
      </c>
      <c r="B171" s="80" t="s">
        <v>110</v>
      </c>
      <c r="C171" s="65" t="s">
        <v>595</v>
      </c>
      <c r="D171" s="48" t="str">
        <f>VLOOKUP(C171,'State Abbreviations'!A:B,2)</f>
        <v>Texas</v>
      </c>
      <c r="E171" s="81" t="s">
        <v>709</v>
      </c>
    </row>
    <row r="172" spans="1:5">
      <c r="A172" s="65">
        <v>41</v>
      </c>
      <c r="B172" s="80" t="s">
        <v>110</v>
      </c>
      <c r="C172" s="65" t="s">
        <v>595</v>
      </c>
      <c r="D172" s="48" t="str">
        <f>VLOOKUP(C172,'State Abbreviations'!A:B,2)</f>
        <v>Texas</v>
      </c>
      <c r="E172" s="81" t="s">
        <v>709</v>
      </c>
    </row>
    <row r="173" spans="1:5">
      <c r="A173" s="65">
        <v>41</v>
      </c>
      <c r="B173" s="80" t="s">
        <v>110</v>
      </c>
      <c r="C173" s="65" t="s">
        <v>595</v>
      </c>
      <c r="D173" s="48" t="str">
        <f>VLOOKUP(C173,'State Abbreviations'!A:B,2)</f>
        <v>Texas</v>
      </c>
      <c r="E173" s="81" t="s">
        <v>709</v>
      </c>
    </row>
    <row r="174" spans="1:5">
      <c r="A174" s="60">
        <v>42</v>
      </c>
      <c r="B174" s="79" t="s">
        <v>63</v>
      </c>
      <c r="C174" s="60" t="s">
        <v>712</v>
      </c>
      <c r="D174" s="48" t="str">
        <f>VLOOKUP(C174,'State Abbreviations'!A:B,2)</f>
        <v>Connecticut</v>
      </c>
      <c r="E174" s="48" t="s">
        <v>715</v>
      </c>
    </row>
    <row r="175" spans="1:5">
      <c r="A175" s="60">
        <v>42</v>
      </c>
      <c r="B175" s="79" t="s">
        <v>63</v>
      </c>
      <c r="C175" s="60" t="s">
        <v>712</v>
      </c>
      <c r="D175" s="48" t="str">
        <f>VLOOKUP(C175,'State Abbreviations'!A:B,2)</f>
        <v>Connecticut</v>
      </c>
      <c r="E175" s="48" t="s">
        <v>715</v>
      </c>
    </row>
    <row r="176" spans="1:5">
      <c r="A176" s="60">
        <v>42</v>
      </c>
      <c r="B176" s="79" t="s">
        <v>63</v>
      </c>
      <c r="C176" s="60" t="s">
        <v>712</v>
      </c>
      <c r="D176" s="48" t="str">
        <f>VLOOKUP(C176,'State Abbreviations'!A:B,2)</f>
        <v>Connecticut</v>
      </c>
      <c r="E176" s="48" t="s">
        <v>715</v>
      </c>
    </row>
    <row r="177" spans="1:5">
      <c r="A177" s="65">
        <v>43</v>
      </c>
      <c r="B177" s="80" t="s">
        <v>93</v>
      </c>
      <c r="C177" s="65" t="s">
        <v>136</v>
      </c>
      <c r="D177" s="48" t="str">
        <f>VLOOKUP(C177,'State Abbreviations'!A:B,2)</f>
        <v>Florida</v>
      </c>
      <c r="E177" s="81" t="s">
        <v>720</v>
      </c>
    </row>
    <row r="178" spans="1:5">
      <c r="A178" s="65">
        <v>43</v>
      </c>
      <c r="B178" s="80" t="s">
        <v>93</v>
      </c>
      <c r="C178" s="65" t="s">
        <v>136</v>
      </c>
      <c r="D178" s="48" t="str">
        <f>VLOOKUP(C178,'State Abbreviations'!A:B,2)</f>
        <v>Florida</v>
      </c>
      <c r="E178" s="81" t="s">
        <v>720</v>
      </c>
    </row>
    <row r="179" spans="1:5">
      <c r="A179" s="65">
        <v>43</v>
      </c>
      <c r="B179" s="80" t="s">
        <v>93</v>
      </c>
      <c r="C179" s="65" t="s">
        <v>136</v>
      </c>
      <c r="D179" s="48" t="str">
        <f>VLOOKUP(C179,'State Abbreviations'!A:B,2)</f>
        <v>Florida</v>
      </c>
      <c r="E179" s="81" t="s">
        <v>720</v>
      </c>
    </row>
    <row r="180" spans="1:5">
      <c r="A180" s="60">
        <v>44</v>
      </c>
      <c r="B180" s="79" t="s">
        <v>133</v>
      </c>
      <c r="C180" s="60" t="s">
        <v>588</v>
      </c>
      <c r="D180" s="48" t="str">
        <f>VLOOKUP(C180,'State Abbreviations'!A:B,2)</f>
        <v>California</v>
      </c>
      <c r="E180" s="82" t="s">
        <v>725</v>
      </c>
    </row>
    <row r="181" spans="1:5">
      <c r="A181" s="60">
        <v>44</v>
      </c>
      <c r="B181" s="79" t="s">
        <v>133</v>
      </c>
      <c r="C181" s="60" t="s">
        <v>588</v>
      </c>
      <c r="D181" s="48" t="str">
        <f>VLOOKUP(C181,'State Abbreviations'!A:B,2)</f>
        <v>California</v>
      </c>
      <c r="E181" s="82" t="s">
        <v>725</v>
      </c>
    </row>
    <row r="182" spans="1:5">
      <c r="A182" s="60">
        <v>44</v>
      </c>
      <c r="B182" s="79" t="s">
        <v>133</v>
      </c>
      <c r="C182" s="60" t="s">
        <v>588</v>
      </c>
      <c r="D182" s="48" t="str">
        <f>VLOOKUP(C182,'State Abbreviations'!A:B,2)</f>
        <v>California</v>
      </c>
      <c r="E182" s="82" t="s">
        <v>725</v>
      </c>
    </row>
    <row r="183" spans="1:5">
      <c r="A183" s="65">
        <v>45</v>
      </c>
      <c r="B183" s="80" t="s">
        <v>123</v>
      </c>
      <c r="C183" s="65" t="s">
        <v>179</v>
      </c>
      <c r="D183" s="48" t="str">
        <f>VLOOKUP(C183,'State Abbreviations'!A:B,2)</f>
        <v>Montana</v>
      </c>
      <c r="E183" s="81" t="s">
        <v>286</v>
      </c>
    </row>
    <row r="184" spans="1:5">
      <c r="A184" s="65">
        <v>45</v>
      </c>
      <c r="B184" s="80" t="s">
        <v>123</v>
      </c>
      <c r="C184" s="65" t="s">
        <v>179</v>
      </c>
      <c r="D184" s="48" t="str">
        <f>VLOOKUP(C184,'State Abbreviations'!A:B,2)</f>
        <v>Montana</v>
      </c>
      <c r="E184" s="81" t="s">
        <v>286</v>
      </c>
    </row>
    <row r="185" spans="1:5">
      <c r="A185" s="65">
        <v>45</v>
      </c>
      <c r="B185" s="80" t="s">
        <v>123</v>
      </c>
      <c r="C185" s="65" t="s">
        <v>179</v>
      </c>
      <c r="D185" s="48" t="str">
        <f>VLOOKUP(C185,'State Abbreviations'!A:B,2)</f>
        <v>Montana</v>
      </c>
      <c r="E185" s="81" t="s">
        <v>286</v>
      </c>
    </row>
    <row r="186" spans="1:5">
      <c r="A186" s="60">
        <v>46</v>
      </c>
      <c r="B186" s="79" t="s">
        <v>134</v>
      </c>
      <c r="C186" s="60" t="s">
        <v>588</v>
      </c>
      <c r="D186" s="48" t="str">
        <f>VLOOKUP(C186,'State Abbreviations'!A:B,2)</f>
        <v>California</v>
      </c>
      <c r="E186" s="82" t="s">
        <v>292</v>
      </c>
    </row>
    <row r="187" spans="1:5">
      <c r="A187" s="60">
        <v>46</v>
      </c>
      <c r="B187" s="79" t="s">
        <v>134</v>
      </c>
      <c r="C187" s="60" t="s">
        <v>588</v>
      </c>
      <c r="D187" s="48" t="str">
        <f>VLOOKUP(C187,'State Abbreviations'!A:B,2)</f>
        <v>California</v>
      </c>
      <c r="E187" s="82" t="s">
        <v>292</v>
      </c>
    </row>
    <row r="188" spans="1:5">
      <c r="A188" s="60">
        <v>46</v>
      </c>
      <c r="B188" s="79" t="s">
        <v>134</v>
      </c>
      <c r="C188" s="60" t="s">
        <v>588</v>
      </c>
      <c r="D188" s="48" t="str">
        <f>VLOOKUP(C188,'State Abbreviations'!A:B,2)</f>
        <v>California</v>
      </c>
      <c r="E188" s="82" t="s">
        <v>292</v>
      </c>
    </row>
    <row r="189" spans="1:5">
      <c r="A189" s="65">
        <v>47</v>
      </c>
      <c r="B189" s="80" t="s">
        <v>118</v>
      </c>
      <c r="C189" s="65" t="s">
        <v>595</v>
      </c>
      <c r="D189" s="48" t="str">
        <f>VLOOKUP(C189,'State Abbreviations'!A:B,2)</f>
        <v>Texas</v>
      </c>
      <c r="E189" s="81" t="s">
        <v>118</v>
      </c>
    </row>
    <row r="190" spans="1:5">
      <c r="A190" s="65">
        <v>47</v>
      </c>
      <c r="B190" s="80" t="s">
        <v>118</v>
      </c>
      <c r="C190" s="65" t="s">
        <v>595</v>
      </c>
      <c r="D190" s="48" t="str">
        <f>VLOOKUP(C190,'State Abbreviations'!A:B,2)</f>
        <v>Texas</v>
      </c>
      <c r="E190" s="81" t="s">
        <v>118</v>
      </c>
    </row>
    <row r="191" spans="1:5">
      <c r="A191" s="65">
        <v>47</v>
      </c>
      <c r="B191" s="80" t="s">
        <v>118</v>
      </c>
      <c r="C191" s="65" t="s">
        <v>595</v>
      </c>
      <c r="D191" s="48" t="str">
        <f>VLOOKUP(C191,'State Abbreviations'!A:B,2)</f>
        <v>Texas</v>
      </c>
      <c r="E191" s="81" t="s">
        <v>118</v>
      </c>
    </row>
    <row r="192" spans="1:5">
      <c r="A192" s="60">
        <v>48</v>
      </c>
      <c r="B192" s="79" t="s">
        <v>52</v>
      </c>
      <c r="C192" s="60" t="s">
        <v>737</v>
      </c>
      <c r="D192" s="48" t="str">
        <f>VLOOKUP(C192,'State Abbreviations'!A:B,2)</f>
        <v>New Jersey</v>
      </c>
      <c r="E192" s="60" t="s">
        <v>499</v>
      </c>
    </row>
    <row r="193" spans="1:5">
      <c r="A193" s="60">
        <v>48</v>
      </c>
      <c r="B193" s="79" t="s">
        <v>52</v>
      </c>
      <c r="C193" s="60" t="s">
        <v>737</v>
      </c>
      <c r="D193" s="48" t="str">
        <f>VLOOKUP(C193,'State Abbreviations'!A:B,2)</f>
        <v>New Jersey</v>
      </c>
      <c r="E193" s="60" t="s">
        <v>499</v>
      </c>
    </row>
    <row r="194" spans="1:5">
      <c r="A194" s="60">
        <v>48</v>
      </c>
      <c r="B194" s="79" t="s">
        <v>52</v>
      </c>
      <c r="C194" s="60" t="s">
        <v>737</v>
      </c>
      <c r="D194" s="48" t="str">
        <f>VLOOKUP(C194,'State Abbreviations'!A:B,2)</f>
        <v>New Jersey</v>
      </c>
      <c r="E194" s="60" t="s">
        <v>499</v>
      </c>
    </row>
    <row r="195" spans="1:5">
      <c r="A195" s="97">
        <v>49</v>
      </c>
      <c r="B195" s="99" t="s">
        <v>120</v>
      </c>
      <c r="C195" s="97" t="s">
        <v>682</v>
      </c>
      <c r="D195" s="48" t="str">
        <f>VLOOKUP(C195,'State Abbreviations'!A:B,2)</f>
        <v>District Of Columbia</v>
      </c>
      <c r="E195" s="101" t="s">
        <v>450</v>
      </c>
    </row>
    <row r="196" spans="1:5">
      <c r="A196" s="97">
        <v>49</v>
      </c>
      <c r="B196" s="99" t="s">
        <v>120</v>
      </c>
      <c r="C196" s="97" t="s">
        <v>682</v>
      </c>
      <c r="D196" s="48" t="str">
        <f>VLOOKUP(C196,'State Abbreviations'!A:B,2)</f>
        <v>District Of Columbia</v>
      </c>
      <c r="E196" s="101" t="s">
        <v>450</v>
      </c>
    </row>
    <row r="197" spans="1:5">
      <c r="A197" s="97">
        <v>49</v>
      </c>
      <c r="B197" s="99" t="s">
        <v>120</v>
      </c>
      <c r="C197" s="97" t="s">
        <v>682</v>
      </c>
      <c r="D197" s="48" t="str">
        <f>VLOOKUP(C197,'State Abbreviations'!A:B,2)</f>
        <v>District Of Columbia</v>
      </c>
      <c r="E197" s="101" t="s">
        <v>450</v>
      </c>
    </row>
    <row r="198" spans="1:5">
      <c r="A198" s="60">
        <v>50</v>
      </c>
      <c r="B198" s="79" t="s">
        <v>105</v>
      </c>
      <c r="C198" s="60" t="s">
        <v>69</v>
      </c>
      <c r="D198" s="48" t="str">
        <f>VLOOKUP(C198,'State Abbreviations'!A:B,2)</f>
        <v>Alabama</v>
      </c>
      <c r="E198" s="84" t="s">
        <v>439</v>
      </c>
    </row>
    <row r="199" spans="1:5">
      <c r="A199" s="60">
        <v>50</v>
      </c>
      <c r="B199" s="79" t="s">
        <v>105</v>
      </c>
      <c r="C199" s="60" t="s">
        <v>69</v>
      </c>
      <c r="D199" s="48" t="str">
        <f>VLOOKUP(C199,'State Abbreviations'!A:B,2)</f>
        <v>Alabama</v>
      </c>
      <c r="E199" s="84" t="s">
        <v>439</v>
      </c>
    </row>
    <row r="200" spans="1:5">
      <c r="A200" s="60">
        <v>50</v>
      </c>
      <c r="B200" s="79" t="s">
        <v>105</v>
      </c>
      <c r="C200" s="60" t="s">
        <v>69</v>
      </c>
      <c r="D200" s="48" t="str">
        <f>VLOOKUP(C200,'State Abbreviations'!A:B,2)</f>
        <v>Alabama</v>
      </c>
      <c r="E200" s="84" t="s">
        <v>439</v>
      </c>
    </row>
    <row r="201" spans="1:5">
      <c r="A201" s="60">
        <v>51</v>
      </c>
      <c r="B201" s="79" t="s">
        <v>744</v>
      </c>
      <c r="C201" s="60" t="s">
        <v>745</v>
      </c>
      <c r="D201" s="48" t="str">
        <f>VLOOKUP(C201,'State Abbreviations'!A:B,2)</f>
        <v>Washington</v>
      </c>
      <c r="E201" s="82" t="s">
        <v>751</v>
      </c>
    </row>
    <row r="202" spans="1:5">
      <c r="A202" s="60">
        <v>51</v>
      </c>
      <c r="B202" s="79" t="s">
        <v>744</v>
      </c>
      <c r="C202" s="60" t="s">
        <v>745</v>
      </c>
      <c r="D202" s="48" t="str">
        <f>VLOOKUP(C202,'State Abbreviations'!A:B,2)</f>
        <v>Washington</v>
      </c>
      <c r="E202" s="82" t="s">
        <v>751</v>
      </c>
    </row>
    <row r="203" spans="1:5">
      <c r="A203" s="65">
        <v>52</v>
      </c>
      <c r="B203" s="80" t="s">
        <v>748</v>
      </c>
      <c r="C203" s="65" t="s">
        <v>590</v>
      </c>
      <c r="D203" s="48" t="str">
        <f>VLOOKUP(C203,'State Abbreviations'!A:B,2)</f>
        <v>Louisiana</v>
      </c>
      <c r="E203" s="65" t="s">
        <v>242</v>
      </c>
    </row>
    <row r="204" spans="1:5">
      <c r="A204" s="65">
        <v>52</v>
      </c>
      <c r="B204" s="80" t="s">
        <v>748</v>
      </c>
      <c r="C204" s="65" t="s">
        <v>590</v>
      </c>
      <c r="D204" s="48" t="str">
        <f>VLOOKUP(C204,'State Abbreviations'!A:B,2)</f>
        <v>Louisiana</v>
      </c>
      <c r="E204" s="65" t="s">
        <v>242</v>
      </c>
    </row>
    <row r="205" spans="1:5">
      <c r="A205" s="60">
        <v>53</v>
      </c>
      <c r="B205" s="79" t="s">
        <v>752</v>
      </c>
      <c r="C205" s="60" t="s">
        <v>588</v>
      </c>
      <c r="D205" s="48" t="str">
        <f>VLOOKUP(C205,'State Abbreviations'!A:B,2)</f>
        <v>California</v>
      </c>
      <c r="E205" s="82" t="s">
        <v>611</v>
      </c>
    </row>
    <row r="206" spans="1:5">
      <c r="A206" s="60">
        <v>53</v>
      </c>
      <c r="B206" s="79" t="s">
        <v>752</v>
      </c>
      <c r="C206" s="60" t="s">
        <v>588</v>
      </c>
      <c r="D206" s="48" t="str">
        <f>VLOOKUP(C206,'State Abbreviations'!A:B,2)</f>
        <v>California</v>
      </c>
      <c r="E206" s="82" t="s">
        <v>611</v>
      </c>
    </row>
    <row r="207" spans="1:5">
      <c r="A207" s="65">
        <v>54</v>
      </c>
      <c r="B207" s="80" t="s">
        <v>754</v>
      </c>
      <c r="C207" s="65" t="s">
        <v>595</v>
      </c>
      <c r="D207" s="48" t="str">
        <f>VLOOKUP(C207,'State Abbreviations'!A:B,2)</f>
        <v>Texas</v>
      </c>
      <c r="E207" s="81" t="s">
        <v>754</v>
      </c>
    </row>
    <row r="208" spans="1:5">
      <c r="A208" s="65">
        <v>54</v>
      </c>
      <c r="B208" s="80" t="s">
        <v>754</v>
      </c>
      <c r="C208" s="65" t="s">
        <v>595</v>
      </c>
      <c r="D208" s="48" t="str">
        <f>VLOOKUP(C208,'State Abbreviations'!A:B,2)</f>
        <v>Texas</v>
      </c>
      <c r="E208" s="81" t="s">
        <v>754</v>
      </c>
    </row>
    <row r="209" spans="1:5">
      <c r="A209" s="60">
        <v>55</v>
      </c>
      <c r="B209" s="79" t="s">
        <v>757</v>
      </c>
      <c r="C209" s="60" t="s">
        <v>136</v>
      </c>
      <c r="D209" s="48" t="str">
        <f>VLOOKUP(C209,'State Abbreviations'!A:B,2)</f>
        <v>Florida</v>
      </c>
      <c r="E209" s="82" t="s">
        <v>757</v>
      </c>
    </row>
    <row r="210" spans="1:5">
      <c r="A210" s="60">
        <v>55</v>
      </c>
      <c r="B210" s="79" t="s">
        <v>757</v>
      </c>
      <c r="C210" s="60" t="s">
        <v>136</v>
      </c>
      <c r="D210" s="48" t="str">
        <f>VLOOKUP(C210,'State Abbreviations'!A:B,2)</f>
        <v>Florida</v>
      </c>
      <c r="E210" s="82" t="s">
        <v>757</v>
      </c>
    </row>
    <row r="211" spans="1:5">
      <c r="A211" s="65">
        <v>56</v>
      </c>
      <c r="B211" s="80" t="s">
        <v>761</v>
      </c>
      <c r="C211" s="65" t="s">
        <v>675</v>
      </c>
      <c r="D211" s="48" t="str">
        <f>VLOOKUP(C211,'State Abbreviations'!A:B,2)</f>
        <v>Pennsylvania</v>
      </c>
      <c r="E211" s="81" t="s">
        <v>769</v>
      </c>
    </row>
    <row r="212" spans="1:5">
      <c r="A212" s="65">
        <v>56</v>
      </c>
      <c r="B212" s="80" t="s">
        <v>761</v>
      </c>
      <c r="C212" s="65" t="s">
        <v>675</v>
      </c>
      <c r="D212" s="48" t="str">
        <f>VLOOKUP(C212,'State Abbreviations'!A:B,2)</f>
        <v>Pennsylvania</v>
      </c>
      <c r="E212" s="81" t="s">
        <v>769</v>
      </c>
    </row>
    <row r="213" spans="1:5">
      <c r="A213" s="60">
        <v>57</v>
      </c>
      <c r="B213" s="79" t="s">
        <v>764</v>
      </c>
      <c r="C213" s="60" t="s">
        <v>765</v>
      </c>
      <c r="D213" s="48" t="str">
        <f>VLOOKUP(C213,'State Abbreviations'!A:B,2)</f>
        <v>Utah</v>
      </c>
      <c r="E213" s="82" t="s">
        <v>775</v>
      </c>
    </row>
    <row r="214" spans="1:5">
      <c r="A214" s="60">
        <v>57</v>
      </c>
      <c r="B214" s="79" t="s">
        <v>764</v>
      </c>
      <c r="C214" s="60" t="s">
        <v>765</v>
      </c>
      <c r="D214" s="48" t="str">
        <f>VLOOKUP(C214,'State Abbreviations'!A:B,2)</f>
        <v>Utah</v>
      </c>
      <c r="E214" s="82" t="s">
        <v>775</v>
      </c>
    </row>
    <row r="215" spans="1:5">
      <c r="A215" s="65">
        <v>58</v>
      </c>
      <c r="B215" s="80" t="s">
        <v>768</v>
      </c>
      <c r="C215" s="65" t="s">
        <v>770</v>
      </c>
      <c r="D215" s="48" t="str">
        <f>VLOOKUP(C215,'State Abbreviations'!A:B,2)</f>
        <v>Tennessee</v>
      </c>
      <c r="E215" s="81" t="s">
        <v>780</v>
      </c>
    </row>
    <row r="216" spans="1:5">
      <c r="A216" s="65">
        <v>58</v>
      </c>
      <c r="B216" s="80" t="s">
        <v>768</v>
      </c>
      <c r="C216" s="65" t="s">
        <v>770</v>
      </c>
      <c r="D216" s="48" t="str">
        <f>VLOOKUP(C216,'State Abbreviations'!A:B,2)</f>
        <v>Tennessee</v>
      </c>
      <c r="E216" s="81" t="s">
        <v>780</v>
      </c>
    </row>
    <row r="217" spans="1:5">
      <c r="A217" s="60">
        <v>59</v>
      </c>
      <c r="B217" s="79" t="s">
        <v>773</v>
      </c>
      <c r="C217" s="60" t="s">
        <v>737</v>
      </c>
      <c r="D217" s="48" t="str">
        <f>VLOOKUP(C217,'State Abbreviations'!A:B,2)</f>
        <v>New Jersey</v>
      </c>
      <c r="E217" s="82" t="s">
        <v>773</v>
      </c>
    </row>
    <row r="218" spans="1:5">
      <c r="A218" s="60">
        <v>59</v>
      </c>
      <c r="B218" s="79" t="s">
        <v>773</v>
      </c>
      <c r="C218" s="60" t="s">
        <v>737</v>
      </c>
      <c r="D218" s="48" t="str">
        <f>VLOOKUP(C218,'State Abbreviations'!A:B,2)</f>
        <v>New Jersey</v>
      </c>
      <c r="E218" s="82" t="s">
        <v>773</v>
      </c>
    </row>
    <row r="219" spans="1:5">
      <c r="A219" s="65">
        <v>60</v>
      </c>
      <c r="B219" s="80" t="s">
        <v>777</v>
      </c>
      <c r="C219" s="65" t="s">
        <v>745</v>
      </c>
      <c r="D219" s="48" t="str">
        <f>VLOOKUP(C219,'State Abbreviations'!A:B,2)</f>
        <v>Washington</v>
      </c>
      <c r="E219" s="81" t="s">
        <v>789</v>
      </c>
    </row>
    <row r="220" spans="1:5">
      <c r="A220" s="65">
        <v>60</v>
      </c>
      <c r="B220" s="80" t="s">
        <v>777</v>
      </c>
      <c r="C220" s="65" t="s">
        <v>745</v>
      </c>
      <c r="D220" s="48" t="str">
        <f>VLOOKUP(C220,'State Abbreviations'!A:B,2)</f>
        <v>Washington</v>
      </c>
      <c r="E220" s="81" t="s">
        <v>789</v>
      </c>
    </row>
    <row r="221" spans="1:5">
      <c r="A221" s="60">
        <v>61</v>
      </c>
      <c r="B221" s="79" t="s">
        <v>781</v>
      </c>
      <c r="C221" s="60" t="s">
        <v>179</v>
      </c>
      <c r="D221" s="48" t="str">
        <f>VLOOKUP(C221,'State Abbreviations'!A:B,2)</f>
        <v>Montana</v>
      </c>
      <c r="E221" s="82" t="s">
        <v>794</v>
      </c>
    </row>
    <row r="222" spans="1:5">
      <c r="A222" s="60">
        <v>61</v>
      </c>
      <c r="B222" s="79" t="s">
        <v>781</v>
      </c>
      <c r="C222" s="60" t="s">
        <v>179</v>
      </c>
      <c r="D222" s="48" t="str">
        <f>VLOOKUP(C222,'State Abbreviations'!A:B,2)</f>
        <v>Montana</v>
      </c>
      <c r="E222" s="82" t="s">
        <v>794</v>
      </c>
    </row>
    <row r="223" spans="1:5">
      <c r="A223" s="65">
        <v>62</v>
      </c>
      <c r="B223" s="80" t="s">
        <v>785</v>
      </c>
      <c r="C223" s="65" t="s">
        <v>590</v>
      </c>
      <c r="D223" s="48" t="str">
        <f>VLOOKUP(C223,'State Abbreviations'!A:B,2)</f>
        <v>Louisiana</v>
      </c>
      <c r="E223" s="65" t="s">
        <v>242</v>
      </c>
    </row>
    <row r="224" spans="1:5">
      <c r="A224" s="65">
        <v>62</v>
      </c>
      <c r="B224" s="80" t="s">
        <v>785</v>
      </c>
      <c r="C224" s="65" t="s">
        <v>590</v>
      </c>
      <c r="D224" s="48" t="str">
        <f>VLOOKUP(C224,'State Abbreviations'!A:B,2)</f>
        <v>Louisiana</v>
      </c>
      <c r="E224" s="65" t="s">
        <v>242</v>
      </c>
    </row>
    <row r="225" spans="1:5">
      <c r="A225" s="60">
        <v>63</v>
      </c>
      <c r="B225" s="79" t="s">
        <v>787</v>
      </c>
      <c r="C225" s="60" t="s">
        <v>745</v>
      </c>
      <c r="D225" s="48" t="str">
        <f>VLOOKUP(C225,'State Abbreviations'!A:B,2)</f>
        <v>Washington</v>
      </c>
      <c r="E225" s="82" t="s">
        <v>804</v>
      </c>
    </row>
    <row r="226" spans="1:5">
      <c r="A226" s="60">
        <v>63</v>
      </c>
      <c r="B226" s="79" t="s">
        <v>787</v>
      </c>
      <c r="C226" s="60" t="s">
        <v>745</v>
      </c>
      <c r="D226" s="48" t="str">
        <f>VLOOKUP(C226,'State Abbreviations'!A:B,2)</f>
        <v>Washington</v>
      </c>
      <c r="E226" s="82" t="s">
        <v>804</v>
      </c>
    </row>
    <row r="227" spans="1:5">
      <c r="A227" s="65">
        <v>64</v>
      </c>
      <c r="B227" s="80" t="s">
        <v>791</v>
      </c>
      <c r="C227" s="65" t="s">
        <v>595</v>
      </c>
      <c r="D227" s="48" t="str">
        <f>VLOOKUP(C227,'State Abbreviations'!A:B,2)</f>
        <v>Texas</v>
      </c>
      <c r="E227" s="81" t="s">
        <v>808</v>
      </c>
    </row>
    <row r="228" spans="1:5">
      <c r="A228" s="65">
        <v>64</v>
      </c>
      <c r="B228" s="80" t="s">
        <v>791</v>
      </c>
      <c r="C228" s="65" t="s">
        <v>595</v>
      </c>
      <c r="D228" s="48" t="str">
        <f>VLOOKUP(C228,'State Abbreviations'!A:B,2)</f>
        <v>Texas</v>
      </c>
      <c r="E228" s="81" t="s">
        <v>808</v>
      </c>
    </row>
    <row r="229" spans="1:5">
      <c r="A229" s="60">
        <v>65</v>
      </c>
      <c r="B229" s="79" t="s">
        <v>795</v>
      </c>
      <c r="C229" s="60" t="s">
        <v>796</v>
      </c>
      <c r="D229" s="48" t="str">
        <f>VLOOKUP(C229,'State Abbreviations'!A:B,2)</f>
        <v>Kansas</v>
      </c>
      <c r="E229" s="82" t="s">
        <v>815</v>
      </c>
    </row>
    <row r="230" spans="1:5">
      <c r="A230" s="60">
        <v>65</v>
      </c>
      <c r="B230" s="79" t="s">
        <v>795</v>
      </c>
      <c r="C230" s="60" t="s">
        <v>796</v>
      </c>
      <c r="D230" s="48" t="str">
        <f>VLOOKUP(C230,'State Abbreviations'!A:B,2)</f>
        <v>Kansas</v>
      </c>
      <c r="E230" s="82" t="s">
        <v>815</v>
      </c>
    </row>
    <row r="231" spans="1:5">
      <c r="A231" s="65">
        <v>66</v>
      </c>
      <c r="B231" s="80" t="s">
        <v>799</v>
      </c>
      <c r="C231" s="65" t="s">
        <v>69</v>
      </c>
      <c r="D231" s="48" t="str">
        <f>VLOOKUP(C231,'State Abbreviations'!A:B,2)</f>
        <v>Alabama</v>
      </c>
      <c r="E231" s="81" t="s">
        <v>612</v>
      </c>
    </row>
    <row r="232" spans="1:5">
      <c r="A232" s="65">
        <v>66</v>
      </c>
      <c r="B232" s="80" t="s">
        <v>799</v>
      </c>
      <c r="C232" s="65" t="s">
        <v>69</v>
      </c>
      <c r="D232" s="48" t="str">
        <f>VLOOKUP(C232,'State Abbreviations'!A:B,2)</f>
        <v>Alabama</v>
      </c>
      <c r="E232" s="81" t="s">
        <v>612</v>
      </c>
    </row>
    <row r="233" spans="1:5">
      <c r="A233" s="60">
        <v>67</v>
      </c>
      <c r="B233" s="79" t="s">
        <v>801</v>
      </c>
      <c r="C233" s="60" t="s">
        <v>604</v>
      </c>
      <c r="D233" s="48" t="str">
        <f>VLOOKUP(C233,'State Abbreviations'!A:B,2)</f>
        <v>Iowa</v>
      </c>
      <c r="E233" s="82" t="s">
        <v>801</v>
      </c>
    </row>
    <row r="234" spans="1:5">
      <c r="A234" s="60">
        <v>67</v>
      </c>
      <c r="B234" s="79" t="s">
        <v>801</v>
      </c>
      <c r="C234" s="60" t="s">
        <v>604</v>
      </c>
      <c r="D234" s="48" t="str">
        <f>VLOOKUP(C234,'State Abbreviations'!A:B,2)</f>
        <v>Iowa</v>
      </c>
      <c r="E234" s="82" t="s">
        <v>801</v>
      </c>
    </row>
    <row r="235" spans="1:5">
      <c r="A235" s="65">
        <v>68</v>
      </c>
      <c r="B235" s="80" t="s">
        <v>805</v>
      </c>
      <c r="C235" s="65" t="s">
        <v>602</v>
      </c>
      <c r="D235" s="48" t="str">
        <f>VLOOKUP(C235,'State Abbreviations'!A:B,2)</f>
        <v>Utah</v>
      </c>
      <c r="E235" s="81" t="s">
        <v>826</v>
      </c>
    </row>
    <row r="236" spans="1:5">
      <c r="A236" s="65">
        <v>68</v>
      </c>
      <c r="B236" s="80" t="s">
        <v>805</v>
      </c>
      <c r="C236" s="65" t="s">
        <v>602</v>
      </c>
      <c r="D236" s="48" t="str">
        <f>VLOOKUP(C236,'State Abbreviations'!A:B,2)</f>
        <v>Utah</v>
      </c>
      <c r="E236" s="81" t="s">
        <v>826</v>
      </c>
    </row>
    <row r="237" spans="1:5">
      <c r="A237" s="60">
        <v>69</v>
      </c>
      <c r="B237" s="79" t="s">
        <v>809</v>
      </c>
      <c r="C237" s="60" t="s">
        <v>602</v>
      </c>
      <c r="D237" s="48" t="str">
        <f>VLOOKUP(C237,'State Abbreviations'!A:B,2)</f>
        <v>Utah</v>
      </c>
      <c r="E237" s="82" t="s">
        <v>831</v>
      </c>
    </row>
    <row r="238" spans="1:5">
      <c r="A238" s="60">
        <v>69</v>
      </c>
      <c r="B238" s="79" t="s">
        <v>809</v>
      </c>
      <c r="C238" s="60" t="s">
        <v>602</v>
      </c>
      <c r="D238" s="48" t="str">
        <f>VLOOKUP(C238,'State Abbreviations'!A:B,2)</f>
        <v>Utah</v>
      </c>
      <c r="E238" s="82" t="s">
        <v>831</v>
      </c>
    </row>
    <row r="239" spans="1:5">
      <c r="A239" s="65">
        <v>70</v>
      </c>
      <c r="B239" s="80" t="s">
        <v>813</v>
      </c>
      <c r="C239" s="65" t="s">
        <v>598</v>
      </c>
      <c r="D239" s="48" t="str">
        <f>VLOOKUP(C239,'State Abbreviations'!A:B,2)</f>
        <v>Georgia</v>
      </c>
      <c r="E239" s="81" t="s">
        <v>836</v>
      </c>
    </row>
    <row r="240" spans="1:5">
      <c r="A240" s="65">
        <v>70</v>
      </c>
      <c r="B240" s="80" t="s">
        <v>813</v>
      </c>
      <c r="C240" s="65" t="s">
        <v>598</v>
      </c>
      <c r="D240" s="48" t="str">
        <f>VLOOKUP(C240,'State Abbreviations'!A:B,2)</f>
        <v>Georgia</v>
      </c>
      <c r="E240" s="81" t="s">
        <v>836</v>
      </c>
    </row>
    <row r="241" spans="1:5">
      <c r="A241" s="60">
        <v>71</v>
      </c>
      <c r="B241" s="79" t="s">
        <v>817</v>
      </c>
      <c r="C241" s="60" t="s">
        <v>191</v>
      </c>
      <c r="D241" s="48" t="str">
        <f>VLOOKUP(C241,'State Abbreviations'!A:B,2)</f>
        <v>Michigan</v>
      </c>
      <c r="E241" s="82" t="s">
        <v>839</v>
      </c>
    </row>
    <row r="242" spans="1:5">
      <c r="A242" s="60">
        <v>71</v>
      </c>
      <c r="B242" s="79" t="s">
        <v>817</v>
      </c>
      <c r="C242" s="60" t="s">
        <v>191</v>
      </c>
      <c r="D242" s="48" t="str">
        <f>VLOOKUP(C242,'State Abbreviations'!A:B,2)</f>
        <v>Michigan</v>
      </c>
      <c r="E242" s="82" t="s">
        <v>839</v>
      </c>
    </row>
    <row r="243" spans="1:5">
      <c r="A243" s="65">
        <v>72</v>
      </c>
      <c r="B243" s="80" t="s">
        <v>820</v>
      </c>
      <c r="C243" s="65" t="s">
        <v>595</v>
      </c>
      <c r="D243" s="48" t="str">
        <f>VLOOKUP(C243,'State Abbreviations'!A:B,2)</f>
        <v>Texas</v>
      </c>
      <c r="E243" s="81" t="s">
        <v>410</v>
      </c>
    </row>
    <row r="244" spans="1:5">
      <c r="A244" s="65">
        <v>72</v>
      </c>
      <c r="B244" s="80" t="s">
        <v>820</v>
      </c>
      <c r="C244" s="65" t="s">
        <v>595</v>
      </c>
      <c r="D244" s="48" t="str">
        <f>VLOOKUP(C244,'State Abbreviations'!A:B,2)</f>
        <v>Texas</v>
      </c>
      <c r="E244" s="81" t="s">
        <v>410</v>
      </c>
    </row>
    <row r="245" spans="1:5">
      <c r="A245" s="60">
        <v>73</v>
      </c>
      <c r="B245" s="79" t="s">
        <v>823</v>
      </c>
      <c r="C245" s="60" t="s">
        <v>588</v>
      </c>
      <c r="D245" s="48" t="str">
        <f>VLOOKUP(C245,'State Abbreviations'!A:B,2)</f>
        <v>California</v>
      </c>
      <c r="E245" s="82" t="s">
        <v>849</v>
      </c>
    </row>
    <row r="246" spans="1:5">
      <c r="A246" s="60">
        <v>73</v>
      </c>
      <c r="B246" s="79" t="s">
        <v>823</v>
      </c>
      <c r="C246" s="60" t="s">
        <v>588</v>
      </c>
      <c r="D246" s="48" t="str">
        <f>VLOOKUP(C246,'State Abbreviations'!A:B,2)</f>
        <v>California</v>
      </c>
      <c r="E246" s="82" t="s">
        <v>849</v>
      </c>
    </row>
    <row r="247" spans="1:5">
      <c r="A247" s="65">
        <v>74</v>
      </c>
      <c r="B247" s="80" t="s">
        <v>827</v>
      </c>
      <c r="C247" s="65" t="s">
        <v>624</v>
      </c>
      <c r="D247" s="48" t="str">
        <f>VLOOKUP(C247,'State Abbreviations'!A:B,2)</f>
        <v>Louisiana</v>
      </c>
      <c r="E247" s="81" t="s">
        <v>853</v>
      </c>
    </row>
    <row r="248" spans="1:5">
      <c r="A248" s="65">
        <v>74</v>
      </c>
      <c r="B248" s="80" t="s">
        <v>827</v>
      </c>
      <c r="C248" s="65" t="s">
        <v>624</v>
      </c>
      <c r="D248" s="48" t="str">
        <f>VLOOKUP(C248,'State Abbreviations'!A:B,2)</f>
        <v>Louisiana</v>
      </c>
      <c r="E248" s="81" t="s">
        <v>853</v>
      </c>
    </row>
    <row r="249" spans="1:5">
      <c r="A249" s="60">
        <v>75</v>
      </c>
      <c r="B249" s="79" t="s">
        <v>830</v>
      </c>
      <c r="C249" s="60" t="s">
        <v>598</v>
      </c>
      <c r="D249" s="48" t="str">
        <f>VLOOKUP(C249,'State Abbreviations'!A:B,2)</f>
        <v>Georgia</v>
      </c>
      <c r="E249" s="82" t="s">
        <v>857</v>
      </c>
    </row>
    <row r="250" spans="1:5">
      <c r="A250" s="60">
        <v>75</v>
      </c>
      <c r="B250" s="79" t="s">
        <v>830</v>
      </c>
      <c r="C250" s="60" t="s">
        <v>598</v>
      </c>
      <c r="D250" s="48" t="str">
        <f>VLOOKUP(C250,'State Abbreviations'!A:B,2)</f>
        <v>Georgia</v>
      </c>
      <c r="E250" s="82" t="s">
        <v>857</v>
      </c>
    </row>
    <row r="251" spans="1:5">
      <c r="A251" s="60">
        <v>76</v>
      </c>
      <c r="B251" s="79" t="s">
        <v>834</v>
      </c>
      <c r="C251" s="60" t="s">
        <v>136</v>
      </c>
      <c r="D251" s="48" t="str">
        <f>VLOOKUP(C251,'State Abbreviations'!A:B,2)</f>
        <v>Florida</v>
      </c>
      <c r="E251" s="82" t="s">
        <v>167</v>
      </c>
    </row>
    <row r="252" spans="1:5">
      <c r="A252" s="60">
        <v>76</v>
      </c>
      <c r="B252" s="79" t="s">
        <v>834</v>
      </c>
      <c r="C252" s="60" t="s">
        <v>136</v>
      </c>
      <c r="D252" s="48" t="str">
        <f>VLOOKUP(C252,'State Abbreviations'!A:B,2)</f>
        <v>Florida</v>
      </c>
      <c r="E252" s="82" t="s">
        <v>167</v>
      </c>
    </row>
    <row r="253" spans="1:5">
      <c r="A253" s="65">
        <v>77</v>
      </c>
      <c r="B253" s="80" t="s">
        <v>840</v>
      </c>
      <c r="C253" s="65" t="s">
        <v>737</v>
      </c>
      <c r="D253" s="48" t="str">
        <f>VLOOKUP(C253,'State Abbreviations'!A:B,2)</f>
        <v>New Jersey</v>
      </c>
      <c r="E253" s="65" t="s">
        <v>864</v>
      </c>
    </row>
    <row r="254" spans="1:5">
      <c r="A254" s="65">
        <v>77</v>
      </c>
      <c r="B254" s="80" t="s">
        <v>840</v>
      </c>
      <c r="C254" s="65" t="s">
        <v>737</v>
      </c>
      <c r="D254" s="48" t="str">
        <f>VLOOKUP(C254,'State Abbreviations'!A:B,2)</f>
        <v>New Jersey</v>
      </c>
      <c r="E254" s="65" t="s">
        <v>864</v>
      </c>
    </row>
    <row r="255" spans="1:5">
      <c r="A255" s="60">
        <v>78</v>
      </c>
      <c r="B255" s="79" t="s">
        <v>843</v>
      </c>
      <c r="C255" s="60" t="s">
        <v>675</v>
      </c>
      <c r="D255" s="48" t="str">
        <f>VLOOKUP(C255,'State Abbreviations'!A:B,2)</f>
        <v>Pennsylvania</v>
      </c>
      <c r="E255" s="82" t="s">
        <v>869</v>
      </c>
    </row>
    <row r="256" spans="1:5">
      <c r="A256" s="60">
        <v>78</v>
      </c>
      <c r="B256" s="79" t="s">
        <v>843</v>
      </c>
      <c r="C256" s="60" t="s">
        <v>675</v>
      </c>
      <c r="D256" s="48" t="str">
        <f>VLOOKUP(C256,'State Abbreviations'!A:B,2)</f>
        <v>Pennsylvania</v>
      </c>
      <c r="E256" s="82" t="s">
        <v>869</v>
      </c>
    </row>
    <row r="257" spans="1:5">
      <c r="A257" s="65">
        <v>79</v>
      </c>
      <c r="B257" s="80" t="s">
        <v>846</v>
      </c>
      <c r="C257" s="65" t="s">
        <v>136</v>
      </c>
      <c r="D257" s="48" t="str">
        <f>VLOOKUP(C257,'State Abbreviations'!A:B,2)</f>
        <v>Florida</v>
      </c>
      <c r="E257" s="65" t="s">
        <v>874</v>
      </c>
    </row>
    <row r="258" spans="1:5">
      <c r="A258" s="65">
        <v>79</v>
      </c>
      <c r="B258" s="80" t="s">
        <v>846</v>
      </c>
      <c r="C258" s="65" t="s">
        <v>136</v>
      </c>
      <c r="D258" s="48" t="str">
        <f>VLOOKUP(C258,'State Abbreviations'!A:B,2)</f>
        <v>Florida</v>
      </c>
      <c r="E258" s="65" t="s">
        <v>874</v>
      </c>
    </row>
    <row r="259" spans="1:5">
      <c r="A259" s="60">
        <v>80</v>
      </c>
      <c r="B259" s="79" t="s">
        <v>850</v>
      </c>
      <c r="C259" s="60" t="s">
        <v>588</v>
      </c>
      <c r="D259" s="48" t="str">
        <f>VLOOKUP(C259,'State Abbreviations'!A:B,2)</f>
        <v>California</v>
      </c>
      <c r="E259" s="82" t="s">
        <v>850</v>
      </c>
    </row>
    <row r="260" spans="1:5">
      <c r="A260" s="60">
        <v>80</v>
      </c>
      <c r="B260" s="79" t="s">
        <v>850</v>
      </c>
      <c r="C260" s="60" t="s">
        <v>588</v>
      </c>
      <c r="D260" s="48" t="str">
        <f>VLOOKUP(C260,'State Abbreviations'!A:B,2)</f>
        <v>California</v>
      </c>
      <c r="E260" s="82" t="s">
        <v>850</v>
      </c>
    </row>
    <row r="261" spans="1:5">
      <c r="A261" s="65">
        <v>81</v>
      </c>
      <c r="B261" s="80" t="s">
        <v>854</v>
      </c>
      <c r="C261" s="65" t="s">
        <v>737</v>
      </c>
      <c r="D261" s="48" t="str">
        <f>VLOOKUP(C261,'State Abbreviations'!A:B,2)</f>
        <v>New Jersey</v>
      </c>
      <c r="E261" s="84" t="s">
        <v>854</v>
      </c>
    </row>
    <row r="262" spans="1:5">
      <c r="A262" s="65">
        <v>81</v>
      </c>
      <c r="B262" s="80" t="s">
        <v>854</v>
      </c>
      <c r="C262" s="65" t="s">
        <v>737</v>
      </c>
      <c r="D262" s="48" t="str">
        <f>VLOOKUP(C262,'State Abbreviations'!A:B,2)</f>
        <v>New Jersey</v>
      </c>
      <c r="E262" s="84" t="s">
        <v>854</v>
      </c>
    </row>
    <row r="263" spans="1:5">
      <c r="A263" s="60">
        <v>82</v>
      </c>
      <c r="B263" s="79" t="s">
        <v>858</v>
      </c>
      <c r="C263" s="60" t="s">
        <v>179</v>
      </c>
      <c r="D263" s="48" t="str">
        <f>VLOOKUP(C263,'State Abbreviations'!A:B,2)</f>
        <v>Montana</v>
      </c>
      <c r="E263" s="82" t="s">
        <v>886</v>
      </c>
    </row>
    <row r="264" spans="1:5">
      <c r="A264" s="60">
        <v>82</v>
      </c>
      <c r="B264" s="79" t="s">
        <v>858</v>
      </c>
      <c r="C264" s="60" t="s">
        <v>179</v>
      </c>
      <c r="D264" s="48" t="str">
        <f>VLOOKUP(C264,'State Abbreviations'!A:B,2)</f>
        <v>Montana</v>
      </c>
      <c r="E264" s="82" t="s">
        <v>886</v>
      </c>
    </row>
    <row r="265" spans="1:5">
      <c r="A265" s="65">
        <v>83</v>
      </c>
      <c r="B265" s="80" t="s">
        <v>861</v>
      </c>
      <c r="C265" s="65" t="s">
        <v>595</v>
      </c>
      <c r="D265" s="48" t="str">
        <f>VLOOKUP(C265,'State Abbreviations'!A:B,2)</f>
        <v>Texas</v>
      </c>
      <c r="E265" s="81" t="s">
        <v>890</v>
      </c>
    </row>
    <row r="266" spans="1:5">
      <c r="A266" s="65">
        <v>83</v>
      </c>
      <c r="B266" s="80" t="s">
        <v>861</v>
      </c>
      <c r="C266" s="65" t="s">
        <v>595</v>
      </c>
      <c r="D266" s="48" t="str">
        <f>VLOOKUP(C266,'State Abbreviations'!A:B,2)</f>
        <v>Texas</v>
      </c>
      <c r="E266" s="81" t="s">
        <v>890</v>
      </c>
    </row>
    <row r="267" spans="1:5">
      <c r="A267" s="60">
        <v>84</v>
      </c>
      <c r="B267" s="79" t="s">
        <v>865</v>
      </c>
      <c r="C267" s="60" t="s">
        <v>136</v>
      </c>
      <c r="D267" s="48" t="str">
        <f>VLOOKUP(C267,'State Abbreviations'!A:B,2)</f>
        <v>Florida</v>
      </c>
      <c r="E267" s="82" t="s">
        <v>894</v>
      </c>
    </row>
    <row r="268" spans="1:5">
      <c r="A268" s="60">
        <v>84</v>
      </c>
      <c r="B268" s="79" t="s">
        <v>865</v>
      </c>
      <c r="C268" s="60" t="s">
        <v>136</v>
      </c>
      <c r="D268" s="48" t="str">
        <f>VLOOKUP(C268,'State Abbreviations'!A:B,2)</f>
        <v>Florida</v>
      </c>
      <c r="E268" s="82" t="s">
        <v>894</v>
      </c>
    </row>
    <row r="269" spans="1:5">
      <c r="A269" s="65">
        <v>85</v>
      </c>
      <c r="B269" s="80" t="s">
        <v>870</v>
      </c>
      <c r="C269" s="65" t="s">
        <v>737</v>
      </c>
      <c r="D269" s="48" t="str">
        <f>VLOOKUP(C269,'State Abbreviations'!A:B,2)</f>
        <v>New Jersey</v>
      </c>
      <c r="E269" s="65" t="s">
        <v>898</v>
      </c>
    </row>
    <row r="270" spans="1:5">
      <c r="A270" s="65">
        <v>85</v>
      </c>
      <c r="B270" s="80" t="s">
        <v>870</v>
      </c>
      <c r="C270" s="65" t="s">
        <v>737</v>
      </c>
      <c r="D270" s="48" t="str">
        <f>VLOOKUP(C270,'State Abbreviations'!A:B,2)</f>
        <v>New Jersey</v>
      </c>
      <c r="E270" s="65" t="s">
        <v>898</v>
      </c>
    </row>
    <row r="271" spans="1:5">
      <c r="A271" s="60">
        <v>86</v>
      </c>
      <c r="B271" s="79" t="s">
        <v>873</v>
      </c>
      <c r="C271" s="60" t="s">
        <v>770</v>
      </c>
      <c r="D271" s="48" t="str">
        <f>VLOOKUP(C271,'State Abbreviations'!A:B,2)</f>
        <v>Tennessee</v>
      </c>
      <c r="E271" s="82" t="s">
        <v>257</v>
      </c>
    </row>
    <row r="272" spans="1:5">
      <c r="A272" s="60">
        <v>86</v>
      </c>
      <c r="B272" s="79" t="s">
        <v>873</v>
      </c>
      <c r="C272" s="60" t="s">
        <v>770</v>
      </c>
      <c r="D272" s="48" t="str">
        <f>VLOOKUP(C272,'State Abbreviations'!A:B,2)</f>
        <v>Tennessee</v>
      </c>
      <c r="E272" s="82" t="s">
        <v>257</v>
      </c>
    </row>
    <row r="273" spans="1:5">
      <c r="A273" s="65">
        <v>87</v>
      </c>
      <c r="B273" s="80" t="s">
        <v>877</v>
      </c>
      <c r="C273" s="65" t="s">
        <v>595</v>
      </c>
      <c r="D273" s="48" t="str">
        <f>VLOOKUP(C273,'State Abbreviations'!A:B,2)</f>
        <v>Texas</v>
      </c>
      <c r="E273" s="81" t="s">
        <v>251</v>
      </c>
    </row>
    <row r="274" spans="1:5">
      <c r="A274" s="65">
        <v>87</v>
      </c>
      <c r="B274" s="80" t="s">
        <v>877</v>
      </c>
      <c r="C274" s="65" t="s">
        <v>595</v>
      </c>
      <c r="D274" s="48" t="str">
        <f>VLOOKUP(C274,'State Abbreviations'!A:B,2)</f>
        <v>Texas</v>
      </c>
      <c r="E274" s="81" t="s">
        <v>251</v>
      </c>
    </row>
    <row r="275" spans="1:5">
      <c r="A275" s="60">
        <v>88</v>
      </c>
      <c r="B275" s="79" t="s">
        <v>880</v>
      </c>
      <c r="C275" s="60" t="s">
        <v>881</v>
      </c>
      <c r="D275" s="48" t="str">
        <f>VLOOKUP(C275,'State Abbreviations'!A:B,2)</f>
        <v>Kentucky</v>
      </c>
      <c r="E275" s="82" t="s">
        <v>494</v>
      </c>
    </row>
    <row r="276" spans="1:5">
      <c r="A276" s="60">
        <v>88</v>
      </c>
      <c r="B276" s="79" t="s">
        <v>880</v>
      </c>
      <c r="C276" s="60" t="s">
        <v>881</v>
      </c>
      <c r="D276" s="48" t="str">
        <f>VLOOKUP(C276,'State Abbreviations'!A:B,2)</f>
        <v>Kentucky</v>
      </c>
      <c r="E276" s="82" t="s">
        <v>494</v>
      </c>
    </row>
    <row r="277" spans="1:5">
      <c r="A277" s="65">
        <v>89</v>
      </c>
      <c r="B277" s="80" t="s">
        <v>884</v>
      </c>
      <c r="C277" s="65" t="s">
        <v>588</v>
      </c>
      <c r="D277" s="48" t="str">
        <f>VLOOKUP(C277,'State Abbreviations'!A:B,2)</f>
        <v>California</v>
      </c>
      <c r="E277" s="81" t="s">
        <v>323</v>
      </c>
    </row>
    <row r="278" spans="1:5">
      <c r="A278" s="65">
        <v>89</v>
      </c>
      <c r="B278" s="80" t="s">
        <v>884</v>
      </c>
      <c r="C278" s="65" t="s">
        <v>588</v>
      </c>
      <c r="D278" s="48" t="str">
        <f>VLOOKUP(C278,'State Abbreviations'!A:B,2)</f>
        <v>California</v>
      </c>
      <c r="E278" s="81" t="s">
        <v>323</v>
      </c>
    </row>
    <row r="279" spans="1:5">
      <c r="A279" s="60">
        <v>90</v>
      </c>
      <c r="B279" s="79" t="s">
        <v>887</v>
      </c>
      <c r="C279" s="60" t="s">
        <v>765</v>
      </c>
      <c r="D279" s="48" t="str">
        <f>VLOOKUP(C279,'State Abbreviations'!A:B,2)</f>
        <v>Utah</v>
      </c>
      <c r="E279" s="48" t="s">
        <v>888</v>
      </c>
    </row>
    <row r="280" spans="1:5">
      <c r="A280" s="60">
        <v>90</v>
      </c>
      <c r="B280" s="79" t="s">
        <v>887</v>
      </c>
      <c r="C280" s="60" t="s">
        <v>765</v>
      </c>
      <c r="D280" s="48" t="str">
        <f>VLOOKUP(C280,'State Abbreviations'!A:B,2)</f>
        <v>Utah</v>
      </c>
      <c r="E280" s="48" t="s">
        <v>888</v>
      </c>
    </row>
    <row r="281" spans="1:5">
      <c r="A281" s="65">
        <v>91</v>
      </c>
      <c r="B281" s="80" t="s">
        <v>891</v>
      </c>
      <c r="C281" s="65" t="s">
        <v>97</v>
      </c>
      <c r="D281" s="48" t="str">
        <f>VLOOKUP(C281,'State Abbreviations'!A:B,2)</f>
        <v>Delaware</v>
      </c>
      <c r="E281" s="65" t="s">
        <v>916</v>
      </c>
    </row>
    <row r="282" spans="1:5">
      <c r="A282" s="65">
        <v>91</v>
      </c>
      <c r="B282" s="80" t="s">
        <v>891</v>
      </c>
      <c r="C282" s="65" t="s">
        <v>97</v>
      </c>
      <c r="D282" s="48" t="str">
        <f>VLOOKUP(C282,'State Abbreviations'!A:B,2)</f>
        <v>Delaware</v>
      </c>
      <c r="E282" s="65" t="s">
        <v>916</v>
      </c>
    </row>
    <row r="283" spans="1:5">
      <c r="A283" s="60">
        <v>92</v>
      </c>
      <c r="B283" s="79" t="s">
        <v>896</v>
      </c>
      <c r="C283" s="60" t="s">
        <v>897</v>
      </c>
      <c r="D283" s="48" t="str">
        <f>VLOOKUP(C283,'State Abbreviations'!A:B,2)</f>
        <v>Missouri</v>
      </c>
      <c r="E283" s="82" t="s">
        <v>921</v>
      </c>
    </row>
    <row r="284" spans="1:5">
      <c r="A284" s="60">
        <v>92</v>
      </c>
      <c r="B284" s="79" t="s">
        <v>896</v>
      </c>
      <c r="C284" s="60" t="s">
        <v>897</v>
      </c>
      <c r="D284" s="48" t="str">
        <f>VLOOKUP(C284,'State Abbreviations'!A:B,2)</f>
        <v>Missouri</v>
      </c>
      <c r="E284" s="82" t="s">
        <v>921</v>
      </c>
    </row>
    <row r="285" spans="1:5">
      <c r="A285" s="65">
        <v>93</v>
      </c>
      <c r="B285" s="80" t="s">
        <v>307</v>
      </c>
      <c r="C285" s="65" t="s">
        <v>901</v>
      </c>
      <c r="D285" s="48" t="str">
        <f>VLOOKUP(C285,'State Abbreviations'!A:B,2)</f>
        <v>Alaska</v>
      </c>
      <c r="E285" s="81" t="s">
        <v>307</v>
      </c>
    </row>
    <row r="286" spans="1:5">
      <c r="A286" s="65">
        <v>93</v>
      </c>
      <c r="B286" s="80" t="s">
        <v>307</v>
      </c>
      <c r="C286" s="65" t="s">
        <v>901</v>
      </c>
      <c r="D286" s="48" t="str">
        <f>VLOOKUP(C286,'State Abbreviations'!A:B,2)</f>
        <v>Alaska</v>
      </c>
      <c r="E286" s="81" t="s">
        <v>307</v>
      </c>
    </row>
    <row r="287" spans="1:5">
      <c r="A287" s="60">
        <v>94</v>
      </c>
      <c r="B287" s="79" t="s">
        <v>904</v>
      </c>
      <c r="C287" s="60" t="s">
        <v>745</v>
      </c>
      <c r="D287" s="48" t="str">
        <f>VLOOKUP(C287,'State Abbreviations'!A:B,2)</f>
        <v>Washington</v>
      </c>
      <c r="E287" s="82" t="s">
        <v>926</v>
      </c>
    </row>
    <row r="288" spans="1:5">
      <c r="A288" s="60">
        <v>94</v>
      </c>
      <c r="B288" s="79" t="s">
        <v>904</v>
      </c>
      <c r="C288" s="60" t="s">
        <v>745</v>
      </c>
      <c r="D288" s="48" t="str">
        <f>VLOOKUP(C288,'State Abbreviations'!A:B,2)</f>
        <v>Washington</v>
      </c>
      <c r="E288" s="82" t="s">
        <v>926</v>
      </c>
    </row>
    <row r="289" spans="1:5">
      <c r="A289" s="65">
        <v>95</v>
      </c>
      <c r="B289" s="80" t="s">
        <v>907</v>
      </c>
      <c r="C289" s="65" t="s">
        <v>588</v>
      </c>
      <c r="D289" s="48" t="str">
        <f>VLOOKUP(C289,'State Abbreviations'!A:B,2)</f>
        <v>California</v>
      </c>
      <c r="E289" s="81" t="s">
        <v>929</v>
      </c>
    </row>
    <row r="290" spans="1:5">
      <c r="A290" s="65">
        <v>95</v>
      </c>
      <c r="B290" s="80" t="s">
        <v>907</v>
      </c>
      <c r="C290" s="65" t="s">
        <v>588</v>
      </c>
      <c r="D290" s="48" t="str">
        <f>VLOOKUP(C290,'State Abbreviations'!A:B,2)</f>
        <v>California</v>
      </c>
      <c r="E290" s="81" t="s">
        <v>929</v>
      </c>
    </row>
    <row r="291" spans="1:5">
      <c r="A291" s="60">
        <v>96</v>
      </c>
      <c r="B291" s="79" t="s">
        <v>910</v>
      </c>
      <c r="C291" s="60" t="s">
        <v>598</v>
      </c>
      <c r="D291" s="48" t="str">
        <f>VLOOKUP(C291,'State Abbreviations'!A:B,2)</f>
        <v>Georgia</v>
      </c>
      <c r="E291" s="82" t="s">
        <v>503</v>
      </c>
    </row>
    <row r="292" spans="1:5">
      <c r="A292" s="60">
        <v>96</v>
      </c>
      <c r="B292" s="79" t="s">
        <v>910</v>
      </c>
      <c r="C292" s="60" t="s">
        <v>598</v>
      </c>
      <c r="D292" s="48" t="str">
        <f>VLOOKUP(C292,'State Abbreviations'!A:B,2)</f>
        <v>Georgia</v>
      </c>
      <c r="E292" s="82" t="s">
        <v>503</v>
      </c>
    </row>
    <row r="293" spans="1:5">
      <c r="A293" s="65">
        <v>97</v>
      </c>
      <c r="B293" s="80" t="s">
        <v>913</v>
      </c>
      <c r="C293" s="65" t="s">
        <v>765</v>
      </c>
      <c r="D293" s="48" t="str">
        <f>VLOOKUP(C293,'State Abbreviations'!A:B,2)</f>
        <v>Utah</v>
      </c>
      <c r="E293" s="81" t="s">
        <v>937</v>
      </c>
    </row>
    <row r="294" spans="1:5">
      <c r="A294" s="65">
        <v>97</v>
      </c>
      <c r="B294" s="80" t="s">
        <v>913</v>
      </c>
      <c r="C294" s="65" t="s">
        <v>765</v>
      </c>
      <c r="D294" s="48" t="str">
        <f>VLOOKUP(C294,'State Abbreviations'!A:B,2)</f>
        <v>Utah</v>
      </c>
      <c r="E294" s="81" t="s">
        <v>937</v>
      </c>
    </row>
    <row r="295" spans="1:5">
      <c r="A295" s="60">
        <v>98</v>
      </c>
      <c r="B295" s="79" t="s">
        <v>917</v>
      </c>
      <c r="C295" s="60" t="s">
        <v>136</v>
      </c>
      <c r="D295" s="48" t="str">
        <f>VLOOKUP(C295,'State Abbreviations'!A:B,2)</f>
        <v>Florida</v>
      </c>
      <c r="E295" s="82" t="s">
        <v>943</v>
      </c>
    </row>
    <row r="296" spans="1:5">
      <c r="A296" s="60">
        <v>98</v>
      </c>
      <c r="B296" s="79" t="s">
        <v>917</v>
      </c>
      <c r="C296" s="60" t="s">
        <v>136</v>
      </c>
      <c r="D296" s="48" t="str">
        <f>VLOOKUP(C296,'State Abbreviations'!A:B,2)</f>
        <v>Florida</v>
      </c>
      <c r="E296" s="82" t="s">
        <v>943</v>
      </c>
    </row>
    <row r="297" spans="1:5">
      <c r="A297" s="65">
        <v>99</v>
      </c>
      <c r="B297" s="80" t="s">
        <v>922</v>
      </c>
      <c r="C297" s="65" t="s">
        <v>588</v>
      </c>
      <c r="D297" s="48" t="str">
        <f>VLOOKUP(C297,'State Abbreviations'!A:B,2)</f>
        <v>California</v>
      </c>
      <c r="E297" s="81" t="s">
        <v>348</v>
      </c>
    </row>
    <row r="298" spans="1:5">
      <c r="A298" s="65">
        <v>99</v>
      </c>
      <c r="B298" s="80" t="s">
        <v>922</v>
      </c>
      <c r="C298" s="65" t="s">
        <v>588</v>
      </c>
      <c r="D298" s="48" t="str">
        <f>VLOOKUP(C298,'State Abbreviations'!A:B,2)</f>
        <v>California</v>
      </c>
      <c r="E298" s="81" t="s">
        <v>348</v>
      </c>
    </row>
    <row r="299" spans="1:5">
      <c r="A299" s="60">
        <v>100</v>
      </c>
      <c r="B299" s="79" t="s">
        <v>924</v>
      </c>
      <c r="C299" s="60" t="s">
        <v>712</v>
      </c>
      <c r="D299" s="48" t="str">
        <f>VLOOKUP(C299,'State Abbreviations'!A:B,2)</f>
        <v>Connecticut</v>
      </c>
      <c r="E299" s="48" t="s">
        <v>715</v>
      </c>
    </row>
    <row r="300" spans="1:5">
      <c r="A300" s="60">
        <v>100</v>
      </c>
      <c r="B300" s="79" t="s">
        <v>924</v>
      </c>
      <c r="C300" s="60" t="s">
        <v>712</v>
      </c>
      <c r="D300" s="48" t="str">
        <f>VLOOKUP(C300,'State Abbreviations'!A:B,2)</f>
        <v>Connecticut</v>
      </c>
      <c r="E300" s="48" t="s">
        <v>715</v>
      </c>
    </row>
    <row r="301" spans="1:5">
      <c r="A301" s="60">
        <v>101</v>
      </c>
      <c r="B301" s="79" t="s">
        <v>927</v>
      </c>
      <c r="C301" s="60" t="s">
        <v>618</v>
      </c>
      <c r="D301" s="48" t="str">
        <f>VLOOKUP(C301,'State Abbreviations'!A:B,2)</f>
        <v>Iowa</v>
      </c>
      <c r="E301" s="60" t="s">
        <v>294</v>
      </c>
    </row>
    <row r="302" spans="1:5">
      <c r="A302" s="65">
        <v>102</v>
      </c>
      <c r="B302" s="80" t="s">
        <v>930</v>
      </c>
      <c r="C302" s="65" t="s">
        <v>136</v>
      </c>
      <c r="D302" s="48" t="str">
        <f>VLOOKUP(C302,'State Abbreviations'!A:B,2)</f>
        <v>Florida</v>
      </c>
      <c r="E302" s="65" t="s">
        <v>955</v>
      </c>
    </row>
    <row r="303" spans="1:5">
      <c r="A303" s="60">
        <v>103</v>
      </c>
      <c r="B303" s="79" t="s">
        <v>933</v>
      </c>
      <c r="C303" s="60" t="s">
        <v>588</v>
      </c>
      <c r="D303" s="48" t="str">
        <f>VLOOKUP(C303,'State Abbreviations'!A:B,2)</f>
        <v>California</v>
      </c>
      <c r="E303" s="82" t="s">
        <v>957</v>
      </c>
    </row>
    <row r="304" spans="1:5">
      <c r="A304" s="65">
        <v>104</v>
      </c>
      <c r="B304" s="80" t="s">
        <v>936</v>
      </c>
      <c r="C304" s="65" t="s">
        <v>604</v>
      </c>
      <c r="D304" s="48" t="str">
        <f>VLOOKUP(C304,'State Abbreviations'!A:B,2)</f>
        <v>Iowa</v>
      </c>
      <c r="E304" s="81" t="s">
        <v>268</v>
      </c>
    </row>
    <row r="305" spans="1:5">
      <c r="A305" s="60">
        <v>105</v>
      </c>
      <c r="B305" s="79" t="s">
        <v>939</v>
      </c>
      <c r="C305" s="60" t="s">
        <v>940</v>
      </c>
      <c r="D305" s="48" t="str">
        <f>VLOOKUP(C305,'State Abbreviations'!A:B,2)</f>
        <v>Nebraska</v>
      </c>
      <c r="E305" s="82" t="s">
        <v>218</v>
      </c>
    </row>
    <row r="306" spans="1:5">
      <c r="A306" s="65">
        <v>106</v>
      </c>
      <c r="B306" s="80" t="s">
        <v>945</v>
      </c>
      <c r="C306" s="65" t="s">
        <v>588</v>
      </c>
      <c r="D306" s="48" t="str">
        <f>VLOOKUP(C306,'State Abbreviations'!A:B,2)</f>
        <v>California</v>
      </c>
      <c r="E306" s="81" t="s">
        <v>259</v>
      </c>
    </row>
    <row r="307" spans="1:5">
      <c r="A307" s="60">
        <v>107</v>
      </c>
      <c r="B307" s="79" t="s">
        <v>948</v>
      </c>
      <c r="C307" s="60" t="s">
        <v>602</v>
      </c>
      <c r="D307" s="48" t="str">
        <f>VLOOKUP(C307,'State Abbreviations'!A:B,2)</f>
        <v>Utah</v>
      </c>
      <c r="E307" s="82" t="s">
        <v>966</v>
      </c>
    </row>
    <row r="308" spans="1:5">
      <c r="A308" s="65">
        <v>108</v>
      </c>
      <c r="B308" s="80" t="s">
        <v>951</v>
      </c>
      <c r="C308" s="65" t="s">
        <v>897</v>
      </c>
      <c r="D308" s="48" t="str">
        <f>VLOOKUP(C308,'State Abbreviations'!A:B,2)</f>
        <v>Missouri</v>
      </c>
      <c r="E308" s="65" t="s">
        <v>921</v>
      </c>
    </row>
    <row r="309" spans="1:5">
      <c r="A309" s="60">
        <v>109</v>
      </c>
      <c r="B309" s="79" t="s">
        <v>953</v>
      </c>
      <c r="C309" s="60" t="s">
        <v>588</v>
      </c>
      <c r="D309" s="48" t="str">
        <f>VLOOKUP(C309,'State Abbreviations'!A:B,2)</f>
        <v>California</v>
      </c>
      <c r="E309" s="82" t="s">
        <v>971</v>
      </c>
    </row>
    <row r="310" spans="1:5">
      <c r="A310" s="65">
        <v>110</v>
      </c>
      <c r="B310" s="80" t="s">
        <v>364</v>
      </c>
      <c r="C310" s="65" t="s">
        <v>595</v>
      </c>
      <c r="D310" s="48" t="str">
        <f>VLOOKUP(C310,'State Abbreviations'!A:B,2)</f>
        <v>Texas</v>
      </c>
      <c r="E310" s="81" t="s">
        <v>364</v>
      </c>
    </row>
    <row r="311" spans="1:5">
      <c r="A311" s="60">
        <v>111</v>
      </c>
      <c r="B311" s="79" t="s">
        <v>960</v>
      </c>
      <c r="C311" s="60" t="s">
        <v>595</v>
      </c>
      <c r="D311" s="48" t="str">
        <f>VLOOKUP(C311,'State Abbreviations'!A:B,2)</f>
        <v>Texas</v>
      </c>
      <c r="E311" s="82" t="s">
        <v>252</v>
      </c>
    </row>
    <row r="312" spans="1:5">
      <c r="A312" s="65">
        <v>112</v>
      </c>
      <c r="B312" s="80" t="s">
        <v>963</v>
      </c>
      <c r="C312" s="65" t="s">
        <v>136</v>
      </c>
      <c r="D312" s="48" t="str">
        <f>VLOOKUP(C312,'State Abbreviations'!A:B,2)</f>
        <v>Florida</v>
      </c>
      <c r="E312" s="81" t="s">
        <v>538</v>
      </c>
    </row>
    <row r="313" spans="1:5">
      <c r="A313" s="60">
        <v>113</v>
      </c>
      <c r="B313" s="79" t="s">
        <v>968</v>
      </c>
      <c r="C313" s="60" t="s">
        <v>69</v>
      </c>
      <c r="D313" s="48" t="str">
        <f>VLOOKUP(C313,'State Abbreviations'!A:B,2)</f>
        <v>Alabama</v>
      </c>
      <c r="E313" s="82" t="s">
        <v>472</v>
      </c>
    </row>
    <row r="314" spans="1:5">
      <c r="A314" s="65">
        <v>114</v>
      </c>
      <c r="B314" s="80" t="s">
        <v>503</v>
      </c>
      <c r="C314" s="65" t="s">
        <v>598</v>
      </c>
      <c r="D314" s="48" t="str">
        <f>VLOOKUP(C314,'State Abbreviations'!A:B,2)</f>
        <v>Georgia</v>
      </c>
      <c r="E314" s="81" t="s">
        <v>981</v>
      </c>
    </row>
    <row r="315" spans="1:5">
      <c r="A315" s="60">
        <v>115</v>
      </c>
      <c r="B315" s="79" t="s">
        <v>974</v>
      </c>
      <c r="C315" s="60" t="s">
        <v>975</v>
      </c>
      <c r="D315" s="48" t="str">
        <f>VLOOKUP(C315,'State Abbreviations'!A:B,2)</f>
        <v>New Mexico</v>
      </c>
      <c r="E315" s="84" t="s">
        <v>974</v>
      </c>
    </row>
    <row r="316" spans="1:5">
      <c r="A316" s="65">
        <v>116</v>
      </c>
      <c r="B316" s="80" t="s">
        <v>978</v>
      </c>
      <c r="C316" s="65" t="s">
        <v>588</v>
      </c>
      <c r="D316" s="48" t="str">
        <f>VLOOKUP(C316,'State Abbreviations'!A:B,2)</f>
        <v>California</v>
      </c>
      <c r="E316" s="81" t="s">
        <v>985</v>
      </c>
    </row>
    <row r="317" spans="1:5">
      <c r="A317" s="60">
        <v>117</v>
      </c>
      <c r="B317" s="79" t="s">
        <v>982</v>
      </c>
      <c r="C317" s="60" t="s">
        <v>588</v>
      </c>
      <c r="D317" s="48" t="str">
        <f>VLOOKUP(C317,'State Abbreviations'!A:B,2)</f>
        <v>California</v>
      </c>
      <c r="E317" s="82" t="s">
        <v>988</v>
      </c>
    </row>
    <row r="318" spans="1:5">
      <c r="A318" s="65">
        <v>118</v>
      </c>
      <c r="B318" s="80" t="s">
        <v>986</v>
      </c>
      <c r="C318" s="65" t="s">
        <v>179</v>
      </c>
      <c r="D318" s="48" t="str">
        <f>VLOOKUP(C318,'State Abbreviations'!A:B,2)</f>
        <v>Montana</v>
      </c>
      <c r="E318" s="81" t="s">
        <v>990</v>
      </c>
    </row>
    <row r="319" spans="1:5">
      <c r="A319" s="60">
        <v>119</v>
      </c>
      <c r="B319" s="79" t="s">
        <v>991</v>
      </c>
      <c r="C319" s="60" t="s">
        <v>588</v>
      </c>
      <c r="D319" s="48" t="str">
        <f>VLOOKUP(C319,'State Abbreviations'!A:B,2)</f>
        <v>California</v>
      </c>
      <c r="E319" s="60" t="s">
        <v>237</v>
      </c>
    </row>
    <row r="320" spans="1:5">
      <c r="A320" s="65">
        <v>120</v>
      </c>
      <c r="B320" s="80" t="s">
        <v>994</v>
      </c>
      <c r="C320" s="65" t="s">
        <v>897</v>
      </c>
      <c r="D320" s="48" t="str">
        <f>VLOOKUP(C320,'State Abbreviations'!A:B,2)</f>
        <v>Missouri</v>
      </c>
      <c r="E320" s="81" t="s">
        <v>921</v>
      </c>
    </row>
    <row r="321" spans="1:5">
      <c r="A321" s="97">
        <v>121</v>
      </c>
      <c r="B321" s="99" t="s">
        <v>995</v>
      </c>
      <c r="C321" s="97" t="s">
        <v>598</v>
      </c>
      <c r="D321" s="48" t="str">
        <f>VLOOKUP(C321,'State Abbreviations'!A:B,2)</f>
        <v>Georgia</v>
      </c>
      <c r="E321" s="101" t="s">
        <v>444</v>
      </c>
    </row>
    <row r="322" spans="1:5">
      <c r="A322" s="65">
        <v>122</v>
      </c>
      <c r="B322" s="80" t="s">
        <v>997</v>
      </c>
      <c r="C322" s="65" t="s">
        <v>595</v>
      </c>
      <c r="D322" s="48" t="str">
        <f>VLOOKUP(C322,'State Abbreviations'!A:B,2)</f>
        <v>Texas</v>
      </c>
      <c r="E322" s="81" t="s">
        <v>998</v>
      </c>
    </row>
    <row r="323" spans="1:5">
      <c r="A323" s="60">
        <v>123</v>
      </c>
      <c r="B323" s="79" t="s">
        <v>999</v>
      </c>
      <c r="C323" s="60" t="s">
        <v>595</v>
      </c>
      <c r="D323" s="48" t="str">
        <f>VLOOKUP(C323,'State Abbreviations'!A:B,2)</f>
        <v>Texas</v>
      </c>
      <c r="E323" s="82" t="s">
        <v>1002</v>
      </c>
    </row>
    <row r="324" spans="1:5">
      <c r="A324" s="65">
        <v>124</v>
      </c>
      <c r="B324" s="80" t="s">
        <v>1003</v>
      </c>
      <c r="C324" s="65" t="s">
        <v>618</v>
      </c>
      <c r="D324" s="48" t="str">
        <f>VLOOKUP(C324,'State Abbreviations'!A:B,2)</f>
        <v>Iowa</v>
      </c>
      <c r="E324" s="81" t="s">
        <v>1004</v>
      </c>
    </row>
    <row r="325" spans="1:5">
      <c r="A325" s="60">
        <v>125</v>
      </c>
      <c r="B325" s="79" t="s">
        <v>1005</v>
      </c>
      <c r="C325" s="60" t="s">
        <v>595</v>
      </c>
      <c r="D325" s="48" t="str">
        <f>VLOOKUP(C325,'State Abbreviations'!A:B,2)</f>
        <v>Texas</v>
      </c>
      <c r="E325" s="84" t="s">
        <v>118</v>
      </c>
    </row>
    <row r="326" spans="1:5">
      <c r="A326" s="60">
        <v>126</v>
      </c>
      <c r="B326" s="79" t="s">
        <v>1008</v>
      </c>
      <c r="C326" s="60" t="s">
        <v>136</v>
      </c>
      <c r="D326" s="48" t="str">
        <f>VLOOKUP(C326,'State Abbreviations'!A:B,2)</f>
        <v>Florida</v>
      </c>
      <c r="E326" s="82" t="s">
        <v>1009</v>
      </c>
    </row>
    <row r="327" spans="1:5">
      <c r="A327" s="65">
        <v>127</v>
      </c>
      <c r="B327" s="80" t="s">
        <v>1010</v>
      </c>
      <c r="C327" s="65" t="s">
        <v>136</v>
      </c>
      <c r="D327" s="48" t="str">
        <f>VLOOKUP(C327,'State Abbreviations'!A:B,2)</f>
        <v>Florida</v>
      </c>
      <c r="E327" s="81" t="s">
        <v>943</v>
      </c>
    </row>
    <row r="328" spans="1:5">
      <c r="A328" s="60">
        <v>128</v>
      </c>
      <c r="B328" s="79" t="s">
        <v>1013</v>
      </c>
      <c r="C328" s="60" t="s">
        <v>598</v>
      </c>
      <c r="D328" s="48" t="str">
        <f>VLOOKUP(C328,'State Abbreviations'!A:B,2)</f>
        <v>Georgia</v>
      </c>
      <c r="E328" s="82" t="s">
        <v>1014</v>
      </c>
    </row>
    <row r="329" spans="1:5">
      <c r="A329" s="65">
        <v>129</v>
      </c>
      <c r="B329" s="80" t="s">
        <v>1015</v>
      </c>
      <c r="C329" s="65" t="s">
        <v>588</v>
      </c>
      <c r="D329" s="48" t="str">
        <f>VLOOKUP(C329,'State Abbreviations'!A:B,2)</f>
        <v>California</v>
      </c>
      <c r="E329" s="81" t="s">
        <v>49</v>
      </c>
    </row>
    <row r="330" spans="1:5">
      <c r="A330" s="60">
        <v>130</v>
      </c>
      <c r="B330" s="79" t="s">
        <v>1018</v>
      </c>
      <c r="C330" s="60" t="s">
        <v>136</v>
      </c>
      <c r="D330" s="48" t="str">
        <f>VLOOKUP(C330,'State Abbreviations'!A:B,2)</f>
        <v>Florida</v>
      </c>
      <c r="E330" s="82" t="s">
        <v>1018</v>
      </c>
    </row>
    <row r="331" spans="1:5">
      <c r="A331" s="65">
        <v>131</v>
      </c>
      <c r="B331" s="80" t="s">
        <v>1019</v>
      </c>
      <c r="C331" s="65" t="s">
        <v>595</v>
      </c>
      <c r="D331" s="48" t="str">
        <f>VLOOKUP(C331,'State Abbreviations'!A:B,2)</f>
        <v>Texas</v>
      </c>
      <c r="E331" s="81" t="s">
        <v>251</v>
      </c>
    </row>
    <row r="332" spans="1:5">
      <c r="A332" s="60">
        <v>132</v>
      </c>
      <c r="B332" s="79" t="s">
        <v>1021</v>
      </c>
      <c r="C332" s="60" t="s">
        <v>604</v>
      </c>
      <c r="D332" s="48" t="str">
        <f>VLOOKUP(C332,'State Abbreviations'!A:B,2)</f>
        <v>Iowa</v>
      </c>
      <c r="E332" s="82" t="s">
        <v>268</v>
      </c>
    </row>
    <row r="333" spans="1:5">
      <c r="A333" s="65">
        <v>133</v>
      </c>
      <c r="B333" s="80" t="s">
        <v>1023</v>
      </c>
      <c r="C333" s="65" t="s">
        <v>975</v>
      </c>
      <c r="D333" s="48" t="str">
        <f>VLOOKUP(C333,'State Abbreviations'!A:B,2)</f>
        <v>New Mexico</v>
      </c>
      <c r="E333" s="65" t="s">
        <v>1025</v>
      </c>
    </row>
    <row r="334" spans="1:5">
      <c r="A334" s="60">
        <v>134</v>
      </c>
      <c r="B334" s="79" t="s">
        <v>1026</v>
      </c>
      <c r="C334" s="60" t="s">
        <v>604</v>
      </c>
      <c r="D334" s="48" t="str">
        <f>VLOOKUP(C334,'State Abbreviations'!A:B,2)</f>
        <v>Iowa</v>
      </c>
      <c r="E334" s="82" t="s">
        <v>268</v>
      </c>
    </row>
    <row r="335" spans="1:5">
      <c r="A335" s="65">
        <v>135</v>
      </c>
      <c r="B335" s="80" t="s">
        <v>1028</v>
      </c>
      <c r="C335" s="65" t="s">
        <v>595</v>
      </c>
      <c r="D335" s="48" t="str">
        <f>VLOOKUP(C335,'State Abbreviations'!A:B,2)</f>
        <v>Texas</v>
      </c>
      <c r="E335" s="81" t="s">
        <v>574</v>
      </c>
    </row>
    <row r="336" spans="1:5">
      <c r="A336" s="60">
        <v>136</v>
      </c>
      <c r="B336" s="79" t="s">
        <v>1030</v>
      </c>
      <c r="C336" s="60" t="s">
        <v>604</v>
      </c>
      <c r="D336" s="48" t="str">
        <f>VLOOKUP(C336,'State Abbreviations'!A:B,2)</f>
        <v>Iowa</v>
      </c>
      <c r="E336" s="60" t="s">
        <v>536</v>
      </c>
    </row>
    <row r="337" spans="1:5">
      <c r="A337" s="65">
        <v>137</v>
      </c>
      <c r="B337" s="80" t="s">
        <v>1032</v>
      </c>
      <c r="C337" s="65" t="s">
        <v>69</v>
      </c>
      <c r="D337" s="48" t="str">
        <f>VLOOKUP(C337,'State Abbreviations'!A:B,2)</f>
        <v>Alabama</v>
      </c>
      <c r="E337" s="65" t="s">
        <v>612</v>
      </c>
    </row>
    <row r="338" spans="1:5">
      <c r="A338" s="60">
        <v>138</v>
      </c>
      <c r="B338" s="79" t="s">
        <v>1034</v>
      </c>
      <c r="C338" s="60" t="s">
        <v>608</v>
      </c>
      <c r="D338" s="48" t="str">
        <f>VLOOKUP(C338,'State Abbreviations'!A:B,2)</f>
        <v>Minnesota</v>
      </c>
      <c r="E338" s="60" t="s">
        <v>220</v>
      </c>
    </row>
    <row r="339" spans="1:5">
      <c r="A339" s="65">
        <v>139</v>
      </c>
      <c r="B339" s="80" t="s">
        <v>1037</v>
      </c>
      <c r="C339" s="65" t="s">
        <v>646</v>
      </c>
      <c r="D339" s="48" t="str">
        <f>VLOOKUP(C339,'State Abbreviations'!A:B,2)</f>
        <v>Montana</v>
      </c>
      <c r="E339" s="81" t="s">
        <v>556</v>
      </c>
    </row>
    <row r="340" spans="1:5">
      <c r="A340" s="60">
        <v>140</v>
      </c>
      <c r="B340" s="79" t="s">
        <v>1038</v>
      </c>
      <c r="C340" s="60" t="s">
        <v>1039</v>
      </c>
      <c r="D340" s="48" t="str">
        <f>VLOOKUP(C340,'State Abbreviations'!A:B,2)</f>
        <v>Louisiana</v>
      </c>
      <c r="E340" s="60" t="s">
        <v>416</v>
      </c>
    </row>
    <row r="341" spans="1:5">
      <c r="A341" s="65">
        <v>141</v>
      </c>
      <c r="B341" s="80" t="s">
        <v>1042</v>
      </c>
      <c r="C341" s="65" t="s">
        <v>646</v>
      </c>
      <c r="D341" s="48" t="str">
        <f>VLOOKUP(C341,'State Abbreviations'!A:B,2)</f>
        <v>Montana</v>
      </c>
      <c r="E341" s="81" t="s">
        <v>556</v>
      </c>
    </row>
    <row r="342" spans="1:5">
      <c r="A342" s="60">
        <v>142</v>
      </c>
      <c r="B342" s="79" t="s">
        <v>1043</v>
      </c>
      <c r="C342" s="60" t="s">
        <v>595</v>
      </c>
      <c r="D342" s="48" t="str">
        <f>VLOOKUP(C342,'State Abbreviations'!A:B,2)</f>
        <v>Texas</v>
      </c>
      <c r="E342" s="60" t="s">
        <v>1043</v>
      </c>
    </row>
    <row r="343" spans="1:5">
      <c r="A343" s="65">
        <v>143</v>
      </c>
      <c r="B343" s="80" t="s">
        <v>1045</v>
      </c>
      <c r="C343" s="65" t="s">
        <v>901</v>
      </c>
      <c r="D343" s="48" t="str">
        <f>VLOOKUP(C343,'State Abbreviations'!A:B,2)</f>
        <v>Alaska</v>
      </c>
      <c r="E343" s="81" t="s">
        <v>1045</v>
      </c>
    </row>
    <row r="344" spans="1:5">
      <c r="A344" s="60">
        <v>144</v>
      </c>
      <c r="B344" s="79" t="s">
        <v>1047</v>
      </c>
      <c r="C344" s="60" t="s">
        <v>595</v>
      </c>
      <c r="D344" s="48" t="str">
        <f>VLOOKUP(C344,'State Abbreviations'!A:B,2)</f>
        <v>Texas</v>
      </c>
      <c r="E344" s="60" t="s">
        <v>1048</v>
      </c>
    </row>
    <row r="345" spans="1:5">
      <c r="A345" s="65">
        <v>145</v>
      </c>
      <c r="B345" s="80" t="s">
        <v>1049</v>
      </c>
      <c r="C345" s="65" t="s">
        <v>1050</v>
      </c>
      <c r="D345" s="48" t="str">
        <f>VLOOKUP(C345,'State Abbreviations'!A:B,2)</f>
        <v>District Of Columbia</v>
      </c>
      <c r="E345" s="65" t="s">
        <v>1053</v>
      </c>
    </row>
    <row r="346" spans="1:5">
      <c r="A346" s="60">
        <v>146</v>
      </c>
      <c r="B346" s="79" t="s">
        <v>1054</v>
      </c>
      <c r="C346" s="60" t="s">
        <v>1055</v>
      </c>
      <c r="D346" s="48" t="str">
        <f>VLOOKUP(C346,'State Abbreviations'!A:B,2)</f>
        <v>Oklahoma</v>
      </c>
      <c r="E346" s="60" t="s">
        <v>1054</v>
      </c>
    </row>
    <row r="347" spans="1:5">
      <c r="A347" s="65">
        <v>147</v>
      </c>
      <c r="B347" s="80" t="s">
        <v>1056</v>
      </c>
      <c r="C347" s="65" t="s">
        <v>136</v>
      </c>
      <c r="D347" s="48" t="str">
        <f>VLOOKUP(C347,'State Abbreviations'!A:B,2)</f>
        <v>Florida</v>
      </c>
      <c r="E347" s="65" t="s">
        <v>1058</v>
      </c>
    </row>
    <row r="348" spans="1:5">
      <c r="A348" s="97">
        <v>148</v>
      </c>
      <c r="B348" s="99" t="s">
        <v>1059</v>
      </c>
      <c r="C348" s="97" t="s">
        <v>595</v>
      </c>
      <c r="D348" s="48" t="str">
        <f>VLOOKUP(C348,'State Abbreviations'!A:B,2)</f>
        <v>Texas</v>
      </c>
      <c r="E348" s="97" t="s">
        <v>1061</v>
      </c>
    </row>
    <row r="349" spans="1:5">
      <c r="A349" s="65">
        <v>149</v>
      </c>
      <c r="B349" s="80" t="s">
        <v>1062</v>
      </c>
      <c r="C349" s="65" t="s">
        <v>770</v>
      </c>
      <c r="D349" s="48" t="str">
        <f>VLOOKUP(C349,'State Abbreviations'!A:B,2)</f>
        <v>Tennessee</v>
      </c>
      <c r="E349" s="81" t="s">
        <v>257</v>
      </c>
    </row>
    <row r="350" spans="1:5">
      <c r="A350" s="60">
        <v>150</v>
      </c>
      <c r="B350" s="79" t="s">
        <v>1064</v>
      </c>
      <c r="C350" s="60" t="s">
        <v>588</v>
      </c>
      <c r="D350" s="48" t="str">
        <f>VLOOKUP(C350,'State Abbreviations'!A:B,2)</f>
        <v>California</v>
      </c>
      <c r="E350" s="84" t="s">
        <v>286</v>
      </c>
    </row>
    <row r="351" spans="1:5">
      <c r="A351" s="60">
        <v>151</v>
      </c>
      <c r="B351" s="79" t="s">
        <v>1066</v>
      </c>
      <c r="C351" s="60" t="s">
        <v>1067</v>
      </c>
      <c r="D351" s="48" t="str">
        <f>VLOOKUP(C351,'State Abbreviations'!A:B,2)</f>
        <v>Pennsylvania</v>
      </c>
      <c r="E351" s="82" t="s">
        <v>1068</v>
      </c>
    </row>
    <row r="352" spans="1:5">
      <c r="A352" s="65">
        <v>152</v>
      </c>
      <c r="B352" s="80" t="s">
        <v>1069</v>
      </c>
      <c r="C352" s="65" t="s">
        <v>624</v>
      </c>
      <c r="D352" s="48" t="str">
        <f>VLOOKUP(C352,'State Abbreviations'!A:B,2)</f>
        <v>Louisiana</v>
      </c>
      <c r="E352" s="81" t="s">
        <v>380</v>
      </c>
    </row>
    <row r="353" spans="1:5">
      <c r="A353" s="60">
        <v>153</v>
      </c>
      <c r="B353" s="79" t="s">
        <v>1072</v>
      </c>
      <c r="C353" s="60" t="s">
        <v>595</v>
      </c>
      <c r="D353" s="48" t="str">
        <f>VLOOKUP(C353,'State Abbreviations'!A:B,2)</f>
        <v>Texas</v>
      </c>
      <c r="E353" s="82" t="s">
        <v>1073</v>
      </c>
    </row>
    <row r="354" spans="1:5">
      <c r="A354" s="65">
        <v>154</v>
      </c>
      <c r="B354" s="80" t="s">
        <v>1074</v>
      </c>
      <c r="C354" s="65" t="s">
        <v>71</v>
      </c>
      <c r="D354" s="48" t="str">
        <f>VLOOKUP(C354,'State Abbreviations'!A:B,2)</f>
        <v>Arizona</v>
      </c>
      <c r="E354" s="84" t="s">
        <v>1075</v>
      </c>
    </row>
    <row r="355" spans="1:5">
      <c r="A355" s="60">
        <v>155</v>
      </c>
      <c r="B355" s="79" t="s">
        <v>1077</v>
      </c>
      <c r="C355" s="60" t="s">
        <v>179</v>
      </c>
      <c r="D355" s="48" t="str">
        <f>VLOOKUP(C355,'State Abbreviations'!A:B,2)</f>
        <v>Montana</v>
      </c>
      <c r="E355" s="82" t="s">
        <v>286</v>
      </c>
    </row>
    <row r="356" spans="1:5">
      <c r="A356" s="65">
        <v>156</v>
      </c>
      <c r="B356" s="80" t="s">
        <v>1078</v>
      </c>
      <c r="C356" s="65" t="s">
        <v>588</v>
      </c>
      <c r="D356" s="48" t="str">
        <f>VLOOKUP(C356,'State Abbreviations'!A:B,2)</f>
        <v>California</v>
      </c>
      <c r="E356" s="81" t="s">
        <v>323</v>
      </c>
    </row>
    <row r="357" spans="1:5">
      <c r="A357" s="60">
        <v>157</v>
      </c>
      <c r="B357" s="79" t="s">
        <v>470</v>
      </c>
      <c r="C357" s="60" t="s">
        <v>618</v>
      </c>
      <c r="D357" s="48" t="str">
        <f>VLOOKUP(C357,'State Abbreviations'!A:B,2)</f>
        <v>Iowa</v>
      </c>
      <c r="E357" s="60" t="s">
        <v>470</v>
      </c>
    </row>
    <row r="358" spans="1:5">
      <c r="A358" s="65">
        <v>158</v>
      </c>
      <c r="B358" s="80" t="s">
        <v>1081</v>
      </c>
      <c r="C358" s="65" t="s">
        <v>174</v>
      </c>
      <c r="D358" s="48" t="str">
        <f>VLOOKUP(C358,'State Abbreviations'!A:B,2)</f>
        <v>Ohio</v>
      </c>
      <c r="E358" s="81" t="s">
        <v>1084</v>
      </c>
    </row>
    <row r="359" spans="1:5">
      <c r="A359" s="60">
        <v>159</v>
      </c>
      <c r="B359" s="79" t="s">
        <v>1085</v>
      </c>
      <c r="C359" s="60" t="s">
        <v>604</v>
      </c>
      <c r="D359" s="48" t="str">
        <f>VLOOKUP(C359,'State Abbreviations'!A:B,2)</f>
        <v>Iowa</v>
      </c>
      <c r="E359" s="60" t="s">
        <v>1086</v>
      </c>
    </row>
    <row r="360" spans="1:5">
      <c r="A360" s="65">
        <v>160</v>
      </c>
      <c r="B360" s="80" t="s">
        <v>1087</v>
      </c>
      <c r="C360" s="65" t="s">
        <v>737</v>
      </c>
      <c r="D360" s="48" t="str">
        <f>VLOOKUP(C360,'State Abbreviations'!A:B,2)</f>
        <v>New Jersey</v>
      </c>
      <c r="E360" s="81" t="s">
        <v>1089</v>
      </c>
    </row>
    <row r="361" spans="1:5">
      <c r="A361" s="60">
        <v>161</v>
      </c>
      <c r="B361" s="79" t="s">
        <v>1091</v>
      </c>
      <c r="C361" s="60" t="s">
        <v>136</v>
      </c>
      <c r="D361" s="48" t="str">
        <f>VLOOKUP(C361,'State Abbreviations'!A:B,2)</f>
        <v>Florida</v>
      </c>
      <c r="E361" s="60" t="s">
        <v>1092</v>
      </c>
    </row>
    <row r="362" spans="1:5">
      <c r="A362" s="65">
        <v>162</v>
      </c>
      <c r="B362" s="80" t="s">
        <v>1093</v>
      </c>
      <c r="C362" s="65" t="s">
        <v>1094</v>
      </c>
      <c r="D362" s="48" t="str">
        <f>VLOOKUP(C362,'State Abbreviations'!A:B,2)</f>
        <v>Maine</v>
      </c>
      <c r="E362" s="65" t="s">
        <v>1093</v>
      </c>
    </row>
    <row r="363" spans="1:5">
      <c r="A363" s="60">
        <v>163</v>
      </c>
      <c r="B363" s="79" t="s">
        <v>1096</v>
      </c>
      <c r="C363" s="60" t="s">
        <v>796</v>
      </c>
      <c r="D363" s="48" t="str">
        <f>VLOOKUP(C363,'State Abbreviations'!A:B,2)</f>
        <v>Kansas</v>
      </c>
      <c r="E363" s="60" t="s">
        <v>1096</v>
      </c>
    </row>
    <row r="364" spans="1:5">
      <c r="A364" s="65">
        <v>164</v>
      </c>
      <c r="B364" s="80" t="s">
        <v>1098</v>
      </c>
      <c r="C364" s="65" t="s">
        <v>71</v>
      </c>
      <c r="D364" s="48" t="str">
        <f>VLOOKUP(C364,'State Abbreviations'!A:B,2)</f>
        <v>Arizona</v>
      </c>
      <c r="E364" s="65" t="s">
        <v>1075</v>
      </c>
    </row>
    <row r="365" spans="1:5">
      <c r="A365" s="60">
        <v>165</v>
      </c>
      <c r="B365" s="79" t="s">
        <v>1100</v>
      </c>
      <c r="C365" s="60" t="s">
        <v>174</v>
      </c>
      <c r="D365" s="48" t="str">
        <f>VLOOKUP(C365,'State Abbreviations'!A:B,2)</f>
        <v>Ohio</v>
      </c>
      <c r="E365" s="82" t="s">
        <v>1101</v>
      </c>
    </row>
    <row r="366" spans="1:5">
      <c r="A366" s="65">
        <v>166</v>
      </c>
      <c r="B366" s="80" t="s">
        <v>1102</v>
      </c>
      <c r="C366" s="65" t="s">
        <v>604</v>
      </c>
      <c r="D366" s="48" t="str">
        <f>VLOOKUP(C366,'State Abbreviations'!A:B,2)</f>
        <v>Iowa</v>
      </c>
      <c r="E366" s="65" t="s">
        <v>1105</v>
      </c>
    </row>
    <row r="367" spans="1:5">
      <c r="A367" s="60">
        <v>167</v>
      </c>
      <c r="B367" s="79" t="s">
        <v>1106</v>
      </c>
      <c r="C367" s="60" t="s">
        <v>1067</v>
      </c>
      <c r="D367" s="48" t="str">
        <f>VLOOKUP(C367,'State Abbreviations'!A:B,2)</f>
        <v>Pennsylvania</v>
      </c>
      <c r="E367" s="84" t="s">
        <v>1107</v>
      </c>
    </row>
    <row r="368" spans="1:5">
      <c r="A368" s="65">
        <v>168</v>
      </c>
      <c r="B368" s="80" t="s">
        <v>1108</v>
      </c>
      <c r="C368" s="65" t="s">
        <v>901</v>
      </c>
      <c r="D368" s="48" t="str">
        <f>VLOOKUP(C368,'State Abbreviations'!A:B,2)</f>
        <v>Alaska</v>
      </c>
      <c r="E368" s="81" t="s">
        <v>1108</v>
      </c>
    </row>
    <row r="369" spans="1:5">
      <c r="A369" s="60">
        <v>169</v>
      </c>
      <c r="B369" s="79" t="s">
        <v>1111</v>
      </c>
      <c r="C369" s="60" t="s">
        <v>191</v>
      </c>
      <c r="D369" s="48" t="str">
        <f>VLOOKUP(C369,'State Abbreviations'!A:B,2)</f>
        <v>Michigan</v>
      </c>
      <c r="E369" s="60" t="s">
        <v>347</v>
      </c>
    </row>
    <row r="370" spans="1:5">
      <c r="A370" s="65">
        <v>170</v>
      </c>
      <c r="B370" s="80" t="s">
        <v>1112</v>
      </c>
      <c r="C370" s="65" t="s">
        <v>604</v>
      </c>
      <c r="D370" s="48" t="str">
        <f>VLOOKUP(C370,'State Abbreviations'!A:B,2)</f>
        <v>Iowa</v>
      </c>
      <c r="E370" s="65" t="s">
        <v>268</v>
      </c>
    </row>
    <row r="371" spans="1:5">
      <c r="A371" s="60">
        <v>171</v>
      </c>
      <c r="B371" s="79" t="s">
        <v>1115</v>
      </c>
      <c r="C371" s="60" t="s">
        <v>588</v>
      </c>
      <c r="D371" s="48" t="str">
        <f>VLOOKUP(C371,'State Abbreviations'!A:B,2)</f>
        <v>California</v>
      </c>
      <c r="E371" s="60" t="s">
        <v>1115</v>
      </c>
    </row>
    <row r="372" spans="1:5">
      <c r="A372" s="65">
        <v>172</v>
      </c>
      <c r="B372" s="80" t="s">
        <v>1117</v>
      </c>
      <c r="C372" s="65" t="s">
        <v>588</v>
      </c>
      <c r="D372" s="48" t="str">
        <f>VLOOKUP(C372,'State Abbreviations'!A:B,2)</f>
        <v>California</v>
      </c>
      <c r="E372" s="65" t="s">
        <v>1120</v>
      </c>
    </row>
    <row r="373" spans="1:5">
      <c r="A373" s="60">
        <v>173</v>
      </c>
      <c r="B373" s="79" t="s">
        <v>1121</v>
      </c>
      <c r="C373" s="60" t="s">
        <v>136</v>
      </c>
      <c r="D373" s="48" t="str">
        <f>VLOOKUP(C373,'State Abbreviations'!A:B,2)</f>
        <v>Florida</v>
      </c>
      <c r="E373" s="60" t="s">
        <v>943</v>
      </c>
    </row>
    <row r="374" spans="1:5">
      <c r="A374" s="65">
        <v>174</v>
      </c>
      <c r="B374" s="80" t="s">
        <v>1124</v>
      </c>
      <c r="C374" s="65" t="s">
        <v>770</v>
      </c>
      <c r="D374" s="48" t="str">
        <f>VLOOKUP(C374,'State Abbreviations'!A:B,2)</f>
        <v>Tennessee</v>
      </c>
      <c r="E374" s="81" t="s">
        <v>1125</v>
      </c>
    </row>
    <row r="375" spans="1:5">
      <c r="A375" s="60">
        <v>175</v>
      </c>
      <c r="B375" s="79" t="s">
        <v>1126</v>
      </c>
      <c r="C375" s="60" t="s">
        <v>682</v>
      </c>
      <c r="D375" s="48" t="str">
        <f>VLOOKUP(C375,'State Abbreviations'!A:B,2)</f>
        <v>District Of Columbia</v>
      </c>
      <c r="E375" s="84" t="s">
        <v>1128</v>
      </c>
    </row>
    <row r="376" spans="1:5">
      <c r="A376" s="60">
        <v>176</v>
      </c>
      <c r="B376" s="79" t="s">
        <v>1130</v>
      </c>
      <c r="C376" s="60" t="s">
        <v>595</v>
      </c>
      <c r="D376" s="48" t="str">
        <f>VLOOKUP(C376,'State Abbreviations'!A:B,2)</f>
        <v>Texas</v>
      </c>
      <c r="E376" s="82" t="s">
        <v>364</v>
      </c>
    </row>
    <row r="377" spans="1:5">
      <c r="A377" s="65">
        <v>177</v>
      </c>
      <c r="B377" s="80" t="s">
        <v>1131</v>
      </c>
      <c r="C377" s="65" t="s">
        <v>604</v>
      </c>
      <c r="D377" s="48" t="str">
        <f>VLOOKUP(C377,'State Abbreviations'!A:B,2)</f>
        <v>Iowa</v>
      </c>
      <c r="E377" s="81" t="s">
        <v>268</v>
      </c>
    </row>
    <row r="378" spans="1:5">
      <c r="A378" s="60">
        <v>178</v>
      </c>
      <c r="B378" s="79" t="s">
        <v>1132</v>
      </c>
      <c r="C378" s="60" t="s">
        <v>174</v>
      </c>
      <c r="D378" s="48" t="str">
        <f>VLOOKUP(C378,'State Abbreviations'!A:B,2)</f>
        <v>Ohio</v>
      </c>
      <c r="E378" s="82" t="s">
        <v>1133</v>
      </c>
    </row>
    <row r="379" spans="1:5">
      <c r="A379" s="65">
        <v>179</v>
      </c>
      <c r="B379" s="80" t="s">
        <v>1135</v>
      </c>
      <c r="C379" s="65" t="s">
        <v>682</v>
      </c>
      <c r="D379" s="48" t="str">
        <f>VLOOKUP(C379,'State Abbreviations'!A:B,2)</f>
        <v>District Of Columbia</v>
      </c>
      <c r="E379" s="65" t="s">
        <v>488</v>
      </c>
    </row>
    <row r="380" spans="1:5">
      <c r="A380" s="60">
        <v>180</v>
      </c>
      <c r="B380" s="79" t="s">
        <v>303</v>
      </c>
      <c r="C380" s="60" t="s">
        <v>69</v>
      </c>
      <c r="D380" s="48" t="str">
        <f>VLOOKUP(C380,'State Abbreviations'!A:B,2)</f>
        <v>Alabama</v>
      </c>
      <c r="E380" s="60" t="s">
        <v>303</v>
      </c>
    </row>
    <row r="381" spans="1:5">
      <c r="A381" s="65">
        <v>181</v>
      </c>
      <c r="B381" s="80" t="s">
        <v>1137</v>
      </c>
      <c r="C381" s="65" t="s">
        <v>598</v>
      </c>
      <c r="D381" s="48" t="str">
        <f>VLOOKUP(C381,'State Abbreviations'!A:B,2)</f>
        <v>Georgia</v>
      </c>
      <c r="E381" s="81" t="s">
        <v>581</v>
      </c>
    </row>
    <row r="382" spans="1:5">
      <c r="A382" s="60">
        <v>182</v>
      </c>
      <c r="B382" s="79" t="s">
        <v>1138</v>
      </c>
      <c r="C382" s="60" t="s">
        <v>675</v>
      </c>
      <c r="D382" s="48" t="str">
        <f>VLOOKUP(C382,'State Abbreviations'!A:B,2)</f>
        <v>Pennsylvania</v>
      </c>
      <c r="E382" s="82" t="s">
        <v>539</v>
      </c>
    </row>
    <row r="383" spans="1:5">
      <c r="A383" s="65">
        <v>183</v>
      </c>
      <c r="B383" s="80" t="s">
        <v>1141</v>
      </c>
      <c r="C383" s="65" t="s">
        <v>604</v>
      </c>
      <c r="D383" s="48" t="str">
        <f>VLOOKUP(C383,'State Abbreviations'!A:B,2)</f>
        <v>Iowa</v>
      </c>
      <c r="E383" s="81" t="s">
        <v>1141</v>
      </c>
    </row>
    <row r="384" spans="1:5">
      <c r="A384" s="60">
        <v>184</v>
      </c>
      <c r="B384" s="79" t="s">
        <v>1142</v>
      </c>
      <c r="C384" s="60" t="s">
        <v>174</v>
      </c>
      <c r="D384" s="48" t="str">
        <f>VLOOKUP(C384,'State Abbreviations'!A:B,2)</f>
        <v>Ohio</v>
      </c>
      <c r="E384" s="60" t="s">
        <v>1142</v>
      </c>
    </row>
    <row r="385" spans="1:5">
      <c r="A385" s="65">
        <v>185</v>
      </c>
      <c r="B385" s="80" t="s">
        <v>1146</v>
      </c>
      <c r="C385" s="65" t="s">
        <v>901</v>
      </c>
      <c r="D385" s="48" t="str">
        <f>VLOOKUP(C385,'State Abbreviations'!A:B,2)</f>
        <v>Alaska</v>
      </c>
      <c r="E385" s="81" t="s">
        <v>1146</v>
      </c>
    </row>
    <row r="386" spans="1:5">
      <c r="A386" s="60">
        <v>186</v>
      </c>
      <c r="B386" s="79" t="s">
        <v>1147</v>
      </c>
      <c r="C386" s="60" t="s">
        <v>618</v>
      </c>
      <c r="D386" s="48" t="str">
        <f>VLOOKUP(C386,'State Abbreviations'!A:B,2)</f>
        <v>Iowa</v>
      </c>
      <c r="E386" s="60" t="s">
        <v>1150</v>
      </c>
    </row>
    <row r="387" spans="1:5">
      <c r="A387" s="65">
        <v>187</v>
      </c>
      <c r="B387" s="80" t="s">
        <v>1151</v>
      </c>
      <c r="C387" s="65" t="s">
        <v>598</v>
      </c>
      <c r="D387" s="48" t="str">
        <f>VLOOKUP(C387,'State Abbreviations'!A:B,2)</f>
        <v>Georgia</v>
      </c>
      <c r="E387" s="81" t="s">
        <v>149</v>
      </c>
    </row>
    <row r="388" spans="1:5">
      <c r="A388" s="60">
        <v>188</v>
      </c>
      <c r="B388" s="79" t="s">
        <v>1153</v>
      </c>
      <c r="C388" s="60" t="s">
        <v>675</v>
      </c>
      <c r="D388" s="48" t="str">
        <f>VLOOKUP(C388,'State Abbreviations'!A:B,2)</f>
        <v>Pennsylvania</v>
      </c>
      <c r="E388" s="82" t="s">
        <v>1155</v>
      </c>
    </row>
    <row r="389" spans="1:5">
      <c r="A389" s="65">
        <v>189</v>
      </c>
      <c r="B389" s="80" t="s">
        <v>1156</v>
      </c>
      <c r="C389" s="65" t="s">
        <v>770</v>
      </c>
      <c r="D389" s="48" t="str">
        <f>VLOOKUP(C389,'State Abbreviations'!A:B,2)</f>
        <v>Tennessee</v>
      </c>
      <c r="E389" s="81" t="s">
        <v>1157</v>
      </c>
    </row>
    <row r="390" spans="1:5">
      <c r="A390" s="60">
        <v>190</v>
      </c>
      <c r="B390" s="79" t="s">
        <v>1159</v>
      </c>
      <c r="C390" s="60" t="s">
        <v>675</v>
      </c>
      <c r="D390" s="48" t="str">
        <f>VLOOKUP(C390,'State Abbreviations'!A:B,2)</f>
        <v>Pennsylvania</v>
      </c>
      <c r="E390" s="60" t="s">
        <v>1160</v>
      </c>
    </row>
    <row r="391" spans="1:5">
      <c r="A391" s="65">
        <v>191</v>
      </c>
      <c r="B391" s="80" t="s">
        <v>1161</v>
      </c>
      <c r="C391" s="65" t="s">
        <v>588</v>
      </c>
      <c r="D391" s="48" t="str">
        <f>VLOOKUP(C391,'State Abbreviations'!A:B,2)</f>
        <v>California</v>
      </c>
      <c r="E391" s="81" t="s">
        <v>237</v>
      </c>
    </row>
    <row r="392" spans="1:5">
      <c r="A392" s="60">
        <v>192</v>
      </c>
      <c r="B392" s="79" t="s">
        <v>1163</v>
      </c>
      <c r="C392" s="60" t="s">
        <v>588</v>
      </c>
      <c r="D392" s="48" t="str">
        <f>VLOOKUP(C392,'State Abbreviations'!A:B,2)</f>
        <v>California</v>
      </c>
      <c r="E392" s="82" t="s">
        <v>1164</v>
      </c>
    </row>
    <row r="393" spans="1:5">
      <c r="A393" s="65">
        <v>193</v>
      </c>
      <c r="B393" s="80" t="s">
        <v>1165</v>
      </c>
      <c r="C393" s="65" t="s">
        <v>593</v>
      </c>
      <c r="D393" s="48" t="str">
        <f>VLOOKUP(C393,'State Abbreviations'!A:B,2)</f>
        <v>North Dakota</v>
      </c>
      <c r="E393" s="81" t="s">
        <v>315</v>
      </c>
    </row>
    <row r="394" spans="1:5">
      <c r="A394" s="60">
        <v>194</v>
      </c>
      <c r="B394" s="79" t="s">
        <v>1166</v>
      </c>
      <c r="C394" s="60" t="s">
        <v>682</v>
      </c>
      <c r="D394" s="48" t="str">
        <f>VLOOKUP(C394,'State Abbreviations'!A:B,2)</f>
        <v>District Of Columbia</v>
      </c>
      <c r="E394" s="82" t="s">
        <v>1166</v>
      </c>
    </row>
    <row r="395" spans="1:5">
      <c r="A395" s="65">
        <v>195</v>
      </c>
      <c r="B395" s="80" t="s">
        <v>1169</v>
      </c>
      <c r="C395" s="65" t="s">
        <v>588</v>
      </c>
      <c r="D395" s="48" t="str">
        <f>VLOOKUP(C395,'State Abbreviations'!A:B,2)</f>
        <v>California</v>
      </c>
      <c r="E395" s="81" t="s">
        <v>528</v>
      </c>
    </row>
    <row r="396" spans="1:5">
      <c r="A396" s="60">
        <v>196</v>
      </c>
      <c r="B396" s="79" t="s">
        <v>1171</v>
      </c>
      <c r="C396" s="60" t="s">
        <v>595</v>
      </c>
      <c r="D396" s="48" t="str">
        <f>VLOOKUP(C396,'State Abbreviations'!A:B,2)</f>
        <v>Texas</v>
      </c>
      <c r="E396" s="82" t="s">
        <v>1171</v>
      </c>
    </row>
    <row r="397" spans="1:5">
      <c r="A397" s="65">
        <v>197</v>
      </c>
      <c r="B397" s="80" t="s">
        <v>1174</v>
      </c>
      <c r="C397" s="65" t="s">
        <v>191</v>
      </c>
      <c r="D397" s="48" t="str">
        <f>VLOOKUP(C397,'State Abbreviations'!A:B,2)</f>
        <v>Michigan</v>
      </c>
      <c r="E397" s="81" t="s">
        <v>1174</v>
      </c>
    </row>
    <row r="398" spans="1:5">
      <c r="A398" s="60">
        <v>198</v>
      </c>
      <c r="B398" s="79" t="s">
        <v>1175</v>
      </c>
      <c r="C398" s="60" t="s">
        <v>174</v>
      </c>
      <c r="D398" s="48" t="str">
        <f>VLOOKUP(C398,'State Abbreviations'!A:B,2)</f>
        <v>Ohio</v>
      </c>
      <c r="E398" s="60" t="s">
        <v>1178</v>
      </c>
    </row>
    <row r="399" spans="1:5">
      <c r="A399" s="65">
        <v>199</v>
      </c>
      <c r="B399" s="80" t="s">
        <v>1179</v>
      </c>
      <c r="C399" s="65" t="s">
        <v>682</v>
      </c>
      <c r="D399" s="48" t="str">
        <f>VLOOKUP(C399,'State Abbreviations'!A:B,2)</f>
        <v>District Of Columbia</v>
      </c>
      <c r="E399" s="81" t="s">
        <v>1179</v>
      </c>
    </row>
    <row r="400" spans="1:5">
      <c r="A400" s="97">
        <v>200</v>
      </c>
      <c r="B400" s="99" t="s">
        <v>1181</v>
      </c>
      <c r="C400" s="97" t="s">
        <v>602</v>
      </c>
      <c r="D400" s="48" t="str">
        <f>VLOOKUP(C400,'State Abbreviations'!A:B,2)</f>
        <v>Utah</v>
      </c>
      <c r="E400" s="84" t="s">
        <v>281</v>
      </c>
    </row>
    <row r="401" spans="1:5">
      <c r="A401" s="60">
        <v>201</v>
      </c>
      <c r="B401" s="79" t="s">
        <v>1183</v>
      </c>
      <c r="C401" s="60" t="s">
        <v>1039</v>
      </c>
      <c r="D401" s="48" t="str">
        <f>VLOOKUP(C401,'State Abbreviations'!A:B,2)</f>
        <v>Louisiana</v>
      </c>
      <c r="E401" s="82" t="s">
        <v>1184</v>
      </c>
    </row>
    <row r="402" spans="1:5">
      <c r="A402" s="65">
        <v>202</v>
      </c>
      <c r="B402" s="80" t="s">
        <v>1185</v>
      </c>
      <c r="C402" s="65" t="s">
        <v>675</v>
      </c>
      <c r="D402" s="48" t="str">
        <f>VLOOKUP(C402,'State Abbreviations'!A:B,2)</f>
        <v>Pennsylvania</v>
      </c>
      <c r="E402" s="81" t="s">
        <v>522</v>
      </c>
    </row>
    <row r="403" spans="1:5">
      <c r="A403" s="60">
        <v>203</v>
      </c>
      <c r="B403" s="79" t="s">
        <v>1188</v>
      </c>
      <c r="C403" s="60" t="s">
        <v>1055</v>
      </c>
      <c r="D403" s="48" t="str">
        <f>VLOOKUP(C403,'State Abbreviations'!A:B,2)</f>
        <v>Oklahoma</v>
      </c>
      <c r="E403" s="82" t="s">
        <v>1188</v>
      </c>
    </row>
    <row r="404" spans="1:5">
      <c r="A404" s="65">
        <v>204</v>
      </c>
      <c r="B404" s="80" t="s">
        <v>1190</v>
      </c>
      <c r="C404" s="65" t="s">
        <v>604</v>
      </c>
      <c r="D404" s="48" t="str">
        <f>VLOOKUP(C404,'State Abbreviations'!A:B,2)</f>
        <v>Iowa</v>
      </c>
      <c r="E404" s="81" t="s">
        <v>1192</v>
      </c>
    </row>
    <row r="405" spans="1:5">
      <c r="A405" s="60">
        <v>205</v>
      </c>
      <c r="B405" s="79" t="s">
        <v>1193</v>
      </c>
      <c r="C405" s="60" t="s">
        <v>183</v>
      </c>
      <c r="D405" s="48" t="str">
        <f>VLOOKUP(C405,'State Abbreviations'!A:B,2)</f>
        <v>North Dakota</v>
      </c>
      <c r="E405" s="82" t="s">
        <v>326</v>
      </c>
    </row>
    <row r="406" spans="1:5">
      <c r="A406" s="65">
        <v>206</v>
      </c>
      <c r="B406" s="80" t="s">
        <v>1196</v>
      </c>
      <c r="C406" s="65" t="s">
        <v>588</v>
      </c>
      <c r="D406" s="48" t="str">
        <f>VLOOKUP(C406,'State Abbreviations'!A:B,2)</f>
        <v>California</v>
      </c>
      <c r="E406" s="81" t="s">
        <v>260</v>
      </c>
    </row>
    <row r="407" spans="1:5">
      <c r="A407" s="60">
        <v>207</v>
      </c>
      <c r="B407" s="79" t="s">
        <v>1197</v>
      </c>
      <c r="C407" s="60" t="s">
        <v>191</v>
      </c>
      <c r="D407" s="48" t="str">
        <f>VLOOKUP(C407,'State Abbreviations'!A:B,2)</f>
        <v>Michigan</v>
      </c>
      <c r="E407" s="82" t="s">
        <v>1197</v>
      </c>
    </row>
    <row r="408" spans="1:5">
      <c r="A408" s="65">
        <v>208</v>
      </c>
      <c r="B408" s="80" t="s">
        <v>223</v>
      </c>
      <c r="C408" s="65" t="s">
        <v>693</v>
      </c>
      <c r="D408" s="48" t="str">
        <f>VLOOKUP(C408,'State Abbreviations'!A:B,2)</f>
        <v>Missouri</v>
      </c>
      <c r="E408" s="81" t="s">
        <v>223</v>
      </c>
    </row>
    <row r="409" spans="1:5">
      <c r="A409" s="60">
        <v>209</v>
      </c>
      <c r="B409" s="79" t="s">
        <v>1200</v>
      </c>
      <c r="C409" s="60" t="s">
        <v>796</v>
      </c>
      <c r="D409" s="48" t="str">
        <f>VLOOKUP(C409,'State Abbreviations'!A:B,2)</f>
        <v>Kansas</v>
      </c>
      <c r="E409" s="82" t="s">
        <v>1202</v>
      </c>
    </row>
    <row r="410" spans="1:5">
      <c r="A410" s="65">
        <v>210</v>
      </c>
      <c r="B410" s="80" t="s">
        <v>1204</v>
      </c>
      <c r="C410" s="65" t="s">
        <v>174</v>
      </c>
      <c r="D410" s="48" t="str">
        <f>VLOOKUP(C410,'State Abbreviations'!A:B,2)</f>
        <v>Ohio</v>
      </c>
      <c r="E410" s="65" t="s">
        <v>1205</v>
      </c>
    </row>
    <row r="411" spans="1:5">
      <c r="A411" s="60">
        <v>211</v>
      </c>
      <c r="B411" s="79" t="s">
        <v>1206</v>
      </c>
      <c r="C411" s="60" t="s">
        <v>179</v>
      </c>
      <c r="D411" s="48" t="str">
        <f>VLOOKUP(C411,'State Abbreviations'!A:B,2)</f>
        <v>Montana</v>
      </c>
      <c r="E411" s="82" t="s">
        <v>554</v>
      </c>
    </row>
    <row r="412" spans="1:5">
      <c r="A412" s="65">
        <v>212</v>
      </c>
      <c r="B412" s="80" t="s">
        <v>1209</v>
      </c>
      <c r="C412" s="65" t="s">
        <v>1210</v>
      </c>
      <c r="D412" s="48" t="str">
        <f>VLOOKUP(C412,'State Abbreviations'!A:B,2)</f>
        <v>Vermont</v>
      </c>
      <c r="E412" s="81" t="s">
        <v>1211</v>
      </c>
    </row>
    <row r="413" spans="1:5">
      <c r="A413" s="60">
        <v>213</v>
      </c>
      <c r="B413" s="79" t="s">
        <v>1212</v>
      </c>
      <c r="C413" s="60" t="s">
        <v>745</v>
      </c>
      <c r="D413" s="48" t="str">
        <f>VLOOKUP(C413,'State Abbreviations'!A:B,2)</f>
        <v>Washington</v>
      </c>
      <c r="E413" s="82" t="s">
        <v>1215</v>
      </c>
    </row>
    <row r="414" spans="1:5">
      <c r="A414" s="65">
        <v>214</v>
      </c>
      <c r="B414" s="80" t="s">
        <v>1216</v>
      </c>
      <c r="C414" s="65" t="s">
        <v>608</v>
      </c>
      <c r="D414" s="48" t="str">
        <f>VLOOKUP(C414,'State Abbreviations'!A:B,2)</f>
        <v>Minnesota</v>
      </c>
      <c r="E414" s="81" t="s">
        <v>1217</v>
      </c>
    </row>
    <row r="415" spans="1:5">
      <c r="A415" s="60">
        <v>215</v>
      </c>
      <c r="B415" s="79" t="s">
        <v>1218</v>
      </c>
      <c r="C415" s="60" t="s">
        <v>1055</v>
      </c>
      <c r="D415" s="48" t="str">
        <f>VLOOKUP(C415,'State Abbreviations'!A:B,2)</f>
        <v>Oklahoma</v>
      </c>
      <c r="E415" s="82" t="s">
        <v>1220</v>
      </c>
    </row>
    <row r="416" spans="1:5">
      <c r="A416" s="65">
        <v>216</v>
      </c>
      <c r="B416" s="80" t="s">
        <v>1222</v>
      </c>
      <c r="C416" s="65" t="s">
        <v>136</v>
      </c>
      <c r="D416" s="48" t="str">
        <f>VLOOKUP(C416,'State Abbreviations'!A:B,2)</f>
        <v>Florida</v>
      </c>
      <c r="E416" s="81" t="s">
        <v>1045</v>
      </c>
    </row>
    <row r="417" spans="1:5">
      <c r="A417" s="60">
        <v>217</v>
      </c>
      <c r="B417" s="79" t="s">
        <v>1223</v>
      </c>
      <c r="C417" s="60" t="s">
        <v>595</v>
      </c>
      <c r="D417" s="48" t="str">
        <f>VLOOKUP(C417,'State Abbreviations'!A:B,2)</f>
        <v>Texas</v>
      </c>
      <c r="E417" s="82" t="s">
        <v>251</v>
      </c>
    </row>
    <row r="418" spans="1:5">
      <c r="A418" s="65">
        <v>218</v>
      </c>
      <c r="B418" s="80" t="s">
        <v>1226</v>
      </c>
      <c r="C418" s="65" t="s">
        <v>796</v>
      </c>
      <c r="D418" s="48" t="str">
        <f>VLOOKUP(C418,'State Abbreviations'!A:B,2)</f>
        <v>Kansas</v>
      </c>
      <c r="E418" s="81" t="s">
        <v>1227</v>
      </c>
    </row>
    <row r="419" spans="1:5">
      <c r="A419" s="60">
        <v>219</v>
      </c>
      <c r="B419" s="79" t="s">
        <v>1228</v>
      </c>
      <c r="C419" s="60" t="s">
        <v>675</v>
      </c>
      <c r="D419" s="48" t="str">
        <f>VLOOKUP(C419,'State Abbreviations'!A:B,2)</f>
        <v>Pennsylvania</v>
      </c>
      <c r="E419" s="82" t="s">
        <v>539</v>
      </c>
    </row>
    <row r="420" spans="1:5">
      <c r="A420" s="65">
        <v>220</v>
      </c>
      <c r="B420" s="80" t="s">
        <v>1230</v>
      </c>
      <c r="C420" s="65" t="s">
        <v>745</v>
      </c>
      <c r="D420" s="48" t="str">
        <f>VLOOKUP(C420,'State Abbreviations'!A:B,2)</f>
        <v>Washington</v>
      </c>
      <c r="E420" s="81" t="s">
        <v>926</v>
      </c>
    </row>
    <row r="421" spans="1:5">
      <c r="A421" s="60">
        <v>221</v>
      </c>
      <c r="B421" s="79" t="s">
        <v>1232</v>
      </c>
      <c r="C421" s="60" t="s">
        <v>136</v>
      </c>
      <c r="D421" s="48" t="str">
        <f>VLOOKUP(C421,'State Abbreviations'!A:B,2)</f>
        <v>Florida</v>
      </c>
      <c r="E421" s="82" t="s">
        <v>1235</v>
      </c>
    </row>
    <row r="422" spans="1:5">
      <c r="A422" s="65">
        <v>222</v>
      </c>
      <c r="B422" s="80" t="s">
        <v>1236</v>
      </c>
      <c r="C422" s="65" t="s">
        <v>765</v>
      </c>
      <c r="D422" s="48" t="str">
        <f>VLOOKUP(C422,'State Abbreviations'!A:B,2)</f>
        <v>Utah</v>
      </c>
      <c r="E422" s="81" t="s">
        <v>1237</v>
      </c>
    </row>
    <row r="423" spans="1:5">
      <c r="A423" s="60">
        <v>223</v>
      </c>
      <c r="B423" s="79" t="s">
        <v>1239</v>
      </c>
      <c r="C423" s="60" t="s">
        <v>136</v>
      </c>
      <c r="D423" s="48" t="str">
        <f>VLOOKUP(C423,'State Abbreviations'!A:B,2)</f>
        <v>Florida</v>
      </c>
      <c r="E423" s="82" t="s">
        <v>1045</v>
      </c>
    </row>
    <row r="424" spans="1:5">
      <c r="A424" s="65">
        <v>224</v>
      </c>
      <c r="B424" s="80" t="s">
        <v>1241</v>
      </c>
      <c r="C424" s="65" t="s">
        <v>588</v>
      </c>
      <c r="D424" s="48" t="str">
        <f>VLOOKUP(C424,'State Abbreviations'!A:B,2)</f>
        <v>California</v>
      </c>
      <c r="E424" s="81" t="s">
        <v>348</v>
      </c>
    </row>
    <row r="425" spans="1:5">
      <c r="A425" s="97">
        <v>225</v>
      </c>
      <c r="B425" s="99" t="s">
        <v>1243</v>
      </c>
      <c r="C425" s="97" t="s">
        <v>737</v>
      </c>
      <c r="D425" s="48" t="str">
        <f>VLOOKUP(C425,'State Abbreviations'!A:B,2)</f>
        <v>New Jersey</v>
      </c>
      <c r="E425" s="97" t="s">
        <v>1243</v>
      </c>
    </row>
    <row r="426" spans="1:5">
      <c r="A426" s="60">
        <v>226</v>
      </c>
      <c r="B426" s="79" t="s">
        <v>1244</v>
      </c>
      <c r="C426" s="60" t="s">
        <v>646</v>
      </c>
      <c r="D426" s="48" t="str">
        <f>VLOOKUP(C426,'State Abbreviations'!A:B,2)</f>
        <v>Montana</v>
      </c>
      <c r="E426" s="82" t="s">
        <v>1244</v>
      </c>
    </row>
    <row r="427" spans="1:5">
      <c r="A427" s="65">
        <v>227</v>
      </c>
      <c r="B427" s="80" t="s">
        <v>1246</v>
      </c>
      <c r="C427" s="65" t="s">
        <v>901</v>
      </c>
      <c r="D427" s="48" t="str">
        <f>VLOOKUP(C427,'State Abbreviations'!A:B,2)</f>
        <v>Alaska</v>
      </c>
      <c r="E427" s="81" t="s">
        <v>1248</v>
      </c>
    </row>
    <row r="428" spans="1:5">
      <c r="A428" s="60">
        <v>228</v>
      </c>
      <c r="B428" s="79" t="s">
        <v>1249</v>
      </c>
      <c r="C428" s="60" t="s">
        <v>183</v>
      </c>
      <c r="D428" s="48" t="str">
        <f>VLOOKUP(C428,'State Abbreviations'!A:B,2)</f>
        <v>North Dakota</v>
      </c>
      <c r="E428" s="82" t="s">
        <v>1250</v>
      </c>
    </row>
    <row r="429" spans="1:5">
      <c r="A429" s="65">
        <v>229</v>
      </c>
      <c r="B429" s="80" t="s">
        <v>1252</v>
      </c>
      <c r="C429" s="65" t="s">
        <v>595</v>
      </c>
      <c r="D429" s="48" t="str">
        <f>VLOOKUP(C429,'State Abbreviations'!A:B,2)</f>
        <v>Texas</v>
      </c>
      <c r="E429" s="81" t="s">
        <v>1048</v>
      </c>
    </row>
    <row r="430" spans="1:5">
      <c r="A430" s="60">
        <v>230</v>
      </c>
      <c r="B430" s="79" t="s">
        <v>1254</v>
      </c>
      <c r="C430" s="60" t="s">
        <v>602</v>
      </c>
      <c r="D430" s="48" t="str">
        <f>VLOOKUP(C430,'State Abbreviations'!A:B,2)</f>
        <v>Utah</v>
      </c>
      <c r="E430" s="82" t="s">
        <v>1255</v>
      </c>
    </row>
    <row r="431" spans="1:5">
      <c r="A431" s="65">
        <v>231</v>
      </c>
      <c r="B431" s="80" t="s">
        <v>1256</v>
      </c>
      <c r="C431" s="65" t="s">
        <v>595</v>
      </c>
      <c r="D431" s="48" t="str">
        <f>VLOOKUP(C431,'State Abbreviations'!A:B,2)</f>
        <v>Texas</v>
      </c>
      <c r="E431" s="81" t="s">
        <v>368</v>
      </c>
    </row>
    <row r="432" spans="1:5">
      <c r="A432" s="60">
        <v>232</v>
      </c>
      <c r="B432" s="79" t="s">
        <v>1258</v>
      </c>
      <c r="C432" s="60" t="s">
        <v>608</v>
      </c>
      <c r="D432" s="48" t="str">
        <f>VLOOKUP(C432,'State Abbreviations'!A:B,2)</f>
        <v>Minnesota</v>
      </c>
      <c r="E432" s="82" t="s">
        <v>1258</v>
      </c>
    </row>
    <row r="433" spans="1:5">
      <c r="A433" s="65">
        <v>233</v>
      </c>
      <c r="B433" s="80" t="s">
        <v>1259</v>
      </c>
      <c r="C433" s="65" t="s">
        <v>595</v>
      </c>
      <c r="D433" s="48" t="str">
        <f>VLOOKUP(C433,'State Abbreviations'!A:B,2)</f>
        <v>Texas</v>
      </c>
      <c r="E433" s="81" t="s">
        <v>574</v>
      </c>
    </row>
    <row r="434" spans="1:5">
      <c r="A434" s="60">
        <v>234</v>
      </c>
      <c r="B434" s="79" t="s">
        <v>1260</v>
      </c>
      <c r="C434" s="60" t="s">
        <v>675</v>
      </c>
      <c r="D434" s="48" t="str">
        <f>VLOOKUP(C434,'State Abbreviations'!A:B,2)</f>
        <v>Pennsylvania</v>
      </c>
      <c r="E434" s="82" t="s">
        <v>1263</v>
      </c>
    </row>
    <row r="435" spans="1:5">
      <c r="A435" s="65">
        <v>235</v>
      </c>
      <c r="B435" s="80" t="s">
        <v>1264</v>
      </c>
      <c r="C435" s="65" t="s">
        <v>595</v>
      </c>
      <c r="D435" s="48" t="str">
        <f>VLOOKUP(C435,'State Abbreviations'!A:B,2)</f>
        <v>Texas</v>
      </c>
      <c r="E435" s="81" t="s">
        <v>1265</v>
      </c>
    </row>
    <row r="436" spans="1:5">
      <c r="A436" s="60">
        <v>236</v>
      </c>
      <c r="B436" s="79" t="s">
        <v>1267</v>
      </c>
      <c r="C436" s="60" t="s">
        <v>604</v>
      </c>
      <c r="D436" s="48" t="str">
        <f>VLOOKUP(C436,'State Abbreviations'!A:B,2)</f>
        <v>Iowa</v>
      </c>
      <c r="E436" s="82" t="s">
        <v>1086</v>
      </c>
    </row>
    <row r="437" spans="1:5">
      <c r="A437" s="65">
        <v>237</v>
      </c>
      <c r="B437" s="80" t="s">
        <v>1269</v>
      </c>
      <c r="C437" s="65" t="s">
        <v>682</v>
      </c>
      <c r="D437" s="48" t="str">
        <f>VLOOKUP(C437,'State Abbreviations'!A:B,2)</f>
        <v>District Of Columbia</v>
      </c>
      <c r="E437" s="81" t="s">
        <v>1269</v>
      </c>
    </row>
    <row r="438" spans="1:5">
      <c r="A438" s="60">
        <v>238</v>
      </c>
      <c r="B438" s="79" t="s">
        <v>1272</v>
      </c>
      <c r="C438" s="60" t="s">
        <v>1273</v>
      </c>
      <c r="D438" s="48" t="str">
        <f>VLOOKUP(C438,'State Abbreviations'!A:B,2)</f>
        <v>Iowa</v>
      </c>
      <c r="E438" s="82" t="s">
        <v>1272</v>
      </c>
    </row>
    <row r="439" spans="1:5">
      <c r="A439" s="65">
        <v>239</v>
      </c>
      <c r="B439" s="80" t="s">
        <v>1274</v>
      </c>
      <c r="C439" s="65" t="s">
        <v>136</v>
      </c>
      <c r="D439" s="48" t="str">
        <f>VLOOKUP(C439,'State Abbreviations'!A:B,2)</f>
        <v>Florida</v>
      </c>
      <c r="E439" s="81" t="s">
        <v>1275</v>
      </c>
    </row>
    <row r="440" spans="1:5">
      <c r="A440" s="60">
        <v>240</v>
      </c>
      <c r="B440" s="79" t="s">
        <v>1277</v>
      </c>
      <c r="C440" s="60" t="s">
        <v>624</v>
      </c>
      <c r="D440" s="48" t="str">
        <f>VLOOKUP(C440,'State Abbreviations'!A:B,2)</f>
        <v>Louisiana</v>
      </c>
      <c r="E440" s="82" t="s">
        <v>1279</v>
      </c>
    </row>
    <row r="441" spans="1:5">
      <c r="A441" s="65">
        <v>241</v>
      </c>
      <c r="B441" s="80" t="s">
        <v>1280</v>
      </c>
      <c r="C441" s="65" t="s">
        <v>624</v>
      </c>
      <c r="D441" s="48" t="str">
        <f>VLOOKUP(C441,'State Abbreviations'!A:B,2)</f>
        <v>Louisiana</v>
      </c>
      <c r="E441" s="81" t="s">
        <v>831</v>
      </c>
    </row>
    <row r="442" spans="1:5">
      <c r="A442" s="60">
        <v>242</v>
      </c>
      <c r="B442" s="79" t="s">
        <v>1283</v>
      </c>
      <c r="C442" s="60" t="s">
        <v>604</v>
      </c>
      <c r="D442" s="48" t="str">
        <f>VLOOKUP(C442,'State Abbreviations'!A:B,2)</f>
        <v>Iowa</v>
      </c>
      <c r="E442" s="82" t="s">
        <v>1283</v>
      </c>
    </row>
    <row r="443" spans="1:5">
      <c r="A443" s="65">
        <v>243</v>
      </c>
      <c r="B443" s="80" t="s">
        <v>411</v>
      </c>
      <c r="C443" s="65" t="s">
        <v>765</v>
      </c>
      <c r="D443" s="48" t="str">
        <f>VLOOKUP(C443,'State Abbreviations'!A:B,2)</f>
        <v>Utah</v>
      </c>
      <c r="E443" s="81" t="s">
        <v>411</v>
      </c>
    </row>
    <row r="444" spans="1:5">
      <c r="A444" s="60">
        <v>244</v>
      </c>
      <c r="B444" s="79" t="s">
        <v>1285</v>
      </c>
      <c r="C444" s="60" t="s">
        <v>191</v>
      </c>
      <c r="D444" s="48" t="str">
        <f>VLOOKUP(C444,'State Abbreviations'!A:B,2)</f>
        <v>Michigan</v>
      </c>
      <c r="E444" s="82" t="s">
        <v>1288</v>
      </c>
    </row>
    <row r="445" spans="1:5">
      <c r="A445" s="65">
        <v>245</v>
      </c>
      <c r="B445" s="80" t="s">
        <v>1289</v>
      </c>
      <c r="C445" s="65" t="s">
        <v>136</v>
      </c>
      <c r="D445" s="48" t="str">
        <f>VLOOKUP(C445,'State Abbreviations'!A:B,2)</f>
        <v>Florida</v>
      </c>
      <c r="E445" s="81" t="s">
        <v>167</v>
      </c>
    </row>
    <row r="446" spans="1:5">
      <c r="A446" s="60">
        <v>246</v>
      </c>
      <c r="B446" s="79" t="s">
        <v>1291</v>
      </c>
      <c r="C446" s="60" t="s">
        <v>588</v>
      </c>
      <c r="D446" s="48" t="str">
        <f>VLOOKUP(C446,'State Abbreviations'!A:B,2)</f>
        <v>California</v>
      </c>
      <c r="E446" s="82" t="s">
        <v>1294</v>
      </c>
    </row>
    <row r="447" spans="1:5">
      <c r="A447" s="65">
        <v>247</v>
      </c>
      <c r="B447" s="80" t="s">
        <v>1295</v>
      </c>
      <c r="C447" s="65" t="s">
        <v>1296</v>
      </c>
      <c r="D447" s="48" t="str">
        <f>VLOOKUP(C447,'State Abbreviations'!A:B,2)</f>
        <v>Oregon</v>
      </c>
      <c r="E447" s="81" t="s">
        <v>265</v>
      </c>
    </row>
    <row r="448" spans="1:5">
      <c r="A448" s="60">
        <v>248</v>
      </c>
      <c r="B448" s="79" t="s">
        <v>1297</v>
      </c>
      <c r="C448" s="60" t="s">
        <v>590</v>
      </c>
      <c r="D448" s="48" t="str">
        <f>VLOOKUP(C448,'State Abbreviations'!A:B,2)</f>
        <v>Louisiana</v>
      </c>
      <c r="E448" s="82" t="s">
        <v>1300</v>
      </c>
    </row>
    <row r="449" spans="1:5">
      <c r="A449" s="65">
        <v>249</v>
      </c>
      <c r="B449" s="80" t="s">
        <v>214</v>
      </c>
      <c r="C449" s="65" t="s">
        <v>693</v>
      </c>
      <c r="D449" s="48" t="str">
        <f>VLOOKUP(C449,'State Abbreviations'!A:B,2)</f>
        <v>Missouri</v>
      </c>
      <c r="E449" s="65" t="s">
        <v>214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D1501"/>
  <sheetViews>
    <sheetView workbookViewId="0">
      <pane ySplit="1" topLeftCell="A188" activePane="bottomLeft" state="frozen"/>
      <selection pane="bottomLeft" activeCell="B220" sqref="B220"/>
    </sheetView>
  </sheetViews>
  <sheetFormatPr defaultColWidth="14.44140625" defaultRowHeight="15.75" customHeight="1"/>
  <cols>
    <col min="2" max="2" width="45.33203125" customWidth="1"/>
    <col min="4" max="5" width="29" customWidth="1"/>
    <col min="6" max="6" width="58.6640625" customWidth="1"/>
    <col min="7" max="8" width="28" customWidth="1"/>
    <col min="9" max="9" width="31.44140625" customWidth="1"/>
  </cols>
  <sheetData>
    <row r="1" spans="1:30">
      <c r="A1" s="85" t="s">
        <v>152</v>
      </c>
      <c r="B1" s="86" t="s">
        <v>619</v>
      </c>
      <c r="C1" s="85" t="s">
        <v>3</v>
      </c>
      <c r="D1" s="85" t="s">
        <v>4</v>
      </c>
      <c r="E1" s="85" t="s">
        <v>620</v>
      </c>
      <c r="F1" s="85"/>
      <c r="G1" s="85"/>
      <c r="H1" s="85" t="s">
        <v>6</v>
      </c>
      <c r="I1" s="85" t="s">
        <v>621</v>
      </c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</row>
    <row r="2" spans="1:30">
      <c r="A2" s="60">
        <v>1</v>
      </c>
      <c r="B2" s="79" t="s">
        <v>43</v>
      </c>
      <c r="C2" s="48" t="s">
        <v>136</v>
      </c>
      <c r="D2" s="48" t="s">
        <v>622</v>
      </c>
      <c r="E2" s="48" t="str">
        <f t="shared" ref="E2:E1501" si="0">TRIM(D2)</f>
        <v>Montverde</v>
      </c>
      <c r="F2" s="83" t="str">
        <f t="shared" ref="F2:F1501" si="1">B2&amp;","&amp;C2</f>
        <v>Montverde Academy (Montverde),FL</v>
      </c>
      <c r="G2" s="48" t="s">
        <v>623</v>
      </c>
      <c r="H2" s="60">
        <v>28.597584000000001</v>
      </c>
      <c r="I2" s="60">
        <v>-81.675185999999997</v>
      </c>
      <c r="J2" s="60" t="str">
        <f ca="1">IFERROR(__xludf.DUMMYFUNCTION("SPLIT(G2,"","")"),"17235 7th St")</f>
        <v>17235 7th St</v>
      </c>
      <c r="K2" s="88" t="str">
        <f ca="1">IFERROR(__xludf.DUMMYFUNCTION("""COMPUTED_VALUE""")," Montverde")</f>
        <v xml:space="preserve"> Montverde</v>
      </c>
      <c r="L2" s="2" t="str">
        <f ca="1">IFERROR(__xludf.DUMMYFUNCTION("""COMPUTED_VALUE""")," FL 34756")</f>
        <v xml:space="preserve"> FL 34756</v>
      </c>
      <c r="M2" s="2" t="str">
        <f ca="1">IFERROR(__xludf.DUMMYFUNCTION("""COMPUTED_VALUE""")," USA")</f>
        <v xml:space="preserve"> USA</v>
      </c>
      <c r="R2" s="89"/>
    </row>
    <row r="3" spans="1:30">
      <c r="A3" s="65">
        <v>2</v>
      </c>
      <c r="B3" s="80" t="s">
        <v>51</v>
      </c>
      <c r="C3" s="52" t="s">
        <v>588</v>
      </c>
      <c r="D3" s="90" t="s">
        <v>625</v>
      </c>
      <c r="E3" s="48" t="str">
        <f t="shared" si="0"/>
        <v>Chatsworth</v>
      </c>
      <c r="F3" s="83" t="str">
        <f t="shared" si="1"/>
        <v>Sierra Canyon (Chatsworth),CA</v>
      </c>
      <c r="G3" s="65" t="s">
        <v>626</v>
      </c>
      <c r="H3" s="65">
        <v>34.270955299999997</v>
      </c>
      <c r="I3" s="65">
        <v>-118.58566</v>
      </c>
      <c r="J3" s="60" t="str">
        <f ca="1">IFERROR(__xludf.DUMMYFUNCTION("SPLIT(G3,"","")"),"20801 Rinaldi St")</f>
        <v>20801 Rinaldi St</v>
      </c>
      <c r="K3" s="91" t="str">
        <f ca="1">IFERROR(__xludf.DUMMYFUNCTION("""COMPUTED_VALUE""")," Chatsworth")</f>
        <v xml:space="preserve"> Chatsworth</v>
      </c>
      <c r="L3" s="2" t="str">
        <f ca="1">IFERROR(__xludf.DUMMYFUNCTION("""COMPUTED_VALUE""")," CA 91311")</f>
        <v xml:space="preserve"> CA 91311</v>
      </c>
      <c r="M3" s="2" t="str">
        <f ca="1">IFERROR(__xludf.DUMMYFUNCTION("""COMPUTED_VALUE""")," USA")</f>
        <v xml:space="preserve"> USA</v>
      </c>
      <c r="R3" s="91"/>
    </row>
    <row r="4" spans="1:30">
      <c r="A4" s="60">
        <v>3</v>
      </c>
      <c r="B4" s="79" t="s">
        <v>42</v>
      </c>
      <c r="C4" s="48" t="s">
        <v>590</v>
      </c>
      <c r="D4" s="92" t="s">
        <v>627</v>
      </c>
      <c r="E4" s="48" t="str">
        <f t="shared" si="0"/>
        <v>Hyattsville</v>
      </c>
      <c r="F4" s="83" t="str">
        <f t="shared" si="1"/>
        <v>DeMatha (Hyattsville),MD</v>
      </c>
      <c r="G4" s="60" t="s">
        <v>628</v>
      </c>
      <c r="H4" s="60">
        <v>38.9582093</v>
      </c>
      <c r="I4" s="60">
        <v>-76.942261700000003</v>
      </c>
      <c r="J4" s="60" t="str">
        <f ca="1">IFERROR(__xludf.DUMMYFUNCTION("SPLIT(G4,"","")"),"4313 Madison St")</f>
        <v>4313 Madison St</v>
      </c>
      <c r="K4" s="88" t="str">
        <f ca="1">IFERROR(__xludf.DUMMYFUNCTION("""COMPUTED_VALUE""")," Hyattsville")</f>
        <v xml:space="preserve"> Hyattsville</v>
      </c>
      <c r="L4" s="2" t="str">
        <f ca="1">IFERROR(__xludf.DUMMYFUNCTION("""COMPUTED_VALUE""")," MD 20781")</f>
        <v xml:space="preserve"> MD 20781</v>
      </c>
      <c r="M4" s="2" t="str">
        <f ca="1">IFERROR(__xludf.DUMMYFUNCTION("""COMPUTED_VALUE""")," USA")</f>
        <v xml:space="preserve"> USA</v>
      </c>
      <c r="R4" s="88"/>
    </row>
    <row r="5" spans="1:30">
      <c r="A5" s="65">
        <v>4</v>
      </c>
      <c r="B5" s="80" t="s">
        <v>36</v>
      </c>
      <c r="C5" s="65" t="s">
        <v>593</v>
      </c>
      <c r="D5" s="90" t="s">
        <v>630</v>
      </c>
      <c r="E5" s="48" t="str">
        <f t="shared" si="0"/>
        <v>Las Vegas</v>
      </c>
      <c r="F5" s="83" t="str">
        <f t="shared" si="1"/>
        <v>Bishop Gorman (Las Vegas),NV</v>
      </c>
      <c r="G5" s="65" t="s">
        <v>631</v>
      </c>
      <c r="H5" s="65">
        <v>36.0818382</v>
      </c>
      <c r="I5" s="65">
        <v>-115.3180831</v>
      </c>
      <c r="J5" s="60" t="str">
        <f ca="1">IFERROR(__xludf.DUMMYFUNCTION("SPLIT(G5,"","")"),"5959 S Hualapai Way")</f>
        <v>5959 S Hualapai Way</v>
      </c>
      <c r="K5" s="91" t="str">
        <f ca="1">IFERROR(__xludf.DUMMYFUNCTION("""COMPUTED_VALUE""")," Las Vegas")</f>
        <v xml:space="preserve"> Las Vegas</v>
      </c>
      <c r="L5" s="2" t="str">
        <f ca="1">IFERROR(__xludf.DUMMYFUNCTION("""COMPUTED_VALUE""")," NV 89148")</f>
        <v xml:space="preserve"> NV 89148</v>
      </c>
      <c r="M5" s="2" t="str">
        <f ca="1">IFERROR(__xludf.DUMMYFUNCTION("""COMPUTED_VALUE""")," USA")</f>
        <v xml:space="preserve"> USA</v>
      </c>
      <c r="R5" s="91"/>
    </row>
    <row r="6" spans="1:30">
      <c r="A6" s="60">
        <v>5</v>
      </c>
      <c r="B6" s="79" t="s">
        <v>60</v>
      </c>
      <c r="C6" s="60" t="s">
        <v>588</v>
      </c>
      <c r="D6" s="92" t="s">
        <v>633</v>
      </c>
      <c r="E6" s="48" t="str">
        <f t="shared" si="0"/>
        <v>Sacramento</v>
      </c>
      <c r="F6" s="83" t="str">
        <f t="shared" si="1"/>
        <v>Sheldon (Sacramento),CA</v>
      </c>
      <c r="G6" s="60" t="s">
        <v>634</v>
      </c>
      <c r="H6" s="60">
        <v>38.455797599999997</v>
      </c>
      <c r="I6" s="60">
        <v>-121.34667140000001</v>
      </c>
      <c r="J6" s="60" t="str">
        <f ca="1">IFERROR(__xludf.DUMMYFUNCTION("SPLIT(G6,"","")"),"8333 Kingsbridge Dr")</f>
        <v>8333 Kingsbridge Dr</v>
      </c>
      <c r="K6" s="88" t="str">
        <f ca="1">IFERROR(__xludf.DUMMYFUNCTION("""COMPUTED_VALUE""")," Sacramento")</f>
        <v xml:space="preserve"> Sacramento</v>
      </c>
      <c r="L6" s="2" t="str">
        <f ca="1">IFERROR(__xludf.DUMMYFUNCTION("""COMPUTED_VALUE""")," CA 95829")</f>
        <v xml:space="preserve"> CA 95829</v>
      </c>
      <c r="M6" s="2" t="str">
        <f ca="1">IFERROR(__xludf.DUMMYFUNCTION("""COMPUTED_VALUE""")," USA")</f>
        <v xml:space="preserve"> USA</v>
      </c>
      <c r="R6" s="88"/>
    </row>
    <row r="7" spans="1:30">
      <c r="A7" s="65">
        <v>6</v>
      </c>
      <c r="B7" s="80" t="s">
        <v>73</v>
      </c>
      <c r="C7" s="65" t="s">
        <v>588</v>
      </c>
      <c r="D7" s="90" t="s">
        <v>635</v>
      </c>
      <c r="E7" s="48" t="str">
        <f t="shared" si="0"/>
        <v>Los Angeles</v>
      </c>
      <c r="F7" s="83" t="str">
        <f t="shared" si="1"/>
        <v>Ribet Academy (Los Angeles),CA</v>
      </c>
      <c r="G7" s="65" t="s">
        <v>636</v>
      </c>
      <c r="H7" s="65">
        <v>34.112404699999999</v>
      </c>
      <c r="I7" s="65">
        <v>-118.2432005</v>
      </c>
      <c r="J7" s="60" t="str">
        <f ca="1">IFERROR(__xludf.DUMMYFUNCTION("SPLIT(G7,"","")"),"2911 N San Fernando Rd")</f>
        <v>2911 N San Fernando Rd</v>
      </c>
      <c r="K7" s="91" t="str">
        <f ca="1">IFERROR(__xludf.DUMMYFUNCTION("""COMPUTED_VALUE""")," Los Angeles")</f>
        <v xml:space="preserve"> Los Angeles</v>
      </c>
      <c r="L7" s="2" t="str">
        <f ca="1">IFERROR(__xludf.DUMMYFUNCTION("""COMPUTED_VALUE""")," CA 90065")</f>
        <v xml:space="preserve"> CA 90065</v>
      </c>
      <c r="M7" s="2" t="str">
        <f ca="1">IFERROR(__xludf.DUMMYFUNCTION("""COMPUTED_VALUE""")," USA")</f>
        <v xml:space="preserve"> USA</v>
      </c>
      <c r="R7" s="91"/>
    </row>
    <row r="8" spans="1:30">
      <c r="A8" s="60">
        <v>7</v>
      </c>
      <c r="B8" s="79" t="s">
        <v>41</v>
      </c>
      <c r="C8" s="60" t="s">
        <v>595</v>
      </c>
      <c r="D8" s="92" t="s">
        <v>637</v>
      </c>
      <c r="E8" s="48" t="str">
        <f t="shared" si="0"/>
        <v>Duncanville</v>
      </c>
      <c r="F8" s="83" t="str">
        <f t="shared" si="1"/>
        <v>Duncanville,TX</v>
      </c>
      <c r="G8" s="60" t="s">
        <v>638</v>
      </c>
      <c r="H8" s="60">
        <v>32.651800399999999</v>
      </c>
      <c r="I8" s="60">
        <v>-96.908336599999998</v>
      </c>
      <c r="J8" s="60" t="str">
        <f ca="1">IFERROR(__xludf.DUMMYFUNCTION("SPLIT(G8,"","")"),"102 N Main St")</f>
        <v>102 N Main St</v>
      </c>
      <c r="K8" s="88" t="str">
        <f ca="1">IFERROR(__xludf.DUMMYFUNCTION("""COMPUTED_VALUE""")," Duncanville")</f>
        <v xml:space="preserve"> Duncanville</v>
      </c>
      <c r="L8" s="2" t="str">
        <f ca="1">IFERROR(__xludf.DUMMYFUNCTION("""COMPUTED_VALUE""")," TX 75116")</f>
        <v xml:space="preserve"> TX 75116</v>
      </c>
      <c r="M8" s="2" t="str">
        <f ca="1">IFERROR(__xludf.DUMMYFUNCTION("""COMPUTED_VALUE""")," USA")</f>
        <v xml:space="preserve"> USA</v>
      </c>
      <c r="R8" s="88"/>
    </row>
    <row r="9" spans="1:30">
      <c r="A9" s="65">
        <v>8</v>
      </c>
      <c r="B9" s="80" t="s">
        <v>86</v>
      </c>
      <c r="C9" s="65" t="s">
        <v>588</v>
      </c>
      <c r="D9" s="52" t="s">
        <v>639</v>
      </c>
      <c r="E9" s="48" t="str">
        <f t="shared" si="0"/>
        <v>Rancho Cucamonga</v>
      </c>
      <c r="F9" s="83" t="str">
        <f t="shared" si="1"/>
        <v>Etiwanda,CA</v>
      </c>
      <c r="G9" s="65" t="s">
        <v>640</v>
      </c>
      <c r="H9" s="65">
        <v>34.126120800000002</v>
      </c>
      <c r="I9" s="65">
        <v>-117.5236622</v>
      </c>
      <c r="J9" s="60" t="str">
        <f ca="1">IFERROR(__xludf.DUMMYFUNCTION("SPLIT(G9,"","")"),"12880 Saddleridge Dr")</f>
        <v>12880 Saddleridge Dr</v>
      </c>
      <c r="K9" s="91" t="str">
        <f ca="1">IFERROR(__xludf.DUMMYFUNCTION("""COMPUTED_VALUE""")," Rancho Cucamonga")</f>
        <v xml:space="preserve"> Rancho Cucamonga</v>
      </c>
      <c r="L9" s="2" t="str">
        <f ca="1">IFERROR(__xludf.DUMMYFUNCTION("""COMPUTED_VALUE""")," CA 91739")</f>
        <v xml:space="preserve"> CA 91739</v>
      </c>
      <c r="M9" s="2" t="str">
        <f ca="1">IFERROR(__xludf.DUMMYFUNCTION("""COMPUTED_VALUE""")," USA")</f>
        <v xml:space="preserve"> USA</v>
      </c>
      <c r="R9" s="91"/>
    </row>
    <row r="10" spans="1:30">
      <c r="A10" s="60">
        <v>9</v>
      </c>
      <c r="B10" s="79" t="s">
        <v>102</v>
      </c>
      <c r="C10" s="60" t="s">
        <v>588</v>
      </c>
      <c r="D10" s="92" t="s">
        <v>641</v>
      </c>
      <c r="E10" s="48" t="str">
        <f t="shared" si="0"/>
        <v>Napa</v>
      </c>
      <c r="F10" s="83" t="str">
        <f t="shared" si="1"/>
        <v>Prolific Prep of Napa Christian (Napa),CA</v>
      </c>
      <c r="G10" s="60" t="s">
        <v>642</v>
      </c>
      <c r="H10" s="60">
        <v>38.290745299999998</v>
      </c>
      <c r="I10" s="60">
        <v>-122.2986355</v>
      </c>
      <c r="J10" s="60" t="str">
        <f ca="1">IFERROR(__xludf.DUMMYFUNCTION("SPLIT(G10,"","")"),"2201 Pine St")</f>
        <v>2201 Pine St</v>
      </c>
      <c r="K10" s="88" t="str">
        <f ca="1">IFERROR(__xludf.DUMMYFUNCTION("""COMPUTED_VALUE""")," Napa")</f>
        <v xml:space="preserve"> Napa</v>
      </c>
      <c r="L10" s="2" t="str">
        <f ca="1">IFERROR(__xludf.DUMMYFUNCTION("""COMPUTED_VALUE""")," CA 94559")</f>
        <v xml:space="preserve"> CA 94559</v>
      </c>
      <c r="M10" s="2" t="str">
        <f ca="1">IFERROR(__xludf.DUMMYFUNCTION("""COMPUTED_VALUE""")," USA")</f>
        <v xml:space="preserve"> USA</v>
      </c>
      <c r="R10" s="88"/>
    </row>
    <row r="11" spans="1:30">
      <c r="A11" s="65">
        <v>10</v>
      </c>
      <c r="B11" s="80" t="s">
        <v>57</v>
      </c>
      <c r="C11" s="65" t="s">
        <v>598</v>
      </c>
      <c r="D11" s="65" t="s">
        <v>644</v>
      </c>
      <c r="E11" s="48" t="str">
        <f t="shared" si="0"/>
        <v>Loganville</v>
      </c>
      <c r="F11" s="83" t="str">
        <f t="shared" si="1"/>
        <v>Grayson (Loganville),GA</v>
      </c>
      <c r="G11" s="65" t="s">
        <v>645</v>
      </c>
      <c r="H11" s="65">
        <v>33.868317400000002</v>
      </c>
      <c r="I11" s="65">
        <v>-83.923806599999992</v>
      </c>
      <c r="J11" s="60" t="str">
        <f ca="1">IFERROR(__xludf.DUMMYFUNCTION("SPLIT(G11,"","")"),"50 Hope Hollow Rd")</f>
        <v>50 Hope Hollow Rd</v>
      </c>
      <c r="K11" s="66" t="str">
        <f ca="1">IFERROR(__xludf.DUMMYFUNCTION("""COMPUTED_VALUE""")," Loganville")</f>
        <v xml:space="preserve"> Loganville</v>
      </c>
      <c r="L11" s="2" t="str">
        <f ca="1">IFERROR(__xludf.DUMMYFUNCTION("""COMPUTED_VALUE""")," GA 30052")</f>
        <v xml:space="preserve"> GA 30052</v>
      </c>
      <c r="M11" s="2" t="str">
        <f ca="1">IFERROR(__xludf.DUMMYFUNCTION("""COMPUTED_VALUE""")," USA")</f>
        <v xml:space="preserve"> USA</v>
      </c>
      <c r="R11" s="66"/>
    </row>
    <row r="12" spans="1:30">
      <c r="A12" s="60">
        <v>11</v>
      </c>
      <c r="B12" s="79" t="s">
        <v>37</v>
      </c>
      <c r="C12" s="60" t="s">
        <v>183</v>
      </c>
      <c r="D12" s="92" t="s">
        <v>647</v>
      </c>
      <c r="E12" s="48" t="str">
        <f t="shared" si="0"/>
        <v>Glen Head</v>
      </c>
      <c r="F12" s="83" t="str">
        <f t="shared" si="1"/>
        <v>Long Island Lutheran (Brookville),NY</v>
      </c>
      <c r="G12" s="60" t="s">
        <v>648</v>
      </c>
      <c r="H12" s="60">
        <v>40.817394299999997</v>
      </c>
      <c r="I12" s="60">
        <v>-73.550121599999997</v>
      </c>
      <c r="J12" s="60" t="str">
        <f ca="1">IFERROR(__xludf.DUMMYFUNCTION("SPLIT(G12,"","")"),"131 Brookville Rd")</f>
        <v>131 Brookville Rd</v>
      </c>
      <c r="K12" s="88" t="str">
        <f ca="1">IFERROR(__xludf.DUMMYFUNCTION("""COMPUTED_VALUE""")," Glen Head")</f>
        <v xml:space="preserve"> Glen Head</v>
      </c>
      <c r="L12" s="2" t="str">
        <f ca="1">IFERROR(__xludf.DUMMYFUNCTION("""COMPUTED_VALUE""")," NY 11545")</f>
        <v xml:space="preserve"> NY 11545</v>
      </c>
      <c r="M12" s="2" t="str">
        <f ca="1">IFERROR(__xludf.DUMMYFUNCTION("""COMPUTED_VALUE""")," USA")</f>
        <v xml:space="preserve"> USA</v>
      </c>
      <c r="R12" s="88"/>
    </row>
    <row r="13" spans="1:30">
      <c r="A13" s="65">
        <v>12</v>
      </c>
      <c r="B13" s="80" t="s">
        <v>55</v>
      </c>
      <c r="C13" s="65" t="s">
        <v>602</v>
      </c>
      <c r="D13" s="90" t="s">
        <v>650</v>
      </c>
      <c r="E13" s="48" t="str">
        <f t="shared" si="0"/>
        <v>Fairfax</v>
      </c>
      <c r="F13" s="83" t="str">
        <f t="shared" si="1"/>
        <v>Paul VI (Fairfax),VA</v>
      </c>
      <c r="G13" s="65" t="s">
        <v>651</v>
      </c>
      <c r="H13" s="65">
        <v>38.854157699999988</v>
      </c>
      <c r="I13" s="65">
        <v>-77.314720699999995</v>
      </c>
      <c r="J13" s="60" t="str">
        <f ca="1">IFERROR(__xludf.DUMMYFUNCTION("SPLIT(G13,"","")"),"10675 Fairfax Blvd")</f>
        <v>10675 Fairfax Blvd</v>
      </c>
      <c r="K13" s="91" t="str">
        <f ca="1">IFERROR(__xludf.DUMMYFUNCTION("""COMPUTED_VALUE""")," Fairfax")</f>
        <v xml:space="preserve"> Fairfax</v>
      </c>
      <c r="L13" s="2" t="str">
        <f ca="1">IFERROR(__xludf.DUMMYFUNCTION("""COMPUTED_VALUE""")," VA 22030")</f>
        <v xml:space="preserve"> VA 22030</v>
      </c>
      <c r="M13" s="2" t="str">
        <f ca="1">IFERROR(__xludf.DUMMYFUNCTION("""COMPUTED_VALUE""")," USA")</f>
        <v xml:space="preserve"> USA</v>
      </c>
      <c r="R13" s="91"/>
    </row>
    <row r="14" spans="1:30">
      <c r="A14" s="60">
        <v>13</v>
      </c>
      <c r="B14" s="79" t="s">
        <v>68</v>
      </c>
      <c r="C14" s="60" t="s">
        <v>604</v>
      </c>
      <c r="D14" s="93" t="s">
        <v>652</v>
      </c>
      <c r="E14" s="48" t="str">
        <f t="shared" si="0"/>
        <v>Chicago</v>
      </c>
      <c r="F14" s="83" t="str">
        <f t="shared" si="1"/>
        <v>Curie (Chicago),IL</v>
      </c>
      <c r="G14" s="60" t="s">
        <v>654</v>
      </c>
      <c r="H14" s="60">
        <v>41.802242700000001</v>
      </c>
      <c r="I14" s="60">
        <v>-87.721669999999989</v>
      </c>
      <c r="J14" s="60" t="str">
        <f ca="1">IFERROR(__xludf.DUMMYFUNCTION("SPLIT(G14,"","")"),"Curie Metropolitan High School")</f>
        <v>Curie Metropolitan High School</v>
      </c>
      <c r="K14" s="2" t="str">
        <f ca="1">IFERROR(__xludf.DUMMYFUNCTION("""COMPUTED_VALUE""")," 4959 S Archer Ave")</f>
        <v xml:space="preserve"> 4959 S Archer Ave</v>
      </c>
      <c r="L14" s="2" t="str">
        <f ca="1">IFERROR(__xludf.DUMMYFUNCTION("""COMPUTED_VALUE""")," Chicago")</f>
        <v xml:space="preserve"> Chicago</v>
      </c>
      <c r="M14" s="2" t="str">
        <f ca="1">IFERROR(__xludf.DUMMYFUNCTION("""COMPUTED_VALUE""")," IL 60632")</f>
        <v xml:space="preserve"> IL 60632</v>
      </c>
      <c r="N14" s="2" t="str">
        <f ca="1">IFERROR(__xludf.DUMMYFUNCTION("""COMPUTED_VALUE""")," USA")</f>
        <v xml:space="preserve"> USA</v>
      </c>
    </row>
    <row r="15" spans="1:30">
      <c r="A15" s="65">
        <v>14</v>
      </c>
      <c r="B15" s="80" t="s">
        <v>54</v>
      </c>
      <c r="C15" s="65" t="s">
        <v>595</v>
      </c>
      <c r="D15" s="90" t="s">
        <v>655</v>
      </c>
      <c r="E15" s="48" t="str">
        <f t="shared" si="0"/>
        <v>Dickinson</v>
      </c>
      <c r="F15" s="83" t="str">
        <f t="shared" si="1"/>
        <v>Dickinson,TX</v>
      </c>
      <c r="G15" s="65" t="s">
        <v>656</v>
      </c>
      <c r="H15" s="65">
        <v>29.4607876</v>
      </c>
      <c r="I15" s="65">
        <v>-95.0513172</v>
      </c>
      <c r="J15" s="60" t="str">
        <f ca="1">IFERROR(__xludf.DUMMYFUNCTION("SPLIT(G15,"","")"),"4301 TX-3")</f>
        <v>4301 TX-3</v>
      </c>
      <c r="K15" s="91" t="str">
        <f ca="1">IFERROR(__xludf.DUMMYFUNCTION("""COMPUTED_VALUE""")," Dickinson")</f>
        <v xml:space="preserve"> Dickinson</v>
      </c>
      <c r="L15" s="2" t="str">
        <f ca="1">IFERROR(__xludf.DUMMYFUNCTION("""COMPUTED_VALUE""")," TX 77539")</f>
        <v xml:space="preserve"> TX 77539</v>
      </c>
      <c r="M15" s="2" t="str">
        <f ca="1">IFERROR(__xludf.DUMMYFUNCTION("""COMPUTED_VALUE""")," USA")</f>
        <v xml:space="preserve"> USA</v>
      </c>
      <c r="R15" s="91"/>
    </row>
    <row r="16" spans="1:30">
      <c r="A16" s="60">
        <v>15</v>
      </c>
      <c r="B16" s="79" t="s">
        <v>67</v>
      </c>
      <c r="C16" s="60" t="s">
        <v>606</v>
      </c>
      <c r="D16" s="92" t="s">
        <v>658</v>
      </c>
      <c r="E16" s="48" t="str">
        <f t="shared" si="0"/>
        <v>Roebuck</v>
      </c>
      <c r="F16" s="83" t="str">
        <f t="shared" si="1"/>
        <v>Dorman (Roebuck),SC</v>
      </c>
      <c r="G16" s="60" t="s">
        <v>659</v>
      </c>
      <c r="H16" s="60">
        <v>34.848948700000001</v>
      </c>
      <c r="I16" s="60">
        <v>-81.971070499999996</v>
      </c>
      <c r="J16" s="60" t="str">
        <f ca="1">IFERROR(__xludf.DUMMYFUNCTION("SPLIT(G16,"","")"),"1050 Cavalier Way")</f>
        <v>1050 Cavalier Way</v>
      </c>
      <c r="K16" s="88" t="str">
        <f ca="1">IFERROR(__xludf.DUMMYFUNCTION("""COMPUTED_VALUE""")," Roebuck")</f>
        <v xml:space="preserve"> Roebuck</v>
      </c>
      <c r="L16" s="2" t="str">
        <f ca="1">IFERROR(__xludf.DUMMYFUNCTION("""COMPUTED_VALUE""")," SC 29376")</f>
        <v xml:space="preserve"> SC 29376</v>
      </c>
      <c r="M16" s="2" t="str">
        <f ca="1">IFERROR(__xludf.DUMMYFUNCTION("""COMPUTED_VALUE""")," USA")</f>
        <v xml:space="preserve"> USA</v>
      </c>
      <c r="R16" s="88"/>
    </row>
    <row r="17" spans="1:18">
      <c r="A17" s="65">
        <v>16</v>
      </c>
      <c r="B17" s="80" t="s">
        <v>101</v>
      </c>
      <c r="C17" s="65" t="s">
        <v>608</v>
      </c>
      <c r="D17" s="90" t="s">
        <v>660</v>
      </c>
      <c r="E17" s="48" t="str">
        <f t="shared" si="0"/>
        <v>Eden Prairie</v>
      </c>
      <c r="F17" s="83" t="str">
        <f t="shared" si="1"/>
        <v>Eden Prairie,MN</v>
      </c>
      <c r="G17" s="65" t="s">
        <v>661</v>
      </c>
      <c r="H17" s="65">
        <v>44.854685600000003</v>
      </c>
      <c r="I17" s="65">
        <v>-93.47078599999999</v>
      </c>
      <c r="J17" s="60" t="str">
        <f ca="1">IFERROR(__xludf.DUMMYFUNCTION("SPLIT(G17,"","")"),"15201 Scenic Heights Rd")</f>
        <v>15201 Scenic Heights Rd</v>
      </c>
      <c r="K17" s="91" t="str">
        <f ca="1">IFERROR(__xludf.DUMMYFUNCTION("""COMPUTED_VALUE""")," Eden Prairie")</f>
        <v xml:space="preserve"> Eden Prairie</v>
      </c>
      <c r="L17" s="2" t="str">
        <f ca="1">IFERROR(__xludf.DUMMYFUNCTION("""COMPUTED_VALUE""")," MN 55344")</f>
        <v xml:space="preserve"> MN 55344</v>
      </c>
      <c r="M17" s="2" t="str">
        <f ca="1">IFERROR(__xludf.DUMMYFUNCTION("""COMPUTED_VALUE""")," USA")</f>
        <v xml:space="preserve"> USA</v>
      </c>
      <c r="R17" s="91"/>
    </row>
    <row r="18" spans="1:18">
      <c r="A18" s="60">
        <v>17</v>
      </c>
      <c r="B18" s="79" t="s">
        <v>61</v>
      </c>
      <c r="C18" s="60" t="s">
        <v>595</v>
      </c>
      <c r="D18" s="92" t="s">
        <v>663</v>
      </c>
      <c r="E18" s="48" t="str">
        <f t="shared" si="0"/>
        <v>Lancaster</v>
      </c>
      <c r="F18" s="83" t="str">
        <f t="shared" si="1"/>
        <v>Lancaster,TX</v>
      </c>
      <c r="G18" s="60" t="s">
        <v>664</v>
      </c>
      <c r="H18" s="60">
        <v>32.5920798</v>
      </c>
      <c r="I18" s="60">
        <v>-96.7561082</v>
      </c>
      <c r="J18" s="60" t="str">
        <f ca="1">IFERROR(__xludf.DUMMYFUNCTION("SPLIT(G18,"","")"),"Online Store")</f>
        <v>Online Store</v>
      </c>
      <c r="K18" s="88" t="str">
        <f ca="1">IFERROR(__xludf.DUMMYFUNCTION("""COMPUTED_VALUE""")," Lancaster")</f>
        <v xml:space="preserve"> Lancaster</v>
      </c>
      <c r="L18" s="2" t="str">
        <f ca="1">IFERROR(__xludf.DUMMYFUNCTION("""COMPUTED_VALUE""")," TX 75146")</f>
        <v xml:space="preserve"> TX 75146</v>
      </c>
      <c r="M18" s="2" t="str">
        <f ca="1">IFERROR(__xludf.DUMMYFUNCTION("""COMPUTED_VALUE""")," USA")</f>
        <v xml:space="preserve"> USA</v>
      </c>
      <c r="R18" s="88"/>
    </row>
    <row r="19" spans="1:18">
      <c r="A19" s="65">
        <v>18</v>
      </c>
      <c r="B19" s="80" t="s">
        <v>48</v>
      </c>
      <c r="C19" s="65" t="s">
        <v>174</v>
      </c>
      <c r="D19" s="90" t="s">
        <v>666</v>
      </c>
      <c r="E19" s="48" t="str">
        <f t="shared" si="0"/>
        <v>Lakewood</v>
      </c>
      <c r="F19" s="83" t="str">
        <f t="shared" si="1"/>
        <v>St. Edward (Lakewood),OH</v>
      </c>
      <c r="G19" s="65" t="s">
        <v>667</v>
      </c>
      <c r="H19" s="65">
        <v>41.486099000000003</v>
      </c>
      <c r="I19" s="65">
        <v>-81.7844683</v>
      </c>
      <c r="J19" s="60" t="str">
        <f ca="1">IFERROR(__xludf.DUMMYFUNCTION("SPLIT(G19,"","")"),"13500 Detroit Ave")</f>
        <v>13500 Detroit Ave</v>
      </c>
      <c r="K19" s="91" t="str">
        <f ca="1">IFERROR(__xludf.DUMMYFUNCTION("""COMPUTED_VALUE""")," Lakewood")</f>
        <v xml:space="preserve"> Lakewood</v>
      </c>
      <c r="L19" s="2" t="str">
        <f ca="1">IFERROR(__xludf.DUMMYFUNCTION("""COMPUTED_VALUE""")," OH 44107")</f>
        <v xml:space="preserve"> OH 44107</v>
      </c>
      <c r="M19" s="2" t="str">
        <f ca="1">IFERROR(__xludf.DUMMYFUNCTION("""COMPUTED_VALUE""")," USA")</f>
        <v xml:space="preserve"> USA</v>
      </c>
      <c r="R19" s="91"/>
    </row>
    <row r="20" spans="1:18">
      <c r="A20" s="60">
        <v>19</v>
      </c>
      <c r="B20" s="79" t="s">
        <v>108</v>
      </c>
      <c r="C20" s="60" t="s">
        <v>588</v>
      </c>
      <c r="D20" s="92" t="s">
        <v>668</v>
      </c>
      <c r="E20" s="48" t="str">
        <f t="shared" si="0"/>
        <v>San Jose</v>
      </c>
      <c r="F20" s="83" t="str">
        <f t="shared" si="1"/>
        <v>Archbishop Mitty (San Jose),CA</v>
      </c>
      <c r="G20" s="60" t="s">
        <v>669</v>
      </c>
      <c r="H20" s="60">
        <v>37.315224100000002</v>
      </c>
      <c r="I20" s="60">
        <v>-121.9932495</v>
      </c>
      <c r="J20" s="60" t="str">
        <f ca="1">IFERROR(__xludf.DUMMYFUNCTION("SPLIT(G20,"","")"),"5000 Mitty Way")</f>
        <v>5000 Mitty Way</v>
      </c>
      <c r="K20" s="88" t="str">
        <f ca="1">IFERROR(__xludf.DUMMYFUNCTION("""COMPUTED_VALUE""")," San Jose")</f>
        <v xml:space="preserve"> San Jose</v>
      </c>
      <c r="L20" s="2" t="str">
        <f ca="1">IFERROR(__xludf.DUMMYFUNCTION("""COMPUTED_VALUE""")," CA 95129")</f>
        <v xml:space="preserve"> CA 95129</v>
      </c>
      <c r="M20" s="2" t="str">
        <f ca="1">IFERROR(__xludf.DUMMYFUNCTION("""COMPUTED_VALUE""")," USA")</f>
        <v xml:space="preserve"> USA</v>
      </c>
      <c r="R20" s="88"/>
    </row>
    <row r="21" spans="1:18">
      <c r="A21" s="65">
        <v>20</v>
      </c>
      <c r="B21" s="80" t="s">
        <v>80</v>
      </c>
      <c r="C21" s="65" t="s">
        <v>69</v>
      </c>
      <c r="D21" s="90" t="s">
        <v>670</v>
      </c>
      <c r="E21" s="48" t="str">
        <f t="shared" si="0"/>
        <v>Birmingham</v>
      </c>
      <c r="F21" s="83" t="str">
        <f t="shared" si="1"/>
        <v>Mountain Brook (Birmingham),AL</v>
      </c>
      <c r="G21" s="65" t="s">
        <v>671</v>
      </c>
      <c r="H21" s="65">
        <v>33.500938400000003</v>
      </c>
      <c r="I21" s="65">
        <v>-86.752210699999992</v>
      </c>
      <c r="J21" s="60" t="str">
        <f ca="1">IFERROR(__xludf.DUMMYFUNCTION("SPLIT(G21,"","")"),"3800 Montevallo Rd")</f>
        <v>3800 Montevallo Rd</v>
      </c>
      <c r="K21" s="91" t="str">
        <f ca="1">IFERROR(__xludf.DUMMYFUNCTION("""COMPUTED_VALUE""")," Birmingham")</f>
        <v xml:space="preserve"> Birmingham</v>
      </c>
      <c r="L21" s="2" t="str">
        <f ca="1">IFERROR(__xludf.DUMMYFUNCTION("""COMPUTED_VALUE""")," AL 35213")</f>
        <v xml:space="preserve"> AL 35213</v>
      </c>
      <c r="M21" s="2" t="str">
        <f ca="1">IFERROR(__xludf.DUMMYFUNCTION("""COMPUTED_VALUE""")," USA")</f>
        <v xml:space="preserve"> USA</v>
      </c>
      <c r="R21" s="91"/>
    </row>
    <row r="22" spans="1:18">
      <c r="A22" s="60">
        <v>21</v>
      </c>
      <c r="B22" s="79" t="s">
        <v>59</v>
      </c>
      <c r="C22" s="60" t="s">
        <v>174</v>
      </c>
      <c r="D22" s="60" t="s">
        <v>673</v>
      </c>
      <c r="E22" s="48" t="str">
        <f t="shared" si="0"/>
        <v>Akron</v>
      </c>
      <c r="F22" s="83" t="str">
        <f t="shared" si="1"/>
        <v>St. Vincent-St. Mary (Akron),OH</v>
      </c>
      <c r="G22" s="60" t="s">
        <v>674</v>
      </c>
      <c r="H22" s="60">
        <v>41.088462399999997</v>
      </c>
      <c r="I22" s="60">
        <v>-81.522841799999995</v>
      </c>
      <c r="J22" s="60" t="str">
        <f ca="1">IFERROR(__xludf.DUMMYFUNCTION("SPLIT(G22,"","")"),"15 N Maple St")</f>
        <v>15 N Maple St</v>
      </c>
      <c r="K22" s="61" t="str">
        <f ca="1">IFERROR(__xludf.DUMMYFUNCTION("""COMPUTED_VALUE""")," Akron")</f>
        <v xml:space="preserve"> Akron</v>
      </c>
      <c r="L22" s="2" t="str">
        <f ca="1">IFERROR(__xludf.DUMMYFUNCTION("""COMPUTED_VALUE""")," OH 44303")</f>
        <v xml:space="preserve"> OH 44303</v>
      </c>
      <c r="M22" s="2" t="str">
        <f ca="1">IFERROR(__xludf.DUMMYFUNCTION("""COMPUTED_VALUE""")," USA")</f>
        <v xml:space="preserve"> USA</v>
      </c>
      <c r="R22" s="61"/>
    </row>
    <row r="23" spans="1:18">
      <c r="A23" s="65">
        <v>22</v>
      </c>
      <c r="B23" s="80" t="s">
        <v>116</v>
      </c>
      <c r="C23" s="65" t="s">
        <v>588</v>
      </c>
      <c r="D23" s="90" t="s">
        <v>676</v>
      </c>
      <c r="E23" s="48" t="str">
        <f t="shared" si="0"/>
        <v>Santa Ana</v>
      </c>
      <c r="F23" s="83" t="str">
        <f t="shared" si="1"/>
        <v>Mater Dei (Santa Ana),CA</v>
      </c>
      <c r="G23" s="65" t="s">
        <v>677</v>
      </c>
      <c r="H23" s="65">
        <v>33.726219399999998</v>
      </c>
      <c r="I23" s="65">
        <v>-117.88414539999999</v>
      </c>
      <c r="J23" s="60" t="str">
        <f ca="1">IFERROR(__xludf.DUMMYFUNCTION("SPLIT(G23,"","")"),"1202 W Edinger Ave")</f>
        <v>1202 W Edinger Ave</v>
      </c>
      <c r="K23" s="91" t="str">
        <f ca="1">IFERROR(__xludf.DUMMYFUNCTION("""COMPUTED_VALUE""")," Santa Ana")</f>
        <v xml:space="preserve"> Santa Ana</v>
      </c>
      <c r="L23" s="2" t="str">
        <f ca="1">IFERROR(__xludf.DUMMYFUNCTION("""COMPUTED_VALUE""")," CA 92707")</f>
        <v xml:space="preserve"> CA 92707</v>
      </c>
      <c r="M23" s="2" t="str">
        <f ca="1">IFERROR(__xludf.DUMMYFUNCTION("""COMPUTED_VALUE""")," USA")</f>
        <v xml:space="preserve"> USA</v>
      </c>
      <c r="R23" s="91"/>
    </row>
    <row r="24" spans="1:18">
      <c r="A24" s="60">
        <v>23</v>
      </c>
      <c r="B24" s="79" t="s">
        <v>122</v>
      </c>
      <c r="C24" s="60" t="s">
        <v>588</v>
      </c>
      <c r="D24" s="92" t="s">
        <v>678</v>
      </c>
      <c r="E24" s="48" t="str">
        <f t="shared" si="0"/>
        <v>Corona</v>
      </c>
      <c r="F24" s="83" t="str">
        <f t="shared" si="1"/>
        <v>Centennial (Corona),CA</v>
      </c>
      <c r="G24" s="60" t="s">
        <v>679</v>
      </c>
      <c r="H24" s="60">
        <v>33.8581918</v>
      </c>
      <c r="I24" s="60">
        <v>-117.54541209999999</v>
      </c>
      <c r="J24" s="60" t="str">
        <f ca="1">IFERROR(__xludf.DUMMYFUNCTION("SPLIT(G24,"","")"),"1820 Rimpau Ave")</f>
        <v>1820 Rimpau Ave</v>
      </c>
      <c r="K24" s="88" t="str">
        <f ca="1">IFERROR(__xludf.DUMMYFUNCTION("""COMPUTED_VALUE""")," Corona")</f>
        <v xml:space="preserve"> Corona</v>
      </c>
      <c r="L24" s="2" t="str">
        <f ca="1">IFERROR(__xludf.DUMMYFUNCTION("""COMPUTED_VALUE""")," CA 92881")</f>
        <v xml:space="preserve"> CA 92881</v>
      </c>
      <c r="M24" s="2" t="str">
        <f ca="1">IFERROR(__xludf.DUMMYFUNCTION("""COMPUTED_VALUE""")," USA")</f>
        <v xml:space="preserve"> USA</v>
      </c>
      <c r="R24" s="88"/>
    </row>
    <row r="25" spans="1:18">
      <c r="A25" s="65">
        <v>24</v>
      </c>
      <c r="B25" s="80" t="s">
        <v>85</v>
      </c>
      <c r="C25" s="65" t="s">
        <v>618</v>
      </c>
      <c r="D25" s="90" t="s">
        <v>680</v>
      </c>
      <c r="E25" s="48" t="str">
        <f t="shared" si="0"/>
        <v>Indianapolis</v>
      </c>
      <c r="F25" s="83" t="str">
        <f t="shared" si="1"/>
        <v>Lawrence North (Indianapolis),IN</v>
      </c>
      <c r="G25" s="65" t="s">
        <v>681</v>
      </c>
      <c r="H25" s="65">
        <v>39.896166299999997</v>
      </c>
      <c r="I25" s="65">
        <v>-86.034953599999994</v>
      </c>
      <c r="J25" s="60" t="str">
        <f ca="1">IFERROR(__xludf.DUMMYFUNCTION("SPLIT(G25,"","")"),"7802 Hague Rd")</f>
        <v>7802 Hague Rd</v>
      </c>
      <c r="K25" s="91" t="str">
        <f ca="1">IFERROR(__xludf.DUMMYFUNCTION("""COMPUTED_VALUE""")," Indianapolis")</f>
        <v xml:space="preserve"> Indianapolis</v>
      </c>
      <c r="L25" s="2" t="str">
        <f ca="1">IFERROR(__xludf.DUMMYFUNCTION("""COMPUTED_VALUE""")," IN 46256")</f>
        <v xml:space="preserve"> IN 46256</v>
      </c>
      <c r="M25" s="2" t="str">
        <f ca="1">IFERROR(__xludf.DUMMYFUNCTION("""COMPUTED_VALUE""")," USA")</f>
        <v xml:space="preserve"> USA</v>
      </c>
      <c r="R25" s="91"/>
    </row>
    <row r="26" spans="1:18">
      <c r="A26" s="60">
        <v>25</v>
      </c>
      <c r="B26" s="79" t="s">
        <v>74</v>
      </c>
      <c r="C26" s="60" t="s">
        <v>624</v>
      </c>
      <c r="D26" s="93" t="s">
        <v>683</v>
      </c>
      <c r="E26" s="48" t="str">
        <f t="shared" si="0"/>
        <v>Baton Rouge</v>
      </c>
      <c r="F26" s="83" t="str">
        <f t="shared" si="1"/>
        <v>Scotlandville (Baton Rouge),LA</v>
      </c>
      <c r="G26" s="60" t="s">
        <v>684</v>
      </c>
      <c r="H26" s="60">
        <v>30.534247700000002</v>
      </c>
      <c r="I26" s="60">
        <v>-91.164096799999996</v>
      </c>
      <c r="J26" s="60" t="str">
        <f ca="1">IFERROR(__xludf.DUMMYFUNCTION("SPLIT(G26,"","")"),"2867 Brig Gen Isaac Smith Ave")</f>
        <v>2867 Brig Gen Isaac Smith Ave</v>
      </c>
      <c r="K26" s="2" t="str">
        <f ca="1">IFERROR(__xludf.DUMMYFUNCTION("""COMPUTED_VALUE""")," Baton Rouge")</f>
        <v xml:space="preserve"> Baton Rouge</v>
      </c>
      <c r="L26" s="2" t="str">
        <f ca="1">IFERROR(__xludf.DUMMYFUNCTION("""COMPUTED_VALUE""")," LA 70807")</f>
        <v xml:space="preserve"> LA 70807</v>
      </c>
      <c r="M26" s="2" t="str">
        <f ca="1">IFERROR(__xludf.DUMMYFUNCTION("""COMPUTED_VALUE""")," USA")</f>
        <v xml:space="preserve"> USA</v>
      </c>
    </row>
    <row r="27" spans="1:18">
      <c r="A27" s="60">
        <v>26</v>
      </c>
      <c r="B27" s="79" t="s">
        <v>124</v>
      </c>
      <c r="C27" s="60" t="s">
        <v>588</v>
      </c>
      <c r="D27" s="92" t="s">
        <v>685</v>
      </c>
      <c r="E27" s="48" t="str">
        <f t="shared" si="0"/>
        <v>Studio City</v>
      </c>
      <c r="F27" s="83" t="str">
        <f t="shared" si="1"/>
        <v>Harvard-Westlake (Studio City),CA</v>
      </c>
      <c r="G27" s="60" t="s">
        <v>686</v>
      </c>
      <c r="H27" s="60">
        <v>34.1396339</v>
      </c>
      <c r="I27" s="60">
        <v>-118.41262930000001</v>
      </c>
      <c r="J27" s="60" t="str">
        <f ca="1">IFERROR(__xludf.DUMMYFUNCTION("SPLIT(G27,"","")"),"3700 Coldwater Canyon Ave")</f>
        <v>3700 Coldwater Canyon Ave</v>
      </c>
      <c r="K27" s="88" t="str">
        <f ca="1">IFERROR(__xludf.DUMMYFUNCTION("""COMPUTED_VALUE""")," Studio City")</f>
        <v xml:space="preserve"> Studio City</v>
      </c>
      <c r="L27" s="2" t="str">
        <f ca="1">IFERROR(__xludf.DUMMYFUNCTION("""COMPUTED_VALUE""")," CA 91604")</f>
        <v xml:space="preserve"> CA 91604</v>
      </c>
      <c r="M27" s="2" t="str">
        <f ca="1">IFERROR(__xludf.DUMMYFUNCTION("""COMPUTED_VALUE""")," USA")</f>
        <v xml:space="preserve"> USA</v>
      </c>
      <c r="R27" s="88"/>
    </row>
    <row r="28" spans="1:18">
      <c r="A28" s="65">
        <v>27</v>
      </c>
      <c r="B28" s="80" t="s">
        <v>125</v>
      </c>
      <c r="C28" s="65" t="s">
        <v>588</v>
      </c>
      <c r="D28" s="90" t="s">
        <v>635</v>
      </c>
      <c r="E28" s="48" t="str">
        <f t="shared" si="0"/>
        <v>Los Angeles</v>
      </c>
      <c r="F28" s="83" t="str">
        <f t="shared" si="1"/>
        <v>Windward (Los Angeles),CA</v>
      </c>
      <c r="G28" s="65" t="s">
        <v>688</v>
      </c>
      <c r="H28" s="65">
        <v>34.017479799999997</v>
      </c>
      <c r="I28" s="65">
        <v>-118.4261578</v>
      </c>
      <c r="J28" s="60" t="str">
        <f ca="1">IFERROR(__xludf.DUMMYFUNCTION("SPLIT(G28,"","")"),"11350 Palms Blvd")</f>
        <v>11350 Palms Blvd</v>
      </c>
      <c r="K28" s="91" t="str">
        <f ca="1">IFERROR(__xludf.DUMMYFUNCTION("""COMPUTED_VALUE""")," Los Angeles")</f>
        <v xml:space="preserve"> Los Angeles</v>
      </c>
      <c r="L28" s="2" t="str">
        <f ca="1">IFERROR(__xludf.DUMMYFUNCTION("""COMPUTED_VALUE""")," CA 90066")</f>
        <v xml:space="preserve"> CA 90066</v>
      </c>
      <c r="M28" s="2" t="str">
        <f ca="1">IFERROR(__xludf.DUMMYFUNCTION("""COMPUTED_VALUE""")," USA")</f>
        <v xml:space="preserve"> USA</v>
      </c>
      <c r="R28" s="91"/>
    </row>
    <row r="29" spans="1:18">
      <c r="A29" s="60">
        <v>28</v>
      </c>
      <c r="B29" s="79" t="s">
        <v>126</v>
      </c>
      <c r="C29" s="60" t="s">
        <v>588</v>
      </c>
      <c r="D29" s="92" t="s">
        <v>689</v>
      </c>
      <c r="E29" s="48" t="str">
        <f t="shared" si="0"/>
        <v>Santa Clarita</v>
      </c>
      <c r="F29" s="83" t="str">
        <f t="shared" si="1"/>
        <v>Santa Clarita Christian (Canyon Country),CA</v>
      </c>
      <c r="G29" s="60" t="s">
        <v>690</v>
      </c>
      <c r="H29" s="60">
        <v>34.4131474</v>
      </c>
      <c r="I29" s="60">
        <v>-118.464505</v>
      </c>
      <c r="J29" s="60" t="str">
        <f ca="1">IFERROR(__xludf.DUMMYFUNCTION("SPLIT(G29,"","")"),"27249 Luther Dr")</f>
        <v>27249 Luther Dr</v>
      </c>
      <c r="K29" s="88" t="str">
        <f ca="1">IFERROR(__xludf.DUMMYFUNCTION("""COMPUTED_VALUE""")," Santa Clarita")</f>
        <v xml:space="preserve"> Santa Clarita</v>
      </c>
      <c r="L29" s="2" t="str">
        <f ca="1">IFERROR(__xludf.DUMMYFUNCTION("""COMPUTED_VALUE""")," CA 91351")</f>
        <v xml:space="preserve"> CA 91351</v>
      </c>
      <c r="M29" s="2" t="str">
        <f ca="1">IFERROR(__xludf.DUMMYFUNCTION("""COMPUTED_VALUE""")," USA")</f>
        <v xml:space="preserve"> USA</v>
      </c>
      <c r="R29" s="88"/>
    </row>
    <row r="30" spans="1:18">
      <c r="A30" s="65">
        <v>29</v>
      </c>
      <c r="B30" s="80" t="s">
        <v>45</v>
      </c>
      <c r="C30" s="65" t="s">
        <v>646</v>
      </c>
      <c r="D30" s="90" t="s">
        <v>691</v>
      </c>
      <c r="E30" s="48" t="str">
        <f t="shared" si="0"/>
        <v>Missoula</v>
      </c>
      <c r="F30" s="83" t="str">
        <f t="shared" si="1"/>
        <v>Hellgate (Missoula),MT</v>
      </c>
      <c r="G30" s="65" t="s">
        <v>692</v>
      </c>
      <c r="H30" s="65">
        <v>46.862826499999997</v>
      </c>
      <c r="I30" s="65">
        <v>-113.99661469999999</v>
      </c>
      <c r="J30" s="60" t="str">
        <f ca="1">IFERROR(__xludf.DUMMYFUNCTION("SPLIT(G30,"","")"),"900 S Higgins Ave")</f>
        <v>900 S Higgins Ave</v>
      </c>
      <c r="K30" s="91" t="str">
        <f ca="1">IFERROR(__xludf.DUMMYFUNCTION("""COMPUTED_VALUE""")," Missoula")</f>
        <v xml:space="preserve"> Missoula</v>
      </c>
      <c r="L30" s="2" t="str">
        <f ca="1">IFERROR(__xludf.DUMMYFUNCTION("""COMPUTED_VALUE""")," MT 59801")</f>
        <v xml:space="preserve"> MT 59801</v>
      </c>
      <c r="M30" s="2" t="str">
        <f ca="1">IFERROR(__xludf.DUMMYFUNCTION("""COMPUTED_VALUE""")," USA")</f>
        <v xml:space="preserve"> USA</v>
      </c>
      <c r="R30" s="91"/>
    </row>
    <row r="31" spans="1:18">
      <c r="A31" s="60">
        <v>30</v>
      </c>
      <c r="B31" s="79" t="s">
        <v>92</v>
      </c>
      <c r="C31" s="60" t="s">
        <v>602</v>
      </c>
      <c r="D31" s="92" t="s">
        <v>694</v>
      </c>
      <c r="E31" s="48" t="str">
        <f t="shared" si="0"/>
        <v>Volney</v>
      </c>
      <c r="F31" s="83" t="str">
        <f t="shared" si="1"/>
        <v>Oak Hill Academy (Mouth of Wilson),VA</v>
      </c>
      <c r="G31" s="60" t="s">
        <v>695</v>
      </c>
      <c r="H31" s="60">
        <v>36.5993481</v>
      </c>
      <c r="I31" s="60">
        <v>-81.337412399999991</v>
      </c>
      <c r="J31" s="60" t="str">
        <f ca="1">IFERROR(__xludf.DUMMYFUNCTION("SPLIT(G31,"","")"),"2635 Oak Hill Rd")</f>
        <v>2635 Oak Hill Rd</v>
      </c>
      <c r="K31" s="88" t="str">
        <f ca="1">IFERROR(__xludf.DUMMYFUNCTION("""COMPUTED_VALUE""")," Volney")</f>
        <v xml:space="preserve"> Volney</v>
      </c>
      <c r="L31" s="2" t="str">
        <f ca="1">IFERROR(__xludf.DUMMYFUNCTION("""COMPUTED_VALUE""")," VA 24363")</f>
        <v xml:space="preserve"> VA 24363</v>
      </c>
      <c r="M31" s="2" t="str">
        <f ca="1">IFERROR(__xludf.DUMMYFUNCTION("""COMPUTED_VALUE""")," USA")</f>
        <v xml:space="preserve"> USA</v>
      </c>
      <c r="R31" s="88"/>
    </row>
    <row r="32" spans="1:18">
      <c r="A32" s="65">
        <v>31</v>
      </c>
      <c r="B32" s="80" t="s">
        <v>129</v>
      </c>
      <c r="C32" s="65" t="s">
        <v>588</v>
      </c>
      <c r="D32" s="90" t="s">
        <v>696</v>
      </c>
      <c r="E32" s="48" t="str">
        <f t="shared" si="0"/>
        <v>Richmond</v>
      </c>
      <c r="F32" s="83" t="str">
        <f t="shared" si="1"/>
        <v>Salesian College Preparatory (Richmond),CA</v>
      </c>
      <c r="G32" s="65" t="s">
        <v>697</v>
      </c>
      <c r="H32" s="65">
        <v>37.9529766</v>
      </c>
      <c r="I32" s="65">
        <v>-122.3408469</v>
      </c>
      <c r="J32" s="60" t="str">
        <f ca="1">IFERROR(__xludf.DUMMYFUNCTION("SPLIT(G32,"","")"),"2851 Salesian Ave")</f>
        <v>2851 Salesian Ave</v>
      </c>
      <c r="K32" s="91" t="str">
        <f ca="1">IFERROR(__xludf.DUMMYFUNCTION("""COMPUTED_VALUE""")," Richmond")</f>
        <v xml:space="preserve"> Richmond</v>
      </c>
      <c r="L32" s="2" t="str">
        <f ca="1">IFERROR(__xludf.DUMMYFUNCTION("""COMPUTED_VALUE""")," CA 94804")</f>
        <v xml:space="preserve"> CA 94804</v>
      </c>
      <c r="M32" s="2" t="str">
        <f ca="1">IFERROR(__xludf.DUMMYFUNCTION("""COMPUTED_VALUE""")," USA")</f>
        <v xml:space="preserve"> USA</v>
      </c>
      <c r="R32" s="91"/>
    </row>
    <row r="33" spans="1:18">
      <c r="A33" s="60">
        <v>32</v>
      </c>
      <c r="B33" s="79" t="s">
        <v>130</v>
      </c>
      <c r="C33" s="60" t="s">
        <v>588</v>
      </c>
      <c r="D33" s="60" t="s">
        <v>699</v>
      </c>
      <c r="E33" s="48" t="str">
        <f t="shared" si="0"/>
        <v>Oakland</v>
      </c>
      <c r="F33" s="83" t="str">
        <f t="shared" si="1"/>
        <v>Bishop O'Dowd (Oakland),CA</v>
      </c>
      <c r="G33" s="60" t="s">
        <v>700</v>
      </c>
      <c r="H33" s="60">
        <v>37.753264600000001</v>
      </c>
      <c r="I33" s="60">
        <v>-122.15469710000001</v>
      </c>
      <c r="J33" s="60" t="str">
        <f ca="1">IFERROR(__xludf.DUMMYFUNCTION("SPLIT(G33,"","")"),"9500 Stearns Ave")</f>
        <v>9500 Stearns Ave</v>
      </c>
      <c r="K33" s="61" t="str">
        <f ca="1">IFERROR(__xludf.DUMMYFUNCTION("""COMPUTED_VALUE""")," Oakland")</f>
        <v xml:space="preserve"> Oakland</v>
      </c>
      <c r="L33" s="2" t="str">
        <f ca="1">IFERROR(__xludf.DUMMYFUNCTION("""COMPUTED_VALUE""")," CA 94605")</f>
        <v xml:space="preserve"> CA 94605</v>
      </c>
      <c r="M33" s="2" t="str">
        <f ca="1">IFERROR(__xludf.DUMMYFUNCTION("""COMPUTED_VALUE""")," USA")</f>
        <v xml:space="preserve"> USA</v>
      </c>
      <c r="R33" s="61"/>
    </row>
    <row r="34" spans="1:18">
      <c r="A34" s="65">
        <v>33</v>
      </c>
      <c r="B34" s="80" t="s">
        <v>107</v>
      </c>
      <c r="C34" s="65" t="s">
        <v>174</v>
      </c>
      <c r="D34" s="90" t="s">
        <v>701</v>
      </c>
      <c r="E34" s="48" t="str">
        <f t="shared" si="0"/>
        <v>Cincinnati</v>
      </c>
      <c r="F34" s="83" t="str">
        <f t="shared" si="1"/>
        <v>Archbishop Moeller (Cincinnati),OH</v>
      </c>
      <c r="G34" s="65" t="s">
        <v>702</v>
      </c>
      <c r="H34" s="65">
        <v>39.220257799999999</v>
      </c>
      <c r="I34" s="65">
        <v>-84.35840979999999</v>
      </c>
      <c r="J34" s="60" t="str">
        <f ca="1">IFERROR(__xludf.DUMMYFUNCTION("SPLIT(G34,"","")"),"9001 Montgomery Rd")</f>
        <v>9001 Montgomery Rd</v>
      </c>
      <c r="K34" s="91" t="str">
        <f ca="1">IFERROR(__xludf.DUMMYFUNCTION("""COMPUTED_VALUE""")," Cincinnati")</f>
        <v xml:space="preserve"> Cincinnati</v>
      </c>
      <c r="L34" s="2" t="str">
        <f ca="1">IFERROR(__xludf.DUMMYFUNCTION("""COMPUTED_VALUE""")," OH 45242")</f>
        <v xml:space="preserve"> OH 45242</v>
      </c>
      <c r="M34" s="2" t="str">
        <f ca="1">IFERROR(__xludf.DUMMYFUNCTION("""COMPUTED_VALUE""")," USA")</f>
        <v xml:space="preserve"> USA</v>
      </c>
      <c r="R34" s="91"/>
    </row>
    <row r="35" spans="1:18">
      <c r="A35" s="60">
        <v>34</v>
      </c>
      <c r="B35" s="79" t="s">
        <v>131</v>
      </c>
      <c r="C35" s="60" t="s">
        <v>588</v>
      </c>
      <c r="D35" s="92" t="s">
        <v>703</v>
      </c>
      <c r="E35" s="48" t="str">
        <f t="shared" si="0"/>
        <v>San Francisco</v>
      </c>
      <c r="F35" s="83" t="str">
        <f t="shared" si="1"/>
        <v>Archbishop Riordan (San Francisco),CA</v>
      </c>
      <c r="G35" s="60" t="s">
        <v>704</v>
      </c>
      <c r="H35" s="60">
        <v>37.727741700000003</v>
      </c>
      <c r="I35" s="60">
        <v>-122.4527069</v>
      </c>
      <c r="J35" s="60" t="str">
        <f ca="1">IFERROR(__xludf.DUMMYFUNCTION("SPLIT(G35,"","")"),"Frida Khalo Way &amp; Judson Ave")</f>
        <v>Frida Khalo Way &amp; Judson Ave</v>
      </c>
      <c r="K35" s="88" t="str">
        <f ca="1">IFERROR(__xludf.DUMMYFUNCTION("""COMPUTED_VALUE""")," San Francisco")</f>
        <v xml:space="preserve"> San Francisco</v>
      </c>
      <c r="L35" s="2" t="str">
        <f ca="1">IFERROR(__xludf.DUMMYFUNCTION("""COMPUTED_VALUE""")," CA 94112")</f>
        <v xml:space="preserve"> CA 94112</v>
      </c>
      <c r="M35" s="2" t="str">
        <f ca="1">IFERROR(__xludf.DUMMYFUNCTION("""COMPUTED_VALUE""")," USA")</f>
        <v xml:space="preserve"> USA</v>
      </c>
      <c r="R35" s="88"/>
    </row>
    <row r="36" spans="1:18">
      <c r="A36" s="65">
        <v>35</v>
      </c>
      <c r="B36" s="80" t="s">
        <v>79</v>
      </c>
      <c r="C36" s="65" t="s">
        <v>675</v>
      </c>
      <c r="D36" s="90" t="s">
        <v>705</v>
      </c>
      <c r="E36" s="48" t="str">
        <f t="shared" si="0"/>
        <v>Philadelphia</v>
      </c>
      <c r="F36" s="83" t="str">
        <f t="shared" si="1"/>
        <v>Neumann-Goretti (Philadelphia),PA</v>
      </c>
      <c r="G36" s="65" t="s">
        <v>706</v>
      </c>
      <c r="H36" s="65">
        <v>39.927427999999999</v>
      </c>
      <c r="I36" s="65">
        <v>-75.162928999999991</v>
      </c>
      <c r="J36" s="60" t="str">
        <f ca="1">IFERROR(__xludf.DUMMYFUNCTION("SPLIT(G36,"","")"),"1736 S 10th St")</f>
        <v>1736 S 10th St</v>
      </c>
      <c r="K36" s="91" t="str">
        <f ca="1">IFERROR(__xludf.DUMMYFUNCTION("""COMPUTED_VALUE""")," Philadelphia")</f>
        <v xml:space="preserve"> Philadelphia</v>
      </c>
      <c r="L36" s="2" t="str">
        <f ca="1">IFERROR(__xludf.DUMMYFUNCTION("""COMPUTED_VALUE""")," PA 19148")</f>
        <v xml:space="preserve"> PA 19148</v>
      </c>
      <c r="M36" s="2" t="str">
        <f ca="1">IFERROR(__xludf.DUMMYFUNCTION("""COMPUTED_VALUE""")," USA")</f>
        <v xml:space="preserve"> USA</v>
      </c>
      <c r="R36" s="91"/>
    </row>
    <row r="37" spans="1:18">
      <c r="A37" s="60">
        <v>36</v>
      </c>
      <c r="B37" s="79" t="s">
        <v>113</v>
      </c>
      <c r="C37" s="60" t="s">
        <v>682</v>
      </c>
      <c r="D37" s="92" t="s">
        <v>707</v>
      </c>
      <c r="E37" s="48" t="str">
        <f t="shared" si="0"/>
        <v>Brookfield</v>
      </c>
      <c r="F37" s="83" t="str">
        <f t="shared" si="1"/>
        <v>Brookfield Central (Brookfield),WI</v>
      </c>
      <c r="G37" s="60" t="s">
        <v>708</v>
      </c>
      <c r="H37" s="60">
        <v>43.054682399999997</v>
      </c>
      <c r="I37" s="60">
        <v>-88.122511399999993</v>
      </c>
      <c r="J37" s="60" t="str">
        <f ca="1">IFERROR(__xludf.DUMMYFUNCTION("SPLIT(G37,"","")"),"16900 Gebhardt Rd")</f>
        <v>16900 Gebhardt Rd</v>
      </c>
      <c r="K37" s="88" t="str">
        <f ca="1">IFERROR(__xludf.DUMMYFUNCTION("""COMPUTED_VALUE""")," Brookfield")</f>
        <v xml:space="preserve"> Brookfield</v>
      </c>
      <c r="L37" s="2" t="str">
        <f ca="1">IFERROR(__xludf.DUMMYFUNCTION("""COMPUTED_VALUE""")," WI 53005")</f>
        <v xml:space="preserve"> WI 53005</v>
      </c>
      <c r="M37" s="2" t="str">
        <f ca="1">IFERROR(__xludf.DUMMYFUNCTION("""COMPUTED_VALUE""")," USA")</f>
        <v xml:space="preserve"> USA</v>
      </c>
      <c r="R37" s="88"/>
    </row>
    <row r="38" spans="1:18">
      <c r="A38" s="65">
        <v>37</v>
      </c>
      <c r="B38" s="80" t="s">
        <v>119</v>
      </c>
      <c r="C38" s="65" t="s">
        <v>179</v>
      </c>
      <c r="D38" s="90" t="s">
        <v>710</v>
      </c>
      <c r="E38" s="48" t="str">
        <f t="shared" si="0"/>
        <v>Huntersville</v>
      </c>
      <c r="F38" s="83" t="str">
        <f t="shared" si="1"/>
        <v>North Mecklenburg (Huntersville),NC</v>
      </c>
      <c r="G38" s="65" t="s">
        <v>711</v>
      </c>
      <c r="H38" s="65">
        <v>35.372648499999997</v>
      </c>
      <c r="I38" s="65">
        <v>-80.83415149999999</v>
      </c>
      <c r="J38" s="60" t="str">
        <f ca="1">IFERROR(__xludf.DUMMYFUNCTION("SPLIT(G38,"","")"),"11201 Old Statesville Rd")</f>
        <v>11201 Old Statesville Rd</v>
      </c>
      <c r="K38" s="91" t="str">
        <f ca="1">IFERROR(__xludf.DUMMYFUNCTION("""COMPUTED_VALUE""")," Huntersville")</f>
        <v xml:space="preserve"> Huntersville</v>
      </c>
      <c r="L38" s="2" t="str">
        <f ca="1">IFERROR(__xludf.DUMMYFUNCTION("""COMPUTED_VALUE""")," NC 28078")</f>
        <v xml:space="preserve"> NC 28078</v>
      </c>
      <c r="M38" s="2" t="str">
        <f ca="1">IFERROR(__xludf.DUMMYFUNCTION("""COMPUTED_VALUE""")," USA")</f>
        <v xml:space="preserve"> USA</v>
      </c>
      <c r="R38" s="91"/>
    </row>
    <row r="39" spans="1:18">
      <c r="A39" s="60">
        <v>38</v>
      </c>
      <c r="B39" s="79" t="s">
        <v>112</v>
      </c>
      <c r="C39" s="60" t="s">
        <v>693</v>
      </c>
      <c r="D39" s="92" t="s">
        <v>713</v>
      </c>
      <c r="E39" s="48" t="str">
        <f t="shared" si="0"/>
        <v>Jackson</v>
      </c>
      <c r="F39" s="83" t="str">
        <f t="shared" si="1"/>
        <v>Callaway (Jackson),MS</v>
      </c>
      <c r="G39" s="60" t="s">
        <v>714</v>
      </c>
      <c r="H39" s="60">
        <v>32.384811200000001</v>
      </c>
      <c r="I39" s="60">
        <v>-90.171768499999999</v>
      </c>
      <c r="J39" s="60" t="str">
        <f ca="1">IFERROR(__xludf.DUMMYFUNCTION("SPLIT(G39,"","")"),"601 Beasley Rd")</f>
        <v>601 Beasley Rd</v>
      </c>
      <c r="K39" s="88" t="str">
        <f ca="1">IFERROR(__xludf.DUMMYFUNCTION("""COMPUTED_VALUE""")," Jackson")</f>
        <v xml:space="preserve"> Jackson</v>
      </c>
      <c r="L39" s="2" t="str">
        <f ca="1">IFERROR(__xludf.DUMMYFUNCTION("""COMPUTED_VALUE""")," MS 39206")</f>
        <v xml:space="preserve"> MS 39206</v>
      </c>
      <c r="M39" s="2" t="str">
        <f ca="1">IFERROR(__xludf.DUMMYFUNCTION("""COMPUTED_VALUE""")," USA")</f>
        <v xml:space="preserve"> USA</v>
      </c>
      <c r="R39" s="88"/>
    </row>
    <row r="40" spans="1:18">
      <c r="A40" s="65">
        <v>39</v>
      </c>
      <c r="B40" s="80" t="s">
        <v>87</v>
      </c>
      <c r="C40" s="65" t="s">
        <v>595</v>
      </c>
      <c r="D40" s="90" t="s">
        <v>716</v>
      </c>
      <c r="E40" s="48" t="str">
        <f t="shared" si="0"/>
        <v>Richardson</v>
      </c>
      <c r="F40" s="83" t="str">
        <f t="shared" si="1"/>
        <v>Richardson,TX</v>
      </c>
      <c r="G40" s="65" t="s">
        <v>717</v>
      </c>
      <c r="H40" s="65">
        <v>32.948333499999997</v>
      </c>
      <c r="I40" s="65">
        <v>-96.7298519</v>
      </c>
      <c r="J40" s="60" t="str">
        <f ca="1">IFERROR(__xludf.DUMMYFUNCTION("SPLIT(G40,"","")"),"101 S Greenville Ave")</f>
        <v>101 S Greenville Ave</v>
      </c>
      <c r="K40" s="91" t="str">
        <f ca="1">IFERROR(__xludf.DUMMYFUNCTION("""COMPUTED_VALUE""")," Richardson")</f>
        <v xml:space="preserve"> Richardson</v>
      </c>
      <c r="L40" s="2" t="str">
        <f ca="1">IFERROR(__xludf.DUMMYFUNCTION("""COMPUTED_VALUE""")," TX 75081")</f>
        <v xml:space="preserve"> TX 75081</v>
      </c>
      <c r="M40" s="2" t="str">
        <f ca="1">IFERROR(__xludf.DUMMYFUNCTION("""COMPUTED_VALUE""")," USA")</f>
        <v xml:space="preserve"> USA</v>
      </c>
      <c r="R40" s="91"/>
    </row>
    <row r="41" spans="1:18">
      <c r="A41" s="60">
        <v>40</v>
      </c>
      <c r="B41" s="79" t="s">
        <v>104</v>
      </c>
      <c r="C41" s="60" t="s">
        <v>595</v>
      </c>
      <c r="D41" s="92" t="s">
        <v>718</v>
      </c>
      <c r="E41" s="48" t="str">
        <f t="shared" si="0"/>
        <v>Waxahachie</v>
      </c>
      <c r="F41" s="83" t="str">
        <f t="shared" si="1"/>
        <v>Waxahachie,TX</v>
      </c>
      <c r="G41" s="60" t="s">
        <v>719</v>
      </c>
      <c r="H41" s="60">
        <v>32.3865312</v>
      </c>
      <c r="I41" s="60">
        <v>-96.848331099999996</v>
      </c>
      <c r="J41" s="60" t="str">
        <f ca="1">IFERROR(__xludf.DUMMYFUNCTION("SPLIT(G41,"","")"),"104 N Elm St")</f>
        <v>104 N Elm St</v>
      </c>
      <c r="K41" s="88" t="str">
        <f ca="1">IFERROR(__xludf.DUMMYFUNCTION("""COMPUTED_VALUE""")," Waxahachie")</f>
        <v xml:space="preserve"> Waxahachie</v>
      </c>
      <c r="L41" s="2" t="str">
        <f ca="1">IFERROR(__xludf.DUMMYFUNCTION("""COMPUTED_VALUE""")," TX 75165")</f>
        <v xml:space="preserve"> TX 75165</v>
      </c>
      <c r="M41" s="2" t="str">
        <f ca="1">IFERROR(__xludf.DUMMYFUNCTION("""COMPUTED_VALUE""")," USA")</f>
        <v xml:space="preserve"> USA</v>
      </c>
      <c r="R41" s="88"/>
    </row>
    <row r="42" spans="1:18">
      <c r="A42" s="65">
        <v>41</v>
      </c>
      <c r="B42" s="80" t="s">
        <v>110</v>
      </c>
      <c r="C42" s="65" t="s">
        <v>595</v>
      </c>
      <c r="D42" s="90" t="s">
        <v>722</v>
      </c>
      <c r="E42" s="48" t="str">
        <f t="shared" si="0"/>
        <v>Plano</v>
      </c>
      <c r="F42" s="83" t="str">
        <f t="shared" si="1"/>
        <v>John Paul II (Plano),TX</v>
      </c>
      <c r="G42" s="65" t="s">
        <v>723</v>
      </c>
      <c r="H42" s="65">
        <v>33.012856000000014</v>
      </c>
      <c r="I42" s="65">
        <v>-96.764327299999991</v>
      </c>
      <c r="J42" s="60" t="str">
        <f ca="1">IFERROR(__xludf.DUMMYFUNCTION("SPLIT(G42,"","")"),"900 Coit Rd")</f>
        <v>900 Coit Rd</v>
      </c>
      <c r="K42" s="91" t="str">
        <f ca="1">IFERROR(__xludf.DUMMYFUNCTION("""COMPUTED_VALUE""")," Plano")</f>
        <v xml:space="preserve"> Plano</v>
      </c>
      <c r="L42" s="2" t="str">
        <f ca="1">IFERROR(__xludf.DUMMYFUNCTION("""COMPUTED_VALUE""")," TX 75075")</f>
        <v xml:space="preserve"> TX 75075</v>
      </c>
      <c r="M42" s="2" t="str">
        <f ca="1">IFERROR(__xludf.DUMMYFUNCTION("""COMPUTED_VALUE""")," USA")</f>
        <v xml:space="preserve"> USA</v>
      </c>
      <c r="R42" s="91"/>
    </row>
    <row r="43" spans="1:18">
      <c r="A43" s="60">
        <v>42</v>
      </c>
      <c r="B43" s="79" t="s">
        <v>63</v>
      </c>
      <c r="C43" s="60" t="s">
        <v>712</v>
      </c>
      <c r="D43" s="92" t="s">
        <v>724</v>
      </c>
      <c r="E43" s="48" t="str">
        <f t="shared" si="0"/>
        <v>Washington</v>
      </c>
      <c r="F43" s="83" t="str">
        <f t="shared" si="1"/>
        <v>Gonzaga (Washington),DC</v>
      </c>
      <c r="G43" s="60" t="s">
        <v>726</v>
      </c>
      <c r="H43" s="60">
        <v>38.902112000000002</v>
      </c>
      <c r="I43" s="60">
        <v>-77.009613599999994</v>
      </c>
      <c r="J43" s="60" t="str">
        <f ca="1">IFERROR(__xludf.DUMMYFUNCTION("SPLIT(G43,"","")"),"19 I St NW")</f>
        <v>19 I St NW</v>
      </c>
      <c r="K43" s="88" t="str">
        <f ca="1">IFERROR(__xludf.DUMMYFUNCTION("""COMPUTED_VALUE""")," Washington")</f>
        <v xml:space="preserve"> Washington</v>
      </c>
      <c r="L43" s="2" t="str">
        <f ca="1">IFERROR(__xludf.DUMMYFUNCTION("""COMPUTED_VALUE""")," DC 20001")</f>
        <v xml:space="preserve"> DC 20001</v>
      </c>
      <c r="M43" s="2" t="str">
        <f ca="1">IFERROR(__xludf.DUMMYFUNCTION("""COMPUTED_VALUE""")," USA")</f>
        <v xml:space="preserve"> USA</v>
      </c>
      <c r="R43" s="88"/>
    </row>
    <row r="44" spans="1:18">
      <c r="A44" s="65">
        <v>43</v>
      </c>
      <c r="B44" s="80" t="s">
        <v>93</v>
      </c>
      <c r="C44" s="65" t="s">
        <v>136</v>
      </c>
      <c r="D44" s="90" t="s">
        <v>727</v>
      </c>
      <c r="E44" s="48" t="str">
        <f t="shared" si="0"/>
        <v>Bradenton</v>
      </c>
      <c r="F44" s="83" t="str">
        <f t="shared" si="1"/>
        <v>IMG Academy (Bradenton),FL</v>
      </c>
      <c r="G44" s="65" t="s">
        <v>728</v>
      </c>
      <c r="H44" s="65">
        <v>27.440853400000002</v>
      </c>
      <c r="I44" s="65">
        <v>-82.608666200000002</v>
      </c>
      <c r="J44" s="60" t="str">
        <f ca="1">IFERROR(__xludf.DUMMYFUNCTION("SPLIT(G44,"","")"),"5650 Bollettieri Blvd")</f>
        <v>5650 Bollettieri Blvd</v>
      </c>
      <c r="K44" s="91" t="str">
        <f ca="1">IFERROR(__xludf.DUMMYFUNCTION("""COMPUTED_VALUE""")," Bradenton")</f>
        <v xml:space="preserve"> Bradenton</v>
      </c>
      <c r="L44" s="2" t="str">
        <f ca="1">IFERROR(__xludf.DUMMYFUNCTION("""COMPUTED_VALUE""")," FL 34210")</f>
        <v xml:space="preserve"> FL 34210</v>
      </c>
      <c r="M44" s="2" t="str">
        <f ca="1">IFERROR(__xludf.DUMMYFUNCTION("""COMPUTED_VALUE""")," USA")</f>
        <v xml:space="preserve"> USA</v>
      </c>
      <c r="R44" s="91"/>
    </row>
    <row r="45" spans="1:18">
      <c r="A45" s="60">
        <v>44</v>
      </c>
      <c r="B45" s="79" t="s">
        <v>133</v>
      </c>
      <c r="C45" s="60" t="s">
        <v>588</v>
      </c>
      <c r="D45" s="92" t="s">
        <v>729</v>
      </c>
      <c r="E45" s="48" t="str">
        <f t="shared" si="0"/>
        <v>Moraga</v>
      </c>
      <c r="F45" s="83" t="str">
        <f t="shared" si="1"/>
        <v>Campolindo (Moraga),CA</v>
      </c>
      <c r="G45" s="60" t="s">
        <v>730</v>
      </c>
      <c r="H45" s="60">
        <v>37.872699599999997</v>
      </c>
      <c r="I45" s="60">
        <v>-122.1334433</v>
      </c>
      <c r="J45" s="60" t="str">
        <f ca="1">IFERROR(__xludf.DUMMYFUNCTION("SPLIT(G45,"","")"),"32 Corte Aires")</f>
        <v>32 Corte Aires</v>
      </c>
      <c r="K45" s="88" t="str">
        <f ca="1">IFERROR(__xludf.DUMMYFUNCTION("""COMPUTED_VALUE""")," Moraga")</f>
        <v xml:space="preserve"> Moraga</v>
      </c>
      <c r="L45" s="2" t="str">
        <f ca="1">IFERROR(__xludf.DUMMYFUNCTION("""COMPUTED_VALUE""")," CA 94556")</f>
        <v xml:space="preserve"> CA 94556</v>
      </c>
      <c r="M45" s="2" t="str">
        <f ca="1">IFERROR(__xludf.DUMMYFUNCTION("""COMPUTED_VALUE""")," USA")</f>
        <v xml:space="preserve"> USA</v>
      </c>
      <c r="R45" s="88"/>
    </row>
    <row r="46" spans="1:18">
      <c r="A46" s="65">
        <v>45</v>
      </c>
      <c r="B46" s="80" t="s">
        <v>123</v>
      </c>
      <c r="C46" s="65" t="s">
        <v>179</v>
      </c>
      <c r="D46" s="90" t="s">
        <v>731</v>
      </c>
      <c r="E46" s="48" t="str">
        <f t="shared" si="0"/>
        <v>Concord</v>
      </c>
      <c r="F46" s="83" t="str">
        <f t="shared" si="1"/>
        <v>Concord First Assembly Academy (Concord),NC</v>
      </c>
      <c r="G46" s="65" t="s">
        <v>732</v>
      </c>
      <c r="H46" s="65">
        <v>35.399833100000002</v>
      </c>
      <c r="I46" s="65">
        <v>-80.607511000000002</v>
      </c>
      <c r="J46" s="60" t="str">
        <f ca="1">IFERROR(__xludf.DUMMYFUNCTION("SPLIT(G46,"","")"),"154 Warren C Coleman Blvd N")</f>
        <v>154 Warren C Coleman Blvd N</v>
      </c>
      <c r="K46" s="91" t="str">
        <f ca="1">IFERROR(__xludf.DUMMYFUNCTION("""COMPUTED_VALUE""")," Concord")</f>
        <v xml:space="preserve"> Concord</v>
      </c>
      <c r="L46" s="2" t="str">
        <f ca="1">IFERROR(__xludf.DUMMYFUNCTION("""COMPUTED_VALUE""")," NC 28027")</f>
        <v xml:space="preserve"> NC 28027</v>
      </c>
      <c r="M46" s="2" t="str">
        <f ca="1">IFERROR(__xludf.DUMMYFUNCTION("""COMPUTED_VALUE""")," USA")</f>
        <v xml:space="preserve"> USA</v>
      </c>
      <c r="R46" s="91"/>
    </row>
    <row r="47" spans="1:18">
      <c r="A47" s="60">
        <v>46</v>
      </c>
      <c r="B47" s="79" t="s">
        <v>134</v>
      </c>
      <c r="C47" s="60" t="s">
        <v>588</v>
      </c>
      <c r="D47" s="92" t="s">
        <v>733</v>
      </c>
      <c r="E47" s="48" t="str">
        <f t="shared" si="0"/>
        <v>Temecula</v>
      </c>
      <c r="F47" s="83" t="str">
        <f t="shared" si="1"/>
        <v>Rancho Christian (Temecula),CA</v>
      </c>
      <c r="G47" s="60" t="s">
        <v>734</v>
      </c>
      <c r="H47" s="60">
        <v>33.478498199999997</v>
      </c>
      <c r="I47" s="60">
        <v>-117.1145958</v>
      </c>
      <c r="J47" s="60" t="str">
        <f ca="1">IFERROR(__xludf.DUMMYFUNCTION("SPLIT(G47,"","")"),"31300 Rancho Community Way")</f>
        <v>31300 Rancho Community Way</v>
      </c>
      <c r="K47" s="88" t="str">
        <f ca="1">IFERROR(__xludf.DUMMYFUNCTION("""COMPUTED_VALUE""")," Temecula")</f>
        <v xml:space="preserve"> Temecula</v>
      </c>
      <c r="L47" s="2" t="str">
        <f ca="1">IFERROR(__xludf.DUMMYFUNCTION("""COMPUTED_VALUE""")," CA 92592")</f>
        <v xml:space="preserve"> CA 92592</v>
      </c>
      <c r="M47" s="2" t="str">
        <f ca="1">IFERROR(__xludf.DUMMYFUNCTION("""COMPUTED_VALUE""")," USA")</f>
        <v xml:space="preserve"> USA</v>
      </c>
      <c r="R47" s="88"/>
    </row>
    <row r="48" spans="1:18">
      <c r="A48" s="65">
        <v>47</v>
      </c>
      <c r="B48" s="80" t="s">
        <v>118</v>
      </c>
      <c r="C48" s="65" t="s">
        <v>595</v>
      </c>
      <c r="D48" s="90" t="s">
        <v>735</v>
      </c>
      <c r="E48" s="48" t="str">
        <f t="shared" si="0"/>
        <v>Grand Prairie</v>
      </c>
      <c r="F48" s="83" t="str">
        <f t="shared" si="1"/>
        <v>Grand Prairie,TX</v>
      </c>
      <c r="G48" s="65" t="s">
        <v>736</v>
      </c>
      <c r="H48" s="65">
        <v>32.745964499999999</v>
      </c>
      <c r="I48" s="65">
        <v>-96.997784599999989</v>
      </c>
      <c r="J48" s="60" t="str">
        <f ca="1">IFERROR(__xludf.DUMMYFUNCTION("SPLIT(G48,"","")"),"504 TX-180")</f>
        <v>504 TX-180</v>
      </c>
      <c r="K48" s="91" t="str">
        <f ca="1">IFERROR(__xludf.DUMMYFUNCTION("""COMPUTED_VALUE""")," Grand Prairie")</f>
        <v xml:space="preserve"> Grand Prairie</v>
      </c>
      <c r="L48" s="2" t="str">
        <f ca="1">IFERROR(__xludf.DUMMYFUNCTION("""COMPUTED_VALUE""")," TX 75050")</f>
        <v xml:space="preserve"> TX 75050</v>
      </c>
      <c r="M48" s="2" t="str">
        <f ca="1">IFERROR(__xludf.DUMMYFUNCTION("""COMPUTED_VALUE""")," USA")</f>
        <v xml:space="preserve"> USA</v>
      </c>
      <c r="R48" s="91"/>
    </row>
    <row r="49" spans="1:18">
      <c r="A49" s="60">
        <v>48</v>
      </c>
      <c r="B49" s="79" t="s">
        <v>52</v>
      </c>
      <c r="C49" s="60" t="s">
        <v>737</v>
      </c>
      <c r="D49" s="60" t="s">
        <v>738</v>
      </c>
      <c r="E49" s="48" t="str">
        <f t="shared" si="0"/>
        <v>Newark</v>
      </c>
      <c r="F49" s="83" t="str">
        <f t="shared" si="1"/>
        <v>St. Benedict's Prep (Newark),NJ</v>
      </c>
      <c r="G49" s="60" t="s">
        <v>739</v>
      </c>
      <c r="H49" s="60">
        <v>40.735941199999999</v>
      </c>
      <c r="I49" s="60">
        <v>-74.179641199999992</v>
      </c>
      <c r="J49" s="60" t="str">
        <f ca="1">IFERROR(__xludf.DUMMYFUNCTION("SPLIT(G49,"","")"),"520 Dr M.L.K. Jr. Blvd")</f>
        <v>520 Dr M.L.K. Jr. Blvd</v>
      </c>
      <c r="K49" s="61" t="str">
        <f ca="1">IFERROR(__xludf.DUMMYFUNCTION("""COMPUTED_VALUE""")," Newark")</f>
        <v xml:space="preserve"> Newark</v>
      </c>
      <c r="L49" s="2" t="str">
        <f ca="1">IFERROR(__xludf.DUMMYFUNCTION("""COMPUTED_VALUE""")," NJ 07102")</f>
        <v xml:space="preserve"> NJ 07102</v>
      </c>
      <c r="M49" s="2" t="str">
        <f ca="1">IFERROR(__xludf.DUMMYFUNCTION("""COMPUTED_VALUE""")," USA")</f>
        <v xml:space="preserve"> USA</v>
      </c>
      <c r="R49" s="61"/>
    </row>
    <row r="50" spans="1:18">
      <c r="A50" s="97">
        <v>49</v>
      </c>
      <c r="B50" s="99" t="s">
        <v>120</v>
      </c>
      <c r="C50" s="97" t="s">
        <v>682</v>
      </c>
      <c r="D50" s="100" t="s">
        <v>740</v>
      </c>
      <c r="E50" s="48" t="str">
        <f t="shared" si="0"/>
        <v>Sussex</v>
      </c>
      <c r="F50" s="83" t="str">
        <f t="shared" si="1"/>
        <v>Hamilton (Sussex),WI</v>
      </c>
      <c r="G50" s="97" t="s">
        <v>741</v>
      </c>
      <c r="H50" s="97">
        <v>43.127848499999999</v>
      </c>
      <c r="I50" s="97">
        <v>-88.186384099999998</v>
      </c>
      <c r="J50" s="60" t="str">
        <f ca="1">IFERROR(__xludf.DUMMYFUNCTION("SPLIT(G50,"","")"),"w220n6151 Town Line Rd")</f>
        <v>w220n6151 Town Line Rd</v>
      </c>
      <c r="K50" s="102" t="str">
        <f ca="1">IFERROR(__xludf.DUMMYFUNCTION("""COMPUTED_VALUE""")," Sussex")</f>
        <v xml:space="preserve"> Sussex</v>
      </c>
      <c r="L50" s="2" t="str">
        <f ca="1">IFERROR(__xludf.DUMMYFUNCTION("""COMPUTED_VALUE""")," WI 53089")</f>
        <v xml:space="preserve"> WI 53089</v>
      </c>
      <c r="M50" s="2" t="str">
        <f ca="1">IFERROR(__xludf.DUMMYFUNCTION("""COMPUTED_VALUE""")," USA")</f>
        <v xml:space="preserve"> USA</v>
      </c>
      <c r="R50" s="102"/>
    </row>
    <row r="51" spans="1:18">
      <c r="A51" s="60">
        <v>50</v>
      </c>
      <c r="B51" s="79" t="s">
        <v>105</v>
      </c>
      <c r="C51" s="60" t="s">
        <v>69</v>
      </c>
      <c r="D51" s="93" t="s">
        <v>742</v>
      </c>
      <c r="E51" s="48" t="str">
        <f t="shared" si="0"/>
        <v>Montgomery</v>
      </c>
      <c r="F51" s="83" t="str">
        <f t="shared" si="1"/>
        <v>Lee (Montgomery),AL</v>
      </c>
      <c r="G51" s="60" t="s">
        <v>743</v>
      </c>
      <c r="H51" s="60">
        <v>32.332966999999996</v>
      </c>
      <c r="I51" s="60">
        <v>-86.283076999999992</v>
      </c>
      <c r="J51" s="60" t="str">
        <f ca="1">IFERROR(__xludf.DUMMYFUNCTION("SPLIT(G51,"","")"),"1420 Narrow Ln Pkwy")</f>
        <v>1420 Narrow Ln Pkwy</v>
      </c>
      <c r="K51" s="2" t="str">
        <f ca="1">IFERROR(__xludf.DUMMYFUNCTION("""COMPUTED_VALUE""")," Montgomery")</f>
        <v xml:space="preserve"> Montgomery</v>
      </c>
      <c r="L51" s="2" t="str">
        <f ca="1">IFERROR(__xludf.DUMMYFUNCTION("""COMPUTED_VALUE""")," AL 36111")</f>
        <v xml:space="preserve"> AL 36111</v>
      </c>
      <c r="M51" s="2" t="str">
        <f ca="1">IFERROR(__xludf.DUMMYFUNCTION("""COMPUTED_VALUE""")," USA")</f>
        <v xml:space="preserve"> USA</v>
      </c>
    </row>
    <row r="52" spans="1:18">
      <c r="A52" s="60">
        <v>51</v>
      </c>
      <c r="B52" s="79" t="s">
        <v>744</v>
      </c>
      <c r="C52" s="60" t="s">
        <v>745</v>
      </c>
      <c r="D52" s="92" t="s">
        <v>746</v>
      </c>
      <c r="E52" s="48" t="str">
        <f t="shared" si="0"/>
        <v>Sammamish</v>
      </c>
      <c r="F52" s="83" t="str">
        <f t="shared" si="1"/>
        <v>Eastside Catholic (Sammamish),WA</v>
      </c>
      <c r="G52" s="60" t="s">
        <v>747</v>
      </c>
      <c r="H52" s="60">
        <v>47.607523299999997</v>
      </c>
      <c r="I52" s="60">
        <v>-122.02736090000001</v>
      </c>
      <c r="J52" s="60" t="str">
        <f ca="1">IFERROR(__xludf.DUMMYFUNCTION("SPLIT(G52,"","")"),"232 228th Ave SE")</f>
        <v>232 228th Ave SE</v>
      </c>
      <c r="K52" s="88" t="str">
        <f ca="1">IFERROR(__xludf.DUMMYFUNCTION("""COMPUTED_VALUE""")," Sammamish")</f>
        <v xml:space="preserve"> Sammamish</v>
      </c>
      <c r="L52" s="2" t="str">
        <f ca="1">IFERROR(__xludf.DUMMYFUNCTION("""COMPUTED_VALUE""")," WA 98074")</f>
        <v xml:space="preserve"> WA 98074</v>
      </c>
      <c r="M52" s="2" t="str">
        <f ca="1">IFERROR(__xludf.DUMMYFUNCTION("""COMPUTED_VALUE""")," USA")</f>
        <v xml:space="preserve"> USA</v>
      </c>
      <c r="R52" s="88"/>
    </row>
    <row r="53" spans="1:18">
      <c r="A53" s="65">
        <v>52</v>
      </c>
      <c r="B53" s="80" t="s">
        <v>748</v>
      </c>
      <c r="C53" s="65" t="s">
        <v>590</v>
      </c>
      <c r="D53" s="65" t="s">
        <v>749</v>
      </c>
      <c r="E53" s="48" t="str">
        <f t="shared" si="0"/>
        <v>Baltimore</v>
      </c>
      <c r="F53" s="83" t="str">
        <f t="shared" si="1"/>
        <v>St. Frances Academy (Baltimore),MD</v>
      </c>
      <c r="G53" s="65" t="s">
        <v>750</v>
      </c>
      <c r="H53" s="65">
        <v>39.302109700000003</v>
      </c>
      <c r="I53" s="65">
        <v>-76.608666200000002</v>
      </c>
      <c r="J53" s="60" t="str">
        <f ca="1">IFERROR(__xludf.DUMMYFUNCTION("SPLIT(G53,"","")"),"501 E Chase St")</f>
        <v>501 E Chase St</v>
      </c>
      <c r="K53" s="66" t="str">
        <f ca="1">IFERROR(__xludf.DUMMYFUNCTION("""COMPUTED_VALUE""")," Baltimore")</f>
        <v xml:space="preserve"> Baltimore</v>
      </c>
      <c r="L53" s="2" t="str">
        <f ca="1">IFERROR(__xludf.DUMMYFUNCTION("""COMPUTED_VALUE""")," MD 21202")</f>
        <v xml:space="preserve"> MD 21202</v>
      </c>
      <c r="M53" s="2" t="str">
        <f ca="1">IFERROR(__xludf.DUMMYFUNCTION("""COMPUTED_VALUE""")," USA")</f>
        <v xml:space="preserve"> USA</v>
      </c>
      <c r="R53" s="66"/>
    </row>
    <row r="54" spans="1:18">
      <c r="A54" s="60">
        <v>53</v>
      </c>
      <c r="B54" s="79" t="s">
        <v>752</v>
      </c>
      <c r="C54" s="60" t="s">
        <v>588</v>
      </c>
      <c r="D54" s="92" t="s">
        <v>668</v>
      </c>
      <c r="E54" s="48" t="str">
        <f t="shared" si="0"/>
        <v>San Jose</v>
      </c>
      <c r="F54" s="83" t="str">
        <f t="shared" si="1"/>
        <v>Bellarmine College Prep (San Jose),CA</v>
      </c>
      <c r="G54" s="60" t="s">
        <v>753</v>
      </c>
      <c r="H54" s="60">
        <v>37.343506499999997</v>
      </c>
      <c r="I54" s="60">
        <v>-121.9187738</v>
      </c>
      <c r="J54" s="60" t="str">
        <f ca="1">IFERROR(__xludf.DUMMYFUNCTION("SPLIT(G54,"","")"),"960 W Hedding St")</f>
        <v>960 W Hedding St</v>
      </c>
      <c r="K54" s="88" t="str">
        <f ca="1">IFERROR(__xludf.DUMMYFUNCTION("""COMPUTED_VALUE""")," San Jose")</f>
        <v xml:space="preserve"> San Jose</v>
      </c>
      <c r="L54" s="2" t="str">
        <f ca="1">IFERROR(__xludf.DUMMYFUNCTION("""COMPUTED_VALUE""")," CA 95126")</f>
        <v xml:space="preserve"> CA 95126</v>
      </c>
      <c r="M54" s="2" t="str">
        <f ca="1">IFERROR(__xludf.DUMMYFUNCTION("""COMPUTED_VALUE""")," USA")</f>
        <v xml:space="preserve"> USA</v>
      </c>
      <c r="R54" s="88"/>
    </row>
    <row r="55" spans="1:18">
      <c r="A55" s="65">
        <v>54</v>
      </c>
      <c r="B55" s="80" t="s">
        <v>754</v>
      </c>
      <c r="C55" s="65" t="s">
        <v>595</v>
      </c>
      <c r="D55" s="90" t="s">
        <v>755</v>
      </c>
      <c r="E55" s="48" t="str">
        <f t="shared" si="0"/>
        <v>Allen</v>
      </c>
      <c r="F55" s="83" t="str">
        <f t="shared" si="1"/>
        <v>Allen,TX</v>
      </c>
      <c r="G55" s="65" t="s">
        <v>756</v>
      </c>
      <c r="H55" s="65">
        <v>33.1031744</v>
      </c>
      <c r="I55" s="65">
        <v>-96.670550300000016</v>
      </c>
      <c r="J55" s="60" t="str">
        <f ca="1">IFERROR(__xludf.DUMMYFUNCTION("SPLIT(G55,"","")"),"112 W Main St")</f>
        <v>112 W Main St</v>
      </c>
      <c r="K55" s="91" t="str">
        <f ca="1">IFERROR(__xludf.DUMMYFUNCTION("""COMPUTED_VALUE""")," Allen")</f>
        <v xml:space="preserve"> Allen</v>
      </c>
      <c r="L55" s="2" t="str">
        <f ca="1">IFERROR(__xludf.DUMMYFUNCTION("""COMPUTED_VALUE""")," TX 75013")</f>
        <v xml:space="preserve"> TX 75013</v>
      </c>
      <c r="M55" s="2" t="str">
        <f ca="1">IFERROR(__xludf.DUMMYFUNCTION("""COMPUTED_VALUE""")," USA")</f>
        <v xml:space="preserve"> USA</v>
      </c>
      <c r="R55" s="91"/>
    </row>
    <row r="56" spans="1:18">
      <c r="A56" s="60">
        <v>55</v>
      </c>
      <c r="B56" s="79" t="s">
        <v>757</v>
      </c>
      <c r="C56" s="60" t="s">
        <v>136</v>
      </c>
      <c r="D56" s="92" t="s">
        <v>758</v>
      </c>
      <c r="E56" s="48" t="str">
        <f t="shared" si="0"/>
        <v>Bartow</v>
      </c>
      <c r="F56" s="83" t="str">
        <f t="shared" si="1"/>
        <v>Bartow,FL</v>
      </c>
      <c r="G56" s="60" t="s">
        <v>759</v>
      </c>
      <c r="H56" s="60">
        <v>27.896414700000001</v>
      </c>
      <c r="I56" s="60">
        <v>-81.843137400000003</v>
      </c>
      <c r="J56" s="60" t="str">
        <f ca="1">IFERROR(__xludf.DUMMYFUNCTION("SPLIT(G56,"","")"),"3585 us Hwy 17 N")</f>
        <v>3585 us Hwy 17 N</v>
      </c>
      <c r="K56" s="88" t="str">
        <f ca="1">IFERROR(__xludf.DUMMYFUNCTION("""COMPUTED_VALUE""")," Bartow")</f>
        <v xml:space="preserve"> Bartow</v>
      </c>
      <c r="L56" s="2" t="str">
        <f ca="1">IFERROR(__xludf.DUMMYFUNCTION("""COMPUTED_VALUE""")," FL 33830")</f>
        <v xml:space="preserve"> FL 33830</v>
      </c>
      <c r="M56" s="2" t="str">
        <f ca="1">IFERROR(__xludf.DUMMYFUNCTION("""COMPUTED_VALUE""")," USA")</f>
        <v xml:space="preserve"> USA</v>
      </c>
      <c r="R56" s="88"/>
    </row>
    <row r="57" spans="1:18">
      <c r="A57" s="65">
        <v>56</v>
      </c>
      <c r="B57" s="80" t="s">
        <v>761</v>
      </c>
      <c r="C57" s="65" t="s">
        <v>675</v>
      </c>
      <c r="D57" s="90" t="s">
        <v>762</v>
      </c>
      <c r="E57" s="48" t="str">
        <f t="shared" si="0"/>
        <v>Reading</v>
      </c>
      <c r="F57" s="83" t="str">
        <f t="shared" si="1"/>
        <v>Wilson (West Lawn),PA</v>
      </c>
      <c r="G57" s="65" t="s">
        <v>763</v>
      </c>
      <c r="H57" s="65">
        <v>40.330762300000004</v>
      </c>
      <c r="I57" s="65">
        <v>-76.00024599999999</v>
      </c>
      <c r="J57" s="60" t="str">
        <f ca="1">IFERROR(__xludf.DUMMYFUNCTION("SPLIT(G57,"","")"),"2601 Grandview Blvd")</f>
        <v>2601 Grandview Blvd</v>
      </c>
      <c r="K57" s="91" t="str">
        <f ca="1">IFERROR(__xludf.DUMMYFUNCTION("""COMPUTED_VALUE""")," Reading")</f>
        <v xml:space="preserve"> Reading</v>
      </c>
      <c r="L57" s="2" t="str">
        <f ca="1">IFERROR(__xludf.DUMMYFUNCTION("""COMPUTED_VALUE""")," PA 19609")</f>
        <v xml:space="preserve"> PA 19609</v>
      </c>
      <c r="M57" s="2" t="str">
        <f ca="1">IFERROR(__xludf.DUMMYFUNCTION("""COMPUTED_VALUE""")," USA")</f>
        <v xml:space="preserve"> USA</v>
      </c>
      <c r="R57" s="91"/>
    </row>
    <row r="58" spans="1:18">
      <c r="A58" s="60">
        <v>57</v>
      </c>
      <c r="B58" s="79" t="s">
        <v>764</v>
      </c>
      <c r="C58" s="60" t="s">
        <v>765</v>
      </c>
      <c r="D58" s="92" t="s">
        <v>766</v>
      </c>
      <c r="E58" s="48" t="str">
        <f t="shared" si="0"/>
        <v>Mt Pleasant</v>
      </c>
      <c r="F58" s="83" t="str">
        <f t="shared" si="1"/>
        <v>Wasatch Academy (Mt. Pleasant),UT</v>
      </c>
      <c r="G58" s="60" t="s">
        <v>767</v>
      </c>
      <c r="H58" s="60">
        <v>39.544136700000003</v>
      </c>
      <c r="I58" s="60">
        <v>-111.4568347</v>
      </c>
      <c r="J58" s="60" t="str">
        <f ca="1">IFERROR(__xludf.DUMMYFUNCTION("SPLIT(G58,"","")"),"179 S 100 W")</f>
        <v>179 S 100 W</v>
      </c>
      <c r="K58" s="88" t="str">
        <f ca="1">IFERROR(__xludf.DUMMYFUNCTION("""COMPUTED_VALUE""")," Mt Pleasant")</f>
        <v xml:space="preserve"> Mt Pleasant</v>
      </c>
      <c r="L58" s="2" t="str">
        <f ca="1">IFERROR(__xludf.DUMMYFUNCTION("""COMPUTED_VALUE""")," UT 84647")</f>
        <v xml:space="preserve"> UT 84647</v>
      </c>
      <c r="M58" s="2" t="str">
        <f ca="1">IFERROR(__xludf.DUMMYFUNCTION("""COMPUTED_VALUE""")," USA")</f>
        <v xml:space="preserve"> USA</v>
      </c>
      <c r="R58" s="88"/>
    </row>
    <row r="59" spans="1:18">
      <c r="A59" s="65">
        <v>58</v>
      </c>
      <c r="B59" s="80" t="s">
        <v>768</v>
      </c>
      <c r="C59" s="65" t="s">
        <v>770</v>
      </c>
      <c r="D59" s="90" t="s">
        <v>771</v>
      </c>
      <c r="E59" s="48" t="str">
        <f t="shared" si="0"/>
        <v>Chattanooga</v>
      </c>
      <c r="F59" s="83" t="str">
        <f t="shared" si="1"/>
        <v>Hamilton Heights Christian Academy (Chattanooga),TN</v>
      </c>
      <c r="G59" s="65" t="s">
        <v>772</v>
      </c>
      <c r="H59" s="65">
        <v>35.0434226</v>
      </c>
      <c r="I59" s="65">
        <v>-85.168434099999999</v>
      </c>
      <c r="J59" s="60" t="str">
        <f ca="1">IFERROR(__xludf.DUMMYFUNCTION("SPLIT(G59,"","")"),"2201 Hickory Valley Rd")</f>
        <v>2201 Hickory Valley Rd</v>
      </c>
      <c r="K59" s="91" t="str">
        <f ca="1">IFERROR(__xludf.DUMMYFUNCTION("""COMPUTED_VALUE""")," Chattanooga")</f>
        <v xml:space="preserve"> Chattanooga</v>
      </c>
      <c r="L59" s="2" t="str">
        <f ca="1">IFERROR(__xludf.DUMMYFUNCTION("""COMPUTED_VALUE""")," TN 37421")</f>
        <v xml:space="preserve"> TN 37421</v>
      </c>
      <c r="M59" s="2" t="str">
        <f ca="1">IFERROR(__xludf.DUMMYFUNCTION("""COMPUTED_VALUE""")," USA")</f>
        <v xml:space="preserve"> USA</v>
      </c>
      <c r="R59" s="91"/>
    </row>
    <row r="60" spans="1:18">
      <c r="A60" s="60">
        <v>59</v>
      </c>
      <c r="B60" s="79" t="s">
        <v>773</v>
      </c>
      <c r="C60" s="60" t="s">
        <v>737</v>
      </c>
      <c r="D60" s="92" t="s">
        <v>774</v>
      </c>
      <c r="E60" s="48" t="str">
        <f t="shared" si="0"/>
        <v>Camden</v>
      </c>
      <c r="F60" s="83" t="str">
        <f t="shared" si="1"/>
        <v>Camden,NJ</v>
      </c>
      <c r="G60" s="60" t="s">
        <v>776</v>
      </c>
      <c r="H60" s="60">
        <v>39.9259463</v>
      </c>
      <c r="I60" s="60">
        <v>-75.119619900000004</v>
      </c>
      <c r="J60" s="60" t="str">
        <f ca="1">IFERROR(__xludf.DUMMYFUNCTION("SPLIT(G60,"","")"),"1535 Broadway")</f>
        <v>1535 Broadway</v>
      </c>
      <c r="K60" s="88" t="str">
        <f ca="1">IFERROR(__xludf.DUMMYFUNCTION("""COMPUTED_VALUE""")," Camden")</f>
        <v xml:space="preserve"> Camden</v>
      </c>
      <c r="L60" s="2" t="str">
        <f ca="1">IFERROR(__xludf.DUMMYFUNCTION("""COMPUTED_VALUE""")," NJ 08104")</f>
        <v xml:space="preserve"> NJ 08104</v>
      </c>
      <c r="M60" s="2" t="str">
        <f ca="1">IFERROR(__xludf.DUMMYFUNCTION("""COMPUTED_VALUE""")," USA")</f>
        <v xml:space="preserve"> USA</v>
      </c>
      <c r="R60" s="88"/>
    </row>
    <row r="61" spans="1:18">
      <c r="A61" s="65">
        <v>60</v>
      </c>
      <c r="B61" s="80" t="s">
        <v>777</v>
      </c>
      <c r="C61" s="65" t="s">
        <v>745</v>
      </c>
      <c r="D61" s="90" t="s">
        <v>778</v>
      </c>
      <c r="E61" s="48" t="str">
        <f t="shared" si="0"/>
        <v>Camas</v>
      </c>
      <c r="F61" s="83" t="str">
        <f t="shared" si="1"/>
        <v>Union (Vancouver),WA</v>
      </c>
      <c r="G61" s="65" t="s">
        <v>779</v>
      </c>
      <c r="H61" s="65">
        <v>45.6238928</v>
      </c>
      <c r="I61" s="65">
        <v>-122.4677841</v>
      </c>
      <c r="J61" s="60" t="str">
        <f ca="1">IFERROR(__xludf.DUMMYFUNCTION("SPLIT(G61,"","")"),"Unnamed Road")</f>
        <v>Unnamed Road</v>
      </c>
      <c r="K61" s="91" t="str">
        <f ca="1">IFERROR(__xludf.DUMMYFUNCTION("""COMPUTED_VALUE""")," Camas")</f>
        <v xml:space="preserve"> Camas</v>
      </c>
      <c r="L61" s="2" t="str">
        <f ca="1">IFERROR(__xludf.DUMMYFUNCTION("""COMPUTED_VALUE""")," WA 98607")</f>
        <v xml:space="preserve"> WA 98607</v>
      </c>
      <c r="M61" s="2" t="str">
        <f ca="1">IFERROR(__xludf.DUMMYFUNCTION("""COMPUTED_VALUE""")," USA")</f>
        <v xml:space="preserve"> USA</v>
      </c>
      <c r="R61" s="91"/>
    </row>
    <row r="62" spans="1:18">
      <c r="A62" s="60">
        <v>61</v>
      </c>
      <c r="B62" s="79" t="s">
        <v>781</v>
      </c>
      <c r="C62" s="60" t="s">
        <v>179</v>
      </c>
      <c r="D62" s="92" t="s">
        <v>782</v>
      </c>
      <c r="E62" s="48" t="str">
        <f t="shared" si="0"/>
        <v>Lincolnton</v>
      </c>
      <c r="F62" s="83" t="str">
        <f t="shared" si="1"/>
        <v>Combine Academy (Lincolnton),NC</v>
      </c>
      <c r="G62" s="60" t="s">
        <v>783</v>
      </c>
      <c r="H62" s="60">
        <v>35.525818999999998</v>
      </c>
      <c r="I62" s="60">
        <v>-81.217090000000013</v>
      </c>
      <c r="J62" s="60" t="str">
        <f ca="1">IFERROR(__xludf.DUMMYFUNCTION("SPLIT(G62,"","")"),"270 Car Farm Rd")</f>
        <v>270 Car Farm Rd</v>
      </c>
      <c r="K62" s="88" t="str">
        <f ca="1">IFERROR(__xludf.DUMMYFUNCTION("""COMPUTED_VALUE""")," Lincolnton")</f>
        <v xml:space="preserve"> Lincolnton</v>
      </c>
      <c r="L62" s="2" t="str">
        <f ca="1">IFERROR(__xludf.DUMMYFUNCTION("""COMPUTED_VALUE""")," NC 28092")</f>
        <v xml:space="preserve"> NC 28092</v>
      </c>
      <c r="M62" s="2" t="str">
        <f ca="1">IFERROR(__xludf.DUMMYFUNCTION("""COMPUTED_VALUE""")," USA")</f>
        <v xml:space="preserve"> USA</v>
      </c>
      <c r="R62" s="88"/>
    </row>
    <row r="63" spans="1:18">
      <c r="A63" s="65">
        <v>62</v>
      </c>
      <c r="B63" s="80" t="s">
        <v>785</v>
      </c>
      <c r="C63" s="65" t="s">
        <v>590</v>
      </c>
      <c r="D63" s="65" t="s">
        <v>749</v>
      </c>
      <c r="E63" s="48" t="str">
        <f t="shared" si="0"/>
        <v>Baltimore</v>
      </c>
      <c r="F63" s="83" t="str">
        <f t="shared" si="1"/>
        <v>Poly (Baltimore),MD</v>
      </c>
      <c r="G63" s="65" t="s">
        <v>786</v>
      </c>
      <c r="H63" s="65">
        <v>39.346212800000004</v>
      </c>
      <c r="I63" s="65">
        <v>-76.644023399999995</v>
      </c>
      <c r="J63" s="60" t="str">
        <f ca="1">IFERROR(__xludf.DUMMYFUNCTION("SPLIT(G63,"","")"),"1400 W Cold Spring Ln")</f>
        <v>1400 W Cold Spring Ln</v>
      </c>
      <c r="K63" s="66" t="str">
        <f ca="1">IFERROR(__xludf.DUMMYFUNCTION("""COMPUTED_VALUE""")," Baltimore")</f>
        <v xml:space="preserve"> Baltimore</v>
      </c>
      <c r="L63" s="2" t="str">
        <f ca="1">IFERROR(__xludf.DUMMYFUNCTION("""COMPUTED_VALUE""")," MD 21209")</f>
        <v xml:space="preserve"> MD 21209</v>
      </c>
      <c r="M63" s="2" t="str">
        <f ca="1">IFERROR(__xludf.DUMMYFUNCTION("""COMPUTED_VALUE""")," USA")</f>
        <v xml:space="preserve"> USA</v>
      </c>
      <c r="R63" s="66"/>
    </row>
    <row r="64" spans="1:18">
      <c r="A64" s="60">
        <v>63</v>
      </c>
      <c r="B64" s="79" t="s">
        <v>787</v>
      </c>
      <c r="C64" s="60" t="s">
        <v>745</v>
      </c>
      <c r="D64" s="92" t="s">
        <v>788</v>
      </c>
      <c r="E64" s="48" t="str">
        <f t="shared" si="0"/>
        <v>Snoqualmie</v>
      </c>
      <c r="F64" s="83" t="str">
        <f t="shared" si="1"/>
        <v>Mount Si (Snoqualmie),WA</v>
      </c>
      <c r="G64" s="60" t="s">
        <v>790</v>
      </c>
      <c r="H64" s="60">
        <v>47.524513900000002</v>
      </c>
      <c r="I64" s="60">
        <v>-121.823773</v>
      </c>
      <c r="J64" s="60" t="str">
        <f ca="1">IFERROR(__xludf.DUMMYFUNCTION("SPLIT(G64,"","")"),"8463 Maple Ave SE")</f>
        <v>8463 Maple Ave SE</v>
      </c>
      <c r="K64" s="88" t="str">
        <f ca="1">IFERROR(__xludf.DUMMYFUNCTION("""COMPUTED_VALUE""")," Snoqualmie")</f>
        <v xml:space="preserve"> Snoqualmie</v>
      </c>
      <c r="L64" s="2" t="str">
        <f ca="1">IFERROR(__xludf.DUMMYFUNCTION("""COMPUTED_VALUE""")," WA 98065")</f>
        <v xml:space="preserve"> WA 98065</v>
      </c>
      <c r="M64" s="2" t="str">
        <f ca="1">IFERROR(__xludf.DUMMYFUNCTION("""COMPUTED_VALUE""")," USA")</f>
        <v xml:space="preserve"> USA</v>
      </c>
      <c r="R64" s="88"/>
    </row>
    <row r="65" spans="1:18">
      <c r="A65" s="65">
        <v>64</v>
      </c>
      <c r="B65" s="80" t="s">
        <v>791</v>
      </c>
      <c r="C65" s="65" t="s">
        <v>595</v>
      </c>
      <c r="D65" s="90" t="s">
        <v>792</v>
      </c>
      <c r="E65" s="48" t="str">
        <f t="shared" si="0"/>
        <v>Denton</v>
      </c>
      <c r="F65" s="83" t="str">
        <f t="shared" si="1"/>
        <v>Guyer (Denton),TX</v>
      </c>
      <c r="G65" s="65" t="s">
        <v>793</v>
      </c>
      <c r="H65" s="65">
        <v>33.136583000000002</v>
      </c>
      <c r="I65" s="65">
        <v>-97.10233199999999</v>
      </c>
      <c r="J65" s="60" t="str">
        <f ca="1">IFERROR(__xludf.DUMMYFUNCTION("SPLIT(G65,"","")"),"7501 Teasley Ln")</f>
        <v>7501 Teasley Ln</v>
      </c>
      <c r="K65" s="91" t="str">
        <f ca="1">IFERROR(__xludf.DUMMYFUNCTION("""COMPUTED_VALUE""")," Denton")</f>
        <v xml:space="preserve"> Denton</v>
      </c>
      <c r="L65" s="2" t="str">
        <f ca="1">IFERROR(__xludf.DUMMYFUNCTION("""COMPUTED_VALUE""")," TX 76210")</f>
        <v xml:space="preserve"> TX 76210</v>
      </c>
      <c r="M65" s="2" t="str">
        <f ca="1">IFERROR(__xludf.DUMMYFUNCTION("""COMPUTED_VALUE""")," USA")</f>
        <v xml:space="preserve"> USA</v>
      </c>
      <c r="R65" s="91"/>
    </row>
    <row r="66" spans="1:18">
      <c r="A66" s="60">
        <v>65</v>
      </c>
      <c r="B66" s="79" t="s">
        <v>795</v>
      </c>
      <c r="C66" s="60" t="s">
        <v>796</v>
      </c>
      <c r="D66" s="92" t="s">
        <v>797</v>
      </c>
      <c r="E66" s="48" t="str">
        <f t="shared" si="0"/>
        <v>Bel Aire</v>
      </c>
      <c r="F66" s="83" t="str">
        <f t="shared" si="1"/>
        <v>Sunrise Christian Academy (Bel Aire),KS</v>
      </c>
      <c r="G66" s="60" t="s">
        <v>798</v>
      </c>
      <c r="H66" s="60">
        <v>37.767437899999997</v>
      </c>
      <c r="I66" s="60">
        <v>-97.27229109999999</v>
      </c>
      <c r="J66" s="60" t="str">
        <f ca="1">IFERROR(__xludf.DUMMYFUNCTION("SPLIT(G66,"","")"),"5500 E 45th St N")</f>
        <v>5500 E 45th St N</v>
      </c>
      <c r="K66" s="88" t="str">
        <f ca="1">IFERROR(__xludf.DUMMYFUNCTION("""COMPUTED_VALUE""")," Bel Aire")</f>
        <v xml:space="preserve"> Bel Aire</v>
      </c>
      <c r="L66" s="2" t="str">
        <f ca="1">IFERROR(__xludf.DUMMYFUNCTION("""COMPUTED_VALUE""")," KS 67220")</f>
        <v xml:space="preserve"> KS 67220</v>
      </c>
      <c r="M66" s="2" t="str">
        <f ca="1">IFERROR(__xludf.DUMMYFUNCTION("""COMPUTED_VALUE""")," USA")</f>
        <v xml:space="preserve"> USA</v>
      </c>
      <c r="R66" s="88"/>
    </row>
    <row r="67" spans="1:18">
      <c r="A67" s="65">
        <v>66</v>
      </c>
      <c r="B67" s="80" t="s">
        <v>799</v>
      </c>
      <c r="C67" s="65" t="s">
        <v>69</v>
      </c>
      <c r="D67" s="90" t="s">
        <v>670</v>
      </c>
      <c r="E67" s="48" t="str">
        <f t="shared" si="0"/>
        <v>Birmingham</v>
      </c>
      <c r="F67" s="83" t="str">
        <f t="shared" si="1"/>
        <v>Huffman (Birmingham),AL</v>
      </c>
      <c r="G67" s="65" t="s">
        <v>800</v>
      </c>
      <c r="H67" s="65">
        <v>33.598832199999997</v>
      </c>
      <c r="I67" s="65">
        <v>-86.673274599999999</v>
      </c>
      <c r="J67" s="60" t="str">
        <f ca="1">IFERROR(__xludf.DUMMYFUNCTION("SPLIT(G67,"","")"),"800 Paragon Pkwy")</f>
        <v>800 Paragon Pkwy</v>
      </c>
      <c r="K67" s="91" t="str">
        <f ca="1">IFERROR(__xludf.DUMMYFUNCTION("""COMPUTED_VALUE""")," Birmingham")</f>
        <v xml:space="preserve"> Birmingham</v>
      </c>
      <c r="L67" s="2" t="str">
        <f ca="1">IFERROR(__xludf.DUMMYFUNCTION("""COMPUTED_VALUE""")," AL 35235")</f>
        <v xml:space="preserve"> AL 35235</v>
      </c>
      <c r="M67" s="2" t="str">
        <f ca="1">IFERROR(__xludf.DUMMYFUNCTION("""COMPUTED_VALUE""")," USA")</f>
        <v xml:space="preserve"> USA</v>
      </c>
      <c r="R67" s="91"/>
    </row>
    <row r="68" spans="1:18">
      <c r="A68" s="60">
        <v>67</v>
      </c>
      <c r="B68" s="79" t="s">
        <v>801</v>
      </c>
      <c r="C68" s="60" t="s">
        <v>604</v>
      </c>
      <c r="D68" s="92" t="s">
        <v>802</v>
      </c>
      <c r="E68" s="48" t="str">
        <f t="shared" si="0"/>
        <v>Collinsville</v>
      </c>
      <c r="F68" s="83" t="str">
        <f t="shared" si="1"/>
        <v>Collinsville,IL</v>
      </c>
      <c r="G68" s="60" t="s">
        <v>803</v>
      </c>
      <c r="H68" s="60">
        <v>38.670326600000003</v>
      </c>
      <c r="I68" s="60">
        <v>-89.984547599999999</v>
      </c>
      <c r="J68" s="60" t="str">
        <f ca="1">IFERROR(__xludf.DUMMYFUNCTION("SPLIT(G68,"","")"),"100 S Morrison Ave")</f>
        <v>100 S Morrison Ave</v>
      </c>
      <c r="K68" s="88" t="str">
        <f ca="1">IFERROR(__xludf.DUMMYFUNCTION("""COMPUTED_VALUE""")," Collinsville")</f>
        <v xml:space="preserve"> Collinsville</v>
      </c>
      <c r="L68" s="2" t="str">
        <f ca="1">IFERROR(__xludf.DUMMYFUNCTION("""COMPUTED_VALUE""")," IL 62234")</f>
        <v xml:space="preserve"> IL 62234</v>
      </c>
      <c r="M68" s="2" t="str">
        <f ca="1">IFERROR(__xludf.DUMMYFUNCTION("""COMPUTED_VALUE""")," USA")</f>
        <v xml:space="preserve"> USA</v>
      </c>
      <c r="R68" s="88"/>
    </row>
    <row r="69" spans="1:18">
      <c r="A69" s="65">
        <v>68</v>
      </c>
      <c r="B69" s="80" t="s">
        <v>805</v>
      </c>
      <c r="C69" s="65" t="s">
        <v>602</v>
      </c>
      <c r="D69" s="90" t="s">
        <v>806</v>
      </c>
      <c r="E69" s="48" t="str">
        <f t="shared" si="0"/>
        <v>Dyke</v>
      </c>
      <c r="F69" s="83" t="str">
        <f t="shared" si="1"/>
        <v>Blue Ridge (St. George),VA</v>
      </c>
      <c r="G69" s="65" t="s">
        <v>807</v>
      </c>
      <c r="H69" s="65">
        <v>38.265274699999999</v>
      </c>
      <c r="I69" s="65">
        <v>-78.555524300000002</v>
      </c>
      <c r="J69" s="60" t="str">
        <f ca="1">IFERROR(__xludf.DUMMYFUNCTION("SPLIT(G69,"","")"),"273 Mayo Dr")</f>
        <v>273 Mayo Dr</v>
      </c>
      <c r="K69" s="91" t="str">
        <f ca="1">IFERROR(__xludf.DUMMYFUNCTION("""COMPUTED_VALUE""")," Dyke")</f>
        <v xml:space="preserve"> Dyke</v>
      </c>
      <c r="L69" s="2" t="str">
        <f ca="1">IFERROR(__xludf.DUMMYFUNCTION("""COMPUTED_VALUE""")," VA 22935")</f>
        <v xml:space="preserve"> VA 22935</v>
      </c>
      <c r="M69" s="2" t="str">
        <f ca="1">IFERROR(__xludf.DUMMYFUNCTION("""COMPUTED_VALUE""")," USA")</f>
        <v xml:space="preserve"> USA</v>
      </c>
      <c r="R69" s="91"/>
    </row>
    <row r="70" spans="1:18">
      <c r="A70" s="60">
        <v>69</v>
      </c>
      <c r="B70" s="79" t="s">
        <v>809</v>
      </c>
      <c r="C70" s="60" t="s">
        <v>602</v>
      </c>
      <c r="D70" s="92" t="s">
        <v>810</v>
      </c>
      <c r="E70" s="48" t="str">
        <f t="shared" si="0"/>
        <v>Alexandria</v>
      </c>
      <c r="F70" s="83" t="str">
        <f t="shared" si="1"/>
        <v>St. Stephen's &amp; St. Agnes (Alexandria),VA</v>
      </c>
      <c r="G70" s="60" t="s">
        <v>811</v>
      </c>
      <c r="H70" s="60">
        <v>38.817943</v>
      </c>
      <c r="I70" s="60">
        <v>-77.1011709</v>
      </c>
      <c r="J70" s="60" t="str">
        <f ca="1">IFERROR(__xludf.DUMMYFUNCTION("SPLIT(G70,"","")"),"1000 St Stephens Rd")</f>
        <v>1000 St Stephens Rd</v>
      </c>
      <c r="K70" s="88" t="str">
        <f ca="1">IFERROR(__xludf.DUMMYFUNCTION("""COMPUTED_VALUE""")," Alexandria")</f>
        <v xml:space="preserve"> Alexandria</v>
      </c>
      <c r="L70" s="2" t="str">
        <f ca="1">IFERROR(__xludf.DUMMYFUNCTION("""COMPUTED_VALUE""")," VA 22304")</f>
        <v xml:space="preserve"> VA 22304</v>
      </c>
      <c r="M70" s="2" t="str">
        <f ca="1">IFERROR(__xludf.DUMMYFUNCTION("""COMPUTED_VALUE""")," USA")</f>
        <v xml:space="preserve"> USA</v>
      </c>
      <c r="R70" s="88"/>
    </row>
    <row r="71" spans="1:18">
      <c r="A71" s="65">
        <v>70</v>
      </c>
      <c r="B71" s="80" t="s">
        <v>813</v>
      </c>
      <c r="C71" s="65" t="s">
        <v>598</v>
      </c>
      <c r="D71" s="90" t="s">
        <v>814</v>
      </c>
      <c r="E71" s="48" t="str">
        <f t="shared" si="0"/>
        <v>Marietta</v>
      </c>
      <c r="F71" s="83" t="str">
        <f t="shared" si="1"/>
        <v>Wheeler (Marietta),GA</v>
      </c>
      <c r="G71" s="65" t="s">
        <v>816</v>
      </c>
      <c r="H71" s="65">
        <v>33.959586299999998</v>
      </c>
      <c r="I71" s="65">
        <v>-84.478678099999996</v>
      </c>
      <c r="J71" s="60" t="str">
        <f ca="1">IFERROR(__xludf.DUMMYFUNCTION("SPLIT(G71,"","")"),"21 Holt Rd NE")</f>
        <v>21 Holt Rd NE</v>
      </c>
      <c r="K71" s="91" t="str">
        <f ca="1">IFERROR(__xludf.DUMMYFUNCTION("""COMPUTED_VALUE""")," Marietta")</f>
        <v xml:space="preserve"> Marietta</v>
      </c>
      <c r="L71" s="2" t="str">
        <f ca="1">IFERROR(__xludf.DUMMYFUNCTION("""COMPUTED_VALUE""")," GA 30068")</f>
        <v xml:space="preserve"> GA 30068</v>
      </c>
      <c r="M71" s="2" t="str">
        <f ca="1">IFERROR(__xludf.DUMMYFUNCTION("""COMPUTED_VALUE""")," USA")</f>
        <v xml:space="preserve"> USA</v>
      </c>
      <c r="R71" s="91"/>
    </row>
    <row r="72" spans="1:18">
      <c r="A72" s="60">
        <v>71</v>
      </c>
      <c r="B72" s="79" t="s">
        <v>817</v>
      </c>
      <c r="C72" s="60" t="s">
        <v>191</v>
      </c>
      <c r="D72" s="92" t="s">
        <v>818</v>
      </c>
      <c r="E72" s="48" t="str">
        <f t="shared" si="0"/>
        <v>West Bloomfield Township</v>
      </c>
      <c r="F72" s="83" t="str">
        <f t="shared" si="1"/>
        <v>St. Mary Prep (Orchard Lake),MI</v>
      </c>
      <c r="G72" s="60" t="s">
        <v>819</v>
      </c>
      <c r="H72" s="60">
        <v>42.594986800000001</v>
      </c>
      <c r="I72" s="60">
        <v>-83.354478200000003</v>
      </c>
      <c r="J72" s="60" t="str">
        <f ca="1">IFERROR(__xludf.DUMMYFUNCTION("SPLIT(G72,"","")"),"3535 Commerce Rd")</f>
        <v>3535 Commerce Rd</v>
      </c>
      <c r="K72" s="88" t="str">
        <f ca="1">IFERROR(__xludf.DUMMYFUNCTION("""COMPUTED_VALUE""")," West Bloomfield Township")</f>
        <v xml:space="preserve"> West Bloomfield Township</v>
      </c>
      <c r="L72" s="2" t="str">
        <f ca="1">IFERROR(__xludf.DUMMYFUNCTION("""COMPUTED_VALUE""")," MI 48324")</f>
        <v xml:space="preserve"> MI 48324</v>
      </c>
      <c r="M72" s="2" t="str">
        <f ca="1">IFERROR(__xludf.DUMMYFUNCTION("""COMPUTED_VALUE""")," USA")</f>
        <v xml:space="preserve"> USA</v>
      </c>
      <c r="R72" s="88"/>
    </row>
    <row r="73" spans="1:18">
      <c r="A73" s="65">
        <v>72</v>
      </c>
      <c r="B73" s="80" t="s">
        <v>820</v>
      </c>
      <c r="C73" s="65" t="s">
        <v>595</v>
      </c>
      <c r="D73" s="90" t="s">
        <v>821</v>
      </c>
      <c r="E73" s="48" t="str">
        <f t="shared" si="0"/>
        <v>Killeen</v>
      </c>
      <c r="F73" s="83" t="str">
        <f t="shared" si="1"/>
        <v>Ellison (Killeen),TX</v>
      </c>
      <c r="G73" s="65" t="s">
        <v>822</v>
      </c>
      <c r="H73" s="65">
        <v>31.083295499999998</v>
      </c>
      <c r="I73" s="65">
        <v>-97.739333000000002</v>
      </c>
      <c r="J73" s="60" t="str">
        <f ca="1">IFERROR(__xludf.DUMMYFUNCTION("SPLIT(G73,"","")"),"909 E Elms Rd")</f>
        <v>909 E Elms Rd</v>
      </c>
      <c r="K73" s="91" t="str">
        <f ca="1">IFERROR(__xludf.DUMMYFUNCTION("""COMPUTED_VALUE""")," Killeen")</f>
        <v xml:space="preserve"> Killeen</v>
      </c>
      <c r="L73" s="2" t="str">
        <f ca="1">IFERROR(__xludf.DUMMYFUNCTION("""COMPUTED_VALUE""")," TX 76542")</f>
        <v xml:space="preserve"> TX 76542</v>
      </c>
      <c r="M73" s="2" t="str">
        <f ca="1">IFERROR(__xludf.DUMMYFUNCTION("""COMPUTED_VALUE""")," USA")</f>
        <v xml:space="preserve"> USA</v>
      </c>
      <c r="R73" s="91"/>
    </row>
    <row r="74" spans="1:18">
      <c r="A74" s="60">
        <v>73</v>
      </c>
      <c r="B74" s="79" t="s">
        <v>823</v>
      </c>
      <c r="C74" s="60" t="s">
        <v>588</v>
      </c>
      <c r="D74" s="92" t="s">
        <v>824</v>
      </c>
      <c r="E74" s="48" t="str">
        <f t="shared" si="0"/>
        <v>La Cañada Flintridge</v>
      </c>
      <c r="F74" s="83" t="str">
        <f t="shared" si="1"/>
        <v>St. Francis (La Canada),CA</v>
      </c>
      <c r="G74" s="60" t="s">
        <v>825</v>
      </c>
      <c r="H74" s="60">
        <v>34.195911099999996</v>
      </c>
      <c r="I74" s="60">
        <v>-118.1824548</v>
      </c>
      <c r="J74" s="60" t="str">
        <f ca="1">IFERROR(__xludf.DUMMYFUNCTION("SPLIT(G74,"","")"),"200 Foothill Blvd")</f>
        <v>200 Foothill Blvd</v>
      </c>
      <c r="K74" s="88" t="str">
        <f ca="1">IFERROR(__xludf.DUMMYFUNCTION("""COMPUTED_VALUE""")," La Cañada Flintridge")</f>
        <v xml:space="preserve"> La Cañada Flintridge</v>
      </c>
      <c r="L74" s="2" t="str">
        <f ca="1">IFERROR(__xludf.DUMMYFUNCTION("""COMPUTED_VALUE""")," CA 91011")</f>
        <v xml:space="preserve"> CA 91011</v>
      </c>
      <c r="M74" s="2" t="str">
        <f ca="1">IFERROR(__xludf.DUMMYFUNCTION("""COMPUTED_VALUE""")," USA")</f>
        <v xml:space="preserve"> USA</v>
      </c>
      <c r="R74" s="88"/>
    </row>
    <row r="75" spans="1:18">
      <c r="A75" s="65">
        <v>74</v>
      </c>
      <c r="B75" s="80" t="s">
        <v>827</v>
      </c>
      <c r="C75" s="65" t="s">
        <v>624</v>
      </c>
      <c r="D75" s="90" t="s">
        <v>828</v>
      </c>
      <c r="E75" s="48" t="str">
        <f t="shared" si="0"/>
        <v>Bossier City</v>
      </c>
      <c r="F75" s="83" t="str">
        <f t="shared" si="1"/>
        <v>Bossier (Bossier City),LA</v>
      </c>
      <c r="G75" s="65" t="s">
        <v>829</v>
      </c>
      <c r="H75" s="65">
        <v>32.515985200000003</v>
      </c>
      <c r="I75" s="65">
        <v>-93.732122799999999</v>
      </c>
      <c r="J75" s="60" t="str">
        <f ca="1">IFERROR(__xludf.DUMMYFUNCTION("SPLIT(G75,"","")"),"1300 Airline Dr")</f>
        <v>1300 Airline Dr</v>
      </c>
      <c r="K75" s="91" t="str">
        <f ca="1">IFERROR(__xludf.DUMMYFUNCTION("""COMPUTED_VALUE""")," Bossier City")</f>
        <v xml:space="preserve"> Bossier City</v>
      </c>
      <c r="L75" s="2" t="str">
        <f ca="1">IFERROR(__xludf.DUMMYFUNCTION("""COMPUTED_VALUE""")," LA 71111")</f>
        <v xml:space="preserve"> LA 71111</v>
      </c>
      <c r="M75" s="2" t="str">
        <f ca="1">IFERROR(__xludf.DUMMYFUNCTION("""COMPUTED_VALUE""")," USA")</f>
        <v xml:space="preserve"> USA</v>
      </c>
      <c r="R75" s="91"/>
    </row>
    <row r="76" spans="1:18">
      <c r="A76" s="60">
        <v>75</v>
      </c>
      <c r="B76" s="79" t="s">
        <v>830</v>
      </c>
      <c r="C76" s="60" t="s">
        <v>598</v>
      </c>
      <c r="D76" s="92" t="s">
        <v>832</v>
      </c>
      <c r="E76" s="48" t="str">
        <f t="shared" si="0"/>
        <v>College Park</v>
      </c>
      <c r="F76" s="83" t="str">
        <f t="shared" si="1"/>
        <v>Woodward Academy (College Park),GA</v>
      </c>
      <c r="G76" s="60" t="s">
        <v>833</v>
      </c>
      <c r="H76" s="60">
        <v>33.662779899999997</v>
      </c>
      <c r="I76" s="60">
        <v>-84.441982799999991</v>
      </c>
      <c r="J76" s="60" t="str">
        <f ca="1">IFERROR(__xludf.DUMMYFUNCTION("SPLIT(G76,"","")"),"1662 W Rugby Ave")</f>
        <v>1662 W Rugby Ave</v>
      </c>
      <c r="K76" s="88" t="str">
        <f ca="1">IFERROR(__xludf.DUMMYFUNCTION("""COMPUTED_VALUE""")," College Park")</f>
        <v xml:space="preserve"> College Park</v>
      </c>
      <c r="L76" s="2" t="str">
        <f ca="1">IFERROR(__xludf.DUMMYFUNCTION("""COMPUTED_VALUE""")," GA 30337")</f>
        <v xml:space="preserve"> GA 30337</v>
      </c>
      <c r="M76" s="2" t="str">
        <f ca="1">IFERROR(__xludf.DUMMYFUNCTION("""COMPUTED_VALUE""")," USA")</f>
        <v xml:space="preserve"> USA</v>
      </c>
      <c r="R76" s="88"/>
    </row>
    <row r="77" spans="1:18">
      <c r="A77" s="60">
        <v>76</v>
      </c>
      <c r="B77" s="79" t="s">
        <v>834</v>
      </c>
      <c r="C77" s="60" t="s">
        <v>136</v>
      </c>
      <c r="D77" s="92" t="s">
        <v>835</v>
      </c>
      <c r="E77" s="48" t="str">
        <f t="shared" si="0"/>
        <v>Orlando</v>
      </c>
      <c r="F77" s="83" t="str">
        <f t="shared" si="1"/>
        <v>Orlando Christian Prep (Orlando),FL</v>
      </c>
      <c r="G77" s="60" t="s">
        <v>837</v>
      </c>
      <c r="H77" s="60">
        <v>28.535785300000001</v>
      </c>
      <c r="I77" s="60">
        <v>-81.31127339999999</v>
      </c>
      <c r="J77" s="60" t="str">
        <f ca="1">IFERROR(__xludf.DUMMYFUNCTION("SPLIT(G77,"","")"),"500 S Semoran Blvd")</f>
        <v>500 S Semoran Blvd</v>
      </c>
      <c r="K77" s="88" t="str">
        <f ca="1">IFERROR(__xludf.DUMMYFUNCTION("""COMPUTED_VALUE""")," Orlando")</f>
        <v xml:space="preserve"> Orlando</v>
      </c>
      <c r="L77" s="2" t="str">
        <f ca="1">IFERROR(__xludf.DUMMYFUNCTION("""COMPUTED_VALUE""")," FL 32807")</f>
        <v xml:space="preserve"> FL 32807</v>
      </c>
      <c r="M77" s="2" t="str">
        <f ca="1">IFERROR(__xludf.DUMMYFUNCTION("""COMPUTED_VALUE""")," USA")</f>
        <v xml:space="preserve"> USA</v>
      </c>
      <c r="R77" s="88"/>
    </row>
    <row r="78" spans="1:18">
      <c r="A78" s="65">
        <v>77</v>
      </c>
      <c r="B78" s="80" t="s">
        <v>840</v>
      </c>
      <c r="C78" s="65" t="s">
        <v>737</v>
      </c>
      <c r="D78" s="65" t="s">
        <v>841</v>
      </c>
      <c r="E78" s="48" t="str">
        <f t="shared" si="0"/>
        <v>Roselle</v>
      </c>
      <c r="F78" s="83" t="str">
        <f t="shared" si="1"/>
        <v>Roselle Catholic (Roselle),NJ</v>
      </c>
      <c r="G78" s="65" t="s">
        <v>842</v>
      </c>
      <c r="H78" s="65">
        <v>40.648609100000002</v>
      </c>
      <c r="I78" s="65">
        <v>-74.265190099999998</v>
      </c>
      <c r="J78" s="60" t="str">
        <f ca="1">IFERROR(__xludf.DUMMYFUNCTION("SPLIT(G78,"","")"),"350 Raritan Rd")</f>
        <v>350 Raritan Rd</v>
      </c>
      <c r="K78" s="66" t="str">
        <f ca="1">IFERROR(__xludf.DUMMYFUNCTION("""COMPUTED_VALUE""")," Roselle")</f>
        <v xml:space="preserve"> Roselle</v>
      </c>
      <c r="L78" s="2" t="str">
        <f ca="1">IFERROR(__xludf.DUMMYFUNCTION("""COMPUTED_VALUE""")," NJ 07203")</f>
        <v xml:space="preserve"> NJ 07203</v>
      </c>
      <c r="M78" s="2" t="str">
        <f ca="1">IFERROR(__xludf.DUMMYFUNCTION("""COMPUTED_VALUE""")," USA")</f>
        <v xml:space="preserve"> USA</v>
      </c>
      <c r="R78" s="66"/>
    </row>
    <row r="79" spans="1:18">
      <c r="A79" s="60">
        <v>78</v>
      </c>
      <c r="B79" s="79" t="s">
        <v>843</v>
      </c>
      <c r="C79" s="60" t="s">
        <v>675</v>
      </c>
      <c r="D79" s="92" t="s">
        <v>844</v>
      </c>
      <c r="E79" s="48" t="str">
        <f t="shared" si="0"/>
        <v>Warminster</v>
      </c>
      <c r="F79" s="83" t="str">
        <f t="shared" si="1"/>
        <v>Archbishop Wood (Warminster),PA</v>
      </c>
      <c r="G79" s="60" t="s">
        <v>845</v>
      </c>
      <c r="H79" s="60">
        <v>40.209037299999999</v>
      </c>
      <c r="I79" s="60">
        <v>-75.098618399999992</v>
      </c>
      <c r="J79" s="60" t="str">
        <f ca="1">IFERROR(__xludf.DUMMYFUNCTION("SPLIT(G79,"","")"),"655 Old York Rd")</f>
        <v>655 Old York Rd</v>
      </c>
      <c r="K79" s="88" t="str">
        <f ca="1">IFERROR(__xludf.DUMMYFUNCTION("""COMPUTED_VALUE""")," Warminster")</f>
        <v xml:space="preserve"> Warminster</v>
      </c>
      <c r="L79" s="2" t="str">
        <f ca="1">IFERROR(__xludf.DUMMYFUNCTION("""COMPUTED_VALUE""")," PA 18974")</f>
        <v xml:space="preserve"> PA 18974</v>
      </c>
      <c r="M79" s="2" t="str">
        <f ca="1">IFERROR(__xludf.DUMMYFUNCTION("""COMPUTED_VALUE""")," USA")</f>
        <v xml:space="preserve"> USA</v>
      </c>
      <c r="R79" s="88"/>
    </row>
    <row r="80" spans="1:18">
      <c r="A80" s="65">
        <v>79</v>
      </c>
      <c r="B80" s="80" t="s">
        <v>846</v>
      </c>
      <c r="C80" s="65" t="s">
        <v>136</v>
      </c>
      <c r="D80" s="65" t="s">
        <v>847</v>
      </c>
      <c r="E80" s="48" t="str">
        <f t="shared" si="0"/>
        <v>Tampa</v>
      </c>
      <c r="F80" s="83" t="str">
        <f t="shared" si="1"/>
        <v>Tampa Catholic (Tampa),FL</v>
      </c>
      <c r="G80" s="65" t="s">
        <v>848</v>
      </c>
      <c r="H80" s="65">
        <v>27.9489181</v>
      </c>
      <c r="I80" s="65">
        <v>-82.457352799999995</v>
      </c>
      <c r="J80" s="60" t="str">
        <f ca="1">IFERROR(__xludf.DUMMYFUNCTION("SPLIT(G80,"","")"),"509 N Florida Ave")</f>
        <v>509 N Florida Ave</v>
      </c>
      <c r="K80" s="66" t="str">
        <f ca="1">IFERROR(__xludf.DUMMYFUNCTION("""COMPUTED_VALUE""")," Tampa")</f>
        <v xml:space="preserve"> Tampa</v>
      </c>
      <c r="L80" s="2" t="str">
        <f ca="1">IFERROR(__xludf.DUMMYFUNCTION("""COMPUTED_VALUE""")," FL 33602")</f>
        <v xml:space="preserve"> FL 33602</v>
      </c>
      <c r="M80" s="2" t="str">
        <f ca="1">IFERROR(__xludf.DUMMYFUNCTION("""COMPUTED_VALUE""")," USA")</f>
        <v xml:space="preserve"> USA</v>
      </c>
      <c r="R80" s="66"/>
    </row>
    <row r="81" spans="1:18">
      <c r="A81" s="60">
        <v>80</v>
      </c>
      <c r="B81" s="79" t="s">
        <v>850</v>
      </c>
      <c r="C81" s="60" t="s">
        <v>588</v>
      </c>
      <c r="D81" s="92" t="s">
        <v>851</v>
      </c>
      <c r="E81" s="48" t="str">
        <f t="shared" si="0"/>
        <v>Dublin</v>
      </c>
      <c r="F81" s="83" t="str">
        <f t="shared" si="1"/>
        <v>Dublin,CA</v>
      </c>
      <c r="G81" s="60" t="s">
        <v>852</v>
      </c>
      <c r="H81" s="60">
        <v>37.715939599999999</v>
      </c>
      <c r="I81" s="60">
        <v>-121.9101221</v>
      </c>
      <c r="J81" s="60" t="str">
        <f ca="1">IFERROR(__xludf.DUMMYFUNCTION("SPLIT(G81,"","")"),"Dougherty Rd + Camp Parks Blvd")</f>
        <v>Dougherty Rd + Camp Parks Blvd</v>
      </c>
      <c r="K81" s="88" t="str">
        <f ca="1">IFERROR(__xludf.DUMMYFUNCTION("""COMPUTED_VALUE""")," Dublin")</f>
        <v xml:space="preserve"> Dublin</v>
      </c>
      <c r="L81" s="2" t="str">
        <f ca="1">IFERROR(__xludf.DUMMYFUNCTION("""COMPUTED_VALUE""")," CA 94568")</f>
        <v xml:space="preserve"> CA 94568</v>
      </c>
      <c r="M81" s="2" t="str">
        <f ca="1">IFERROR(__xludf.DUMMYFUNCTION("""COMPUTED_VALUE""")," USA")</f>
        <v xml:space="preserve"> USA</v>
      </c>
      <c r="R81" s="88"/>
    </row>
    <row r="82" spans="1:18">
      <c r="A82" s="65">
        <v>81</v>
      </c>
      <c r="B82" s="80" t="s">
        <v>854</v>
      </c>
      <c r="C82" s="65" t="s">
        <v>737</v>
      </c>
      <c r="D82" s="93" t="s">
        <v>855</v>
      </c>
      <c r="E82" s="48" t="str">
        <f t="shared" si="0"/>
        <v>Elizabeth</v>
      </c>
      <c r="F82" s="83" t="str">
        <f t="shared" si="1"/>
        <v>Elizabeth,NJ</v>
      </c>
      <c r="G82" s="65" t="s">
        <v>856</v>
      </c>
      <c r="H82" s="65">
        <v>40.663991600000003</v>
      </c>
      <c r="I82" s="65">
        <v>-74.210700599999996</v>
      </c>
      <c r="J82" s="60" t="str">
        <f ca="1">IFERROR(__xludf.DUMMYFUNCTION("SPLIT(G82,"","")"),"Nueva York")</f>
        <v>Nueva York</v>
      </c>
      <c r="K82" s="2" t="str">
        <f ca="1">IFERROR(__xludf.DUMMYFUNCTION("""COMPUTED_VALUE""")," 1089 E Jersey St")</f>
        <v xml:space="preserve"> 1089 E Jersey St</v>
      </c>
      <c r="L82" s="2" t="str">
        <f ca="1">IFERROR(__xludf.DUMMYFUNCTION("""COMPUTED_VALUE""")," Elizabeth")</f>
        <v xml:space="preserve"> Elizabeth</v>
      </c>
      <c r="M82" s="2" t="str">
        <f ca="1">IFERROR(__xludf.DUMMYFUNCTION("""COMPUTED_VALUE""")," NJ 07201")</f>
        <v xml:space="preserve"> NJ 07201</v>
      </c>
      <c r="N82" s="2" t="str">
        <f ca="1">IFERROR(__xludf.DUMMYFUNCTION("""COMPUTED_VALUE""")," USA")</f>
        <v xml:space="preserve"> USA</v>
      </c>
    </row>
    <row r="83" spans="1:18">
      <c r="A83" s="60">
        <v>82</v>
      </c>
      <c r="B83" s="79" t="s">
        <v>858</v>
      </c>
      <c r="C83" s="60" t="s">
        <v>179</v>
      </c>
      <c r="D83" s="92" t="s">
        <v>859</v>
      </c>
      <c r="E83" s="48" t="str">
        <f t="shared" si="0"/>
        <v>Hudson</v>
      </c>
      <c r="F83" s="83" t="str">
        <f t="shared" si="1"/>
        <v>Moravian Prep (Hudson),NC</v>
      </c>
      <c r="G83" s="60" t="s">
        <v>860</v>
      </c>
      <c r="H83" s="60">
        <v>35.831435900000002</v>
      </c>
      <c r="I83" s="60">
        <v>-81.506087999999991</v>
      </c>
      <c r="J83" s="60" t="str">
        <f ca="1">IFERROR(__xludf.DUMMYFUNCTION("SPLIT(G83,"","")"),"1444 Cajah Mountain Rd")</f>
        <v>1444 Cajah Mountain Rd</v>
      </c>
      <c r="K83" s="88" t="str">
        <f ca="1">IFERROR(__xludf.DUMMYFUNCTION("""COMPUTED_VALUE""")," Hudson")</f>
        <v xml:space="preserve"> Hudson</v>
      </c>
      <c r="L83" s="2" t="str">
        <f ca="1">IFERROR(__xludf.DUMMYFUNCTION("""COMPUTED_VALUE""")," NC 28638")</f>
        <v xml:space="preserve"> NC 28638</v>
      </c>
      <c r="M83" s="2" t="str">
        <f ca="1">IFERROR(__xludf.DUMMYFUNCTION("""COMPUTED_VALUE""")," USA")</f>
        <v xml:space="preserve"> USA</v>
      </c>
      <c r="R83" s="88"/>
    </row>
    <row r="84" spans="1:18">
      <c r="A84" s="65">
        <v>83</v>
      </c>
      <c r="B84" s="80" t="s">
        <v>861</v>
      </c>
      <c r="C84" s="65" t="s">
        <v>595</v>
      </c>
      <c r="D84" s="90" t="s">
        <v>862</v>
      </c>
      <c r="E84" s="48" t="str">
        <f t="shared" si="0"/>
        <v>Missouri City</v>
      </c>
      <c r="F84" s="83" t="str">
        <f t="shared" si="1"/>
        <v>Fort Bend Hightower (Missouri City),TX</v>
      </c>
      <c r="G84" s="65" t="s">
        <v>863</v>
      </c>
      <c r="H84" s="65">
        <v>29.531709200000002</v>
      </c>
      <c r="I84" s="65">
        <v>-95.49774459999999</v>
      </c>
      <c r="J84" s="60" t="str">
        <f ca="1">IFERROR(__xludf.DUMMYFUNCTION("SPLIT(G84,"","")"),"3333 Hurricane Ln")</f>
        <v>3333 Hurricane Ln</v>
      </c>
      <c r="K84" s="91" t="str">
        <f ca="1">IFERROR(__xludf.DUMMYFUNCTION("""COMPUTED_VALUE""")," Missouri City")</f>
        <v xml:space="preserve"> Missouri City</v>
      </c>
      <c r="L84" s="2" t="str">
        <f ca="1">IFERROR(__xludf.DUMMYFUNCTION("""COMPUTED_VALUE""")," TX 77459")</f>
        <v xml:space="preserve"> TX 77459</v>
      </c>
      <c r="M84" s="2" t="str">
        <f ca="1">IFERROR(__xludf.DUMMYFUNCTION("""COMPUTED_VALUE""")," USA")</f>
        <v xml:space="preserve"> USA</v>
      </c>
      <c r="R84" s="91"/>
    </row>
    <row r="85" spans="1:18">
      <c r="A85" s="60">
        <v>84</v>
      </c>
      <c r="B85" s="79" t="s">
        <v>865</v>
      </c>
      <c r="C85" s="60" t="s">
        <v>136</v>
      </c>
      <c r="D85" s="92" t="s">
        <v>866</v>
      </c>
      <c r="E85" s="48" t="str">
        <f t="shared" si="0"/>
        <v>Boca Raton</v>
      </c>
      <c r="F85" s="83" t="str">
        <f t="shared" si="1"/>
        <v>Saint Andrew's (Boca Raton),FL</v>
      </c>
      <c r="G85" s="60" t="s">
        <v>867</v>
      </c>
      <c r="H85" s="60">
        <v>26.384682000000002</v>
      </c>
      <c r="I85" s="60">
        <v>-80.14710749999999</v>
      </c>
      <c r="J85" s="60" t="str">
        <f ca="1">IFERROR(__xludf.DUMMYFUNCTION("SPLIT(G85,"","")"),"3900 Jog Rd")</f>
        <v>3900 Jog Rd</v>
      </c>
      <c r="K85" s="88" t="str">
        <f ca="1">IFERROR(__xludf.DUMMYFUNCTION("""COMPUTED_VALUE""")," Boca Raton")</f>
        <v xml:space="preserve"> Boca Raton</v>
      </c>
      <c r="L85" s="2" t="str">
        <f ca="1">IFERROR(__xludf.DUMMYFUNCTION("""COMPUTED_VALUE""")," FL 33434")</f>
        <v xml:space="preserve"> FL 33434</v>
      </c>
      <c r="M85" s="2" t="str">
        <f ca="1">IFERROR(__xludf.DUMMYFUNCTION("""COMPUTED_VALUE""")," USA")</f>
        <v xml:space="preserve"> USA</v>
      </c>
      <c r="R85" s="88"/>
    </row>
    <row r="86" spans="1:18">
      <c r="A86" s="65">
        <v>85</v>
      </c>
      <c r="B86" s="80" t="s">
        <v>870</v>
      </c>
      <c r="C86" s="65" t="s">
        <v>737</v>
      </c>
      <c r="D86" s="65" t="s">
        <v>871</v>
      </c>
      <c r="E86" s="48" t="str">
        <f t="shared" si="0"/>
        <v>Hillside</v>
      </c>
      <c r="F86" s="83" t="str">
        <f t="shared" si="1"/>
        <v>Patrick School (Hillside),NJ</v>
      </c>
      <c r="G86" s="65" t="s">
        <v>872</v>
      </c>
      <c r="H86" s="65">
        <v>40.696082700000012</v>
      </c>
      <c r="I86" s="65">
        <v>-74.236562499999991</v>
      </c>
      <c r="J86" s="60" t="str">
        <f ca="1">IFERROR(__xludf.DUMMYFUNCTION("SPLIT(G86,"","")"),"397 Columbia Ave")</f>
        <v>397 Columbia Ave</v>
      </c>
      <c r="K86" s="66" t="str">
        <f ca="1">IFERROR(__xludf.DUMMYFUNCTION("""COMPUTED_VALUE""")," Hillside")</f>
        <v xml:space="preserve"> Hillside</v>
      </c>
      <c r="L86" s="2" t="str">
        <f ca="1">IFERROR(__xludf.DUMMYFUNCTION("""COMPUTED_VALUE""")," NJ 07205")</f>
        <v xml:space="preserve"> NJ 07205</v>
      </c>
      <c r="M86" s="2" t="str">
        <f ca="1">IFERROR(__xludf.DUMMYFUNCTION("""COMPUTED_VALUE""")," USA")</f>
        <v xml:space="preserve"> USA</v>
      </c>
      <c r="R86" s="66"/>
    </row>
    <row r="87" spans="1:18">
      <c r="A87" s="60">
        <v>86</v>
      </c>
      <c r="B87" s="79" t="s">
        <v>873</v>
      </c>
      <c r="C87" s="60" t="s">
        <v>770</v>
      </c>
      <c r="D87" s="92" t="s">
        <v>875</v>
      </c>
      <c r="E87" s="48" t="str">
        <f t="shared" si="0"/>
        <v>Memphis</v>
      </c>
      <c r="F87" s="83" t="str">
        <f t="shared" si="1"/>
        <v>Whitehaven (Memphis),TN</v>
      </c>
      <c r="G87" s="60" t="s">
        <v>876</v>
      </c>
      <c r="H87" s="60">
        <v>35.0353049</v>
      </c>
      <c r="I87" s="60">
        <v>-90.041859699999989</v>
      </c>
      <c r="J87" s="60" t="str">
        <f ca="1">IFERROR(__xludf.DUMMYFUNCTION("SPLIT(G87,"","")"),"4134 McCorkle Rd")</f>
        <v>4134 McCorkle Rd</v>
      </c>
      <c r="K87" s="88" t="str">
        <f ca="1">IFERROR(__xludf.DUMMYFUNCTION("""COMPUTED_VALUE""")," Memphis")</f>
        <v xml:space="preserve"> Memphis</v>
      </c>
      <c r="L87" s="2" t="str">
        <f ca="1">IFERROR(__xludf.DUMMYFUNCTION("""COMPUTED_VALUE""")," TN 38116")</f>
        <v xml:space="preserve"> TN 38116</v>
      </c>
      <c r="M87" s="2" t="str">
        <f ca="1">IFERROR(__xludf.DUMMYFUNCTION("""COMPUTED_VALUE""")," USA")</f>
        <v xml:space="preserve"> USA</v>
      </c>
      <c r="R87" s="88"/>
    </row>
    <row r="88" spans="1:18">
      <c r="A88" s="65">
        <v>87</v>
      </c>
      <c r="B88" s="80" t="s">
        <v>877</v>
      </c>
      <c r="C88" s="65" t="s">
        <v>595</v>
      </c>
      <c r="D88" s="90" t="s">
        <v>878</v>
      </c>
      <c r="E88" s="48" t="str">
        <f t="shared" si="0"/>
        <v>San Antonio</v>
      </c>
      <c r="F88" s="83" t="str">
        <f t="shared" si="1"/>
        <v>Brandeis (San Antonio),TX</v>
      </c>
      <c r="G88" s="65" t="s">
        <v>879</v>
      </c>
      <c r="H88" s="65">
        <v>29.5650747</v>
      </c>
      <c r="I88" s="65">
        <v>-98.645677599999999</v>
      </c>
      <c r="J88" s="60" t="str">
        <f ca="1">IFERROR(__xludf.DUMMYFUNCTION("SPLIT(G88,"","")"),"13011 Kyle Seale Pkwy")</f>
        <v>13011 Kyle Seale Pkwy</v>
      </c>
      <c r="K88" s="91" t="str">
        <f ca="1">IFERROR(__xludf.DUMMYFUNCTION("""COMPUTED_VALUE""")," San Antonio")</f>
        <v xml:space="preserve"> San Antonio</v>
      </c>
      <c r="L88" s="2" t="str">
        <f ca="1">IFERROR(__xludf.DUMMYFUNCTION("""COMPUTED_VALUE""")," TX 78249")</f>
        <v xml:space="preserve"> TX 78249</v>
      </c>
      <c r="M88" s="2" t="str">
        <f ca="1">IFERROR(__xludf.DUMMYFUNCTION("""COMPUTED_VALUE""")," USA")</f>
        <v xml:space="preserve"> USA</v>
      </c>
      <c r="R88" s="91"/>
    </row>
    <row r="89" spans="1:18">
      <c r="A89" s="60">
        <v>88</v>
      </c>
      <c r="B89" s="79" t="s">
        <v>880</v>
      </c>
      <c r="C89" s="60" t="s">
        <v>881</v>
      </c>
      <c r="D89" s="92" t="s">
        <v>882</v>
      </c>
      <c r="E89" s="48" t="str">
        <f t="shared" si="0"/>
        <v>Louisville</v>
      </c>
      <c r="F89" s="83" t="str">
        <f t="shared" si="1"/>
        <v>Male (Louisville),KY</v>
      </c>
      <c r="G89" s="60" t="s">
        <v>883</v>
      </c>
      <c r="H89" s="60">
        <v>38.184699599999988</v>
      </c>
      <c r="I89" s="60">
        <v>-85.721026699999996</v>
      </c>
      <c r="J89" s="60" t="str">
        <f ca="1">IFERROR(__xludf.DUMMYFUNCTION("SPLIT(G89,"","")"),"4409 Preston Hwy")</f>
        <v>4409 Preston Hwy</v>
      </c>
      <c r="K89" s="88" t="str">
        <f ca="1">IFERROR(__xludf.DUMMYFUNCTION("""COMPUTED_VALUE""")," Louisville")</f>
        <v xml:space="preserve"> Louisville</v>
      </c>
      <c r="L89" s="2" t="str">
        <f ca="1">IFERROR(__xludf.DUMMYFUNCTION("""COMPUTED_VALUE""")," KY 40213")</f>
        <v xml:space="preserve"> KY 40213</v>
      </c>
      <c r="M89" s="2" t="str">
        <f ca="1">IFERROR(__xludf.DUMMYFUNCTION("""COMPUTED_VALUE""")," USA")</f>
        <v xml:space="preserve"> USA</v>
      </c>
      <c r="R89" s="88"/>
    </row>
    <row r="90" spans="1:18">
      <c r="A90" s="65">
        <v>89</v>
      </c>
      <c r="B90" s="80" t="s">
        <v>884</v>
      </c>
      <c r="C90" s="65" t="s">
        <v>588</v>
      </c>
      <c r="D90" s="90" t="s">
        <v>635</v>
      </c>
      <c r="E90" s="48" t="str">
        <f t="shared" si="0"/>
        <v>Los Angeles</v>
      </c>
      <c r="F90" s="83" t="str">
        <f t="shared" si="1"/>
        <v>Fairfax (Los Angeles),CA</v>
      </c>
      <c r="G90" s="65" t="s">
        <v>885</v>
      </c>
      <c r="H90" s="65">
        <v>34.080174599999999</v>
      </c>
      <c r="I90" s="65">
        <v>-118.3511357</v>
      </c>
      <c r="J90" s="60" t="str">
        <f ca="1">IFERROR(__xludf.DUMMYFUNCTION("SPLIT(G90,"","")"),"465 N Martel Ave")</f>
        <v>465 N Martel Ave</v>
      </c>
      <c r="K90" s="91" t="str">
        <f ca="1">IFERROR(__xludf.DUMMYFUNCTION("""COMPUTED_VALUE""")," Los Angeles")</f>
        <v xml:space="preserve"> Los Angeles</v>
      </c>
      <c r="L90" s="2" t="str">
        <f ca="1">IFERROR(__xludf.DUMMYFUNCTION("""COMPUTED_VALUE""")," CA 90036")</f>
        <v xml:space="preserve"> CA 90036</v>
      </c>
      <c r="M90" s="2" t="str">
        <f ca="1">IFERROR(__xludf.DUMMYFUNCTION("""COMPUTED_VALUE""")," USA")</f>
        <v xml:space="preserve"> USA</v>
      </c>
      <c r="R90" s="91"/>
    </row>
    <row r="91" spans="1:18">
      <c r="A91" s="60">
        <v>90</v>
      </c>
      <c r="B91" s="79" t="s">
        <v>887</v>
      </c>
      <c r="C91" s="60" t="s">
        <v>765</v>
      </c>
      <c r="D91" s="48" t="s">
        <v>888</v>
      </c>
      <c r="E91" s="48" t="str">
        <f t="shared" si="0"/>
        <v>Davis County</v>
      </c>
      <c r="F91" s="83" t="str">
        <f t="shared" si="1"/>
        <v>Davis (Kaysville),UT</v>
      </c>
      <c r="G91" s="60" t="s">
        <v>889</v>
      </c>
      <c r="H91" s="60">
        <v>40.962884500000001</v>
      </c>
      <c r="I91" s="60">
        <v>-112.09532969999999</v>
      </c>
      <c r="J91" s="60" t="str">
        <f ca="1">IFERROR(__xludf.DUMMYFUNCTION("SPLIT(G91,"","")"),"Davis County")</f>
        <v>Davis County</v>
      </c>
      <c r="K91" s="88" t="str">
        <f ca="1">IFERROR(__xludf.DUMMYFUNCTION("""COMPUTED_VALUE""")," UT")</f>
        <v xml:space="preserve"> UT</v>
      </c>
      <c r="L91" s="2" t="str">
        <f ca="1">IFERROR(__xludf.DUMMYFUNCTION("""COMPUTED_VALUE""")," USA")</f>
        <v xml:space="preserve"> USA</v>
      </c>
      <c r="R91" s="48"/>
    </row>
    <row r="92" spans="1:18">
      <c r="A92" s="65">
        <v>91</v>
      </c>
      <c r="B92" s="80" t="s">
        <v>891</v>
      </c>
      <c r="C92" s="65" t="s">
        <v>97</v>
      </c>
      <c r="D92" s="65" t="s">
        <v>892</v>
      </c>
      <c r="E92" s="48" t="str">
        <f t="shared" si="0"/>
        <v>Hockessin</v>
      </c>
      <c r="F92" s="83" t="str">
        <f t="shared" si="1"/>
        <v>Sanford (Hockessin),DE</v>
      </c>
      <c r="G92" s="65" t="s">
        <v>893</v>
      </c>
      <c r="H92" s="65">
        <v>39.772592299999999</v>
      </c>
      <c r="I92" s="65">
        <v>-75.677572599999991</v>
      </c>
      <c r="J92" s="60" t="str">
        <f ca="1">IFERROR(__xludf.DUMMYFUNCTION("SPLIT(G92,"","")"),"6900 Lancaster Pike")</f>
        <v>6900 Lancaster Pike</v>
      </c>
      <c r="K92" s="66" t="str">
        <f ca="1">IFERROR(__xludf.DUMMYFUNCTION("""COMPUTED_VALUE""")," Hockessin")</f>
        <v xml:space="preserve"> Hockessin</v>
      </c>
      <c r="L92" s="2" t="str">
        <f ca="1">IFERROR(__xludf.DUMMYFUNCTION("""COMPUTED_VALUE""")," DE 19707")</f>
        <v xml:space="preserve"> DE 19707</v>
      </c>
      <c r="M92" s="2" t="str">
        <f ca="1">IFERROR(__xludf.DUMMYFUNCTION("""COMPUTED_VALUE""")," USA")</f>
        <v xml:space="preserve"> USA</v>
      </c>
      <c r="R92" s="66"/>
    </row>
    <row r="93" spans="1:18">
      <c r="A93" s="60">
        <v>92</v>
      </c>
      <c r="B93" s="79" t="s">
        <v>896</v>
      </c>
      <c r="C93" s="60" t="s">
        <v>897</v>
      </c>
      <c r="D93" s="92" t="s">
        <v>899</v>
      </c>
      <c r="E93" s="48" t="str">
        <f t="shared" si="0"/>
        <v>St. Louis</v>
      </c>
      <c r="F93" s="83" t="str">
        <f t="shared" si="1"/>
        <v>Vashon (St. Louis),MO</v>
      </c>
      <c r="G93" s="60" t="s">
        <v>900</v>
      </c>
      <c r="H93" s="60">
        <v>38.647333499999988</v>
      </c>
      <c r="I93" s="60">
        <v>-90.2203686</v>
      </c>
      <c r="J93" s="60" t="str">
        <f ca="1">IFERROR(__xludf.DUMMYFUNCTION("SPLIT(G93,"","")"),"3035 Cass Ave")</f>
        <v>3035 Cass Ave</v>
      </c>
      <c r="K93" s="88" t="str">
        <f ca="1">IFERROR(__xludf.DUMMYFUNCTION("""COMPUTED_VALUE""")," St. Louis")</f>
        <v xml:space="preserve"> St. Louis</v>
      </c>
      <c r="L93" s="2" t="str">
        <f ca="1">IFERROR(__xludf.DUMMYFUNCTION("""COMPUTED_VALUE""")," MO 63106")</f>
        <v xml:space="preserve"> MO 63106</v>
      </c>
      <c r="M93" s="2" t="str">
        <f ca="1">IFERROR(__xludf.DUMMYFUNCTION("""COMPUTED_VALUE""")," USA")</f>
        <v xml:space="preserve"> USA</v>
      </c>
      <c r="R93" s="88"/>
    </row>
    <row r="94" spans="1:18">
      <c r="A94" s="65">
        <v>93</v>
      </c>
      <c r="B94" s="80" t="s">
        <v>307</v>
      </c>
      <c r="C94" s="65" t="s">
        <v>901</v>
      </c>
      <c r="D94" s="90" t="s">
        <v>902</v>
      </c>
      <c r="E94" s="48" t="str">
        <f t="shared" si="0"/>
        <v>West Memphis</v>
      </c>
      <c r="F94" s="83" t="str">
        <f t="shared" si="1"/>
        <v>West Memphis,AR</v>
      </c>
      <c r="G94" s="65" t="s">
        <v>903</v>
      </c>
      <c r="H94" s="65">
        <v>35.1464797</v>
      </c>
      <c r="I94" s="65">
        <v>-90.184538799999999</v>
      </c>
      <c r="J94" s="60" t="str">
        <f ca="1">IFERROR(__xludf.DUMMYFUNCTION("SPLIT(G94,"","")"),"101 E Broadway Blvd")</f>
        <v>101 E Broadway Blvd</v>
      </c>
      <c r="K94" s="91" t="str">
        <f ca="1">IFERROR(__xludf.DUMMYFUNCTION("""COMPUTED_VALUE""")," West Memphis")</f>
        <v xml:space="preserve"> West Memphis</v>
      </c>
      <c r="L94" s="2" t="str">
        <f ca="1">IFERROR(__xludf.DUMMYFUNCTION("""COMPUTED_VALUE""")," AR 72301")</f>
        <v xml:space="preserve"> AR 72301</v>
      </c>
      <c r="M94" s="2" t="str">
        <f ca="1">IFERROR(__xludf.DUMMYFUNCTION("""COMPUTED_VALUE""")," USA")</f>
        <v xml:space="preserve"> USA</v>
      </c>
      <c r="R94" s="91"/>
    </row>
    <row r="95" spans="1:18">
      <c r="A95" s="60">
        <v>94</v>
      </c>
      <c r="B95" s="79" t="s">
        <v>904</v>
      </c>
      <c r="C95" s="60" t="s">
        <v>745</v>
      </c>
      <c r="D95" s="92" t="s">
        <v>905</v>
      </c>
      <c r="E95" s="48" t="str">
        <f t="shared" si="0"/>
        <v>Seattle</v>
      </c>
      <c r="F95" s="83" t="str">
        <f t="shared" si="1"/>
        <v>Garfield (Seattle),WA</v>
      </c>
      <c r="G95" s="60" t="s">
        <v>906</v>
      </c>
      <c r="H95" s="60">
        <v>47.605333999999999</v>
      </c>
      <c r="I95" s="60">
        <v>-122.301807</v>
      </c>
      <c r="J95" s="60" t="str">
        <f ca="1">IFERROR(__xludf.DUMMYFUNCTION("SPLIT(G95,"","")"),"400 23rd Ave")</f>
        <v>400 23rd Ave</v>
      </c>
      <c r="K95" s="88" t="str">
        <f ca="1">IFERROR(__xludf.DUMMYFUNCTION("""COMPUTED_VALUE""")," Seattle")</f>
        <v xml:space="preserve"> Seattle</v>
      </c>
      <c r="L95" s="2" t="str">
        <f ca="1">IFERROR(__xludf.DUMMYFUNCTION("""COMPUTED_VALUE""")," WA 98122")</f>
        <v xml:space="preserve"> WA 98122</v>
      </c>
      <c r="M95" s="2" t="str">
        <f ca="1">IFERROR(__xludf.DUMMYFUNCTION("""COMPUTED_VALUE""")," USA")</f>
        <v xml:space="preserve"> USA</v>
      </c>
      <c r="R95" s="88"/>
    </row>
    <row r="96" spans="1:18">
      <c r="A96" s="65">
        <v>95</v>
      </c>
      <c r="B96" s="80" t="s">
        <v>907</v>
      </c>
      <c r="C96" s="65" t="s">
        <v>588</v>
      </c>
      <c r="D96" s="90" t="s">
        <v>908</v>
      </c>
      <c r="E96" s="48" t="str">
        <f t="shared" si="0"/>
        <v>Altadena</v>
      </c>
      <c r="F96" s="83" t="str">
        <f t="shared" si="1"/>
        <v>Renaissance Academy (Altadena),CA</v>
      </c>
      <c r="G96" s="65" t="s">
        <v>909</v>
      </c>
      <c r="H96" s="65">
        <v>34.197510000000001</v>
      </c>
      <c r="I96" s="65">
        <v>-118.14847399999999</v>
      </c>
      <c r="J96" s="60" t="str">
        <f ca="1">IFERROR(__xludf.DUMMYFUNCTION("SPLIT(G96,"","")"),"119 W Palm St")</f>
        <v>119 W Palm St</v>
      </c>
      <c r="K96" s="91" t="str">
        <f ca="1">IFERROR(__xludf.DUMMYFUNCTION("""COMPUTED_VALUE""")," Altadena")</f>
        <v xml:space="preserve"> Altadena</v>
      </c>
      <c r="L96" s="2" t="str">
        <f ca="1">IFERROR(__xludf.DUMMYFUNCTION("""COMPUTED_VALUE""")," CA 91001")</f>
        <v xml:space="preserve"> CA 91001</v>
      </c>
      <c r="M96" s="2" t="str">
        <f ca="1">IFERROR(__xludf.DUMMYFUNCTION("""COMPUTED_VALUE""")," USA")</f>
        <v xml:space="preserve"> USA</v>
      </c>
      <c r="R96" s="91"/>
    </row>
    <row r="97" spans="1:18">
      <c r="A97" s="60">
        <v>96</v>
      </c>
      <c r="B97" s="79" t="s">
        <v>910</v>
      </c>
      <c r="C97" s="60" t="s">
        <v>598</v>
      </c>
      <c r="D97" s="92" t="s">
        <v>911</v>
      </c>
      <c r="E97" s="48" t="str">
        <f t="shared" si="0"/>
        <v>Milton</v>
      </c>
      <c r="F97" s="83" t="str">
        <f t="shared" si="1"/>
        <v>St. Francis (Alpharetta),GA</v>
      </c>
      <c r="G97" s="60" t="s">
        <v>912</v>
      </c>
      <c r="H97" s="60">
        <v>34.1071782</v>
      </c>
      <c r="I97" s="60">
        <v>-84.281164699999991</v>
      </c>
      <c r="J97" s="60" t="str">
        <f ca="1">IFERROR(__xludf.DUMMYFUNCTION("SPLIT(G97,"","")"),"13440 Cogburn Rd")</f>
        <v>13440 Cogburn Rd</v>
      </c>
      <c r="K97" s="88" t="str">
        <f ca="1">IFERROR(__xludf.DUMMYFUNCTION("""COMPUTED_VALUE""")," Milton")</f>
        <v xml:space="preserve"> Milton</v>
      </c>
      <c r="L97" s="2" t="str">
        <f ca="1">IFERROR(__xludf.DUMMYFUNCTION("""COMPUTED_VALUE""")," GA 30004")</f>
        <v xml:space="preserve"> GA 30004</v>
      </c>
      <c r="M97" s="2" t="str">
        <f ca="1">IFERROR(__xludf.DUMMYFUNCTION("""COMPUTED_VALUE""")," USA")</f>
        <v xml:space="preserve"> USA</v>
      </c>
      <c r="R97" s="88"/>
    </row>
    <row r="98" spans="1:18">
      <c r="A98" s="65">
        <v>97</v>
      </c>
      <c r="B98" s="80" t="s">
        <v>913</v>
      </c>
      <c r="C98" s="65" t="s">
        <v>765</v>
      </c>
      <c r="D98" s="90" t="s">
        <v>914</v>
      </c>
      <c r="E98" s="48" t="str">
        <f t="shared" si="0"/>
        <v>Plain City</v>
      </c>
      <c r="F98" s="83" t="str">
        <f t="shared" si="1"/>
        <v>Fremont (Plain City),UT</v>
      </c>
      <c r="G98" s="65" t="s">
        <v>915</v>
      </c>
      <c r="H98" s="65">
        <v>41.292405600000002</v>
      </c>
      <c r="I98" s="65">
        <v>-112.0905874</v>
      </c>
      <c r="J98" s="60" t="str">
        <f ca="1">IFERROR(__xludf.DUMMYFUNCTION("SPLIT(G98,"","")"),"1900 N 4700 W")</f>
        <v>1900 N 4700 W</v>
      </c>
      <c r="K98" s="91" t="str">
        <f ca="1">IFERROR(__xludf.DUMMYFUNCTION("""COMPUTED_VALUE""")," Plain City")</f>
        <v xml:space="preserve"> Plain City</v>
      </c>
      <c r="L98" s="2" t="str">
        <f ca="1">IFERROR(__xludf.DUMMYFUNCTION("""COMPUTED_VALUE""")," UT 84404")</f>
        <v xml:space="preserve"> UT 84404</v>
      </c>
      <c r="M98" s="2" t="str">
        <f ca="1">IFERROR(__xludf.DUMMYFUNCTION("""COMPUTED_VALUE""")," USA")</f>
        <v xml:space="preserve"> USA</v>
      </c>
      <c r="R98" s="91"/>
    </row>
    <row r="99" spans="1:18">
      <c r="A99" s="60">
        <v>98</v>
      </c>
      <c r="B99" s="79" t="s">
        <v>917</v>
      </c>
      <c r="C99" s="60" t="s">
        <v>136</v>
      </c>
      <c r="D99" s="92" t="s">
        <v>918</v>
      </c>
      <c r="E99" s="48" t="str">
        <f t="shared" si="0"/>
        <v>Fort Lauderdale</v>
      </c>
      <c r="F99" s="83" t="str">
        <f t="shared" si="1"/>
        <v>Dillard (Fort Lauderdale),FL</v>
      </c>
      <c r="G99" s="60" t="s">
        <v>919</v>
      </c>
      <c r="H99" s="60">
        <v>26.1363962</v>
      </c>
      <c r="I99" s="60">
        <v>-80.112411299999991</v>
      </c>
      <c r="J99" s="60" t="str">
        <f ca="1">IFERROR(__xludf.DUMMYFUNCTION("SPLIT(G99,"","")"),"2400 E Sunrise Blvd")</f>
        <v>2400 E Sunrise Blvd</v>
      </c>
      <c r="K99" s="88" t="str">
        <f ca="1">IFERROR(__xludf.DUMMYFUNCTION("""COMPUTED_VALUE""")," Fort Lauderdale")</f>
        <v xml:space="preserve"> Fort Lauderdale</v>
      </c>
      <c r="L99" s="2" t="str">
        <f ca="1">IFERROR(__xludf.DUMMYFUNCTION("""COMPUTED_VALUE""")," FL 33304")</f>
        <v xml:space="preserve"> FL 33304</v>
      </c>
      <c r="M99" s="2" t="str">
        <f ca="1">IFERROR(__xludf.DUMMYFUNCTION("""COMPUTED_VALUE""")," USA")</f>
        <v xml:space="preserve"> USA</v>
      </c>
      <c r="R99" s="88"/>
    </row>
    <row r="100" spans="1:18">
      <c r="A100" s="65">
        <v>99</v>
      </c>
      <c r="B100" s="80" t="s">
        <v>922</v>
      </c>
      <c r="C100" s="65" t="s">
        <v>588</v>
      </c>
      <c r="D100" s="90" t="s">
        <v>633</v>
      </c>
      <c r="E100" s="48" t="str">
        <f t="shared" si="0"/>
        <v>Sacramento</v>
      </c>
      <c r="F100" s="83" t="str">
        <f t="shared" si="1"/>
        <v>Capital Christian (Sacramento),CA</v>
      </c>
      <c r="G100" s="65" t="s">
        <v>923</v>
      </c>
      <c r="H100" s="65">
        <v>38.560486900000001</v>
      </c>
      <c r="I100" s="65">
        <v>-121.3456626</v>
      </c>
      <c r="J100" s="60" t="str">
        <f ca="1">IFERROR(__xludf.DUMMYFUNCTION("SPLIT(G100,"","")"),"9470 Micron Ave")</f>
        <v>9470 Micron Ave</v>
      </c>
      <c r="K100" s="91" t="str">
        <f ca="1">IFERROR(__xludf.DUMMYFUNCTION("""COMPUTED_VALUE""")," Sacramento")</f>
        <v xml:space="preserve"> Sacramento</v>
      </c>
      <c r="L100" s="2" t="str">
        <f ca="1">IFERROR(__xludf.DUMMYFUNCTION("""COMPUTED_VALUE""")," CA 95827")</f>
        <v xml:space="preserve"> CA 95827</v>
      </c>
      <c r="M100" s="2" t="str">
        <f ca="1">IFERROR(__xludf.DUMMYFUNCTION("""COMPUTED_VALUE""")," USA")</f>
        <v xml:space="preserve"> USA</v>
      </c>
      <c r="R100" s="91"/>
    </row>
    <row r="101" spans="1:18">
      <c r="A101" s="60">
        <v>100</v>
      </c>
      <c r="B101" s="79" t="s">
        <v>924</v>
      </c>
      <c r="C101" s="60" t="s">
        <v>712</v>
      </c>
      <c r="D101" s="60" t="s">
        <v>724</v>
      </c>
      <c r="E101" s="48" t="str">
        <f t="shared" si="0"/>
        <v>Washington</v>
      </c>
      <c r="F101" s="83" t="str">
        <f t="shared" si="1"/>
        <v>St. John's (Washington),DC</v>
      </c>
      <c r="G101" s="60" t="s">
        <v>925</v>
      </c>
      <c r="H101" s="60">
        <v>38.962969999999999</v>
      </c>
      <c r="I101" s="60">
        <v>-77.054963299999997</v>
      </c>
      <c r="J101" s="60" t="str">
        <f ca="1">IFERROR(__xludf.DUMMYFUNCTION("SPLIT(G101,"","")"),"2607 Military Rd NW")</f>
        <v>2607 Military Rd NW</v>
      </c>
      <c r="K101" s="61" t="str">
        <f ca="1">IFERROR(__xludf.DUMMYFUNCTION("""COMPUTED_VALUE""")," Washington")</f>
        <v xml:space="preserve"> Washington</v>
      </c>
      <c r="L101" s="2" t="str">
        <f ca="1">IFERROR(__xludf.DUMMYFUNCTION("""COMPUTED_VALUE""")," DC 20015")</f>
        <v xml:space="preserve"> DC 20015</v>
      </c>
      <c r="M101" s="2" t="str">
        <f ca="1">IFERROR(__xludf.DUMMYFUNCTION("""COMPUTED_VALUE""")," USA")</f>
        <v xml:space="preserve"> USA</v>
      </c>
      <c r="R101" s="61"/>
    </row>
    <row r="102" spans="1:18">
      <c r="A102" s="60">
        <v>101</v>
      </c>
      <c r="B102" s="79" t="s">
        <v>927</v>
      </c>
      <c r="C102" s="60" t="s">
        <v>618</v>
      </c>
      <c r="D102" s="60" t="s">
        <v>680</v>
      </c>
      <c r="E102" s="48" t="str">
        <f t="shared" si="0"/>
        <v>Indianapolis</v>
      </c>
      <c r="F102" s="83" t="str">
        <f t="shared" si="1"/>
        <v>Lawrence Central (Indianapolis),IN</v>
      </c>
      <c r="G102" s="60" t="s">
        <v>928</v>
      </c>
      <c r="H102" s="60">
        <v>39.877516200000002</v>
      </c>
      <c r="I102" s="60">
        <v>-85.972493499999999</v>
      </c>
      <c r="J102" s="60" t="str">
        <f ca="1">IFERROR(__xludf.DUMMYFUNCTION("SPLIT(G102,"","")"),"6501 Sunnyside Rd")</f>
        <v>6501 Sunnyside Rd</v>
      </c>
      <c r="K102" s="61" t="str">
        <f ca="1">IFERROR(__xludf.DUMMYFUNCTION("""COMPUTED_VALUE""")," Indianapolis")</f>
        <v xml:space="preserve"> Indianapolis</v>
      </c>
      <c r="L102" s="2" t="str">
        <f ca="1">IFERROR(__xludf.DUMMYFUNCTION("""COMPUTED_VALUE""")," IN 46236")</f>
        <v xml:space="preserve"> IN 46236</v>
      </c>
      <c r="M102" s="2" t="str">
        <f ca="1">IFERROR(__xludf.DUMMYFUNCTION("""COMPUTED_VALUE""")," USA")</f>
        <v xml:space="preserve"> USA</v>
      </c>
      <c r="R102" s="61"/>
    </row>
    <row r="103" spans="1:18">
      <c r="A103" s="65">
        <v>102</v>
      </c>
      <c r="B103" s="80" t="s">
        <v>930</v>
      </c>
      <c r="C103" s="65" t="s">
        <v>136</v>
      </c>
      <c r="D103" s="65" t="s">
        <v>931</v>
      </c>
      <c r="E103" s="48" t="str">
        <f t="shared" si="0"/>
        <v>Pembroke Pines</v>
      </c>
      <c r="F103" s="83" t="str">
        <f t="shared" si="1"/>
        <v>Pembroke Pines Charter (Pembroke Pines),FL</v>
      </c>
      <c r="G103" s="65" t="s">
        <v>932</v>
      </c>
      <c r="H103" s="65">
        <v>25.994379800000001</v>
      </c>
      <c r="I103" s="65">
        <v>-80.289576699999998</v>
      </c>
      <c r="J103" s="60" t="str">
        <f ca="1">IFERROR(__xludf.DUMMYFUNCTION("SPLIT(G103,"","")"),"10801 Pembroke Rd")</f>
        <v>10801 Pembroke Rd</v>
      </c>
      <c r="K103" s="66" t="str">
        <f ca="1">IFERROR(__xludf.DUMMYFUNCTION("""COMPUTED_VALUE""")," Pembroke Pines")</f>
        <v xml:space="preserve"> Pembroke Pines</v>
      </c>
      <c r="L103" s="2" t="str">
        <f ca="1">IFERROR(__xludf.DUMMYFUNCTION("""COMPUTED_VALUE""")," FL 33025")</f>
        <v xml:space="preserve"> FL 33025</v>
      </c>
      <c r="M103" s="2" t="str">
        <f ca="1">IFERROR(__xludf.DUMMYFUNCTION("""COMPUTED_VALUE""")," USA")</f>
        <v xml:space="preserve"> USA</v>
      </c>
      <c r="R103" s="66"/>
    </row>
    <row r="104" spans="1:18">
      <c r="A104" s="60">
        <v>103</v>
      </c>
      <c r="B104" s="79" t="s">
        <v>933</v>
      </c>
      <c r="C104" s="60" t="s">
        <v>588</v>
      </c>
      <c r="D104" s="92" t="s">
        <v>934</v>
      </c>
      <c r="E104" s="48" t="str">
        <f t="shared" si="0"/>
        <v>West Hills</v>
      </c>
      <c r="F104" s="83" t="str">
        <f t="shared" si="1"/>
        <v>Chaminade (West Hills),CA</v>
      </c>
      <c r="G104" s="60" t="s">
        <v>935</v>
      </c>
      <c r="H104" s="60">
        <v>34.207818099999997</v>
      </c>
      <c r="I104" s="60">
        <v>-118.6357714</v>
      </c>
      <c r="J104" s="60" t="str">
        <f ca="1">IFERROR(__xludf.DUMMYFUNCTION("SPLIT(G104,"","")"),"7500 Chaminade Ave")</f>
        <v>7500 Chaminade Ave</v>
      </c>
      <c r="K104" s="88" t="str">
        <f ca="1">IFERROR(__xludf.DUMMYFUNCTION("""COMPUTED_VALUE""")," West Hills")</f>
        <v xml:space="preserve"> West Hills</v>
      </c>
      <c r="L104" s="2" t="str">
        <f ca="1">IFERROR(__xludf.DUMMYFUNCTION("""COMPUTED_VALUE""")," CA 91304")</f>
        <v xml:space="preserve"> CA 91304</v>
      </c>
      <c r="M104" s="2" t="str">
        <f ca="1">IFERROR(__xludf.DUMMYFUNCTION("""COMPUTED_VALUE""")," USA")</f>
        <v xml:space="preserve"> USA</v>
      </c>
      <c r="R104" s="88"/>
    </row>
    <row r="105" spans="1:18">
      <c r="A105" s="65">
        <v>104</v>
      </c>
      <c r="B105" s="80" t="s">
        <v>936</v>
      </c>
      <c r="C105" s="65" t="s">
        <v>604</v>
      </c>
      <c r="D105" s="90" t="s">
        <v>652</v>
      </c>
      <c r="E105" s="48" t="str">
        <f t="shared" si="0"/>
        <v>Chicago</v>
      </c>
      <c r="F105" s="83" t="str">
        <f t="shared" si="1"/>
        <v>Bogan (Chicago),IL</v>
      </c>
      <c r="G105" s="65" t="s">
        <v>938</v>
      </c>
      <c r="H105" s="65">
        <v>41.749169500000001</v>
      </c>
      <c r="I105" s="65">
        <v>-87.721598099999994</v>
      </c>
      <c r="J105" s="60" t="str">
        <f ca="1">IFERROR(__xludf.DUMMYFUNCTION("SPLIT(G105,"","")"),"3939 W 79th St")</f>
        <v>3939 W 79th St</v>
      </c>
      <c r="K105" s="91" t="str">
        <f ca="1">IFERROR(__xludf.DUMMYFUNCTION("""COMPUTED_VALUE""")," Chicago")</f>
        <v xml:space="preserve"> Chicago</v>
      </c>
      <c r="L105" s="2" t="str">
        <f ca="1">IFERROR(__xludf.DUMMYFUNCTION("""COMPUTED_VALUE""")," IL 60652")</f>
        <v xml:space="preserve"> IL 60652</v>
      </c>
      <c r="M105" s="2" t="str">
        <f ca="1">IFERROR(__xludf.DUMMYFUNCTION("""COMPUTED_VALUE""")," USA")</f>
        <v xml:space="preserve"> USA</v>
      </c>
      <c r="R105" s="91"/>
    </row>
    <row r="106" spans="1:18">
      <c r="A106" s="60">
        <v>105</v>
      </c>
      <c r="B106" s="79" t="s">
        <v>939</v>
      </c>
      <c r="C106" s="60" t="s">
        <v>940</v>
      </c>
      <c r="D106" s="92" t="s">
        <v>941</v>
      </c>
      <c r="E106" s="48" t="str">
        <f t="shared" si="0"/>
        <v>Omaha</v>
      </c>
      <c r="F106" s="83" t="str">
        <f t="shared" si="1"/>
        <v>Skutt Catholic (Omaha),NE</v>
      </c>
      <c r="G106" s="60" t="s">
        <v>942</v>
      </c>
      <c r="H106" s="60">
        <v>41.229009300000001</v>
      </c>
      <c r="I106" s="60">
        <v>-96.155978499999989</v>
      </c>
      <c r="J106" s="60" t="str">
        <f ca="1">IFERROR(__xludf.DUMMYFUNCTION("SPLIT(G106,"","")"),"3131 S 156th St")</f>
        <v>3131 S 156th St</v>
      </c>
      <c r="K106" s="88" t="str">
        <f ca="1">IFERROR(__xludf.DUMMYFUNCTION("""COMPUTED_VALUE""")," Omaha")</f>
        <v xml:space="preserve"> Omaha</v>
      </c>
      <c r="L106" s="2" t="str">
        <f ca="1">IFERROR(__xludf.DUMMYFUNCTION("""COMPUTED_VALUE""")," NE 68130")</f>
        <v xml:space="preserve"> NE 68130</v>
      </c>
      <c r="M106" s="2" t="str">
        <f ca="1">IFERROR(__xludf.DUMMYFUNCTION("""COMPUTED_VALUE""")," USA")</f>
        <v xml:space="preserve"> USA</v>
      </c>
      <c r="R106" s="88"/>
    </row>
    <row r="107" spans="1:18">
      <c r="A107" s="65">
        <v>106</v>
      </c>
      <c r="B107" s="80" t="s">
        <v>945</v>
      </c>
      <c r="C107" s="65" t="s">
        <v>588</v>
      </c>
      <c r="D107" s="90" t="s">
        <v>946</v>
      </c>
      <c r="E107" s="48" t="str">
        <f t="shared" si="0"/>
        <v>San Juan Capistrano</v>
      </c>
      <c r="F107" s="83" t="str">
        <f t="shared" si="1"/>
        <v>JSerra Catholic (San Juan Capistrano),CA</v>
      </c>
      <c r="G107" s="65" t="s">
        <v>947</v>
      </c>
      <c r="H107" s="65">
        <v>33.520828600000002</v>
      </c>
      <c r="I107" s="65">
        <v>-117.6679153</v>
      </c>
      <c r="J107" s="60" t="str">
        <f ca="1">IFERROR(__xludf.DUMMYFUNCTION("SPLIT(G107,"","")"),"26351 Junipero Serra Rd")</f>
        <v>26351 Junipero Serra Rd</v>
      </c>
      <c r="K107" s="91" t="str">
        <f ca="1">IFERROR(__xludf.DUMMYFUNCTION("""COMPUTED_VALUE""")," San Juan Capistrano")</f>
        <v xml:space="preserve"> San Juan Capistrano</v>
      </c>
      <c r="L107" s="2" t="str">
        <f ca="1">IFERROR(__xludf.DUMMYFUNCTION("""COMPUTED_VALUE""")," CA 92675")</f>
        <v xml:space="preserve"> CA 92675</v>
      </c>
      <c r="M107" s="2" t="str">
        <f ca="1">IFERROR(__xludf.DUMMYFUNCTION("""COMPUTED_VALUE""")," USA")</f>
        <v xml:space="preserve"> USA</v>
      </c>
      <c r="R107" s="91"/>
    </row>
    <row r="108" spans="1:18">
      <c r="A108" s="60">
        <v>107</v>
      </c>
      <c r="B108" s="79" t="s">
        <v>948</v>
      </c>
      <c r="C108" s="60" t="s">
        <v>602</v>
      </c>
      <c r="D108" s="92" t="s">
        <v>949</v>
      </c>
      <c r="E108" s="48" t="str">
        <f t="shared" si="0"/>
        <v>Henrico</v>
      </c>
      <c r="F108" s="83" t="str">
        <f t="shared" si="1"/>
        <v>Marshall (Richmond),VA</v>
      </c>
      <c r="G108" s="60" t="s">
        <v>950</v>
      </c>
      <c r="H108" s="60">
        <v>37.619089199999998</v>
      </c>
      <c r="I108" s="60">
        <v>-77.521565499999994</v>
      </c>
      <c r="J108" s="60" t="str">
        <f ca="1">IFERROR(__xludf.DUMMYFUNCTION("SPLIT(G108,"","")"),"7506 W Broad St")</f>
        <v>7506 W Broad St</v>
      </c>
      <c r="K108" s="88" t="str">
        <f ca="1">IFERROR(__xludf.DUMMYFUNCTION("""COMPUTED_VALUE""")," Henrico")</f>
        <v xml:space="preserve"> Henrico</v>
      </c>
      <c r="L108" s="2" t="str">
        <f ca="1">IFERROR(__xludf.DUMMYFUNCTION("""COMPUTED_VALUE""")," VA 23294")</f>
        <v xml:space="preserve"> VA 23294</v>
      </c>
      <c r="M108" s="2" t="str">
        <f ca="1">IFERROR(__xludf.DUMMYFUNCTION("""COMPUTED_VALUE""")," USA")</f>
        <v xml:space="preserve"> USA</v>
      </c>
      <c r="R108" s="88"/>
    </row>
    <row r="109" spans="1:18">
      <c r="A109" s="65">
        <v>108</v>
      </c>
      <c r="B109" s="80" t="s">
        <v>951</v>
      </c>
      <c r="C109" s="65" t="s">
        <v>897</v>
      </c>
      <c r="D109" s="65" t="s">
        <v>899</v>
      </c>
      <c r="E109" s="48" t="str">
        <f t="shared" si="0"/>
        <v>St. Louis</v>
      </c>
      <c r="F109" s="83" t="str">
        <f t="shared" si="1"/>
        <v>Cardinal Ritter College Prep (St. Louis),MO</v>
      </c>
      <c r="G109" s="65" t="s">
        <v>952</v>
      </c>
      <c r="H109" s="65">
        <v>38.641910899999999</v>
      </c>
      <c r="I109" s="65">
        <v>-90.234935899999996</v>
      </c>
      <c r="J109" s="60" t="str">
        <f ca="1">IFERROR(__xludf.DUMMYFUNCTION("SPLIT(G109,"","")"),"701 N Spring Ave")</f>
        <v>701 N Spring Ave</v>
      </c>
      <c r="K109" s="66" t="str">
        <f ca="1">IFERROR(__xludf.DUMMYFUNCTION("""COMPUTED_VALUE""")," St. Louis")</f>
        <v xml:space="preserve"> St. Louis</v>
      </c>
      <c r="L109" s="2" t="str">
        <f ca="1">IFERROR(__xludf.DUMMYFUNCTION("""COMPUTED_VALUE""")," MO 63108")</f>
        <v xml:space="preserve"> MO 63108</v>
      </c>
      <c r="M109" s="2" t="str">
        <f ca="1">IFERROR(__xludf.DUMMYFUNCTION("""COMPUTED_VALUE""")," USA")</f>
        <v xml:space="preserve"> USA</v>
      </c>
      <c r="R109" s="66"/>
    </row>
    <row r="110" spans="1:18">
      <c r="A110" s="60">
        <v>109</v>
      </c>
      <c r="B110" s="79" t="s">
        <v>953</v>
      </c>
      <c r="C110" s="60" t="s">
        <v>588</v>
      </c>
      <c r="D110" s="92" t="s">
        <v>954</v>
      </c>
      <c r="E110" s="48" t="str">
        <f t="shared" si="0"/>
        <v>La Verne</v>
      </c>
      <c r="F110" s="83" t="str">
        <f t="shared" si="1"/>
        <v>Damien (La Verne),CA</v>
      </c>
      <c r="G110" s="60" t="s">
        <v>956</v>
      </c>
      <c r="H110" s="60">
        <v>34.104287100000001</v>
      </c>
      <c r="I110" s="60">
        <v>-117.7874815</v>
      </c>
      <c r="J110" s="60" t="str">
        <f ca="1">IFERROR(__xludf.DUMMYFUNCTION("SPLIT(G110,"","")"),"2280 Damien Ave")</f>
        <v>2280 Damien Ave</v>
      </c>
      <c r="K110" s="88" t="str">
        <f ca="1">IFERROR(__xludf.DUMMYFUNCTION("""COMPUTED_VALUE""")," La Verne")</f>
        <v xml:space="preserve"> La Verne</v>
      </c>
      <c r="L110" s="2" t="str">
        <f ca="1">IFERROR(__xludf.DUMMYFUNCTION("""COMPUTED_VALUE""")," CA 91750")</f>
        <v xml:space="preserve"> CA 91750</v>
      </c>
      <c r="M110" s="2" t="str">
        <f ca="1">IFERROR(__xludf.DUMMYFUNCTION("""COMPUTED_VALUE""")," USA")</f>
        <v xml:space="preserve"> USA</v>
      </c>
      <c r="R110" s="88"/>
    </row>
    <row r="111" spans="1:18">
      <c r="A111" s="65">
        <v>110</v>
      </c>
      <c r="B111" s="80" t="s">
        <v>364</v>
      </c>
      <c r="C111" s="65" t="s">
        <v>595</v>
      </c>
      <c r="D111" s="90" t="s">
        <v>958</v>
      </c>
      <c r="E111" s="48" t="str">
        <f t="shared" si="0"/>
        <v>Coppell</v>
      </c>
      <c r="F111" s="83" t="str">
        <f t="shared" si="1"/>
        <v>Coppell,TX</v>
      </c>
      <c r="G111" s="65" t="s">
        <v>959</v>
      </c>
      <c r="H111" s="65">
        <v>32.954568700000003</v>
      </c>
      <c r="I111" s="65">
        <v>-97.015007799999992</v>
      </c>
      <c r="J111" s="60" t="str">
        <f ca="1">IFERROR(__xludf.DUMMYFUNCTION("SPLIT(G111,"","")"),"655 W Bethel Rd")</f>
        <v>655 W Bethel Rd</v>
      </c>
      <c r="K111" s="91" t="str">
        <f ca="1">IFERROR(__xludf.DUMMYFUNCTION("""COMPUTED_VALUE""")," Coppell")</f>
        <v xml:space="preserve"> Coppell</v>
      </c>
      <c r="L111" s="2" t="str">
        <f ca="1">IFERROR(__xludf.DUMMYFUNCTION("""COMPUTED_VALUE""")," TX 75019")</f>
        <v xml:space="preserve"> TX 75019</v>
      </c>
      <c r="M111" s="2" t="str">
        <f ca="1">IFERROR(__xludf.DUMMYFUNCTION("""COMPUTED_VALUE""")," USA")</f>
        <v xml:space="preserve"> USA</v>
      </c>
      <c r="R111" s="91"/>
    </row>
    <row r="112" spans="1:18">
      <c r="A112" s="60">
        <v>111</v>
      </c>
      <c r="B112" s="79" t="s">
        <v>960</v>
      </c>
      <c r="C112" s="60" t="s">
        <v>595</v>
      </c>
      <c r="D112" s="92" t="s">
        <v>961</v>
      </c>
      <c r="E112" s="48" t="str">
        <f t="shared" si="0"/>
        <v>Dallas</v>
      </c>
      <c r="F112" s="83" t="str">
        <f t="shared" si="1"/>
        <v>St. Mark's (Dallas),TX</v>
      </c>
      <c r="G112" s="60" t="s">
        <v>962</v>
      </c>
      <c r="H112" s="60">
        <v>32.890445900000003</v>
      </c>
      <c r="I112" s="60">
        <v>-96.80127139999999</v>
      </c>
      <c r="J112" s="60" t="str">
        <f ca="1">IFERROR(__xludf.DUMMYFUNCTION("SPLIT(G112,"","")"),"10600 Preston Rd")</f>
        <v>10600 Preston Rd</v>
      </c>
      <c r="K112" s="88" t="str">
        <f ca="1">IFERROR(__xludf.DUMMYFUNCTION("""COMPUTED_VALUE""")," Dallas")</f>
        <v xml:space="preserve"> Dallas</v>
      </c>
      <c r="L112" s="2" t="str">
        <f ca="1">IFERROR(__xludf.DUMMYFUNCTION("""COMPUTED_VALUE""")," TX 75230")</f>
        <v xml:space="preserve"> TX 75230</v>
      </c>
      <c r="M112" s="2" t="str">
        <f ca="1">IFERROR(__xludf.DUMMYFUNCTION("""COMPUTED_VALUE""")," USA")</f>
        <v xml:space="preserve"> USA</v>
      </c>
      <c r="R112" s="88"/>
    </row>
    <row r="113" spans="1:18">
      <c r="A113" s="65">
        <v>112</v>
      </c>
      <c r="B113" s="80" t="s">
        <v>963</v>
      </c>
      <c r="C113" s="65" t="s">
        <v>136</v>
      </c>
      <c r="D113" s="90" t="s">
        <v>964</v>
      </c>
      <c r="E113" s="48" t="str">
        <f t="shared" si="0"/>
        <v>West Palm Beach</v>
      </c>
      <c r="F113" s="83" t="str">
        <f t="shared" si="1"/>
        <v>Forest Hill (West Palm Beach),FL</v>
      </c>
      <c r="G113" s="65" t="s">
        <v>965</v>
      </c>
      <c r="H113" s="65">
        <v>26.652037799999999</v>
      </c>
      <c r="I113" s="65">
        <v>-80.129160200000001</v>
      </c>
      <c r="J113" s="60" t="str">
        <f ca="1">IFERROR(__xludf.DUMMYFUNCTION("SPLIT(G113,"","")"),"5552 FL-882")</f>
        <v>5552 FL-882</v>
      </c>
      <c r="K113" s="91" t="str">
        <f ca="1">IFERROR(__xludf.DUMMYFUNCTION("""COMPUTED_VALUE""")," West Palm Beach")</f>
        <v xml:space="preserve"> West Palm Beach</v>
      </c>
      <c r="L113" s="2" t="str">
        <f ca="1">IFERROR(__xludf.DUMMYFUNCTION("""COMPUTED_VALUE""")," FL 33415")</f>
        <v xml:space="preserve"> FL 33415</v>
      </c>
      <c r="M113" s="2" t="str">
        <f ca="1">IFERROR(__xludf.DUMMYFUNCTION("""COMPUTED_VALUE""")," USA")</f>
        <v xml:space="preserve"> USA</v>
      </c>
      <c r="R113" s="91"/>
    </row>
    <row r="114" spans="1:18">
      <c r="A114" s="60">
        <v>113</v>
      </c>
      <c r="B114" s="79" t="s">
        <v>968</v>
      </c>
      <c r="C114" s="60" t="s">
        <v>69</v>
      </c>
      <c r="D114" s="92" t="s">
        <v>969</v>
      </c>
      <c r="E114" s="48" t="str">
        <f t="shared" si="0"/>
        <v>Huntsville</v>
      </c>
      <c r="F114" s="83" t="str">
        <f t="shared" si="1"/>
        <v>Jemison (Huntsville),AL</v>
      </c>
      <c r="G114" s="60" t="s">
        <v>970</v>
      </c>
      <c r="H114" s="60">
        <v>34.786504000000001</v>
      </c>
      <c r="I114" s="60">
        <v>-86.615988000000002</v>
      </c>
      <c r="J114" s="60" t="str">
        <f ca="1">IFERROR(__xludf.DUMMYFUNCTION("SPLIT(G114,"","")"),"4560 Pulaski Pike NW")</f>
        <v>4560 Pulaski Pike NW</v>
      </c>
      <c r="K114" s="88" t="str">
        <f ca="1">IFERROR(__xludf.DUMMYFUNCTION("""COMPUTED_VALUE""")," Huntsville")</f>
        <v xml:space="preserve"> Huntsville</v>
      </c>
      <c r="L114" s="2" t="str">
        <f ca="1">IFERROR(__xludf.DUMMYFUNCTION("""COMPUTED_VALUE""")," AL 35810")</f>
        <v xml:space="preserve"> AL 35810</v>
      </c>
      <c r="M114" s="2" t="str">
        <f ca="1">IFERROR(__xludf.DUMMYFUNCTION("""COMPUTED_VALUE""")," USA")</f>
        <v xml:space="preserve"> USA</v>
      </c>
      <c r="R114" s="88"/>
    </row>
    <row r="115" spans="1:18">
      <c r="A115" s="65">
        <v>114</v>
      </c>
      <c r="B115" s="80" t="s">
        <v>503</v>
      </c>
      <c r="C115" s="65" t="s">
        <v>598</v>
      </c>
      <c r="D115" s="90" t="s">
        <v>972</v>
      </c>
      <c r="E115" s="48" t="str">
        <f t="shared" si="0"/>
        <v>Alpharetta</v>
      </c>
      <c r="F115" s="83" t="str">
        <f t="shared" si="1"/>
        <v>Milton,GA</v>
      </c>
      <c r="G115" s="65" t="s">
        <v>973</v>
      </c>
      <c r="H115" s="65">
        <v>34.1321631</v>
      </c>
      <c r="I115" s="65">
        <v>-84.300665999999993</v>
      </c>
      <c r="J115" s="60" t="str">
        <f ca="1">IFERROR(__xludf.DUMMYFUNCTION("SPLIT(G115,"","")"),"14184 Hopewell Rd")</f>
        <v>14184 Hopewell Rd</v>
      </c>
      <c r="K115" s="91" t="str">
        <f ca="1">IFERROR(__xludf.DUMMYFUNCTION("""COMPUTED_VALUE""")," Alpharetta")</f>
        <v xml:space="preserve"> Alpharetta</v>
      </c>
      <c r="L115" s="2" t="str">
        <f ca="1">IFERROR(__xludf.DUMMYFUNCTION("""COMPUTED_VALUE""")," GA 30004")</f>
        <v xml:space="preserve"> GA 30004</v>
      </c>
      <c r="M115" s="2" t="str">
        <f ca="1">IFERROR(__xludf.DUMMYFUNCTION("""COMPUTED_VALUE""")," USA")</f>
        <v xml:space="preserve"> USA</v>
      </c>
      <c r="R115" s="91"/>
    </row>
    <row r="116" spans="1:18">
      <c r="A116" s="60">
        <v>115</v>
      </c>
      <c r="B116" s="79" t="s">
        <v>974</v>
      </c>
      <c r="C116" s="60" t="s">
        <v>975</v>
      </c>
      <c r="D116" s="93" t="s">
        <v>976</v>
      </c>
      <c r="E116" s="48" t="str">
        <f t="shared" si="0"/>
        <v>Las Cruces</v>
      </c>
      <c r="F116" s="83" t="str">
        <f t="shared" si="1"/>
        <v>Las Cruces,NM</v>
      </c>
      <c r="G116" s="60" t="s">
        <v>977</v>
      </c>
      <c r="H116" s="60">
        <v>32.319939599999998</v>
      </c>
      <c r="I116" s="60">
        <v>-106.7636538</v>
      </c>
      <c r="J116" s="60" t="str">
        <f ca="1">IFERROR(__xludf.DUMMYFUNCTION("SPLIT(G116,"","")"),"Las Cruces")</f>
        <v>Las Cruces</v>
      </c>
      <c r="K116" s="88" t="str">
        <f ca="1">IFERROR(__xludf.DUMMYFUNCTION("""COMPUTED_VALUE""")," petén")</f>
        <v xml:space="preserve"> petén</v>
      </c>
      <c r="L116" s="2" t="str">
        <f ca="1">IFERROR(__xludf.DUMMYFUNCTION("""COMPUTED_VALUE""")," Las Cruces")</f>
        <v xml:space="preserve"> Las Cruces</v>
      </c>
      <c r="M116" s="2" t="str">
        <f ca="1">IFERROR(__xludf.DUMMYFUNCTION("""COMPUTED_VALUE""")," NM 88001")</f>
        <v xml:space="preserve"> NM 88001</v>
      </c>
      <c r="N116" s="2" t="str">
        <f ca="1">IFERROR(__xludf.DUMMYFUNCTION("""COMPUTED_VALUE""")," USA")</f>
        <v xml:space="preserve"> USA</v>
      </c>
    </row>
    <row r="117" spans="1:18">
      <c r="A117" s="65">
        <v>116</v>
      </c>
      <c r="B117" s="80" t="s">
        <v>978</v>
      </c>
      <c r="C117" s="65" t="s">
        <v>588</v>
      </c>
      <c r="D117" s="90" t="s">
        <v>979</v>
      </c>
      <c r="E117" s="48" t="str">
        <f t="shared" si="0"/>
        <v>Vallejo</v>
      </c>
      <c r="F117" s="83" t="str">
        <f t="shared" si="1"/>
        <v>St. Patrick-St. Vincent (Vallejo),CA</v>
      </c>
      <c r="G117" s="65" t="s">
        <v>980</v>
      </c>
      <c r="H117" s="65">
        <v>38.086612700000003</v>
      </c>
      <c r="I117" s="65">
        <v>-122.2018305</v>
      </c>
      <c r="J117" s="60" t="str">
        <f ca="1">IFERROR(__xludf.DUMMYFUNCTION("SPLIT(G117,"","")"),"1500 Benicia Rd")</f>
        <v>1500 Benicia Rd</v>
      </c>
      <c r="K117" s="91" t="str">
        <f ca="1">IFERROR(__xludf.DUMMYFUNCTION("""COMPUTED_VALUE""")," Vallejo")</f>
        <v xml:space="preserve"> Vallejo</v>
      </c>
      <c r="L117" s="2" t="str">
        <f ca="1">IFERROR(__xludf.DUMMYFUNCTION("""COMPUTED_VALUE""")," CA 94591")</f>
        <v xml:space="preserve"> CA 94591</v>
      </c>
      <c r="M117" s="2" t="str">
        <f ca="1">IFERROR(__xludf.DUMMYFUNCTION("""COMPUTED_VALUE""")," USA")</f>
        <v xml:space="preserve"> USA</v>
      </c>
      <c r="R117" s="91"/>
    </row>
    <row r="118" spans="1:18">
      <c r="A118" s="60">
        <v>117</v>
      </c>
      <c r="B118" s="79" t="s">
        <v>982</v>
      </c>
      <c r="C118" s="60" t="s">
        <v>588</v>
      </c>
      <c r="D118" s="92" t="s">
        <v>983</v>
      </c>
      <c r="E118" s="48" t="str">
        <f t="shared" si="0"/>
        <v>North Hills</v>
      </c>
      <c r="F118" s="83" t="str">
        <f t="shared" si="1"/>
        <v>Heritage Christian (Northridge),CA</v>
      </c>
      <c r="G118" s="60" t="s">
        <v>984</v>
      </c>
      <c r="H118" s="60">
        <v>34.249286699999999</v>
      </c>
      <c r="I118" s="60">
        <v>-118.48632809999999</v>
      </c>
      <c r="J118" s="60" t="str">
        <f ca="1">IFERROR(__xludf.DUMMYFUNCTION("SPLIT(G118,"","")"),"9825 Woodley Ave")</f>
        <v>9825 Woodley Ave</v>
      </c>
      <c r="K118" s="88" t="str">
        <f ca="1">IFERROR(__xludf.DUMMYFUNCTION("""COMPUTED_VALUE""")," North Hills")</f>
        <v xml:space="preserve"> North Hills</v>
      </c>
      <c r="L118" s="2" t="str">
        <f ca="1">IFERROR(__xludf.DUMMYFUNCTION("""COMPUTED_VALUE""")," CA 91343")</f>
        <v xml:space="preserve"> CA 91343</v>
      </c>
      <c r="M118" s="2" t="str">
        <f ca="1">IFERROR(__xludf.DUMMYFUNCTION("""COMPUTED_VALUE""")," USA")</f>
        <v xml:space="preserve"> USA</v>
      </c>
      <c r="R118" s="88"/>
    </row>
    <row r="119" spans="1:18">
      <c r="A119" s="65">
        <v>118</v>
      </c>
      <c r="B119" s="80" t="s">
        <v>986</v>
      </c>
      <c r="C119" s="65" t="s">
        <v>179</v>
      </c>
      <c r="D119" s="90" t="s">
        <v>987</v>
      </c>
      <c r="E119" s="48" t="str">
        <f t="shared" si="0"/>
        <v>Davidson</v>
      </c>
      <c r="F119" s="83" t="str">
        <f t="shared" si="1"/>
        <v>Davidson Day (Davidson),NC</v>
      </c>
      <c r="G119" s="65" t="s">
        <v>989</v>
      </c>
      <c r="H119" s="65">
        <v>35.502600000000001</v>
      </c>
      <c r="I119" s="65">
        <v>-80.860686999999999</v>
      </c>
      <c r="J119" s="60" t="str">
        <f ca="1">IFERROR(__xludf.DUMMYFUNCTION("SPLIT(G119,"","")"),"750 Jetton St")</f>
        <v>750 Jetton St</v>
      </c>
      <c r="K119" s="91" t="str">
        <f ca="1">IFERROR(__xludf.DUMMYFUNCTION("""COMPUTED_VALUE""")," Davidson")</f>
        <v xml:space="preserve"> Davidson</v>
      </c>
      <c r="L119" s="2" t="str">
        <f ca="1">IFERROR(__xludf.DUMMYFUNCTION("""COMPUTED_VALUE""")," NC 28036")</f>
        <v xml:space="preserve"> NC 28036</v>
      </c>
      <c r="M119" s="2" t="str">
        <f ca="1">IFERROR(__xludf.DUMMYFUNCTION("""COMPUTED_VALUE""")," USA")</f>
        <v xml:space="preserve"> USA</v>
      </c>
      <c r="R119" s="91"/>
    </row>
    <row r="120" spans="1:18">
      <c r="A120" s="60">
        <v>119</v>
      </c>
      <c r="B120" s="79" t="s">
        <v>991</v>
      </c>
      <c r="C120" s="60" t="s">
        <v>588</v>
      </c>
      <c r="D120" s="60" t="s">
        <v>992</v>
      </c>
      <c r="E120" s="48" t="str">
        <f t="shared" si="0"/>
        <v>San Diego</v>
      </c>
      <c r="F120" s="83" t="str">
        <f t="shared" si="1"/>
        <v>Cathedral Catholic (San Diego),CA</v>
      </c>
      <c r="G120" s="60" t="s">
        <v>993</v>
      </c>
      <c r="H120" s="60">
        <v>32.959656000000003</v>
      </c>
      <c r="I120" s="60">
        <v>-117.201469</v>
      </c>
      <c r="J120" s="60" t="str">
        <f ca="1">IFERROR(__xludf.DUMMYFUNCTION("SPLIT(G120,"","")"),"5555 Del Mar Heights Rd")</f>
        <v>5555 Del Mar Heights Rd</v>
      </c>
      <c r="K120" s="61" t="str">
        <f ca="1">IFERROR(__xludf.DUMMYFUNCTION("""COMPUTED_VALUE""")," San Diego")</f>
        <v xml:space="preserve"> San Diego</v>
      </c>
      <c r="L120" s="2" t="str">
        <f ca="1">IFERROR(__xludf.DUMMYFUNCTION("""COMPUTED_VALUE""")," CA 92130")</f>
        <v xml:space="preserve"> CA 92130</v>
      </c>
      <c r="M120" s="2" t="str">
        <f ca="1">IFERROR(__xludf.DUMMYFUNCTION("""COMPUTED_VALUE""")," USA")</f>
        <v xml:space="preserve"> USA</v>
      </c>
      <c r="R120" s="61"/>
    </row>
    <row r="121" spans="1:18">
      <c r="A121" s="65">
        <v>120</v>
      </c>
      <c r="B121" s="80" t="s">
        <v>994</v>
      </c>
      <c r="C121" s="65" t="s">
        <v>897</v>
      </c>
      <c r="D121" s="90" t="s">
        <v>899</v>
      </c>
      <c r="E121" s="48" t="str">
        <f t="shared" si="0"/>
        <v>St. Louis</v>
      </c>
      <c r="F121" s="83" t="str">
        <f t="shared" si="1"/>
        <v>Christian Brothers (St. Louis),MO</v>
      </c>
      <c r="G121" s="65" t="s">
        <v>996</v>
      </c>
      <c r="H121" s="65">
        <v>38.569369999999999</v>
      </c>
      <c r="I121" s="65">
        <v>-90.475982999999999</v>
      </c>
      <c r="J121" s="60" t="str">
        <f ca="1">IFERROR(__xludf.DUMMYFUNCTION("SPLIT(G121,"","")"),"2941 Dougherty Ferry Rd")</f>
        <v>2941 Dougherty Ferry Rd</v>
      </c>
      <c r="K121" s="91" t="str">
        <f ca="1">IFERROR(__xludf.DUMMYFUNCTION("""COMPUTED_VALUE""")," St. Louis")</f>
        <v xml:space="preserve"> St. Louis</v>
      </c>
      <c r="L121" s="2" t="str">
        <f ca="1">IFERROR(__xludf.DUMMYFUNCTION("""COMPUTED_VALUE""")," MO 63122")</f>
        <v xml:space="preserve"> MO 63122</v>
      </c>
      <c r="M121" s="2" t="str">
        <f ca="1">IFERROR(__xludf.DUMMYFUNCTION("""COMPUTED_VALUE""")," USA")</f>
        <v xml:space="preserve"> USA</v>
      </c>
      <c r="R121" s="91"/>
    </row>
    <row r="122" spans="1:18">
      <c r="A122" s="97">
        <v>121</v>
      </c>
      <c r="B122" s="99" t="s">
        <v>995</v>
      </c>
      <c r="C122" s="97" t="s">
        <v>598</v>
      </c>
      <c r="D122" s="100" t="s">
        <v>1000</v>
      </c>
      <c r="E122" s="48" t="str">
        <f t="shared" si="0"/>
        <v>Powder Springs</v>
      </c>
      <c r="F122" s="83" t="str">
        <f t="shared" si="1"/>
        <v>McEachern (Powder Springs),GA</v>
      </c>
      <c r="G122" s="97" t="s">
        <v>1001</v>
      </c>
      <c r="H122" s="97">
        <v>33.896300099999998</v>
      </c>
      <c r="I122" s="97">
        <v>-84.679396299999993</v>
      </c>
      <c r="J122" s="60" t="str">
        <f ca="1">IFERROR(__xludf.DUMMYFUNCTION("SPLIT(G122,"","")"),"4413 McEachern School Rd")</f>
        <v>4413 McEachern School Rd</v>
      </c>
      <c r="K122" s="102" t="str">
        <f ca="1">IFERROR(__xludf.DUMMYFUNCTION("""COMPUTED_VALUE""")," Powder Springs")</f>
        <v xml:space="preserve"> Powder Springs</v>
      </c>
      <c r="L122" s="2" t="str">
        <f ca="1">IFERROR(__xludf.DUMMYFUNCTION("""COMPUTED_VALUE""")," GA 30127")</f>
        <v xml:space="preserve"> GA 30127</v>
      </c>
      <c r="M122" s="2" t="str">
        <f ca="1">IFERROR(__xludf.DUMMYFUNCTION("""COMPUTED_VALUE""")," USA")</f>
        <v xml:space="preserve"> USA</v>
      </c>
      <c r="R122" s="102"/>
    </row>
    <row r="123" spans="1:18">
      <c r="A123" s="65">
        <v>122</v>
      </c>
      <c r="B123" s="80" t="s">
        <v>997</v>
      </c>
      <c r="C123" s="65" t="s">
        <v>595</v>
      </c>
      <c r="D123" s="90" t="s">
        <v>1006</v>
      </c>
      <c r="E123" s="48" t="str">
        <f t="shared" si="0"/>
        <v>Pearland</v>
      </c>
      <c r="F123" s="83" t="str">
        <f t="shared" si="1"/>
        <v>Shadow Creek (Pearland),TX</v>
      </c>
      <c r="G123" s="65" t="s">
        <v>1007</v>
      </c>
      <c r="H123" s="65">
        <v>29.570369899999999</v>
      </c>
      <c r="I123" s="65">
        <v>-95.4174103</v>
      </c>
      <c r="J123" s="60" t="str">
        <f ca="1">IFERROR(__xludf.DUMMYFUNCTION("SPLIT(G123,"","")"),"2302 Shadow Falls Ln")</f>
        <v>2302 Shadow Falls Ln</v>
      </c>
      <c r="K123" s="91" t="str">
        <f ca="1">IFERROR(__xludf.DUMMYFUNCTION("""COMPUTED_VALUE""")," Pearland")</f>
        <v xml:space="preserve"> Pearland</v>
      </c>
      <c r="L123" s="2" t="str">
        <f ca="1">IFERROR(__xludf.DUMMYFUNCTION("""COMPUTED_VALUE""")," TX 77584")</f>
        <v xml:space="preserve"> TX 77584</v>
      </c>
      <c r="M123" s="2" t="str">
        <f ca="1">IFERROR(__xludf.DUMMYFUNCTION("""COMPUTED_VALUE""")," USA")</f>
        <v xml:space="preserve"> USA</v>
      </c>
      <c r="R123" s="91"/>
    </row>
    <row r="124" spans="1:18">
      <c r="A124" s="60">
        <v>123</v>
      </c>
      <c r="B124" s="79" t="s">
        <v>999</v>
      </c>
      <c r="C124" s="60" t="s">
        <v>595</v>
      </c>
      <c r="D124" s="92" t="s">
        <v>1011</v>
      </c>
      <c r="E124" s="48" t="str">
        <f t="shared" si="0"/>
        <v>Beaumont</v>
      </c>
      <c r="F124" s="83" t="str">
        <f t="shared" si="1"/>
        <v>Beaumont United (Beaumont),TX</v>
      </c>
      <c r="G124" s="60" t="s">
        <v>1012</v>
      </c>
      <c r="H124" s="60">
        <v>30.0513154</v>
      </c>
      <c r="I124" s="60">
        <v>-94.118986199999995</v>
      </c>
      <c r="J124" s="60" t="str">
        <f ca="1">IFERROR(__xludf.DUMMYFUNCTION("SPLIT(G124,"","")"),"3443 Fannett Rd")</f>
        <v>3443 Fannett Rd</v>
      </c>
      <c r="K124" s="88" t="str">
        <f ca="1">IFERROR(__xludf.DUMMYFUNCTION("""COMPUTED_VALUE""")," Beaumont")</f>
        <v xml:space="preserve"> Beaumont</v>
      </c>
      <c r="L124" s="2" t="str">
        <f ca="1">IFERROR(__xludf.DUMMYFUNCTION("""COMPUTED_VALUE""")," TX 77705")</f>
        <v xml:space="preserve"> TX 77705</v>
      </c>
      <c r="M124" s="2" t="str">
        <f ca="1">IFERROR(__xludf.DUMMYFUNCTION("""COMPUTED_VALUE""")," USA")</f>
        <v xml:space="preserve"> USA</v>
      </c>
      <c r="R124" s="88"/>
    </row>
    <row r="125" spans="1:18">
      <c r="A125" s="65">
        <v>124</v>
      </c>
      <c r="B125" s="80" t="s">
        <v>1003</v>
      </c>
      <c r="C125" s="65" t="s">
        <v>618</v>
      </c>
      <c r="D125" s="90" t="s">
        <v>1016</v>
      </c>
      <c r="E125" s="48" t="str">
        <f t="shared" si="0"/>
        <v>Bloomington</v>
      </c>
      <c r="F125" s="83" t="str">
        <f t="shared" si="1"/>
        <v>Bloomington South (Bloomington),IN</v>
      </c>
      <c r="G125" s="65" t="s">
        <v>1017</v>
      </c>
      <c r="H125" s="65">
        <v>39.143321999999998</v>
      </c>
      <c r="I125" s="65">
        <v>-86.529940999999994</v>
      </c>
      <c r="J125" s="60" t="str">
        <f ca="1">IFERROR(__xludf.DUMMYFUNCTION("SPLIT(G125,"","")"),"1965 S Walnut St")</f>
        <v>1965 S Walnut St</v>
      </c>
      <c r="K125" s="91" t="str">
        <f ca="1">IFERROR(__xludf.DUMMYFUNCTION("""COMPUTED_VALUE""")," Bloomington")</f>
        <v xml:space="preserve"> Bloomington</v>
      </c>
      <c r="L125" s="2" t="str">
        <f ca="1">IFERROR(__xludf.DUMMYFUNCTION("""COMPUTED_VALUE""")," IN 47401")</f>
        <v xml:space="preserve"> IN 47401</v>
      </c>
      <c r="M125" s="2" t="str">
        <f ca="1">IFERROR(__xludf.DUMMYFUNCTION("""COMPUTED_VALUE""")," USA")</f>
        <v xml:space="preserve"> USA</v>
      </c>
      <c r="R125" s="91"/>
    </row>
    <row r="126" spans="1:18">
      <c r="A126" s="60">
        <v>125</v>
      </c>
      <c r="B126" s="79" t="s">
        <v>1005</v>
      </c>
      <c r="C126" s="60" t="s">
        <v>595</v>
      </c>
      <c r="D126" s="93" t="s">
        <v>735</v>
      </c>
      <c r="E126" s="48" t="str">
        <f t="shared" si="0"/>
        <v>Grand Prairie</v>
      </c>
      <c r="F126" s="83" t="str">
        <f t="shared" si="1"/>
        <v>South Grand Prairie (Grand Prairie),TX</v>
      </c>
      <c r="G126" s="60" t="s">
        <v>1020</v>
      </c>
      <c r="H126" s="60">
        <v>32.695817499999997</v>
      </c>
      <c r="I126" s="60">
        <v>-97.004157699999993</v>
      </c>
      <c r="J126" s="60" t="str">
        <f ca="1">IFERROR(__xludf.DUMMYFUNCTION("SPLIT(G126,"","")"),"301 W Warrior Trail")</f>
        <v>301 W Warrior Trail</v>
      </c>
      <c r="K126" s="2" t="str">
        <f ca="1">IFERROR(__xludf.DUMMYFUNCTION("""COMPUTED_VALUE""")," Grand Prairie")</f>
        <v xml:space="preserve"> Grand Prairie</v>
      </c>
      <c r="L126" s="2" t="str">
        <f ca="1">IFERROR(__xludf.DUMMYFUNCTION("""COMPUTED_VALUE""")," TX 75052")</f>
        <v xml:space="preserve"> TX 75052</v>
      </c>
      <c r="M126" s="2" t="str">
        <f ca="1">IFERROR(__xludf.DUMMYFUNCTION("""COMPUTED_VALUE""")," USA")</f>
        <v xml:space="preserve"> USA</v>
      </c>
    </row>
    <row r="127" spans="1:18">
      <c r="A127" s="60">
        <v>126</v>
      </c>
      <c r="B127" s="79" t="s">
        <v>1008</v>
      </c>
      <c r="C127" s="60" t="s">
        <v>136</v>
      </c>
      <c r="D127" s="92" t="s">
        <v>1022</v>
      </c>
      <c r="E127" s="48" t="str">
        <f t="shared" si="0"/>
        <v>Lakeland</v>
      </c>
      <c r="F127" s="83" t="str">
        <f t="shared" si="1"/>
        <v>Santa Fe Catholic (Lakeland),FL</v>
      </c>
      <c r="G127" s="60" t="s">
        <v>1024</v>
      </c>
      <c r="H127" s="60">
        <v>28.0496248</v>
      </c>
      <c r="I127" s="60">
        <v>-81.899074200000001</v>
      </c>
      <c r="J127" s="60" t="str">
        <f ca="1">IFERROR(__xludf.DUMMYFUNCTION("SPLIT(G127,"","")"),"3110 US-92")</f>
        <v>3110 US-92</v>
      </c>
      <c r="K127" s="88" t="str">
        <f ca="1">IFERROR(__xludf.DUMMYFUNCTION("""COMPUTED_VALUE""")," Lakeland")</f>
        <v xml:space="preserve"> Lakeland</v>
      </c>
      <c r="L127" s="2" t="str">
        <f ca="1">IFERROR(__xludf.DUMMYFUNCTION("""COMPUTED_VALUE""")," FL 33801")</f>
        <v xml:space="preserve"> FL 33801</v>
      </c>
      <c r="M127" s="2" t="str">
        <f ca="1">IFERROR(__xludf.DUMMYFUNCTION("""COMPUTED_VALUE""")," USA")</f>
        <v xml:space="preserve"> USA</v>
      </c>
      <c r="R127" s="88"/>
    </row>
    <row r="128" spans="1:18">
      <c r="A128" s="65">
        <v>127</v>
      </c>
      <c r="B128" s="80" t="s">
        <v>1010</v>
      </c>
      <c r="C128" s="65" t="s">
        <v>136</v>
      </c>
      <c r="D128" s="90" t="s">
        <v>918</v>
      </c>
      <c r="E128" s="48" t="str">
        <f t="shared" si="0"/>
        <v>Fort Lauderdale</v>
      </c>
      <c r="F128" s="83" t="str">
        <f t="shared" si="1"/>
        <v>Stranahan (Fort Lauderdale),FL</v>
      </c>
      <c r="G128" s="65" t="s">
        <v>1029</v>
      </c>
      <c r="H128" s="65">
        <v>26.118462399999999</v>
      </c>
      <c r="I128" s="65">
        <v>-80.137489899999991</v>
      </c>
      <c r="J128" s="60" t="str">
        <f ca="1">IFERROR(__xludf.DUMMYFUNCTION("SPLIT(G128,"","")"),"335 SE 6th Ave")</f>
        <v>335 SE 6th Ave</v>
      </c>
      <c r="K128" s="91" t="str">
        <f ca="1">IFERROR(__xludf.DUMMYFUNCTION("""COMPUTED_VALUE""")," Fort Lauderdale")</f>
        <v xml:space="preserve"> Fort Lauderdale</v>
      </c>
      <c r="L128" s="2" t="str">
        <f ca="1">IFERROR(__xludf.DUMMYFUNCTION("""COMPUTED_VALUE""")," FL 33301")</f>
        <v xml:space="preserve"> FL 33301</v>
      </c>
      <c r="M128" s="2" t="str">
        <f ca="1">IFERROR(__xludf.DUMMYFUNCTION("""COMPUTED_VALUE""")," USA")</f>
        <v xml:space="preserve"> USA</v>
      </c>
      <c r="R128" s="91"/>
    </row>
    <row r="129" spans="1:18">
      <c r="A129" s="60">
        <v>128</v>
      </c>
      <c r="B129" s="79" t="s">
        <v>1013</v>
      </c>
      <c r="C129" s="60" t="s">
        <v>598</v>
      </c>
      <c r="D129" s="92" t="s">
        <v>1031</v>
      </c>
      <c r="E129" s="48" t="str">
        <f t="shared" si="0"/>
        <v>Snellville</v>
      </c>
      <c r="F129" s="83" t="str">
        <f t="shared" si="1"/>
        <v>Shiloh (Snellville),GA</v>
      </c>
      <c r="G129" s="60" t="s">
        <v>1033</v>
      </c>
      <c r="H129" s="60">
        <v>33.8238007</v>
      </c>
      <c r="I129" s="60">
        <v>-84.069761099999994</v>
      </c>
      <c r="J129" s="60" t="str">
        <f ca="1">IFERROR(__xludf.DUMMYFUNCTION("SPLIT(G129,"","")"),"4210 Shiloh Rd")</f>
        <v>4210 Shiloh Rd</v>
      </c>
      <c r="K129" s="88" t="str">
        <f ca="1">IFERROR(__xludf.DUMMYFUNCTION("""COMPUTED_VALUE""")," Snellville")</f>
        <v xml:space="preserve"> Snellville</v>
      </c>
      <c r="L129" s="2" t="str">
        <f ca="1">IFERROR(__xludf.DUMMYFUNCTION("""COMPUTED_VALUE""")," GA 30039")</f>
        <v xml:space="preserve"> GA 30039</v>
      </c>
      <c r="M129" s="2" t="str">
        <f ca="1">IFERROR(__xludf.DUMMYFUNCTION("""COMPUTED_VALUE""")," USA")</f>
        <v xml:space="preserve"> USA</v>
      </c>
      <c r="R129" s="88"/>
    </row>
    <row r="130" spans="1:18">
      <c r="A130" s="65">
        <v>129</v>
      </c>
      <c r="B130" s="80" t="s">
        <v>1015</v>
      </c>
      <c r="C130" s="65" t="s">
        <v>588</v>
      </c>
      <c r="D130" s="90" t="s">
        <v>1035</v>
      </c>
      <c r="E130" s="48" t="str">
        <f t="shared" si="0"/>
        <v>Bellflower</v>
      </c>
      <c r="F130" s="83" t="str">
        <f t="shared" si="1"/>
        <v>St. John Bosco (Bellflower),CA</v>
      </c>
      <c r="G130" s="65" t="s">
        <v>1036</v>
      </c>
      <c r="H130" s="65">
        <v>33.906607800000003</v>
      </c>
      <c r="I130" s="65">
        <v>-118.123248</v>
      </c>
      <c r="J130" s="60" t="str">
        <f ca="1">IFERROR(__xludf.DUMMYFUNCTION("SPLIT(G130,"","")"),"13640 Bellflower Blvd")</f>
        <v>13640 Bellflower Blvd</v>
      </c>
      <c r="K130" s="91" t="str">
        <f ca="1">IFERROR(__xludf.DUMMYFUNCTION("""COMPUTED_VALUE""")," Bellflower")</f>
        <v xml:space="preserve"> Bellflower</v>
      </c>
      <c r="L130" s="2" t="str">
        <f ca="1">IFERROR(__xludf.DUMMYFUNCTION("""COMPUTED_VALUE""")," CA 90706")</f>
        <v xml:space="preserve"> CA 90706</v>
      </c>
      <c r="M130" s="2" t="str">
        <f ca="1">IFERROR(__xludf.DUMMYFUNCTION("""COMPUTED_VALUE""")," USA")</f>
        <v xml:space="preserve"> USA</v>
      </c>
      <c r="R130" s="91"/>
    </row>
    <row r="131" spans="1:18">
      <c r="A131" s="60">
        <v>130</v>
      </c>
      <c r="B131" s="79" t="s">
        <v>1018</v>
      </c>
      <c r="C131" s="60" t="s">
        <v>136</v>
      </c>
      <c r="D131" s="92" t="s">
        <v>1040</v>
      </c>
      <c r="E131" s="48" t="str">
        <f t="shared" si="0"/>
        <v>Miramar</v>
      </c>
      <c r="F131" s="83" t="str">
        <f t="shared" si="1"/>
        <v>Miramar,FL</v>
      </c>
      <c r="G131" s="60" t="s">
        <v>1041</v>
      </c>
      <c r="H131" s="60">
        <v>25.986076199999999</v>
      </c>
      <c r="I131" s="60">
        <v>-80.303560199999993</v>
      </c>
      <c r="J131" s="60" t="str">
        <f ca="1">IFERROR(__xludf.DUMMYFUNCTION("SPLIT(G131,"","")"),"Miramar Blvd")</f>
        <v>Miramar Blvd</v>
      </c>
      <c r="K131" s="88" t="str">
        <f ca="1">IFERROR(__xludf.DUMMYFUNCTION("""COMPUTED_VALUE""")," Miramar")</f>
        <v xml:space="preserve"> Miramar</v>
      </c>
      <c r="L131" s="2" t="str">
        <f ca="1">IFERROR(__xludf.DUMMYFUNCTION("""COMPUTED_VALUE""")," FL 33025")</f>
        <v xml:space="preserve"> FL 33025</v>
      </c>
      <c r="M131" s="2" t="str">
        <f ca="1">IFERROR(__xludf.DUMMYFUNCTION("""COMPUTED_VALUE""")," USA")</f>
        <v xml:space="preserve"> USA</v>
      </c>
      <c r="R131" s="88"/>
    </row>
    <row r="132" spans="1:18">
      <c r="A132" s="65">
        <v>131</v>
      </c>
      <c r="B132" s="80" t="s">
        <v>1019</v>
      </c>
      <c r="C132" s="65" t="s">
        <v>595</v>
      </c>
      <c r="D132" s="90" t="s">
        <v>878</v>
      </c>
      <c r="E132" s="48" t="str">
        <f t="shared" si="0"/>
        <v>San Antonio</v>
      </c>
      <c r="F132" s="83" t="str">
        <f t="shared" si="1"/>
        <v>Wagner (San Antonio),TX</v>
      </c>
      <c r="G132" s="65" t="s">
        <v>1044</v>
      </c>
      <c r="H132" s="65">
        <v>29.383399399999998</v>
      </c>
      <c r="I132" s="65">
        <v>-98.568357199999994</v>
      </c>
      <c r="J132" s="60" t="str">
        <f ca="1">IFERROR(__xludf.DUMMYFUNCTION("SPLIT(G132,"","")"),"1740 Wagner Dr")</f>
        <v>1740 Wagner Dr</v>
      </c>
      <c r="K132" s="91" t="str">
        <f ca="1">IFERROR(__xludf.DUMMYFUNCTION("""COMPUTED_VALUE""")," San Antonio")</f>
        <v xml:space="preserve"> San Antonio</v>
      </c>
      <c r="L132" s="2" t="str">
        <f ca="1">IFERROR(__xludf.DUMMYFUNCTION("""COMPUTED_VALUE""")," TX 78226")</f>
        <v xml:space="preserve"> TX 78226</v>
      </c>
      <c r="M132" s="2" t="str">
        <f ca="1">IFERROR(__xludf.DUMMYFUNCTION("""COMPUTED_VALUE""")," USA")</f>
        <v xml:space="preserve"> USA</v>
      </c>
      <c r="R132" s="91"/>
    </row>
    <row r="133" spans="1:18">
      <c r="A133" s="60">
        <v>132</v>
      </c>
      <c r="B133" s="79" t="s">
        <v>1021</v>
      </c>
      <c r="C133" s="60" t="s">
        <v>604</v>
      </c>
      <c r="D133" s="92" t="s">
        <v>652</v>
      </c>
      <c r="E133" s="48" t="str">
        <f t="shared" si="0"/>
        <v>Chicago</v>
      </c>
      <c r="F133" s="83" t="str">
        <f t="shared" si="1"/>
        <v>Whitney Young (Chicago),IL</v>
      </c>
      <c r="G133" s="60" t="s">
        <v>1046</v>
      </c>
      <c r="H133" s="60">
        <v>41.878271400000003</v>
      </c>
      <c r="I133" s="60">
        <v>-87.663584200000003</v>
      </c>
      <c r="J133" s="60" t="str">
        <f ca="1">IFERROR(__xludf.DUMMYFUNCTION("SPLIT(G133,"","")"),"211 S Laflin St")</f>
        <v>211 S Laflin St</v>
      </c>
      <c r="K133" s="88" t="str">
        <f ca="1">IFERROR(__xludf.DUMMYFUNCTION("""COMPUTED_VALUE""")," Chicago")</f>
        <v xml:space="preserve"> Chicago</v>
      </c>
      <c r="L133" s="2" t="str">
        <f ca="1">IFERROR(__xludf.DUMMYFUNCTION("""COMPUTED_VALUE""")," IL 60607")</f>
        <v xml:space="preserve"> IL 60607</v>
      </c>
      <c r="M133" s="2" t="str">
        <f ca="1">IFERROR(__xludf.DUMMYFUNCTION("""COMPUTED_VALUE""")," USA")</f>
        <v xml:space="preserve"> USA</v>
      </c>
      <c r="R133" s="88"/>
    </row>
    <row r="134" spans="1:18">
      <c r="A134" s="65">
        <v>133</v>
      </c>
      <c r="B134" s="80" t="s">
        <v>1023</v>
      </c>
      <c r="C134" s="65" t="s">
        <v>975</v>
      </c>
      <c r="D134" s="65" t="s">
        <v>1051</v>
      </c>
      <c r="E134" s="48" t="str">
        <f t="shared" si="0"/>
        <v>Rio Rancho</v>
      </c>
      <c r="F134" s="83" t="str">
        <f t="shared" si="1"/>
        <v>Cleveland (Rio Rancho),NM</v>
      </c>
      <c r="G134" s="65" t="s">
        <v>1052</v>
      </c>
      <c r="H134" s="65">
        <v>35.313056899999999</v>
      </c>
      <c r="I134" s="65">
        <v>-106.6504175</v>
      </c>
      <c r="J134" s="60" t="str">
        <f ca="1">IFERROR(__xludf.DUMMYFUNCTION("SPLIT(G134,"","")"),"4541 Skyline Loop")</f>
        <v>4541 Skyline Loop</v>
      </c>
      <c r="K134" s="66" t="str">
        <f ca="1">IFERROR(__xludf.DUMMYFUNCTION("""COMPUTED_VALUE""")," Rio Rancho")</f>
        <v xml:space="preserve"> Rio Rancho</v>
      </c>
      <c r="L134" s="2" t="str">
        <f ca="1">IFERROR(__xludf.DUMMYFUNCTION("""COMPUTED_VALUE""")," NM 87144")</f>
        <v xml:space="preserve"> NM 87144</v>
      </c>
      <c r="M134" s="2" t="str">
        <f ca="1">IFERROR(__xludf.DUMMYFUNCTION("""COMPUTED_VALUE""")," USA")</f>
        <v xml:space="preserve"> USA</v>
      </c>
      <c r="R134" s="66"/>
    </row>
    <row r="135" spans="1:18">
      <c r="A135" s="60">
        <v>134</v>
      </c>
      <c r="B135" s="79" t="s">
        <v>1026</v>
      </c>
      <c r="C135" s="60" t="s">
        <v>604</v>
      </c>
      <c r="D135" s="92" t="s">
        <v>268</v>
      </c>
      <c r="E135" s="48" t="str">
        <f t="shared" si="0"/>
        <v>Chicago</v>
      </c>
      <c r="F135" s="83" t="str">
        <f t="shared" si="1"/>
        <v>Simeon (Chicago),IL</v>
      </c>
      <c r="G135" s="48" t="s">
        <v>1057</v>
      </c>
      <c r="H135" s="60">
        <v>41.743785699999997</v>
      </c>
      <c r="I135" s="60">
        <v>-87.634501</v>
      </c>
      <c r="J135" s="60" t="str">
        <f ca="1">IFERROR(__xludf.DUMMYFUNCTION("SPLIT(G135,"","")"),"8235 S Vincennes Ave")</f>
        <v>8235 S Vincennes Ave</v>
      </c>
      <c r="K135" s="88" t="str">
        <f ca="1">IFERROR(__xludf.DUMMYFUNCTION("""COMPUTED_VALUE"""),"Chicago")</f>
        <v>Chicago</v>
      </c>
      <c r="L135" s="2" t="str">
        <f ca="1">IFERROR(__xludf.DUMMYFUNCTION("""COMPUTED_VALUE"""),"IL")</f>
        <v>IL</v>
      </c>
      <c r="M135" s="2">
        <f ca="1">IFERROR(__xludf.DUMMYFUNCTION("""COMPUTED_VALUE"""),60620)</f>
        <v>60620</v>
      </c>
      <c r="N135" s="2">
        <f ca="1">IFERROR(__xludf.DUMMYFUNCTION("""COMPUTED_VALUE"""),1763)</f>
        <v>1763</v>
      </c>
      <c r="O135" s="2" t="str">
        <f ca="1">IFERROR(__xludf.DUMMYFUNCTION("""COMPUTED_VALUE""")," Chicago")</f>
        <v xml:space="preserve"> Chicago</v>
      </c>
      <c r="P135" s="2" t="str">
        <f ca="1">IFERROR(__xludf.DUMMYFUNCTION("""COMPUTED_VALUE""")," IL 60620")</f>
        <v xml:space="preserve"> IL 60620</v>
      </c>
      <c r="Q135" s="2" t="str">
        <f ca="1">IFERROR(__xludf.DUMMYFUNCTION("""COMPUTED_VALUE""")," USA")</f>
        <v xml:space="preserve"> USA</v>
      </c>
      <c r="R135" s="88"/>
    </row>
    <row r="136" spans="1:18">
      <c r="A136" s="65">
        <v>135</v>
      </c>
      <c r="B136" s="80" t="s">
        <v>1028</v>
      </c>
      <c r="C136" s="65" t="s">
        <v>595</v>
      </c>
      <c r="D136" s="90" t="s">
        <v>1063</v>
      </c>
      <c r="E136" s="48" t="str">
        <f t="shared" si="0"/>
        <v>Austin</v>
      </c>
      <c r="F136" s="83" t="str">
        <f t="shared" si="1"/>
        <v>Westlake (Austin),TX</v>
      </c>
      <c r="G136" s="65" t="s">
        <v>1065</v>
      </c>
      <c r="H136" s="65">
        <v>30.304569999999991</v>
      </c>
      <c r="I136" s="65">
        <v>-97.7951987</v>
      </c>
      <c r="J136" s="60" t="str">
        <f ca="1">IFERROR(__xludf.DUMMYFUNCTION("SPLIT(G136,"","")"),"1821 Westlake Dr")</f>
        <v>1821 Westlake Dr</v>
      </c>
      <c r="K136" s="91" t="str">
        <f ca="1">IFERROR(__xludf.DUMMYFUNCTION("""COMPUTED_VALUE""")," Austin")</f>
        <v xml:space="preserve"> Austin</v>
      </c>
      <c r="L136" s="2" t="str">
        <f ca="1">IFERROR(__xludf.DUMMYFUNCTION("""COMPUTED_VALUE""")," TX 78746")</f>
        <v xml:space="preserve"> TX 78746</v>
      </c>
      <c r="M136" s="2" t="str">
        <f ca="1">IFERROR(__xludf.DUMMYFUNCTION("""COMPUTED_VALUE""")," USA")</f>
        <v xml:space="preserve"> USA</v>
      </c>
      <c r="R136" s="91"/>
    </row>
    <row r="137" spans="1:18">
      <c r="A137" s="60">
        <v>136</v>
      </c>
      <c r="B137" s="79" t="s">
        <v>1030</v>
      </c>
      <c r="C137" s="60" t="s">
        <v>604</v>
      </c>
      <c r="D137" s="60" t="s">
        <v>1070</v>
      </c>
      <c r="E137" s="48" t="str">
        <f t="shared" si="0"/>
        <v>Harvey</v>
      </c>
      <c r="F137" s="83" t="str">
        <f t="shared" si="1"/>
        <v>Thornton (Harvey),IL</v>
      </c>
      <c r="G137" s="60" t="s">
        <v>1071</v>
      </c>
      <c r="H137" s="60">
        <v>41.616328199999998</v>
      </c>
      <c r="I137" s="60">
        <v>-87.643853499999992</v>
      </c>
      <c r="J137" s="60" t="str">
        <f ca="1">IFERROR(__xludf.DUMMYFUNCTION("SPLIT(G137,"","")"),"15001 Broadway Ave")</f>
        <v>15001 Broadway Ave</v>
      </c>
      <c r="K137" s="61" t="str">
        <f ca="1">IFERROR(__xludf.DUMMYFUNCTION("""COMPUTED_VALUE""")," Harvey")</f>
        <v xml:space="preserve"> Harvey</v>
      </c>
      <c r="L137" s="2" t="str">
        <f ca="1">IFERROR(__xludf.DUMMYFUNCTION("""COMPUTED_VALUE""")," IL 60426")</f>
        <v xml:space="preserve"> IL 60426</v>
      </c>
      <c r="M137" s="2" t="str">
        <f ca="1">IFERROR(__xludf.DUMMYFUNCTION("""COMPUTED_VALUE""")," USA")</f>
        <v xml:space="preserve"> USA</v>
      </c>
      <c r="R137" s="61"/>
    </row>
    <row r="138" spans="1:18">
      <c r="A138" s="65">
        <v>137</v>
      </c>
      <c r="B138" s="80" t="s">
        <v>1032</v>
      </c>
      <c r="C138" s="65" t="s">
        <v>69</v>
      </c>
      <c r="D138" s="65" t="s">
        <v>670</v>
      </c>
      <c r="E138" s="48" t="str">
        <f t="shared" si="0"/>
        <v>Birmingham</v>
      </c>
      <c r="F138" s="83" t="str">
        <f t="shared" si="1"/>
        <v>Pinson Valley (Pinson),AL</v>
      </c>
      <c r="G138" s="65" t="s">
        <v>1076</v>
      </c>
      <c r="H138" s="65">
        <v>33.652773699999997</v>
      </c>
      <c r="I138" s="65">
        <v>-86.715391199999999</v>
      </c>
      <c r="J138" s="60" t="str">
        <f ca="1">IFERROR(__xludf.DUMMYFUNCTION("SPLIT(G138,"","")"),"4466 Pinson Valley Pkwy")</f>
        <v>4466 Pinson Valley Pkwy</v>
      </c>
      <c r="K138" s="66" t="str">
        <f ca="1">IFERROR(__xludf.DUMMYFUNCTION("""COMPUTED_VALUE""")," Birmingham")</f>
        <v xml:space="preserve"> Birmingham</v>
      </c>
      <c r="L138" s="2" t="str">
        <f ca="1">IFERROR(__xludf.DUMMYFUNCTION("""COMPUTED_VALUE""")," AL 35215")</f>
        <v xml:space="preserve"> AL 35215</v>
      </c>
      <c r="M138" s="2" t="str">
        <f ca="1">IFERROR(__xludf.DUMMYFUNCTION("""COMPUTED_VALUE""")," USA")</f>
        <v xml:space="preserve"> USA</v>
      </c>
      <c r="R138" s="66"/>
    </row>
    <row r="139" spans="1:18">
      <c r="A139" s="60">
        <v>138</v>
      </c>
      <c r="B139" s="79" t="s">
        <v>1034</v>
      </c>
      <c r="C139" s="60" t="s">
        <v>608</v>
      </c>
      <c r="D139" s="60" t="s">
        <v>1079</v>
      </c>
      <c r="E139" s="48" t="str">
        <f t="shared" si="0"/>
        <v>Minneapolis</v>
      </c>
      <c r="F139" s="83" t="str">
        <f t="shared" si="1"/>
        <v>Minnehaha Academy (Minneapolis),MN</v>
      </c>
      <c r="G139" s="60" t="s">
        <v>1080</v>
      </c>
      <c r="H139" s="60">
        <v>44.945255499999988</v>
      </c>
      <c r="I139" s="60">
        <v>-93.205189599999997</v>
      </c>
      <c r="J139" s="60" t="str">
        <f ca="1">IFERROR(__xludf.DUMMYFUNCTION("SPLIT(G139,"","")"),"3100 W River Pkwy")</f>
        <v>3100 W River Pkwy</v>
      </c>
      <c r="K139" s="61" t="str">
        <f ca="1">IFERROR(__xludf.DUMMYFUNCTION("""COMPUTED_VALUE""")," Minneapolis")</f>
        <v xml:space="preserve"> Minneapolis</v>
      </c>
      <c r="L139" s="2" t="str">
        <f ca="1">IFERROR(__xludf.DUMMYFUNCTION("""COMPUTED_VALUE""")," MN 55406")</f>
        <v xml:space="preserve"> MN 55406</v>
      </c>
      <c r="M139" s="2" t="str">
        <f ca="1">IFERROR(__xludf.DUMMYFUNCTION("""COMPUTED_VALUE""")," USA")</f>
        <v xml:space="preserve"> USA</v>
      </c>
      <c r="R139" s="61"/>
    </row>
    <row r="140" spans="1:18">
      <c r="A140" s="65">
        <v>139</v>
      </c>
      <c r="B140" s="80" t="s">
        <v>1037</v>
      </c>
      <c r="C140" s="65" t="s">
        <v>646</v>
      </c>
      <c r="D140" s="90" t="s">
        <v>1082</v>
      </c>
      <c r="E140" s="48" t="str">
        <f t="shared" si="0"/>
        <v>Billings</v>
      </c>
      <c r="F140" s="83" t="str">
        <f t="shared" si="1"/>
        <v>Billings West (Billings),MT</v>
      </c>
      <c r="G140" s="65" t="s">
        <v>1083</v>
      </c>
      <c r="H140" s="65">
        <v>45.7720439</v>
      </c>
      <c r="I140" s="65">
        <v>-108.5716513</v>
      </c>
      <c r="J140" s="60" t="str">
        <f ca="1">IFERROR(__xludf.DUMMYFUNCTION("SPLIT(G140,"","")"),"2201 St Johns Ave")</f>
        <v>2201 St Johns Ave</v>
      </c>
      <c r="K140" s="91" t="str">
        <f ca="1">IFERROR(__xludf.DUMMYFUNCTION("""COMPUTED_VALUE""")," Billings")</f>
        <v xml:space="preserve"> Billings</v>
      </c>
      <c r="L140" s="2" t="str">
        <f ca="1">IFERROR(__xludf.DUMMYFUNCTION("""COMPUTED_VALUE""")," MT 59102")</f>
        <v xml:space="preserve"> MT 59102</v>
      </c>
      <c r="M140" s="2" t="str">
        <f ca="1">IFERROR(__xludf.DUMMYFUNCTION("""COMPUTED_VALUE""")," USA")</f>
        <v xml:space="preserve"> USA</v>
      </c>
      <c r="R140" s="91"/>
    </row>
    <row r="141" spans="1:18">
      <c r="A141" s="60">
        <v>140</v>
      </c>
      <c r="B141" s="79" t="s">
        <v>1038</v>
      </c>
      <c r="C141" s="60" t="s">
        <v>1039</v>
      </c>
      <c r="D141" s="60" t="s">
        <v>1088</v>
      </c>
      <c r="E141" s="48" t="str">
        <f t="shared" si="0"/>
        <v>Springfield</v>
      </c>
      <c r="F141" s="83" t="str">
        <f t="shared" si="1"/>
        <v>Central (Springfield),MA</v>
      </c>
      <c r="G141" s="60" t="s">
        <v>1090</v>
      </c>
      <c r="H141" s="60">
        <v>42.131229099999999</v>
      </c>
      <c r="I141" s="60">
        <v>-72.548104899999998</v>
      </c>
      <c r="J141" s="60" t="str">
        <f ca="1">IFERROR(__xludf.DUMMYFUNCTION("SPLIT(G141,"","")"),"1840 Roosevelt Ave")</f>
        <v>1840 Roosevelt Ave</v>
      </c>
      <c r="K141" s="61" t="str">
        <f ca="1">IFERROR(__xludf.DUMMYFUNCTION("""COMPUTED_VALUE""")," Springfield")</f>
        <v xml:space="preserve"> Springfield</v>
      </c>
      <c r="L141" s="2" t="str">
        <f ca="1">IFERROR(__xludf.DUMMYFUNCTION("""COMPUTED_VALUE""")," MA 01109")</f>
        <v xml:space="preserve"> MA 01109</v>
      </c>
      <c r="M141" s="2" t="str">
        <f ca="1">IFERROR(__xludf.DUMMYFUNCTION("""COMPUTED_VALUE""")," USA")</f>
        <v xml:space="preserve"> USA</v>
      </c>
      <c r="R141" s="61"/>
    </row>
    <row r="142" spans="1:18">
      <c r="A142" s="65">
        <v>141</v>
      </c>
      <c r="B142" s="80" t="s">
        <v>1042</v>
      </c>
      <c r="C142" s="65" t="s">
        <v>646</v>
      </c>
      <c r="D142" s="90" t="s">
        <v>1082</v>
      </c>
      <c r="E142" s="48" t="str">
        <f t="shared" si="0"/>
        <v>Billings</v>
      </c>
      <c r="F142" s="83" t="str">
        <f t="shared" si="1"/>
        <v>Skyview (Billings),MT</v>
      </c>
      <c r="G142" s="65" t="s">
        <v>1095</v>
      </c>
      <c r="H142" s="65">
        <v>45.831688499999998</v>
      </c>
      <c r="I142" s="65">
        <v>-108.51578910000001</v>
      </c>
      <c r="J142" s="60" t="str">
        <f ca="1">IFERROR(__xludf.DUMMYFUNCTION("SPLIT(G142,"","")"),"1775 High Sierra Blvd")</f>
        <v>1775 High Sierra Blvd</v>
      </c>
      <c r="K142" s="91" t="str">
        <f ca="1">IFERROR(__xludf.DUMMYFUNCTION("""COMPUTED_VALUE""")," Billings")</f>
        <v xml:space="preserve"> Billings</v>
      </c>
      <c r="L142" s="2" t="str">
        <f ca="1">IFERROR(__xludf.DUMMYFUNCTION("""COMPUTED_VALUE""")," MT 59105")</f>
        <v xml:space="preserve"> MT 59105</v>
      </c>
      <c r="M142" s="2" t="str">
        <f ca="1">IFERROR(__xludf.DUMMYFUNCTION("""COMPUTED_VALUE""")," USA")</f>
        <v xml:space="preserve"> USA</v>
      </c>
      <c r="R142" s="91"/>
    </row>
    <row r="143" spans="1:18">
      <c r="A143" s="60">
        <v>142</v>
      </c>
      <c r="B143" s="79" t="s">
        <v>1043</v>
      </c>
      <c r="C143" s="60" t="s">
        <v>595</v>
      </c>
      <c r="D143" s="60" t="s">
        <v>1097</v>
      </c>
      <c r="E143" s="48" t="str">
        <f t="shared" si="0"/>
        <v>Wylie</v>
      </c>
      <c r="F143" s="83" t="str">
        <f t="shared" si="1"/>
        <v>Wylie,TX</v>
      </c>
      <c r="G143" s="60" t="s">
        <v>1099</v>
      </c>
      <c r="H143" s="60">
        <v>33.015120099999997</v>
      </c>
      <c r="I143" s="60">
        <v>-96.5388789</v>
      </c>
      <c r="J143" s="60" t="str">
        <f ca="1">IFERROR(__xludf.DUMMYFUNCTION("SPLIT(G143,"","")"),"131 N Ballard Ave")</f>
        <v>131 N Ballard Ave</v>
      </c>
      <c r="K143" s="61" t="str">
        <f ca="1">IFERROR(__xludf.DUMMYFUNCTION("""COMPUTED_VALUE""")," Wylie")</f>
        <v xml:space="preserve"> Wylie</v>
      </c>
      <c r="L143" s="2" t="str">
        <f ca="1">IFERROR(__xludf.DUMMYFUNCTION("""COMPUTED_VALUE""")," TX 75098")</f>
        <v xml:space="preserve"> TX 75098</v>
      </c>
      <c r="M143" s="2" t="str">
        <f ca="1">IFERROR(__xludf.DUMMYFUNCTION("""COMPUTED_VALUE""")," USA")</f>
        <v xml:space="preserve"> USA</v>
      </c>
      <c r="R143" s="61"/>
    </row>
    <row r="144" spans="1:18">
      <c r="A144" s="65">
        <v>143</v>
      </c>
      <c r="B144" s="80" t="s">
        <v>1045</v>
      </c>
      <c r="C144" s="65" t="s">
        <v>901</v>
      </c>
      <c r="D144" s="90" t="s">
        <v>1103</v>
      </c>
      <c r="E144" s="48" t="str">
        <f t="shared" si="0"/>
        <v>Jacksonville</v>
      </c>
      <c r="F144" s="83" t="str">
        <f t="shared" si="1"/>
        <v>Jacksonville,AR</v>
      </c>
      <c r="G144" s="65" t="s">
        <v>1104</v>
      </c>
      <c r="H144" s="65">
        <v>34.866200499999998</v>
      </c>
      <c r="I144" s="65">
        <v>-92.110145799999998</v>
      </c>
      <c r="J144" s="60" t="str">
        <f ca="1">IFERROR(__xludf.DUMMYFUNCTION("SPLIT(G144,"","")"),"100 Overland Trail")</f>
        <v>100 Overland Trail</v>
      </c>
      <c r="K144" s="91" t="str">
        <f ca="1">IFERROR(__xludf.DUMMYFUNCTION("""COMPUTED_VALUE""")," Jacksonville")</f>
        <v xml:space="preserve"> Jacksonville</v>
      </c>
      <c r="L144" s="2" t="str">
        <f ca="1">IFERROR(__xludf.DUMMYFUNCTION("""COMPUTED_VALUE""")," AR 72076")</f>
        <v xml:space="preserve"> AR 72076</v>
      </c>
      <c r="M144" s="2" t="str">
        <f ca="1">IFERROR(__xludf.DUMMYFUNCTION("""COMPUTED_VALUE""")," USA")</f>
        <v xml:space="preserve"> USA</v>
      </c>
      <c r="R144" s="91"/>
    </row>
    <row r="145" spans="1:18">
      <c r="A145" s="60">
        <v>144</v>
      </c>
      <c r="B145" s="79" t="s">
        <v>1047</v>
      </c>
      <c r="C145" s="60" t="s">
        <v>595</v>
      </c>
      <c r="D145" s="60" t="s">
        <v>1109</v>
      </c>
      <c r="E145" s="48" t="str">
        <f t="shared" si="0"/>
        <v>Arlington</v>
      </c>
      <c r="F145" s="83" t="str">
        <f t="shared" si="1"/>
        <v>Mansfield Timberview (Arlington),TX</v>
      </c>
      <c r="G145" s="60" t="s">
        <v>1110</v>
      </c>
      <c r="H145" s="60">
        <v>32.621563799999997</v>
      </c>
      <c r="I145" s="60">
        <v>-97.075946399999992</v>
      </c>
      <c r="J145" s="60" t="str">
        <f ca="1">IFERROR(__xludf.DUMMYFUNCTION("SPLIT(G145,"","")"),"7700 S Watson Rd")</f>
        <v>7700 S Watson Rd</v>
      </c>
      <c r="K145" s="61" t="str">
        <f ca="1">IFERROR(__xludf.DUMMYFUNCTION("""COMPUTED_VALUE""")," Arlington")</f>
        <v xml:space="preserve"> Arlington</v>
      </c>
      <c r="L145" s="2" t="str">
        <f ca="1">IFERROR(__xludf.DUMMYFUNCTION("""COMPUTED_VALUE""")," TX 76002")</f>
        <v xml:space="preserve"> TX 76002</v>
      </c>
      <c r="M145" s="2" t="str">
        <f ca="1">IFERROR(__xludf.DUMMYFUNCTION("""COMPUTED_VALUE""")," USA")</f>
        <v xml:space="preserve"> USA</v>
      </c>
      <c r="R145" s="61"/>
    </row>
    <row r="146" spans="1:18">
      <c r="A146" s="65">
        <v>145</v>
      </c>
      <c r="B146" s="80" t="s">
        <v>1049</v>
      </c>
      <c r="C146" s="65" t="s">
        <v>1050</v>
      </c>
      <c r="D146" s="65" t="s">
        <v>1113</v>
      </c>
      <c r="E146" s="48" t="str">
        <f t="shared" si="0"/>
        <v>Huntington</v>
      </c>
      <c r="F146" s="83" t="str">
        <f t="shared" si="1"/>
        <v>Huntington St. Joseph Prep (Huntington),WV</v>
      </c>
      <c r="G146" s="65" t="s">
        <v>1114</v>
      </c>
      <c r="H146" s="65">
        <v>38.419167100000003</v>
      </c>
      <c r="I146" s="65">
        <v>-82.435795499999998</v>
      </c>
      <c r="J146" s="60" t="str">
        <f ca="1">IFERROR(__xludf.DUMMYFUNCTION("SPLIT(G146,"","")"),"600 13th St")</f>
        <v>600 13th St</v>
      </c>
      <c r="K146" s="66" t="str">
        <f ca="1">IFERROR(__xludf.DUMMYFUNCTION("""COMPUTED_VALUE""")," Huntington")</f>
        <v xml:space="preserve"> Huntington</v>
      </c>
      <c r="L146" s="2" t="str">
        <f ca="1">IFERROR(__xludf.DUMMYFUNCTION("""COMPUTED_VALUE""")," WV 25701")</f>
        <v xml:space="preserve"> WV 25701</v>
      </c>
      <c r="M146" s="2" t="str">
        <f ca="1">IFERROR(__xludf.DUMMYFUNCTION("""COMPUTED_VALUE""")," USA")</f>
        <v xml:space="preserve"> USA</v>
      </c>
      <c r="R146" s="66"/>
    </row>
    <row r="147" spans="1:18">
      <c r="A147" s="60">
        <v>146</v>
      </c>
      <c r="B147" s="79" t="s">
        <v>1054</v>
      </c>
      <c r="C147" s="60" t="s">
        <v>1055</v>
      </c>
      <c r="D147" s="60" t="s">
        <v>1118</v>
      </c>
      <c r="E147" s="48" t="str">
        <f t="shared" si="0"/>
        <v>Del City</v>
      </c>
      <c r="F147" s="83" t="str">
        <f t="shared" si="1"/>
        <v>Del City,OK</v>
      </c>
      <c r="G147" s="60" t="s">
        <v>1119</v>
      </c>
      <c r="H147" s="60">
        <v>35.442006200000002</v>
      </c>
      <c r="I147" s="60">
        <v>-97.440869800000002</v>
      </c>
      <c r="J147" s="60" t="str">
        <f ca="1">IFERROR(__xludf.DUMMYFUNCTION("SPLIT(G147,"","")"),"107 SE 22nd St")</f>
        <v>107 SE 22nd St</v>
      </c>
      <c r="K147" s="61" t="str">
        <f ca="1">IFERROR(__xludf.DUMMYFUNCTION("""COMPUTED_VALUE""")," Del City")</f>
        <v xml:space="preserve"> Del City</v>
      </c>
      <c r="L147" s="2" t="str">
        <f ca="1">IFERROR(__xludf.DUMMYFUNCTION("""COMPUTED_VALUE""")," OK 73115")</f>
        <v xml:space="preserve"> OK 73115</v>
      </c>
      <c r="M147" s="2" t="str">
        <f ca="1">IFERROR(__xludf.DUMMYFUNCTION("""COMPUTED_VALUE""")," USA")</f>
        <v xml:space="preserve"> USA</v>
      </c>
      <c r="R147" s="61"/>
    </row>
    <row r="148" spans="1:18">
      <c r="A148" s="65">
        <v>147</v>
      </c>
      <c r="B148" s="80" t="s">
        <v>1056</v>
      </c>
      <c r="C148" s="65" t="s">
        <v>136</v>
      </c>
      <c r="D148" s="65" t="s">
        <v>1122</v>
      </c>
      <c r="E148" s="48" t="str">
        <f t="shared" si="0"/>
        <v>Tallahassee</v>
      </c>
      <c r="F148" s="83" t="str">
        <f t="shared" si="1"/>
        <v>Rickards (Tallahassee),FL</v>
      </c>
      <c r="G148" s="65" t="s">
        <v>1123</v>
      </c>
      <c r="H148" s="65">
        <v>30.4086307</v>
      </c>
      <c r="I148" s="65">
        <v>-84.262777499999999</v>
      </c>
      <c r="J148" s="60" t="str">
        <f ca="1">IFERROR(__xludf.DUMMYFUNCTION("SPLIT(G148,"","")"),"3013 Jim Lee Rd")</f>
        <v>3013 Jim Lee Rd</v>
      </c>
      <c r="K148" s="66" t="str">
        <f ca="1">IFERROR(__xludf.DUMMYFUNCTION("""COMPUTED_VALUE""")," Tallahassee")</f>
        <v xml:space="preserve"> Tallahassee</v>
      </c>
      <c r="L148" s="2" t="str">
        <f ca="1">IFERROR(__xludf.DUMMYFUNCTION("""COMPUTED_VALUE""")," FL 32301")</f>
        <v xml:space="preserve"> FL 32301</v>
      </c>
      <c r="M148" s="2" t="str">
        <f ca="1">IFERROR(__xludf.DUMMYFUNCTION("""COMPUTED_VALUE""")," USA")</f>
        <v xml:space="preserve"> USA</v>
      </c>
      <c r="R148" s="66"/>
    </row>
    <row r="149" spans="1:18">
      <c r="A149" s="97">
        <v>148</v>
      </c>
      <c r="B149" s="99" t="s">
        <v>1059</v>
      </c>
      <c r="C149" s="97" t="s">
        <v>595</v>
      </c>
      <c r="D149" s="97" t="s">
        <v>1127</v>
      </c>
      <c r="E149" s="48" t="str">
        <f t="shared" si="0"/>
        <v>Burleson</v>
      </c>
      <c r="F149" s="83" t="str">
        <f t="shared" si="1"/>
        <v>Centennial (Burleson),TX</v>
      </c>
      <c r="G149" s="97" t="s">
        <v>1129</v>
      </c>
      <c r="H149" s="97">
        <v>32.540361800000007</v>
      </c>
      <c r="I149" s="97">
        <v>-97.298837199999994</v>
      </c>
      <c r="J149" s="60" t="str">
        <f ca="1">IFERROR(__xludf.DUMMYFUNCTION("SPLIT(G149,"","")"),"201 S Hurst Rd")</f>
        <v>201 S Hurst Rd</v>
      </c>
      <c r="K149" s="103" t="str">
        <f ca="1">IFERROR(__xludf.DUMMYFUNCTION("""COMPUTED_VALUE""")," Burleson")</f>
        <v xml:space="preserve"> Burleson</v>
      </c>
      <c r="L149" s="2" t="str">
        <f ca="1">IFERROR(__xludf.DUMMYFUNCTION("""COMPUTED_VALUE""")," TX 76028")</f>
        <v xml:space="preserve"> TX 76028</v>
      </c>
      <c r="M149" s="2" t="str">
        <f ca="1">IFERROR(__xludf.DUMMYFUNCTION("""COMPUTED_VALUE""")," USA")</f>
        <v xml:space="preserve"> USA</v>
      </c>
      <c r="R149" s="103"/>
    </row>
    <row r="150" spans="1:18">
      <c r="A150" s="65">
        <v>149</v>
      </c>
      <c r="B150" s="80" t="s">
        <v>1062</v>
      </c>
      <c r="C150" s="65" t="s">
        <v>770</v>
      </c>
      <c r="D150" s="90" t="s">
        <v>875</v>
      </c>
      <c r="E150" s="48" t="str">
        <f t="shared" si="0"/>
        <v>Memphis</v>
      </c>
      <c r="F150" s="83" t="str">
        <f t="shared" si="1"/>
        <v>Memphis East (Memphis),TN</v>
      </c>
      <c r="G150" s="65" t="s">
        <v>1134</v>
      </c>
      <c r="H150" s="65">
        <v>35.131084999999999</v>
      </c>
      <c r="I150" s="65">
        <v>-89.908495599999995</v>
      </c>
      <c r="J150" s="60" t="str">
        <f ca="1">IFERROR(__xludf.DUMMYFUNCTION("SPLIT(G150,"","")"),"Perkins@Walnut Grove Rd")</f>
        <v>Perkins@Walnut Grove Rd</v>
      </c>
      <c r="K150" s="91" t="str">
        <f ca="1">IFERROR(__xludf.DUMMYFUNCTION("""COMPUTED_VALUE""")," Memphis")</f>
        <v xml:space="preserve"> Memphis</v>
      </c>
      <c r="L150" s="2" t="str">
        <f ca="1">IFERROR(__xludf.DUMMYFUNCTION("""COMPUTED_VALUE""")," TN 38117")</f>
        <v xml:space="preserve"> TN 38117</v>
      </c>
      <c r="M150" s="2" t="str">
        <f ca="1">IFERROR(__xludf.DUMMYFUNCTION("""COMPUTED_VALUE""")," USA")</f>
        <v xml:space="preserve"> USA</v>
      </c>
      <c r="R150" s="91"/>
    </row>
    <row r="151" spans="1:18">
      <c r="A151" s="60">
        <v>150</v>
      </c>
      <c r="B151" s="79" t="s">
        <v>1064</v>
      </c>
      <c r="C151" s="60" t="s">
        <v>588</v>
      </c>
      <c r="D151" s="93" t="s">
        <v>731</v>
      </c>
      <c r="E151" s="48" t="str">
        <f t="shared" si="0"/>
        <v>Concord</v>
      </c>
      <c r="F151" s="83" t="str">
        <f t="shared" si="1"/>
        <v>De La Salle (Concord),CA</v>
      </c>
      <c r="G151" s="60" t="s">
        <v>1136</v>
      </c>
      <c r="H151" s="60">
        <v>37.934167599999988</v>
      </c>
      <c r="I151" s="60">
        <v>-122.031717</v>
      </c>
      <c r="J151" s="60" t="str">
        <f ca="1">IFERROR(__xludf.DUMMYFUNCTION("SPLIT(G151,"","")"),"1130 Winton Dr")</f>
        <v>1130 Winton Dr</v>
      </c>
      <c r="K151" s="2" t="str">
        <f ca="1">IFERROR(__xludf.DUMMYFUNCTION("""COMPUTED_VALUE""")," Concord")</f>
        <v xml:space="preserve"> Concord</v>
      </c>
      <c r="L151" s="2" t="str">
        <f ca="1">IFERROR(__xludf.DUMMYFUNCTION("""COMPUTED_VALUE""")," CA 94518")</f>
        <v xml:space="preserve"> CA 94518</v>
      </c>
      <c r="M151" s="2" t="str">
        <f ca="1">IFERROR(__xludf.DUMMYFUNCTION("""COMPUTED_VALUE""")," USA")</f>
        <v xml:space="preserve"> USA</v>
      </c>
    </row>
    <row r="152" spans="1:18">
      <c r="A152" s="60">
        <v>151</v>
      </c>
      <c r="B152" s="79" t="s">
        <v>1066</v>
      </c>
      <c r="C152" s="60" t="s">
        <v>1067</v>
      </c>
      <c r="D152" s="92" t="s">
        <v>1139</v>
      </c>
      <c r="E152" s="48" t="str">
        <f t="shared" si="0"/>
        <v>Somerset</v>
      </c>
      <c r="F152" s="83" t="str">
        <f t="shared" si="1"/>
        <v>Rutgers Prep (Somerset),PS</v>
      </c>
      <c r="G152" s="60" t="s">
        <v>1140</v>
      </c>
      <c r="H152" s="60">
        <v>40.525479900000001</v>
      </c>
      <c r="I152" s="60">
        <v>-74.495055900000011</v>
      </c>
      <c r="J152" s="60" t="str">
        <f ca="1">IFERROR(__xludf.DUMMYFUNCTION("SPLIT(G152,"","")"),"970 Easton Ave")</f>
        <v>970 Easton Ave</v>
      </c>
      <c r="K152" s="88" t="str">
        <f ca="1">IFERROR(__xludf.DUMMYFUNCTION("""COMPUTED_VALUE""")," Somerset")</f>
        <v xml:space="preserve"> Somerset</v>
      </c>
      <c r="L152" s="2" t="str">
        <f ca="1">IFERROR(__xludf.DUMMYFUNCTION("""COMPUTED_VALUE""")," NJ 08873")</f>
        <v xml:space="preserve"> NJ 08873</v>
      </c>
      <c r="M152" s="2" t="str">
        <f ca="1">IFERROR(__xludf.DUMMYFUNCTION("""COMPUTED_VALUE""")," USA")</f>
        <v xml:space="preserve"> USA</v>
      </c>
      <c r="R152" s="88"/>
    </row>
    <row r="153" spans="1:18">
      <c r="A153" s="65">
        <v>152</v>
      </c>
      <c r="B153" s="80" t="s">
        <v>1069</v>
      </c>
      <c r="C153" s="65" t="s">
        <v>624</v>
      </c>
      <c r="D153" s="90" t="s">
        <v>1143</v>
      </c>
      <c r="E153" s="48" t="str">
        <f t="shared" si="0"/>
        <v>Monroe</v>
      </c>
      <c r="F153" s="83" t="str">
        <f t="shared" si="1"/>
        <v>Wossman (Monroe),LA</v>
      </c>
      <c r="G153" s="65" t="s">
        <v>1145</v>
      </c>
      <c r="H153" s="65">
        <v>32.489630000000012</v>
      </c>
      <c r="I153" s="65">
        <v>-92.086738999999994</v>
      </c>
      <c r="J153" s="60" t="str">
        <f ca="1">IFERROR(__xludf.DUMMYFUNCTION("SPLIT(G153,"","")"),"1600 Arizona Ave")</f>
        <v>1600 Arizona Ave</v>
      </c>
      <c r="K153" s="91" t="str">
        <f ca="1">IFERROR(__xludf.DUMMYFUNCTION("""COMPUTED_VALUE""")," Monroe")</f>
        <v xml:space="preserve"> Monroe</v>
      </c>
      <c r="L153" s="2" t="str">
        <f ca="1">IFERROR(__xludf.DUMMYFUNCTION("""COMPUTED_VALUE""")," LA 71202")</f>
        <v xml:space="preserve"> LA 71202</v>
      </c>
      <c r="M153" s="2" t="str">
        <f ca="1">IFERROR(__xludf.DUMMYFUNCTION("""COMPUTED_VALUE""")," USA")</f>
        <v xml:space="preserve"> USA</v>
      </c>
      <c r="R153" s="91"/>
    </row>
    <row r="154" spans="1:18">
      <c r="A154" s="60">
        <v>153</v>
      </c>
      <c r="B154" s="79" t="s">
        <v>1072</v>
      </c>
      <c r="C154" s="60" t="s">
        <v>595</v>
      </c>
      <c r="D154" s="92" t="s">
        <v>1148</v>
      </c>
      <c r="E154" s="48" t="str">
        <f t="shared" si="0"/>
        <v>Odessa</v>
      </c>
      <c r="F154" s="83" t="str">
        <f t="shared" si="1"/>
        <v>Permian (Odessa),TX</v>
      </c>
      <c r="G154" s="60" t="s">
        <v>1149</v>
      </c>
      <c r="H154" s="60">
        <v>31.886575700000002</v>
      </c>
      <c r="I154" s="60">
        <v>-102.3578201</v>
      </c>
      <c r="J154" s="60" t="str">
        <f ca="1">IFERROR(__xludf.DUMMYFUNCTION("SPLIT(G154,"","")"),"1800 E 42nd St")</f>
        <v>1800 E 42nd St</v>
      </c>
      <c r="K154" s="88" t="str">
        <f ca="1">IFERROR(__xludf.DUMMYFUNCTION("""COMPUTED_VALUE""")," Odessa")</f>
        <v xml:space="preserve"> Odessa</v>
      </c>
      <c r="L154" s="2" t="str">
        <f ca="1">IFERROR(__xludf.DUMMYFUNCTION("""COMPUTED_VALUE""")," TX 79762")</f>
        <v xml:space="preserve"> TX 79762</v>
      </c>
      <c r="M154" s="2" t="str">
        <f ca="1">IFERROR(__xludf.DUMMYFUNCTION("""COMPUTED_VALUE""")," USA")</f>
        <v xml:space="preserve"> USA</v>
      </c>
      <c r="R154" s="88"/>
    </row>
    <row r="155" spans="1:18">
      <c r="A155" s="65">
        <v>154</v>
      </c>
      <c r="B155" s="80" t="s">
        <v>1074</v>
      </c>
      <c r="C155" s="65" t="s">
        <v>71</v>
      </c>
      <c r="D155" s="93" t="s">
        <v>1152</v>
      </c>
      <c r="E155" s="48" t="str">
        <f t="shared" si="0"/>
        <v>Phoenix</v>
      </c>
      <c r="F155" s="83" t="str">
        <f t="shared" si="1"/>
        <v>Desert Vista (Phoenix),AZ</v>
      </c>
      <c r="G155" s="65" t="s">
        <v>1154</v>
      </c>
      <c r="H155" s="65">
        <v>33.5854675</v>
      </c>
      <c r="I155" s="65">
        <v>-112.0319877</v>
      </c>
      <c r="J155" s="60" t="str">
        <f ca="1">IFERROR(__xludf.DUMMYFUNCTION("SPLIT(G155,"","")"),"Christy Cove Park")</f>
        <v>Christy Cove Park</v>
      </c>
      <c r="K155" s="91" t="str">
        <f ca="1">IFERROR(__xludf.DUMMYFUNCTION("""COMPUTED_VALUE""")," 2352 E Christy Dr")</f>
        <v xml:space="preserve"> 2352 E Christy Dr</v>
      </c>
      <c r="L155" s="2" t="str">
        <f ca="1">IFERROR(__xludf.DUMMYFUNCTION("""COMPUTED_VALUE""")," Phoenix")</f>
        <v xml:space="preserve"> Phoenix</v>
      </c>
      <c r="M155" s="2" t="str">
        <f ca="1">IFERROR(__xludf.DUMMYFUNCTION("""COMPUTED_VALUE""")," AZ 85028")</f>
        <v xml:space="preserve"> AZ 85028</v>
      </c>
      <c r="N155" s="2" t="str">
        <f ca="1">IFERROR(__xludf.DUMMYFUNCTION("""COMPUTED_VALUE""")," USA")</f>
        <v xml:space="preserve"> USA</v>
      </c>
    </row>
    <row r="156" spans="1:18">
      <c r="A156" s="60">
        <v>155</v>
      </c>
      <c r="B156" s="79" t="s">
        <v>1077</v>
      </c>
      <c r="C156" s="60" t="s">
        <v>179</v>
      </c>
      <c r="D156" s="92" t="s">
        <v>731</v>
      </c>
      <c r="E156" s="48" t="str">
        <f t="shared" si="0"/>
        <v>Concord</v>
      </c>
      <c r="F156" s="83" t="str">
        <f t="shared" si="1"/>
        <v>Cannon (Concord),NC</v>
      </c>
      <c r="G156" s="60" t="s">
        <v>1158</v>
      </c>
      <c r="H156" s="60">
        <v>35.396276999999998</v>
      </c>
      <c r="I156" s="60">
        <v>-80.610044000000002</v>
      </c>
      <c r="J156" s="60" t="str">
        <f ca="1">IFERROR(__xludf.DUMMYFUNCTION("SPLIT(G156,"","")"),"760 Cabarrus Ave W")</f>
        <v>760 Cabarrus Ave W</v>
      </c>
      <c r="K156" s="88" t="str">
        <f ca="1">IFERROR(__xludf.DUMMYFUNCTION("""COMPUTED_VALUE""")," Concord")</f>
        <v xml:space="preserve"> Concord</v>
      </c>
      <c r="L156" s="2" t="str">
        <f ca="1">IFERROR(__xludf.DUMMYFUNCTION("""COMPUTED_VALUE""")," NC 28027")</f>
        <v xml:space="preserve"> NC 28027</v>
      </c>
      <c r="M156" s="2" t="str">
        <f ca="1">IFERROR(__xludf.DUMMYFUNCTION("""COMPUTED_VALUE""")," USA")</f>
        <v xml:space="preserve"> USA</v>
      </c>
      <c r="R156" s="88"/>
    </row>
    <row r="157" spans="1:18">
      <c r="A157" s="65">
        <v>156</v>
      </c>
      <c r="B157" s="80" t="s">
        <v>1078</v>
      </c>
      <c r="C157" s="65" t="s">
        <v>588</v>
      </c>
      <c r="D157" s="90" t="s">
        <v>635</v>
      </c>
      <c r="E157" s="48" t="str">
        <f t="shared" si="0"/>
        <v>Los Angeles</v>
      </c>
      <c r="F157" s="83" t="str">
        <f t="shared" si="1"/>
        <v>Westchester (Los Angeles),CA</v>
      </c>
      <c r="G157" s="65" t="s">
        <v>1162</v>
      </c>
      <c r="H157" s="65">
        <v>33.962590499999997</v>
      </c>
      <c r="I157" s="65">
        <v>-118.39878419999999</v>
      </c>
      <c r="J157" s="60" t="str">
        <f ca="1">IFERROR(__xludf.DUMMYFUNCTION("SPLIT(G157,"","")"),"6372 W 84th St")</f>
        <v>6372 W 84th St</v>
      </c>
      <c r="K157" s="91" t="str">
        <f ca="1">IFERROR(__xludf.DUMMYFUNCTION("""COMPUTED_VALUE""")," Los Angeles")</f>
        <v xml:space="preserve"> Los Angeles</v>
      </c>
      <c r="L157" s="2" t="str">
        <f ca="1">IFERROR(__xludf.DUMMYFUNCTION("""COMPUTED_VALUE""")," CA 90045")</f>
        <v xml:space="preserve"> CA 90045</v>
      </c>
      <c r="M157" s="2" t="str">
        <f ca="1">IFERROR(__xludf.DUMMYFUNCTION("""COMPUTED_VALUE""")," USA")</f>
        <v xml:space="preserve"> USA</v>
      </c>
      <c r="R157" s="91"/>
    </row>
    <row r="158" spans="1:18">
      <c r="A158" s="60">
        <v>157</v>
      </c>
      <c r="B158" s="79" t="s">
        <v>470</v>
      </c>
      <c r="C158" s="60" t="s">
        <v>618</v>
      </c>
      <c r="D158" s="60" t="s">
        <v>1167</v>
      </c>
      <c r="E158" s="48" t="str">
        <f t="shared" si="0"/>
        <v>Brownsburg</v>
      </c>
      <c r="F158" s="83" t="str">
        <f t="shared" si="1"/>
        <v>Brownsburg,IN</v>
      </c>
      <c r="G158" s="60" t="s">
        <v>1168</v>
      </c>
      <c r="H158" s="60">
        <v>39.843376900000003</v>
      </c>
      <c r="I158" s="60">
        <v>-86.397773500000014</v>
      </c>
      <c r="J158" s="60" t="str">
        <f ca="1">IFERROR(__xludf.DUMMYFUNCTION("SPLIT(G158,"","")"),"2 E Main St")</f>
        <v>2 E Main St</v>
      </c>
      <c r="K158" s="61" t="str">
        <f ca="1">IFERROR(__xludf.DUMMYFUNCTION("""COMPUTED_VALUE""")," Brownsburg")</f>
        <v xml:space="preserve"> Brownsburg</v>
      </c>
      <c r="L158" s="2" t="str">
        <f ca="1">IFERROR(__xludf.DUMMYFUNCTION("""COMPUTED_VALUE""")," IN 46112")</f>
        <v xml:space="preserve"> IN 46112</v>
      </c>
      <c r="M158" s="2" t="str">
        <f ca="1">IFERROR(__xludf.DUMMYFUNCTION("""COMPUTED_VALUE""")," USA")</f>
        <v xml:space="preserve"> USA</v>
      </c>
      <c r="R158" s="61"/>
    </row>
    <row r="159" spans="1:18">
      <c r="A159" s="65">
        <v>158</v>
      </c>
      <c r="B159" s="80" t="s">
        <v>1081</v>
      </c>
      <c r="C159" s="65" t="s">
        <v>174</v>
      </c>
      <c r="D159" s="90" t="s">
        <v>1172</v>
      </c>
      <c r="E159" s="48" t="str">
        <f t="shared" si="0"/>
        <v>Cleveland Heights</v>
      </c>
      <c r="F159" s="83" t="str">
        <f t="shared" si="1"/>
        <v>Lutheran East (Cleveland Heights),OH</v>
      </c>
      <c r="G159" s="65" t="s">
        <v>1173</v>
      </c>
      <c r="H159" s="65">
        <v>41.521182000000003</v>
      </c>
      <c r="I159" s="65">
        <v>-81.551003999999992</v>
      </c>
      <c r="J159" s="60" t="str">
        <f ca="1">IFERROR(__xludf.DUMMYFUNCTION("SPLIT(G159,"","")"),"3565 Mayfield Rd")</f>
        <v>3565 Mayfield Rd</v>
      </c>
      <c r="K159" s="91" t="str">
        <f ca="1">IFERROR(__xludf.DUMMYFUNCTION("""COMPUTED_VALUE""")," Cleveland Heights")</f>
        <v xml:space="preserve"> Cleveland Heights</v>
      </c>
      <c r="L159" s="2" t="str">
        <f ca="1">IFERROR(__xludf.DUMMYFUNCTION("""COMPUTED_VALUE""")," OH 44118")</f>
        <v xml:space="preserve"> OH 44118</v>
      </c>
      <c r="M159" s="2" t="str">
        <f ca="1">IFERROR(__xludf.DUMMYFUNCTION("""COMPUTED_VALUE""")," USA")</f>
        <v xml:space="preserve"> USA</v>
      </c>
      <c r="R159" s="91"/>
    </row>
    <row r="160" spans="1:18">
      <c r="A160" s="60">
        <v>159</v>
      </c>
      <c r="B160" s="79" t="s">
        <v>1085</v>
      </c>
      <c r="C160" s="60" t="s">
        <v>604</v>
      </c>
      <c r="D160" s="60" t="s">
        <v>1176</v>
      </c>
      <c r="E160" s="48" t="str">
        <f t="shared" si="0"/>
        <v>Chicago Heights</v>
      </c>
      <c r="F160" s="83" t="str">
        <f t="shared" si="1"/>
        <v>Bloom (Chicago Heights),IL</v>
      </c>
      <c r="G160" s="60" t="s">
        <v>1177</v>
      </c>
      <c r="H160" s="60">
        <v>41.506146000000001</v>
      </c>
      <c r="I160" s="60">
        <v>-87.635599499999998</v>
      </c>
      <c r="J160" s="60" t="str">
        <f ca="1">IFERROR(__xludf.DUMMYFUNCTION("SPLIT(G160,"","")"),"1350 S Halsted St")</f>
        <v>1350 S Halsted St</v>
      </c>
      <c r="K160" s="61" t="str">
        <f ca="1">IFERROR(__xludf.DUMMYFUNCTION("""COMPUTED_VALUE""")," Chicago Heights")</f>
        <v xml:space="preserve"> Chicago Heights</v>
      </c>
      <c r="L160" s="2" t="str">
        <f ca="1">IFERROR(__xludf.DUMMYFUNCTION("""COMPUTED_VALUE""")," IL 60411")</f>
        <v xml:space="preserve"> IL 60411</v>
      </c>
      <c r="M160" s="2" t="str">
        <f ca="1">IFERROR(__xludf.DUMMYFUNCTION("""COMPUTED_VALUE""")," USA")</f>
        <v xml:space="preserve"> USA</v>
      </c>
      <c r="R160" s="61"/>
    </row>
    <row r="161" spans="1:18">
      <c r="A161" s="65">
        <v>160</v>
      </c>
      <c r="B161" s="80" t="s">
        <v>1087</v>
      </c>
      <c r="C161" s="65" t="s">
        <v>737</v>
      </c>
      <c r="D161" s="90" t="s">
        <v>1180</v>
      </c>
      <c r="E161" s="48" t="str">
        <f t="shared" si="0"/>
        <v>Oradell</v>
      </c>
      <c r="F161" s="83" t="str">
        <f t="shared" si="1"/>
        <v>Bergen Catholic (Oradell),NJ</v>
      </c>
      <c r="G161" s="65" t="s">
        <v>1182</v>
      </c>
      <c r="H161" s="65">
        <v>40.9595196</v>
      </c>
      <c r="I161" s="65">
        <v>-74.049056800000002</v>
      </c>
      <c r="J161" s="60" t="str">
        <f ca="1">IFERROR(__xludf.DUMMYFUNCTION("SPLIT(G161,"","")"),"1040 Oradell Ave")</f>
        <v>1040 Oradell Ave</v>
      </c>
      <c r="K161" s="91" t="str">
        <f ca="1">IFERROR(__xludf.DUMMYFUNCTION("""COMPUTED_VALUE""")," Oradell")</f>
        <v xml:space="preserve"> Oradell</v>
      </c>
      <c r="L161" s="2" t="str">
        <f ca="1">IFERROR(__xludf.DUMMYFUNCTION("""COMPUTED_VALUE""")," NJ 07649")</f>
        <v xml:space="preserve"> NJ 07649</v>
      </c>
      <c r="M161" s="2" t="str">
        <f ca="1">IFERROR(__xludf.DUMMYFUNCTION("""COMPUTED_VALUE""")," USA")</f>
        <v xml:space="preserve"> USA</v>
      </c>
      <c r="R161" s="91"/>
    </row>
    <row r="162" spans="1:18">
      <c r="A162" s="60">
        <v>161</v>
      </c>
      <c r="B162" s="79" t="s">
        <v>1091</v>
      </c>
      <c r="C162" s="60" t="s">
        <v>136</v>
      </c>
      <c r="D162" s="60" t="s">
        <v>1186</v>
      </c>
      <c r="E162" s="48" t="str">
        <f t="shared" si="0"/>
        <v>Hialeah Gardens</v>
      </c>
      <c r="F162" s="83" t="str">
        <f t="shared" si="1"/>
        <v>Mater Academy Charter (Hialeah Gardens),FL</v>
      </c>
      <c r="G162" s="60" t="s">
        <v>1187</v>
      </c>
      <c r="H162" s="60">
        <v>25.868434700000002</v>
      </c>
      <c r="I162" s="60">
        <v>-80.325614999999999</v>
      </c>
      <c r="J162" s="60" t="str">
        <f ca="1">IFERROR(__xludf.DUMMYFUNCTION("SPLIT(G162,"","")"),"7901 NW 103rd St")</f>
        <v>7901 NW 103rd St</v>
      </c>
      <c r="K162" s="61" t="str">
        <f ca="1">IFERROR(__xludf.DUMMYFUNCTION("""COMPUTED_VALUE""")," Hialeah Gardens")</f>
        <v xml:space="preserve"> Hialeah Gardens</v>
      </c>
      <c r="L162" s="2" t="str">
        <f ca="1">IFERROR(__xludf.DUMMYFUNCTION("""COMPUTED_VALUE""")," FL 33016")</f>
        <v xml:space="preserve"> FL 33016</v>
      </c>
      <c r="M162" s="2" t="str">
        <f ca="1">IFERROR(__xludf.DUMMYFUNCTION("""COMPUTED_VALUE""")," USA")</f>
        <v xml:space="preserve"> USA</v>
      </c>
      <c r="R162" s="61"/>
    </row>
    <row r="163" spans="1:18">
      <c r="A163" s="65">
        <v>162</v>
      </c>
      <c r="B163" s="80" t="s">
        <v>1093</v>
      </c>
      <c r="C163" s="65" t="s">
        <v>1094</v>
      </c>
      <c r="D163" s="65" t="s">
        <v>1189</v>
      </c>
      <c r="E163" s="48" t="str">
        <f t="shared" si="0"/>
        <v>Caribou</v>
      </c>
      <c r="F163" s="83" t="str">
        <f t="shared" si="1"/>
        <v>Caribou,ME</v>
      </c>
      <c r="G163" s="65" t="s">
        <v>1191</v>
      </c>
      <c r="H163" s="65">
        <v>46.863999499999998</v>
      </c>
      <c r="I163" s="65">
        <v>-67.998036499999998</v>
      </c>
      <c r="J163" s="60" t="str">
        <f ca="1">IFERROR(__xludf.DUMMYFUNCTION("SPLIT(G163,"","")"),"208 Limestone St")</f>
        <v>208 Limestone St</v>
      </c>
      <c r="K163" s="66" t="str">
        <f ca="1">IFERROR(__xludf.DUMMYFUNCTION("""COMPUTED_VALUE""")," Caribou")</f>
        <v xml:space="preserve"> Caribou</v>
      </c>
      <c r="L163" s="2" t="str">
        <f ca="1">IFERROR(__xludf.DUMMYFUNCTION("""COMPUTED_VALUE""")," ME 04736")</f>
        <v xml:space="preserve"> ME 04736</v>
      </c>
      <c r="M163" s="2" t="str">
        <f ca="1">IFERROR(__xludf.DUMMYFUNCTION("""COMPUTED_VALUE""")," USA")</f>
        <v xml:space="preserve"> USA</v>
      </c>
      <c r="R163" s="66"/>
    </row>
    <row r="164" spans="1:18">
      <c r="A164" s="60">
        <v>163</v>
      </c>
      <c r="B164" s="79" t="s">
        <v>1096</v>
      </c>
      <c r="C164" s="60" t="s">
        <v>796</v>
      </c>
      <c r="D164" s="60" t="s">
        <v>1194</v>
      </c>
      <c r="E164" s="48" t="str">
        <f t="shared" si="0"/>
        <v>Andover</v>
      </c>
      <c r="F164" s="83" t="str">
        <f t="shared" si="1"/>
        <v>Andover,KS</v>
      </c>
      <c r="G164" s="60" t="s">
        <v>1195</v>
      </c>
      <c r="H164" s="60">
        <v>37.713904100000001</v>
      </c>
      <c r="I164" s="60">
        <v>-97.136429399999997</v>
      </c>
      <c r="J164" s="60" t="str">
        <f ca="1">IFERROR(__xludf.DUMMYFUNCTION("SPLIT(G164,"","")"),"801 N Andover Rd")</f>
        <v>801 N Andover Rd</v>
      </c>
      <c r="K164" s="61" t="str">
        <f ca="1">IFERROR(__xludf.DUMMYFUNCTION("""COMPUTED_VALUE""")," Andover")</f>
        <v xml:space="preserve"> Andover</v>
      </c>
      <c r="L164" s="2" t="str">
        <f ca="1">IFERROR(__xludf.DUMMYFUNCTION("""COMPUTED_VALUE""")," KS 67002")</f>
        <v xml:space="preserve"> KS 67002</v>
      </c>
      <c r="M164" s="2" t="str">
        <f ca="1">IFERROR(__xludf.DUMMYFUNCTION("""COMPUTED_VALUE""")," USA")</f>
        <v xml:space="preserve"> USA</v>
      </c>
      <c r="R164" s="61"/>
    </row>
    <row r="165" spans="1:18">
      <c r="A165" s="65">
        <v>164</v>
      </c>
      <c r="B165" s="80" t="s">
        <v>1098</v>
      </c>
      <c r="C165" s="65" t="s">
        <v>71</v>
      </c>
      <c r="D165" s="65" t="s">
        <v>1152</v>
      </c>
      <c r="E165" s="48" t="str">
        <f t="shared" si="0"/>
        <v>Phoenix</v>
      </c>
      <c r="F165" s="83" t="str">
        <f t="shared" si="1"/>
        <v>Hillcrest Prep (Phoenix),AZ</v>
      </c>
      <c r="G165" s="65" t="s">
        <v>1198</v>
      </c>
      <c r="H165" s="65">
        <v>33.633843100000007</v>
      </c>
      <c r="I165" s="65">
        <v>-111.99663649999999</v>
      </c>
      <c r="J165" s="60" t="str">
        <f ca="1">IFERROR(__xludf.DUMMYFUNCTION("SPLIT(G165,"","")"),"3916 E Paradise Ln")</f>
        <v>3916 E Paradise Ln</v>
      </c>
      <c r="K165" s="66" t="str">
        <f ca="1">IFERROR(__xludf.DUMMYFUNCTION("""COMPUTED_VALUE""")," Phoenix")</f>
        <v xml:space="preserve"> Phoenix</v>
      </c>
      <c r="L165" s="2" t="str">
        <f ca="1">IFERROR(__xludf.DUMMYFUNCTION("""COMPUTED_VALUE""")," AZ 85032")</f>
        <v xml:space="preserve"> AZ 85032</v>
      </c>
      <c r="M165" s="2" t="str">
        <f ca="1">IFERROR(__xludf.DUMMYFUNCTION("""COMPUTED_VALUE""")," USA")</f>
        <v xml:space="preserve"> USA</v>
      </c>
      <c r="R165" s="66"/>
    </row>
    <row r="166" spans="1:18">
      <c r="A166" s="60">
        <v>165</v>
      </c>
      <c r="B166" s="79" t="s">
        <v>1100</v>
      </c>
      <c r="C166" s="60" t="s">
        <v>174</v>
      </c>
      <c r="D166" s="92" t="s">
        <v>1201</v>
      </c>
      <c r="E166" s="48" t="str">
        <f t="shared" si="0"/>
        <v>Hilliard</v>
      </c>
      <c r="F166" s="83" t="str">
        <f t="shared" si="1"/>
        <v>Hilliard Bradley (Hilliard),OH</v>
      </c>
      <c r="G166" s="60" t="s">
        <v>1203</v>
      </c>
      <c r="H166" s="60">
        <v>40.006371799999997</v>
      </c>
      <c r="I166" s="60">
        <v>-83.201633799999996</v>
      </c>
      <c r="J166" s="60" t="str">
        <f ca="1">IFERROR(__xludf.DUMMYFUNCTION("SPLIT(G166,"","")"),"2800 Walker Rd")</f>
        <v>2800 Walker Rd</v>
      </c>
      <c r="K166" s="88" t="str">
        <f ca="1">IFERROR(__xludf.DUMMYFUNCTION("""COMPUTED_VALUE""")," Hilliard")</f>
        <v xml:space="preserve"> Hilliard</v>
      </c>
      <c r="L166" s="2" t="str">
        <f ca="1">IFERROR(__xludf.DUMMYFUNCTION("""COMPUTED_VALUE""")," OH 43026")</f>
        <v xml:space="preserve"> OH 43026</v>
      </c>
      <c r="M166" s="2" t="str">
        <f ca="1">IFERROR(__xludf.DUMMYFUNCTION("""COMPUTED_VALUE""")," USA")</f>
        <v xml:space="preserve"> USA</v>
      </c>
      <c r="R166" s="88"/>
    </row>
    <row r="167" spans="1:18">
      <c r="A167" s="65">
        <v>166</v>
      </c>
      <c r="B167" s="80" t="s">
        <v>1102</v>
      </c>
      <c r="C167" s="65" t="s">
        <v>604</v>
      </c>
      <c r="D167" s="65" t="s">
        <v>1207</v>
      </c>
      <c r="E167" s="48" t="str">
        <f t="shared" si="0"/>
        <v>Peoria</v>
      </c>
      <c r="F167" s="83" t="str">
        <f t="shared" si="1"/>
        <v>Peoria Notre Dame (Peoria),IL</v>
      </c>
      <c r="G167" s="65" t="s">
        <v>1208</v>
      </c>
      <c r="H167" s="65">
        <v>40.749192399999998</v>
      </c>
      <c r="I167" s="65">
        <v>-89.604099199999993</v>
      </c>
      <c r="J167" s="60" t="str">
        <f ca="1">IFERROR(__xludf.DUMMYFUNCTION("SPLIT(G167,"","")"),"5105 N Sheridan Rd")</f>
        <v>5105 N Sheridan Rd</v>
      </c>
      <c r="K167" s="66" t="str">
        <f ca="1">IFERROR(__xludf.DUMMYFUNCTION("""COMPUTED_VALUE""")," Peoria")</f>
        <v xml:space="preserve"> Peoria</v>
      </c>
      <c r="L167" s="2" t="str">
        <f ca="1">IFERROR(__xludf.DUMMYFUNCTION("""COMPUTED_VALUE""")," IL 61614")</f>
        <v xml:space="preserve"> IL 61614</v>
      </c>
      <c r="M167" s="2" t="str">
        <f ca="1">IFERROR(__xludf.DUMMYFUNCTION("""COMPUTED_VALUE""")," USA")</f>
        <v xml:space="preserve"> USA</v>
      </c>
      <c r="R167" s="66"/>
    </row>
    <row r="168" spans="1:18">
      <c r="A168" s="60">
        <v>167</v>
      </c>
      <c r="B168" s="79" t="s">
        <v>1106</v>
      </c>
      <c r="C168" s="60" t="s">
        <v>1067</v>
      </c>
      <c r="D168" s="93" t="s">
        <v>1213</v>
      </c>
      <c r="E168" s="48" t="str">
        <f t="shared" si="0"/>
        <v>The Bronx</v>
      </c>
      <c r="F168" s="83" t="str">
        <f t="shared" si="1"/>
        <v>Our Saviour Lutheran (Bronx),PS</v>
      </c>
      <c r="G168" s="60" t="s">
        <v>1214</v>
      </c>
      <c r="H168" s="60">
        <v>40.850215499999997</v>
      </c>
      <c r="I168" s="60">
        <v>-73.851060500000003</v>
      </c>
      <c r="J168" s="60">
        <f ca="1">IFERROR(__xludf.DUMMYFUNCTION("SPLIT(G168,"","")"),6286)</f>
        <v>6286</v>
      </c>
      <c r="K168" s="61" t="str">
        <f ca="1">IFERROR(__xludf.DUMMYFUNCTION("""COMPUTED_VALUE""")," 1734 Williamsbridge Rd")</f>
        <v xml:space="preserve"> 1734 Williamsbridge Rd</v>
      </c>
      <c r="L168" s="2" t="str">
        <f ca="1">IFERROR(__xludf.DUMMYFUNCTION("""COMPUTED_VALUE""")," The Bronx")</f>
        <v xml:space="preserve"> The Bronx</v>
      </c>
      <c r="M168" s="2" t="str">
        <f ca="1">IFERROR(__xludf.DUMMYFUNCTION("""COMPUTED_VALUE""")," NY 10461")</f>
        <v xml:space="preserve"> NY 10461</v>
      </c>
      <c r="N168" s="2" t="str">
        <f ca="1">IFERROR(__xludf.DUMMYFUNCTION("""COMPUTED_VALUE""")," USA")</f>
        <v xml:space="preserve"> USA</v>
      </c>
    </row>
    <row r="169" spans="1:18">
      <c r="A169" s="65">
        <v>168</v>
      </c>
      <c r="B169" s="80" t="s">
        <v>1108</v>
      </c>
      <c r="C169" s="65" t="s">
        <v>901</v>
      </c>
      <c r="D169" s="90" t="s">
        <v>1219</v>
      </c>
      <c r="E169" s="48" t="str">
        <f t="shared" si="0"/>
        <v>North Little Rock</v>
      </c>
      <c r="F169" s="83" t="str">
        <f t="shared" si="1"/>
        <v>North Little Rock,AR</v>
      </c>
      <c r="G169" s="65" t="s">
        <v>1221</v>
      </c>
      <c r="H169" s="65">
        <v>34.769536000000002</v>
      </c>
      <c r="I169" s="65">
        <v>-92.267094099999994</v>
      </c>
      <c r="J169" s="60" t="str">
        <f ca="1">IFERROR(__xludf.DUMMYFUNCTION("SPLIT(G169,"","")"),"1600 Main St")</f>
        <v>1600 Main St</v>
      </c>
      <c r="K169" s="91" t="str">
        <f ca="1">IFERROR(__xludf.DUMMYFUNCTION("""COMPUTED_VALUE""")," North Little Rock")</f>
        <v xml:space="preserve"> North Little Rock</v>
      </c>
      <c r="L169" s="2" t="str">
        <f ca="1">IFERROR(__xludf.DUMMYFUNCTION("""COMPUTED_VALUE""")," AR 72114")</f>
        <v xml:space="preserve"> AR 72114</v>
      </c>
      <c r="M169" s="2" t="str">
        <f ca="1">IFERROR(__xludf.DUMMYFUNCTION("""COMPUTED_VALUE""")," USA")</f>
        <v xml:space="preserve"> USA</v>
      </c>
      <c r="R169" s="91"/>
    </row>
    <row r="170" spans="1:18">
      <c r="A170" s="60">
        <v>169</v>
      </c>
      <c r="B170" s="79" t="s">
        <v>1111</v>
      </c>
      <c r="C170" s="60" t="s">
        <v>191</v>
      </c>
      <c r="D170" s="60" t="s">
        <v>1224</v>
      </c>
      <c r="E170" s="48" t="str">
        <f t="shared" si="0"/>
        <v>Ann Arbor</v>
      </c>
      <c r="F170" s="83" t="str">
        <f t="shared" si="1"/>
        <v>Huron (Ann Arbor),MI</v>
      </c>
      <c r="G170" s="60" t="s">
        <v>1225</v>
      </c>
      <c r="H170" s="60">
        <v>42.2811886</v>
      </c>
      <c r="I170" s="60">
        <v>-83.741179399999993</v>
      </c>
      <c r="J170" s="60" t="str">
        <f ca="1">IFERROR(__xludf.DUMMYFUNCTION("SPLIT(G170,"","")"),"Huron + State")</f>
        <v>Huron + State</v>
      </c>
      <c r="K170" s="61" t="str">
        <f ca="1">IFERROR(__xludf.DUMMYFUNCTION("""COMPUTED_VALUE""")," Ann Arbor")</f>
        <v xml:space="preserve"> Ann Arbor</v>
      </c>
      <c r="L170" s="2" t="str">
        <f ca="1">IFERROR(__xludf.DUMMYFUNCTION("""COMPUTED_VALUE""")," MI 48104")</f>
        <v xml:space="preserve"> MI 48104</v>
      </c>
      <c r="M170" s="2" t="str">
        <f ca="1">IFERROR(__xludf.DUMMYFUNCTION("""COMPUTED_VALUE""")," USA")</f>
        <v xml:space="preserve"> USA</v>
      </c>
      <c r="R170" s="61"/>
    </row>
    <row r="171" spans="1:18">
      <c r="A171" s="65">
        <v>170</v>
      </c>
      <c r="B171" s="80" t="s">
        <v>1112</v>
      </c>
      <c r="C171" s="65" t="s">
        <v>604</v>
      </c>
      <c r="D171" s="65" t="s">
        <v>652</v>
      </c>
      <c r="E171" s="48" t="str">
        <f t="shared" si="0"/>
        <v>Chicago</v>
      </c>
      <c r="F171" s="83" t="str">
        <f t="shared" si="1"/>
        <v>Orr (Chicago),IL</v>
      </c>
      <c r="G171" s="65" t="s">
        <v>1229</v>
      </c>
      <c r="H171" s="65">
        <v>41.893926999999998</v>
      </c>
      <c r="I171" s="65">
        <v>-87.726434999999995</v>
      </c>
      <c r="J171" s="60" t="str">
        <f ca="1">IFERROR(__xludf.DUMMYFUNCTION("SPLIT(G171,"","")"),"730 N Pulaski Rd")</f>
        <v>730 N Pulaski Rd</v>
      </c>
      <c r="K171" s="66" t="str">
        <f ca="1">IFERROR(__xludf.DUMMYFUNCTION("""COMPUTED_VALUE""")," Chicago")</f>
        <v xml:space="preserve"> Chicago</v>
      </c>
      <c r="L171" s="2" t="str">
        <f ca="1">IFERROR(__xludf.DUMMYFUNCTION("""COMPUTED_VALUE""")," IL 60624")</f>
        <v xml:space="preserve"> IL 60624</v>
      </c>
      <c r="M171" s="2" t="str">
        <f ca="1">IFERROR(__xludf.DUMMYFUNCTION("""COMPUTED_VALUE""")," USA")</f>
        <v xml:space="preserve"> USA</v>
      </c>
      <c r="R171" s="66"/>
    </row>
    <row r="172" spans="1:18">
      <c r="A172" s="60">
        <v>171</v>
      </c>
      <c r="B172" s="79" t="s">
        <v>1115</v>
      </c>
      <c r="C172" s="60" t="s">
        <v>588</v>
      </c>
      <c r="D172" s="60" t="s">
        <v>1233</v>
      </c>
      <c r="E172" s="48" t="str">
        <f t="shared" si="0"/>
        <v>Oxnard</v>
      </c>
      <c r="F172" s="83" t="str">
        <f t="shared" si="1"/>
        <v>Oxnard,CA</v>
      </c>
      <c r="G172" s="60" t="s">
        <v>1234</v>
      </c>
      <c r="H172" s="60">
        <v>34.197504799999997</v>
      </c>
      <c r="I172" s="60">
        <v>-119.1770516</v>
      </c>
      <c r="J172" s="60" t="str">
        <f ca="1">IFERROR(__xludf.DUMMYFUNCTION("SPLIT(G172,"","")"),"108 CA-34")</f>
        <v>108 CA-34</v>
      </c>
      <c r="K172" s="61" t="str">
        <f ca="1">IFERROR(__xludf.DUMMYFUNCTION("""COMPUTED_VALUE""")," Oxnard")</f>
        <v xml:space="preserve"> Oxnard</v>
      </c>
      <c r="L172" s="2" t="str">
        <f ca="1">IFERROR(__xludf.DUMMYFUNCTION("""COMPUTED_VALUE""")," CA 93030")</f>
        <v xml:space="preserve"> CA 93030</v>
      </c>
      <c r="M172" s="2" t="str">
        <f ca="1">IFERROR(__xludf.DUMMYFUNCTION("""COMPUTED_VALUE""")," USA")</f>
        <v xml:space="preserve"> USA</v>
      </c>
      <c r="R172" s="61"/>
    </row>
    <row r="173" spans="1:18">
      <c r="A173" s="65">
        <v>172</v>
      </c>
      <c r="B173" s="80" t="s">
        <v>1117</v>
      </c>
      <c r="C173" s="65" t="s">
        <v>588</v>
      </c>
      <c r="D173" s="65" t="s">
        <v>1238</v>
      </c>
      <c r="E173" s="48" t="str">
        <f t="shared" si="0"/>
        <v>La Jolla</v>
      </c>
      <c r="F173" s="83" t="str">
        <f t="shared" si="1"/>
        <v>Torrey Pines (San Diego),CA</v>
      </c>
      <c r="G173" s="65" t="s">
        <v>1240</v>
      </c>
      <c r="H173" s="65">
        <v>32.891772799999998</v>
      </c>
      <c r="I173" s="65">
        <v>-117.24040789999999</v>
      </c>
      <c r="J173" s="60" t="str">
        <f ca="1">IFERROR(__xludf.DUMMYFUNCTION("SPLIT(G173,"","")"),"11198 Genesee Ave")</f>
        <v>11198 Genesee Ave</v>
      </c>
      <c r="K173" s="66" t="str">
        <f ca="1">IFERROR(__xludf.DUMMYFUNCTION("""COMPUTED_VALUE""")," La Jolla")</f>
        <v xml:space="preserve"> La Jolla</v>
      </c>
      <c r="L173" s="2" t="str">
        <f ca="1">IFERROR(__xludf.DUMMYFUNCTION("""COMPUTED_VALUE""")," CA 92093")</f>
        <v xml:space="preserve"> CA 92093</v>
      </c>
      <c r="M173" s="2" t="str">
        <f ca="1">IFERROR(__xludf.DUMMYFUNCTION("""COMPUTED_VALUE""")," USA")</f>
        <v xml:space="preserve"> USA</v>
      </c>
      <c r="R173" s="66"/>
    </row>
    <row r="174" spans="1:18">
      <c r="A174" s="60">
        <v>173</v>
      </c>
      <c r="B174" s="79" t="s">
        <v>1121</v>
      </c>
      <c r="C174" s="60" t="s">
        <v>136</v>
      </c>
      <c r="D174" s="60" t="s">
        <v>918</v>
      </c>
      <c r="E174" s="48" t="str">
        <f t="shared" si="0"/>
        <v>Fort Lauderdale</v>
      </c>
      <c r="F174" s="83" t="str">
        <f t="shared" si="1"/>
        <v>University (Fort Lauderdale),FL</v>
      </c>
      <c r="G174" s="60" t="s">
        <v>1242</v>
      </c>
      <c r="H174" s="60">
        <v>26.119349499999998</v>
      </c>
      <c r="I174" s="60">
        <v>-80.141516999999993</v>
      </c>
      <c r="J174" s="60" t="str">
        <f ca="1">IFERROR(__xludf.DUMMYFUNCTION("SPLIT(G174,"","")"),"111 E Las Olas Blvd")</f>
        <v>111 E Las Olas Blvd</v>
      </c>
      <c r="K174" s="61" t="str">
        <f ca="1">IFERROR(__xludf.DUMMYFUNCTION("""COMPUTED_VALUE""")," Fort Lauderdale")</f>
        <v xml:space="preserve"> Fort Lauderdale</v>
      </c>
      <c r="L174" s="2" t="str">
        <f ca="1">IFERROR(__xludf.DUMMYFUNCTION("""COMPUTED_VALUE""")," FL 33301")</f>
        <v xml:space="preserve"> FL 33301</v>
      </c>
      <c r="M174" s="2" t="str">
        <f ca="1">IFERROR(__xludf.DUMMYFUNCTION("""COMPUTED_VALUE""")," USA")</f>
        <v xml:space="preserve"> USA</v>
      </c>
      <c r="R174" s="61"/>
    </row>
    <row r="175" spans="1:18">
      <c r="A175" s="65">
        <v>174</v>
      </c>
      <c r="B175" s="80" t="s">
        <v>1124</v>
      </c>
      <c r="C175" s="65" t="s">
        <v>770</v>
      </c>
      <c r="D175" s="90" t="s">
        <v>1245</v>
      </c>
      <c r="E175" s="48" t="str">
        <f t="shared" si="0"/>
        <v>Eads</v>
      </c>
      <c r="F175" s="83" t="str">
        <f t="shared" si="1"/>
        <v>Briarcrest Christian (Eads),TN</v>
      </c>
      <c r="G175" s="65" t="s">
        <v>1247</v>
      </c>
      <c r="H175" s="65">
        <v>35.120942999999997</v>
      </c>
      <c r="I175" s="65">
        <v>-89.731439499999993</v>
      </c>
      <c r="J175" s="60" t="str">
        <f ca="1">IFERROR(__xludf.DUMMYFUNCTION("SPLIT(G175,"","")"),"Unnamed Road")</f>
        <v>Unnamed Road</v>
      </c>
      <c r="K175" s="91" t="str">
        <f ca="1">IFERROR(__xludf.DUMMYFUNCTION("""COMPUTED_VALUE""")," Eads")</f>
        <v xml:space="preserve"> Eads</v>
      </c>
      <c r="L175" s="2" t="str">
        <f ca="1">IFERROR(__xludf.DUMMYFUNCTION("""COMPUTED_VALUE""")," TN 38028")</f>
        <v xml:space="preserve"> TN 38028</v>
      </c>
      <c r="M175" s="2" t="str">
        <f ca="1">IFERROR(__xludf.DUMMYFUNCTION("""COMPUTED_VALUE""")," USA")</f>
        <v xml:space="preserve"> USA</v>
      </c>
      <c r="R175" s="91"/>
    </row>
    <row r="176" spans="1:18">
      <c r="A176" s="60">
        <v>175</v>
      </c>
      <c r="B176" s="79" t="s">
        <v>1126</v>
      </c>
      <c r="C176" s="60" t="s">
        <v>682</v>
      </c>
      <c r="D176" s="93" t="s">
        <v>1251</v>
      </c>
      <c r="E176" s="48" t="str">
        <f t="shared" si="0"/>
        <v>Racine</v>
      </c>
      <c r="F176" s="83" t="str">
        <f t="shared" si="1"/>
        <v>St. Catherine's (Racine),WI</v>
      </c>
      <c r="G176" s="60" t="s">
        <v>1253</v>
      </c>
      <c r="H176" s="60">
        <v>42.7183232</v>
      </c>
      <c r="I176" s="60">
        <v>-87.786782000000002</v>
      </c>
      <c r="J176" s="60" t="str">
        <f ca="1">IFERROR(__xludf.DUMMYFUNCTION("SPLIT(G176,"","")"),"1200 Park Ave")</f>
        <v>1200 Park Ave</v>
      </c>
      <c r="K176" s="2" t="str">
        <f ca="1">IFERROR(__xludf.DUMMYFUNCTION("""COMPUTED_VALUE""")," Racine")</f>
        <v xml:space="preserve"> Racine</v>
      </c>
      <c r="L176" s="2" t="str">
        <f ca="1">IFERROR(__xludf.DUMMYFUNCTION("""COMPUTED_VALUE""")," WI 53403")</f>
        <v xml:space="preserve"> WI 53403</v>
      </c>
      <c r="M176" s="2" t="str">
        <f ca="1">IFERROR(__xludf.DUMMYFUNCTION("""COMPUTED_VALUE""")," USA")</f>
        <v xml:space="preserve"> USA</v>
      </c>
    </row>
    <row r="177" spans="1:18">
      <c r="A177" s="60">
        <v>176</v>
      </c>
      <c r="B177" s="79" t="s">
        <v>1130</v>
      </c>
      <c r="C177" s="60" t="s">
        <v>595</v>
      </c>
      <c r="D177" s="92" t="s">
        <v>958</v>
      </c>
      <c r="E177" s="48" t="str">
        <f t="shared" si="0"/>
        <v>Coppell</v>
      </c>
      <c r="F177" s="83" t="str">
        <f t="shared" si="1"/>
        <v>Universal Academy (Irving),TX</v>
      </c>
      <c r="G177" s="104" t="s">
        <v>1257</v>
      </c>
      <c r="H177" s="48">
        <v>32.968800000000002</v>
      </c>
      <c r="I177" s="60">
        <v>-96.958117000000016</v>
      </c>
      <c r="J177" s="60" t="str">
        <f ca="1">IFERROR(__xludf.DUMMYFUNCTION("SPLIT(G177,"","")"),"1101 E Sandy Lake Rd")</f>
        <v>1101 E Sandy Lake Rd</v>
      </c>
      <c r="K177" s="88" t="str">
        <f ca="1">IFERROR(__xludf.DUMMYFUNCTION("""COMPUTED_VALUE""")," Coppell")</f>
        <v xml:space="preserve"> Coppell</v>
      </c>
      <c r="L177" s="2" t="str">
        <f ca="1">IFERROR(__xludf.DUMMYFUNCTION("""COMPUTED_VALUE""")," TX 75019")</f>
        <v xml:space="preserve"> TX 75019</v>
      </c>
      <c r="M177" s="2" t="str">
        <f ca="1">IFERROR(__xludf.DUMMYFUNCTION("""COMPUTED_VALUE""")," USA")</f>
        <v xml:space="preserve"> USA</v>
      </c>
      <c r="R177" s="88"/>
    </row>
    <row r="178" spans="1:18">
      <c r="A178" s="65">
        <v>177</v>
      </c>
      <c r="B178" s="80" t="s">
        <v>1131</v>
      </c>
      <c r="C178" s="65" t="s">
        <v>604</v>
      </c>
      <c r="D178" s="90" t="s">
        <v>652</v>
      </c>
      <c r="E178" s="48" t="str">
        <f t="shared" si="0"/>
        <v>Chicago</v>
      </c>
      <c r="F178" s="83" t="str">
        <f t="shared" si="1"/>
        <v>Morgan Park (Chicago),IL</v>
      </c>
      <c r="G178" s="65" t="s">
        <v>1262</v>
      </c>
      <c r="H178" s="65">
        <v>41.687529599999998</v>
      </c>
      <c r="I178" s="65">
        <v>-87.669164600000002</v>
      </c>
      <c r="J178" s="60" t="str">
        <f ca="1">IFERROR(__xludf.DUMMYFUNCTION("SPLIT(G178,"","")"),"11337 S Hermosa Ave")</f>
        <v>11337 S Hermosa Ave</v>
      </c>
      <c r="K178" s="91" t="str">
        <f ca="1">IFERROR(__xludf.DUMMYFUNCTION("""COMPUTED_VALUE""")," Chicago")</f>
        <v xml:space="preserve"> Chicago</v>
      </c>
      <c r="L178" s="2" t="str">
        <f ca="1">IFERROR(__xludf.DUMMYFUNCTION("""COMPUTED_VALUE""")," IL 60643")</f>
        <v xml:space="preserve"> IL 60643</v>
      </c>
      <c r="M178" s="2" t="str">
        <f ca="1">IFERROR(__xludf.DUMMYFUNCTION("""COMPUTED_VALUE""")," USA")</f>
        <v xml:space="preserve"> USA</v>
      </c>
      <c r="R178" s="91"/>
    </row>
    <row r="179" spans="1:18">
      <c r="A179" s="60">
        <v>178</v>
      </c>
      <c r="B179" s="79" t="s">
        <v>1132</v>
      </c>
      <c r="C179" s="60" t="s">
        <v>174</v>
      </c>
      <c r="D179" s="92" t="s">
        <v>1266</v>
      </c>
      <c r="E179" s="48" t="str">
        <f t="shared" si="0"/>
        <v>Gahanna</v>
      </c>
      <c r="F179" s="83" t="str">
        <f t="shared" si="1"/>
        <v>Lincoln (Gahanna),OH</v>
      </c>
      <c r="G179" s="60" t="s">
        <v>1268</v>
      </c>
      <c r="H179" s="60">
        <v>40.016458999999998</v>
      </c>
      <c r="I179" s="60">
        <v>-82.865554000000003</v>
      </c>
      <c r="J179" s="60" t="str">
        <f ca="1">IFERROR(__xludf.DUMMYFUNCTION("SPLIT(G179,"","")"),"140 S Hamilton Rd")</f>
        <v>140 S Hamilton Rd</v>
      </c>
      <c r="K179" s="88" t="str">
        <f ca="1">IFERROR(__xludf.DUMMYFUNCTION("""COMPUTED_VALUE""")," Gahanna")</f>
        <v xml:space="preserve"> Gahanna</v>
      </c>
      <c r="L179" s="2" t="str">
        <f ca="1">IFERROR(__xludf.DUMMYFUNCTION("""COMPUTED_VALUE""")," OH 43230")</f>
        <v xml:space="preserve"> OH 43230</v>
      </c>
      <c r="M179" s="2" t="str">
        <f ca="1">IFERROR(__xludf.DUMMYFUNCTION("""COMPUTED_VALUE""")," USA")</f>
        <v xml:space="preserve"> USA</v>
      </c>
      <c r="R179" s="88"/>
    </row>
    <row r="180" spans="1:18">
      <c r="A180" s="65">
        <v>179</v>
      </c>
      <c r="B180" s="80" t="s">
        <v>1135</v>
      </c>
      <c r="C180" s="65" t="s">
        <v>682</v>
      </c>
      <c r="D180" s="65" t="s">
        <v>1270</v>
      </c>
      <c r="E180" s="48" t="str">
        <f t="shared" si="0"/>
        <v>Madison</v>
      </c>
      <c r="F180" s="83" t="str">
        <f t="shared" si="1"/>
        <v>Madison La Follette (Madison),WI</v>
      </c>
      <c r="G180" s="65" t="s">
        <v>1271</v>
      </c>
      <c r="H180" s="65">
        <v>43.062768899999988</v>
      </c>
      <c r="I180" s="65">
        <v>-89.319203099999996</v>
      </c>
      <c r="J180" s="60" t="str">
        <f ca="1">IFERROR(__xludf.DUMMYFUNCTION("SPLIT(G180,"","")"),"700 Pflaum Rd")</f>
        <v>700 Pflaum Rd</v>
      </c>
      <c r="K180" s="66" t="str">
        <f ca="1">IFERROR(__xludf.DUMMYFUNCTION("""COMPUTED_VALUE""")," Madison")</f>
        <v xml:space="preserve"> Madison</v>
      </c>
      <c r="L180" s="2" t="str">
        <f ca="1">IFERROR(__xludf.DUMMYFUNCTION("""COMPUTED_VALUE""")," WI 53716")</f>
        <v xml:space="preserve"> WI 53716</v>
      </c>
      <c r="M180" s="2" t="str">
        <f ca="1">IFERROR(__xludf.DUMMYFUNCTION("""COMPUTED_VALUE""")," USA")</f>
        <v xml:space="preserve"> USA</v>
      </c>
      <c r="R180" s="66"/>
    </row>
    <row r="181" spans="1:18">
      <c r="A181" s="60">
        <v>180</v>
      </c>
      <c r="B181" s="79" t="s">
        <v>303</v>
      </c>
      <c r="C181" s="60" t="s">
        <v>69</v>
      </c>
      <c r="D181" s="60" t="s">
        <v>1276</v>
      </c>
      <c r="E181" s="48" t="str">
        <f t="shared" si="0"/>
        <v>Fairfield</v>
      </c>
      <c r="F181" s="83" t="str">
        <f t="shared" si="1"/>
        <v>Fairfield,AL</v>
      </c>
      <c r="G181" s="60" t="s">
        <v>1278</v>
      </c>
      <c r="H181" s="60">
        <v>33.485940200000002</v>
      </c>
      <c r="I181" s="60">
        <v>-86.91193659999999</v>
      </c>
      <c r="J181" s="60" t="str">
        <f ca="1">IFERROR(__xludf.DUMMYFUNCTION("SPLIT(G181,"","")"),"420 52nd St Ensley")</f>
        <v>420 52nd St Ensley</v>
      </c>
      <c r="K181" s="61" t="str">
        <f ca="1">IFERROR(__xludf.DUMMYFUNCTION("""COMPUTED_VALUE""")," Fairfield")</f>
        <v xml:space="preserve"> Fairfield</v>
      </c>
      <c r="L181" s="2" t="str">
        <f ca="1">IFERROR(__xludf.DUMMYFUNCTION("""COMPUTED_VALUE""")," AL 35064")</f>
        <v xml:space="preserve"> AL 35064</v>
      </c>
      <c r="M181" s="2" t="str">
        <f ca="1">IFERROR(__xludf.DUMMYFUNCTION("""COMPUTED_VALUE""")," USA")</f>
        <v xml:space="preserve"> USA</v>
      </c>
      <c r="R181" s="61"/>
    </row>
    <row r="182" spans="1:18">
      <c r="A182" s="65">
        <v>181</v>
      </c>
      <c r="B182" s="80" t="s">
        <v>1137</v>
      </c>
      <c r="C182" s="65" t="s">
        <v>598</v>
      </c>
      <c r="D182" s="90" t="s">
        <v>1281</v>
      </c>
      <c r="E182" s="48" t="str">
        <f t="shared" si="0"/>
        <v>Mableton</v>
      </c>
      <c r="F182" s="83" t="str">
        <f t="shared" si="1"/>
        <v>South Cobb (Austell),GA</v>
      </c>
      <c r="G182" s="65" t="s">
        <v>1282</v>
      </c>
      <c r="H182" s="65">
        <v>33.835048499999999</v>
      </c>
      <c r="I182" s="65">
        <v>-84.6096158</v>
      </c>
      <c r="J182" s="60" t="str">
        <f ca="1">IFERROR(__xludf.DUMMYFUNCTION("SPLIT(G182,"","")"),"1920 Clay Rd SW")</f>
        <v>1920 Clay Rd SW</v>
      </c>
      <c r="K182" s="91" t="str">
        <f ca="1">IFERROR(__xludf.DUMMYFUNCTION("""COMPUTED_VALUE""")," Mableton")</f>
        <v xml:space="preserve"> Mableton</v>
      </c>
      <c r="L182" s="2" t="str">
        <f ca="1">IFERROR(__xludf.DUMMYFUNCTION("""COMPUTED_VALUE""")," GA 30126")</f>
        <v xml:space="preserve"> GA 30126</v>
      </c>
      <c r="M182" s="2" t="str">
        <f ca="1">IFERROR(__xludf.DUMMYFUNCTION("""COMPUTED_VALUE""")," USA")</f>
        <v xml:space="preserve"> USA</v>
      </c>
      <c r="R182" s="91"/>
    </row>
    <row r="183" spans="1:18">
      <c r="A183" s="60">
        <v>182</v>
      </c>
      <c r="B183" s="79" t="s">
        <v>1138</v>
      </c>
      <c r="C183" s="60" t="s">
        <v>675</v>
      </c>
      <c r="D183" s="92" t="s">
        <v>705</v>
      </c>
      <c r="E183" s="48" t="str">
        <f t="shared" si="0"/>
        <v>Philadelphia</v>
      </c>
      <c r="F183" s="83" t="str">
        <f t="shared" si="1"/>
        <v>Roman Catholic (Philadelphia),PA</v>
      </c>
      <c r="G183" s="60" t="s">
        <v>1284</v>
      </c>
      <c r="H183" s="60">
        <v>39.958114399999999</v>
      </c>
      <c r="I183" s="60">
        <v>-75.161760000000001</v>
      </c>
      <c r="J183" s="60" t="str">
        <f ca="1">IFERROR(__xludf.DUMMYFUNCTION("SPLIT(G183,"","")"),"301 N Broad St")</f>
        <v>301 N Broad St</v>
      </c>
      <c r="K183" s="88" t="str">
        <f ca="1">IFERROR(__xludf.DUMMYFUNCTION("""COMPUTED_VALUE""")," Philadelphia")</f>
        <v xml:space="preserve"> Philadelphia</v>
      </c>
      <c r="L183" s="2" t="str">
        <f ca="1">IFERROR(__xludf.DUMMYFUNCTION("""COMPUTED_VALUE""")," PA 19107")</f>
        <v xml:space="preserve"> PA 19107</v>
      </c>
      <c r="M183" s="2" t="str">
        <f ca="1">IFERROR(__xludf.DUMMYFUNCTION("""COMPUTED_VALUE""")," USA")</f>
        <v xml:space="preserve"> USA</v>
      </c>
      <c r="R183" s="88"/>
    </row>
    <row r="184" spans="1:18">
      <c r="A184" s="65">
        <v>183</v>
      </c>
      <c r="B184" s="80" t="s">
        <v>1141</v>
      </c>
      <c r="C184" s="65" t="s">
        <v>604</v>
      </c>
      <c r="D184" s="90" t="s">
        <v>1286</v>
      </c>
      <c r="E184" s="48" t="str">
        <f t="shared" si="0"/>
        <v>Evanston</v>
      </c>
      <c r="F184" s="83" t="str">
        <f t="shared" si="1"/>
        <v>Evanston,IL</v>
      </c>
      <c r="G184" s="65" t="s">
        <v>1287</v>
      </c>
      <c r="H184" s="65">
        <v>42.0450722</v>
      </c>
      <c r="I184" s="65">
        <v>-87.687696899999992</v>
      </c>
      <c r="J184" s="60" t="str">
        <f ca="1">IFERROR(__xludf.DUMMYFUNCTION("SPLIT(G184,"","")"),"1511 Ridge Ave")</f>
        <v>1511 Ridge Ave</v>
      </c>
      <c r="K184" s="91" t="str">
        <f ca="1">IFERROR(__xludf.DUMMYFUNCTION("""COMPUTED_VALUE""")," Evanston")</f>
        <v xml:space="preserve"> Evanston</v>
      </c>
      <c r="L184" s="2" t="str">
        <f ca="1">IFERROR(__xludf.DUMMYFUNCTION("""COMPUTED_VALUE""")," IL 60201")</f>
        <v xml:space="preserve"> IL 60201</v>
      </c>
      <c r="M184" s="2" t="str">
        <f ca="1">IFERROR(__xludf.DUMMYFUNCTION("""COMPUTED_VALUE""")," USA")</f>
        <v xml:space="preserve"> USA</v>
      </c>
      <c r="R184" s="91"/>
    </row>
    <row r="185" spans="1:18">
      <c r="A185" s="60">
        <v>184</v>
      </c>
      <c r="B185" s="79" t="s">
        <v>1142</v>
      </c>
      <c r="C185" s="60" t="s">
        <v>174</v>
      </c>
      <c r="D185" s="60" t="s">
        <v>1292</v>
      </c>
      <c r="E185" s="48" t="str">
        <f t="shared" si="0"/>
        <v>Shaker Heights</v>
      </c>
      <c r="F185" s="83" t="str">
        <f t="shared" si="1"/>
        <v>Shaker Heights,OH</v>
      </c>
      <c r="G185" s="60" t="s">
        <v>1293</v>
      </c>
      <c r="H185" s="60">
        <v>41.4739419</v>
      </c>
      <c r="I185" s="60">
        <v>-81.537067100000002</v>
      </c>
      <c r="J185" s="60" t="str">
        <f ca="1">IFERROR(__xludf.DUMMYFUNCTION("SPLIT(G185,"","")"),"20151 S Woodland Rd")</f>
        <v>20151 S Woodland Rd</v>
      </c>
      <c r="K185" s="61" t="str">
        <f ca="1">IFERROR(__xludf.DUMMYFUNCTION("""COMPUTED_VALUE""")," Shaker Heights")</f>
        <v xml:space="preserve"> Shaker Heights</v>
      </c>
      <c r="L185" s="2" t="str">
        <f ca="1">IFERROR(__xludf.DUMMYFUNCTION("""COMPUTED_VALUE""")," OH 44122")</f>
        <v xml:space="preserve"> OH 44122</v>
      </c>
      <c r="M185" s="2" t="str">
        <f ca="1">IFERROR(__xludf.DUMMYFUNCTION("""COMPUTED_VALUE""")," USA")</f>
        <v xml:space="preserve"> USA</v>
      </c>
      <c r="R185" s="61"/>
    </row>
    <row r="186" spans="1:18">
      <c r="A186" s="65">
        <v>185</v>
      </c>
      <c r="B186" s="80" t="s">
        <v>1146</v>
      </c>
      <c r="C186" s="65" t="s">
        <v>901</v>
      </c>
      <c r="D186" s="90" t="s">
        <v>1298</v>
      </c>
      <c r="E186" s="48" t="str">
        <f t="shared" si="0"/>
        <v>Magnolia</v>
      </c>
      <c r="F186" s="83" t="str">
        <f t="shared" si="1"/>
        <v>Magnolia,AR</v>
      </c>
      <c r="G186" s="65" t="s">
        <v>1299</v>
      </c>
      <c r="H186" s="65">
        <v>33.267072499999998</v>
      </c>
      <c r="I186" s="65">
        <v>-93.239333999999999</v>
      </c>
      <c r="J186" s="60" t="str">
        <f ca="1">IFERROR(__xludf.DUMMYFUNCTION("SPLIT(G186,"","")"),"121 E Main St")</f>
        <v>121 E Main St</v>
      </c>
      <c r="K186" s="91" t="str">
        <f ca="1">IFERROR(__xludf.DUMMYFUNCTION("""COMPUTED_VALUE""")," Magnolia")</f>
        <v xml:space="preserve"> Magnolia</v>
      </c>
      <c r="L186" s="2" t="str">
        <f ca="1">IFERROR(__xludf.DUMMYFUNCTION("""COMPUTED_VALUE""")," AR 71753")</f>
        <v xml:space="preserve"> AR 71753</v>
      </c>
      <c r="M186" s="2" t="str">
        <f ca="1">IFERROR(__xludf.DUMMYFUNCTION("""COMPUTED_VALUE""")," USA")</f>
        <v xml:space="preserve"> USA</v>
      </c>
      <c r="R186" s="91"/>
    </row>
    <row r="187" spans="1:18">
      <c r="A187" s="60">
        <v>186</v>
      </c>
      <c r="B187" s="79" t="s">
        <v>1147</v>
      </c>
      <c r="C187" s="60" t="s">
        <v>618</v>
      </c>
      <c r="D187" s="60" t="s">
        <v>1301</v>
      </c>
      <c r="E187" s="48" t="str">
        <f t="shared" si="0"/>
        <v>La Porte</v>
      </c>
      <c r="F187" s="83" t="str">
        <f t="shared" si="1"/>
        <v>La Lumiere (La Porte),IN</v>
      </c>
      <c r="G187" s="60" t="s">
        <v>1302</v>
      </c>
      <c r="H187" s="60">
        <v>41.705447100000008</v>
      </c>
      <c r="I187" s="60">
        <v>-86.714176100000003</v>
      </c>
      <c r="J187" s="60" t="str">
        <f ca="1">IFERROR(__xludf.DUMMYFUNCTION("SPLIT(G187,"","")"),"6801 N Wilhelm Rd")</f>
        <v>6801 N Wilhelm Rd</v>
      </c>
      <c r="K187" s="61" t="str">
        <f ca="1">IFERROR(__xludf.DUMMYFUNCTION("""COMPUTED_VALUE""")," La Porte")</f>
        <v xml:space="preserve"> La Porte</v>
      </c>
      <c r="L187" s="2" t="str">
        <f ca="1">IFERROR(__xludf.DUMMYFUNCTION("""COMPUTED_VALUE""")," IN 46350")</f>
        <v xml:space="preserve"> IN 46350</v>
      </c>
      <c r="M187" s="2" t="str">
        <f ca="1">IFERROR(__xludf.DUMMYFUNCTION("""COMPUTED_VALUE""")," USA")</f>
        <v xml:space="preserve"> USA</v>
      </c>
      <c r="R187" s="61"/>
    </row>
    <row r="188" spans="1:18">
      <c r="A188" s="65">
        <v>187</v>
      </c>
      <c r="B188" s="80" t="s">
        <v>1151</v>
      </c>
      <c r="C188" s="65" t="s">
        <v>598</v>
      </c>
      <c r="D188" s="90" t="s">
        <v>1303</v>
      </c>
      <c r="E188" s="48" t="str">
        <f t="shared" si="0"/>
        <v>Atlanta</v>
      </c>
      <c r="F188" s="83" t="str">
        <f t="shared" si="1"/>
        <v>Pace Academy (Atlanta),GA</v>
      </c>
      <c r="G188" s="65" t="s">
        <v>1304</v>
      </c>
      <c r="H188" s="65">
        <v>33.849714599999999</v>
      </c>
      <c r="I188" s="65">
        <v>-84.417132999999993</v>
      </c>
      <c r="J188" s="60" t="str">
        <f ca="1">IFERROR(__xludf.DUMMYFUNCTION("SPLIT(G188,"","")"),"945 West Paces Ferry Rd NW")</f>
        <v>945 West Paces Ferry Rd NW</v>
      </c>
      <c r="K188" s="91" t="str">
        <f ca="1">IFERROR(__xludf.DUMMYFUNCTION("""COMPUTED_VALUE""")," Atlanta")</f>
        <v xml:space="preserve"> Atlanta</v>
      </c>
      <c r="L188" s="2" t="str">
        <f ca="1">IFERROR(__xludf.DUMMYFUNCTION("""COMPUTED_VALUE""")," GA 30327")</f>
        <v xml:space="preserve"> GA 30327</v>
      </c>
      <c r="M188" s="2" t="str">
        <f ca="1">IFERROR(__xludf.DUMMYFUNCTION("""COMPUTED_VALUE""")," USA")</f>
        <v xml:space="preserve"> USA</v>
      </c>
      <c r="R188" s="91"/>
    </row>
    <row r="189" spans="1:18">
      <c r="A189" s="60">
        <v>188</v>
      </c>
      <c r="B189" s="79" t="s">
        <v>1153</v>
      </c>
      <c r="C189" s="60" t="s">
        <v>675</v>
      </c>
      <c r="D189" s="92" t="s">
        <v>1305</v>
      </c>
      <c r="E189" s="48" t="str">
        <f t="shared" si="0"/>
        <v>Eagleville</v>
      </c>
      <c r="F189" s="83" t="str">
        <f t="shared" si="1"/>
        <v>Methacton (Norristown),PA</v>
      </c>
      <c r="G189" s="60" t="s">
        <v>1306</v>
      </c>
      <c r="H189" s="60">
        <v>40.160385099999999</v>
      </c>
      <c r="I189" s="60">
        <v>-75.399508900000001</v>
      </c>
      <c r="J189" s="60" t="str">
        <f ca="1">IFERROR(__xludf.DUMMYFUNCTION("SPLIT(G189,"","")"),"3138 Longacre Rd")</f>
        <v>3138 Longacre Rd</v>
      </c>
      <c r="K189" s="88" t="str">
        <f ca="1">IFERROR(__xludf.DUMMYFUNCTION("""COMPUTED_VALUE""")," Eagleville")</f>
        <v xml:space="preserve"> Eagleville</v>
      </c>
      <c r="L189" s="2" t="str">
        <f ca="1">IFERROR(__xludf.DUMMYFUNCTION("""COMPUTED_VALUE""")," PA 19403")</f>
        <v xml:space="preserve"> PA 19403</v>
      </c>
      <c r="M189" s="2" t="str">
        <f ca="1">IFERROR(__xludf.DUMMYFUNCTION("""COMPUTED_VALUE""")," USA")</f>
        <v xml:space="preserve"> USA</v>
      </c>
      <c r="R189" s="88"/>
    </row>
    <row r="190" spans="1:18">
      <c r="A190" s="65">
        <v>189</v>
      </c>
      <c r="B190" s="80" t="s">
        <v>1156</v>
      </c>
      <c r="C190" s="65" t="s">
        <v>770</v>
      </c>
      <c r="D190" s="90" t="s">
        <v>1307</v>
      </c>
      <c r="E190" s="48" t="str">
        <f t="shared" si="0"/>
        <v>Germantown</v>
      </c>
      <c r="F190" s="83" t="str">
        <f t="shared" si="1"/>
        <v>Houston (Germantown),TN</v>
      </c>
      <c r="G190" s="65" t="s">
        <v>1308</v>
      </c>
      <c r="H190" s="65">
        <v>35.093755000000002</v>
      </c>
      <c r="I190" s="65">
        <v>-89.737555700000001</v>
      </c>
      <c r="J190" s="60" t="str">
        <f ca="1">IFERROR(__xludf.DUMMYFUNCTION("SPLIT(G190,"","")"),"9755 Wolf River Blvd")</f>
        <v>9755 Wolf River Blvd</v>
      </c>
      <c r="K190" s="91" t="str">
        <f ca="1">IFERROR(__xludf.DUMMYFUNCTION("""COMPUTED_VALUE""")," Germantown")</f>
        <v xml:space="preserve"> Germantown</v>
      </c>
      <c r="L190" s="2" t="str">
        <f ca="1">IFERROR(__xludf.DUMMYFUNCTION("""COMPUTED_VALUE""")," TN 38139")</f>
        <v xml:space="preserve"> TN 38139</v>
      </c>
      <c r="M190" s="2" t="str">
        <f ca="1">IFERROR(__xludf.DUMMYFUNCTION("""COMPUTED_VALUE""")," USA")</f>
        <v xml:space="preserve"> USA</v>
      </c>
      <c r="R190" s="91"/>
    </row>
    <row r="191" spans="1:18">
      <c r="A191" s="60">
        <v>190</v>
      </c>
      <c r="B191" s="79" t="s">
        <v>1159</v>
      </c>
      <c r="C191" s="60" t="s">
        <v>675</v>
      </c>
      <c r="D191" s="60" t="s">
        <v>1310</v>
      </c>
      <c r="E191" s="48" t="str">
        <f t="shared" si="0"/>
        <v>Erie</v>
      </c>
      <c r="F191" s="83" t="str">
        <f t="shared" si="1"/>
        <v>McDowell (Erie),PA</v>
      </c>
      <c r="G191" s="60" t="s">
        <v>1311</v>
      </c>
      <c r="H191" s="60">
        <v>42.072730000000007</v>
      </c>
      <c r="I191" s="60">
        <v>-80.14941619999999</v>
      </c>
      <c r="J191" s="60" t="str">
        <f ca="1">IFERROR(__xludf.DUMMYFUNCTION("SPLIT(G191,"","")"),"3580 Caughey Rd")</f>
        <v>3580 Caughey Rd</v>
      </c>
      <c r="K191" s="61" t="str">
        <f ca="1">IFERROR(__xludf.DUMMYFUNCTION("""COMPUTED_VALUE""")," Erie")</f>
        <v xml:space="preserve"> Erie</v>
      </c>
      <c r="L191" s="2" t="str">
        <f ca="1">IFERROR(__xludf.DUMMYFUNCTION("""COMPUTED_VALUE""")," PA 16506")</f>
        <v xml:space="preserve"> PA 16506</v>
      </c>
      <c r="M191" s="2" t="str">
        <f ca="1">IFERROR(__xludf.DUMMYFUNCTION("""COMPUTED_VALUE""")," USA")</f>
        <v xml:space="preserve"> USA</v>
      </c>
      <c r="R191" s="61"/>
    </row>
    <row r="192" spans="1:18">
      <c r="A192" s="65">
        <v>191</v>
      </c>
      <c r="B192" s="80" t="s">
        <v>1161</v>
      </c>
      <c r="C192" s="65" t="s">
        <v>588</v>
      </c>
      <c r="D192" s="90" t="s">
        <v>992</v>
      </c>
      <c r="E192" s="48" t="str">
        <f t="shared" si="0"/>
        <v>San Diego</v>
      </c>
      <c r="F192" s="83" t="str">
        <f t="shared" si="1"/>
        <v>St. Augustine (San Diego),CA</v>
      </c>
      <c r="G192" s="65" t="s">
        <v>1312</v>
      </c>
      <c r="H192" s="65">
        <v>32.735417499999997</v>
      </c>
      <c r="I192" s="65">
        <v>-117.1246211</v>
      </c>
      <c r="J192" s="60" t="str">
        <f ca="1">IFERROR(__xludf.DUMMYFUNCTION("SPLIT(G192,"","")"),"3249 Palm St")</f>
        <v>3249 Palm St</v>
      </c>
      <c r="K192" s="91" t="str">
        <f ca="1">IFERROR(__xludf.DUMMYFUNCTION("""COMPUTED_VALUE""")," San Diego")</f>
        <v xml:space="preserve"> San Diego</v>
      </c>
      <c r="L192" s="2" t="str">
        <f ca="1">IFERROR(__xludf.DUMMYFUNCTION("""COMPUTED_VALUE""")," CA 92104")</f>
        <v xml:space="preserve"> CA 92104</v>
      </c>
      <c r="M192" s="2" t="str">
        <f ca="1">IFERROR(__xludf.DUMMYFUNCTION("""COMPUTED_VALUE""")," USA")</f>
        <v xml:space="preserve"> USA</v>
      </c>
      <c r="R192" s="91"/>
    </row>
    <row r="193" spans="1:18">
      <c r="A193" s="60">
        <v>192</v>
      </c>
      <c r="B193" s="79" t="s">
        <v>1163</v>
      </c>
      <c r="C193" s="60" t="s">
        <v>588</v>
      </c>
      <c r="D193" s="92" t="s">
        <v>1314</v>
      </c>
      <c r="E193" s="48" t="str">
        <f t="shared" si="0"/>
        <v>Fresno</v>
      </c>
      <c r="F193" s="83" t="str">
        <f t="shared" si="1"/>
        <v>Clovis West (Fresno),CA</v>
      </c>
      <c r="G193" s="60" t="s">
        <v>1316</v>
      </c>
      <c r="H193" s="60">
        <v>36.861113099999997</v>
      </c>
      <c r="I193" s="60">
        <v>-119.76250400000001</v>
      </c>
      <c r="J193" s="60" t="str">
        <f ca="1">IFERROR(__xludf.DUMMYFUNCTION("SPLIT(G193,"","")"),"1070 E Teague Ave")</f>
        <v>1070 E Teague Ave</v>
      </c>
      <c r="K193" s="88" t="str">
        <f ca="1">IFERROR(__xludf.DUMMYFUNCTION("""COMPUTED_VALUE""")," Fresno")</f>
        <v xml:space="preserve"> Fresno</v>
      </c>
      <c r="L193" s="2" t="str">
        <f ca="1">IFERROR(__xludf.DUMMYFUNCTION("""COMPUTED_VALUE""")," CA 93720")</f>
        <v xml:space="preserve"> CA 93720</v>
      </c>
      <c r="M193" s="2" t="str">
        <f ca="1">IFERROR(__xludf.DUMMYFUNCTION("""COMPUTED_VALUE""")," USA")</f>
        <v xml:space="preserve"> USA</v>
      </c>
      <c r="R193" s="88"/>
    </row>
    <row r="194" spans="1:18">
      <c r="A194" s="65">
        <v>193</v>
      </c>
      <c r="B194" s="80" t="s">
        <v>1165</v>
      </c>
      <c r="C194" s="65" t="s">
        <v>593</v>
      </c>
      <c r="D194" s="90" t="s">
        <v>630</v>
      </c>
      <c r="E194" s="48" t="str">
        <f t="shared" si="0"/>
        <v>Las Vegas</v>
      </c>
      <c r="F194" s="83" t="str">
        <f t="shared" si="1"/>
        <v>Desert Pines (Las Vegas),NV</v>
      </c>
      <c r="G194" s="65" t="s">
        <v>1324</v>
      </c>
      <c r="H194" s="65">
        <v>36.175356000000001</v>
      </c>
      <c r="I194" s="65">
        <v>-115.094234</v>
      </c>
      <c r="J194" s="60" t="str">
        <f ca="1">IFERROR(__xludf.DUMMYFUNCTION("SPLIT(G194,"","")"),"3750 E Bonanza Rd")</f>
        <v>3750 E Bonanza Rd</v>
      </c>
      <c r="K194" s="91" t="str">
        <f ca="1">IFERROR(__xludf.DUMMYFUNCTION("""COMPUTED_VALUE""")," Las Vegas")</f>
        <v xml:space="preserve"> Las Vegas</v>
      </c>
      <c r="L194" s="2" t="str">
        <f ca="1">IFERROR(__xludf.DUMMYFUNCTION("""COMPUTED_VALUE""")," NV 89110")</f>
        <v xml:space="preserve"> NV 89110</v>
      </c>
      <c r="M194" s="2" t="str">
        <f ca="1">IFERROR(__xludf.DUMMYFUNCTION("""COMPUTED_VALUE""")," USA")</f>
        <v xml:space="preserve"> USA</v>
      </c>
      <c r="R194" s="91"/>
    </row>
    <row r="195" spans="1:18">
      <c r="A195" s="60">
        <v>194</v>
      </c>
      <c r="B195" s="79" t="s">
        <v>1166</v>
      </c>
      <c r="C195" s="60" t="s">
        <v>682</v>
      </c>
      <c r="D195" s="92" t="s">
        <v>1336</v>
      </c>
      <c r="E195" s="48" t="str">
        <f t="shared" si="0"/>
        <v>Kimberly</v>
      </c>
      <c r="F195" s="83" t="str">
        <f t="shared" si="1"/>
        <v>Kimberly,WI</v>
      </c>
      <c r="G195" s="60" t="s">
        <v>1339</v>
      </c>
      <c r="H195" s="60">
        <v>44.2722093</v>
      </c>
      <c r="I195" s="60">
        <v>-88.338995199999999</v>
      </c>
      <c r="J195" s="60" t="str">
        <f ca="1">IFERROR(__xludf.DUMMYFUNCTION("SPLIT(G195,"","")"),"103 S Railroad St")</f>
        <v>103 S Railroad St</v>
      </c>
      <c r="K195" s="88" t="str">
        <f ca="1">IFERROR(__xludf.DUMMYFUNCTION("""COMPUTED_VALUE""")," Kimberly")</f>
        <v xml:space="preserve"> Kimberly</v>
      </c>
      <c r="L195" s="2" t="str">
        <f ca="1">IFERROR(__xludf.DUMMYFUNCTION("""COMPUTED_VALUE""")," WI 54136")</f>
        <v xml:space="preserve"> WI 54136</v>
      </c>
      <c r="M195" s="2" t="str">
        <f ca="1">IFERROR(__xludf.DUMMYFUNCTION("""COMPUTED_VALUE""")," USA")</f>
        <v xml:space="preserve"> USA</v>
      </c>
      <c r="R195" s="88"/>
    </row>
    <row r="196" spans="1:18">
      <c r="A196" s="65">
        <v>195</v>
      </c>
      <c r="B196" s="80" t="s">
        <v>1169</v>
      </c>
      <c r="C196" s="65" t="s">
        <v>588</v>
      </c>
      <c r="D196" s="90" t="s">
        <v>1348</v>
      </c>
      <c r="E196" s="48" t="str">
        <f t="shared" si="0"/>
        <v>Long Beach</v>
      </c>
      <c r="F196" s="83" t="str">
        <f t="shared" si="1"/>
        <v>St. Anthony (Long Beach),CA</v>
      </c>
      <c r="G196" s="65" t="s">
        <v>1351</v>
      </c>
      <c r="H196" s="65">
        <v>33.774536099999999</v>
      </c>
      <c r="I196" s="65">
        <v>-118.1821667</v>
      </c>
      <c r="J196" s="60" t="str">
        <f ca="1">IFERROR(__xludf.DUMMYFUNCTION("SPLIT(G196,"","")"),"620 Olive Ave")</f>
        <v>620 Olive Ave</v>
      </c>
      <c r="K196" s="91" t="str">
        <f ca="1">IFERROR(__xludf.DUMMYFUNCTION("""COMPUTED_VALUE""")," Long Beach")</f>
        <v xml:space="preserve"> Long Beach</v>
      </c>
      <c r="L196" s="2" t="str">
        <f ca="1">IFERROR(__xludf.DUMMYFUNCTION("""COMPUTED_VALUE""")," CA 90802")</f>
        <v xml:space="preserve"> CA 90802</v>
      </c>
      <c r="M196" s="2" t="str">
        <f ca="1">IFERROR(__xludf.DUMMYFUNCTION("""COMPUTED_VALUE""")," USA")</f>
        <v xml:space="preserve"> USA</v>
      </c>
      <c r="R196" s="91"/>
    </row>
    <row r="197" spans="1:18">
      <c r="A197" s="60">
        <v>196</v>
      </c>
      <c r="B197" s="79" t="s">
        <v>1171</v>
      </c>
      <c r="C197" s="60" t="s">
        <v>595</v>
      </c>
      <c r="D197" s="92" t="s">
        <v>1365</v>
      </c>
      <c r="E197" s="48" t="str">
        <f t="shared" si="0"/>
        <v>Sulphur Springs</v>
      </c>
      <c r="F197" s="83" t="str">
        <f t="shared" si="1"/>
        <v>Sulphur Springs,TX</v>
      </c>
      <c r="G197" s="60" t="s">
        <v>1369</v>
      </c>
      <c r="H197" s="60">
        <v>33.138447900000003</v>
      </c>
      <c r="I197" s="60">
        <v>-95.601066799999998</v>
      </c>
      <c r="J197" s="60" t="str">
        <f ca="1">IFERROR(__xludf.DUMMYFUNCTION("SPLIT(G197,"","")"),"118 Church St")</f>
        <v>118 Church St</v>
      </c>
      <c r="K197" s="88" t="str">
        <f ca="1">IFERROR(__xludf.DUMMYFUNCTION("""COMPUTED_VALUE""")," Sulphur Springs")</f>
        <v xml:space="preserve"> Sulphur Springs</v>
      </c>
      <c r="L197" s="2" t="str">
        <f ca="1">IFERROR(__xludf.DUMMYFUNCTION("""COMPUTED_VALUE""")," TX 75482")</f>
        <v xml:space="preserve"> TX 75482</v>
      </c>
      <c r="M197" s="2" t="str">
        <f ca="1">IFERROR(__xludf.DUMMYFUNCTION("""COMPUTED_VALUE""")," USA")</f>
        <v xml:space="preserve"> USA</v>
      </c>
      <c r="R197" s="88"/>
    </row>
    <row r="198" spans="1:18">
      <c r="A198" s="65">
        <v>197</v>
      </c>
      <c r="B198" s="80" t="s">
        <v>1174</v>
      </c>
      <c r="C198" s="65" t="s">
        <v>191</v>
      </c>
      <c r="D198" s="90" t="s">
        <v>1381</v>
      </c>
      <c r="E198" s="48" t="str">
        <f t="shared" si="0"/>
        <v>Grand Blanc</v>
      </c>
      <c r="F198" s="83" t="str">
        <f t="shared" si="1"/>
        <v>Grand Blanc,MI</v>
      </c>
      <c r="G198" s="65" t="s">
        <v>1383</v>
      </c>
      <c r="H198" s="65">
        <v>42.927527699999999</v>
      </c>
      <c r="I198" s="65">
        <v>-83.629951800000001</v>
      </c>
      <c r="J198" s="60" t="str">
        <f ca="1">IFERROR(__xludf.DUMMYFUNCTION("SPLIT(G198,"","")"),"3033 E Grand Blanc Rd")</f>
        <v>3033 E Grand Blanc Rd</v>
      </c>
      <c r="K198" s="91" t="str">
        <f ca="1">IFERROR(__xludf.DUMMYFUNCTION("""COMPUTED_VALUE""")," Grand Blanc")</f>
        <v xml:space="preserve"> Grand Blanc</v>
      </c>
      <c r="L198" s="2" t="str">
        <f ca="1">IFERROR(__xludf.DUMMYFUNCTION("""COMPUTED_VALUE""")," MI 48439")</f>
        <v xml:space="preserve"> MI 48439</v>
      </c>
      <c r="M198" s="2" t="str">
        <f ca="1">IFERROR(__xludf.DUMMYFUNCTION("""COMPUTED_VALUE""")," USA")</f>
        <v xml:space="preserve"> USA</v>
      </c>
      <c r="R198" s="91"/>
    </row>
    <row r="199" spans="1:18">
      <c r="A199" s="60">
        <v>198</v>
      </c>
      <c r="B199" s="79" t="s">
        <v>1175</v>
      </c>
      <c r="C199" s="60" t="s">
        <v>174</v>
      </c>
      <c r="D199" s="60" t="s">
        <v>1384</v>
      </c>
      <c r="E199" s="48" t="str">
        <f t="shared" si="0"/>
        <v>Chillicothe</v>
      </c>
      <c r="F199" s="83" t="str">
        <f t="shared" si="1"/>
        <v>University (Morgantown),OH</v>
      </c>
      <c r="G199" s="60" t="s">
        <v>1385</v>
      </c>
      <c r="H199" s="60">
        <v>39.329356699999998</v>
      </c>
      <c r="I199" s="60">
        <v>-83.001976599999992</v>
      </c>
      <c r="J199" s="60" t="str">
        <f ca="1">IFERROR(__xludf.DUMMYFUNCTION("SPLIT(G199,"","")"),"101 University Dr")</f>
        <v>101 University Dr</v>
      </c>
      <c r="K199" s="61" t="str">
        <f ca="1">IFERROR(__xludf.DUMMYFUNCTION("""COMPUTED_VALUE""")," Chillicothe")</f>
        <v xml:space="preserve"> Chillicothe</v>
      </c>
      <c r="L199" s="2" t="str">
        <f ca="1">IFERROR(__xludf.DUMMYFUNCTION("""COMPUTED_VALUE""")," OH 45601")</f>
        <v xml:space="preserve"> OH 45601</v>
      </c>
      <c r="M199" s="2" t="str">
        <f ca="1">IFERROR(__xludf.DUMMYFUNCTION("""COMPUTED_VALUE""")," USA")</f>
        <v xml:space="preserve"> USA</v>
      </c>
      <c r="R199" s="61"/>
    </row>
    <row r="200" spans="1:18">
      <c r="A200" s="65">
        <v>199</v>
      </c>
      <c r="B200" s="80" t="s">
        <v>1179</v>
      </c>
      <c r="C200" s="65" t="s">
        <v>682</v>
      </c>
      <c r="D200" s="90" t="s">
        <v>1386</v>
      </c>
      <c r="E200" s="48" t="str">
        <f t="shared" si="0"/>
        <v>Neenah</v>
      </c>
      <c r="F200" s="83" t="str">
        <f t="shared" si="1"/>
        <v>Neenah,WI</v>
      </c>
      <c r="G200" s="65" t="s">
        <v>1387</v>
      </c>
      <c r="H200" s="65">
        <v>44.185819299999999</v>
      </c>
      <c r="I200" s="65">
        <v>-88.462609</v>
      </c>
      <c r="J200" s="60" t="str">
        <f ca="1">IFERROR(__xludf.DUMMYFUNCTION("SPLIT(G200,"","")"),"119 W Doty Ave")</f>
        <v>119 W Doty Ave</v>
      </c>
      <c r="K200" s="91" t="str">
        <f ca="1">IFERROR(__xludf.DUMMYFUNCTION("""COMPUTED_VALUE""")," Neenah")</f>
        <v xml:space="preserve"> Neenah</v>
      </c>
      <c r="L200" s="2" t="str">
        <f ca="1">IFERROR(__xludf.DUMMYFUNCTION("""COMPUTED_VALUE""")," WI 54956")</f>
        <v xml:space="preserve"> WI 54956</v>
      </c>
      <c r="M200" s="2" t="str">
        <f ca="1">IFERROR(__xludf.DUMMYFUNCTION("""COMPUTED_VALUE""")," USA")</f>
        <v xml:space="preserve"> USA</v>
      </c>
      <c r="R200" s="91"/>
    </row>
    <row r="201" spans="1:18">
      <c r="A201" s="97">
        <v>200</v>
      </c>
      <c r="B201" s="99" t="s">
        <v>1181</v>
      </c>
      <c r="C201" s="97" t="s">
        <v>602</v>
      </c>
      <c r="D201" s="93" t="s">
        <v>1388</v>
      </c>
      <c r="E201" s="48" t="str">
        <f t="shared" si="0"/>
        <v>Norfolk</v>
      </c>
      <c r="F201" s="83" t="str">
        <f t="shared" si="1"/>
        <v>Norview (Norfolk),VA</v>
      </c>
      <c r="G201" s="97" t="s">
        <v>1389</v>
      </c>
      <c r="H201" s="97">
        <v>36.896264599999988</v>
      </c>
      <c r="I201" s="97">
        <v>-76.237511900000001</v>
      </c>
      <c r="J201" s="60" t="str">
        <f ca="1">IFERROR(__xludf.DUMMYFUNCTION("SPLIT(G201,"","")"),"6365 Alexander St")</f>
        <v>6365 Alexander St</v>
      </c>
      <c r="K201" s="2" t="str">
        <f ca="1">IFERROR(__xludf.DUMMYFUNCTION("""COMPUTED_VALUE""")," Norfolk")</f>
        <v xml:space="preserve"> Norfolk</v>
      </c>
      <c r="L201" s="2" t="str">
        <f ca="1">IFERROR(__xludf.DUMMYFUNCTION("""COMPUTED_VALUE""")," VA 23513")</f>
        <v xml:space="preserve"> VA 23513</v>
      </c>
      <c r="M201" s="2" t="str">
        <f ca="1">IFERROR(__xludf.DUMMYFUNCTION("""COMPUTED_VALUE""")," USA")</f>
        <v xml:space="preserve"> USA</v>
      </c>
    </row>
    <row r="202" spans="1:18">
      <c r="A202" s="60">
        <v>201</v>
      </c>
      <c r="B202" s="79" t="s">
        <v>1183</v>
      </c>
      <c r="C202" s="60" t="s">
        <v>1039</v>
      </c>
      <c r="D202" s="92" t="s">
        <v>1390</v>
      </c>
      <c r="E202" s="48" t="str">
        <f t="shared" si="0"/>
        <v>Shrewsbury</v>
      </c>
      <c r="F202" s="83" t="str">
        <f t="shared" si="1"/>
        <v>St. John's (Shrewsbury),MA</v>
      </c>
      <c r="G202" s="60" t="s">
        <v>1391</v>
      </c>
      <c r="H202" s="60">
        <v>42.292637399999997</v>
      </c>
      <c r="I202" s="60">
        <v>-71.729246799999999</v>
      </c>
      <c r="J202" s="60" t="str">
        <f ca="1">IFERROR(__xludf.DUMMYFUNCTION("SPLIT(G202,"","")"),"378 Main St")</f>
        <v>378 Main St</v>
      </c>
      <c r="K202" s="88" t="str">
        <f ca="1">IFERROR(__xludf.DUMMYFUNCTION("""COMPUTED_VALUE""")," Shrewsbury")</f>
        <v xml:space="preserve"> Shrewsbury</v>
      </c>
      <c r="L202" s="2" t="str">
        <f ca="1">IFERROR(__xludf.DUMMYFUNCTION("""COMPUTED_VALUE""")," MA 01545")</f>
        <v xml:space="preserve"> MA 01545</v>
      </c>
      <c r="M202" s="2" t="str">
        <f ca="1">IFERROR(__xludf.DUMMYFUNCTION("""COMPUTED_VALUE""")," USA")</f>
        <v xml:space="preserve"> USA</v>
      </c>
      <c r="R202" s="88"/>
    </row>
    <row r="203" spans="1:18">
      <c r="A203" s="65">
        <v>202</v>
      </c>
      <c r="B203" s="80" t="s">
        <v>1185</v>
      </c>
      <c r="C203" s="65" t="s">
        <v>675</v>
      </c>
      <c r="D203" s="90" t="s">
        <v>1392</v>
      </c>
      <c r="E203" s="48" t="str">
        <f t="shared" si="0"/>
        <v>Drexel Hill</v>
      </c>
      <c r="F203" s="83" t="str">
        <f t="shared" si="1"/>
        <v>Monsignor Bonner/Archbishop Prendergast Catholic (Drexel Hill),PA</v>
      </c>
      <c r="G203" s="65" t="s">
        <v>1394</v>
      </c>
      <c r="H203" s="65">
        <v>39.953638300000001</v>
      </c>
      <c r="I203" s="65">
        <v>-75.280641299999999</v>
      </c>
      <c r="J203" s="60" t="str">
        <f ca="1">IFERROR(__xludf.DUMMYFUNCTION("SPLIT(G203,"","")"),"403 N Lansdowne Ave")</f>
        <v>403 N Lansdowne Ave</v>
      </c>
      <c r="K203" s="91" t="str">
        <f ca="1">IFERROR(__xludf.DUMMYFUNCTION("""COMPUTED_VALUE""")," Drexel Hill")</f>
        <v xml:space="preserve"> Drexel Hill</v>
      </c>
      <c r="L203" s="2" t="str">
        <f ca="1">IFERROR(__xludf.DUMMYFUNCTION("""COMPUTED_VALUE""")," PA 19026")</f>
        <v xml:space="preserve"> PA 19026</v>
      </c>
      <c r="M203" s="2" t="str">
        <f ca="1">IFERROR(__xludf.DUMMYFUNCTION("""COMPUTED_VALUE""")," USA")</f>
        <v xml:space="preserve"> USA</v>
      </c>
      <c r="R203" s="91"/>
    </row>
    <row r="204" spans="1:18">
      <c r="A204" s="60">
        <v>203</v>
      </c>
      <c r="B204" s="79" t="s">
        <v>1188</v>
      </c>
      <c r="C204" s="60" t="s">
        <v>1055</v>
      </c>
      <c r="D204" s="92" t="s">
        <v>1395</v>
      </c>
      <c r="E204" s="48" t="str">
        <f t="shared" si="0"/>
        <v>Midwest City</v>
      </c>
      <c r="F204" s="83" t="str">
        <f t="shared" si="1"/>
        <v>Midwest City,OK</v>
      </c>
      <c r="G204" s="60" t="s">
        <v>1396</v>
      </c>
      <c r="H204" s="60">
        <v>35.449506499999998</v>
      </c>
      <c r="I204" s="60">
        <v>-97.396701899999996</v>
      </c>
      <c r="J204" s="60" t="str">
        <f ca="1">IFERROR(__xludf.DUMMYFUNCTION("SPLIT(G204,"","")"),"SE 15th St @ Felix Pl")</f>
        <v>SE 15th St @ Felix Pl</v>
      </c>
      <c r="K204" s="88" t="str">
        <f ca="1">IFERROR(__xludf.DUMMYFUNCTION("""COMPUTED_VALUE""")," Midwest City")</f>
        <v xml:space="preserve"> Midwest City</v>
      </c>
      <c r="L204" s="2" t="str">
        <f ca="1">IFERROR(__xludf.DUMMYFUNCTION("""COMPUTED_VALUE""")," OK 73110")</f>
        <v xml:space="preserve"> OK 73110</v>
      </c>
      <c r="M204" s="2" t="str">
        <f ca="1">IFERROR(__xludf.DUMMYFUNCTION("""COMPUTED_VALUE""")," USA")</f>
        <v xml:space="preserve"> USA</v>
      </c>
      <c r="R204" s="88"/>
    </row>
    <row r="205" spans="1:18">
      <c r="A205" s="65">
        <v>204</v>
      </c>
      <c r="B205" s="80" t="s">
        <v>1190</v>
      </c>
      <c r="C205" s="65" t="s">
        <v>604</v>
      </c>
      <c r="D205" s="90" t="s">
        <v>1397</v>
      </c>
      <c r="E205" s="48" t="str">
        <f t="shared" si="0"/>
        <v>Lincolnshire</v>
      </c>
      <c r="F205" s="83" t="str">
        <f t="shared" si="1"/>
        <v>Stevenson (Lincolnshire),IL</v>
      </c>
      <c r="G205" s="65" t="s">
        <v>1398</v>
      </c>
      <c r="H205" s="65">
        <v>42.199354799999988</v>
      </c>
      <c r="I205" s="65">
        <v>-87.946133899999992</v>
      </c>
      <c r="J205" s="60" t="str">
        <f ca="1">IFERROR(__xludf.DUMMYFUNCTION("SPLIT(G205,"","")"),"1 Stevenson Dr")</f>
        <v>1 Stevenson Dr</v>
      </c>
      <c r="K205" s="91" t="str">
        <f ca="1">IFERROR(__xludf.DUMMYFUNCTION("""COMPUTED_VALUE""")," Lincolnshire")</f>
        <v xml:space="preserve"> Lincolnshire</v>
      </c>
      <c r="L205" s="2" t="str">
        <f ca="1">IFERROR(__xludf.DUMMYFUNCTION("""COMPUTED_VALUE""")," IL 60069")</f>
        <v xml:space="preserve"> IL 60069</v>
      </c>
      <c r="M205" s="2" t="str">
        <f ca="1">IFERROR(__xludf.DUMMYFUNCTION("""COMPUTED_VALUE""")," USA")</f>
        <v xml:space="preserve"> USA</v>
      </c>
      <c r="R205" s="91"/>
    </row>
    <row r="206" spans="1:18">
      <c r="A206" s="60">
        <v>205</v>
      </c>
      <c r="B206" s="79" t="s">
        <v>1193</v>
      </c>
      <c r="C206" s="60" t="s">
        <v>183</v>
      </c>
      <c r="D206" s="92" t="s">
        <v>1399</v>
      </c>
      <c r="E206" s="48" t="str">
        <f t="shared" si="0"/>
        <v>Brooklyn</v>
      </c>
      <c r="F206" s="83" t="str">
        <f t="shared" si="1"/>
        <v>South Shore (Brooklyn),NY</v>
      </c>
      <c r="G206" s="60" t="s">
        <v>1400</v>
      </c>
      <c r="H206" s="60">
        <v>40.633493000000001</v>
      </c>
      <c r="I206" s="60">
        <v>-73.917428399999991</v>
      </c>
      <c r="J206" s="60" t="str">
        <f ca="1">IFERROR(__xludf.DUMMYFUNCTION("SPLIT(G206,"","")"),"6565 Flatlands Ave")</f>
        <v>6565 Flatlands Ave</v>
      </c>
      <c r="K206" s="88" t="str">
        <f ca="1">IFERROR(__xludf.DUMMYFUNCTION("""COMPUTED_VALUE""")," Brooklyn")</f>
        <v xml:space="preserve"> Brooklyn</v>
      </c>
      <c r="L206" s="2" t="str">
        <f ca="1">IFERROR(__xludf.DUMMYFUNCTION("""COMPUTED_VALUE""")," NY 11236")</f>
        <v xml:space="preserve"> NY 11236</v>
      </c>
      <c r="M206" s="2" t="str">
        <f ca="1">IFERROR(__xludf.DUMMYFUNCTION("""COMPUTED_VALUE""")," USA")</f>
        <v xml:space="preserve"> USA</v>
      </c>
      <c r="R206" s="88"/>
    </row>
    <row r="207" spans="1:18">
      <c r="A207" s="65">
        <v>206</v>
      </c>
      <c r="B207" s="80" t="s">
        <v>1196</v>
      </c>
      <c r="C207" s="65" t="s">
        <v>588</v>
      </c>
      <c r="D207" s="90" t="s">
        <v>1401</v>
      </c>
      <c r="E207" s="48" t="str">
        <f t="shared" si="0"/>
        <v>Riverside</v>
      </c>
      <c r="F207" s="83" t="str">
        <f t="shared" si="1"/>
        <v>Poly (Riverside),CA</v>
      </c>
      <c r="G207" s="65" t="s">
        <v>1402</v>
      </c>
      <c r="H207" s="65">
        <v>33.952157</v>
      </c>
      <c r="I207" s="65">
        <v>-117.3685345</v>
      </c>
      <c r="J207" s="60" t="str">
        <f ca="1">IFERROR(__xludf.DUMMYFUNCTION("SPLIT(G207,"","")"),"5450 Victoria Ave")</f>
        <v>5450 Victoria Ave</v>
      </c>
      <c r="K207" s="91" t="str">
        <f ca="1">IFERROR(__xludf.DUMMYFUNCTION("""COMPUTED_VALUE""")," Riverside")</f>
        <v xml:space="preserve"> Riverside</v>
      </c>
      <c r="L207" s="2" t="str">
        <f ca="1">IFERROR(__xludf.DUMMYFUNCTION("""COMPUTED_VALUE""")," CA 92506")</f>
        <v xml:space="preserve"> CA 92506</v>
      </c>
      <c r="M207" s="2" t="str">
        <f ca="1">IFERROR(__xludf.DUMMYFUNCTION("""COMPUTED_VALUE""")," USA")</f>
        <v xml:space="preserve"> USA</v>
      </c>
      <c r="R207" s="91"/>
    </row>
    <row r="208" spans="1:18">
      <c r="A208" s="60">
        <v>207</v>
      </c>
      <c r="B208" s="79" t="s">
        <v>1197</v>
      </c>
      <c r="C208" s="60" t="s">
        <v>191</v>
      </c>
      <c r="D208" s="92" t="s">
        <v>1403</v>
      </c>
      <c r="E208" s="48" t="str">
        <f t="shared" si="0"/>
        <v>Hudsonville</v>
      </c>
      <c r="F208" s="83" t="str">
        <f t="shared" si="1"/>
        <v>Hudsonville,MI</v>
      </c>
      <c r="G208" s="60" t="s">
        <v>1404</v>
      </c>
      <c r="H208" s="60">
        <v>42.870859000000003</v>
      </c>
      <c r="I208" s="60">
        <v>-85.865035800000001</v>
      </c>
      <c r="J208" s="60" t="str">
        <f ca="1">IFERROR(__xludf.DUMMYFUNCTION("SPLIT(G208,"","")"),"3385 Van Buren St")</f>
        <v>3385 Van Buren St</v>
      </c>
      <c r="K208" s="88" t="str">
        <f ca="1">IFERROR(__xludf.DUMMYFUNCTION("""COMPUTED_VALUE""")," Hudsonville")</f>
        <v xml:space="preserve"> Hudsonville</v>
      </c>
      <c r="L208" s="2" t="str">
        <f ca="1">IFERROR(__xludf.DUMMYFUNCTION("""COMPUTED_VALUE""")," MI 49426")</f>
        <v xml:space="preserve"> MI 49426</v>
      </c>
      <c r="M208" s="2" t="str">
        <f ca="1">IFERROR(__xludf.DUMMYFUNCTION("""COMPUTED_VALUE""")," USA")</f>
        <v xml:space="preserve"> USA</v>
      </c>
      <c r="R208" s="88"/>
    </row>
    <row r="209" spans="1:18">
      <c r="A209" s="65">
        <v>208</v>
      </c>
      <c r="B209" s="80" t="s">
        <v>223</v>
      </c>
      <c r="C209" s="65" t="s">
        <v>693</v>
      </c>
      <c r="D209" s="90" t="s">
        <v>1405</v>
      </c>
      <c r="E209" s="48" t="str">
        <f t="shared" si="0"/>
        <v>Starkville</v>
      </c>
      <c r="F209" s="83" t="str">
        <f t="shared" si="1"/>
        <v>Starkville,MS</v>
      </c>
      <c r="G209" s="65" t="s">
        <v>1406</v>
      </c>
      <c r="H209" s="65">
        <v>33.4503998</v>
      </c>
      <c r="I209" s="65">
        <v>-88.818387199999989</v>
      </c>
      <c r="J209" s="60" t="str">
        <f ca="1">IFERROR(__xludf.DUMMYFUNCTION("SPLIT(G209,"","")"),"610 Yellow Jacket Dr")</f>
        <v>610 Yellow Jacket Dr</v>
      </c>
      <c r="K209" s="91" t="str">
        <f ca="1">IFERROR(__xludf.DUMMYFUNCTION("""COMPUTED_VALUE""")," Starkville")</f>
        <v xml:space="preserve"> Starkville</v>
      </c>
      <c r="L209" s="2" t="str">
        <f ca="1">IFERROR(__xludf.DUMMYFUNCTION("""COMPUTED_VALUE""")," MS 39759")</f>
        <v xml:space="preserve"> MS 39759</v>
      </c>
      <c r="M209" s="2" t="str">
        <f ca="1">IFERROR(__xludf.DUMMYFUNCTION("""COMPUTED_VALUE""")," USA")</f>
        <v xml:space="preserve"> USA</v>
      </c>
      <c r="R209" s="91"/>
    </row>
    <row r="210" spans="1:18">
      <c r="A210" s="60">
        <v>209</v>
      </c>
      <c r="B210" s="79" t="s">
        <v>1200</v>
      </c>
      <c r="C210" s="60" t="s">
        <v>796</v>
      </c>
      <c r="D210" s="92" t="s">
        <v>1408</v>
      </c>
      <c r="E210" s="48" t="str">
        <f t="shared" si="0"/>
        <v>Wichita</v>
      </c>
      <c r="F210" s="83" t="str">
        <f t="shared" si="1"/>
        <v>Haysville Campus (Wichita),KS</v>
      </c>
      <c r="G210" s="60" t="s">
        <v>1409</v>
      </c>
      <c r="H210" s="60">
        <v>37.593868499999999</v>
      </c>
      <c r="I210" s="60">
        <v>-97.368069199999994</v>
      </c>
      <c r="J210" s="60" t="str">
        <f ca="1">IFERROR(__xludf.DUMMYFUNCTION("SPLIT(G210,"","")"),"2100 W 55th St S")</f>
        <v>2100 W 55th St S</v>
      </c>
      <c r="K210" s="88" t="str">
        <f ca="1">IFERROR(__xludf.DUMMYFUNCTION("""COMPUTED_VALUE""")," Wichita")</f>
        <v xml:space="preserve"> Wichita</v>
      </c>
      <c r="L210" s="2" t="str">
        <f ca="1">IFERROR(__xludf.DUMMYFUNCTION("""COMPUTED_VALUE""")," KS 67217")</f>
        <v xml:space="preserve"> KS 67217</v>
      </c>
      <c r="M210" s="2" t="str">
        <f ca="1">IFERROR(__xludf.DUMMYFUNCTION("""COMPUTED_VALUE""")," USA")</f>
        <v xml:space="preserve"> USA</v>
      </c>
      <c r="R210" s="88"/>
    </row>
    <row r="211" spans="1:18">
      <c r="A211" s="65">
        <v>210</v>
      </c>
      <c r="B211" s="80" t="s">
        <v>1204</v>
      </c>
      <c r="C211" s="65" t="s">
        <v>174</v>
      </c>
      <c r="D211" s="65" t="s">
        <v>1410</v>
      </c>
      <c r="E211" s="48" t="str">
        <f t="shared" si="0"/>
        <v>Canton</v>
      </c>
      <c r="F211" s="83" t="str">
        <f t="shared" si="1"/>
        <v>McKinley (Canton),OH</v>
      </c>
      <c r="G211" s="65" t="s">
        <v>1411</v>
      </c>
      <c r="H211" s="65">
        <v>40.806238800000003</v>
      </c>
      <c r="I211" s="65">
        <v>-81.393127899999996</v>
      </c>
      <c r="J211" s="60" t="str">
        <f ca="1">IFERROR(__xludf.DUMMYFUNCTION("SPLIT(G211,"","")"),"800 Mc Kinley Monument Dr NW")</f>
        <v>800 Mc Kinley Monument Dr NW</v>
      </c>
      <c r="K211" s="66" t="str">
        <f ca="1">IFERROR(__xludf.DUMMYFUNCTION("""COMPUTED_VALUE""")," Canton")</f>
        <v xml:space="preserve"> Canton</v>
      </c>
      <c r="L211" s="2" t="str">
        <f ca="1">IFERROR(__xludf.DUMMYFUNCTION("""COMPUTED_VALUE""")," OH 44708")</f>
        <v xml:space="preserve"> OH 44708</v>
      </c>
      <c r="M211" s="2" t="str">
        <f ca="1">IFERROR(__xludf.DUMMYFUNCTION("""COMPUTED_VALUE""")," USA")</f>
        <v xml:space="preserve"> USA</v>
      </c>
      <c r="R211" s="66"/>
    </row>
    <row r="212" spans="1:18">
      <c r="A212" s="60">
        <v>211</v>
      </c>
      <c r="B212" s="79" t="s">
        <v>1206</v>
      </c>
      <c r="C212" s="60" t="s">
        <v>179</v>
      </c>
      <c r="D212" s="92" t="s">
        <v>1412</v>
      </c>
      <c r="E212" s="48" t="str">
        <f t="shared" si="0"/>
        <v>Fayetteville</v>
      </c>
      <c r="F212" s="83" t="str">
        <f t="shared" si="1"/>
        <v>Westover (Fayetteville),NC</v>
      </c>
      <c r="G212" s="60" t="s">
        <v>1413</v>
      </c>
      <c r="H212" s="60">
        <v>35.080117899999998</v>
      </c>
      <c r="I212" s="60">
        <v>-78.991035199999999</v>
      </c>
      <c r="J212" s="60" t="str">
        <f ca="1">IFERROR(__xludf.DUMMYFUNCTION("SPLIT(G212,"","")"),"155 Bonanza Dr")</f>
        <v>155 Bonanza Dr</v>
      </c>
      <c r="K212" s="88" t="str">
        <f ca="1">IFERROR(__xludf.DUMMYFUNCTION("""COMPUTED_VALUE""")," Fayetteville")</f>
        <v xml:space="preserve"> Fayetteville</v>
      </c>
      <c r="L212" s="2" t="str">
        <f ca="1">IFERROR(__xludf.DUMMYFUNCTION("""COMPUTED_VALUE""")," NC 28303")</f>
        <v xml:space="preserve"> NC 28303</v>
      </c>
      <c r="M212" s="2" t="str">
        <f ca="1">IFERROR(__xludf.DUMMYFUNCTION("""COMPUTED_VALUE""")," USA")</f>
        <v xml:space="preserve"> USA</v>
      </c>
      <c r="R212" s="88"/>
    </row>
    <row r="213" spans="1:18">
      <c r="A213" s="65">
        <v>212</v>
      </c>
      <c r="B213" s="80" t="s">
        <v>1209</v>
      </c>
      <c r="C213" s="65" t="s">
        <v>1210</v>
      </c>
      <c r="D213" s="90" t="s">
        <v>1414</v>
      </c>
      <c r="E213" s="48" t="str">
        <f t="shared" si="0"/>
        <v>South Burlington</v>
      </c>
      <c r="F213" s="83" t="str">
        <f t="shared" si="1"/>
        <v>Rice Memorial (South Burlington),VT</v>
      </c>
      <c r="G213" s="65" t="s">
        <v>1415</v>
      </c>
      <c r="H213" s="65">
        <v>44.452666000000001</v>
      </c>
      <c r="I213" s="65">
        <v>-73.200261999999995</v>
      </c>
      <c r="J213" s="60" t="str">
        <f ca="1">IFERROR(__xludf.DUMMYFUNCTION("SPLIT(G213,"","")"),"99 Proctor Ave")</f>
        <v>99 Proctor Ave</v>
      </c>
      <c r="K213" s="91" t="str">
        <f ca="1">IFERROR(__xludf.DUMMYFUNCTION("""COMPUTED_VALUE""")," South Burlington")</f>
        <v xml:space="preserve"> South Burlington</v>
      </c>
      <c r="L213" s="2" t="str">
        <f ca="1">IFERROR(__xludf.DUMMYFUNCTION("""COMPUTED_VALUE""")," VT 05403")</f>
        <v xml:space="preserve"> VT 05403</v>
      </c>
      <c r="M213" s="2" t="str">
        <f ca="1">IFERROR(__xludf.DUMMYFUNCTION("""COMPUTED_VALUE""")," USA")</f>
        <v xml:space="preserve"> USA</v>
      </c>
      <c r="R213" s="91"/>
    </row>
    <row r="214" spans="1:18">
      <c r="A214" s="60">
        <v>213</v>
      </c>
      <c r="B214" s="79" t="s">
        <v>1212</v>
      </c>
      <c r="C214" s="60" t="s">
        <v>745</v>
      </c>
      <c r="D214" s="92" t="s">
        <v>1416</v>
      </c>
      <c r="E214" s="48" t="str">
        <f t="shared" si="0"/>
        <v>Snohomish</v>
      </c>
      <c r="F214" s="83" t="str">
        <f t="shared" si="1"/>
        <v>Glacier Peak (Snohomish),WA</v>
      </c>
      <c r="G214" s="60" t="s">
        <v>1417</v>
      </c>
      <c r="H214" s="60">
        <v>47.867295599999999</v>
      </c>
      <c r="I214" s="60">
        <v>-122.1334676</v>
      </c>
      <c r="J214" s="60" t="str">
        <f ca="1">IFERROR(__xludf.DUMMYFUNCTION("SPLIT(G214,"","")"),"7401 144th Pl SE")</f>
        <v>7401 144th Pl SE</v>
      </c>
      <c r="K214" s="88" t="str">
        <f ca="1">IFERROR(__xludf.DUMMYFUNCTION("""COMPUTED_VALUE""")," Snohomish")</f>
        <v xml:space="preserve"> Snohomish</v>
      </c>
      <c r="L214" s="2" t="str">
        <f ca="1">IFERROR(__xludf.DUMMYFUNCTION("""COMPUTED_VALUE""")," WA 98296")</f>
        <v xml:space="preserve"> WA 98296</v>
      </c>
      <c r="M214" s="2" t="str">
        <f ca="1">IFERROR(__xludf.DUMMYFUNCTION("""COMPUTED_VALUE""")," USA")</f>
        <v xml:space="preserve"> USA</v>
      </c>
      <c r="R214" s="88"/>
    </row>
    <row r="215" spans="1:18">
      <c r="A215" s="65">
        <v>214</v>
      </c>
      <c r="B215" s="80" t="s">
        <v>1216</v>
      </c>
      <c r="C215" s="65" t="s">
        <v>608</v>
      </c>
      <c r="D215" s="90" t="s">
        <v>1418</v>
      </c>
      <c r="E215" s="48" t="str">
        <f t="shared" si="0"/>
        <v>Hopkins</v>
      </c>
      <c r="F215" s="83" t="str">
        <f t="shared" si="1"/>
        <v>Hopkins (Minnetonka),MN</v>
      </c>
      <c r="G215" s="65" t="s">
        <v>1419</v>
      </c>
      <c r="H215" s="65">
        <v>44.926079399999999</v>
      </c>
      <c r="I215" s="65">
        <v>-93.404418699999994</v>
      </c>
      <c r="J215" s="60" t="str">
        <f ca="1">IFERROR(__xludf.DUMMYFUNCTION("SPLIT(G215,"","")"),"109 Oak Glen Dr")</f>
        <v>109 Oak Glen Dr</v>
      </c>
      <c r="K215" s="91" t="str">
        <f ca="1">IFERROR(__xludf.DUMMYFUNCTION("""COMPUTED_VALUE""")," Hopkins")</f>
        <v xml:space="preserve"> Hopkins</v>
      </c>
      <c r="L215" s="2" t="str">
        <f ca="1">IFERROR(__xludf.DUMMYFUNCTION("""COMPUTED_VALUE""")," MN 55343")</f>
        <v xml:space="preserve"> MN 55343</v>
      </c>
      <c r="M215" s="2" t="str">
        <f ca="1">IFERROR(__xludf.DUMMYFUNCTION("""COMPUTED_VALUE""")," USA")</f>
        <v xml:space="preserve"> USA</v>
      </c>
      <c r="R215" s="91"/>
    </row>
    <row r="216" spans="1:18">
      <c r="A216" s="60">
        <v>215</v>
      </c>
      <c r="B216" s="79" t="s">
        <v>1218</v>
      </c>
      <c r="C216" s="60" t="s">
        <v>1055</v>
      </c>
      <c r="D216" s="92" t="s">
        <v>1420</v>
      </c>
      <c r="E216" s="48" t="str">
        <f t="shared" si="0"/>
        <v>Tulsa</v>
      </c>
      <c r="F216" s="83" t="str">
        <f t="shared" si="1"/>
        <v>Washington (Tulsa),OK</v>
      </c>
      <c r="G216" s="60" t="s">
        <v>1421</v>
      </c>
      <c r="H216" s="60">
        <v>36.1886802</v>
      </c>
      <c r="I216" s="60">
        <v>-95.9708215</v>
      </c>
      <c r="J216" s="60" t="str">
        <f ca="1">IFERROR(__xludf.DUMMYFUNCTION("SPLIT(G216,"","")"),"1514 E Zion St")</f>
        <v>1514 E Zion St</v>
      </c>
      <c r="K216" s="88" t="str">
        <f ca="1">IFERROR(__xludf.DUMMYFUNCTION("""COMPUTED_VALUE""")," Tulsa")</f>
        <v xml:space="preserve"> Tulsa</v>
      </c>
      <c r="L216" s="2" t="str">
        <f ca="1">IFERROR(__xludf.DUMMYFUNCTION("""COMPUTED_VALUE""")," OK 74106")</f>
        <v xml:space="preserve"> OK 74106</v>
      </c>
      <c r="M216" s="2" t="str">
        <f ca="1">IFERROR(__xludf.DUMMYFUNCTION("""COMPUTED_VALUE""")," USA")</f>
        <v xml:space="preserve"> USA</v>
      </c>
      <c r="R216" s="88"/>
    </row>
    <row r="217" spans="1:18">
      <c r="A217" s="65">
        <v>216</v>
      </c>
      <c r="B217" s="80" t="s">
        <v>1222</v>
      </c>
      <c r="C217" s="65" t="s">
        <v>136</v>
      </c>
      <c r="D217" s="90" t="s">
        <v>1103</v>
      </c>
      <c r="E217" s="48" t="str">
        <f t="shared" si="0"/>
        <v>Jacksonville</v>
      </c>
      <c r="F217" s="83" t="str">
        <f t="shared" si="1"/>
        <v>Andrew Jackson (Jacksonville),FL</v>
      </c>
      <c r="G217" s="65" t="s">
        <v>1423</v>
      </c>
      <c r="H217" s="65">
        <v>30.362311399999999</v>
      </c>
      <c r="I217" s="65">
        <v>-81.655218300000001</v>
      </c>
      <c r="J217" s="60" t="str">
        <f ca="1">IFERROR(__xludf.DUMMYFUNCTION("SPLIT(G217,"","")"),"117 W 30th St")</f>
        <v>117 W 30th St</v>
      </c>
      <c r="K217" s="91" t="str">
        <f ca="1">IFERROR(__xludf.DUMMYFUNCTION("""COMPUTED_VALUE""")," Jacksonville")</f>
        <v xml:space="preserve"> Jacksonville</v>
      </c>
      <c r="L217" s="2" t="str">
        <f ca="1">IFERROR(__xludf.DUMMYFUNCTION("""COMPUTED_VALUE""")," FL 32206")</f>
        <v xml:space="preserve"> FL 32206</v>
      </c>
      <c r="M217" s="2" t="str">
        <f ca="1">IFERROR(__xludf.DUMMYFUNCTION("""COMPUTED_VALUE""")," USA")</f>
        <v xml:space="preserve"> USA</v>
      </c>
      <c r="R217" s="91"/>
    </row>
    <row r="218" spans="1:18">
      <c r="A218" s="60">
        <v>217</v>
      </c>
      <c r="B218" s="79" t="s">
        <v>1223</v>
      </c>
      <c r="C218" s="60" t="s">
        <v>595</v>
      </c>
      <c r="D218" s="92" t="s">
        <v>878</v>
      </c>
      <c r="E218" s="48" t="str">
        <f t="shared" si="0"/>
        <v>San Antonio</v>
      </c>
      <c r="F218" s="83" t="str">
        <f t="shared" si="1"/>
        <v>Warren (San Antonio),TX</v>
      </c>
      <c r="G218" s="60" t="s">
        <v>1424</v>
      </c>
      <c r="H218" s="60">
        <v>29.463650600000001</v>
      </c>
      <c r="I218" s="60">
        <v>-98.670114799999993</v>
      </c>
      <c r="J218" s="60" t="str">
        <f ca="1">IFERROR(__xludf.DUMMYFUNCTION("SPLIT(G218,"","")"),"9411 Military Dr W")</f>
        <v>9411 Military Dr W</v>
      </c>
      <c r="K218" s="88" t="str">
        <f ca="1">IFERROR(__xludf.DUMMYFUNCTION("""COMPUTED_VALUE""")," San Antonio")</f>
        <v xml:space="preserve"> San Antonio</v>
      </c>
      <c r="L218" s="2" t="str">
        <f ca="1">IFERROR(__xludf.DUMMYFUNCTION("""COMPUTED_VALUE""")," TX 78251")</f>
        <v xml:space="preserve"> TX 78251</v>
      </c>
      <c r="M218" s="2" t="str">
        <f ca="1">IFERROR(__xludf.DUMMYFUNCTION("""COMPUTED_VALUE""")," USA")</f>
        <v xml:space="preserve"> USA</v>
      </c>
      <c r="R218" s="88"/>
    </row>
    <row r="219" spans="1:18">
      <c r="A219" s="65">
        <v>218</v>
      </c>
      <c r="B219" s="80" t="s">
        <v>1226</v>
      </c>
      <c r="C219" s="65" t="s">
        <v>796</v>
      </c>
      <c r="D219" s="90" t="s">
        <v>1425</v>
      </c>
      <c r="E219" s="48" t="str">
        <f t="shared" si="0"/>
        <v>Overland Park</v>
      </c>
      <c r="F219" s="83" t="str">
        <f t="shared" si="1"/>
        <v>Blue Valley North West (Overland Park),KS</v>
      </c>
      <c r="G219" s="65" t="s">
        <v>1426</v>
      </c>
      <c r="H219" s="65">
        <v>38.888580599999997</v>
      </c>
      <c r="I219" s="65">
        <v>-94.703235100000001</v>
      </c>
      <c r="J219" s="60" t="str">
        <f ca="1">IFERROR(__xludf.DUMMYFUNCTION("SPLIT(G219,"","")"),"13260 Switzer Rd")</f>
        <v>13260 Switzer Rd</v>
      </c>
      <c r="K219" s="91" t="str">
        <f ca="1">IFERROR(__xludf.DUMMYFUNCTION("""COMPUTED_VALUE""")," Overland Park")</f>
        <v xml:space="preserve"> Overland Park</v>
      </c>
      <c r="L219" s="2" t="str">
        <f ca="1">IFERROR(__xludf.DUMMYFUNCTION("""COMPUTED_VALUE""")," KS 66213")</f>
        <v xml:space="preserve"> KS 66213</v>
      </c>
      <c r="M219" s="2" t="str">
        <f ca="1">IFERROR(__xludf.DUMMYFUNCTION("""COMPUTED_VALUE""")," USA")</f>
        <v xml:space="preserve"> USA</v>
      </c>
      <c r="R219" s="91"/>
    </row>
    <row r="220" spans="1:18">
      <c r="A220" s="60">
        <v>219</v>
      </c>
      <c r="B220" s="79" t="s">
        <v>1228</v>
      </c>
      <c r="C220" s="60" t="s">
        <v>675</v>
      </c>
      <c r="D220" s="92" t="s">
        <v>705</v>
      </c>
      <c r="E220" s="48" t="str">
        <f t="shared" si="0"/>
        <v>Philadelphia</v>
      </c>
      <c r="F220" s="83" t="str">
        <f t="shared" si="1"/>
        <v>Math Civics &amp; Sciences (Philadelphia),PA</v>
      </c>
      <c r="G220" s="60" t="s">
        <v>1427</v>
      </c>
      <c r="H220" s="60">
        <v>39.961220900000001</v>
      </c>
      <c r="I220" s="60">
        <v>-75.161438199999992</v>
      </c>
      <c r="J220" s="60" t="str">
        <f ca="1">IFERROR(__xludf.DUMMYFUNCTION("SPLIT(G220,"","")"),"441 N Broad St")</f>
        <v>441 N Broad St</v>
      </c>
      <c r="K220" s="88" t="str">
        <f ca="1">IFERROR(__xludf.DUMMYFUNCTION("""COMPUTED_VALUE""")," Philadelphia")</f>
        <v xml:space="preserve"> Philadelphia</v>
      </c>
      <c r="L220" s="2" t="str">
        <f ca="1">IFERROR(__xludf.DUMMYFUNCTION("""COMPUTED_VALUE""")," PA 19123")</f>
        <v xml:space="preserve"> PA 19123</v>
      </c>
      <c r="M220" s="2" t="str">
        <f ca="1">IFERROR(__xludf.DUMMYFUNCTION("""COMPUTED_VALUE""")," USA")</f>
        <v xml:space="preserve"> USA</v>
      </c>
      <c r="R220" s="88"/>
    </row>
    <row r="221" spans="1:18">
      <c r="A221" s="65">
        <v>220</v>
      </c>
      <c r="B221" s="80" t="s">
        <v>1230</v>
      </c>
      <c r="C221" s="65" t="s">
        <v>745</v>
      </c>
      <c r="D221" s="90" t="s">
        <v>905</v>
      </c>
      <c r="E221" s="48" t="str">
        <f t="shared" si="0"/>
        <v>Seattle</v>
      </c>
      <c r="F221" s="83" t="str">
        <f t="shared" si="1"/>
        <v>O'Dea (Seattle),WA</v>
      </c>
      <c r="G221" s="65" t="s">
        <v>1428</v>
      </c>
      <c r="H221" s="65">
        <v>47.607999499999998</v>
      </c>
      <c r="I221" s="65">
        <v>-122.3252348</v>
      </c>
      <c r="J221" s="60" t="str">
        <f ca="1">IFERROR(__xludf.DUMMYFUNCTION("SPLIT(G221,"","")"),"860 Terry Ave")</f>
        <v>860 Terry Ave</v>
      </c>
      <c r="K221" s="91" t="str">
        <f ca="1">IFERROR(__xludf.DUMMYFUNCTION("""COMPUTED_VALUE""")," Seattle")</f>
        <v xml:space="preserve"> Seattle</v>
      </c>
      <c r="L221" s="2" t="str">
        <f ca="1">IFERROR(__xludf.DUMMYFUNCTION("""COMPUTED_VALUE""")," WA 98104")</f>
        <v xml:space="preserve"> WA 98104</v>
      </c>
      <c r="M221" s="2" t="str">
        <f ca="1">IFERROR(__xludf.DUMMYFUNCTION("""COMPUTED_VALUE""")," USA")</f>
        <v xml:space="preserve"> USA</v>
      </c>
      <c r="R221" s="91"/>
    </row>
    <row r="222" spans="1:18">
      <c r="A222" s="60">
        <v>221</v>
      </c>
      <c r="B222" s="79" t="s">
        <v>1232</v>
      </c>
      <c r="C222" s="60" t="s">
        <v>136</v>
      </c>
      <c r="D222" s="92" t="s">
        <v>1429</v>
      </c>
      <c r="E222" s="48" t="str">
        <f t="shared" si="0"/>
        <v>Oakland Park</v>
      </c>
      <c r="F222" s="83" t="str">
        <f t="shared" si="1"/>
        <v>Northeast (Oakland Park),FL</v>
      </c>
      <c r="G222" s="60" t="s">
        <v>1430</v>
      </c>
      <c r="H222" s="60">
        <v>26.194546599999999</v>
      </c>
      <c r="I222" s="60">
        <v>-80.136394499999994</v>
      </c>
      <c r="J222" s="60" t="str">
        <f ca="1">IFERROR(__xludf.DUMMYFUNCTION("SPLIT(G222,"","")"),"700 NE 56th St")</f>
        <v>700 NE 56th St</v>
      </c>
      <c r="K222" s="88" t="str">
        <f ca="1">IFERROR(__xludf.DUMMYFUNCTION("""COMPUTED_VALUE""")," Oakland Park")</f>
        <v xml:space="preserve"> Oakland Park</v>
      </c>
      <c r="L222" s="2" t="str">
        <f ca="1">IFERROR(__xludf.DUMMYFUNCTION("""COMPUTED_VALUE""")," FL 33334")</f>
        <v xml:space="preserve"> FL 33334</v>
      </c>
      <c r="M222" s="2" t="str">
        <f ca="1">IFERROR(__xludf.DUMMYFUNCTION("""COMPUTED_VALUE""")," USA")</f>
        <v xml:space="preserve"> USA</v>
      </c>
      <c r="R222" s="88"/>
    </row>
    <row r="223" spans="1:18">
      <c r="A223" s="65">
        <v>222</v>
      </c>
      <c r="B223" s="80" t="s">
        <v>1236</v>
      </c>
      <c r="C223" s="65" t="s">
        <v>765</v>
      </c>
      <c r="D223" s="90" t="s">
        <v>1431</v>
      </c>
      <c r="E223" s="48" t="str">
        <f t="shared" si="0"/>
        <v>St. George</v>
      </c>
      <c r="F223" s="83" t="str">
        <f t="shared" si="1"/>
        <v>Dixie (St. George),UT</v>
      </c>
      <c r="G223" s="65" t="s">
        <v>1433</v>
      </c>
      <c r="H223" s="65">
        <v>37.095375599999997</v>
      </c>
      <c r="I223" s="65">
        <v>-113.5769586</v>
      </c>
      <c r="J223" s="60" t="str">
        <f ca="1">IFERROR(__xludf.DUMMYFUNCTION("SPLIT(G223,"","")"),"Unnamed Road")</f>
        <v>Unnamed Road</v>
      </c>
      <c r="K223" s="91" t="str">
        <f ca="1">IFERROR(__xludf.DUMMYFUNCTION("""COMPUTED_VALUE""")," St. George")</f>
        <v xml:space="preserve"> St. George</v>
      </c>
      <c r="L223" s="2" t="str">
        <f ca="1">IFERROR(__xludf.DUMMYFUNCTION("""COMPUTED_VALUE""")," UT 84770")</f>
        <v xml:space="preserve"> UT 84770</v>
      </c>
      <c r="M223" s="2" t="str">
        <f ca="1">IFERROR(__xludf.DUMMYFUNCTION("""COMPUTED_VALUE""")," USA")</f>
        <v xml:space="preserve"> USA</v>
      </c>
      <c r="R223" s="91"/>
    </row>
    <row r="224" spans="1:18">
      <c r="A224" s="60">
        <v>223</v>
      </c>
      <c r="B224" s="79" t="s">
        <v>1239</v>
      </c>
      <c r="C224" s="60" t="s">
        <v>136</v>
      </c>
      <c r="D224" s="92" t="s">
        <v>1103</v>
      </c>
      <c r="E224" s="48" t="str">
        <f t="shared" si="0"/>
        <v>Jacksonville</v>
      </c>
      <c r="F224" s="83" t="str">
        <f t="shared" si="1"/>
        <v>Paxon School For Advanced Studies (Jacksonville),FL</v>
      </c>
      <c r="G224" s="60" t="s">
        <v>1434</v>
      </c>
      <c r="H224" s="60">
        <v>30.3445234</v>
      </c>
      <c r="I224" s="60">
        <v>-81.724052</v>
      </c>
      <c r="J224" s="60" t="str">
        <f ca="1">IFERROR(__xludf.DUMMYFUNCTION("SPLIT(G224,"","")"),"Paxon High School")</f>
        <v>Paxon High School</v>
      </c>
      <c r="K224" s="88" t="str">
        <f ca="1">IFERROR(__xludf.DUMMYFUNCTION("""COMPUTED_VALUE""")," Jacksonville")</f>
        <v xml:space="preserve"> Jacksonville</v>
      </c>
      <c r="L224" s="2" t="str">
        <f ca="1">IFERROR(__xludf.DUMMYFUNCTION("""COMPUTED_VALUE""")," FL 32254")</f>
        <v xml:space="preserve"> FL 32254</v>
      </c>
      <c r="M224" s="2" t="str">
        <f ca="1">IFERROR(__xludf.DUMMYFUNCTION("""COMPUTED_VALUE""")," USA")</f>
        <v xml:space="preserve"> USA</v>
      </c>
      <c r="R224" s="88"/>
    </row>
    <row r="225" spans="1:18">
      <c r="A225" s="65">
        <v>224</v>
      </c>
      <c r="B225" s="80" t="s">
        <v>1241</v>
      </c>
      <c r="C225" s="65" t="s">
        <v>588</v>
      </c>
      <c r="D225" s="90" t="s">
        <v>633</v>
      </c>
      <c r="E225" s="48" t="str">
        <f t="shared" si="0"/>
        <v>Sacramento</v>
      </c>
      <c r="F225" s="83" t="str">
        <f t="shared" si="1"/>
        <v>Grant (Sacramento),CA</v>
      </c>
      <c r="G225" s="65" t="s">
        <v>1435</v>
      </c>
      <c r="H225" s="65">
        <v>38.526713000000001</v>
      </c>
      <c r="I225" s="65">
        <v>-121.50789279999999</v>
      </c>
      <c r="J225" s="60" t="str">
        <f ca="1">IFERROR(__xludf.DUMMYFUNCTION("SPLIT(G225,"","")"),"5321 Del Rio Rd")</f>
        <v>5321 Del Rio Rd</v>
      </c>
      <c r="K225" s="91" t="str">
        <f ca="1">IFERROR(__xludf.DUMMYFUNCTION("""COMPUTED_VALUE""")," Sacramento")</f>
        <v xml:space="preserve"> Sacramento</v>
      </c>
      <c r="L225" s="2" t="str">
        <f ca="1">IFERROR(__xludf.DUMMYFUNCTION("""COMPUTED_VALUE""")," CA 95822")</f>
        <v xml:space="preserve"> CA 95822</v>
      </c>
      <c r="M225" s="2" t="str">
        <f ca="1">IFERROR(__xludf.DUMMYFUNCTION("""COMPUTED_VALUE""")," USA")</f>
        <v xml:space="preserve"> USA</v>
      </c>
      <c r="R225" s="91"/>
    </row>
    <row r="226" spans="1:18">
      <c r="A226" s="97">
        <v>225</v>
      </c>
      <c r="B226" s="99" t="s">
        <v>1243</v>
      </c>
      <c r="C226" s="97" t="s">
        <v>737</v>
      </c>
      <c r="D226" s="97" t="s">
        <v>1436</v>
      </c>
      <c r="E226" s="48" t="str">
        <f t="shared" si="0"/>
        <v>Manasquan</v>
      </c>
      <c r="F226" s="83" t="str">
        <f t="shared" si="1"/>
        <v>Manasquan,NJ</v>
      </c>
      <c r="G226" s="97" t="s">
        <v>1437</v>
      </c>
      <c r="H226" s="97">
        <v>40.113692800000003</v>
      </c>
      <c r="I226" s="97">
        <v>-74.037635499999993</v>
      </c>
      <c r="J226" s="60" t="str">
        <f ca="1">IFERROR(__xludf.DUMMYFUNCTION("SPLIT(G226,"","")"),"519 Perrine Blvd")</f>
        <v>519 Perrine Blvd</v>
      </c>
      <c r="K226" s="103" t="str">
        <f ca="1">IFERROR(__xludf.DUMMYFUNCTION("""COMPUTED_VALUE""")," Manasquan")</f>
        <v xml:space="preserve"> Manasquan</v>
      </c>
      <c r="L226" s="2" t="str">
        <f ca="1">IFERROR(__xludf.DUMMYFUNCTION("""COMPUTED_VALUE""")," NJ 08736")</f>
        <v xml:space="preserve"> NJ 08736</v>
      </c>
      <c r="M226" s="2" t="str">
        <f ca="1">IFERROR(__xludf.DUMMYFUNCTION("""COMPUTED_VALUE""")," USA")</f>
        <v xml:space="preserve"> USA</v>
      </c>
      <c r="R226" s="103"/>
    </row>
    <row r="227" spans="1:18">
      <c r="A227" s="60">
        <v>226</v>
      </c>
      <c r="B227" s="79" t="s">
        <v>1244</v>
      </c>
      <c r="C227" s="60" t="s">
        <v>646</v>
      </c>
      <c r="D227" s="92" t="s">
        <v>1438</v>
      </c>
      <c r="E227" s="48" t="str">
        <f t="shared" si="0"/>
        <v>Scobey</v>
      </c>
      <c r="F227" s="83" t="str">
        <f t="shared" si="1"/>
        <v>Scobey,MT</v>
      </c>
      <c r="G227" s="60" t="s">
        <v>1439</v>
      </c>
      <c r="H227" s="60">
        <v>48.792524200000003</v>
      </c>
      <c r="I227" s="60">
        <v>-105.4208268</v>
      </c>
      <c r="J227" s="60" t="str">
        <f ca="1">IFERROR(__xludf.DUMMYFUNCTION("SPLIT(G227,"","")"),"22 Main St")</f>
        <v>22 Main St</v>
      </c>
      <c r="K227" s="88" t="str">
        <f ca="1">IFERROR(__xludf.DUMMYFUNCTION("""COMPUTED_VALUE""")," Scobey")</f>
        <v xml:space="preserve"> Scobey</v>
      </c>
      <c r="L227" s="2" t="str">
        <f ca="1">IFERROR(__xludf.DUMMYFUNCTION("""COMPUTED_VALUE""")," MT 59263")</f>
        <v xml:space="preserve"> MT 59263</v>
      </c>
      <c r="M227" s="2" t="str">
        <f ca="1">IFERROR(__xludf.DUMMYFUNCTION("""COMPUTED_VALUE""")," USA")</f>
        <v xml:space="preserve"> USA</v>
      </c>
      <c r="R227" s="88"/>
    </row>
    <row r="228" spans="1:18">
      <c r="A228" s="65">
        <v>227</v>
      </c>
      <c r="B228" s="80" t="s">
        <v>1246</v>
      </c>
      <c r="C228" s="65" t="s">
        <v>901</v>
      </c>
      <c r="D228" s="90" t="s">
        <v>1440</v>
      </c>
      <c r="E228" s="48" t="str">
        <f t="shared" si="0"/>
        <v>Little Rock</v>
      </c>
      <c r="F228" s="83" t="str">
        <f t="shared" si="1"/>
        <v>Mills University Studies (Little Rock),AR</v>
      </c>
      <c r="G228" s="65" t="s">
        <v>1441</v>
      </c>
      <c r="H228" s="65">
        <v>34.6723298</v>
      </c>
      <c r="I228" s="65">
        <v>-92.257447400000004</v>
      </c>
      <c r="J228" s="60" t="str">
        <f ca="1">IFERROR(__xludf.DUMMYFUNCTION("SPLIT(G228,"","")"),"808 AR-338")</f>
        <v>808 AR-338</v>
      </c>
      <c r="K228" s="91" t="str">
        <f ca="1">IFERROR(__xludf.DUMMYFUNCTION("""COMPUTED_VALUE""")," Little Rock")</f>
        <v xml:space="preserve"> Little Rock</v>
      </c>
      <c r="L228" s="2" t="str">
        <f ca="1">IFERROR(__xludf.DUMMYFUNCTION("""COMPUTED_VALUE""")," AR 72206")</f>
        <v xml:space="preserve"> AR 72206</v>
      </c>
      <c r="M228" s="2" t="str">
        <f ca="1">IFERROR(__xludf.DUMMYFUNCTION("""COMPUTED_VALUE""")," USA")</f>
        <v xml:space="preserve"> USA</v>
      </c>
      <c r="R228" s="91"/>
    </row>
    <row r="229" spans="1:18">
      <c r="A229" s="60">
        <v>228</v>
      </c>
      <c r="B229" s="79" t="s">
        <v>1249</v>
      </c>
      <c r="C229" s="60" t="s">
        <v>183</v>
      </c>
      <c r="D229" s="92" t="s">
        <v>1442</v>
      </c>
      <c r="E229" s="48" t="str">
        <f t="shared" si="0"/>
        <v>Scotia</v>
      </c>
      <c r="F229" s="83" t="str">
        <f t="shared" si="1"/>
        <v>Mekeel Christian Academy (Schenectady),NY</v>
      </c>
      <c r="G229" s="60" t="s">
        <v>1443</v>
      </c>
      <c r="H229" s="60">
        <v>42.830017099999999</v>
      </c>
      <c r="I229" s="60">
        <v>-73.967444499999999</v>
      </c>
      <c r="J229" s="60" t="str">
        <f ca="1">IFERROR(__xludf.DUMMYFUNCTION("SPLIT(G229,"","")"),"2008 2nd St")</f>
        <v>2008 2nd St</v>
      </c>
      <c r="K229" s="88" t="str">
        <f ca="1">IFERROR(__xludf.DUMMYFUNCTION("""COMPUTED_VALUE""")," Scotia")</f>
        <v xml:space="preserve"> Scotia</v>
      </c>
      <c r="L229" s="2" t="str">
        <f ca="1">IFERROR(__xludf.DUMMYFUNCTION("""COMPUTED_VALUE""")," NY 12302")</f>
        <v xml:space="preserve"> NY 12302</v>
      </c>
      <c r="M229" s="2" t="str">
        <f ca="1">IFERROR(__xludf.DUMMYFUNCTION("""COMPUTED_VALUE""")," USA")</f>
        <v xml:space="preserve"> USA</v>
      </c>
      <c r="R229" s="88"/>
    </row>
    <row r="230" spans="1:18">
      <c r="A230" s="65">
        <v>229</v>
      </c>
      <c r="B230" s="80" t="s">
        <v>1252</v>
      </c>
      <c r="C230" s="65" t="s">
        <v>595</v>
      </c>
      <c r="D230" s="90" t="s">
        <v>1109</v>
      </c>
      <c r="E230" s="48" t="str">
        <f t="shared" si="0"/>
        <v>Arlington</v>
      </c>
      <c r="F230" s="83" t="str">
        <f t="shared" si="1"/>
        <v>Martin (Arlington),TX</v>
      </c>
      <c r="G230" s="65" t="s">
        <v>1445</v>
      </c>
      <c r="H230" s="65">
        <v>32.695951399999998</v>
      </c>
      <c r="I230" s="65">
        <v>-97.14281849999999</v>
      </c>
      <c r="J230" s="60" t="str">
        <f ca="1">IFERROR(__xludf.DUMMYFUNCTION("SPLIT(G230,"","")"),"3100 Sprocket Dr")</f>
        <v>3100 Sprocket Dr</v>
      </c>
      <c r="K230" s="91" t="str">
        <f ca="1">IFERROR(__xludf.DUMMYFUNCTION("""COMPUTED_VALUE""")," Arlington")</f>
        <v xml:space="preserve"> Arlington</v>
      </c>
      <c r="L230" s="2" t="str">
        <f ca="1">IFERROR(__xludf.DUMMYFUNCTION("""COMPUTED_VALUE""")," TX 76015")</f>
        <v xml:space="preserve"> TX 76015</v>
      </c>
      <c r="M230" s="2" t="str">
        <f ca="1">IFERROR(__xludf.DUMMYFUNCTION("""COMPUTED_VALUE""")," USA")</f>
        <v xml:space="preserve"> USA</v>
      </c>
      <c r="R230" s="91"/>
    </row>
    <row r="231" spans="1:18">
      <c r="A231" s="60">
        <v>230</v>
      </c>
      <c r="B231" s="79" t="s">
        <v>1254</v>
      </c>
      <c r="C231" s="60" t="s">
        <v>602</v>
      </c>
      <c r="D231" s="92" t="s">
        <v>1446</v>
      </c>
      <c r="E231" s="48" t="str">
        <f t="shared" si="0"/>
        <v>Suffolk</v>
      </c>
      <c r="F231" s="83" t="str">
        <f t="shared" si="1"/>
        <v>King's Fork (Suffolk),VA</v>
      </c>
      <c r="G231" s="60" t="s">
        <v>1447</v>
      </c>
      <c r="H231" s="60">
        <v>36.784742600000001</v>
      </c>
      <c r="I231" s="60">
        <v>-76.593473799999998</v>
      </c>
      <c r="J231" s="60" t="str">
        <f ca="1">IFERROR(__xludf.DUMMYFUNCTION("SPLIT(G231,"","")"),"351 Kings Fork Rd")</f>
        <v>351 Kings Fork Rd</v>
      </c>
      <c r="K231" s="88" t="str">
        <f ca="1">IFERROR(__xludf.DUMMYFUNCTION("""COMPUTED_VALUE""")," Suffolk")</f>
        <v xml:space="preserve"> Suffolk</v>
      </c>
      <c r="L231" s="2" t="str">
        <f ca="1">IFERROR(__xludf.DUMMYFUNCTION("""COMPUTED_VALUE""")," VA 23434")</f>
        <v xml:space="preserve"> VA 23434</v>
      </c>
      <c r="M231" s="2" t="str">
        <f ca="1">IFERROR(__xludf.DUMMYFUNCTION("""COMPUTED_VALUE""")," USA")</f>
        <v xml:space="preserve"> USA</v>
      </c>
      <c r="R231" s="88"/>
    </row>
    <row r="232" spans="1:18">
      <c r="A232" s="65">
        <v>231</v>
      </c>
      <c r="B232" s="80" t="s">
        <v>1256</v>
      </c>
      <c r="C232" s="65" t="s">
        <v>595</v>
      </c>
      <c r="D232" s="90" t="s">
        <v>1448</v>
      </c>
      <c r="E232" s="48" t="str">
        <f t="shared" si="0"/>
        <v>Houston</v>
      </c>
      <c r="F232" s="83" t="str">
        <f t="shared" si="1"/>
        <v>Summer Creek (Houston),TX</v>
      </c>
      <c r="G232" s="65" t="s">
        <v>1449</v>
      </c>
      <c r="H232" s="65">
        <v>29.708038299999998</v>
      </c>
      <c r="I232" s="65">
        <v>-95.547134599999993</v>
      </c>
      <c r="J232" s="60" t="str">
        <f ca="1">IFERROR(__xludf.DUMMYFUNCTION("SPLIT(G232,"","")"),"9220 Clarewood Dr")</f>
        <v>9220 Clarewood Dr</v>
      </c>
      <c r="K232" s="91" t="str">
        <f ca="1">IFERROR(__xludf.DUMMYFUNCTION("""COMPUTED_VALUE""")," Houston")</f>
        <v xml:space="preserve"> Houston</v>
      </c>
      <c r="L232" s="2" t="str">
        <f ca="1">IFERROR(__xludf.DUMMYFUNCTION("""COMPUTED_VALUE""")," TX 77036")</f>
        <v xml:space="preserve"> TX 77036</v>
      </c>
      <c r="M232" s="2" t="str">
        <f ca="1">IFERROR(__xludf.DUMMYFUNCTION("""COMPUTED_VALUE""")," USA")</f>
        <v xml:space="preserve"> USA</v>
      </c>
      <c r="R232" s="91"/>
    </row>
    <row r="233" spans="1:18">
      <c r="A233" s="60">
        <v>232</v>
      </c>
      <c r="B233" s="79" t="s">
        <v>1258</v>
      </c>
      <c r="C233" s="60" t="s">
        <v>608</v>
      </c>
      <c r="D233" s="92" t="s">
        <v>1450</v>
      </c>
      <c r="E233" s="48" t="str">
        <f t="shared" si="0"/>
        <v>Marshall</v>
      </c>
      <c r="F233" s="83" t="str">
        <f t="shared" si="1"/>
        <v>Marshall,MN</v>
      </c>
      <c r="G233" s="60" t="s">
        <v>1451</v>
      </c>
      <c r="H233" s="60">
        <v>44.448422999999998</v>
      </c>
      <c r="I233" s="60">
        <v>-95.791191599999991</v>
      </c>
      <c r="J233" s="60" t="str">
        <f ca="1">IFERROR(__xludf.DUMMYFUNCTION("SPLIT(G233,"","")"),"361 W Main St")</f>
        <v>361 W Main St</v>
      </c>
      <c r="K233" s="88" t="str">
        <f ca="1">IFERROR(__xludf.DUMMYFUNCTION("""COMPUTED_VALUE""")," Marshall")</f>
        <v xml:space="preserve"> Marshall</v>
      </c>
      <c r="L233" s="2" t="str">
        <f ca="1">IFERROR(__xludf.DUMMYFUNCTION("""COMPUTED_VALUE""")," MN 56258")</f>
        <v xml:space="preserve"> MN 56258</v>
      </c>
      <c r="M233" s="2" t="str">
        <f ca="1">IFERROR(__xludf.DUMMYFUNCTION("""COMPUTED_VALUE""")," USA")</f>
        <v xml:space="preserve"> USA</v>
      </c>
      <c r="R233" s="88"/>
    </row>
    <row r="234" spans="1:18">
      <c r="A234" s="65">
        <v>233</v>
      </c>
      <c r="B234" s="80" t="s">
        <v>1259</v>
      </c>
      <c r="C234" s="65" t="s">
        <v>595</v>
      </c>
      <c r="D234" s="90" t="s">
        <v>1063</v>
      </c>
      <c r="E234" s="48" t="str">
        <f t="shared" si="0"/>
        <v>Austin</v>
      </c>
      <c r="F234" s="83" t="str">
        <f t="shared" si="1"/>
        <v>Vandegrift (Austin),TX</v>
      </c>
      <c r="G234" s="65" t="s">
        <v>1452</v>
      </c>
      <c r="H234" s="65">
        <v>30.398264900000001</v>
      </c>
      <c r="I234" s="65">
        <v>-97.82481039999999</v>
      </c>
      <c r="J234" s="60" t="str">
        <f ca="1">IFERROR(__xludf.DUMMYFUNCTION("SPLIT(G234,"","")"),"9500 McNeil Dr")</f>
        <v>9500 McNeil Dr</v>
      </c>
      <c r="K234" s="91" t="str">
        <f ca="1">IFERROR(__xludf.DUMMYFUNCTION("""COMPUTED_VALUE""")," Austin")</f>
        <v xml:space="preserve"> Austin</v>
      </c>
      <c r="L234" s="2" t="str">
        <f ca="1">IFERROR(__xludf.DUMMYFUNCTION("""COMPUTED_VALUE""")," TX 78750")</f>
        <v xml:space="preserve"> TX 78750</v>
      </c>
      <c r="M234" s="2" t="str">
        <f ca="1">IFERROR(__xludf.DUMMYFUNCTION("""COMPUTED_VALUE""")," USA")</f>
        <v xml:space="preserve"> USA</v>
      </c>
      <c r="R234" s="91"/>
    </row>
    <row r="235" spans="1:18">
      <c r="A235" s="60">
        <v>234</v>
      </c>
      <c r="B235" s="79" t="s">
        <v>1260</v>
      </c>
      <c r="C235" s="60" t="s">
        <v>675</v>
      </c>
      <c r="D235" s="92" t="s">
        <v>1453</v>
      </c>
      <c r="E235" s="48" t="str">
        <f t="shared" si="0"/>
        <v>West Chester</v>
      </c>
      <c r="F235" s="83" t="str">
        <f t="shared" si="1"/>
        <v>East (West Chester),PA</v>
      </c>
      <c r="G235" s="60" t="s">
        <v>1454</v>
      </c>
      <c r="H235" s="60">
        <v>39.960664299999998</v>
      </c>
      <c r="I235" s="60">
        <v>-75.605488199999996</v>
      </c>
      <c r="J235" s="60" t="str">
        <f ca="1">IFERROR(__xludf.DUMMYFUNCTION("SPLIT(G235,"","")"),"5 W Gay St")</f>
        <v>5 W Gay St</v>
      </c>
      <c r="K235" s="88" t="str">
        <f ca="1">IFERROR(__xludf.DUMMYFUNCTION("""COMPUTED_VALUE""")," West Chester")</f>
        <v xml:space="preserve"> West Chester</v>
      </c>
      <c r="L235" s="2" t="str">
        <f ca="1">IFERROR(__xludf.DUMMYFUNCTION("""COMPUTED_VALUE""")," PA 19380")</f>
        <v xml:space="preserve"> PA 19380</v>
      </c>
      <c r="M235" s="2" t="str">
        <f ca="1">IFERROR(__xludf.DUMMYFUNCTION("""COMPUTED_VALUE""")," USA")</f>
        <v xml:space="preserve"> USA</v>
      </c>
      <c r="R235" s="88"/>
    </row>
    <row r="236" spans="1:18">
      <c r="A236" s="65">
        <v>235</v>
      </c>
      <c r="B236" s="80" t="s">
        <v>1264</v>
      </c>
      <c r="C236" s="65" t="s">
        <v>595</v>
      </c>
      <c r="D236" s="90" t="s">
        <v>1456</v>
      </c>
      <c r="E236" s="48" t="str">
        <f t="shared" si="0"/>
        <v>Katy</v>
      </c>
      <c r="F236" s="83" t="str">
        <f t="shared" si="1"/>
        <v>Morton Ranch (Katy),TX</v>
      </c>
      <c r="G236" s="65" t="s">
        <v>1457</v>
      </c>
      <c r="H236" s="65">
        <v>29.803806699999999</v>
      </c>
      <c r="I236" s="65">
        <v>-95.744993600000015</v>
      </c>
      <c r="J236" s="60" t="str">
        <f ca="1">IFERROR(__xludf.DUMMYFUNCTION("SPLIT(G236,"","")"),"21000 Franz Rd")</f>
        <v>21000 Franz Rd</v>
      </c>
      <c r="K236" s="91" t="str">
        <f ca="1">IFERROR(__xludf.DUMMYFUNCTION("""COMPUTED_VALUE""")," Katy")</f>
        <v xml:space="preserve"> Katy</v>
      </c>
      <c r="L236" s="2" t="str">
        <f ca="1">IFERROR(__xludf.DUMMYFUNCTION("""COMPUTED_VALUE""")," TX 77449")</f>
        <v xml:space="preserve"> TX 77449</v>
      </c>
      <c r="M236" s="2" t="str">
        <f ca="1">IFERROR(__xludf.DUMMYFUNCTION("""COMPUTED_VALUE""")," USA")</f>
        <v xml:space="preserve"> USA</v>
      </c>
      <c r="R236" s="91"/>
    </row>
    <row r="237" spans="1:18">
      <c r="A237" s="60">
        <v>236</v>
      </c>
      <c r="B237" s="79" t="s">
        <v>1267</v>
      </c>
      <c r="C237" s="60" t="s">
        <v>604</v>
      </c>
      <c r="D237" s="92" t="s">
        <v>1176</v>
      </c>
      <c r="E237" s="48" t="str">
        <f t="shared" si="0"/>
        <v>Chicago Heights</v>
      </c>
      <c r="F237" s="83" t="str">
        <f t="shared" si="1"/>
        <v>Marian Catholic (Chicago Heights),IL</v>
      </c>
      <c r="G237" s="60" t="s">
        <v>1458</v>
      </c>
      <c r="H237" s="60">
        <v>41.518991</v>
      </c>
      <c r="I237" s="60">
        <v>-87.655795900000001</v>
      </c>
      <c r="J237" s="60" t="str">
        <f ca="1">IFERROR(__xludf.DUMMYFUNCTION("SPLIT(G237,"","")"),"700 Ashland Ave")</f>
        <v>700 Ashland Ave</v>
      </c>
      <c r="K237" s="88" t="str">
        <f ca="1">IFERROR(__xludf.DUMMYFUNCTION("""COMPUTED_VALUE""")," Chicago Heights")</f>
        <v xml:space="preserve"> Chicago Heights</v>
      </c>
      <c r="L237" s="2" t="str">
        <f ca="1">IFERROR(__xludf.DUMMYFUNCTION("""COMPUTED_VALUE""")," IL 60411")</f>
        <v xml:space="preserve"> IL 60411</v>
      </c>
      <c r="M237" s="2" t="str">
        <f ca="1">IFERROR(__xludf.DUMMYFUNCTION("""COMPUTED_VALUE""")," USA")</f>
        <v xml:space="preserve"> USA</v>
      </c>
      <c r="R237" s="88"/>
    </row>
    <row r="238" spans="1:18">
      <c r="A238" s="65">
        <v>237</v>
      </c>
      <c r="B238" s="80" t="s">
        <v>1269</v>
      </c>
      <c r="C238" s="65" t="s">
        <v>682</v>
      </c>
      <c r="D238" s="90" t="s">
        <v>1459</v>
      </c>
      <c r="E238" s="48" t="str">
        <f t="shared" si="0"/>
        <v>Onalaska</v>
      </c>
      <c r="F238" s="83" t="str">
        <f t="shared" si="1"/>
        <v>Onalaska,WI</v>
      </c>
      <c r="G238" s="65" t="s">
        <v>1460</v>
      </c>
      <c r="H238" s="65">
        <v>43.8844092</v>
      </c>
      <c r="I238" s="65">
        <v>-91.235139300000014</v>
      </c>
      <c r="J238" s="60" t="str">
        <f ca="1">IFERROR(__xludf.DUMMYFUNCTION("SPLIT(G238,"","")"),"229 2nd Ave N")</f>
        <v>229 2nd Ave N</v>
      </c>
      <c r="K238" s="91" t="str">
        <f ca="1">IFERROR(__xludf.DUMMYFUNCTION("""COMPUTED_VALUE""")," Onalaska")</f>
        <v xml:space="preserve"> Onalaska</v>
      </c>
      <c r="L238" s="2" t="str">
        <f ca="1">IFERROR(__xludf.DUMMYFUNCTION("""COMPUTED_VALUE""")," WI 54650")</f>
        <v xml:space="preserve"> WI 54650</v>
      </c>
      <c r="M238" s="2" t="str">
        <f ca="1">IFERROR(__xludf.DUMMYFUNCTION("""COMPUTED_VALUE""")," USA")</f>
        <v xml:space="preserve"> USA</v>
      </c>
      <c r="R238" s="91"/>
    </row>
    <row r="239" spans="1:18">
      <c r="A239" s="60">
        <v>238</v>
      </c>
      <c r="B239" s="79" t="s">
        <v>1272</v>
      </c>
      <c r="C239" s="60" t="s">
        <v>1273</v>
      </c>
      <c r="D239" s="92" t="s">
        <v>1461</v>
      </c>
      <c r="E239" s="48" t="str">
        <f t="shared" si="0"/>
        <v>Cedar Falls</v>
      </c>
      <c r="F239" s="83" t="str">
        <f t="shared" si="1"/>
        <v>Cedar Falls,IA</v>
      </c>
      <c r="G239" s="60" t="s">
        <v>1462</v>
      </c>
      <c r="H239" s="60">
        <v>42.534899299999999</v>
      </c>
      <c r="I239" s="60">
        <v>-92.445316099999999</v>
      </c>
      <c r="J239" s="60" t="str">
        <f ca="1">IFERROR(__xludf.DUMMYFUNCTION("SPLIT(G239,"","")"),"402 Main St")</f>
        <v>402 Main St</v>
      </c>
      <c r="K239" s="88" t="str">
        <f ca="1">IFERROR(__xludf.DUMMYFUNCTION("""COMPUTED_VALUE""")," Cedar Falls")</f>
        <v xml:space="preserve"> Cedar Falls</v>
      </c>
      <c r="L239" s="2" t="str">
        <f ca="1">IFERROR(__xludf.DUMMYFUNCTION("""COMPUTED_VALUE""")," IA 50613")</f>
        <v xml:space="preserve"> IA 50613</v>
      </c>
      <c r="M239" s="2" t="str">
        <f ca="1">IFERROR(__xludf.DUMMYFUNCTION("""COMPUTED_VALUE""")," USA")</f>
        <v xml:space="preserve"> USA</v>
      </c>
      <c r="R239" s="88"/>
    </row>
    <row r="240" spans="1:18">
      <c r="A240" s="65">
        <v>239</v>
      </c>
      <c r="B240" s="80" t="s">
        <v>1274</v>
      </c>
      <c r="C240" s="65" t="s">
        <v>136</v>
      </c>
      <c r="D240" s="90" t="s">
        <v>1463</v>
      </c>
      <c r="E240" s="48" t="str">
        <f t="shared" si="0"/>
        <v>Kissimmee</v>
      </c>
      <c r="F240" s="83" t="str">
        <f t="shared" si="1"/>
        <v>Central Pointe Christian Academy (Kissimmee),FL</v>
      </c>
      <c r="G240" s="65" t="s">
        <v>1464</v>
      </c>
      <c r="H240" s="65">
        <v>28.3105254</v>
      </c>
      <c r="I240" s="65">
        <v>-81.343942400000003</v>
      </c>
      <c r="J240" s="60" t="str">
        <f ca="1">IFERROR(__xludf.DUMMYFUNCTION("SPLIT(G240,"","")"),"2031 Simpson Rd")</f>
        <v>2031 Simpson Rd</v>
      </c>
      <c r="K240" s="91" t="str">
        <f ca="1">IFERROR(__xludf.DUMMYFUNCTION("""COMPUTED_VALUE""")," Kissimmee")</f>
        <v xml:space="preserve"> Kissimmee</v>
      </c>
      <c r="L240" s="2" t="str">
        <f ca="1">IFERROR(__xludf.DUMMYFUNCTION("""COMPUTED_VALUE""")," FL 34744")</f>
        <v xml:space="preserve"> FL 34744</v>
      </c>
      <c r="M240" s="2" t="str">
        <f ca="1">IFERROR(__xludf.DUMMYFUNCTION("""COMPUTED_VALUE""")," USA")</f>
        <v xml:space="preserve"> USA</v>
      </c>
      <c r="R240" s="91"/>
    </row>
    <row r="241" spans="1:18">
      <c r="A241" s="60">
        <v>240</v>
      </c>
      <c r="B241" s="79" t="s">
        <v>1277</v>
      </c>
      <c r="C241" s="60" t="s">
        <v>624</v>
      </c>
      <c r="D241" s="92" t="s">
        <v>1471</v>
      </c>
      <c r="E241" s="48" t="str">
        <f t="shared" si="0"/>
        <v>New Orleans</v>
      </c>
      <c r="F241" s="83" t="str">
        <f t="shared" si="1"/>
        <v>St. Augustine (New Orleans),LA</v>
      </c>
      <c r="G241" s="60" t="s">
        <v>1472</v>
      </c>
      <c r="H241" s="60">
        <v>29.9833228</v>
      </c>
      <c r="I241" s="60">
        <v>-90.067826299999993</v>
      </c>
      <c r="J241" s="60" t="str">
        <f ca="1">IFERROR(__xludf.DUMMYFUNCTION("SPLIT(G241,"","")"),"2600 A P Tureaud Ave")</f>
        <v>2600 A P Tureaud Ave</v>
      </c>
      <c r="K241" s="88" t="str">
        <f ca="1">IFERROR(__xludf.DUMMYFUNCTION("""COMPUTED_VALUE""")," New Orleans")</f>
        <v xml:space="preserve"> New Orleans</v>
      </c>
      <c r="L241" s="2" t="str">
        <f ca="1">IFERROR(__xludf.DUMMYFUNCTION("""COMPUTED_VALUE""")," LA 70119")</f>
        <v xml:space="preserve"> LA 70119</v>
      </c>
      <c r="M241" s="2" t="str">
        <f ca="1">IFERROR(__xludf.DUMMYFUNCTION("""COMPUTED_VALUE""")," USA")</f>
        <v xml:space="preserve"> USA</v>
      </c>
      <c r="R241" s="88"/>
    </row>
    <row r="242" spans="1:18">
      <c r="A242" s="65">
        <v>241</v>
      </c>
      <c r="B242" s="80" t="s">
        <v>1280</v>
      </c>
      <c r="C242" s="65" t="s">
        <v>624</v>
      </c>
      <c r="D242" s="90" t="s">
        <v>810</v>
      </c>
      <c r="E242" s="48" t="str">
        <f t="shared" si="0"/>
        <v>Alexandria</v>
      </c>
      <c r="F242" s="83" t="str">
        <f t="shared" si="1"/>
        <v>Peabody (Alexandria),LA</v>
      </c>
      <c r="G242" s="65" t="s">
        <v>1475</v>
      </c>
      <c r="H242" s="65">
        <v>31.293555999999999</v>
      </c>
      <c r="I242" s="65">
        <v>-92.435824599999989</v>
      </c>
      <c r="J242" s="60" t="str">
        <f ca="1">IFERROR(__xludf.DUMMYFUNCTION("SPLIT(G242,"","")"),"2700 Jones Ave")</f>
        <v>2700 Jones Ave</v>
      </c>
      <c r="K242" s="91" t="str">
        <f ca="1">IFERROR(__xludf.DUMMYFUNCTION("""COMPUTED_VALUE""")," Alexandria")</f>
        <v xml:space="preserve"> Alexandria</v>
      </c>
      <c r="L242" s="2" t="str">
        <f ca="1">IFERROR(__xludf.DUMMYFUNCTION("""COMPUTED_VALUE""")," LA 71302")</f>
        <v xml:space="preserve"> LA 71302</v>
      </c>
      <c r="M242" s="2" t="str">
        <f ca="1">IFERROR(__xludf.DUMMYFUNCTION("""COMPUTED_VALUE""")," USA")</f>
        <v xml:space="preserve"> USA</v>
      </c>
      <c r="R242" s="91"/>
    </row>
    <row r="243" spans="1:18">
      <c r="A243" s="60">
        <v>242</v>
      </c>
      <c r="B243" s="79" t="s">
        <v>1283</v>
      </c>
      <c r="C243" s="60" t="s">
        <v>604</v>
      </c>
      <c r="D243" s="92" t="s">
        <v>1479</v>
      </c>
      <c r="E243" s="48" t="str">
        <f t="shared" si="0"/>
        <v>Lincoln</v>
      </c>
      <c r="F243" s="83" t="str">
        <f t="shared" si="1"/>
        <v>Lincoln,IL</v>
      </c>
      <c r="G243" s="60" t="s">
        <v>1483</v>
      </c>
      <c r="H243" s="60">
        <v>40.148376800000001</v>
      </c>
      <c r="I243" s="60">
        <v>-89.364818299999996</v>
      </c>
      <c r="J243" s="60" t="str">
        <f ca="1">IFERROR(__xludf.DUMMYFUNCTION("SPLIT(G243,"","")"),"412 Broadway St")</f>
        <v>412 Broadway St</v>
      </c>
      <c r="K243" s="88" t="str">
        <f ca="1">IFERROR(__xludf.DUMMYFUNCTION("""COMPUTED_VALUE""")," Lincoln")</f>
        <v xml:space="preserve"> Lincoln</v>
      </c>
      <c r="L243" s="2" t="str">
        <f ca="1">IFERROR(__xludf.DUMMYFUNCTION("""COMPUTED_VALUE""")," IL 62656")</f>
        <v xml:space="preserve"> IL 62656</v>
      </c>
      <c r="M243" s="2" t="str">
        <f ca="1">IFERROR(__xludf.DUMMYFUNCTION("""COMPUTED_VALUE""")," USA")</f>
        <v xml:space="preserve"> USA</v>
      </c>
      <c r="R243" s="88"/>
    </row>
    <row r="244" spans="1:18">
      <c r="A244" s="65">
        <v>243</v>
      </c>
      <c r="B244" s="80" t="s">
        <v>411</v>
      </c>
      <c r="C244" s="65" t="s">
        <v>765</v>
      </c>
      <c r="D244" s="90" t="s">
        <v>1487</v>
      </c>
      <c r="E244" s="48" t="str">
        <f t="shared" si="0"/>
        <v>Springville</v>
      </c>
      <c r="F244" s="83" t="str">
        <f t="shared" si="1"/>
        <v>Springville,UT</v>
      </c>
      <c r="G244" s="65" t="s">
        <v>1490</v>
      </c>
      <c r="H244" s="65">
        <v>40.165233499999999</v>
      </c>
      <c r="I244" s="65">
        <v>-111.6107526</v>
      </c>
      <c r="J244" s="60" t="str">
        <f ca="1">IFERROR(__xludf.DUMMYFUNCTION("SPLIT(G244,"","")"),"110 S State St")</f>
        <v>110 S State St</v>
      </c>
      <c r="K244" s="91" t="str">
        <f ca="1">IFERROR(__xludf.DUMMYFUNCTION("""COMPUTED_VALUE""")," Springville")</f>
        <v xml:space="preserve"> Springville</v>
      </c>
      <c r="L244" s="2" t="str">
        <f ca="1">IFERROR(__xludf.DUMMYFUNCTION("""COMPUTED_VALUE""")," UT 84663")</f>
        <v xml:space="preserve"> UT 84663</v>
      </c>
      <c r="M244" s="2" t="str">
        <f ca="1">IFERROR(__xludf.DUMMYFUNCTION("""COMPUTED_VALUE""")," USA")</f>
        <v xml:space="preserve"> USA</v>
      </c>
      <c r="R244" s="91"/>
    </row>
    <row r="245" spans="1:18">
      <c r="A245" s="60">
        <v>244</v>
      </c>
      <c r="B245" s="79" t="s">
        <v>1285</v>
      </c>
      <c r="C245" s="60" t="s">
        <v>191</v>
      </c>
      <c r="D245" s="92" t="s">
        <v>1494</v>
      </c>
      <c r="E245" s="48" t="str">
        <f t="shared" si="0"/>
        <v>Village of Clarkston</v>
      </c>
      <c r="F245" s="83" t="str">
        <f t="shared" si="1"/>
        <v>Clarkston,MI</v>
      </c>
      <c r="G245" s="60" t="s">
        <v>1497</v>
      </c>
      <c r="H245" s="60">
        <v>42.735119599999997</v>
      </c>
      <c r="I245" s="60">
        <v>-83.419294100000002</v>
      </c>
      <c r="J245" s="60" t="str">
        <f ca="1">IFERROR(__xludf.DUMMYFUNCTION("SPLIT(G245,"","")"),"23 S Main St")</f>
        <v>23 S Main St</v>
      </c>
      <c r="K245" s="88" t="str">
        <f ca="1">IFERROR(__xludf.DUMMYFUNCTION("""COMPUTED_VALUE""")," Village of Clarkston")</f>
        <v xml:space="preserve"> Village of Clarkston</v>
      </c>
      <c r="L245" s="2" t="str">
        <f ca="1">IFERROR(__xludf.DUMMYFUNCTION("""COMPUTED_VALUE""")," MI 48346")</f>
        <v xml:space="preserve"> MI 48346</v>
      </c>
      <c r="M245" s="2" t="str">
        <f ca="1">IFERROR(__xludf.DUMMYFUNCTION("""COMPUTED_VALUE""")," USA")</f>
        <v xml:space="preserve"> USA</v>
      </c>
      <c r="R245" s="88"/>
    </row>
    <row r="246" spans="1:18">
      <c r="A246" s="65">
        <v>245</v>
      </c>
      <c r="B246" s="80" t="s">
        <v>1289</v>
      </c>
      <c r="C246" s="65" t="s">
        <v>136</v>
      </c>
      <c r="D246" s="90" t="s">
        <v>835</v>
      </c>
      <c r="E246" s="48" t="str">
        <f t="shared" si="0"/>
        <v>Orlando</v>
      </c>
      <c r="F246" s="83" t="str">
        <f t="shared" si="1"/>
        <v>West Oaks Academy (Orlando),FL</v>
      </c>
      <c r="G246" s="65" t="s">
        <v>1501</v>
      </c>
      <c r="H246" s="65">
        <v>28.587616799999999</v>
      </c>
      <c r="I246" s="65">
        <v>-81.499965500000002</v>
      </c>
      <c r="J246" s="60" t="str">
        <f ca="1">IFERROR(__xludf.DUMMYFUNCTION("SPLIT(G246,"","")"),"8624 A D Mims Rd")</f>
        <v>8624 A D Mims Rd</v>
      </c>
      <c r="K246" s="91" t="str">
        <f ca="1">IFERROR(__xludf.DUMMYFUNCTION("""COMPUTED_VALUE""")," Orlando")</f>
        <v xml:space="preserve"> Orlando</v>
      </c>
      <c r="L246" s="2" t="str">
        <f ca="1">IFERROR(__xludf.DUMMYFUNCTION("""COMPUTED_VALUE""")," FL 32818")</f>
        <v xml:space="preserve"> FL 32818</v>
      </c>
      <c r="M246" s="2" t="str">
        <f ca="1">IFERROR(__xludf.DUMMYFUNCTION("""COMPUTED_VALUE""")," USA")</f>
        <v xml:space="preserve"> USA</v>
      </c>
      <c r="R246" s="91"/>
    </row>
    <row r="247" spans="1:18">
      <c r="A247" s="60">
        <v>246</v>
      </c>
      <c r="B247" s="79" t="s">
        <v>1291</v>
      </c>
      <c r="C247" s="60" t="s">
        <v>588</v>
      </c>
      <c r="D247" s="92" t="s">
        <v>1505</v>
      </c>
      <c r="E247" s="48" t="str">
        <f t="shared" si="0"/>
        <v>Eastvale</v>
      </c>
      <c r="F247" s="83" t="str">
        <f t="shared" si="1"/>
        <v>Roosevelt (Eastvale),CA</v>
      </c>
      <c r="G247" s="60" t="s">
        <v>1506</v>
      </c>
      <c r="H247" s="60">
        <v>33.953060999999998</v>
      </c>
      <c r="I247" s="60">
        <v>-117.5687528</v>
      </c>
      <c r="J247" s="60" t="str">
        <f ca="1">IFERROR(__xludf.DUMMYFUNCTION("SPLIT(G247,"","")"),"7447 Scholar Way")</f>
        <v>7447 Scholar Way</v>
      </c>
      <c r="K247" s="88" t="str">
        <f ca="1">IFERROR(__xludf.DUMMYFUNCTION("""COMPUTED_VALUE""")," Eastvale")</f>
        <v xml:space="preserve"> Eastvale</v>
      </c>
      <c r="L247" s="2" t="str">
        <f ca="1">IFERROR(__xludf.DUMMYFUNCTION("""COMPUTED_VALUE""")," CA 92880")</f>
        <v xml:space="preserve"> CA 92880</v>
      </c>
      <c r="M247" s="2" t="str">
        <f ca="1">IFERROR(__xludf.DUMMYFUNCTION("""COMPUTED_VALUE""")," USA")</f>
        <v xml:space="preserve"> USA</v>
      </c>
      <c r="R247" s="88"/>
    </row>
    <row r="248" spans="1:18">
      <c r="A248" s="65">
        <v>247</v>
      </c>
      <c r="B248" s="80" t="s">
        <v>1295</v>
      </c>
      <c r="C248" s="65" t="s">
        <v>1296</v>
      </c>
      <c r="D248" s="90" t="s">
        <v>1512</v>
      </c>
      <c r="E248" s="48" t="str">
        <f t="shared" si="0"/>
        <v>Eugene</v>
      </c>
      <c r="F248" s="83" t="str">
        <f t="shared" si="1"/>
        <v>Churchill (Eugene),OR</v>
      </c>
      <c r="G248" s="65" t="s">
        <v>1515</v>
      </c>
      <c r="H248" s="65">
        <v>44.039550299999988</v>
      </c>
      <c r="I248" s="65">
        <v>-123.151302</v>
      </c>
      <c r="J248" s="60" t="str">
        <f ca="1">IFERROR(__xludf.DUMMYFUNCTION("SPLIT(G248,"","")"),"1850 Bailey Hill Rd")</f>
        <v>1850 Bailey Hill Rd</v>
      </c>
      <c r="K248" s="91" t="str">
        <f ca="1">IFERROR(__xludf.DUMMYFUNCTION("""COMPUTED_VALUE""")," Eugene")</f>
        <v xml:space="preserve"> Eugene</v>
      </c>
      <c r="L248" s="2" t="str">
        <f ca="1">IFERROR(__xludf.DUMMYFUNCTION("""COMPUTED_VALUE""")," OR 97405")</f>
        <v xml:space="preserve"> OR 97405</v>
      </c>
      <c r="M248" s="2" t="str">
        <f ca="1">IFERROR(__xludf.DUMMYFUNCTION("""COMPUTED_VALUE""")," USA")</f>
        <v xml:space="preserve"> USA</v>
      </c>
      <c r="R248" s="91"/>
    </row>
    <row r="249" spans="1:18">
      <c r="A249" s="60">
        <v>248</v>
      </c>
      <c r="B249" s="79" t="s">
        <v>1297</v>
      </c>
      <c r="C249" s="60" t="s">
        <v>590</v>
      </c>
      <c r="D249" s="92" t="s">
        <v>1522</v>
      </c>
      <c r="E249" s="48" t="str">
        <f t="shared" si="0"/>
        <v>Upper Marlboro</v>
      </c>
      <c r="F249" s="83" t="str">
        <f t="shared" si="1"/>
        <v>Rock Creek Christian Academy (Upper Marlboro),MD</v>
      </c>
      <c r="G249" s="60" t="s">
        <v>1524</v>
      </c>
      <c r="H249" s="60">
        <v>38.797797199999998</v>
      </c>
      <c r="I249" s="60">
        <v>-76.833174200000002</v>
      </c>
      <c r="J249" s="60" t="str">
        <f ca="1">IFERROR(__xludf.DUMMYFUNCTION("SPLIT(G249,"","")"),"6707 Woodyard Rd")</f>
        <v>6707 Woodyard Rd</v>
      </c>
      <c r="K249" s="88" t="str">
        <f ca="1">IFERROR(__xludf.DUMMYFUNCTION("""COMPUTED_VALUE""")," Upper Marlboro")</f>
        <v xml:space="preserve"> Upper Marlboro</v>
      </c>
      <c r="L249" s="2" t="str">
        <f ca="1">IFERROR(__xludf.DUMMYFUNCTION("""COMPUTED_VALUE""")," MD 20772")</f>
        <v xml:space="preserve"> MD 20772</v>
      </c>
      <c r="M249" s="2" t="str">
        <f ca="1">IFERROR(__xludf.DUMMYFUNCTION("""COMPUTED_VALUE""")," USA")</f>
        <v xml:space="preserve"> USA</v>
      </c>
      <c r="R249" s="88"/>
    </row>
    <row r="250" spans="1:18">
      <c r="A250" s="65">
        <v>249</v>
      </c>
      <c r="B250" s="80" t="s">
        <v>214</v>
      </c>
      <c r="C250" s="65" t="s">
        <v>693</v>
      </c>
      <c r="D250" s="65" t="s">
        <v>1528</v>
      </c>
      <c r="E250" s="48" t="str">
        <f t="shared" si="0"/>
        <v>Olive Branch</v>
      </c>
      <c r="F250" s="83" t="str">
        <f t="shared" si="1"/>
        <v>Olive Branch,MS</v>
      </c>
      <c r="G250" s="65" t="s">
        <v>1529</v>
      </c>
      <c r="H250" s="65">
        <v>34.961760400000003</v>
      </c>
      <c r="I250" s="65">
        <v>-89.829531500000002</v>
      </c>
      <c r="J250" s="60" t="str">
        <f ca="1">IFERROR(__xludf.DUMMYFUNCTION("SPLIT(G250,"","")"),"9015 Goodman Rd")</f>
        <v>9015 Goodman Rd</v>
      </c>
      <c r="K250" s="66" t="str">
        <f ca="1">IFERROR(__xludf.DUMMYFUNCTION("""COMPUTED_VALUE""")," Olive Branch")</f>
        <v xml:space="preserve"> Olive Branch</v>
      </c>
      <c r="L250" s="2" t="str">
        <f ca="1">IFERROR(__xludf.DUMMYFUNCTION("""COMPUTED_VALUE""")," MS 38654")</f>
        <v xml:space="preserve"> MS 38654</v>
      </c>
      <c r="M250" s="2" t="str">
        <f ca="1">IFERROR(__xludf.DUMMYFUNCTION("""COMPUTED_VALUE""")," USA")</f>
        <v xml:space="preserve"> USA</v>
      </c>
      <c r="R250" s="66"/>
    </row>
    <row r="251" spans="1:18">
      <c r="A251" s="97">
        <v>250</v>
      </c>
      <c r="B251" s="99" t="s">
        <v>1534</v>
      </c>
      <c r="C251" s="97" t="s">
        <v>624</v>
      </c>
      <c r="D251" s="93" t="s">
        <v>1536</v>
      </c>
      <c r="E251" s="48" t="str">
        <f t="shared" si="0"/>
        <v>Port Allen</v>
      </c>
      <c r="F251" s="83" t="str">
        <f t="shared" si="1"/>
        <v>Port Allen,LA</v>
      </c>
      <c r="G251" s="97" t="s">
        <v>1539</v>
      </c>
      <c r="H251" s="97">
        <v>30.447487800000001</v>
      </c>
      <c r="I251" s="97">
        <v>-91.207326099999989</v>
      </c>
      <c r="J251" s="60" t="str">
        <f ca="1">IFERROR(__xludf.DUMMYFUNCTION("SPLIT(G251,"","")"),"3095 Hwy 1 North 3095 Hwy 1 North")</f>
        <v>3095 Hwy 1 North 3095 Hwy 1 North</v>
      </c>
      <c r="K251" s="2" t="str">
        <f ca="1">IFERROR(__xludf.DUMMYFUNCTION("""COMPUTED_VALUE""")," Port Allen")</f>
        <v xml:space="preserve"> Port Allen</v>
      </c>
      <c r="L251" s="2" t="str">
        <f ca="1">IFERROR(__xludf.DUMMYFUNCTION("""COMPUTED_VALUE""")," LA 70767")</f>
        <v xml:space="preserve"> LA 70767</v>
      </c>
      <c r="M251" s="2" t="str">
        <f ca="1">IFERROR(__xludf.DUMMYFUNCTION("""COMPUTED_VALUE""")," USA")</f>
        <v xml:space="preserve"> USA</v>
      </c>
    </row>
    <row r="252" spans="1:18">
      <c r="A252" s="60">
        <v>251</v>
      </c>
      <c r="B252" s="79" t="s">
        <v>1542</v>
      </c>
      <c r="C252" s="60" t="s">
        <v>588</v>
      </c>
      <c r="D252" s="60" t="s">
        <v>1544</v>
      </c>
      <c r="E252" s="48" t="str">
        <f t="shared" si="0"/>
        <v>Ross</v>
      </c>
      <c r="F252" s="83" t="str">
        <f t="shared" si="1"/>
        <v>Branson (Ross),CA</v>
      </c>
      <c r="G252" s="60" t="s">
        <v>1546</v>
      </c>
      <c r="H252" s="60">
        <v>37.965772299999998</v>
      </c>
      <c r="I252" s="60">
        <v>-122.565353</v>
      </c>
      <c r="J252" s="60" t="str">
        <f ca="1">IFERROR(__xludf.DUMMYFUNCTION("SPLIT(G252,"","")"),"39 Fernhill Ave")</f>
        <v>39 Fernhill Ave</v>
      </c>
      <c r="K252" s="61" t="str">
        <f ca="1">IFERROR(__xludf.DUMMYFUNCTION("""COMPUTED_VALUE""")," Ross")</f>
        <v xml:space="preserve"> Ross</v>
      </c>
      <c r="L252" s="2" t="str">
        <f ca="1">IFERROR(__xludf.DUMMYFUNCTION("""COMPUTED_VALUE""")," CA 94957")</f>
        <v xml:space="preserve"> CA 94957</v>
      </c>
      <c r="M252" s="2" t="str">
        <f ca="1">IFERROR(__xludf.DUMMYFUNCTION("""COMPUTED_VALUE""")," USA")</f>
        <v xml:space="preserve"> USA</v>
      </c>
      <c r="R252" s="61"/>
    </row>
    <row r="253" spans="1:18">
      <c r="A253" s="65">
        <v>252</v>
      </c>
      <c r="B253" s="80" t="s">
        <v>1548</v>
      </c>
      <c r="C253" s="65" t="s">
        <v>598</v>
      </c>
      <c r="D253" s="90" t="s">
        <v>1549</v>
      </c>
      <c r="E253" s="48" t="str">
        <f t="shared" si="0"/>
        <v>Stockbridge</v>
      </c>
      <c r="F253" s="83" t="str">
        <f t="shared" si="1"/>
        <v>Dutchtown (Hampton),GA</v>
      </c>
      <c r="G253" s="65" t="s">
        <v>1550</v>
      </c>
      <c r="H253" s="65">
        <v>33.470725999999999</v>
      </c>
      <c r="I253" s="65">
        <v>-84.253047699999996</v>
      </c>
      <c r="J253" s="60" t="str">
        <f ca="1">IFERROR(__xludf.DUMMYFUNCTION("SPLIT(G253,"","")"),"149 Mitchell Rd")</f>
        <v>149 Mitchell Rd</v>
      </c>
      <c r="K253" s="91" t="str">
        <f ca="1">IFERROR(__xludf.DUMMYFUNCTION("""COMPUTED_VALUE""")," Stockbridge")</f>
        <v xml:space="preserve"> Stockbridge</v>
      </c>
      <c r="L253" s="2" t="str">
        <f ca="1">IFERROR(__xludf.DUMMYFUNCTION("""COMPUTED_VALUE""")," GA 30281")</f>
        <v xml:space="preserve"> GA 30281</v>
      </c>
      <c r="M253" s="2" t="str">
        <f ca="1">IFERROR(__xludf.DUMMYFUNCTION("""COMPUTED_VALUE""")," USA")</f>
        <v xml:space="preserve"> USA</v>
      </c>
      <c r="R253" s="91"/>
    </row>
    <row r="254" spans="1:18">
      <c r="A254" s="60">
        <v>253</v>
      </c>
      <c r="B254" s="79" t="s">
        <v>1553</v>
      </c>
      <c r="C254" s="60" t="s">
        <v>602</v>
      </c>
      <c r="D254" s="60" t="s">
        <v>1554</v>
      </c>
      <c r="E254" s="48" t="str">
        <f t="shared" si="0"/>
        <v>Virginia Beach</v>
      </c>
      <c r="F254" s="83" t="str">
        <f t="shared" si="1"/>
        <v>Green Run (Virginia Beach),VA</v>
      </c>
      <c r="G254" s="60" t="s">
        <v>1555</v>
      </c>
      <c r="H254" s="60">
        <v>36.798333300000003</v>
      </c>
      <c r="I254" s="60">
        <v>-76.091944400000003</v>
      </c>
      <c r="J254" s="60" t="str">
        <f ca="1">IFERROR(__xludf.DUMMYFUNCTION("SPLIT(G254,"","")"),"3440 Green Garden Cir")</f>
        <v>3440 Green Garden Cir</v>
      </c>
      <c r="K254" s="61" t="str">
        <f ca="1">IFERROR(__xludf.DUMMYFUNCTION("""COMPUTED_VALUE""")," Virginia Beach")</f>
        <v xml:space="preserve"> Virginia Beach</v>
      </c>
      <c r="L254" s="2" t="str">
        <f ca="1">IFERROR(__xludf.DUMMYFUNCTION("""COMPUTED_VALUE""")," VA 23453")</f>
        <v xml:space="preserve"> VA 23453</v>
      </c>
      <c r="M254" s="2" t="str">
        <f ca="1">IFERROR(__xludf.DUMMYFUNCTION("""COMPUTED_VALUE""")," USA")</f>
        <v xml:space="preserve"> USA</v>
      </c>
      <c r="R254" s="61"/>
    </row>
    <row r="255" spans="1:18">
      <c r="A255" s="65">
        <v>254</v>
      </c>
      <c r="B255" s="80" t="s">
        <v>1558</v>
      </c>
      <c r="C255" s="65" t="s">
        <v>136</v>
      </c>
      <c r="D255" s="65" t="s">
        <v>1559</v>
      </c>
      <c r="E255" s="48" t="str">
        <f t="shared" si="0"/>
        <v>Lauderdale Lakes</v>
      </c>
      <c r="F255" s="83" t="str">
        <f t="shared" si="1"/>
        <v>Westminster Academy (Fort Lauderdale),FL</v>
      </c>
      <c r="G255" s="65" t="s">
        <v>1561</v>
      </c>
      <c r="H255" s="65">
        <v>26.181145000000001</v>
      </c>
      <c r="I255" s="65">
        <v>-80.198839300000003</v>
      </c>
      <c r="J255" s="60" t="str">
        <f ca="1">IFERROR(__xludf.DUMMYFUNCTION("SPLIT(G255,"","")"),"3701 NW 44th St")</f>
        <v>3701 NW 44th St</v>
      </c>
      <c r="K255" s="66" t="str">
        <f ca="1">IFERROR(__xludf.DUMMYFUNCTION("""COMPUTED_VALUE""")," Lauderdale Lakes")</f>
        <v xml:space="preserve"> Lauderdale Lakes</v>
      </c>
      <c r="L255" s="2" t="str">
        <f ca="1">IFERROR(__xludf.DUMMYFUNCTION("""COMPUTED_VALUE""")," FL 33319")</f>
        <v xml:space="preserve"> FL 33319</v>
      </c>
      <c r="M255" s="2" t="str">
        <f ca="1">IFERROR(__xludf.DUMMYFUNCTION("""COMPUTED_VALUE""")," USA")</f>
        <v xml:space="preserve"> USA</v>
      </c>
      <c r="R255" s="66"/>
    </row>
    <row r="256" spans="1:18">
      <c r="A256" s="60">
        <v>255</v>
      </c>
      <c r="B256" s="79" t="s">
        <v>1564</v>
      </c>
      <c r="C256" s="60" t="s">
        <v>588</v>
      </c>
      <c r="D256" s="92" t="s">
        <v>1565</v>
      </c>
      <c r="E256" s="48" t="str">
        <f t="shared" si="0"/>
        <v>Playa Del Rey</v>
      </c>
      <c r="F256" s="83" t="str">
        <f t="shared" si="1"/>
        <v>St. Bernard (Playa del Rey),CA</v>
      </c>
      <c r="G256" s="60" t="s">
        <v>1566</v>
      </c>
      <c r="H256" s="60">
        <v>33.95429</v>
      </c>
      <c r="I256" s="60">
        <v>-118.4328237</v>
      </c>
      <c r="J256" s="60" t="str">
        <f ca="1">IFERROR(__xludf.DUMMYFUNCTION("SPLIT(G256,"","")"),"9100 Falmouth Ave")</f>
        <v>9100 Falmouth Ave</v>
      </c>
      <c r="K256" s="88" t="str">
        <f ca="1">IFERROR(__xludf.DUMMYFUNCTION("""COMPUTED_VALUE""")," Playa Del Rey")</f>
        <v xml:space="preserve"> Playa Del Rey</v>
      </c>
      <c r="L256" s="2" t="str">
        <f ca="1">IFERROR(__xludf.DUMMYFUNCTION("""COMPUTED_VALUE""")," CA 90293")</f>
        <v xml:space="preserve"> CA 90293</v>
      </c>
      <c r="M256" s="2" t="str">
        <f ca="1">IFERROR(__xludf.DUMMYFUNCTION("""COMPUTED_VALUE""")," USA")</f>
        <v xml:space="preserve"> USA</v>
      </c>
      <c r="R256" s="88"/>
    </row>
    <row r="257" spans="1:18">
      <c r="A257" s="65">
        <v>256</v>
      </c>
      <c r="B257" s="80" t="s">
        <v>1569</v>
      </c>
      <c r="C257" s="65" t="s">
        <v>1039</v>
      </c>
      <c r="D257" s="65" t="s">
        <v>1570</v>
      </c>
      <c r="E257" s="48" t="str">
        <f t="shared" si="0"/>
        <v>Lowell</v>
      </c>
      <c r="F257" s="83" t="str">
        <f t="shared" si="1"/>
        <v>Lowell,MA</v>
      </c>
      <c r="G257" s="65" t="s">
        <v>1571</v>
      </c>
      <c r="H257" s="65">
        <v>42.633424699999999</v>
      </c>
      <c r="I257" s="65">
        <v>-71.316171799999992</v>
      </c>
      <c r="J257" s="60" t="str">
        <f ca="1">IFERROR(__xludf.DUMMYFUNCTION("SPLIT(G257,"","")"),"UMass Lowell East Campus")</f>
        <v>UMass Lowell East Campus</v>
      </c>
      <c r="K257" s="66" t="str">
        <f ca="1">IFERROR(__xludf.DUMMYFUNCTION("""COMPUTED_VALUE""")," Lowell")</f>
        <v xml:space="preserve"> Lowell</v>
      </c>
      <c r="L257" s="2" t="str">
        <f ca="1">IFERROR(__xludf.DUMMYFUNCTION("""COMPUTED_VALUE""")," MA 01851")</f>
        <v xml:space="preserve"> MA 01851</v>
      </c>
      <c r="M257" s="2" t="str">
        <f ca="1">IFERROR(__xludf.DUMMYFUNCTION("""COMPUTED_VALUE""")," USA")</f>
        <v xml:space="preserve"> USA</v>
      </c>
      <c r="R257" s="66"/>
    </row>
    <row r="258" spans="1:18">
      <c r="A258" s="60">
        <v>257</v>
      </c>
      <c r="B258" s="79" t="s">
        <v>1573</v>
      </c>
      <c r="C258" s="60" t="s">
        <v>174</v>
      </c>
      <c r="D258" s="60" t="s">
        <v>1574</v>
      </c>
      <c r="E258" s="48" t="str">
        <f t="shared" si="0"/>
        <v>Monfort Heights</v>
      </c>
      <c r="F258" s="83" t="str">
        <f t="shared" si="1"/>
        <v>La Salle (Cincinnati),OH</v>
      </c>
      <c r="G258" s="60" t="s">
        <v>1575</v>
      </c>
      <c r="H258" s="60">
        <v>39.189096300000003</v>
      </c>
      <c r="I258" s="60">
        <v>-84.586613599999993</v>
      </c>
      <c r="J258" s="60" t="str">
        <f ca="1">IFERROR(__xludf.DUMMYFUNCTION("SPLIT(G258,"","")"),"LaSalle High School - North Bend Rd")</f>
        <v>LaSalle High School - North Bend Rd</v>
      </c>
      <c r="K258" s="61" t="str">
        <f ca="1">IFERROR(__xludf.DUMMYFUNCTION("""COMPUTED_VALUE""")," Monfort Heights")</f>
        <v xml:space="preserve"> Monfort Heights</v>
      </c>
      <c r="L258" s="2" t="str">
        <f ca="1">IFERROR(__xludf.DUMMYFUNCTION("""COMPUTED_VALUE""")," OH 45239")</f>
        <v xml:space="preserve"> OH 45239</v>
      </c>
      <c r="M258" s="2" t="str">
        <f ca="1">IFERROR(__xludf.DUMMYFUNCTION("""COMPUTED_VALUE""")," USA")</f>
        <v xml:space="preserve"> USA</v>
      </c>
      <c r="R258" s="61"/>
    </row>
    <row r="259" spans="1:18">
      <c r="A259" s="65">
        <v>258</v>
      </c>
      <c r="B259" s="80" t="s">
        <v>1579</v>
      </c>
      <c r="C259" s="65" t="s">
        <v>901</v>
      </c>
      <c r="D259" s="90" t="s">
        <v>1581</v>
      </c>
      <c r="E259" s="48" t="str">
        <f t="shared" si="0"/>
        <v>Conway</v>
      </c>
      <c r="F259" s="83" t="str">
        <f t="shared" si="1"/>
        <v>Conway,AR</v>
      </c>
      <c r="G259" s="65" t="s">
        <v>1583</v>
      </c>
      <c r="H259" s="65">
        <v>35.088696300000002</v>
      </c>
      <c r="I259" s="65">
        <v>-92.442101100000002</v>
      </c>
      <c r="J259" s="60" t="str">
        <f ca="1">IFERROR(__xludf.DUMMYFUNCTION("SPLIT(G259,"","")"),"1319 Main St")</f>
        <v>1319 Main St</v>
      </c>
      <c r="K259" s="91" t="str">
        <f ca="1">IFERROR(__xludf.DUMMYFUNCTION("""COMPUTED_VALUE""")," Conway")</f>
        <v xml:space="preserve"> Conway</v>
      </c>
      <c r="L259" s="2" t="str">
        <f ca="1">IFERROR(__xludf.DUMMYFUNCTION("""COMPUTED_VALUE""")," AR 72034")</f>
        <v xml:space="preserve"> AR 72034</v>
      </c>
      <c r="M259" s="2" t="str">
        <f ca="1">IFERROR(__xludf.DUMMYFUNCTION("""COMPUTED_VALUE""")," USA")</f>
        <v xml:space="preserve"> USA</v>
      </c>
      <c r="R259" s="91"/>
    </row>
    <row r="260" spans="1:18">
      <c r="A260" s="60">
        <v>259</v>
      </c>
      <c r="B260" s="79" t="s">
        <v>1589</v>
      </c>
      <c r="C260" s="60" t="s">
        <v>881</v>
      </c>
      <c r="D260" s="60" t="s">
        <v>1591</v>
      </c>
      <c r="E260" s="48" t="str">
        <f t="shared" si="0"/>
        <v>Park Hills</v>
      </c>
      <c r="F260" s="83" t="str">
        <f t="shared" si="1"/>
        <v>Covington Catholic (Park Hills),KY</v>
      </c>
      <c r="G260" s="60" t="s">
        <v>1592</v>
      </c>
      <c r="H260" s="60">
        <v>39.066502999999997</v>
      </c>
      <c r="I260" s="60">
        <v>-84.533687000000015</v>
      </c>
      <c r="J260" s="60" t="str">
        <f ca="1">IFERROR(__xludf.DUMMYFUNCTION("SPLIT(G260,"","")"),"1600 Dixie Hwy")</f>
        <v>1600 Dixie Hwy</v>
      </c>
      <c r="K260" s="61" t="str">
        <f ca="1">IFERROR(__xludf.DUMMYFUNCTION("""COMPUTED_VALUE""")," Park Hills")</f>
        <v xml:space="preserve"> Park Hills</v>
      </c>
      <c r="L260" s="2" t="str">
        <f ca="1">IFERROR(__xludf.DUMMYFUNCTION("""COMPUTED_VALUE""")," KY 41011")</f>
        <v xml:space="preserve"> KY 41011</v>
      </c>
      <c r="M260" s="2" t="str">
        <f ca="1">IFERROR(__xludf.DUMMYFUNCTION("""COMPUTED_VALUE""")," USA")</f>
        <v xml:space="preserve"> USA</v>
      </c>
      <c r="R260" s="61"/>
    </row>
    <row r="261" spans="1:18">
      <c r="A261" s="65">
        <v>260</v>
      </c>
      <c r="B261" s="80" t="s">
        <v>1597</v>
      </c>
      <c r="C261" s="65" t="s">
        <v>183</v>
      </c>
      <c r="D261" s="65" t="s">
        <v>1599</v>
      </c>
      <c r="E261" s="48" t="str">
        <f t="shared" si="0"/>
        <v>Buffalo</v>
      </c>
      <c r="F261" s="83" t="str">
        <f t="shared" si="1"/>
        <v>Health Sciences Charter (Buffalo),NY</v>
      </c>
      <c r="G261" s="65" t="s">
        <v>1601</v>
      </c>
      <c r="H261" s="65">
        <v>42.9090925</v>
      </c>
      <c r="I261" s="65">
        <v>-78.865201499999998</v>
      </c>
      <c r="J261" s="60" t="str">
        <f ca="1">IFERROR(__xludf.DUMMYFUNCTION("SPLIT(G261,"","")"),"1140 Ellicott St")</f>
        <v>1140 Ellicott St</v>
      </c>
      <c r="K261" s="66" t="str">
        <f ca="1">IFERROR(__xludf.DUMMYFUNCTION("""COMPUTED_VALUE""")," Buffalo")</f>
        <v xml:space="preserve"> Buffalo</v>
      </c>
      <c r="L261" s="2" t="str">
        <f ca="1">IFERROR(__xludf.DUMMYFUNCTION("""COMPUTED_VALUE""")," NY 14209")</f>
        <v xml:space="preserve"> NY 14209</v>
      </c>
      <c r="M261" s="2" t="str">
        <f ca="1">IFERROR(__xludf.DUMMYFUNCTION("""COMPUTED_VALUE""")," USA")</f>
        <v xml:space="preserve"> USA</v>
      </c>
      <c r="R261" s="66"/>
    </row>
    <row r="262" spans="1:18">
      <c r="A262" s="60">
        <v>261</v>
      </c>
      <c r="B262" s="79" t="s">
        <v>1605</v>
      </c>
      <c r="C262" s="60" t="s">
        <v>595</v>
      </c>
      <c r="D262" s="60" t="s">
        <v>1606</v>
      </c>
      <c r="E262" s="48" t="str">
        <f t="shared" si="0"/>
        <v>Humble</v>
      </c>
      <c r="F262" s="83" t="str">
        <f t="shared" si="1"/>
        <v>Atascocita (Humble),TX</v>
      </c>
      <c r="G262" s="60" t="s">
        <v>1608</v>
      </c>
      <c r="H262" s="60">
        <v>29.998831199999991</v>
      </c>
      <c r="I262" s="60">
        <v>-95.262155299999989</v>
      </c>
      <c r="J262" s="60" t="str">
        <f ca="1">IFERROR(__xludf.DUMMYFUNCTION("SPLIT(G262,"","")"),"402 1st St E")</f>
        <v>402 1st St E</v>
      </c>
      <c r="K262" s="61" t="str">
        <f ca="1">IFERROR(__xludf.DUMMYFUNCTION("""COMPUTED_VALUE""")," Humble")</f>
        <v xml:space="preserve"> Humble</v>
      </c>
      <c r="L262" s="2" t="str">
        <f ca="1">IFERROR(__xludf.DUMMYFUNCTION("""COMPUTED_VALUE""")," TX 77338")</f>
        <v xml:space="preserve"> TX 77338</v>
      </c>
      <c r="M262" s="2" t="str">
        <f ca="1">IFERROR(__xludf.DUMMYFUNCTION("""COMPUTED_VALUE""")," USA")</f>
        <v xml:space="preserve"> USA</v>
      </c>
      <c r="R262" s="61"/>
    </row>
    <row r="263" spans="1:18">
      <c r="A263" s="65">
        <v>262</v>
      </c>
      <c r="B263" s="80" t="s">
        <v>1613</v>
      </c>
      <c r="C263" s="65" t="s">
        <v>765</v>
      </c>
      <c r="D263" s="90" t="s">
        <v>1616</v>
      </c>
      <c r="E263" s="48" t="str">
        <f t="shared" si="0"/>
        <v>Layton</v>
      </c>
      <c r="F263" s="83" t="str">
        <f t="shared" si="1"/>
        <v>Layton,UT</v>
      </c>
      <c r="G263" s="65" t="s">
        <v>1617</v>
      </c>
      <c r="H263" s="65">
        <v>41.060221599999998</v>
      </c>
      <c r="I263" s="65">
        <v>-111.9710529</v>
      </c>
      <c r="J263" s="60" t="str">
        <f ca="1">IFERROR(__xludf.DUMMYFUNCTION("SPLIT(G263,"","")"),"1 Ellison St")</f>
        <v>1 Ellison St</v>
      </c>
      <c r="K263" s="91" t="str">
        <f ca="1">IFERROR(__xludf.DUMMYFUNCTION("""COMPUTED_VALUE""")," Layton")</f>
        <v xml:space="preserve"> Layton</v>
      </c>
      <c r="L263" s="2" t="str">
        <f ca="1">IFERROR(__xludf.DUMMYFUNCTION("""COMPUTED_VALUE""")," UT 84041")</f>
        <v xml:space="preserve"> UT 84041</v>
      </c>
      <c r="M263" s="2" t="str">
        <f ca="1">IFERROR(__xludf.DUMMYFUNCTION("""COMPUTED_VALUE""")," USA")</f>
        <v xml:space="preserve"> USA</v>
      </c>
      <c r="R263" s="91"/>
    </row>
    <row r="264" spans="1:18">
      <c r="A264" s="60">
        <v>263</v>
      </c>
      <c r="B264" s="79" t="s">
        <v>1623</v>
      </c>
      <c r="C264" s="60" t="s">
        <v>897</v>
      </c>
      <c r="D264" s="92" t="s">
        <v>899</v>
      </c>
      <c r="E264" s="48" t="str">
        <f t="shared" si="0"/>
        <v>St. Louis</v>
      </c>
      <c r="F264" s="83" t="str">
        <f t="shared" si="1"/>
        <v>Chaminade (St. Louis),MO</v>
      </c>
      <c r="G264" s="60" t="s">
        <v>1627</v>
      </c>
      <c r="H264" s="60">
        <v>38.6496493</v>
      </c>
      <c r="I264" s="60">
        <v>-90.406883100000002</v>
      </c>
      <c r="J264" s="60" t="str">
        <f ca="1">IFERROR(__xludf.DUMMYFUNCTION("SPLIT(G264,"","")"),"425 S Lindbergh Blvd")</f>
        <v>425 S Lindbergh Blvd</v>
      </c>
      <c r="K264" s="88" t="str">
        <f ca="1">IFERROR(__xludf.DUMMYFUNCTION("""COMPUTED_VALUE""")," St. Louis")</f>
        <v xml:space="preserve"> St. Louis</v>
      </c>
      <c r="L264" s="2" t="str">
        <f ca="1">IFERROR(__xludf.DUMMYFUNCTION("""COMPUTED_VALUE""")," MO 63131")</f>
        <v xml:space="preserve"> MO 63131</v>
      </c>
      <c r="M264" s="2" t="str">
        <f ca="1">IFERROR(__xludf.DUMMYFUNCTION("""COMPUTED_VALUE""")," USA")</f>
        <v xml:space="preserve"> USA</v>
      </c>
      <c r="R264" s="88"/>
    </row>
    <row r="265" spans="1:18">
      <c r="A265" s="65">
        <v>264</v>
      </c>
      <c r="B265" s="80" t="s">
        <v>1632</v>
      </c>
      <c r="C265" s="65" t="s">
        <v>604</v>
      </c>
      <c r="D265" s="65" t="s">
        <v>1633</v>
      </c>
      <c r="E265" s="48" t="str">
        <f t="shared" si="0"/>
        <v>Homewood</v>
      </c>
      <c r="F265" s="83" t="str">
        <f t="shared" si="1"/>
        <v>Homewood-Flossmoor (Flossmoor),IL</v>
      </c>
      <c r="G265" s="65" t="s">
        <v>1636</v>
      </c>
      <c r="H265" s="65">
        <v>41.545417200000003</v>
      </c>
      <c r="I265" s="65">
        <v>-87.693429600000002</v>
      </c>
      <c r="J265" s="60" t="str">
        <f ca="1">IFERROR(__xludf.DUMMYFUNCTION("SPLIT(G265,"","")"),"18900 Kedzie Ave")</f>
        <v>18900 Kedzie Ave</v>
      </c>
      <c r="K265" s="66" t="str">
        <f ca="1">IFERROR(__xludf.DUMMYFUNCTION("""COMPUTED_VALUE""")," Homewood")</f>
        <v xml:space="preserve"> Homewood</v>
      </c>
      <c r="L265" s="2" t="str">
        <f ca="1">IFERROR(__xludf.DUMMYFUNCTION("""COMPUTED_VALUE""")," IL 60430")</f>
        <v xml:space="preserve"> IL 60430</v>
      </c>
      <c r="M265" s="2" t="str">
        <f ca="1">IFERROR(__xludf.DUMMYFUNCTION("""COMPUTED_VALUE""")," USA")</f>
        <v xml:space="preserve"> USA</v>
      </c>
      <c r="R265" s="66"/>
    </row>
    <row r="266" spans="1:18">
      <c r="A266" s="60">
        <v>265</v>
      </c>
      <c r="B266" s="79" t="s">
        <v>1641</v>
      </c>
      <c r="C266" s="60" t="s">
        <v>595</v>
      </c>
      <c r="D266" s="93" t="s">
        <v>1643</v>
      </c>
      <c r="E266" s="48" t="str">
        <f t="shared" si="0"/>
        <v>Hurst</v>
      </c>
      <c r="F266" s="83" t="str">
        <f t="shared" si="1"/>
        <v>Bell (Hurst),TX</v>
      </c>
      <c r="G266" s="60" t="s">
        <v>1644</v>
      </c>
      <c r="H266" s="60">
        <v>32.804618400000003</v>
      </c>
      <c r="I266" s="60">
        <v>-97.155133699999993</v>
      </c>
      <c r="J266" s="60" t="str">
        <f ca="1">IFERROR(__xludf.DUMMYFUNCTION("SPLIT(G266,"","")"),"Bell Station")</f>
        <v>Bell Station</v>
      </c>
      <c r="K266" s="61" t="str">
        <f ca="1">IFERROR(__xludf.DUMMYFUNCTION("""COMPUTED_VALUE""")," 3232 Bell Flight Blvd")</f>
        <v xml:space="preserve"> 3232 Bell Flight Blvd</v>
      </c>
      <c r="L266" s="2" t="str">
        <f ca="1">IFERROR(__xludf.DUMMYFUNCTION("""COMPUTED_VALUE""")," Hurst")</f>
        <v xml:space="preserve"> Hurst</v>
      </c>
      <c r="M266" s="2" t="str">
        <f ca="1">IFERROR(__xludf.DUMMYFUNCTION("""COMPUTED_VALUE""")," TX 76053")</f>
        <v xml:space="preserve"> TX 76053</v>
      </c>
      <c r="N266" s="2" t="str">
        <f ca="1">IFERROR(__xludf.DUMMYFUNCTION("""COMPUTED_VALUE""")," USA")</f>
        <v xml:space="preserve"> USA</v>
      </c>
    </row>
    <row r="267" spans="1:18">
      <c r="A267" s="65">
        <v>266</v>
      </c>
      <c r="B267" s="80" t="s">
        <v>1648</v>
      </c>
      <c r="C267" s="65" t="s">
        <v>618</v>
      </c>
      <c r="D267" s="90" t="s">
        <v>680</v>
      </c>
      <c r="E267" s="48" t="str">
        <f t="shared" si="0"/>
        <v>Indianapolis</v>
      </c>
      <c r="F267" s="83" t="str">
        <f t="shared" si="1"/>
        <v>Warren Central (Indianapolis),IN</v>
      </c>
      <c r="G267" s="65" t="s">
        <v>1651</v>
      </c>
      <c r="H267" s="65">
        <v>39.790864900000003</v>
      </c>
      <c r="I267" s="65">
        <v>-85.999579199999999</v>
      </c>
      <c r="J267" s="60" t="str">
        <f ca="1">IFERROR(__xludf.DUMMYFUNCTION("SPLIT(G267,"","")"),"9500 E 16th St")</f>
        <v>9500 E 16th St</v>
      </c>
      <c r="K267" s="91" t="str">
        <f ca="1">IFERROR(__xludf.DUMMYFUNCTION("""COMPUTED_VALUE""")," Indianapolis")</f>
        <v xml:space="preserve"> Indianapolis</v>
      </c>
      <c r="L267" s="2" t="str">
        <f ca="1">IFERROR(__xludf.DUMMYFUNCTION("""COMPUTED_VALUE""")," IN 46229")</f>
        <v xml:space="preserve"> IN 46229</v>
      </c>
      <c r="M267" s="2" t="str">
        <f ca="1">IFERROR(__xludf.DUMMYFUNCTION("""COMPUTED_VALUE""")," USA")</f>
        <v xml:space="preserve"> USA</v>
      </c>
      <c r="R267" s="91"/>
    </row>
    <row r="268" spans="1:18">
      <c r="A268" s="60">
        <v>267</v>
      </c>
      <c r="B268" s="79" t="s">
        <v>1656</v>
      </c>
      <c r="C268" s="60" t="s">
        <v>174</v>
      </c>
      <c r="D268" s="92" t="s">
        <v>1658</v>
      </c>
      <c r="E268" s="48" t="str">
        <f t="shared" si="0"/>
        <v>Liberty Township</v>
      </c>
      <c r="F268" s="83" t="str">
        <f t="shared" si="1"/>
        <v>Lakota East (Liberty Township),OH</v>
      </c>
      <c r="G268" s="60" t="s">
        <v>1660</v>
      </c>
      <c r="H268" s="60">
        <v>39.3793802</v>
      </c>
      <c r="I268" s="60">
        <v>-84.369568199999989</v>
      </c>
      <c r="J268" s="60" t="str">
        <f ca="1">IFERROR(__xludf.DUMMYFUNCTION("SPLIT(G268,"","")"),"6840 Lakota Ln")</f>
        <v>6840 Lakota Ln</v>
      </c>
      <c r="K268" s="88" t="str">
        <f ca="1">IFERROR(__xludf.DUMMYFUNCTION("""COMPUTED_VALUE""")," Liberty Township")</f>
        <v xml:space="preserve"> Liberty Township</v>
      </c>
      <c r="L268" s="2" t="str">
        <f ca="1">IFERROR(__xludf.DUMMYFUNCTION("""COMPUTED_VALUE""")," OH 45044")</f>
        <v xml:space="preserve"> OH 45044</v>
      </c>
      <c r="M268" s="2" t="str">
        <f ca="1">IFERROR(__xludf.DUMMYFUNCTION("""COMPUTED_VALUE""")," USA")</f>
        <v xml:space="preserve"> USA</v>
      </c>
      <c r="R268" s="88"/>
    </row>
    <row r="269" spans="1:18">
      <c r="A269" s="65">
        <v>268</v>
      </c>
      <c r="B269" s="80" t="s">
        <v>1665</v>
      </c>
      <c r="C269" s="65" t="s">
        <v>595</v>
      </c>
      <c r="D269" s="90" t="s">
        <v>1448</v>
      </c>
      <c r="E269" s="48" t="str">
        <f t="shared" si="0"/>
        <v>Houston</v>
      </c>
      <c r="F269" s="83" t="str">
        <f t="shared" si="1"/>
        <v>Westfield (Houston),TX</v>
      </c>
      <c r="G269" s="65" t="s">
        <v>1667</v>
      </c>
      <c r="H269" s="65">
        <v>30.025507000000001</v>
      </c>
      <c r="I269" s="65">
        <v>-95.39649</v>
      </c>
      <c r="J269" s="60" t="str">
        <f ca="1">IFERROR(__xludf.DUMMYFUNCTION("SPLIT(G269,"","")"),"2010 FM 1960")</f>
        <v>2010 FM 1960</v>
      </c>
      <c r="K269" s="91" t="str">
        <f ca="1">IFERROR(__xludf.DUMMYFUNCTION("""COMPUTED_VALUE""")," Houston")</f>
        <v xml:space="preserve"> Houston</v>
      </c>
      <c r="L269" s="2" t="str">
        <f ca="1">IFERROR(__xludf.DUMMYFUNCTION("""COMPUTED_VALUE""")," TX 77073")</f>
        <v xml:space="preserve"> TX 77073</v>
      </c>
      <c r="M269" s="2" t="str">
        <f ca="1">IFERROR(__xludf.DUMMYFUNCTION("""COMPUTED_VALUE""")," USA")</f>
        <v xml:space="preserve"> USA</v>
      </c>
      <c r="R269" s="91"/>
    </row>
    <row r="270" spans="1:18">
      <c r="A270" s="60">
        <v>269</v>
      </c>
      <c r="B270" s="79" t="s">
        <v>1671</v>
      </c>
      <c r="C270" s="60" t="s">
        <v>604</v>
      </c>
      <c r="D270" s="92" t="s">
        <v>1672</v>
      </c>
      <c r="E270" s="48" t="str">
        <f t="shared" si="0"/>
        <v>Niles</v>
      </c>
      <c r="F270" s="83" t="str">
        <f t="shared" si="1"/>
        <v>Niles Notre Dame (Niles),IL</v>
      </c>
      <c r="G270" s="60" t="s">
        <v>1674</v>
      </c>
      <c r="H270" s="60">
        <v>42.039023200000003</v>
      </c>
      <c r="I270" s="60">
        <v>-87.817437900000002</v>
      </c>
      <c r="J270" s="60" t="str">
        <f ca="1">IFERROR(__xludf.DUMMYFUNCTION("SPLIT(G270,"","")"),"7655 W Dempster St")</f>
        <v>7655 W Dempster St</v>
      </c>
      <c r="K270" s="88" t="str">
        <f ca="1">IFERROR(__xludf.DUMMYFUNCTION("""COMPUTED_VALUE""")," Niles")</f>
        <v xml:space="preserve"> Niles</v>
      </c>
      <c r="L270" s="2" t="str">
        <f ca="1">IFERROR(__xludf.DUMMYFUNCTION("""COMPUTED_VALUE""")," IL 60714")</f>
        <v xml:space="preserve"> IL 60714</v>
      </c>
      <c r="M270" s="2" t="str">
        <f ca="1">IFERROR(__xludf.DUMMYFUNCTION("""COMPUTED_VALUE""")," USA")</f>
        <v xml:space="preserve"> USA</v>
      </c>
      <c r="R270" s="88"/>
    </row>
    <row r="271" spans="1:18">
      <c r="A271" s="65">
        <v>270</v>
      </c>
      <c r="B271" s="80" t="s">
        <v>1380</v>
      </c>
      <c r="C271" s="65" t="s">
        <v>191</v>
      </c>
      <c r="D271" s="90" t="s">
        <v>1679</v>
      </c>
      <c r="E271" s="48" t="str">
        <f t="shared" si="0"/>
        <v>Wyoming</v>
      </c>
      <c r="F271" s="83" t="str">
        <f t="shared" si="1"/>
        <v>Wyoming,MI</v>
      </c>
      <c r="G271" s="65" t="s">
        <v>1680</v>
      </c>
      <c r="H271" s="65">
        <v>42.9133602</v>
      </c>
      <c r="I271" s="65">
        <v>-85.705308500000001</v>
      </c>
      <c r="J271" s="60" t="str">
        <f ca="1">IFERROR(__xludf.DUMMYFUNCTION("SPLIT(G271,"","")"),"2801 Burlingame Ave SW")</f>
        <v>2801 Burlingame Ave SW</v>
      </c>
      <c r="K271" s="91" t="str">
        <f ca="1">IFERROR(__xludf.DUMMYFUNCTION("""COMPUTED_VALUE""")," Wyoming")</f>
        <v xml:space="preserve"> Wyoming</v>
      </c>
      <c r="L271" s="2" t="str">
        <f ca="1">IFERROR(__xludf.DUMMYFUNCTION("""COMPUTED_VALUE""")," MI 49519")</f>
        <v xml:space="preserve"> MI 49519</v>
      </c>
      <c r="M271" s="2" t="str">
        <f ca="1">IFERROR(__xludf.DUMMYFUNCTION("""COMPUTED_VALUE""")," USA")</f>
        <v xml:space="preserve"> USA</v>
      </c>
      <c r="R271" s="91"/>
    </row>
    <row r="272" spans="1:18">
      <c r="A272" s="60">
        <v>271</v>
      </c>
      <c r="B272" s="79" t="s">
        <v>1685</v>
      </c>
      <c r="C272" s="60" t="s">
        <v>588</v>
      </c>
      <c r="D272" s="60" t="s">
        <v>1276</v>
      </c>
      <c r="E272" s="48" t="str">
        <f t="shared" si="0"/>
        <v>Fairfield</v>
      </c>
      <c r="F272" s="83" t="str">
        <f t="shared" si="1"/>
        <v>Vanden (Fairfield),CA</v>
      </c>
      <c r="G272" s="60" t="s">
        <v>1687</v>
      </c>
      <c r="H272" s="60">
        <v>38.282960899999999</v>
      </c>
      <c r="I272" s="60">
        <v>-121.9621472</v>
      </c>
      <c r="J272" s="60" t="str">
        <f ca="1">IFERROR(__xludf.DUMMYFUNCTION("SPLIT(G272,"","")"),"2951 Markeley Ln")</f>
        <v>2951 Markeley Ln</v>
      </c>
      <c r="K272" s="61" t="str">
        <f ca="1">IFERROR(__xludf.DUMMYFUNCTION("""COMPUTED_VALUE""")," Fairfield")</f>
        <v xml:space="preserve"> Fairfield</v>
      </c>
      <c r="L272" s="2" t="str">
        <f ca="1">IFERROR(__xludf.DUMMYFUNCTION("""COMPUTED_VALUE""")," CA 94533")</f>
        <v xml:space="preserve"> CA 94533</v>
      </c>
      <c r="M272" s="2" t="str">
        <f ca="1">IFERROR(__xludf.DUMMYFUNCTION("""COMPUTED_VALUE""")," USA")</f>
        <v xml:space="preserve"> USA</v>
      </c>
      <c r="R272" s="61"/>
    </row>
    <row r="273" spans="1:18">
      <c r="A273" s="65">
        <v>272</v>
      </c>
      <c r="B273" s="80" t="s">
        <v>1690</v>
      </c>
      <c r="C273" s="65" t="s">
        <v>682</v>
      </c>
      <c r="D273" s="65" t="s">
        <v>707</v>
      </c>
      <c r="E273" s="48" t="str">
        <f t="shared" si="0"/>
        <v>Brookfield</v>
      </c>
      <c r="F273" s="83" t="str">
        <f t="shared" si="1"/>
        <v>Brookfield East (Brookfield),WI</v>
      </c>
      <c r="G273" s="65" t="s">
        <v>1693</v>
      </c>
      <c r="H273" s="65">
        <v>43.078443800000002</v>
      </c>
      <c r="I273" s="65">
        <v>-88.087233099999992</v>
      </c>
      <c r="J273" s="60" t="str">
        <f ca="1">IFERROR(__xludf.DUMMYFUNCTION("SPLIT(G273,"","")"),"3305 Lilly Rd")</f>
        <v>3305 Lilly Rd</v>
      </c>
      <c r="K273" s="66" t="str">
        <f ca="1">IFERROR(__xludf.DUMMYFUNCTION("""COMPUTED_VALUE""")," Brookfield")</f>
        <v xml:space="preserve"> Brookfield</v>
      </c>
      <c r="L273" s="2" t="str">
        <f ca="1">IFERROR(__xludf.DUMMYFUNCTION("""COMPUTED_VALUE""")," WI 53005")</f>
        <v xml:space="preserve"> WI 53005</v>
      </c>
      <c r="M273" s="2" t="str">
        <f ca="1">IFERROR(__xludf.DUMMYFUNCTION("""COMPUTED_VALUE""")," USA")</f>
        <v xml:space="preserve"> USA</v>
      </c>
      <c r="R273" s="66"/>
    </row>
    <row r="274" spans="1:18">
      <c r="A274" s="60">
        <v>273</v>
      </c>
      <c r="B274" s="79" t="s">
        <v>1698</v>
      </c>
      <c r="C274" s="60" t="s">
        <v>595</v>
      </c>
      <c r="D274" s="60" t="s">
        <v>1699</v>
      </c>
      <c r="E274" s="48" t="str">
        <f t="shared" si="0"/>
        <v>Argyle</v>
      </c>
      <c r="F274" s="83" t="str">
        <f t="shared" si="1"/>
        <v>Argyle,TX</v>
      </c>
      <c r="G274" s="60" t="s">
        <v>1701</v>
      </c>
      <c r="H274" s="60">
        <v>33.1212321</v>
      </c>
      <c r="I274" s="60">
        <v>-97.183347499999996</v>
      </c>
      <c r="J274" s="60" t="str">
        <f ca="1">IFERROR(__xludf.DUMMYFUNCTION("SPLIT(G274,"","")"),"210 Denton St E")</f>
        <v>210 Denton St E</v>
      </c>
      <c r="K274" s="61" t="str">
        <f ca="1">IFERROR(__xludf.DUMMYFUNCTION("""COMPUTED_VALUE""")," Argyle")</f>
        <v xml:space="preserve"> Argyle</v>
      </c>
      <c r="L274" s="2" t="str">
        <f ca="1">IFERROR(__xludf.DUMMYFUNCTION("""COMPUTED_VALUE""")," TX 76226")</f>
        <v xml:space="preserve"> TX 76226</v>
      </c>
      <c r="M274" s="2" t="str">
        <f ca="1">IFERROR(__xludf.DUMMYFUNCTION("""COMPUTED_VALUE""")," USA")</f>
        <v xml:space="preserve"> USA</v>
      </c>
      <c r="R274" s="61"/>
    </row>
    <row r="275" spans="1:18">
      <c r="A275" s="65">
        <v>274</v>
      </c>
      <c r="B275" s="80" t="s">
        <v>1705</v>
      </c>
      <c r="C275" s="65" t="s">
        <v>595</v>
      </c>
      <c r="D275" s="90" t="s">
        <v>1706</v>
      </c>
      <c r="E275" s="48" t="str">
        <f t="shared" si="0"/>
        <v>Midland</v>
      </c>
      <c r="F275" s="83" t="str">
        <f t="shared" si="1"/>
        <v>Midland Christian (Midland),TX</v>
      </c>
      <c r="G275" s="65" t="s">
        <v>1709</v>
      </c>
      <c r="H275" s="65">
        <v>32.009810000000002</v>
      </c>
      <c r="I275" s="65">
        <v>-102.11523680000001</v>
      </c>
      <c r="J275" s="60" t="str">
        <f ca="1">IFERROR(__xludf.DUMMYFUNCTION("SPLIT(G275,"","")"),"2001 Culver Dr")</f>
        <v>2001 Culver Dr</v>
      </c>
      <c r="K275" s="91" t="str">
        <f ca="1">IFERROR(__xludf.DUMMYFUNCTION("""COMPUTED_VALUE""")," Midland")</f>
        <v xml:space="preserve"> Midland</v>
      </c>
      <c r="L275" s="2" t="str">
        <f ca="1">IFERROR(__xludf.DUMMYFUNCTION("""COMPUTED_VALUE""")," TX 79705")</f>
        <v xml:space="preserve"> TX 79705</v>
      </c>
      <c r="M275" s="2" t="str">
        <f ca="1">IFERROR(__xludf.DUMMYFUNCTION("""COMPUTED_VALUE""")," USA")</f>
        <v xml:space="preserve"> USA</v>
      </c>
      <c r="R275" s="91"/>
    </row>
    <row r="276" spans="1:18">
      <c r="A276" s="60">
        <v>275</v>
      </c>
      <c r="B276" s="79" t="s">
        <v>1715</v>
      </c>
      <c r="C276" s="60" t="s">
        <v>183</v>
      </c>
      <c r="D276" s="93" t="s">
        <v>1716</v>
      </c>
      <c r="E276" s="48" t="str">
        <f t="shared" si="0"/>
        <v>Chappaqua</v>
      </c>
      <c r="F276" s="83" t="str">
        <f t="shared" si="1"/>
        <v>Greeley (Chappaqua),NY</v>
      </c>
      <c r="G276" s="60" t="s">
        <v>1719</v>
      </c>
      <c r="H276" s="60">
        <v>41.163626299999997</v>
      </c>
      <c r="I276" s="60">
        <v>-73.769459099999992</v>
      </c>
      <c r="J276" s="60" t="str">
        <f ca="1">IFERROR(__xludf.DUMMYFUNCTION("SPLIT(G276,"","")"),"InterGenerate Garden Chappaqua")</f>
        <v>InterGenerate Garden Chappaqua</v>
      </c>
      <c r="K276" s="61" t="str">
        <f ca="1">IFERROR(__xludf.DUMMYFUNCTION("""COMPUTED_VALUE""")," 233 N Greeley Ave")</f>
        <v xml:space="preserve"> 233 N Greeley Ave</v>
      </c>
      <c r="L276" s="2" t="str">
        <f ca="1">IFERROR(__xludf.DUMMYFUNCTION("""COMPUTED_VALUE""")," Chappaqua")</f>
        <v xml:space="preserve"> Chappaqua</v>
      </c>
      <c r="M276" s="2" t="str">
        <f ca="1">IFERROR(__xludf.DUMMYFUNCTION("""COMPUTED_VALUE""")," NY 10514")</f>
        <v xml:space="preserve"> NY 10514</v>
      </c>
      <c r="N276" s="2" t="str">
        <f ca="1">IFERROR(__xludf.DUMMYFUNCTION("""COMPUTED_VALUE""")," USA")</f>
        <v xml:space="preserve"> USA</v>
      </c>
    </row>
    <row r="277" spans="1:18">
      <c r="A277" s="60">
        <v>276</v>
      </c>
      <c r="B277" s="79" t="s">
        <v>1724</v>
      </c>
      <c r="C277" s="60" t="s">
        <v>174</v>
      </c>
      <c r="D277" s="60" t="s">
        <v>1725</v>
      </c>
      <c r="E277" s="48" t="str">
        <f t="shared" si="0"/>
        <v>Uniontown</v>
      </c>
      <c r="F277" s="83" t="str">
        <f t="shared" si="1"/>
        <v>Green (Uniontown),OH</v>
      </c>
      <c r="G277" s="60" t="s">
        <v>1726</v>
      </c>
      <c r="H277" s="60">
        <v>40.975056799999997</v>
      </c>
      <c r="I277" s="60">
        <v>-81.408167300000017</v>
      </c>
      <c r="J277" s="60" t="str">
        <f ca="1">IFERROR(__xludf.DUMMYFUNCTION("SPLIT(G277,"","")"),"3553 Pine St NW")</f>
        <v>3553 Pine St NW</v>
      </c>
      <c r="K277" s="61" t="str">
        <f ca="1">IFERROR(__xludf.DUMMYFUNCTION("""COMPUTED_VALUE""")," Uniontown")</f>
        <v xml:space="preserve"> Uniontown</v>
      </c>
      <c r="L277" s="2" t="str">
        <f ca="1">IFERROR(__xludf.DUMMYFUNCTION("""COMPUTED_VALUE""")," OH 44685")</f>
        <v xml:space="preserve"> OH 44685</v>
      </c>
      <c r="M277" s="2" t="str">
        <f ca="1">IFERROR(__xludf.DUMMYFUNCTION("""COMPUTED_VALUE""")," USA")</f>
        <v xml:space="preserve"> USA</v>
      </c>
      <c r="R277" s="61"/>
    </row>
    <row r="278" spans="1:18">
      <c r="A278" s="65">
        <v>277</v>
      </c>
      <c r="B278" s="80" t="s">
        <v>1731</v>
      </c>
      <c r="C278" s="65" t="s">
        <v>588</v>
      </c>
      <c r="D278" s="65" t="s">
        <v>1732</v>
      </c>
      <c r="E278" s="48" t="str">
        <f t="shared" si="0"/>
        <v>Oak Park</v>
      </c>
      <c r="F278" s="83" t="str">
        <f t="shared" si="1"/>
        <v>Oak Park,CA</v>
      </c>
      <c r="G278" s="65" t="s">
        <v>1734</v>
      </c>
      <c r="H278" s="65">
        <v>34.179171500000002</v>
      </c>
      <c r="I278" s="65">
        <v>-118.7628685</v>
      </c>
      <c r="J278" s="60" t="str">
        <f ca="1">IFERROR(__xludf.DUMMYFUNCTION("SPLIT(G278,"","")"),"408 Southridge Dr")</f>
        <v>408 Southridge Dr</v>
      </c>
      <c r="K278" s="66" t="str">
        <f ca="1">IFERROR(__xludf.DUMMYFUNCTION("""COMPUTED_VALUE""")," Oak Park")</f>
        <v xml:space="preserve"> Oak Park</v>
      </c>
      <c r="L278" s="2" t="str">
        <f ca="1">IFERROR(__xludf.DUMMYFUNCTION("""COMPUTED_VALUE""")," CA 91377")</f>
        <v xml:space="preserve"> CA 91377</v>
      </c>
      <c r="M278" s="2" t="str">
        <f ca="1">IFERROR(__xludf.DUMMYFUNCTION("""COMPUTED_VALUE""")," USA")</f>
        <v xml:space="preserve"> USA</v>
      </c>
      <c r="R278" s="66"/>
    </row>
    <row r="279" spans="1:18">
      <c r="A279" s="60">
        <v>278</v>
      </c>
      <c r="B279" s="79" t="s">
        <v>1739</v>
      </c>
      <c r="C279" s="60" t="s">
        <v>598</v>
      </c>
      <c r="D279" s="60" t="s">
        <v>1740</v>
      </c>
      <c r="E279" s="48" t="str">
        <f t="shared" si="0"/>
        <v>East Point</v>
      </c>
      <c r="F279" s="83" t="str">
        <f t="shared" si="1"/>
        <v>Tri-Cities (East Point),GA</v>
      </c>
      <c r="G279" s="60" t="s">
        <v>1742</v>
      </c>
      <c r="H279" s="60">
        <v>33.684618899999997</v>
      </c>
      <c r="I279" s="60">
        <v>-84.436309899999998</v>
      </c>
      <c r="J279" s="60" t="str">
        <f ca="1">IFERROR(__xludf.DUMMYFUNCTION("SPLIT(G279,"","")"),"2575 Harris St")</f>
        <v>2575 Harris St</v>
      </c>
      <c r="K279" s="61" t="str">
        <f ca="1">IFERROR(__xludf.DUMMYFUNCTION("""COMPUTED_VALUE""")," East Point")</f>
        <v xml:space="preserve"> East Point</v>
      </c>
      <c r="L279" s="2" t="str">
        <f ca="1">IFERROR(__xludf.DUMMYFUNCTION("""COMPUTED_VALUE""")," GA 30344")</f>
        <v xml:space="preserve"> GA 30344</v>
      </c>
      <c r="M279" s="2" t="str">
        <f ca="1">IFERROR(__xludf.DUMMYFUNCTION("""COMPUTED_VALUE""")," USA")</f>
        <v xml:space="preserve"> USA</v>
      </c>
      <c r="R279" s="61"/>
    </row>
    <row r="280" spans="1:18">
      <c r="A280" s="65">
        <v>279</v>
      </c>
      <c r="B280" s="80" t="s">
        <v>1748</v>
      </c>
      <c r="C280" s="65" t="s">
        <v>598</v>
      </c>
      <c r="D280" s="65" t="s">
        <v>1749</v>
      </c>
      <c r="E280" s="48" t="str">
        <f t="shared" si="0"/>
        <v>Norcross</v>
      </c>
      <c r="F280" s="83" t="str">
        <f t="shared" si="1"/>
        <v>Norcross,GA</v>
      </c>
      <c r="G280" s="65" t="s">
        <v>1750</v>
      </c>
      <c r="H280" s="65">
        <v>33.941212700000001</v>
      </c>
      <c r="I280" s="65">
        <v>-84.213530899999995</v>
      </c>
      <c r="J280" s="60" t="str">
        <f ca="1">IFERROR(__xludf.DUMMYFUNCTION("SPLIT(G280,"","")"),"87 S Peachtree St")</f>
        <v>87 S Peachtree St</v>
      </c>
      <c r="K280" s="66" t="str">
        <f ca="1">IFERROR(__xludf.DUMMYFUNCTION("""COMPUTED_VALUE""")," Norcross")</f>
        <v xml:space="preserve"> Norcross</v>
      </c>
      <c r="L280" s="2" t="str">
        <f ca="1">IFERROR(__xludf.DUMMYFUNCTION("""COMPUTED_VALUE""")," GA 30071")</f>
        <v xml:space="preserve"> GA 30071</v>
      </c>
      <c r="M280" s="2" t="str">
        <f ca="1">IFERROR(__xludf.DUMMYFUNCTION("""COMPUTED_VALUE""")," USA")</f>
        <v xml:space="preserve"> USA</v>
      </c>
      <c r="R280" s="66"/>
    </row>
    <row r="281" spans="1:18">
      <c r="A281" s="60">
        <v>280</v>
      </c>
      <c r="B281" s="79" t="s">
        <v>1755</v>
      </c>
      <c r="C281" s="60" t="s">
        <v>618</v>
      </c>
      <c r="D281" s="92" t="s">
        <v>1757</v>
      </c>
      <c r="E281" s="48" t="str">
        <f t="shared" si="0"/>
        <v>Fort Wayne</v>
      </c>
      <c r="F281" s="83" t="str">
        <f t="shared" si="1"/>
        <v>Fort Wayne Blackhawk Christian (Fort Wayne),IN</v>
      </c>
      <c r="G281" s="60" t="s">
        <v>1758</v>
      </c>
      <c r="H281" s="60">
        <v>41.105029399999999</v>
      </c>
      <c r="I281" s="60">
        <v>-85.045719699999992</v>
      </c>
      <c r="J281" s="60" t="str">
        <f ca="1">IFERROR(__xludf.DUMMYFUNCTION("SPLIT(G281,"","")"),"7400 E State Blvd")</f>
        <v>7400 E State Blvd</v>
      </c>
      <c r="K281" s="88" t="str">
        <f ca="1">IFERROR(__xludf.DUMMYFUNCTION("""COMPUTED_VALUE""")," Fort Wayne")</f>
        <v xml:space="preserve"> Fort Wayne</v>
      </c>
      <c r="L281" s="2" t="str">
        <f ca="1">IFERROR(__xludf.DUMMYFUNCTION("""COMPUTED_VALUE""")," IN 46815")</f>
        <v xml:space="preserve"> IN 46815</v>
      </c>
      <c r="M281" s="2" t="str">
        <f ca="1">IFERROR(__xludf.DUMMYFUNCTION("""COMPUTED_VALUE""")," USA")</f>
        <v xml:space="preserve"> USA</v>
      </c>
      <c r="R281" s="88"/>
    </row>
    <row r="282" spans="1:18">
      <c r="A282" s="65">
        <v>281</v>
      </c>
      <c r="B282" s="80" t="s">
        <v>1765</v>
      </c>
      <c r="C282" s="65" t="s">
        <v>136</v>
      </c>
      <c r="D282" s="65" t="s">
        <v>1766</v>
      </c>
      <c r="E282" s="48" t="str">
        <f t="shared" si="0"/>
        <v>Sanford</v>
      </c>
      <c r="F282" s="83" t="str">
        <f t="shared" si="1"/>
        <v>Seminole (Sanford),FL</v>
      </c>
      <c r="G282" s="65" t="s">
        <v>1767</v>
      </c>
      <c r="H282" s="65">
        <v>28.802861199999999</v>
      </c>
      <c r="I282" s="65">
        <v>-81.269452999999999</v>
      </c>
      <c r="J282" s="60" t="str">
        <f ca="1">IFERROR(__xludf.DUMMYFUNCTION("SPLIT(G282,"","")"),"211 W 11th St")</f>
        <v>211 W 11th St</v>
      </c>
      <c r="K282" s="66" t="str">
        <f ca="1">IFERROR(__xludf.DUMMYFUNCTION("""COMPUTED_VALUE""")," Sanford")</f>
        <v xml:space="preserve"> Sanford</v>
      </c>
      <c r="L282" s="2" t="str">
        <f ca="1">IFERROR(__xludf.DUMMYFUNCTION("""COMPUTED_VALUE""")," FL 32771")</f>
        <v xml:space="preserve"> FL 32771</v>
      </c>
      <c r="M282" s="2" t="str">
        <f ca="1">IFERROR(__xludf.DUMMYFUNCTION("""COMPUTED_VALUE""")," USA")</f>
        <v xml:space="preserve"> USA</v>
      </c>
      <c r="R282" s="66"/>
    </row>
    <row r="283" spans="1:18">
      <c r="A283" s="60">
        <v>282</v>
      </c>
      <c r="B283" s="79" t="s">
        <v>1774</v>
      </c>
      <c r="C283" s="60" t="s">
        <v>1296</v>
      </c>
      <c r="D283" s="60" t="s">
        <v>1775</v>
      </c>
      <c r="E283" s="48" t="str">
        <f t="shared" si="0"/>
        <v>Portland</v>
      </c>
      <c r="F283" s="83" t="str">
        <f t="shared" si="1"/>
        <v>Jefferson (Portland),OR</v>
      </c>
      <c r="G283" s="60" t="s">
        <v>1778</v>
      </c>
      <c r="H283" s="60">
        <v>45.560784400000003</v>
      </c>
      <c r="I283" s="60">
        <v>-122.6720431</v>
      </c>
      <c r="J283" s="60" t="str">
        <f ca="1">IFERROR(__xludf.DUMMYFUNCTION("SPLIT(G283,"","")"),"5210 N Kerby Ave")</f>
        <v>5210 N Kerby Ave</v>
      </c>
      <c r="K283" s="61" t="str">
        <f ca="1">IFERROR(__xludf.DUMMYFUNCTION("""COMPUTED_VALUE""")," Portland")</f>
        <v xml:space="preserve"> Portland</v>
      </c>
      <c r="L283" s="2" t="str">
        <f ca="1">IFERROR(__xludf.DUMMYFUNCTION("""COMPUTED_VALUE""")," OR 97217")</f>
        <v xml:space="preserve"> OR 97217</v>
      </c>
      <c r="M283" s="2" t="str">
        <f ca="1">IFERROR(__xludf.DUMMYFUNCTION("""COMPUTED_VALUE""")," USA")</f>
        <v xml:space="preserve"> USA</v>
      </c>
      <c r="R283" s="61"/>
    </row>
    <row r="284" spans="1:18">
      <c r="A284" s="65">
        <v>283</v>
      </c>
      <c r="B284" s="80" t="s">
        <v>1782</v>
      </c>
      <c r="C284" s="65" t="s">
        <v>183</v>
      </c>
      <c r="D284" s="65" t="s">
        <v>1784</v>
      </c>
      <c r="E284" s="48" t="str">
        <f t="shared" si="0"/>
        <v>White Plains</v>
      </c>
      <c r="F284" s="83" t="str">
        <f t="shared" si="1"/>
        <v>Archbishop Stepinac (White Plains),NY</v>
      </c>
      <c r="G284" s="65" t="s">
        <v>1785</v>
      </c>
      <c r="H284" s="65">
        <v>41.008277499999998</v>
      </c>
      <c r="I284" s="65">
        <v>-73.7535776</v>
      </c>
      <c r="J284" s="60" t="str">
        <f ca="1">IFERROR(__xludf.DUMMYFUNCTION("SPLIT(G284,"","")"),"950 Mamaroneck Ave")</f>
        <v>950 Mamaroneck Ave</v>
      </c>
      <c r="K284" s="66" t="str">
        <f ca="1">IFERROR(__xludf.DUMMYFUNCTION("""COMPUTED_VALUE""")," White Plains")</f>
        <v xml:space="preserve"> White Plains</v>
      </c>
      <c r="L284" s="2" t="str">
        <f ca="1">IFERROR(__xludf.DUMMYFUNCTION("""COMPUTED_VALUE""")," NY 10605")</f>
        <v xml:space="preserve"> NY 10605</v>
      </c>
      <c r="M284" s="2" t="str">
        <f ca="1">IFERROR(__xludf.DUMMYFUNCTION("""COMPUTED_VALUE""")," USA")</f>
        <v xml:space="preserve"> USA</v>
      </c>
      <c r="R284" s="66"/>
    </row>
    <row r="285" spans="1:18">
      <c r="A285" s="60">
        <v>284</v>
      </c>
      <c r="B285" s="79" t="s">
        <v>1786</v>
      </c>
      <c r="C285" s="60" t="s">
        <v>604</v>
      </c>
      <c r="D285" s="60" t="s">
        <v>1787</v>
      </c>
      <c r="E285" s="48" t="str">
        <f t="shared" si="0"/>
        <v>Mundelein</v>
      </c>
      <c r="F285" s="83" t="str">
        <f t="shared" si="1"/>
        <v>Mundelein,IL</v>
      </c>
      <c r="G285" s="60" t="s">
        <v>1788</v>
      </c>
      <c r="H285" s="60">
        <v>42.263078999999998</v>
      </c>
      <c r="I285" s="60">
        <v>-88.00396529999999</v>
      </c>
      <c r="J285" s="60" t="str">
        <f ca="1">IFERROR(__xludf.DUMMYFUNCTION("SPLIT(G285,"","")"),"1445 Wimpole Streer 202 EEE")</f>
        <v>1445 Wimpole Streer 202 EEE</v>
      </c>
      <c r="K285" s="61" t="str">
        <f ca="1">IFERROR(__xludf.DUMMYFUNCTION("""COMPUTED_VALUE""")," Mundelein")</f>
        <v xml:space="preserve"> Mundelein</v>
      </c>
      <c r="L285" s="2" t="str">
        <f ca="1">IFERROR(__xludf.DUMMYFUNCTION("""COMPUTED_VALUE""")," IL 60060")</f>
        <v xml:space="preserve"> IL 60060</v>
      </c>
      <c r="M285" s="2" t="str">
        <f ca="1">IFERROR(__xludf.DUMMYFUNCTION("""COMPUTED_VALUE""")," USA")</f>
        <v xml:space="preserve"> USA</v>
      </c>
      <c r="R285" s="61"/>
    </row>
    <row r="286" spans="1:18">
      <c r="A286" s="65">
        <v>285</v>
      </c>
      <c r="B286" s="80" t="s">
        <v>1789</v>
      </c>
      <c r="C286" s="65" t="s">
        <v>588</v>
      </c>
      <c r="D286" s="65" t="s">
        <v>1790</v>
      </c>
      <c r="E286" s="48" t="str">
        <f t="shared" si="0"/>
        <v>Mission Viejo</v>
      </c>
      <c r="F286" s="83" t="str">
        <f t="shared" si="1"/>
        <v>Capistrano Valley (Mission Viejo),CA</v>
      </c>
      <c r="G286" s="65" t="s">
        <v>1791</v>
      </c>
      <c r="H286" s="65">
        <v>33.5415426</v>
      </c>
      <c r="I286" s="65">
        <v>-117.66979360000001</v>
      </c>
      <c r="J286" s="60" t="str">
        <f ca="1">IFERROR(__xludf.DUMMYFUNCTION("SPLIT(G286,"","")"),"26301 Via Escolar")</f>
        <v>26301 Via Escolar</v>
      </c>
      <c r="K286" s="66" t="str">
        <f ca="1">IFERROR(__xludf.DUMMYFUNCTION("""COMPUTED_VALUE""")," Mission Viejo")</f>
        <v xml:space="preserve"> Mission Viejo</v>
      </c>
      <c r="L286" s="2" t="str">
        <f ca="1">IFERROR(__xludf.DUMMYFUNCTION("""COMPUTED_VALUE""")," CA 92692")</f>
        <v xml:space="preserve"> CA 92692</v>
      </c>
      <c r="M286" s="2" t="str">
        <f ca="1">IFERROR(__xludf.DUMMYFUNCTION("""COMPUTED_VALUE""")," USA")</f>
        <v xml:space="preserve"> USA</v>
      </c>
      <c r="R286" s="66"/>
    </row>
    <row r="287" spans="1:18">
      <c r="A287" s="60">
        <v>286</v>
      </c>
      <c r="B287" s="79" t="s">
        <v>1792</v>
      </c>
      <c r="C287" s="60" t="s">
        <v>606</v>
      </c>
      <c r="D287" s="60" t="s">
        <v>1793</v>
      </c>
      <c r="E287" s="48" t="str">
        <f t="shared" si="0"/>
        <v>Columbia</v>
      </c>
      <c r="F287" s="83" t="str">
        <f t="shared" si="1"/>
        <v>Ridge View (Columbia),SC</v>
      </c>
      <c r="G287" s="60" t="s">
        <v>1794</v>
      </c>
      <c r="H287" s="60">
        <v>34.163092100000007</v>
      </c>
      <c r="I287" s="60">
        <v>-80.910353000000001</v>
      </c>
      <c r="J287" s="60" t="str">
        <f ca="1">IFERROR(__xludf.DUMMYFUNCTION("SPLIT(G287,"","")"),"4801 State Rd S-40-83")</f>
        <v>4801 State Rd S-40-83</v>
      </c>
      <c r="K287" s="61" t="str">
        <f ca="1">IFERROR(__xludf.DUMMYFUNCTION("""COMPUTED_VALUE""")," Columbia")</f>
        <v xml:space="preserve"> Columbia</v>
      </c>
      <c r="L287" s="2" t="str">
        <f ca="1">IFERROR(__xludf.DUMMYFUNCTION("""COMPUTED_VALUE""")," SC 29229")</f>
        <v xml:space="preserve"> SC 29229</v>
      </c>
      <c r="M287" s="2" t="str">
        <f ca="1">IFERROR(__xludf.DUMMYFUNCTION("""COMPUTED_VALUE""")," USA")</f>
        <v xml:space="preserve"> USA</v>
      </c>
      <c r="R287" s="61"/>
    </row>
    <row r="288" spans="1:18">
      <c r="A288" s="65">
        <v>287</v>
      </c>
      <c r="B288" s="80" t="s">
        <v>1799</v>
      </c>
      <c r="C288" s="65" t="s">
        <v>183</v>
      </c>
      <c r="D288" s="65" t="s">
        <v>1800</v>
      </c>
      <c r="E288" s="48" t="str">
        <f t="shared" si="0"/>
        <v>Clifton Park</v>
      </c>
      <c r="F288" s="83" t="str">
        <f t="shared" si="1"/>
        <v>Shenendehowa (Clifton Park),NY</v>
      </c>
      <c r="G288" s="65" t="s">
        <v>1801</v>
      </c>
      <c r="H288" s="65">
        <v>42.875852799999997</v>
      </c>
      <c r="I288" s="65">
        <v>-73.771320000000003</v>
      </c>
      <c r="J288" s="60" t="str">
        <f ca="1">IFERROR(__xludf.DUMMYFUNCTION("SPLIT(G288,"","")"),"11 Biette Rd")</f>
        <v>11 Biette Rd</v>
      </c>
      <c r="K288" s="66" t="str">
        <f ca="1">IFERROR(__xludf.DUMMYFUNCTION("""COMPUTED_VALUE""")," Clifton Park")</f>
        <v xml:space="preserve"> Clifton Park</v>
      </c>
      <c r="L288" s="2" t="str">
        <f ca="1">IFERROR(__xludf.DUMMYFUNCTION("""COMPUTED_VALUE""")," NY 12065")</f>
        <v xml:space="preserve"> NY 12065</v>
      </c>
      <c r="M288" s="2" t="str">
        <f ca="1">IFERROR(__xludf.DUMMYFUNCTION("""COMPUTED_VALUE""")," USA")</f>
        <v xml:space="preserve"> USA</v>
      </c>
      <c r="R288" s="66"/>
    </row>
    <row r="289" spans="1:18">
      <c r="A289" s="60">
        <v>288</v>
      </c>
      <c r="B289" s="79" t="s">
        <v>1807</v>
      </c>
      <c r="C289" s="60" t="s">
        <v>796</v>
      </c>
      <c r="D289" s="60" t="s">
        <v>1425</v>
      </c>
      <c r="E289" s="48" t="str">
        <f t="shared" si="0"/>
        <v>Overland Park</v>
      </c>
      <c r="F289" s="83" t="str">
        <f t="shared" si="1"/>
        <v>Blue Valley North (Overland Park),KS</v>
      </c>
      <c r="G289" s="60" t="s">
        <v>1809</v>
      </c>
      <c r="H289" s="60">
        <v>38.906861800000001</v>
      </c>
      <c r="I289" s="60">
        <v>-94.660454700000003</v>
      </c>
      <c r="J289" s="60" t="str">
        <f ca="1">IFERROR(__xludf.DUMMYFUNCTION("SPLIT(G289,"","")"),"12200 Lamar Ave")</f>
        <v>12200 Lamar Ave</v>
      </c>
      <c r="K289" s="61" t="str">
        <f ca="1">IFERROR(__xludf.DUMMYFUNCTION("""COMPUTED_VALUE""")," Overland Park")</f>
        <v xml:space="preserve"> Overland Park</v>
      </c>
      <c r="L289" s="2" t="str">
        <f ca="1">IFERROR(__xludf.DUMMYFUNCTION("""COMPUTED_VALUE""")," KS 66209")</f>
        <v xml:space="preserve"> KS 66209</v>
      </c>
      <c r="M289" s="2" t="str">
        <f ca="1">IFERROR(__xludf.DUMMYFUNCTION("""COMPUTED_VALUE""")," USA")</f>
        <v xml:space="preserve"> USA</v>
      </c>
      <c r="R289" s="61"/>
    </row>
    <row r="290" spans="1:18">
      <c r="A290" s="65">
        <v>289</v>
      </c>
      <c r="B290" s="80" t="s">
        <v>542</v>
      </c>
      <c r="C290" s="65" t="s">
        <v>618</v>
      </c>
      <c r="D290" s="65" t="s">
        <v>1813</v>
      </c>
      <c r="E290" s="48" t="str">
        <f t="shared" si="0"/>
        <v>Carmel</v>
      </c>
      <c r="F290" s="83" t="str">
        <f t="shared" si="1"/>
        <v>Carmel,IN</v>
      </c>
      <c r="G290" s="65" t="s">
        <v>1816</v>
      </c>
      <c r="H290" s="65">
        <v>39.978371000000003</v>
      </c>
      <c r="I290" s="65">
        <v>-86.118043499999999</v>
      </c>
      <c r="J290" s="60" t="str">
        <f ca="1">IFERROR(__xludf.DUMMYFUNCTION("SPLIT(G290,"","")"),"599 E Main St")</f>
        <v>599 E Main St</v>
      </c>
      <c r="K290" s="66" t="str">
        <f ca="1">IFERROR(__xludf.DUMMYFUNCTION("""COMPUTED_VALUE""")," Carmel")</f>
        <v xml:space="preserve"> Carmel</v>
      </c>
      <c r="L290" s="2" t="str">
        <f ca="1">IFERROR(__xludf.DUMMYFUNCTION("""COMPUTED_VALUE""")," IN 46032")</f>
        <v xml:space="preserve"> IN 46032</v>
      </c>
      <c r="M290" s="2" t="str">
        <f ca="1">IFERROR(__xludf.DUMMYFUNCTION("""COMPUTED_VALUE""")," USA")</f>
        <v xml:space="preserve"> USA</v>
      </c>
      <c r="R290" s="66"/>
    </row>
    <row r="291" spans="1:18">
      <c r="A291" s="60">
        <v>290</v>
      </c>
      <c r="B291" s="79" t="s">
        <v>1820</v>
      </c>
      <c r="C291" s="60" t="s">
        <v>693</v>
      </c>
      <c r="D291" s="92" t="s">
        <v>1528</v>
      </c>
      <c r="E291" s="48" t="str">
        <f t="shared" si="0"/>
        <v>Olive Branch</v>
      </c>
      <c r="F291" s="83" t="str">
        <f t="shared" si="1"/>
        <v>Center Hill (Olive Branch),MS</v>
      </c>
      <c r="G291" s="60" t="s">
        <v>1824</v>
      </c>
      <c r="H291" s="60">
        <v>34.918221699999997</v>
      </c>
      <c r="I291" s="60">
        <v>-89.764156999999997</v>
      </c>
      <c r="J291" s="60" t="str">
        <f ca="1">IFERROR(__xludf.DUMMYFUNCTION("SPLIT(G291,"","")"),"3988 Forest Hill Rd S")</f>
        <v>3988 Forest Hill Rd S</v>
      </c>
      <c r="K291" s="88" t="str">
        <f ca="1">IFERROR(__xludf.DUMMYFUNCTION("""COMPUTED_VALUE""")," Olive Branch")</f>
        <v xml:space="preserve"> Olive Branch</v>
      </c>
      <c r="L291" s="2" t="str">
        <f ca="1">IFERROR(__xludf.DUMMYFUNCTION("""COMPUTED_VALUE""")," MS 38654")</f>
        <v xml:space="preserve"> MS 38654</v>
      </c>
      <c r="M291" s="2" t="str">
        <f ca="1">IFERROR(__xludf.DUMMYFUNCTION("""COMPUTED_VALUE""")," USA")</f>
        <v xml:space="preserve"> USA</v>
      </c>
      <c r="R291" s="88"/>
    </row>
    <row r="292" spans="1:18">
      <c r="A292" s="65">
        <v>291</v>
      </c>
      <c r="B292" s="80" t="s">
        <v>1828</v>
      </c>
      <c r="C292" s="65" t="s">
        <v>595</v>
      </c>
      <c r="D292" s="65" t="s">
        <v>1448</v>
      </c>
      <c r="E292" s="48" t="str">
        <f t="shared" si="0"/>
        <v>Houston</v>
      </c>
      <c r="F292" s="83" t="str">
        <f t="shared" si="1"/>
        <v>Yates (Houston),TX</v>
      </c>
      <c r="G292" s="65" t="s">
        <v>1833</v>
      </c>
      <c r="H292" s="65">
        <v>29.778383900000001</v>
      </c>
      <c r="I292" s="65">
        <v>-95.323881099999994</v>
      </c>
      <c r="J292" s="60" t="str">
        <f ca="1">IFERROR(__xludf.DUMMYFUNCTION("SPLIT(G292,"","")"),"4602 Oats St")</f>
        <v>4602 Oats St</v>
      </c>
      <c r="K292" s="66" t="str">
        <f ca="1">IFERROR(__xludf.DUMMYFUNCTION("""COMPUTED_VALUE""")," Houston")</f>
        <v xml:space="preserve"> Houston</v>
      </c>
      <c r="L292" s="2" t="str">
        <f ca="1">IFERROR(__xludf.DUMMYFUNCTION("""COMPUTED_VALUE""")," TX 77020")</f>
        <v xml:space="preserve"> TX 77020</v>
      </c>
      <c r="M292" s="2" t="str">
        <f ca="1">IFERROR(__xludf.DUMMYFUNCTION("""COMPUTED_VALUE""")," USA")</f>
        <v xml:space="preserve"> USA</v>
      </c>
      <c r="R292" s="66"/>
    </row>
    <row r="293" spans="1:18">
      <c r="A293" s="60">
        <v>292</v>
      </c>
      <c r="B293" s="79" t="s">
        <v>1838</v>
      </c>
      <c r="C293" s="60" t="s">
        <v>1358</v>
      </c>
      <c r="D293" s="60" t="s">
        <v>1839</v>
      </c>
      <c r="E293" s="48" t="str">
        <f t="shared" si="0"/>
        <v>Oberon</v>
      </c>
      <c r="F293" s="83" t="str">
        <f t="shared" si="1"/>
        <v>Four Winds/Minnewaukan (Fort Totten),ND</v>
      </c>
      <c r="G293" s="60" t="s">
        <v>1841</v>
      </c>
      <c r="H293" s="60">
        <v>47.976832399999999</v>
      </c>
      <c r="I293" s="60">
        <v>-99.029064899999995</v>
      </c>
      <c r="J293" s="60" t="str">
        <f ca="1">IFERROR(__xludf.DUMMYFUNCTION("SPLIT(G293,"","")"),"ND-57")</f>
        <v>ND-57</v>
      </c>
      <c r="K293" s="61" t="str">
        <f ca="1">IFERROR(__xludf.DUMMYFUNCTION("""COMPUTED_VALUE""")," Oberon")</f>
        <v xml:space="preserve"> Oberon</v>
      </c>
      <c r="L293" s="2" t="str">
        <f ca="1">IFERROR(__xludf.DUMMYFUNCTION("""COMPUTED_VALUE""")," ND 58357")</f>
        <v xml:space="preserve"> ND 58357</v>
      </c>
      <c r="M293" s="2" t="str">
        <f ca="1">IFERROR(__xludf.DUMMYFUNCTION("""COMPUTED_VALUE""")," USA")</f>
        <v xml:space="preserve"> USA</v>
      </c>
      <c r="R293" s="61"/>
    </row>
    <row r="294" spans="1:18">
      <c r="A294" s="65">
        <v>293</v>
      </c>
      <c r="B294" s="80" t="s">
        <v>1846</v>
      </c>
      <c r="C294" s="65" t="s">
        <v>606</v>
      </c>
      <c r="D294" s="65" t="s">
        <v>1848</v>
      </c>
      <c r="E294" s="48" t="str">
        <f t="shared" si="0"/>
        <v>Greenville</v>
      </c>
      <c r="F294" s="83" t="str">
        <f t="shared" si="1"/>
        <v>Legacy Early College (Greenville),SC</v>
      </c>
      <c r="G294" s="65" t="s">
        <v>1850</v>
      </c>
      <c r="H294" s="65">
        <v>34.858781100000002</v>
      </c>
      <c r="I294" s="65">
        <v>-82.426086999999995</v>
      </c>
      <c r="J294" s="60" t="str">
        <f ca="1">IFERROR(__xludf.DUMMYFUNCTION("SPLIT(G294,"","")"),"900 Woodside Ave")</f>
        <v>900 Woodside Ave</v>
      </c>
      <c r="K294" s="66" t="str">
        <f ca="1">IFERROR(__xludf.DUMMYFUNCTION("""COMPUTED_VALUE""")," Greenville")</f>
        <v xml:space="preserve"> Greenville</v>
      </c>
      <c r="L294" s="2" t="str">
        <f ca="1">IFERROR(__xludf.DUMMYFUNCTION("""COMPUTED_VALUE""")," SC 29611")</f>
        <v xml:space="preserve"> SC 29611</v>
      </c>
      <c r="M294" s="2" t="str">
        <f ca="1">IFERROR(__xludf.DUMMYFUNCTION("""COMPUTED_VALUE""")," USA")</f>
        <v xml:space="preserve"> USA</v>
      </c>
      <c r="R294" s="66"/>
    </row>
    <row r="295" spans="1:18">
      <c r="A295" s="60">
        <v>294</v>
      </c>
      <c r="B295" s="79" t="s">
        <v>1855</v>
      </c>
      <c r="C295" s="60" t="s">
        <v>624</v>
      </c>
      <c r="D295" s="60" t="s">
        <v>1143</v>
      </c>
      <c r="E295" s="48" t="str">
        <f t="shared" si="0"/>
        <v>Monroe</v>
      </c>
      <c r="F295" s="83" t="str">
        <f t="shared" si="1"/>
        <v>Ouachita Parish (Monroe),LA</v>
      </c>
      <c r="G295" s="60" t="s">
        <v>1858</v>
      </c>
      <c r="H295" s="60">
        <v>32.509310900000003</v>
      </c>
      <c r="I295" s="60">
        <v>-92.119301199999995</v>
      </c>
      <c r="J295" s="60" t="str">
        <f ca="1">IFERROR(__xludf.DUMMYFUNCTION("SPLIT(G295,"","")"),"364-596 Louisville Ave")</f>
        <v>364-596 Louisville Ave</v>
      </c>
      <c r="K295" s="61" t="str">
        <f ca="1">IFERROR(__xludf.DUMMYFUNCTION("""COMPUTED_VALUE""")," Monroe")</f>
        <v xml:space="preserve"> Monroe</v>
      </c>
      <c r="L295" s="2" t="str">
        <f ca="1">IFERROR(__xludf.DUMMYFUNCTION("""COMPUTED_VALUE""")," LA 71201")</f>
        <v xml:space="preserve"> LA 71201</v>
      </c>
      <c r="M295" s="2" t="str">
        <f ca="1">IFERROR(__xludf.DUMMYFUNCTION("""COMPUTED_VALUE""")," USA")</f>
        <v xml:space="preserve"> USA</v>
      </c>
      <c r="R295" s="61"/>
    </row>
    <row r="296" spans="1:18">
      <c r="A296" s="65">
        <v>295</v>
      </c>
      <c r="B296" s="80" t="s">
        <v>1861</v>
      </c>
      <c r="C296" s="65" t="s">
        <v>588</v>
      </c>
      <c r="D296" s="90" t="s">
        <v>635</v>
      </c>
      <c r="E296" s="48" t="str">
        <f t="shared" si="0"/>
        <v>Los Angeles</v>
      </c>
      <c r="F296" s="83" t="str">
        <f t="shared" si="1"/>
        <v>King/Drew (Los Angeles),CA</v>
      </c>
      <c r="G296" s="65" t="s">
        <v>1864</v>
      </c>
      <c r="H296" s="65">
        <v>33.924119999999988</v>
      </c>
      <c r="I296" s="65">
        <v>-118.24562280000001</v>
      </c>
      <c r="J296" s="60" t="str">
        <f ca="1">IFERROR(__xludf.DUMMYFUNCTION("SPLIT(G296,"","")"),"1621 E 120th St")</f>
        <v>1621 E 120th St</v>
      </c>
      <c r="K296" s="91" t="str">
        <f ca="1">IFERROR(__xludf.DUMMYFUNCTION("""COMPUTED_VALUE""")," Los Angeles")</f>
        <v xml:space="preserve"> Los Angeles</v>
      </c>
      <c r="L296" s="2" t="str">
        <f ca="1">IFERROR(__xludf.DUMMYFUNCTION("""COMPUTED_VALUE""")," CA 90059")</f>
        <v xml:space="preserve"> CA 90059</v>
      </c>
      <c r="M296" s="2" t="str">
        <f ca="1">IFERROR(__xludf.DUMMYFUNCTION("""COMPUTED_VALUE""")," USA")</f>
        <v xml:space="preserve"> USA</v>
      </c>
      <c r="R296" s="91"/>
    </row>
    <row r="297" spans="1:18">
      <c r="A297" s="60">
        <v>296</v>
      </c>
      <c r="B297" s="79" t="s">
        <v>1869</v>
      </c>
      <c r="C297" s="60" t="s">
        <v>136</v>
      </c>
      <c r="D297" s="60" t="s">
        <v>1871</v>
      </c>
      <c r="E297" s="48" t="str">
        <f t="shared" si="0"/>
        <v>Hollywood</v>
      </c>
      <c r="F297" s="83" t="str">
        <f t="shared" si="1"/>
        <v>Chaminade-Madonna (Hollywood),FL</v>
      </c>
      <c r="G297" s="60" t="s">
        <v>1872</v>
      </c>
      <c r="H297" s="60">
        <v>26.015084600000002</v>
      </c>
      <c r="I297" s="60">
        <v>-80.195819399999991</v>
      </c>
      <c r="J297" s="60" t="str">
        <f ca="1">IFERROR(__xludf.DUMMYFUNCTION("SPLIT(G297,"","")"),"500 E Chaminade Dr")</f>
        <v>500 E Chaminade Dr</v>
      </c>
      <c r="K297" s="61" t="str">
        <f ca="1">IFERROR(__xludf.DUMMYFUNCTION("""COMPUTED_VALUE""")," Hollywood")</f>
        <v xml:space="preserve"> Hollywood</v>
      </c>
      <c r="L297" s="2" t="str">
        <f ca="1">IFERROR(__xludf.DUMMYFUNCTION("""COMPUTED_VALUE""")," FL 33021")</f>
        <v xml:space="preserve"> FL 33021</v>
      </c>
      <c r="M297" s="2" t="str">
        <f ca="1">IFERROR(__xludf.DUMMYFUNCTION("""COMPUTED_VALUE""")," USA")</f>
        <v xml:space="preserve"> USA</v>
      </c>
      <c r="R297" s="61"/>
    </row>
    <row r="298" spans="1:18">
      <c r="A298" s="65">
        <v>297</v>
      </c>
      <c r="B298" s="80" t="s">
        <v>1876</v>
      </c>
      <c r="C298" s="65" t="s">
        <v>682</v>
      </c>
      <c r="D298" s="65" t="s">
        <v>1877</v>
      </c>
      <c r="E298" s="48" t="str">
        <f t="shared" si="0"/>
        <v>La Crosse</v>
      </c>
      <c r="F298" s="83" t="str">
        <f t="shared" si="1"/>
        <v>La Crosse Central (La Crosse),WI</v>
      </c>
      <c r="G298" s="65" t="s">
        <v>1879</v>
      </c>
      <c r="H298" s="65">
        <v>43.793241299999998</v>
      </c>
      <c r="I298" s="65">
        <v>-91.2187749</v>
      </c>
      <c r="J298" s="60" t="str">
        <f ca="1">IFERROR(__xludf.DUMMYFUNCTION("SPLIT(G298,"","")"),"1801 Losey Blvd S")</f>
        <v>1801 Losey Blvd S</v>
      </c>
      <c r="K298" s="66" t="str">
        <f ca="1">IFERROR(__xludf.DUMMYFUNCTION("""COMPUTED_VALUE""")," La Crosse")</f>
        <v xml:space="preserve"> La Crosse</v>
      </c>
      <c r="L298" s="2" t="str">
        <f ca="1">IFERROR(__xludf.DUMMYFUNCTION("""COMPUTED_VALUE""")," WI 54601")</f>
        <v xml:space="preserve"> WI 54601</v>
      </c>
      <c r="M298" s="2" t="str">
        <f ca="1">IFERROR(__xludf.DUMMYFUNCTION("""COMPUTED_VALUE""")," USA")</f>
        <v xml:space="preserve"> USA</v>
      </c>
      <c r="R298" s="66"/>
    </row>
    <row r="299" spans="1:18">
      <c r="A299" s="60">
        <v>298</v>
      </c>
      <c r="B299" s="79" t="s">
        <v>1881</v>
      </c>
      <c r="C299" s="60" t="s">
        <v>183</v>
      </c>
      <c r="D299" s="60" t="s">
        <v>1599</v>
      </c>
      <c r="E299" s="48" t="str">
        <f t="shared" si="0"/>
        <v>Buffalo</v>
      </c>
      <c r="F299" s="83" t="str">
        <f t="shared" si="1"/>
        <v>Canisius (Buffalo),NY</v>
      </c>
      <c r="G299" s="60" t="s">
        <v>1883</v>
      </c>
      <c r="H299" s="60">
        <v>42.924833800000002</v>
      </c>
      <c r="I299" s="60">
        <v>-78.851484799999994</v>
      </c>
      <c r="J299" s="60" t="str">
        <f ca="1">IFERROR(__xludf.DUMMYFUNCTION("SPLIT(G299,"","")"),"2001 Main St")</f>
        <v>2001 Main St</v>
      </c>
      <c r="K299" s="61" t="str">
        <f ca="1">IFERROR(__xludf.DUMMYFUNCTION("""COMPUTED_VALUE""")," Buffalo")</f>
        <v xml:space="preserve"> Buffalo</v>
      </c>
      <c r="L299" s="2" t="str">
        <f ca="1">IFERROR(__xludf.DUMMYFUNCTION("""COMPUTED_VALUE""")," NY 14208")</f>
        <v xml:space="preserve"> NY 14208</v>
      </c>
      <c r="M299" s="2" t="str">
        <f ca="1">IFERROR(__xludf.DUMMYFUNCTION("""COMPUTED_VALUE""")," USA")</f>
        <v xml:space="preserve"> USA</v>
      </c>
      <c r="R299" s="61"/>
    </row>
    <row r="300" spans="1:18">
      <c r="A300" s="65">
        <v>299</v>
      </c>
      <c r="B300" s="80" t="s">
        <v>1888</v>
      </c>
      <c r="C300" s="65" t="s">
        <v>588</v>
      </c>
      <c r="D300" s="90" t="s">
        <v>1889</v>
      </c>
      <c r="E300" s="48" t="str">
        <f t="shared" si="0"/>
        <v>Carmichael</v>
      </c>
      <c r="F300" s="83" t="str">
        <f t="shared" si="1"/>
        <v>Jesuit (Carmichael),CA</v>
      </c>
      <c r="G300" s="65" t="s">
        <v>1891</v>
      </c>
      <c r="H300" s="65">
        <v>38.585995199999999</v>
      </c>
      <c r="I300" s="65">
        <v>-121.35216130000001</v>
      </c>
      <c r="J300" s="60" t="str">
        <f ca="1">IFERROR(__xludf.DUMMYFUNCTION("SPLIT(G300,"","")"),"1200 Jacob Ln")</f>
        <v>1200 Jacob Ln</v>
      </c>
      <c r="K300" s="91" t="str">
        <f ca="1">IFERROR(__xludf.DUMMYFUNCTION("""COMPUTED_VALUE""")," Carmichael")</f>
        <v xml:space="preserve"> Carmichael</v>
      </c>
      <c r="L300" s="2" t="str">
        <f ca="1">IFERROR(__xludf.DUMMYFUNCTION("""COMPUTED_VALUE""")," CA 95608")</f>
        <v xml:space="preserve"> CA 95608</v>
      </c>
      <c r="M300" s="2" t="str">
        <f ca="1">IFERROR(__xludf.DUMMYFUNCTION("""COMPUTED_VALUE""")," USA")</f>
        <v xml:space="preserve"> USA</v>
      </c>
      <c r="R300" s="91"/>
    </row>
    <row r="301" spans="1:18">
      <c r="A301" s="60">
        <v>300</v>
      </c>
      <c r="B301" s="79" t="s">
        <v>1894</v>
      </c>
      <c r="C301" s="60" t="s">
        <v>593</v>
      </c>
      <c r="D301" s="92" t="s">
        <v>1895</v>
      </c>
      <c r="E301" s="48" t="str">
        <f t="shared" si="0"/>
        <v>Henderson</v>
      </c>
      <c r="F301" s="83" t="str">
        <f t="shared" si="1"/>
        <v>Liberty (Henderson),NV</v>
      </c>
      <c r="G301" s="60" t="s">
        <v>1897</v>
      </c>
      <c r="H301" s="60">
        <v>35.989113799999998</v>
      </c>
      <c r="I301" s="60">
        <v>-115.1529204</v>
      </c>
      <c r="J301" s="60" t="str">
        <f ca="1">IFERROR(__xludf.DUMMYFUNCTION("SPLIT(G301,"","")"),"3700 Liberty Heights Ave")</f>
        <v>3700 Liberty Heights Ave</v>
      </c>
      <c r="K301" s="88" t="str">
        <f ca="1">IFERROR(__xludf.DUMMYFUNCTION("""COMPUTED_VALUE""")," Henderson")</f>
        <v xml:space="preserve"> Henderson</v>
      </c>
      <c r="L301" s="2" t="str">
        <f ca="1">IFERROR(__xludf.DUMMYFUNCTION("""COMPUTED_VALUE""")," NV 89052")</f>
        <v xml:space="preserve"> NV 89052</v>
      </c>
      <c r="M301" s="2" t="str">
        <f ca="1">IFERROR(__xludf.DUMMYFUNCTION("""COMPUTED_VALUE""")," USA")</f>
        <v xml:space="preserve"> USA</v>
      </c>
      <c r="R301" s="88"/>
    </row>
    <row r="302" spans="1:18">
      <c r="A302" s="60">
        <v>301</v>
      </c>
      <c r="B302" s="79" t="s">
        <v>127</v>
      </c>
      <c r="C302" s="60" t="s">
        <v>770</v>
      </c>
      <c r="D302" s="93" t="s">
        <v>1899</v>
      </c>
      <c r="E302" s="48" t="str">
        <f t="shared" si="0"/>
        <v>Cleveland</v>
      </c>
      <c r="F302" s="83" t="str">
        <f t="shared" si="1"/>
        <v>Cleveland,TN</v>
      </c>
      <c r="G302" s="60" t="s">
        <v>1901</v>
      </c>
      <c r="H302" s="60">
        <v>35.159518200000001</v>
      </c>
      <c r="I302" s="60">
        <v>-84.876611499999996</v>
      </c>
      <c r="J302" s="60" t="str">
        <f ca="1">IFERROR(__xludf.DUMMYFUNCTION("SPLIT(G302,"","")"),"100 S Ocoee St")</f>
        <v>100 S Ocoee St</v>
      </c>
      <c r="K302" s="2" t="str">
        <f ca="1">IFERROR(__xludf.DUMMYFUNCTION("""COMPUTED_VALUE""")," Cleveland")</f>
        <v xml:space="preserve"> Cleveland</v>
      </c>
      <c r="L302" s="2" t="str">
        <f ca="1">IFERROR(__xludf.DUMMYFUNCTION("""COMPUTED_VALUE""")," TN 37311")</f>
        <v xml:space="preserve"> TN 37311</v>
      </c>
      <c r="M302" s="2" t="str">
        <f ca="1">IFERROR(__xludf.DUMMYFUNCTION("""COMPUTED_VALUE""")," USA")</f>
        <v xml:space="preserve"> USA</v>
      </c>
    </row>
    <row r="303" spans="1:18">
      <c r="A303" s="65">
        <v>302</v>
      </c>
      <c r="B303" s="80" t="s">
        <v>1905</v>
      </c>
      <c r="C303" s="65" t="s">
        <v>881</v>
      </c>
      <c r="D303" s="93" t="s">
        <v>882</v>
      </c>
      <c r="E303" s="48" t="str">
        <f t="shared" si="0"/>
        <v>Louisville</v>
      </c>
      <c r="F303" s="83" t="str">
        <f t="shared" si="1"/>
        <v>Ballard (Louisville),KY</v>
      </c>
      <c r="G303" s="65" t="s">
        <v>1906</v>
      </c>
      <c r="H303" s="65">
        <v>38.283350800000001</v>
      </c>
      <c r="I303" s="65">
        <v>-85.625275399999992</v>
      </c>
      <c r="J303" s="60" t="str">
        <f ca="1">IFERROR(__xludf.DUMMYFUNCTION("SPLIT(G303,"","")"),"6000 Brownsboro Rd")</f>
        <v>6000 Brownsboro Rd</v>
      </c>
      <c r="K303" s="2" t="str">
        <f ca="1">IFERROR(__xludf.DUMMYFUNCTION("""COMPUTED_VALUE""")," Louisville")</f>
        <v xml:space="preserve"> Louisville</v>
      </c>
      <c r="L303" s="2" t="str">
        <f ca="1">IFERROR(__xludf.DUMMYFUNCTION("""COMPUTED_VALUE""")," KY 40222")</f>
        <v xml:space="preserve"> KY 40222</v>
      </c>
      <c r="M303" s="2" t="str">
        <f ca="1">IFERROR(__xludf.DUMMYFUNCTION("""COMPUTED_VALUE""")," USA")</f>
        <v xml:space="preserve"> USA</v>
      </c>
    </row>
    <row r="304" spans="1:18">
      <c r="A304" s="60">
        <v>303</v>
      </c>
      <c r="B304" s="79" t="s">
        <v>1911</v>
      </c>
      <c r="C304" s="60" t="s">
        <v>975</v>
      </c>
      <c r="D304" s="93" t="s">
        <v>1913</v>
      </c>
      <c r="E304" s="48" t="str">
        <f t="shared" si="0"/>
        <v>Albuquerque</v>
      </c>
      <c r="F304" s="83" t="str">
        <f t="shared" si="1"/>
        <v>Volcano Vista (Albuquerque),NM</v>
      </c>
      <c r="G304" s="60" t="s">
        <v>1914</v>
      </c>
      <c r="H304" s="60">
        <v>35.177795799999998</v>
      </c>
      <c r="I304" s="60">
        <v>-106.73309740000001</v>
      </c>
      <c r="J304" s="60" t="str">
        <f ca="1">IFERROR(__xludf.DUMMYFUNCTION("SPLIT(G304,"","")"),"8100 Rainbow Blvd NW")</f>
        <v>8100 Rainbow Blvd NW</v>
      </c>
      <c r="K304" s="2" t="str">
        <f ca="1">IFERROR(__xludf.DUMMYFUNCTION("""COMPUTED_VALUE""")," Albuquerque")</f>
        <v xml:space="preserve"> Albuquerque</v>
      </c>
      <c r="L304" s="2" t="str">
        <f ca="1">IFERROR(__xludf.DUMMYFUNCTION("""COMPUTED_VALUE""")," NM 87114")</f>
        <v xml:space="preserve"> NM 87114</v>
      </c>
      <c r="M304" s="2" t="str">
        <f ca="1">IFERROR(__xludf.DUMMYFUNCTION("""COMPUTED_VALUE""")," USA")</f>
        <v xml:space="preserve"> USA</v>
      </c>
    </row>
    <row r="305" spans="1:13">
      <c r="A305" s="65">
        <v>304</v>
      </c>
      <c r="B305" s="80" t="s">
        <v>1920</v>
      </c>
      <c r="C305" s="65" t="s">
        <v>179</v>
      </c>
      <c r="D305" s="93" t="s">
        <v>1921</v>
      </c>
      <c r="E305" s="48" t="str">
        <f t="shared" si="0"/>
        <v>Greensboro</v>
      </c>
      <c r="F305" s="83" t="str">
        <f t="shared" si="1"/>
        <v>Greensboro Day School (Greensboro),NC</v>
      </c>
      <c r="G305" s="65" t="s">
        <v>1924</v>
      </c>
      <c r="H305" s="65">
        <v>36.150062800000001</v>
      </c>
      <c r="I305" s="65">
        <v>-79.836502899999999</v>
      </c>
      <c r="J305" s="60" t="str">
        <f ca="1">IFERROR(__xludf.DUMMYFUNCTION("SPLIT(G305,"","")"),"5401 Lawndale Dr")</f>
        <v>5401 Lawndale Dr</v>
      </c>
      <c r="K305" s="2" t="str">
        <f ca="1">IFERROR(__xludf.DUMMYFUNCTION("""COMPUTED_VALUE""")," Greensboro")</f>
        <v xml:space="preserve"> Greensboro</v>
      </c>
      <c r="L305" s="2" t="str">
        <f ca="1">IFERROR(__xludf.DUMMYFUNCTION("""COMPUTED_VALUE""")," NC 27455")</f>
        <v xml:space="preserve"> NC 27455</v>
      </c>
      <c r="M305" s="2" t="str">
        <f ca="1">IFERROR(__xludf.DUMMYFUNCTION("""COMPUTED_VALUE""")," USA")</f>
        <v xml:space="preserve"> USA</v>
      </c>
    </row>
    <row r="306" spans="1:13">
      <c r="A306" s="60">
        <v>305</v>
      </c>
      <c r="B306" s="79" t="s">
        <v>1927</v>
      </c>
      <c r="C306" s="60" t="s">
        <v>765</v>
      </c>
      <c r="D306" s="93" t="s">
        <v>1928</v>
      </c>
      <c r="E306" s="48" t="str">
        <f t="shared" si="0"/>
        <v>Lehi</v>
      </c>
      <c r="F306" s="83" t="str">
        <f t="shared" si="1"/>
        <v>Skyridge (Lehi),UT</v>
      </c>
      <c r="G306" s="60" t="s">
        <v>1931</v>
      </c>
      <c r="H306" s="60">
        <v>40.425768300000001</v>
      </c>
      <c r="I306" s="60">
        <v>-111.8481625</v>
      </c>
      <c r="J306" s="60" t="str">
        <f ca="1">IFERROR(__xludf.DUMMYFUNCTION("SPLIT(G306,"","")"),"3000 N Center St")</f>
        <v>3000 N Center St</v>
      </c>
      <c r="K306" s="2" t="str">
        <f ca="1">IFERROR(__xludf.DUMMYFUNCTION("""COMPUTED_VALUE""")," Lehi")</f>
        <v xml:space="preserve"> Lehi</v>
      </c>
      <c r="L306" s="2" t="str">
        <f ca="1">IFERROR(__xludf.DUMMYFUNCTION("""COMPUTED_VALUE""")," UT 84043")</f>
        <v xml:space="preserve"> UT 84043</v>
      </c>
      <c r="M306" s="2" t="str">
        <f ca="1">IFERROR(__xludf.DUMMYFUNCTION("""COMPUTED_VALUE""")," USA")</f>
        <v xml:space="preserve"> USA</v>
      </c>
    </row>
    <row r="307" spans="1:13">
      <c r="A307" s="65">
        <v>306</v>
      </c>
      <c r="B307" s="80" t="s">
        <v>1936</v>
      </c>
      <c r="C307" s="65" t="s">
        <v>1039</v>
      </c>
      <c r="D307" s="93" t="s">
        <v>1937</v>
      </c>
      <c r="E307" s="48" t="str">
        <f t="shared" si="0"/>
        <v>Whitman</v>
      </c>
      <c r="F307" s="83" t="str">
        <f t="shared" si="1"/>
        <v>Whitman-Hanson Regional (Whitman),MA</v>
      </c>
      <c r="G307" s="65" t="s">
        <v>1940</v>
      </c>
      <c r="H307" s="65">
        <v>42.070883100000003</v>
      </c>
      <c r="I307" s="65">
        <v>-70.906380500000012</v>
      </c>
      <c r="J307" s="60" t="str">
        <f ca="1">IFERROR(__xludf.DUMMYFUNCTION("SPLIT(G307,"","")"),"600 Franklin St")</f>
        <v>600 Franklin St</v>
      </c>
      <c r="K307" s="2" t="str">
        <f ca="1">IFERROR(__xludf.DUMMYFUNCTION("""COMPUTED_VALUE""")," Whitman")</f>
        <v xml:space="preserve"> Whitman</v>
      </c>
      <c r="L307" s="2" t="str">
        <f ca="1">IFERROR(__xludf.DUMMYFUNCTION("""COMPUTED_VALUE""")," MA 02382")</f>
        <v xml:space="preserve"> MA 02382</v>
      </c>
      <c r="M307" s="2" t="str">
        <f ca="1">IFERROR(__xludf.DUMMYFUNCTION("""COMPUTED_VALUE""")," USA")</f>
        <v xml:space="preserve"> USA</v>
      </c>
    </row>
    <row r="308" spans="1:13">
      <c r="A308" s="60">
        <v>307</v>
      </c>
      <c r="B308" s="79" t="s">
        <v>1943</v>
      </c>
      <c r="C308" s="60" t="s">
        <v>595</v>
      </c>
      <c r="D308" s="93" t="s">
        <v>878</v>
      </c>
      <c r="E308" s="48" t="str">
        <f t="shared" si="0"/>
        <v>San Antonio</v>
      </c>
      <c r="F308" s="83" t="str">
        <f t="shared" si="1"/>
        <v>Antonian Prep (San Antonio),TX</v>
      </c>
      <c r="G308" s="60" t="s">
        <v>1946</v>
      </c>
      <c r="H308" s="60">
        <v>29.522410000000001</v>
      </c>
      <c r="I308" s="60">
        <v>-98.526604399999997</v>
      </c>
      <c r="J308" s="60" t="str">
        <f ca="1">IFERROR(__xludf.DUMMYFUNCTION("SPLIT(G308,"","")"),"6423 West Ave")</f>
        <v>6423 West Ave</v>
      </c>
      <c r="K308" s="2" t="str">
        <f ca="1">IFERROR(__xludf.DUMMYFUNCTION("""COMPUTED_VALUE""")," San Antonio")</f>
        <v xml:space="preserve"> San Antonio</v>
      </c>
      <c r="L308" s="2" t="str">
        <f ca="1">IFERROR(__xludf.DUMMYFUNCTION("""COMPUTED_VALUE""")," TX 78213")</f>
        <v xml:space="preserve"> TX 78213</v>
      </c>
      <c r="M308" s="2" t="str">
        <f ca="1">IFERROR(__xludf.DUMMYFUNCTION("""COMPUTED_VALUE""")," USA")</f>
        <v xml:space="preserve"> USA</v>
      </c>
    </row>
    <row r="309" spans="1:13">
      <c r="A309" s="65">
        <v>308</v>
      </c>
      <c r="B309" s="80" t="s">
        <v>1952</v>
      </c>
      <c r="C309" s="65" t="s">
        <v>588</v>
      </c>
      <c r="D309" s="93" t="s">
        <v>1954</v>
      </c>
      <c r="E309" s="48" t="str">
        <f t="shared" si="0"/>
        <v>Burbank</v>
      </c>
      <c r="F309" s="83" t="str">
        <f t="shared" si="1"/>
        <v>Providence (Burbank),CA</v>
      </c>
      <c r="G309" s="65" t="s">
        <v>1955</v>
      </c>
      <c r="H309" s="65">
        <v>34.1560974</v>
      </c>
      <c r="I309" s="65">
        <v>-118.3287263</v>
      </c>
      <c r="J309" s="60" t="str">
        <f ca="1">IFERROR(__xludf.DUMMYFUNCTION("SPLIT(G309,"","")"),"501 S Buena Vista St")</f>
        <v>501 S Buena Vista St</v>
      </c>
      <c r="K309" s="2" t="str">
        <f ca="1">IFERROR(__xludf.DUMMYFUNCTION("""COMPUTED_VALUE""")," Burbank")</f>
        <v xml:space="preserve"> Burbank</v>
      </c>
      <c r="L309" s="2" t="str">
        <f ca="1">IFERROR(__xludf.DUMMYFUNCTION("""COMPUTED_VALUE""")," CA 91505")</f>
        <v xml:space="preserve"> CA 91505</v>
      </c>
      <c r="M309" s="2" t="str">
        <f ca="1">IFERROR(__xludf.DUMMYFUNCTION("""COMPUTED_VALUE""")," USA")</f>
        <v xml:space="preserve"> USA</v>
      </c>
    </row>
    <row r="310" spans="1:13">
      <c r="A310" s="60">
        <v>309</v>
      </c>
      <c r="B310" s="79" t="s">
        <v>1960</v>
      </c>
      <c r="C310" s="60" t="s">
        <v>588</v>
      </c>
      <c r="D310" s="93" t="s">
        <v>635</v>
      </c>
      <c r="E310" s="48" t="str">
        <f t="shared" si="0"/>
        <v>Los Angeles</v>
      </c>
      <c r="F310" s="83" t="str">
        <f t="shared" si="1"/>
        <v>Salesian (Los Angeles),CA</v>
      </c>
      <c r="G310" s="60" t="s">
        <v>1962</v>
      </c>
      <c r="H310" s="60">
        <v>34.033022899999999</v>
      </c>
      <c r="I310" s="60">
        <v>-118.21599759999999</v>
      </c>
      <c r="J310" s="60" t="str">
        <f ca="1">IFERROR(__xludf.DUMMYFUNCTION("SPLIT(G310,"","")"),"960 S Soto St")</f>
        <v>960 S Soto St</v>
      </c>
      <c r="K310" s="2" t="str">
        <f ca="1">IFERROR(__xludf.DUMMYFUNCTION("""COMPUTED_VALUE""")," Los Angeles")</f>
        <v xml:space="preserve"> Los Angeles</v>
      </c>
      <c r="L310" s="2" t="str">
        <f ca="1">IFERROR(__xludf.DUMMYFUNCTION("""COMPUTED_VALUE""")," CA 90023")</f>
        <v xml:space="preserve"> CA 90023</v>
      </c>
      <c r="M310" s="2" t="str">
        <f ca="1">IFERROR(__xludf.DUMMYFUNCTION("""COMPUTED_VALUE""")," USA")</f>
        <v xml:space="preserve"> USA</v>
      </c>
    </row>
    <row r="311" spans="1:13">
      <c r="A311" s="65">
        <v>310</v>
      </c>
      <c r="B311" s="80" t="s">
        <v>1965</v>
      </c>
      <c r="C311" s="65" t="s">
        <v>174</v>
      </c>
      <c r="D311" s="93" t="s">
        <v>1966</v>
      </c>
      <c r="E311" s="48" t="str">
        <f t="shared" si="0"/>
        <v>Mentor</v>
      </c>
      <c r="F311" s="83" t="str">
        <f t="shared" si="1"/>
        <v>Mentor,OH</v>
      </c>
      <c r="G311" s="65" t="s">
        <v>1968</v>
      </c>
      <c r="H311" s="65">
        <v>41.666157300000002</v>
      </c>
      <c r="I311" s="65">
        <v>-81.339551999999998</v>
      </c>
      <c r="J311" s="60" t="str">
        <f ca="1">IFERROR(__xludf.DUMMYFUNCTION("SPLIT(G311,"","")"),"7545 Center St")</f>
        <v>7545 Center St</v>
      </c>
      <c r="K311" s="2" t="str">
        <f ca="1">IFERROR(__xludf.DUMMYFUNCTION("""COMPUTED_VALUE""")," Mentor")</f>
        <v xml:space="preserve"> Mentor</v>
      </c>
      <c r="L311" s="2" t="str">
        <f ca="1">IFERROR(__xludf.DUMMYFUNCTION("""COMPUTED_VALUE""")," OH 44060")</f>
        <v xml:space="preserve"> OH 44060</v>
      </c>
      <c r="M311" s="2" t="str">
        <f ca="1">IFERROR(__xludf.DUMMYFUNCTION("""COMPUTED_VALUE""")," USA")</f>
        <v xml:space="preserve"> USA</v>
      </c>
    </row>
    <row r="312" spans="1:13">
      <c r="A312" s="60">
        <v>311</v>
      </c>
      <c r="B312" s="79" t="s">
        <v>1972</v>
      </c>
      <c r="C312" s="60" t="s">
        <v>624</v>
      </c>
      <c r="D312" s="93" t="s">
        <v>683</v>
      </c>
      <c r="E312" s="48" t="str">
        <f t="shared" si="0"/>
        <v>Baton Rouge</v>
      </c>
      <c r="F312" s="83" t="str">
        <f t="shared" si="1"/>
        <v>Madison Prep Academy (Baton Rouge),LA</v>
      </c>
      <c r="G312" s="60" t="s">
        <v>1973</v>
      </c>
      <c r="H312" s="60">
        <v>30.467486099999999</v>
      </c>
      <c r="I312" s="60">
        <v>-91.174126999999999</v>
      </c>
      <c r="J312" s="60" t="str">
        <f ca="1">IFERROR(__xludf.DUMMYFUNCTION("SPLIT(G312,"","")"),"1555 Madison Ave")</f>
        <v>1555 Madison Ave</v>
      </c>
      <c r="K312" s="2" t="str">
        <f ca="1">IFERROR(__xludf.DUMMYFUNCTION("""COMPUTED_VALUE""")," Baton Rouge")</f>
        <v xml:space="preserve"> Baton Rouge</v>
      </c>
      <c r="L312" s="2" t="str">
        <f ca="1">IFERROR(__xludf.DUMMYFUNCTION("""COMPUTED_VALUE""")," LA 70802")</f>
        <v xml:space="preserve"> LA 70802</v>
      </c>
      <c r="M312" s="2" t="str">
        <f ca="1">IFERROR(__xludf.DUMMYFUNCTION("""COMPUTED_VALUE""")," USA")</f>
        <v xml:space="preserve"> USA</v>
      </c>
    </row>
    <row r="313" spans="1:13">
      <c r="A313" s="65">
        <v>312</v>
      </c>
      <c r="B313" s="80" t="s">
        <v>1979</v>
      </c>
      <c r="C313" s="65" t="s">
        <v>602</v>
      </c>
      <c r="D313" s="93" t="s">
        <v>1980</v>
      </c>
      <c r="E313" s="48" t="str">
        <f t="shared" si="0"/>
        <v>Lorton</v>
      </c>
      <c r="F313" s="83" t="str">
        <f t="shared" si="1"/>
        <v>South County (Lorton),VA</v>
      </c>
      <c r="G313" s="65" t="s">
        <v>1982</v>
      </c>
      <c r="H313" s="65">
        <v>38.717428200000001</v>
      </c>
      <c r="I313" s="65">
        <v>-77.238539500000002</v>
      </c>
      <c r="J313" s="60" t="str">
        <f ca="1">IFERROR(__xludf.DUMMYFUNCTION("SPLIT(G313,"","")"),"8501 Silverbrook Rd")</f>
        <v>8501 Silverbrook Rd</v>
      </c>
      <c r="K313" s="2" t="str">
        <f ca="1">IFERROR(__xludf.DUMMYFUNCTION("""COMPUTED_VALUE""")," Lorton")</f>
        <v xml:space="preserve"> Lorton</v>
      </c>
      <c r="L313" s="2" t="str">
        <f ca="1">IFERROR(__xludf.DUMMYFUNCTION("""COMPUTED_VALUE""")," VA 22079")</f>
        <v xml:space="preserve"> VA 22079</v>
      </c>
      <c r="M313" s="2" t="str">
        <f ca="1">IFERROR(__xludf.DUMMYFUNCTION("""COMPUTED_VALUE""")," USA")</f>
        <v xml:space="preserve"> USA</v>
      </c>
    </row>
    <row r="314" spans="1:13">
      <c r="A314" s="60">
        <v>313</v>
      </c>
      <c r="B314" s="79" t="s">
        <v>1985</v>
      </c>
      <c r="C314" s="60" t="s">
        <v>71</v>
      </c>
      <c r="D314" s="93" t="s">
        <v>1986</v>
      </c>
      <c r="E314" s="48" t="str">
        <f t="shared" si="0"/>
        <v>Tucson</v>
      </c>
      <c r="F314" s="83" t="str">
        <f t="shared" si="1"/>
        <v>Salpointe Catholic (Tucson),AZ</v>
      </c>
      <c r="G314" s="60" t="s">
        <v>1988</v>
      </c>
      <c r="H314" s="60">
        <v>32.254551399999997</v>
      </c>
      <c r="I314" s="60">
        <v>-110.95047750000001</v>
      </c>
      <c r="J314" s="60" t="str">
        <f ca="1">IFERROR(__xludf.DUMMYFUNCTION("SPLIT(G314,"","")"),"1421 E Silver St")</f>
        <v>1421 E Silver St</v>
      </c>
      <c r="K314" s="2" t="str">
        <f ca="1">IFERROR(__xludf.DUMMYFUNCTION("""COMPUTED_VALUE""")," Tucson")</f>
        <v xml:space="preserve"> Tucson</v>
      </c>
      <c r="L314" s="2" t="str">
        <f ca="1">IFERROR(__xludf.DUMMYFUNCTION("""COMPUTED_VALUE""")," AZ 85719")</f>
        <v xml:space="preserve"> AZ 85719</v>
      </c>
      <c r="M314" s="2" t="str">
        <f ca="1">IFERROR(__xludf.DUMMYFUNCTION("""COMPUTED_VALUE""")," USA")</f>
        <v xml:space="preserve"> USA</v>
      </c>
    </row>
    <row r="315" spans="1:13">
      <c r="A315" s="65">
        <v>314</v>
      </c>
      <c r="B315" s="80" t="s">
        <v>1990</v>
      </c>
      <c r="C315" s="65" t="s">
        <v>595</v>
      </c>
      <c r="D315" s="93" t="s">
        <v>1991</v>
      </c>
      <c r="E315" s="48" t="str">
        <f t="shared" si="0"/>
        <v>Prosper</v>
      </c>
      <c r="F315" s="83" t="str">
        <f t="shared" si="1"/>
        <v>Prosper,TX</v>
      </c>
      <c r="G315" s="65" t="s">
        <v>1992</v>
      </c>
      <c r="H315" s="65">
        <v>33.236227800000002</v>
      </c>
      <c r="I315" s="65">
        <v>-96.801109999999994</v>
      </c>
      <c r="J315" s="60" t="str">
        <f ca="1">IFERROR(__xludf.DUMMYFUNCTION("SPLIT(G315,"","")"),"109 E Broadway St")</f>
        <v>109 E Broadway St</v>
      </c>
      <c r="K315" s="2" t="str">
        <f ca="1">IFERROR(__xludf.DUMMYFUNCTION("""COMPUTED_VALUE""")," Prosper")</f>
        <v xml:space="preserve"> Prosper</v>
      </c>
      <c r="L315" s="2" t="str">
        <f ca="1">IFERROR(__xludf.DUMMYFUNCTION("""COMPUTED_VALUE""")," TX 75078")</f>
        <v xml:space="preserve"> TX 75078</v>
      </c>
      <c r="M315" s="2" t="str">
        <f ca="1">IFERROR(__xludf.DUMMYFUNCTION("""COMPUTED_VALUE""")," USA")</f>
        <v xml:space="preserve"> USA</v>
      </c>
    </row>
    <row r="316" spans="1:13">
      <c r="A316" s="60">
        <v>315</v>
      </c>
      <c r="B316" s="79" t="s">
        <v>1996</v>
      </c>
      <c r="C316" s="60" t="s">
        <v>183</v>
      </c>
      <c r="D316" s="93" t="s">
        <v>1997</v>
      </c>
      <c r="E316" s="48" t="str">
        <f t="shared" si="0"/>
        <v>Newburgh</v>
      </c>
      <c r="F316" s="83" t="str">
        <f t="shared" si="1"/>
        <v>Newburgh Free Academy (Newburgh),NY</v>
      </c>
      <c r="G316" s="60" t="s">
        <v>2000</v>
      </c>
      <c r="H316" s="60">
        <v>41.509382100000003</v>
      </c>
      <c r="I316" s="60">
        <v>-74.027111699999992</v>
      </c>
      <c r="J316" s="60" t="str">
        <f ca="1">IFERROR(__xludf.DUMMYFUNCTION("SPLIT(G316,"","")"),"201 Fullerton Ave")</f>
        <v>201 Fullerton Ave</v>
      </c>
      <c r="K316" s="2" t="str">
        <f ca="1">IFERROR(__xludf.DUMMYFUNCTION("""COMPUTED_VALUE""")," Newburgh")</f>
        <v xml:space="preserve"> Newburgh</v>
      </c>
      <c r="L316" s="2" t="str">
        <f ca="1">IFERROR(__xludf.DUMMYFUNCTION("""COMPUTED_VALUE""")," NY 12550")</f>
        <v xml:space="preserve"> NY 12550</v>
      </c>
      <c r="M316" s="2" t="str">
        <f ca="1">IFERROR(__xludf.DUMMYFUNCTION("""COMPUTED_VALUE""")," USA")</f>
        <v xml:space="preserve"> USA</v>
      </c>
    </row>
    <row r="317" spans="1:13">
      <c r="A317" s="65">
        <v>316</v>
      </c>
      <c r="B317" s="80" t="s">
        <v>2003</v>
      </c>
      <c r="C317" s="65" t="s">
        <v>174</v>
      </c>
      <c r="D317" s="93" t="s">
        <v>2004</v>
      </c>
      <c r="E317" s="48" t="str">
        <f t="shared" si="0"/>
        <v>Lima</v>
      </c>
      <c r="F317" s="83" t="str">
        <f t="shared" si="1"/>
        <v>Lima Senior (Lima),OH</v>
      </c>
      <c r="G317" s="65" t="s">
        <v>2007</v>
      </c>
      <c r="H317" s="65">
        <v>40.7410785</v>
      </c>
      <c r="I317" s="65">
        <v>-84.100155299999997</v>
      </c>
      <c r="J317" s="60" t="str">
        <f ca="1">IFERROR(__xludf.DUMMYFUNCTION("SPLIT(G317,"","")"),"Lima Senior")</f>
        <v>Lima Senior</v>
      </c>
      <c r="K317" s="2" t="str">
        <f ca="1">IFERROR(__xludf.DUMMYFUNCTION("""COMPUTED_VALUE""")," Lima")</f>
        <v xml:space="preserve"> Lima</v>
      </c>
      <c r="L317" s="2" t="str">
        <f ca="1">IFERROR(__xludf.DUMMYFUNCTION("""COMPUTED_VALUE""")," OH 45801")</f>
        <v xml:space="preserve"> OH 45801</v>
      </c>
      <c r="M317" s="2" t="str">
        <f ca="1">IFERROR(__xludf.DUMMYFUNCTION("""COMPUTED_VALUE""")," USA")</f>
        <v xml:space="preserve"> USA</v>
      </c>
    </row>
    <row r="318" spans="1:13">
      <c r="A318" s="60">
        <v>317</v>
      </c>
      <c r="B318" s="79" t="s">
        <v>2012</v>
      </c>
      <c r="C318" s="60" t="s">
        <v>590</v>
      </c>
      <c r="D318" s="93" t="s">
        <v>749</v>
      </c>
      <c r="E318" s="48" t="str">
        <f t="shared" si="0"/>
        <v>Baltimore</v>
      </c>
      <c r="F318" s="83" t="str">
        <f t="shared" si="1"/>
        <v>Mount St. Joseph (Baltimore),MD</v>
      </c>
      <c r="G318" s="60" t="s">
        <v>2013</v>
      </c>
      <c r="H318" s="60">
        <v>39.2802577</v>
      </c>
      <c r="I318" s="60">
        <v>-76.687543300000002</v>
      </c>
      <c r="J318" s="60" t="str">
        <f ca="1">IFERROR(__xludf.DUMMYFUNCTION("SPLIT(G318,"","")"),"4403 Frederick Ave")</f>
        <v>4403 Frederick Ave</v>
      </c>
      <c r="K318" s="2" t="str">
        <f ca="1">IFERROR(__xludf.DUMMYFUNCTION("""COMPUTED_VALUE""")," Baltimore")</f>
        <v xml:space="preserve"> Baltimore</v>
      </c>
      <c r="L318" s="2" t="str">
        <f ca="1">IFERROR(__xludf.DUMMYFUNCTION("""COMPUTED_VALUE""")," MD 21229")</f>
        <v xml:space="preserve"> MD 21229</v>
      </c>
      <c r="M318" s="2" t="str">
        <f ca="1">IFERROR(__xludf.DUMMYFUNCTION("""COMPUTED_VALUE""")," USA")</f>
        <v xml:space="preserve"> USA</v>
      </c>
    </row>
    <row r="319" spans="1:13">
      <c r="A319" s="65">
        <v>318</v>
      </c>
      <c r="B319" s="80" t="s">
        <v>2017</v>
      </c>
      <c r="C319" s="65" t="s">
        <v>1322</v>
      </c>
      <c r="D319" s="93" t="s">
        <v>2019</v>
      </c>
      <c r="E319" s="48" t="str">
        <f t="shared" si="0"/>
        <v>Loveland</v>
      </c>
      <c r="F319" s="83" t="str">
        <f t="shared" si="1"/>
        <v>Resurrection Christian (Loveland),CO</v>
      </c>
      <c r="G319" s="65" t="s">
        <v>2021</v>
      </c>
      <c r="H319" s="65">
        <v>40.435940299999999</v>
      </c>
      <c r="I319" s="65">
        <v>-104.9759727</v>
      </c>
      <c r="J319" s="60" t="str">
        <f ca="1">IFERROR(__xludf.DUMMYFUNCTION("SPLIT(G319,"","")"),"6508 Crossroads Blvd")</f>
        <v>6508 Crossroads Blvd</v>
      </c>
      <c r="K319" s="2" t="str">
        <f ca="1">IFERROR(__xludf.DUMMYFUNCTION("""COMPUTED_VALUE""")," Loveland")</f>
        <v xml:space="preserve"> Loveland</v>
      </c>
      <c r="L319" s="2" t="str">
        <f ca="1">IFERROR(__xludf.DUMMYFUNCTION("""COMPUTED_VALUE""")," CO 80538")</f>
        <v xml:space="preserve"> CO 80538</v>
      </c>
      <c r="M319" s="2" t="str">
        <f ca="1">IFERROR(__xludf.DUMMYFUNCTION("""COMPUTED_VALUE""")," USA")</f>
        <v xml:space="preserve"> USA</v>
      </c>
    </row>
    <row r="320" spans="1:13">
      <c r="A320" s="60">
        <v>319</v>
      </c>
      <c r="B320" s="79" t="s">
        <v>2024</v>
      </c>
      <c r="C320" s="60" t="s">
        <v>179</v>
      </c>
      <c r="D320" s="93" t="s">
        <v>2025</v>
      </c>
      <c r="E320" s="48" t="str">
        <f t="shared" si="0"/>
        <v>Raleigh</v>
      </c>
      <c r="F320" s="83" t="str">
        <f t="shared" si="1"/>
        <v>Millbrook (Raleigh),NC</v>
      </c>
      <c r="G320" s="60" t="s">
        <v>2028</v>
      </c>
      <c r="H320" s="60">
        <v>35.865662</v>
      </c>
      <c r="I320" s="60">
        <v>-78.603342400000002</v>
      </c>
      <c r="J320" s="60" t="str">
        <f ca="1">IFERROR(__xludf.DUMMYFUNCTION("SPLIT(G320,"","")"),"2201 Spring Forest Rd")</f>
        <v>2201 Spring Forest Rd</v>
      </c>
      <c r="K320" s="2" t="str">
        <f ca="1">IFERROR(__xludf.DUMMYFUNCTION("""COMPUTED_VALUE""")," Raleigh")</f>
        <v xml:space="preserve"> Raleigh</v>
      </c>
      <c r="L320" s="2" t="str">
        <f ca="1">IFERROR(__xludf.DUMMYFUNCTION("""COMPUTED_VALUE""")," NC 27615")</f>
        <v xml:space="preserve"> NC 27615</v>
      </c>
      <c r="M320" s="2" t="str">
        <f ca="1">IFERROR(__xludf.DUMMYFUNCTION("""COMPUTED_VALUE""")," USA")</f>
        <v xml:space="preserve"> USA</v>
      </c>
    </row>
    <row r="321" spans="1:13">
      <c r="A321" s="65">
        <v>320</v>
      </c>
      <c r="B321" s="80" t="s">
        <v>2030</v>
      </c>
      <c r="C321" s="65" t="s">
        <v>608</v>
      </c>
      <c r="D321" s="93" t="s">
        <v>2031</v>
      </c>
      <c r="E321" s="48" t="str">
        <f t="shared" si="0"/>
        <v>Apple Valley</v>
      </c>
      <c r="F321" s="83" t="str">
        <f t="shared" si="1"/>
        <v>Eastview (Apple Valley),MN</v>
      </c>
      <c r="G321" s="65" t="s">
        <v>2033</v>
      </c>
      <c r="H321" s="65">
        <v>44.744526099999987</v>
      </c>
      <c r="I321" s="65">
        <v>-93.19190789999999</v>
      </c>
      <c r="J321" s="60" t="str">
        <f ca="1">IFERROR(__xludf.DUMMYFUNCTION("SPLIT(G321,"","")"),"6200 140th St W")</f>
        <v>6200 140th St W</v>
      </c>
      <c r="K321" s="2" t="str">
        <f ca="1">IFERROR(__xludf.DUMMYFUNCTION("""COMPUTED_VALUE""")," Apple Valley")</f>
        <v xml:space="preserve"> Apple Valley</v>
      </c>
      <c r="L321" s="2" t="str">
        <f ca="1">IFERROR(__xludf.DUMMYFUNCTION("""COMPUTED_VALUE""")," MN 55124")</f>
        <v xml:space="preserve"> MN 55124</v>
      </c>
      <c r="M321" s="2" t="str">
        <f ca="1">IFERROR(__xludf.DUMMYFUNCTION("""COMPUTED_VALUE""")," USA")</f>
        <v xml:space="preserve"> USA</v>
      </c>
    </row>
    <row r="322" spans="1:13">
      <c r="A322" s="60">
        <v>321</v>
      </c>
      <c r="B322" s="79" t="s">
        <v>2037</v>
      </c>
      <c r="C322" s="60" t="s">
        <v>595</v>
      </c>
      <c r="D322" s="93" t="s">
        <v>2038</v>
      </c>
      <c r="E322" s="48" t="str">
        <f t="shared" si="0"/>
        <v>DeSoto</v>
      </c>
      <c r="F322" s="83" t="str">
        <f t="shared" si="1"/>
        <v>DeSoto,TX</v>
      </c>
      <c r="G322" s="60" t="s">
        <v>2041</v>
      </c>
      <c r="H322" s="60">
        <v>32.589699799999998</v>
      </c>
      <c r="I322" s="60">
        <v>-96.857073799999995</v>
      </c>
      <c r="J322" s="60" t="str">
        <f ca="1">IFERROR(__xludf.DUMMYFUNCTION("SPLIT(G322,"","")"),"108 W Belt Line Rd")</f>
        <v>108 W Belt Line Rd</v>
      </c>
      <c r="K322" s="2" t="str">
        <f ca="1">IFERROR(__xludf.DUMMYFUNCTION("""COMPUTED_VALUE""")," DeSoto")</f>
        <v xml:space="preserve"> DeSoto</v>
      </c>
      <c r="L322" s="2" t="str">
        <f ca="1">IFERROR(__xludf.DUMMYFUNCTION("""COMPUTED_VALUE""")," TX 75115")</f>
        <v xml:space="preserve"> TX 75115</v>
      </c>
      <c r="M322" s="2" t="str">
        <f ca="1">IFERROR(__xludf.DUMMYFUNCTION("""COMPUTED_VALUE""")," USA")</f>
        <v xml:space="preserve"> USA</v>
      </c>
    </row>
    <row r="323" spans="1:13">
      <c r="A323" s="65">
        <v>322</v>
      </c>
      <c r="B323" s="80" t="s">
        <v>2044</v>
      </c>
      <c r="C323" s="65" t="s">
        <v>595</v>
      </c>
      <c r="D323" s="93" t="s">
        <v>696</v>
      </c>
      <c r="E323" s="48" t="str">
        <f t="shared" si="0"/>
        <v>Richmond</v>
      </c>
      <c r="F323" s="83" t="str">
        <f t="shared" si="1"/>
        <v>Fort Bend Travis (Richmond),TX</v>
      </c>
      <c r="G323" s="65" t="s">
        <v>2047</v>
      </c>
      <c r="H323" s="65">
        <v>29.581833199999991</v>
      </c>
      <c r="I323" s="65">
        <v>-95.760917100000015</v>
      </c>
      <c r="J323" s="60" t="str">
        <f ca="1">IFERROR(__xludf.DUMMYFUNCTION("SPLIT(G323,"","")"),"301 Jackson St")</f>
        <v>301 Jackson St</v>
      </c>
      <c r="K323" s="2" t="str">
        <f ca="1">IFERROR(__xludf.DUMMYFUNCTION("""COMPUTED_VALUE""")," Richmond")</f>
        <v xml:space="preserve"> Richmond</v>
      </c>
      <c r="L323" s="2" t="str">
        <f ca="1">IFERROR(__xludf.DUMMYFUNCTION("""COMPUTED_VALUE""")," TX 77469")</f>
        <v xml:space="preserve"> TX 77469</v>
      </c>
      <c r="M323" s="2" t="str">
        <f ca="1">IFERROR(__xludf.DUMMYFUNCTION("""COMPUTED_VALUE""")," USA")</f>
        <v xml:space="preserve"> USA</v>
      </c>
    </row>
    <row r="324" spans="1:13">
      <c r="A324" s="60">
        <v>323</v>
      </c>
      <c r="B324" s="79" t="s">
        <v>2048</v>
      </c>
      <c r="C324" s="60" t="s">
        <v>693</v>
      </c>
      <c r="D324" s="93" t="s">
        <v>2049</v>
      </c>
      <c r="E324" s="48" t="str">
        <f t="shared" si="0"/>
        <v>Meridian</v>
      </c>
      <c r="F324" s="83" t="str">
        <f t="shared" si="1"/>
        <v>Meridian,MS</v>
      </c>
      <c r="G324" s="60" t="s">
        <v>2050</v>
      </c>
      <c r="H324" s="60">
        <v>32.364309800000001</v>
      </c>
      <c r="I324" s="60">
        <v>-88.703655999999995</v>
      </c>
      <c r="J324" s="60" t="str">
        <f ca="1">IFERROR(__xludf.DUMMYFUNCTION("SPLIT(G324,"","")"),"2502 7th St")</f>
        <v>2502 7th St</v>
      </c>
      <c r="K324" s="2" t="str">
        <f ca="1">IFERROR(__xludf.DUMMYFUNCTION("""COMPUTED_VALUE""")," Meridian")</f>
        <v xml:space="preserve"> Meridian</v>
      </c>
      <c r="L324" s="2" t="str">
        <f ca="1">IFERROR(__xludf.DUMMYFUNCTION("""COMPUTED_VALUE""")," MS 39301")</f>
        <v xml:space="preserve"> MS 39301</v>
      </c>
      <c r="M324" s="2" t="str">
        <f ca="1">IFERROR(__xludf.DUMMYFUNCTION("""COMPUTED_VALUE""")," USA")</f>
        <v xml:space="preserve"> USA</v>
      </c>
    </row>
    <row r="325" spans="1:13">
      <c r="A325" s="65">
        <v>324</v>
      </c>
      <c r="B325" s="80" t="s">
        <v>2051</v>
      </c>
      <c r="C325" s="65" t="s">
        <v>604</v>
      </c>
      <c r="D325" s="93" t="s">
        <v>2052</v>
      </c>
      <c r="E325" s="48" t="str">
        <f t="shared" si="0"/>
        <v>Joliet</v>
      </c>
      <c r="F325" s="83" t="str">
        <f t="shared" si="1"/>
        <v>Joliet West (Joliet),IL</v>
      </c>
      <c r="G325" s="65" t="s">
        <v>2053</v>
      </c>
      <c r="H325" s="65">
        <v>41.528398299999999</v>
      </c>
      <c r="I325" s="65">
        <v>-88.126545800000002</v>
      </c>
      <c r="J325" s="60" t="str">
        <f ca="1">IFERROR(__xludf.DUMMYFUNCTION("SPLIT(G325,"","")"),"39 N Larkin Ave")</f>
        <v>39 N Larkin Ave</v>
      </c>
      <c r="K325" s="2" t="str">
        <f ca="1">IFERROR(__xludf.DUMMYFUNCTION("""COMPUTED_VALUE""")," Joliet")</f>
        <v xml:space="preserve"> Joliet</v>
      </c>
      <c r="L325" s="2" t="str">
        <f ca="1">IFERROR(__xludf.DUMMYFUNCTION("""COMPUTED_VALUE""")," IL 60435")</f>
        <v xml:space="preserve"> IL 60435</v>
      </c>
      <c r="M325" s="2" t="str">
        <f ca="1">IFERROR(__xludf.DUMMYFUNCTION("""COMPUTED_VALUE""")," USA")</f>
        <v xml:space="preserve"> USA</v>
      </c>
    </row>
    <row r="326" spans="1:13">
      <c r="A326" s="97">
        <v>325</v>
      </c>
      <c r="B326" s="99" t="s">
        <v>2054</v>
      </c>
      <c r="C326" s="97" t="s">
        <v>595</v>
      </c>
      <c r="D326" s="93" t="s">
        <v>2055</v>
      </c>
      <c r="E326" s="48" t="str">
        <f t="shared" si="0"/>
        <v>Converse</v>
      </c>
      <c r="F326" s="83" t="str">
        <f t="shared" si="1"/>
        <v>Judson (Converse),TX</v>
      </c>
      <c r="G326" s="97" t="s">
        <v>2057</v>
      </c>
      <c r="H326" s="97">
        <v>29.509626099999998</v>
      </c>
      <c r="I326" s="97">
        <v>-98.3042248</v>
      </c>
      <c r="J326" s="60" t="str">
        <f ca="1">IFERROR(__xludf.DUMMYFUNCTION("SPLIT(G326,"","")"),"9142 FM78")</f>
        <v>9142 FM78</v>
      </c>
      <c r="K326" s="2" t="str">
        <f ca="1">IFERROR(__xludf.DUMMYFUNCTION("""COMPUTED_VALUE""")," Converse")</f>
        <v xml:space="preserve"> Converse</v>
      </c>
      <c r="L326" s="2" t="str">
        <f ca="1">IFERROR(__xludf.DUMMYFUNCTION("""COMPUTED_VALUE""")," TX 78109")</f>
        <v xml:space="preserve"> TX 78109</v>
      </c>
      <c r="M326" s="2" t="str">
        <f ca="1">IFERROR(__xludf.DUMMYFUNCTION("""COMPUTED_VALUE""")," USA")</f>
        <v xml:space="preserve"> USA</v>
      </c>
    </row>
    <row r="327" spans="1:13">
      <c r="A327" s="60">
        <v>326</v>
      </c>
      <c r="B327" s="79" t="s">
        <v>2059</v>
      </c>
      <c r="C327" s="60" t="s">
        <v>618</v>
      </c>
      <c r="D327" s="93" t="s">
        <v>2060</v>
      </c>
      <c r="E327" s="48" t="str">
        <f t="shared" si="0"/>
        <v>Culver</v>
      </c>
      <c r="F327" s="83" t="str">
        <f t="shared" si="1"/>
        <v>Culver Academies (Culver),IN</v>
      </c>
      <c r="G327" s="60" t="s">
        <v>2061</v>
      </c>
      <c r="H327" s="60">
        <v>41.223385</v>
      </c>
      <c r="I327" s="60">
        <v>-86.404487099999997</v>
      </c>
      <c r="J327" s="60" t="str">
        <f ca="1">IFERROR(__xludf.DUMMYFUNCTION("SPLIT(G327,"","")"),"North East Barrack")</f>
        <v>North East Barrack</v>
      </c>
      <c r="K327" s="2" t="str">
        <f ca="1">IFERROR(__xludf.DUMMYFUNCTION("""COMPUTED_VALUE""")," Culver")</f>
        <v xml:space="preserve"> Culver</v>
      </c>
      <c r="L327" s="2" t="str">
        <f ca="1">IFERROR(__xludf.DUMMYFUNCTION("""COMPUTED_VALUE""")," IN 46511")</f>
        <v xml:space="preserve"> IN 46511</v>
      </c>
      <c r="M327" s="2" t="str">
        <f ca="1">IFERROR(__xludf.DUMMYFUNCTION("""COMPUTED_VALUE""")," USA")</f>
        <v xml:space="preserve"> USA</v>
      </c>
    </row>
    <row r="328" spans="1:13">
      <c r="A328" s="65">
        <v>327</v>
      </c>
      <c r="B328" s="80" t="s">
        <v>2063</v>
      </c>
      <c r="C328" s="65" t="s">
        <v>608</v>
      </c>
      <c r="D328" s="93" t="s">
        <v>2064</v>
      </c>
      <c r="E328" s="48" t="str">
        <f t="shared" si="0"/>
        <v>Caledonia</v>
      </c>
      <c r="F328" s="83" t="str">
        <f t="shared" si="1"/>
        <v>Caledonia,MN</v>
      </c>
      <c r="G328" s="65" t="s">
        <v>2065</v>
      </c>
      <c r="H328" s="65">
        <v>43.6346913</v>
      </c>
      <c r="I328" s="65">
        <v>-91.496807599999997</v>
      </c>
      <c r="J328" s="60" t="str">
        <f ca="1">IFERROR(__xludf.DUMMYFUNCTION("SPLIT(G328,"","")"),"105 E Main St")</f>
        <v>105 E Main St</v>
      </c>
      <c r="K328" s="2" t="str">
        <f ca="1">IFERROR(__xludf.DUMMYFUNCTION("""COMPUTED_VALUE""")," Caledonia")</f>
        <v xml:space="preserve"> Caledonia</v>
      </c>
      <c r="L328" s="2" t="str">
        <f ca="1">IFERROR(__xludf.DUMMYFUNCTION("""COMPUTED_VALUE""")," MN 55921")</f>
        <v xml:space="preserve"> MN 55921</v>
      </c>
      <c r="M328" s="2" t="str">
        <f ca="1">IFERROR(__xludf.DUMMYFUNCTION("""COMPUTED_VALUE""")," USA")</f>
        <v xml:space="preserve"> USA</v>
      </c>
    </row>
    <row r="329" spans="1:13">
      <c r="A329" s="60">
        <v>328</v>
      </c>
      <c r="B329" s="79" t="s">
        <v>2069</v>
      </c>
      <c r="C329" s="60" t="s">
        <v>1039</v>
      </c>
      <c r="D329" s="93" t="s">
        <v>2070</v>
      </c>
      <c r="E329" s="48" t="str">
        <f t="shared" si="0"/>
        <v>Lynn</v>
      </c>
      <c r="F329" s="83" t="str">
        <f t="shared" si="1"/>
        <v>Lynn English (Lynn),MA</v>
      </c>
      <c r="G329" s="60" t="s">
        <v>2073</v>
      </c>
      <c r="H329" s="60">
        <v>42.476721099999999</v>
      </c>
      <c r="I329" s="60">
        <v>-70.943627300000003</v>
      </c>
      <c r="J329" s="60" t="str">
        <f ca="1">IFERROR(__xludf.DUMMYFUNCTION("SPLIT(G329,"","")"),"50 Goodridge St")</f>
        <v>50 Goodridge St</v>
      </c>
      <c r="K329" s="2" t="str">
        <f ca="1">IFERROR(__xludf.DUMMYFUNCTION("""COMPUTED_VALUE""")," Lynn")</f>
        <v xml:space="preserve"> Lynn</v>
      </c>
      <c r="L329" s="2" t="str">
        <f ca="1">IFERROR(__xludf.DUMMYFUNCTION("""COMPUTED_VALUE""")," MA 01902")</f>
        <v xml:space="preserve"> MA 01902</v>
      </c>
      <c r="M329" s="2" t="str">
        <f ca="1">IFERROR(__xludf.DUMMYFUNCTION("""COMPUTED_VALUE""")," USA")</f>
        <v xml:space="preserve"> USA</v>
      </c>
    </row>
    <row r="330" spans="1:13">
      <c r="A330" s="65">
        <v>329</v>
      </c>
      <c r="B330" s="80" t="s">
        <v>2076</v>
      </c>
      <c r="C330" s="65" t="s">
        <v>593</v>
      </c>
      <c r="D330" s="93" t="s">
        <v>2077</v>
      </c>
      <c r="E330" s="48" t="str">
        <f t="shared" si="0"/>
        <v>Spring Valley</v>
      </c>
      <c r="F330" s="83" t="str">
        <f t="shared" si="1"/>
        <v>Durango (Las Vegas),NV</v>
      </c>
      <c r="G330" s="65" t="s">
        <v>2080</v>
      </c>
      <c r="H330" s="65">
        <v>36.086072000000001</v>
      </c>
      <c r="I330" s="65">
        <v>-115.2791414</v>
      </c>
      <c r="J330" s="60" t="str">
        <f ca="1">IFERROR(__xludf.DUMMYFUNCTION("SPLIT(G330,"","")"),"NB Durango after Russell")</f>
        <v>NB Durango after Russell</v>
      </c>
      <c r="K330" s="2" t="str">
        <f ca="1">IFERROR(__xludf.DUMMYFUNCTION("""COMPUTED_VALUE""")," Spring Valley")</f>
        <v xml:space="preserve"> Spring Valley</v>
      </c>
      <c r="L330" s="2" t="str">
        <f ca="1">IFERROR(__xludf.DUMMYFUNCTION("""COMPUTED_VALUE""")," NV 89113")</f>
        <v xml:space="preserve"> NV 89113</v>
      </c>
      <c r="M330" s="2" t="str">
        <f ca="1">IFERROR(__xludf.DUMMYFUNCTION("""COMPUTED_VALUE""")," USA")</f>
        <v xml:space="preserve"> USA</v>
      </c>
    </row>
    <row r="331" spans="1:13">
      <c r="A331" s="60">
        <v>330</v>
      </c>
      <c r="B331" s="79" t="s">
        <v>2083</v>
      </c>
      <c r="C331" s="60" t="s">
        <v>588</v>
      </c>
      <c r="D331" s="93" t="s">
        <v>2084</v>
      </c>
      <c r="E331" s="48" t="str">
        <f t="shared" si="0"/>
        <v>Indio</v>
      </c>
      <c r="F331" s="83" t="str">
        <f t="shared" si="1"/>
        <v>Shadow Hills (Indio),CA</v>
      </c>
      <c r="G331" s="60" t="s">
        <v>2086</v>
      </c>
      <c r="H331" s="60">
        <v>33.750709700000002</v>
      </c>
      <c r="I331" s="60">
        <v>-116.2126627</v>
      </c>
      <c r="J331" s="60" t="str">
        <f ca="1">IFERROR(__xludf.DUMMYFUNCTION("SPLIT(G331,"","")"),"83205 Shadow Hills Way")</f>
        <v>83205 Shadow Hills Way</v>
      </c>
      <c r="K331" s="2" t="str">
        <f ca="1">IFERROR(__xludf.DUMMYFUNCTION("""COMPUTED_VALUE""")," Indio")</f>
        <v xml:space="preserve"> Indio</v>
      </c>
      <c r="L331" s="2" t="str">
        <f ca="1">IFERROR(__xludf.DUMMYFUNCTION("""COMPUTED_VALUE""")," CA 92203")</f>
        <v xml:space="preserve"> CA 92203</v>
      </c>
      <c r="M331" s="2" t="str">
        <f ca="1">IFERROR(__xludf.DUMMYFUNCTION("""COMPUTED_VALUE""")," USA")</f>
        <v xml:space="preserve"> USA</v>
      </c>
    </row>
    <row r="332" spans="1:13">
      <c r="A332" s="65">
        <v>331</v>
      </c>
      <c r="B332" s="80" t="s">
        <v>2090</v>
      </c>
      <c r="C332" s="65" t="s">
        <v>136</v>
      </c>
      <c r="D332" s="93" t="s">
        <v>1103</v>
      </c>
      <c r="E332" s="48" t="str">
        <f t="shared" si="0"/>
        <v>Jacksonville</v>
      </c>
      <c r="F332" s="83" t="str">
        <f t="shared" si="1"/>
        <v>Lee (Jacksonville),FL</v>
      </c>
      <c r="G332" s="65" t="s">
        <v>2091</v>
      </c>
      <c r="H332" s="65">
        <v>30.306966899999999</v>
      </c>
      <c r="I332" s="65">
        <v>-81.70394379999999</v>
      </c>
      <c r="J332" s="60" t="str">
        <f ca="1">IFERROR(__xludf.DUMMYFUNCTION("SPLIT(G332,"","")"),"1200 McDuff Ave S")</f>
        <v>1200 McDuff Ave S</v>
      </c>
      <c r="K332" s="2" t="str">
        <f ca="1">IFERROR(__xludf.DUMMYFUNCTION("""COMPUTED_VALUE""")," Jacksonville")</f>
        <v xml:space="preserve"> Jacksonville</v>
      </c>
      <c r="L332" s="2" t="str">
        <f ca="1">IFERROR(__xludf.DUMMYFUNCTION("""COMPUTED_VALUE""")," FL 32205")</f>
        <v xml:space="preserve"> FL 32205</v>
      </c>
      <c r="M332" s="2" t="str">
        <f ca="1">IFERROR(__xludf.DUMMYFUNCTION("""COMPUTED_VALUE""")," USA")</f>
        <v xml:space="preserve"> USA</v>
      </c>
    </row>
    <row r="333" spans="1:13">
      <c r="A333" s="60">
        <v>332</v>
      </c>
      <c r="B333" s="79" t="s">
        <v>2096</v>
      </c>
      <c r="C333" s="60" t="s">
        <v>646</v>
      </c>
      <c r="D333" s="93" t="s">
        <v>2097</v>
      </c>
      <c r="E333" s="48" t="str">
        <f t="shared" si="0"/>
        <v>Fort Benton</v>
      </c>
      <c r="F333" s="83" t="str">
        <f t="shared" si="1"/>
        <v>Fort Benton,MT</v>
      </c>
      <c r="G333" s="60" t="s">
        <v>2100</v>
      </c>
      <c r="H333" s="60">
        <v>47.834414299999999</v>
      </c>
      <c r="I333" s="60">
        <v>-110.65826989999999</v>
      </c>
      <c r="J333" s="60" t="str">
        <f ca="1">IFERROR(__xludf.DUMMYFUNCTION("SPLIT(G333,"","")"),"1735 State Hwy 387")</f>
        <v>1735 State Hwy 387</v>
      </c>
      <c r="K333" s="2" t="str">
        <f ca="1">IFERROR(__xludf.DUMMYFUNCTION("""COMPUTED_VALUE""")," Fort Benton")</f>
        <v xml:space="preserve"> Fort Benton</v>
      </c>
      <c r="L333" s="2" t="str">
        <f ca="1">IFERROR(__xludf.DUMMYFUNCTION("""COMPUTED_VALUE""")," MT 59442")</f>
        <v xml:space="preserve"> MT 59442</v>
      </c>
      <c r="M333" s="2" t="str">
        <f ca="1">IFERROR(__xludf.DUMMYFUNCTION("""COMPUTED_VALUE""")," USA")</f>
        <v xml:space="preserve"> USA</v>
      </c>
    </row>
    <row r="334" spans="1:13">
      <c r="A334" s="65">
        <v>333</v>
      </c>
      <c r="B334" s="80" t="s">
        <v>2102</v>
      </c>
      <c r="C334" s="65" t="s">
        <v>975</v>
      </c>
      <c r="D334" s="93" t="s">
        <v>2103</v>
      </c>
      <c r="E334" s="48" t="str">
        <f t="shared" si="0"/>
        <v>Santa Fe</v>
      </c>
      <c r="F334" s="83" t="str">
        <f t="shared" si="1"/>
        <v>Capital (Santa Fe),NM</v>
      </c>
      <c r="G334" s="65" t="s">
        <v>2104</v>
      </c>
      <c r="H334" s="65">
        <v>35.623198199999997</v>
      </c>
      <c r="I334" s="65">
        <v>-106.0421111</v>
      </c>
      <c r="J334" s="60" t="str">
        <f ca="1">IFERROR(__xludf.DUMMYFUNCTION("SPLIT(G334,"","")"),"4851 Paseo del Sol")</f>
        <v>4851 Paseo del Sol</v>
      </c>
      <c r="K334" s="2" t="str">
        <f ca="1">IFERROR(__xludf.DUMMYFUNCTION("""COMPUTED_VALUE""")," Santa Fe")</f>
        <v xml:space="preserve"> Santa Fe</v>
      </c>
      <c r="L334" s="2" t="str">
        <f ca="1">IFERROR(__xludf.DUMMYFUNCTION("""COMPUTED_VALUE""")," NM 87507")</f>
        <v xml:space="preserve"> NM 87507</v>
      </c>
      <c r="M334" s="2" t="str">
        <f ca="1">IFERROR(__xludf.DUMMYFUNCTION("""COMPUTED_VALUE""")," USA")</f>
        <v xml:space="preserve"> USA</v>
      </c>
    </row>
    <row r="335" spans="1:13">
      <c r="A335" s="60">
        <v>334</v>
      </c>
      <c r="B335" s="79" t="s">
        <v>2108</v>
      </c>
      <c r="C335" s="60" t="s">
        <v>897</v>
      </c>
      <c r="D335" s="93" t="s">
        <v>2109</v>
      </c>
      <c r="E335" s="48" t="str">
        <f t="shared" si="0"/>
        <v>Raytown</v>
      </c>
      <c r="F335" s="83" t="str">
        <f t="shared" si="1"/>
        <v>Raytown South (Raytown),MO</v>
      </c>
      <c r="G335" s="60" t="s">
        <v>2112</v>
      </c>
      <c r="H335" s="60">
        <v>38.973631099999999</v>
      </c>
      <c r="I335" s="60">
        <v>-94.449244399999998</v>
      </c>
      <c r="J335" s="60" t="str">
        <f ca="1">IFERROR(__xludf.DUMMYFUNCTION("SPLIT(G335,"","")"),"8211 Sterling Ave")</f>
        <v>8211 Sterling Ave</v>
      </c>
      <c r="K335" s="2" t="str">
        <f ca="1">IFERROR(__xludf.DUMMYFUNCTION("""COMPUTED_VALUE""")," Raytown")</f>
        <v xml:space="preserve"> Raytown</v>
      </c>
      <c r="L335" s="2" t="str">
        <f ca="1">IFERROR(__xludf.DUMMYFUNCTION("""COMPUTED_VALUE""")," MO 64138")</f>
        <v xml:space="preserve"> MO 64138</v>
      </c>
      <c r="M335" s="2" t="str">
        <f ca="1">IFERROR(__xludf.DUMMYFUNCTION("""COMPUTED_VALUE""")," USA")</f>
        <v xml:space="preserve"> USA</v>
      </c>
    </row>
    <row r="336" spans="1:13">
      <c r="A336" s="65">
        <v>335</v>
      </c>
      <c r="B336" s="80" t="s">
        <v>2115</v>
      </c>
      <c r="C336" s="65" t="s">
        <v>604</v>
      </c>
      <c r="D336" s="93" t="s">
        <v>2116</v>
      </c>
      <c r="E336" s="48" t="str">
        <f t="shared" si="0"/>
        <v>Wilmette</v>
      </c>
      <c r="F336" s="83" t="str">
        <f t="shared" si="1"/>
        <v>Loyola Academy (Wilmette),IL</v>
      </c>
      <c r="G336" s="65" t="s">
        <v>2119</v>
      </c>
      <c r="H336" s="65">
        <v>42.083548299999997</v>
      </c>
      <c r="I336" s="65">
        <v>-87.760186099999999</v>
      </c>
      <c r="J336" s="60" t="str">
        <f ca="1">IFERROR(__xludf.DUMMYFUNCTION("SPLIT(G336,"","")"),"1100 Laramie Ave")</f>
        <v>1100 Laramie Ave</v>
      </c>
      <c r="K336" s="2" t="str">
        <f ca="1">IFERROR(__xludf.DUMMYFUNCTION("""COMPUTED_VALUE""")," Wilmette")</f>
        <v xml:space="preserve"> Wilmette</v>
      </c>
      <c r="L336" s="2" t="str">
        <f ca="1">IFERROR(__xludf.DUMMYFUNCTION("""COMPUTED_VALUE""")," IL 60091")</f>
        <v xml:space="preserve"> IL 60091</v>
      </c>
      <c r="M336" s="2" t="str">
        <f ca="1">IFERROR(__xludf.DUMMYFUNCTION("""COMPUTED_VALUE""")," USA")</f>
        <v xml:space="preserve"> USA</v>
      </c>
    </row>
    <row r="337" spans="1:13">
      <c r="A337" s="60">
        <v>336</v>
      </c>
      <c r="B337" s="79" t="s">
        <v>2125</v>
      </c>
      <c r="C337" s="60" t="s">
        <v>595</v>
      </c>
      <c r="D337" s="93" t="s">
        <v>2126</v>
      </c>
      <c r="E337" s="48" t="str">
        <f t="shared" si="0"/>
        <v>Flower Mound</v>
      </c>
      <c r="F337" s="83" t="str">
        <f t="shared" si="1"/>
        <v>Flower Mound,TX</v>
      </c>
      <c r="G337" s="60" t="s">
        <v>2127</v>
      </c>
      <c r="H337" s="60">
        <v>33.014567300000003</v>
      </c>
      <c r="I337" s="60">
        <v>-97.096955199999996</v>
      </c>
      <c r="J337" s="60" t="str">
        <f ca="1">IFERROR(__xludf.DUMMYFUNCTION("SPLIT(G337,"","")"),"2200 Whispering Oaks")</f>
        <v>2200 Whispering Oaks</v>
      </c>
      <c r="K337" s="2" t="str">
        <f ca="1">IFERROR(__xludf.DUMMYFUNCTION("""COMPUTED_VALUE""")," Flower Mound")</f>
        <v xml:space="preserve"> Flower Mound</v>
      </c>
      <c r="L337" s="2" t="str">
        <f ca="1">IFERROR(__xludf.DUMMYFUNCTION("""COMPUTED_VALUE""")," TX 75022")</f>
        <v xml:space="preserve"> TX 75022</v>
      </c>
      <c r="M337" s="2" t="str">
        <f ca="1">IFERROR(__xludf.DUMMYFUNCTION("""COMPUTED_VALUE""")," USA")</f>
        <v xml:space="preserve"> USA</v>
      </c>
    </row>
    <row r="338" spans="1:13">
      <c r="A338" s="65">
        <v>337</v>
      </c>
      <c r="B338" s="80" t="s">
        <v>2132</v>
      </c>
      <c r="C338" s="65" t="s">
        <v>588</v>
      </c>
      <c r="D338" s="93" t="s">
        <v>2133</v>
      </c>
      <c r="E338" s="48" t="str">
        <f t="shared" si="0"/>
        <v>Albany</v>
      </c>
      <c r="F338" s="83" t="str">
        <f t="shared" si="1"/>
        <v>Saint Mary's (Albany),CA</v>
      </c>
      <c r="G338" s="65" t="s">
        <v>2135</v>
      </c>
      <c r="H338" s="65">
        <v>37.882908700000009</v>
      </c>
      <c r="I338" s="65">
        <v>-122.2835893</v>
      </c>
      <c r="J338" s="60" t="str">
        <f ca="1">IFERROR(__xludf.DUMMYFUNCTION("SPLIT(G338,"","")"),"1294 Albina Ave")</f>
        <v>1294 Albina Ave</v>
      </c>
      <c r="K338" s="2" t="str">
        <f ca="1">IFERROR(__xludf.DUMMYFUNCTION("""COMPUTED_VALUE""")," Albany")</f>
        <v xml:space="preserve"> Albany</v>
      </c>
      <c r="L338" s="2" t="str">
        <f ca="1">IFERROR(__xludf.DUMMYFUNCTION("""COMPUTED_VALUE""")," CA 94706")</f>
        <v xml:space="preserve"> CA 94706</v>
      </c>
      <c r="M338" s="2" t="str">
        <f ca="1">IFERROR(__xludf.DUMMYFUNCTION("""COMPUTED_VALUE""")," USA")</f>
        <v xml:space="preserve"> USA</v>
      </c>
    </row>
    <row r="339" spans="1:13">
      <c r="A339" s="60">
        <v>338</v>
      </c>
      <c r="B339" s="79" t="s">
        <v>2141</v>
      </c>
      <c r="C339" s="60" t="s">
        <v>618</v>
      </c>
      <c r="D339" s="93" t="s">
        <v>2142</v>
      </c>
      <c r="E339" s="48" t="str">
        <f t="shared" si="0"/>
        <v>Noblesville</v>
      </c>
      <c r="F339" s="83" t="str">
        <f t="shared" si="1"/>
        <v>Hamilton Southeastern (Fishers),IN</v>
      </c>
      <c r="G339" s="60" t="s">
        <v>2145</v>
      </c>
      <c r="H339" s="60">
        <v>40.011848299999997</v>
      </c>
      <c r="I339" s="60">
        <v>-85.910008899999994</v>
      </c>
      <c r="J339" s="60" t="str">
        <f ca="1">IFERROR(__xludf.DUMMYFUNCTION("SPLIT(G339,"","")"),"14385 E 156th St")</f>
        <v>14385 E 156th St</v>
      </c>
      <c r="K339" s="2" t="str">
        <f ca="1">IFERROR(__xludf.DUMMYFUNCTION("""COMPUTED_VALUE""")," Noblesville")</f>
        <v xml:space="preserve"> Noblesville</v>
      </c>
      <c r="L339" s="2" t="str">
        <f ca="1">IFERROR(__xludf.DUMMYFUNCTION("""COMPUTED_VALUE""")," IN 46060")</f>
        <v xml:space="preserve"> IN 46060</v>
      </c>
      <c r="M339" s="2" t="str">
        <f ca="1">IFERROR(__xludf.DUMMYFUNCTION("""COMPUTED_VALUE""")," USA")</f>
        <v xml:space="preserve"> USA</v>
      </c>
    </row>
    <row r="340" spans="1:13">
      <c r="A340" s="65">
        <v>339</v>
      </c>
      <c r="B340" s="80" t="s">
        <v>2149</v>
      </c>
      <c r="C340" s="65" t="s">
        <v>1039</v>
      </c>
      <c r="D340" s="93" t="s">
        <v>2151</v>
      </c>
      <c r="E340" s="48" t="str">
        <f t="shared" si="0"/>
        <v>Pittsfield</v>
      </c>
      <c r="F340" s="83" t="str">
        <f t="shared" si="1"/>
        <v>Taconic (Pittsfield),MA</v>
      </c>
      <c r="G340" s="65" t="s">
        <v>2152</v>
      </c>
      <c r="H340" s="65">
        <v>42.4596108</v>
      </c>
      <c r="I340" s="65">
        <v>-73.273606999999998</v>
      </c>
      <c r="J340" s="60" t="str">
        <f ca="1">IFERROR(__xludf.DUMMYFUNCTION("SPLIT(G340,"","")"),"96 Valentine Rd")</f>
        <v>96 Valentine Rd</v>
      </c>
      <c r="K340" s="2" t="str">
        <f ca="1">IFERROR(__xludf.DUMMYFUNCTION("""COMPUTED_VALUE""")," Pittsfield")</f>
        <v xml:space="preserve"> Pittsfield</v>
      </c>
      <c r="L340" s="2" t="str">
        <f ca="1">IFERROR(__xludf.DUMMYFUNCTION("""COMPUTED_VALUE""")," MA 01201")</f>
        <v xml:space="preserve"> MA 01201</v>
      </c>
      <c r="M340" s="2" t="str">
        <f ca="1">IFERROR(__xludf.DUMMYFUNCTION("""COMPUTED_VALUE""")," USA")</f>
        <v xml:space="preserve"> USA</v>
      </c>
    </row>
    <row r="341" spans="1:13">
      <c r="A341" s="60">
        <v>340</v>
      </c>
      <c r="B341" s="79" t="s">
        <v>2155</v>
      </c>
      <c r="C341" s="60" t="s">
        <v>770</v>
      </c>
      <c r="D341" s="93" t="s">
        <v>2158</v>
      </c>
      <c r="E341" s="48" t="str">
        <f t="shared" si="0"/>
        <v>Mt. Juliet</v>
      </c>
      <c r="F341" s="83" t="str">
        <f t="shared" si="1"/>
        <v>Mount Juliet (Mt. Juliet),TN</v>
      </c>
      <c r="G341" s="60" t="s">
        <v>2159</v>
      </c>
      <c r="H341" s="60">
        <v>36.200054999999999</v>
      </c>
      <c r="I341" s="60">
        <v>-86.518605399999998</v>
      </c>
      <c r="J341" s="60" t="str">
        <f ca="1">IFERROR(__xludf.DUMMYFUNCTION("SPLIT(G341,"","")"),"2185 N Mt Juliet Rd")</f>
        <v>2185 N Mt Juliet Rd</v>
      </c>
      <c r="K341" s="2" t="str">
        <f ca="1">IFERROR(__xludf.DUMMYFUNCTION("""COMPUTED_VALUE""")," Mt. Juliet")</f>
        <v xml:space="preserve"> Mt. Juliet</v>
      </c>
      <c r="L341" s="2" t="str">
        <f ca="1">IFERROR(__xludf.DUMMYFUNCTION("""COMPUTED_VALUE""")," TN 37122")</f>
        <v xml:space="preserve"> TN 37122</v>
      </c>
      <c r="M341" s="2" t="str">
        <f ca="1">IFERROR(__xludf.DUMMYFUNCTION("""COMPUTED_VALUE""")," USA")</f>
        <v xml:space="preserve"> USA</v>
      </c>
    </row>
    <row r="342" spans="1:13">
      <c r="A342" s="65">
        <v>341</v>
      </c>
      <c r="B342" s="80" t="s">
        <v>2163</v>
      </c>
      <c r="C342" s="65" t="s">
        <v>608</v>
      </c>
      <c r="D342" s="93" t="s">
        <v>2165</v>
      </c>
      <c r="E342" s="48" t="str">
        <f t="shared" si="0"/>
        <v>Shakopee</v>
      </c>
      <c r="F342" s="83" t="str">
        <f t="shared" si="1"/>
        <v>Shakopee,MN</v>
      </c>
      <c r="G342" s="65" t="s">
        <v>2167</v>
      </c>
      <c r="H342" s="65">
        <v>44.797396200000001</v>
      </c>
      <c r="I342" s="65">
        <v>-93.527286099999998</v>
      </c>
      <c r="J342" s="60" t="str">
        <f ca="1">IFERROR(__xludf.DUMMYFUNCTION("SPLIT(G342,"","")"),"128 2nd Ave W")</f>
        <v>128 2nd Ave W</v>
      </c>
      <c r="K342" s="2" t="str">
        <f ca="1">IFERROR(__xludf.DUMMYFUNCTION("""COMPUTED_VALUE""")," Shakopee")</f>
        <v xml:space="preserve"> Shakopee</v>
      </c>
      <c r="L342" s="2" t="str">
        <f ca="1">IFERROR(__xludf.DUMMYFUNCTION("""COMPUTED_VALUE""")," MN 55379")</f>
        <v xml:space="preserve"> MN 55379</v>
      </c>
      <c r="M342" s="2" t="str">
        <f ca="1">IFERROR(__xludf.DUMMYFUNCTION("""COMPUTED_VALUE""")," USA")</f>
        <v xml:space="preserve"> USA</v>
      </c>
    </row>
    <row r="343" spans="1:13">
      <c r="A343" s="60">
        <v>342</v>
      </c>
      <c r="B343" s="79" t="s">
        <v>2170</v>
      </c>
      <c r="C343" s="60" t="s">
        <v>136</v>
      </c>
      <c r="D343" s="93" t="s">
        <v>2171</v>
      </c>
      <c r="E343" s="48" t="str">
        <f t="shared" si="0"/>
        <v>Oak Ridge</v>
      </c>
      <c r="F343" s="83" t="str">
        <f t="shared" si="1"/>
        <v>Oak Ridge (Orlando),FL</v>
      </c>
      <c r="G343" s="60" t="s">
        <v>2174</v>
      </c>
      <c r="H343" s="60">
        <v>28.472286499999999</v>
      </c>
      <c r="I343" s="60">
        <v>-81.41577749999999</v>
      </c>
      <c r="J343" s="60" t="str">
        <f ca="1">IFERROR(__xludf.DUMMYFUNCTION("SPLIT(G343,"","")"),"W Oak Ridge Road and Oak Hill Manor Drive")</f>
        <v>W Oak Ridge Road and Oak Hill Manor Drive</v>
      </c>
      <c r="K343" s="2" t="str">
        <f ca="1">IFERROR(__xludf.DUMMYFUNCTION("""COMPUTED_VALUE""")," Oak Ridge")</f>
        <v xml:space="preserve"> Oak Ridge</v>
      </c>
      <c r="L343" s="2" t="str">
        <f ca="1">IFERROR(__xludf.DUMMYFUNCTION("""COMPUTED_VALUE""")," FL 32809")</f>
        <v xml:space="preserve"> FL 32809</v>
      </c>
      <c r="M343" s="2" t="str">
        <f ca="1">IFERROR(__xludf.DUMMYFUNCTION("""COMPUTED_VALUE""")," USA")</f>
        <v xml:space="preserve"> USA</v>
      </c>
    </row>
    <row r="344" spans="1:13">
      <c r="A344" s="65">
        <v>343</v>
      </c>
      <c r="B344" s="80" t="s">
        <v>2179</v>
      </c>
      <c r="C344" s="65" t="s">
        <v>604</v>
      </c>
      <c r="D344" s="93" t="s">
        <v>2180</v>
      </c>
      <c r="E344" s="48" t="str">
        <f t="shared" si="0"/>
        <v>Glenview</v>
      </c>
      <c r="F344" s="83" t="str">
        <f t="shared" si="1"/>
        <v>Glenbrook South (Glenview),IL</v>
      </c>
      <c r="G344" s="65" t="s">
        <v>2182</v>
      </c>
      <c r="H344" s="65">
        <v>42.089458399999998</v>
      </c>
      <c r="I344" s="65">
        <v>-87.853001899999995</v>
      </c>
      <c r="J344" s="60" t="str">
        <f ca="1">IFERROR(__xludf.DUMMYFUNCTION("SPLIT(G344,"","")"),"4000 W Lake Ave")</f>
        <v>4000 W Lake Ave</v>
      </c>
      <c r="K344" s="2" t="str">
        <f ca="1">IFERROR(__xludf.DUMMYFUNCTION("""COMPUTED_VALUE""")," Glenview")</f>
        <v xml:space="preserve"> Glenview</v>
      </c>
      <c r="L344" s="2" t="str">
        <f ca="1">IFERROR(__xludf.DUMMYFUNCTION("""COMPUTED_VALUE""")," IL 60026")</f>
        <v xml:space="preserve"> IL 60026</v>
      </c>
      <c r="M344" s="2" t="str">
        <f ca="1">IFERROR(__xludf.DUMMYFUNCTION("""COMPUTED_VALUE""")," USA")</f>
        <v xml:space="preserve"> USA</v>
      </c>
    </row>
    <row r="345" spans="1:13">
      <c r="A345" s="60">
        <v>344</v>
      </c>
      <c r="B345" s="79" t="s">
        <v>2185</v>
      </c>
      <c r="C345" s="60" t="s">
        <v>595</v>
      </c>
      <c r="D345" s="93" t="s">
        <v>2186</v>
      </c>
      <c r="E345" s="48" t="str">
        <f t="shared" si="0"/>
        <v>Mesquite</v>
      </c>
      <c r="F345" s="83" t="str">
        <f t="shared" si="1"/>
        <v>Horn (Mesquite),TX</v>
      </c>
      <c r="G345" s="60" t="s">
        <v>2188</v>
      </c>
      <c r="H345" s="60">
        <v>32.731260499999998</v>
      </c>
      <c r="I345" s="60">
        <v>-96.557308700000007</v>
      </c>
      <c r="J345" s="60" t="str">
        <f ca="1">IFERROR(__xludf.DUMMYFUNCTION("SPLIT(G345,"","")"),"3300 E Cartwright Rd")</f>
        <v>3300 E Cartwright Rd</v>
      </c>
      <c r="K345" s="2" t="str">
        <f ca="1">IFERROR(__xludf.DUMMYFUNCTION("""COMPUTED_VALUE""")," Mesquite")</f>
        <v xml:space="preserve"> Mesquite</v>
      </c>
      <c r="L345" s="2" t="str">
        <f ca="1">IFERROR(__xludf.DUMMYFUNCTION("""COMPUTED_VALUE""")," TX 75181")</f>
        <v xml:space="preserve"> TX 75181</v>
      </c>
      <c r="M345" s="2" t="str">
        <f ca="1">IFERROR(__xludf.DUMMYFUNCTION("""COMPUTED_VALUE""")," USA")</f>
        <v xml:space="preserve"> USA</v>
      </c>
    </row>
    <row r="346" spans="1:13">
      <c r="A346" s="65">
        <v>345</v>
      </c>
      <c r="B346" s="80" t="s">
        <v>2193</v>
      </c>
      <c r="C346" s="65" t="s">
        <v>191</v>
      </c>
      <c r="D346" s="93" t="s">
        <v>2194</v>
      </c>
      <c r="E346" s="48" t="str">
        <f t="shared" si="0"/>
        <v>Grand Rapids</v>
      </c>
      <c r="F346" s="83" t="str">
        <f t="shared" si="1"/>
        <v>Christian (Grand Rapids),MI</v>
      </c>
      <c r="G346" s="65" t="s">
        <v>2195</v>
      </c>
      <c r="H346" s="65">
        <v>42.921316999999988</v>
      </c>
      <c r="I346" s="65">
        <v>-85.62226299999999</v>
      </c>
      <c r="J346" s="60" t="str">
        <f ca="1">IFERROR(__xludf.DUMMYFUNCTION("SPLIT(G346,"","")"),"2300 Plymouth Ave SE")</f>
        <v>2300 Plymouth Ave SE</v>
      </c>
      <c r="K346" s="2" t="str">
        <f ca="1">IFERROR(__xludf.DUMMYFUNCTION("""COMPUTED_VALUE""")," Grand Rapids")</f>
        <v xml:space="preserve"> Grand Rapids</v>
      </c>
      <c r="L346" s="2" t="str">
        <f ca="1">IFERROR(__xludf.DUMMYFUNCTION("""COMPUTED_VALUE""")," MI 49506")</f>
        <v xml:space="preserve"> MI 49506</v>
      </c>
      <c r="M346" s="2" t="str">
        <f ca="1">IFERROR(__xludf.DUMMYFUNCTION("""COMPUTED_VALUE""")," USA")</f>
        <v xml:space="preserve"> USA</v>
      </c>
    </row>
    <row r="347" spans="1:13">
      <c r="A347" s="60">
        <v>346</v>
      </c>
      <c r="B347" s="79" t="s">
        <v>2199</v>
      </c>
      <c r="C347" s="60" t="s">
        <v>595</v>
      </c>
      <c r="D347" s="93" t="s">
        <v>2200</v>
      </c>
      <c r="E347" s="48" t="str">
        <f t="shared" si="0"/>
        <v>Carrollton</v>
      </c>
      <c r="F347" s="83" t="str">
        <f t="shared" si="1"/>
        <v>Newman Smith (Carrollton),TX</v>
      </c>
      <c r="G347" s="60" t="s">
        <v>2201</v>
      </c>
      <c r="H347" s="60">
        <v>32.9791338</v>
      </c>
      <c r="I347" s="60">
        <v>-96.892229399999991</v>
      </c>
      <c r="J347" s="60" t="str">
        <f ca="1">IFERROR(__xludf.DUMMYFUNCTION("SPLIT(G347,"","")"),"2335 N Josey Ln")</f>
        <v>2335 N Josey Ln</v>
      </c>
      <c r="K347" s="2" t="str">
        <f ca="1">IFERROR(__xludf.DUMMYFUNCTION("""COMPUTED_VALUE""")," Carrollton")</f>
        <v xml:space="preserve"> Carrollton</v>
      </c>
      <c r="L347" s="2" t="str">
        <f ca="1">IFERROR(__xludf.DUMMYFUNCTION("""COMPUTED_VALUE""")," TX 75006")</f>
        <v xml:space="preserve"> TX 75006</v>
      </c>
      <c r="M347" s="2" t="str">
        <f ca="1">IFERROR(__xludf.DUMMYFUNCTION("""COMPUTED_VALUE""")," USA")</f>
        <v xml:space="preserve"> USA</v>
      </c>
    </row>
    <row r="348" spans="1:13">
      <c r="A348" s="65">
        <v>347</v>
      </c>
      <c r="B348" s="80" t="s">
        <v>2205</v>
      </c>
      <c r="C348" s="65" t="s">
        <v>602</v>
      </c>
      <c r="D348" s="93" t="s">
        <v>2206</v>
      </c>
      <c r="E348" s="48" t="str">
        <f t="shared" si="0"/>
        <v>Cave Spring</v>
      </c>
      <c r="F348" s="83" t="str">
        <f t="shared" si="1"/>
        <v>Cave Spring (Roanoke),VA</v>
      </c>
      <c r="G348" s="65" t="s">
        <v>2208</v>
      </c>
      <c r="H348" s="65">
        <v>37.2276369</v>
      </c>
      <c r="I348" s="65">
        <v>-80.012815799999998</v>
      </c>
      <c r="J348" s="60" t="str">
        <f ca="1">IFERROR(__xludf.DUMMYFUNCTION("SPLIT(G348,"","")"),"4410 Old Cave Spring Rd")</f>
        <v>4410 Old Cave Spring Rd</v>
      </c>
      <c r="K348" s="2" t="str">
        <f ca="1">IFERROR(__xludf.DUMMYFUNCTION("""COMPUTED_VALUE""")," Cave Spring")</f>
        <v xml:space="preserve"> Cave Spring</v>
      </c>
      <c r="L348" s="2" t="str">
        <f ca="1">IFERROR(__xludf.DUMMYFUNCTION("""COMPUTED_VALUE""")," VA 24018")</f>
        <v xml:space="preserve"> VA 24018</v>
      </c>
      <c r="M348" s="2" t="str">
        <f ca="1">IFERROR(__xludf.DUMMYFUNCTION("""COMPUTED_VALUE""")," USA")</f>
        <v xml:space="preserve"> USA</v>
      </c>
    </row>
    <row r="349" spans="1:13">
      <c r="A349" s="60">
        <v>348</v>
      </c>
      <c r="B349" s="79" t="s">
        <v>2212</v>
      </c>
      <c r="C349" s="60" t="s">
        <v>71</v>
      </c>
      <c r="D349" s="93" t="s">
        <v>2213</v>
      </c>
      <c r="E349" s="48" t="str">
        <f t="shared" si="0"/>
        <v>Glendale</v>
      </c>
      <c r="F349" s="83" t="str">
        <f t="shared" si="1"/>
        <v>Ironwood (Glendale),AZ</v>
      </c>
      <c r="G349" s="60" t="s">
        <v>2216</v>
      </c>
      <c r="H349" s="60">
        <v>33.518039600000002</v>
      </c>
      <c r="I349" s="60">
        <v>-112.1553974</v>
      </c>
      <c r="J349" s="60" t="str">
        <f ca="1">IFERROR(__xludf.DUMMYFUNCTION("SPLIT(G349,"","")"),"4400 W Missouri Ave lot 105")</f>
        <v>4400 W Missouri Ave lot 105</v>
      </c>
      <c r="K349" s="2" t="str">
        <f ca="1">IFERROR(__xludf.DUMMYFUNCTION("""COMPUTED_VALUE""")," Glendale")</f>
        <v xml:space="preserve"> Glendale</v>
      </c>
      <c r="L349" s="2" t="str">
        <f ca="1">IFERROR(__xludf.DUMMYFUNCTION("""COMPUTED_VALUE""")," AZ 85301")</f>
        <v xml:space="preserve"> AZ 85301</v>
      </c>
      <c r="M349" s="2" t="str">
        <f ca="1">IFERROR(__xludf.DUMMYFUNCTION("""COMPUTED_VALUE""")," USA")</f>
        <v xml:space="preserve"> USA</v>
      </c>
    </row>
    <row r="350" spans="1:13">
      <c r="A350" s="65">
        <v>349</v>
      </c>
      <c r="B350" s="80" t="s">
        <v>2220</v>
      </c>
      <c r="C350" s="65" t="s">
        <v>897</v>
      </c>
      <c r="D350" s="93" t="s">
        <v>1793</v>
      </c>
      <c r="E350" s="48" t="str">
        <f t="shared" si="0"/>
        <v>Columbia</v>
      </c>
      <c r="F350" s="83" t="str">
        <f t="shared" si="1"/>
        <v>Father Tolton (Columbia),MO</v>
      </c>
      <c r="G350" s="65" t="s">
        <v>2222</v>
      </c>
      <c r="H350" s="65">
        <v>38.892973400000002</v>
      </c>
      <c r="I350" s="65">
        <v>-92.289896800000008</v>
      </c>
      <c r="J350" s="60" t="str">
        <f ca="1">IFERROR(__xludf.DUMMYFUNCTION("SPLIT(G350,"","")"),"3351 E Gans Rd")</f>
        <v>3351 E Gans Rd</v>
      </c>
      <c r="K350" s="2" t="str">
        <f ca="1">IFERROR(__xludf.DUMMYFUNCTION("""COMPUTED_VALUE""")," Columbia")</f>
        <v xml:space="preserve"> Columbia</v>
      </c>
      <c r="L350" s="2" t="str">
        <f ca="1">IFERROR(__xludf.DUMMYFUNCTION("""COMPUTED_VALUE""")," MO 65201")</f>
        <v xml:space="preserve"> MO 65201</v>
      </c>
      <c r="M350" s="2" t="str">
        <f ca="1">IFERROR(__xludf.DUMMYFUNCTION("""COMPUTED_VALUE""")," USA")</f>
        <v xml:space="preserve"> USA</v>
      </c>
    </row>
    <row r="351" spans="1:13">
      <c r="A351" s="60">
        <v>350</v>
      </c>
      <c r="B351" s="79" t="s">
        <v>2226</v>
      </c>
      <c r="C351" s="60" t="s">
        <v>588</v>
      </c>
      <c r="D351" s="93" t="s">
        <v>954</v>
      </c>
      <c r="E351" s="48" t="str">
        <f t="shared" si="0"/>
        <v>La Verne</v>
      </c>
      <c r="F351" s="83" t="str">
        <f t="shared" si="1"/>
        <v>Bonita (La Verne),CA</v>
      </c>
      <c r="G351" s="60" t="s">
        <v>2229</v>
      </c>
      <c r="H351" s="60">
        <v>34.102551200000001</v>
      </c>
      <c r="I351" s="60">
        <v>-117.7738477</v>
      </c>
      <c r="J351" s="60" t="str">
        <f ca="1">IFERROR(__xludf.DUMMYFUNCTION("SPLIT(G351,"","")"),"2399-2349 B St")</f>
        <v>2399-2349 B St</v>
      </c>
      <c r="K351" s="2" t="str">
        <f ca="1">IFERROR(__xludf.DUMMYFUNCTION("""COMPUTED_VALUE""")," La Verne")</f>
        <v xml:space="preserve"> La Verne</v>
      </c>
      <c r="L351" s="2" t="str">
        <f ca="1">IFERROR(__xludf.DUMMYFUNCTION("""COMPUTED_VALUE""")," CA 91750")</f>
        <v xml:space="preserve"> CA 91750</v>
      </c>
      <c r="M351" s="2" t="str">
        <f ca="1">IFERROR(__xludf.DUMMYFUNCTION("""COMPUTED_VALUE""")," USA")</f>
        <v xml:space="preserve"> USA</v>
      </c>
    </row>
    <row r="352" spans="1:13">
      <c r="A352" s="60">
        <v>351</v>
      </c>
      <c r="B352" s="79" t="s">
        <v>2234</v>
      </c>
      <c r="C352" s="60" t="s">
        <v>588</v>
      </c>
      <c r="D352" s="93" t="s">
        <v>2235</v>
      </c>
      <c r="E352" s="48" t="str">
        <f t="shared" si="0"/>
        <v>Mission Hills</v>
      </c>
      <c r="F352" s="83" t="str">
        <f t="shared" si="1"/>
        <v>Alemany (Mission Hills),CA</v>
      </c>
      <c r="G352" s="60" t="s">
        <v>2236</v>
      </c>
      <c r="H352" s="60">
        <v>34.274923800000003</v>
      </c>
      <c r="I352" s="60">
        <v>-118.4612937</v>
      </c>
      <c r="J352" s="60" t="str">
        <f ca="1">IFERROR(__xludf.DUMMYFUNCTION("SPLIT(G352,"","")"),"11111 N Alemany Dr")</f>
        <v>11111 N Alemany Dr</v>
      </c>
      <c r="K352" s="2" t="str">
        <f ca="1">IFERROR(__xludf.DUMMYFUNCTION("""COMPUTED_VALUE""")," Mission Hills")</f>
        <v xml:space="preserve"> Mission Hills</v>
      </c>
      <c r="L352" s="2" t="str">
        <f ca="1">IFERROR(__xludf.DUMMYFUNCTION("""COMPUTED_VALUE""")," CA 91345")</f>
        <v xml:space="preserve"> CA 91345</v>
      </c>
      <c r="M352" s="2" t="str">
        <f ca="1">IFERROR(__xludf.DUMMYFUNCTION("""COMPUTED_VALUE""")," USA")</f>
        <v xml:space="preserve"> USA</v>
      </c>
    </row>
    <row r="353" spans="1:13">
      <c r="A353" s="65">
        <v>352</v>
      </c>
      <c r="B353" s="80" t="s">
        <v>2238</v>
      </c>
      <c r="C353" s="65" t="s">
        <v>1322</v>
      </c>
      <c r="D353" s="93" t="s">
        <v>2239</v>
      </c>
      <c r="E353" s="48" t="str">
        <f t="shared" si="0"/>
        <v>Aurora</v>
      </c>
      <c r="F353" s="83" t="str">
        <f t="shared" si="1"/>
        <v>Grandview (Aurora),CO</v>
      </c>
      <c r="G353" s="65" t="s">
        <v>2241</v>
      </c>
      <c r="H353" s="65">
        <v>39.592635600000001</v>
      </c>
      <c r="I353" s="65">
        <v>-104.7466737</v>
      </c>
      <c r="J353" s="60" t="str">
        <f ca="1">IFERROR(__xludf.DUMMYFUNCTION("SPLIT(G353,"","")"),"20500 E Arapahoe Rd")</f>
        <v>20500 E Arapahoe Rd</v>
      </c>
      <c r="K353" s="2" t="str">
        <f ca="1">IFERROR(__xludf.DUMMYFUNCTION("""COMPUTED_VALUE""")," Aurora")</f>
        <v xml:space="preserve"> Aurora</v>
      </c>
      <c r="L353" s="2" t="str">
        <f ca="1">IFERROR(__xludf.DUMMYFUNCTION("""COMPUTED_VALUE""")," CO 80016")</f>
        <v xml:space="preserve"> CO 80016</v>
      </c>
      <c r="M353" s="2" t="str">
        <f ca="1">IFERROR(__xludf.DUMMYFUNCTION("""COMPUTED_VALUE""")," USA")</f>
        <v xml:space="preserve"> USA</v>
      </c>
    </row>
    <row r="354" spans="1:13">
      <c r="A354" s="60">
        <v>353</v>
      </c>
      <c r="B354" s="79" t="s">
        <v>2246</v>
      </c>
      <c r="C354" s="60" t="s">
        <v>588</v>
      </c>
      <c r="D354" s="93" t="s">
        <v>2248</v>
      </c>
      <c r="E354" s="48" t="str">
        <f t="shared" si="0"/>
        <v>San Mateo</v>
      </c>
      <c r="F354" s="83" t="str">
        <f t="shared" si="1"/>
        <v>Serra (San Mateo),CA</v>
      </c>
      <c r="G354" s="60" t="s">
        <v>2249</v>
      </c>
      <c r="H354" s="60">
        <v>37.546005800000003</v>
      </c>
      <c r="I354" s="60">
        <v>-122.3172819</v>
      </c>
      <c r="J354" s="60" t="str">
        <f ca="1">IFERROR(__xludf.DUMMYFUNCTION("SPLIT(G354,"","")"),"451 W 20th Ave")</f>
        <v>451 W 20th Ave</v>
      </c>
      <c r="K354" s="2" t="str">
        <f ca="1">IFERROR(__xludf.DUMMYFUNCTION("""COMPUTED_VALUE""")," San Mateo")</f>
        <v xml:space="preserve"> San Mateo</v>
      </c>
      <c r="L354" s="2" t="str">
        <f ca="1">IFERROR(__xludf.DUMMYFUNCTION("""COMPUTED_VALUE""")," CA 94403")</f>
        <v xml:space="preserve"> CA 94403</v>
      </c>
      <c r="M354" s="2" t="str">
        <f ca="1">IFERROR(__xludf.DUMMYFUNCTION("""COMPUTED_VALUE""")," USA")</f>
        <v xml:space="preserve"> USA</v>
      </c>
    </row>
    <row r="355" spans="1:13">
      <c r="A355" s="65">
        <v>354</v>
      </c>
      <c r="B355" s="80" t="s">
        <v>2254</v>
      </c>
      <c r="C355" s="65" t="s">
        <v>191</v>
      </c>
      <c r="D355" s="93" t="s">
        <v>2255</v>
      </c>
      <c r="E355" s="48" t="str">
        <f t="shared" si="0"/>
        <v>Ypsilanti</v>
      </c>
      <c r="F355" s="83" t="str">
        <f t="shared" si="1"/>
        <v>Lincoln (Ypsilanti),MI</v>
      </c>
      <c r="G355" s="65" t="s">
        <v>2257</v>
      </c>
      <c r="H355" s="65">
        <v>42.158626699999999</v>
      </c>
      <c r="I355" s="65">
        <v>-83.6110635</v>
      </c>
      <c r="J355" s="60" t="str">
        <f ca="1">IFERROR(__xludf.DUMMYFUNCTION("SPLIT(G355,"","")"),"7425 Willis Rd")</f>
        <v>7425 Willis Rd</v>
      </c>
      <c r="K355" s="2" t="str">
        <f ca="1">IFERROR(__xludf.DUMMYFUNCTION("""COMPUTED_VALUE""")," Ypsilanti")</f>
        <v xml:space="preserve"> Ypsilanti</v>
      </c>
      <c r="L355" s="2" t="str">
        <f ca="1">IFERROR(__xludf.DUMMYFUNCTION("""COMPUTED_VALUE""")," MI 48197")</f>
        <v xml:space="preserve"> MI 48197</v>
      </c>
      <c r="M355" s="2" t="str">
        <f ca="1">IFERROR(__xludf.DUMMYFUNCTION("""COMPUTED_VALUE""")," USA")</f>
        <v xml:space="preserve"> USA</v>
      </c>
    </row>
    <row r="356" spans="1:13">
      <c r="A356" s="60">
        <v>355</v>
      </c>
      <c r="B356" s="79" t="s">
        <v>2262</v>
      </c>
      <c r="C356" s="60" t="s">
        <v>675</v>
      </c>
      <c r="D356" s="93" t="s">
        <v>2263</v>
      </c>
      <c r="E356" s="48" t="str">
        <f t="shared" si="0"/>
        <v>Chester</v>
      </c>
      <c r="F356" s="83" t="str">
        <f t="shared" si="1"/>
        <v>Chester,PA</v>
      </c>
      <c r="G356" s="60" t="s">
        <v>2266</v>
      </c>
      <c r="H356" s="60">
        <v>39.849556999999997</v>
      </c>
      <c r="I356" s="60">
        <v>-75.3557457</v>
      </c>
      <c r="J356" s="60" t="str">
        <f ca="1">IFERROR(__xludf.DUMMYFUNCTION("SPLIT(G356,"","")"),"291 E 4th St")</f>
        <v>291 E 4th St</v>
      </c>
      <c r="K356" s="2" t="str">
        <f ca="1">IFERROR(__xludf.DUMMYFUNCTION("""COMPUTED_VALUE""")," Chester")</f>
        <v xml:space="preserve"> Chester</v>
      </c>
      <c r="L356" s="2" t="str">
        <f ca="1">IFERROR(__xludf.DUMMYFUNCTION("""COMPUTED_VALUE""")," PA 19013")</f>
        <v xml:space="preserve"> PA 19013</v>
      </c>
      <c r="M356" s="2" t="str">
        <f ca="1">IFERROR(__xludf.DUMMYFUNCTION("""COMPUTED_VALUE""")," USA")</f>
        <v xml:space="preserve"> USA</v>
      </c>
    </row>
    <row r="357" spans="1:13">
      <c r="A357" s="65">
        <v>356</v>
      </c>
      <c r="B357" s="80" t="s">
        <v>2271</v>
      </c>
      <c r="C357" s="65" t="s">
        <v>590</v>
      </c>
      <c r="D357" s="93" t="s">
        <v>2272</v>
      </c>
      <c r="E357" s="48" t="str">
        <f t="shared" si="0"/>
        <v>Oxon Hill</v>
      </c>
      <c r="F357" s="83" t="str">
        <f t="shared" si="1"/>
        <v>Potomac (Oxon Hill),MD</v>
      </c>
      <c r="G357" s="65" t="s">
        <v>2276</v>
      </c>
      <c r="H357" s="65">
        <v>38.821168299999997</v>
      </c>
      <c r="I357" s="65">
        <v>-76.976997499999996</v>
      </c>
      <c r="J357" s="60" t="str">
        <f ca="1">IFERROR(__xludf.DUMMYFUNCTION("SPLIT(G357,"","")"),"5211 Boydell Ave")</f>
        <v>5211 Boydell Ave</v>
      </c>
      <c r="K357" s="2" t="str">
        <f ca="1">IFERROR(__xludf.DUMMYFUNCTION("""COMPUTED_VALUE""")," Oxon Hill")</f>
        <v xml:space="preserve"> Oxon Hill</v>
      </c>
      <c r="L357" s="2" t="str">
        <f ca="1">IFERROR(__xludf.DUMMYFUNCTION("""COMPUTED_VALUE""")," MD 20745")</f>
        <v xml:space="preserve"> MD 20745</v>
      </c>
      <c r="M357" s="2" t="str">
        <f ca="1">IFERROR(__xludf.DUMMYFUNCTION("""COMPUTED_VALUE""")," USA")</f>
        <v xml:space="preserve"> USA</v>
      </c>
    </row>
    <row r="358" spans="1:13">
      <c r="A358" s="60">
        <v>357</v>
      </c>
      <c r="B358" s="79" t="s">
        <v>2281</v>
      </c>
      <c r="C358" s="60" t="s">
        <v>179</v>
      </c>
      <c r="D358" s="93" t="s">
        <v>1412</v>
      </c>
      <c r="E358" s="48" t="str">
        <f t="shared" si="0"/>
        <v>Fayetteville</v>
      </c>
      <c r="F358" s="83" t="str">
        <f t="shared" si="1"/>
        <v>Trinity Christian (Fayetteville),NC</v>
      </c>
      <c r="G358" s="60" t="s">
        <v>2283</v>
      </c>
      <c r="H358" s="60">
        <v>35.111870000000003</v>
      </c>
      <c r="I358" s="60">
        <v>-78.904978</v>
      </c>
      <c r="J358" s="60" t="str">
        <f ca="1">IFERROR(__xludf.DUMMYFUNCTION("SPLIT(G358,"","")"),"3727 Rosehill Rd")</f>
        <v>3727 Rosehill Rd</v>
      </c>
      <c r="K358" s="2" t="str">
        <f ca="1">IFERROR(__xludf.DUMMYFUNCTION("""COMPUTED_VALUE""")," Fayetteville")</f>
        <v xml:space="preserve"> Fayetteville</v>
      </c>
      <c r="L358" s="2" t="str">
        <f ca="1">IFERROR(__xludf.DUMMYFUNCTION("""COMPUTED_VALUE""")," NC 28311")</f>
        <v xml:space="preserve"> NC 28311</v>
      </c>
      <c r="M358" s="2" t="str">
        <f ca="1">IFERROR(__xludf.DUMMYFUNCTION("""COMPUTED_VALUE""")," USA")</f>
        <v xml:space="preserve"> USA</v>
      </c>
    </row>
    <row r="359" spans="1:13">
      <c r="A359" s="65">
        <v>358</v>
      </c>
      <c r="B359" s="80" t="s">
        <v>2286</v>
      </c>
      <c r="C359" s="65" t="s">
        <v>179</v>
      </c>
      <c r="D359" s="93" t="s">
        <v>2288</v>
      </c>
      <c r="E359" s="48" t="str">
        <f t="shared" si="0"/>
        <v>Matthews</v>
      </c>
      <c r="F359" s="83" t="str">
        <f t="shared" si="1"/>
        <v>Carmel Christian (Matthews),NC</v>
      </c>
      <c r="G359" s="65" t="s">
        <v>2289</v>
      </c>
      <c r="H359" s="65">
        <v>35.112887899999997</v>
      </c>
      <c r="I359" s="65">
        <v>-80.755093899999991</v>
      </c>
      <c r="J359" s="60" t="str">
        <f ca="1">IFERROR(__xludf.DUMMYFUNCTION("SPLIT(G359,"","")"),"1145 Pineville-Matthews Rd")</f>
        <v>1145 Pineville-Matthews Rd</v>
      </c>
      <c r="K359" s="2" t="str">
        <f ca="1">IFERROR(__xludf.DUMMYFUNCTION("""COMPUTED_VALUE""")," Matthews")</f>
        <v xml:space="preserve"> Matthews</v>
      </c>
      <c r="L359" s="2" t="str">
        <f ca="1">IFERROR(__xludf.DUMMYFUNCTION("""COMPUTED_VALUE""")," NC 28105")</f>
        <v xml:space="preserve"> NC 28105</v>
      </c>
      <c r="M359" s="2" t="str">
        <f ca="1">IFERROR(__xludf.DUMMYFUNCTION("""COMPUTED_VALUE""")," USA")</f>
        <v xml:space="preserve"> USA</v>
      </c>
    </row>
    <row r="360" spans="1:13">
      <c r="A360" s="60">
        <v>359</v>
      </c>
      <c r="B360" s="79" t="s">
        <v>1048</v>
      </c>
      <c r="C360" s="60" t="s">
        <v>770</v>
      </c>
      <c r="D360" s="93" t="s">
        <v>1109</v>
      </c>
      <c r="E360" s="48" t="str">
        <f t="shared" si="0"/>
        <v>Arlington</v>
      </c>
      <c r="F360" s="83" t="str">
        <f t="shared" si="1"/>
        <v>Arlington,TN</v>
      </c>
      <c r="G360" s="60" t="s">
        <v>2293</v>
      </c>
      <c r="H360" s="60">
        <v>35.296197300000003</v>
      </c>
      <c r="I360" s="60">
        <v>-89.661468999999997</v>
      </c>
      <c r="J360" s="60" t="str">
        <f ca="1">IFERROR(__xludf.DUMMYFUNCTION("SPLIT(G360,"","")"),"6265 Chester St")</f>
        <v>6265 Chester St</v>
      </c>
      <c r="K360" s="2" t="str">
        <f ca="1">IFERROR(__xludf.DUMMYFUNCTION("""COMPUTED_VALUE""")," Arlington")</f>
        <v xml:space="preserve"> Arlington</v>
      </c>
      <c r="L360" s="2" t="str">
        <f ca="1">IFERROR(__xludf.DUMMYFUNCTION("""COMPUTED_VALUE""")," TN 38002")</f>
        <v xml:space="preserve"> TN 38002</v>
      </c>
      <c r="M360" s="2" t="str">
        <f ca="1">IFERROR(__xludf.DUMMYFUNCTION("""COMPUTED_VALUE""")," USA")</f>
        <v xml:space="preserve"> USA</v>
      </c>
    </row>
    <row r="361" spans="1:13">
      <c r="A361" s="65">
        <v>360</v>
      </c>
      <c r="B361" s="80" t="s">
        <v>2296</v>
      </c>
      <c r="C361" s="65" t="s">
        <v>940</v>
      </c>
      <c r="D361" s="93" t="s">
        <v>2297</v>
      </c>
      <c r="E361" s="48" t="str">
        <f t="shared" si="0"/>
        <v>Bellevue</v>
      </c>
      <c r="F361" s="83" t="str">
        <f t="shared" si="1"/>
        <v>Bellevue West (Bellevue),NE</v>
      </c>
      <c r="G361" s="65" t="s">
        <v>2299</v>
      </c>
      <c r="H361" s="65">
        <v>41.162838899999997</v>
      </c>
      <c r="I361" s="65">
        <v>-95.936305599999997</v>
      </c>
      <c r="J361" s="60" t="str">
        <f ca="1">IFERROR(__xludf.DUMMYFUNCTION("SPLIT(G361,"","")"),"1501 Thurston Ave")</f>
        <v>1501 Thurston Ave</v>
      </c>
      <c r="K361" s="2" t="str">
        <f ca="1">IFERROR(__xludf.DUMMYFUNCTION("""COMPUTED_VALUE""")," Bellevue")</f>
        <v xml:space="preserve"> Bellevue</v>
      </c>
      <c r="L361" s="2" t="str">
        <f ca="1">IFERROR(__xludf.DUMMYFUNCTION("""COMPUTED_VALUE""")," NE 68123")</f>
        <v xml:space="preserve"> NE 68123</v>
      </c>
      <c r="M361" s="2" t="str">
        <f ca="1">IFERROR(__xludf.DUMMYFUNCTION("""COMPUTED_VALUE""")," USA")</f>
        <v xml:space="preserve"> USA</v>
      </c>
    </row>
    <row r="362" spans="1:13">
      <c r="A362" s="60">
        <v>361</v>
      </c>
      <c r="B362" s="79" t="s">
        <v>2302</v>
      </c>
      <c r="C362" s="60" t="s">
        <v>1331</v>
      </c>
      <c r="D362" s="93" t="s">
        <v>2049</v>
      </c>
      <c r="E362" s="48" t="str">
        <f t="shared" si="0"/>
        <v>Meridian</v>
      </c>
      <c r="F362" s="83" t="str">
        <f t="shared" si="1"/>
        <v>Rocky Mountain (Meridian),ID</v>
      </c>
      <c r="G362" s="60" t="s">
        <v>2303</v>
      </c>
      <c r="H362" s="60">
        <v>43.6537249</v>
      </c>
      <c r="I362" s="60">
        <v>-116.4125124</v>
      </c>
      <c r="J362" s="60" t="str">
        <f ca="1">IFERROR(__xludf.DUMMYFUNCTION("SPLIT(G362,"","")"),"5450 N Linder Rd")</f>
        <v>5450 N Linder Rd</v>
      </c>
      <c r="K362" s="2" t="str">
        <f ca="1">IFERROR(__xludf.DUMMYFUNCTION("""COMPUTED_VALUE""")," Meridian")</f>
        <v xml:space="preserve"> Meridian</v>
      </c>
      <c r="L362" s="2" t="str">
        <f ca="1">IFERROR(__xludf.DUMMYFUNCTION("""COMPUTED_VALUE""")," ID 83646")</f>
        <v xml:space="preserve"> ID 83646</v>
      </c>
      <c r="M362" s="2" t="str">
        <f ca="1">IFERROR(__xludf.DUMMYFUNCTION("""COMPUTED_VALUE""")," USA")</f>
        <v xml:space="preserve"> USA</v>
      </c>
    </row>
    <row r="363" spans="1:13">
      <c r="A363" s="65">
        <v>362</v>
      </c>
      <c r="B363" s="80" t="s">
        <v>2308</v>
      </c>
      <c r="C363" s="65" t="s">
        <v>940</v>
      </c>
      <c r="D363" s="93" t="s">
        <v>2310</v>
      </c>
      <c r="E363" s="48" t="str">
        <f t="shared" si="0"/>
        <v>Bancroft</v>
      </c>
      <c r="F363" s="83" t="str">
        <f t="shared" si="1"/>
        <v>Bancroft-Rosalie/Lyons-Decatur Northeast (Bancroft),NE</v>
      </c>
      <c r="G363" s="65" t="s">
        <v>2311</v>
      </c>
      <c r="H363" s="65">
        <v>42.008994100000002</v>
      </c>
      <c r="I363" s="65">
        <v>-96.572564599999993</v>
      </c>
      <c r="J363" s="60" t="str">
        <f ca="1">IFERROR(__xludf.DUMMYFUNCTION("SPLIT(G363,"","")"),"708 Main St")</f>
        <v>708 Main St</v>
      </c>
      <c r="K363" s="2" t="str">
        <f ca="1">IFERROR(__xludf.DUMMYFUNCTION("""COMPUTED_VALUE""")," Bancroft")</f>
        <v xml:space="preserve"> Bancroft</v>
      </c>
      <c r="L363" s="2" t="str">
        <f ca="1">IFERROR(__xludf.DUMMYFUNCTION("""COMPUTED_VALUE""")," NE 68004")</f>
        <v xml:space="preserve"> NE 68004</v>
      </c>
      <c r="M363" s="2" t="str">
        <f ca="1">IFERROR(__xludf.DUMMYFUNCTION("""COMPUTED_VALUE""")," USA")</f>
        <v xml:space="preserve"> USA</v>
      </c>
    </row>
    <row r="364" spans="1:13">
      <c r="A364" s="60">
        <v>363</v>
      </c>
      <c r="B364" s="79" t="s">
        <v>1695</v>
      </c>
      <c r="C364" s="60" t="s">
        <v>897</v>
      </c>
      <c r="D364" s="93" t="s">
        <v>2316</v>
      </c>
      <c r="E364" s="48" t="str">
        <f t="shared" si="0"/>
        <v>Dora</v>
      </c>
      <c r="F364" s="83" t="str">
        <f t="shared" si="1"/>
        <v>Dora,MO</v>
      </c>
      <c r="G364" s="60" t="s">
        <v>2317</v>
      </c>
      <c r="H364" s="60">
        <v>36.777838099999997</v>
      </c>
      <c r="I364" s="60">
        <v>-92.221868399999991</v>
      </c>
      <c r="J364" s="60" t="str">
        <f ca="1">IFERROR(__xludf.DUMMYFUNCTION("SPLIT(G364,"","")"),"462 Bella Vista Dr")</f>
        <v>462 Bella Vista Dr</v>
      </c>
      <c r="K364" s="2" t="str">
        <f ca="1">IFERROR(__xludf.DUMMYFUNCTION("""COMPUTED_VALUE""")," Dora")</f>
        <v xml:space="preserve"> Dora</v>
      </c>
      <c r="L364" s="2" t="str">
        <f ca="1">IFERROR(__xludf.DUMMYFUNCTION("""COMPUTED_VALUE""")," MO 65637")</f>
        <v xml:space="preserve"> MO 65637</v>
      </c>
      <c r="M364" s="2" t="str">
        <f ca="1">IFERROR(__xludf.DUMMYFUNCTION("""COMPUTED_VALUE""")," USA")</f>
        <v xml:space="preserve"> USA</v>
      </c>
    </row>
    <row r="365" spans="1:13">
      <c r="A365" s="65">
        <v>364</v>
      </c>
      <c r="B365" s="80" t="s">
        <v>2322</v>
      </c>
      <c r="C365" s="65" t="s">
        <v>71</v>
      </c>
      <c r="D365" s="93" t="s">
        <v>2323</v>
      </c>
      <c r="E365" s="48" t="str">
        <f t="shared" si="0"/>
        <v>Gilbert</v>
      </c>
      <c r="F365" s="83" t="str">
        <f t="shared" si="1"/>
        <v>San Tan Charter (Gilbert),AZ</v>
      </c>
      <c r="G365" s="65" t="s">
        <v>2324</v>
      </c>
      <c r="H365" s="65">
        <v>33.349615000000007</v>
      </c>
      <c r="I365" s="65">
        <v>-111.705742</v>
      </c>
      <c r="J365" s="60" t="str">
        <f ca="1">IFERROR(__xludf.DUMMYFUNCTION("SPLIT(G365,"","")"),"3959 E Elliot Rd")</f>
        <v>3959 E Elliot Rd</v>
      </c>
      <c r="K365" s="2" t="str">
        <f ca="1">IFERROR(__xludf.DUMMYFUNCTION("""COMPUTED_VALUE""")," Gilbert")</f>
        <v xml:space="preserve"> Gilbert</v>
      </c>
      <c r="L365" s="2" t="str">
        <f ca="1">IFERROR(__xludf.DUMMYFUNCTION("""COMPUTED_VALUE""")," AZ 85296")</f>
        <v xml:space="preserve"> AZ 85296</v>
      </c>
      <c r="M365" s="2" t="str">
        <f ca="1">IFERROR(__xludf.DUMMYFUNCTION("""COMPUTED_VALUE""")," USA")</f>
        <v xml:space="preserve"> USA</v>
      </c>
    </row>
    <row r="366" spans="1:13">
      <c r="A366" s="60">
        <v>365</v>
      </c>
      <c r="B366" s="79" t="s">
        <v>2327</v>
      </c>
      <c r="C366" s="60" t="s">
        <v>1322</v>
      </c>
      <c r="D366" s="93" t="s">
        <v>2239</v>
      </c>
      <c r="E366" s="48" t="str">
        <f t="shared" si="0"/>
        <v>Aurora</v>
      </c>
      <c r="F366" s="83" t="str">
        <f t="shared" si="1"/>
        <v>Rangeview (Aurora),CO</v>
      </c>
      <c r="G366" s="60" t="s">
        <v>2328</v>
      </c>
      <c r="H366" s="60">
        <v>39.675355099999997</v>
      </c>
      <c r="I366" s="60">
        <v>-104.78135109999999</v>
      </c>
      <c r="J366" s="60" t="str">
        <f ca="1">IFERROR(__xludf.DUMMYFUNCTION("SPLIT(G366,"","")"),"17559 E Iliff Ave")</f>
        <v>17559 E Iliff Ave</v>
      </c>
      <c r="K366" s="2" t="str">
        <f ca="1">IFERROR(__xludf.DUMMYFUNCTION("""COMPUTED_VALUE""")," Aurora")</f>
        <v xml:space="preserve"> Aurora</v>
      </c>
      <c r="L366" s="2" t="str">
        <f ca="1">IFERROR(__xludf.DUMMYFUNCTION("""COMPUTED_VALUE""")," CO 80013")</f>
        <v xml:space="preserve"> CO 80013</v>
      </c>
      <c r="M366" s="2" t="str">
        <f ca="1">IFERROR(__xludf.DUMMYFUNCTION("""COMPUTED_VALUE""")," USA")</f>
        <v xml:space="preserve"> USA</v>
      </c>
    </row>
    <row r="367" spans="1:13">
      <c r="A367" s="65">
        <v>366</v>
      </c>
      <c r="B367" s="80" t="s">
        <v>2332</v>
      </c>
      <c r="C367" s="65" t="s">
        <v>598</v>
      </c>
      <c r="D367" s="93" t="s">
        <v>2333</v>
      </c>
      <c r="E367" s="48" t="str">
        <f t="shared" si="0"/>
        <v>Tyrone</v>
      </c>
      <c r="F367" s="83" t="str">
        <f t="shared" si="1"/>
        <v>Sandy Creek (Tyrone),GA</v>
      </c>
      <c r="G367" s="65" t="s">
        <v>2336</v>
      </c>
      <c r="H367" s="65">
        <v>33.4941095</v>
      </c>
      <c r="I367" s="65">
        <v>-84.573596100000003</v>
      </c>
      <c r="J367" s="60" t="str">
        <f ca="1">IFERROR(__xludf.DUMMYFUNCTION("SPLIT(G367,"","")"),"360 Jenkins Rd")</f>
        <v>360 Jenkins Rd</v>
      </c>
      <c r="K367" s="2" t="str">
        <f ca="1">IFERROR(__xludf.DUMMYFUNCTION("""COMPUTED_VALUE""")," Tyrone")</f>
        <v xml:space="preserve"> Tyrone</v>
      </c>
      <c r="L367" s="2" t="str">
        <f ca="1">IFERROR(__xludf.DUMMYFUNCTION("""COMPUTED_VALUE""")," GA 30290")</f>
        <v xml:space="preserve"> GA 30290</v>
      </c>
      <c r="M367" s="2" t="str">
        <f ca="1">IFERROR(__xludf.DUMMYFUNCTION("""COMPUTED_VALUE""")," USA")</f>
        <v xml:space="preserve"> USA</v>
      </c>
    </row>
    <row r="368" spans="1:13">
      <c r="A368" s="60">
        <v>367</v>
      </c>
      <c r="B368" s="79" t="s">
        <v>2339</v>
      </c>
      <c r="C368" s="60" t="s">
        <v>191</v>
      </c>
      <c r="D368" s="93" t="s">
        <v>2194</v>
      </c>
      <c r="E368" s="48" t="str">
        <f t="shared" si="0"/>
        <v>Grand Rapids</v>
      </c>
      <c r="F368" s="83" t="str">
        <f t="shared" si="1"/>
        <v>Catholic Central (Grand Rapids),MI</v>
      </c>
      <c r="G368" s="60" t="s">
        <v>2341</v>
      </c>
      <c r="H368" s="60">
        <v>42.957199899999999</v>
      </c>
      <c r="I368" s="60">
        <v>-85.667157599999996</v>
      </c>
      <c r="J368" s="60" t="str">
        <f ca="1">IFERROR(__xludf.DUMMYFUNCTION("SPLIT(G368,"","")"),"324 Division St")</f>
        <v>324 Division St</v>
      </c>
      <c r="K368" s="2" t="str">
        <f ca="1">IFERROR(__xludf.DUMMYFUNCTION("""COMPUTED_VALUE""")," Grand Rapids")</f>
        <v xml:space="preserve"> Grand Rapids</v>
      </c>
      <c r="L368" s="2" t="str">
        <f ca="1">IFERROR(__xludf.DUMMYFUNCTION("""COMPUTED_VALUE""")," MI 49503")</f>
        <v xml:space="preserve"> MI 49503</v>
      </c>
      <c r="M368" s="2" t="str">
        <f ca="1">IFERROR(__xludf.DUMMYFUNCTION("""COMPUTED_VALUE""")," USA")</f>
        <v xml:space="preserve"> USA</v>
      </c>
    </row>
    <row r="369" spans="1:14">
      <c r="A369" s="65">
        <v>368</v>
      </c>
      <c r="B369" s="80" t="s">
        <v>2343</v>
      </c>
      <c r="C369" s="65" t="s">
        <v>136</v>
      </c>
      <c r="D369" s="93" t="s">
        <v>2345</v>
      </c>
      <c r="E369" s="48" t="str">
        <f t="shared" si="0"/>
        <v>South Miami</v>
      </c>
      <c r="F369" s="83" t="str">
        <f t="shared" si="1"/>
        <v>South Miami (Miami),FL</v>
      </c>
      <c r="G369" s="65" t="s">
        <v>2347</v>
      </c>
      <c r="H369" s="65">
        <v>25.705069699999999</v>
      </c>
      <c r="I369" s="65">
        <v>-80.290761799999999</v>
      </c>
      <c r="J369" s="60" t="str">
        <f ca="1">IFERROR(__xludf.DUMMYFUNCTION("SPLIT(G369,"","")"),"5975 SW 72nd St")</f>
        <v>5975 SW 72nd St</v>
      </c>
      <c r="K369" s="2" t="str">
        <f ca="1">IFERROR(__xludf.DUMMYFUNCTION("""COMPUTED_VALUE""")," South Miami")</f>
        <v xml:space="preserve"> South Miami</v>
      </c>
      <c r="L369" s="2" t="str">
        <f ca="1">IFERROR(__xludf.DUMMYFUNCTION("""COMPUTED_VALUE""")," FL 33143")</f>
        <v xml:space="preserve"> FL 33143</v>
      </c>
      <c r="M369" s="2" t="str">
        <f ca="1">IFERROR(__xludf.DUMMYFUNCTION("""COMPUTED_VALUE""")," USA")</f>
        <v xml:space="preserve"> USA</v>
      </c>
    </row>
    <row r="370" spans="1:14">
      <c r="A370" s="60">
        <v>369</v>
      </c>
      <c r="B370" s="79" t="s">
        <v>2350</v>
      </c>
      <c r="C370" s="60" t="s">
        <v>693</v>
      </c>
      <c r="D370" s="93" t="s">
        <v>713</v>
      </c>
      <c r="E370" s="48" t="str">
        <f t="shared" si="0"/>
        <v>Jackson</v>
      </c>
      <c r="F370" s="83" t="str">
        <f t="shared" si="1"/>
        <v>Forest Hill (Jackson),MS</v>
      </c>
      <c r="G370" s="60" t="s">
        <v>2352</v>
      </c>
      <c r="H370" s="60">
        <v>32.265424899999999</v>
      </c>
      <c r="I370" s="60">
        <v>-90.280924200000001</v>
      </c>
      <c r="J370" s="60" t="str">
        <f ca="1">IFERROR(__xludf.DUMMYFUNCTION("SPLIT(G370,"","")"),"125 Forest Hill Dr")</f>
        <v>125 Forest Hill Dr</v>
      </c>
      <c r="K370" s="2" t="str">
        <f ca="1">IFERROR(__xludf.DUMMYFUNCTION("""COMPUTED_VALUE""")," Jackson")</f>
        <v xml:space="preserve"> Jackson</v>
      </c>
      <c r="L370" s="2" t="str">
        <f ca="1">IFERROR(__xludf.DUMMYFUNCTION("""COMPUTED_VALUE""")," MS 39212")</f>
        <v xml:space="preserve"> MS 39212</v>
      </c>
      <c r="M370" s="2" t="str">
        <f ca="1">IFERROR(__xludf.DUMMYFUNCTION("""COMPUTED_VALUE""")," USA")</f>
        <v xml:space="preserve"> USA</v>
      </c>
    </row>
    <row r="371" spans="1:14">
      <c r="A371" s="65">
        <v>370</v>
      </c>
      <c r="B371" s="80" t="s">
        <v>2357</v>
      </c>
      <c r="C371" s="65" t="s">
        <v>608</v>
      </c>
      <c r="D371" s="93" t="s">
        <v>1079</v>
      </c>
      <c r="E371" s="48" t="str">
        <f t="shared" si="0"/>
        <v>Minneapolis</v>
      </c>
      <c r="F371" s="83" t="str">
        <f t="shared" si="1"/>
        <v>DeLaSalle (Minneapolis),MN</v>
      </c>
      <c r="G371" s="65" t="s">
        <v>2359</v>
      </c>
      <c r="H371" s="65">
        <v>44.9866539</v>
      </c>
      <c r="I371" s="65">
        <v>-93.263108199999991</v>
      </c>
      <c r="J371" s="60" t="str">
        <f ca="1">IFERROR(__xludf.DUMMYFUNCTION("SPLIT(G371,"","")"),"1 De La Salle Dr")</f>
        <v>1 De La Salle Dr</v>
      </c>
      <c r="K371" s="2" t="str">
        <f ca="1">IFERROR(__xludf.DUMMYFUNCTION("""COMPUTED_VALUE""")," Minneapolis")</f>
        <v xml:space="preserve"> Minneapolis</v>
      </c>
      <c r="L371" s="2" t="str">
        <f ca="1">IFERROR(__xludf.DUMMYFUNCTION("""COMPUTED_VALUE""")," MN 55401")</f>
        <v xml:space="preserve"> MN 55401</v>
      </c>
      <c r="M371" s="2" t="str">
        <f ca="1">IFERROR(__xludf.DUMMYFUNCTION("""COMPUTED_VALUE""")," USA")</f>
        <v xml:space="preserve"> USA</v>
      </c>
    </row>
    <row r="372" spans="1:14">
      <c r="A372" s="60">
        <v>371</v>
      </c>
      <c r="B372" s="79" t="s">
        <v>2361</v>
      </c>
      <c r="C372" s="60" t="s">
        <v>191</v>
      </c>
      <c r="D372" s="93" t="s">
        <v>2363</v>
      </c>
      <c r="E372" s="48" t="str">
        <f t="shared" si="0"/>
        <v>Muskegon</v>
      </c>
      <c r="F372" s="83" t="str">
        <f t="shared" si="1"/>
        <v>Muskegon,MI</v>
      </c>
      <c r="G372" s="60" t="s">
        <v>2364</v>
      </c>
      <c r="H372" s="60">
        <v>43.234181300000003</v>
      </c>
      <c r="I372" s="60">
        <v>-86.24839209999999</v>
      </c>
      <c r="J372" s="60" t="str">
        <f ca="1">IFERROR(__xludf.DUMMYFUNCTION("SPLIT(G372,"","")"),"175 M-46")</f>
        <v>175 M-46</v>
      </c>
      <c r="K372" s="2" t="str">
        <f ca="1">IFERROR(__xludf.DUMMYFUNCTION("""COMPUTED_VALUE""")," Muskegon")</f>
        <v xml:space="preserve"> Muskegon</v>
      </c>
      <c r="L372" s="2" t="str">
        <f ca="1">IFERROR(__xludf.DUMMYFUNCTION("""COMPUTED_VALUE""")," MI 49440")</f>
        <v xml:space="preserve"> MI 49440</v>
      </c>
      <c r="M372" s="2" t="str">
        <f ca="1">IFERROR(__xludf.DUMMYFUNCTION("""COMPUTED_VALUE""")," USA")</f>
        <v xml:space="preserve"> USA</v>
      </c>
    </row>
    <row r="373" spans="1:14">
      <c r="A373" s="65">
        <v>372</v>
      </c>
      <c r="B373" s="80" t="s">
        <v>2369</v>
      </c>
      <c r="C373" s="65" t="s">
        <v>608</v>
      </c>
      <c r="D373" s="93" t="s">
        <v>2370</v>
      </c>
      <c r="E373" s="48" t="str">
        <f t="shared" si="0"/>
        <v>Mankato</v>
      </c>
      <c r="F373" s="83" t="str">
        <f t="shared" si="1"/>
        <v>Mankato East (Mankato),MN</v>
      </c>
      <c r="G373" s="65" t="s">
        <v>2372</v>
      </c>
      <c r="H373" s="65">
        <v>44.157515400000001</v>
      </c>
      <c r="I373" s="65">
        <v>-93.960424599999996</v>
      </c>
      <c r="J373" s="60" t="str">
        <f ca="1">IFERROR(__xludf.DUMMYFUNCTION("SPLIT(G373,"","")"),"2600 Hoffman Rd")</f>
        <v>2600 Hoffman Rd</v>
      </c>
      <c r="K373" s="2" t="str">
        <f ca="1">IFERROR(__xludf.DUMMYFUNCTION("""COMPUTED_VALUE""")," Mankato")</f>
        <v xml:space="preserve"> Mankato</v>
      </c>
      <c r="L373" s="2" t="str">
        <f ca="1">IFERROR(__xludf.DUMMYFUNCTION("""COMPUTED_VALUE""")," MN 56001")</f>
        <v xml:space="preserve"> MN 56001</v>
      </c>
      <c r="M373" s="2" t="str">
        <f ca="1">IFERROR(__xludf.DUMMYFUNCTION("""COMPUTED_VALUE""")," USA")</f>
        <v xml:space="preserve"> USA</v>
      </c>
    </row>
    <row r="374" spans="1:14">
      <c r="A374" s="60">
        <v>373</v>
      </c>
      <c r="B374" s="79" t="s">
        <v>2376</v>
      </c>
      <c r="C374" s="60" t="s">
        <v>1055</v>
      </c>
      <c r="D374" s="93" t="s">
        <v>2377</v>
      </c>
      <c r="E374" s="48" t="str">
        <f t="shared" si="0"/>
        <v>Oklahoma City</v>
      </c>
      <c r="F374" s="83" t="str">
        <f t="shared" si="1"/>
        <v>Edmond Memorial (Edmond),OK</v>
      </c>
      <c r="G374" s="60" t="s">
        <v>2378</v>
      </c>
      <c r="H374" s="60">
        <v>35.609506600000003</v>
      </c>
      <c r="I374" s="60">
        <v>-97.478949700000001</v>
      </c>
      <c r="J374" s="60" t="str">
        <f ca="1">IFERROR(__xludf.DUMMYFUNCTION("SPLIT(G374,"","")"),"1919 E Memorial Rd")</f>
        <v>1919 E Memorial Rd</v>
      </c>
      <c r="K374" s="2" t="str">
        <f ca="1">IFERROR(__xludf.DUMMYFUNCTION("""COMPUTED_VALUE""")," Oklahoma City")</f>
        <v xml:space="preserve"> Oklahoma City</v>
      </c>
      <c r="L374" s="2" t="str">
        <f ca="1">IFERROR(__xludf.DUMMYFUNCTION("""COMPUTED_VALUE""")," OK 73131")</f>
        <v xml:space="preserve"> OK 73131</v>
      </c>
      <c r="M374" s="2" t="str">
        <f ca="1">IFERROR(__xludf.DUMMYFUNCTION("""COMPUTED_VALUE""")," USA")</f>
        <v xml:space="preserve"> USA</v>
      </c>
    </row>
    <row r="375" spans="1:14">
      <c r="A375" s="65">
        <v>374</v>
      </c>
      <c r="B375" s="80" t="s">
        <v>2384</v>
      </c>
      <c r="C375" s="65" t="s">
        <v>590</v>
      </c>
      <c r="D375" s="93" t="s">
        <v>2386</v>
      </c>
      <c r="E375" s="48" t="str">
        <f t="shared" si="0"/>
        <v>Waldorf</v>
      </c>
      <c r="F375" s="83" t="str">
        <f t="shared" si="1"/>
        <v>St. Charles (Waldorf),MD</v>
      </c>
      <c r="G375" s="65" t="s">
        <v>2387</v>
      </c>
      <c r="H375" s="65">
        <v>38.6111577</v>
      </c>
      <c r="I375" s="65">
        <v>-76.885027999999991</v>
      </c>
      <c r="J375" s="60" t="str">
        <f ca="1">IFERROR(__xludf.DUMMYFUNCTION("SPLIT(G375,"","")"),"3858 Gateview Pl")</f>
        <v>3858 Gateview Pl</v>
      </c>
      <c r="K375" s="2" t="str">
        <f ca="1">IFERROR(__xludf.DUMMYFUNCTION("""COMPUTED_VALUE""")," Waldorf")</f>
        <v xml:space="preserve"> Waldorf</v>
      </c>
      <c r="L375" s="2" t="str">
        <f ca="1">IFERROR(__xludf.DUMMYFUNCTION("""COMPUTED_VALUE""")," MD 20602")</f>
        <v xml:space="preserve"> MD 20602</v>
      </c>
      <c r="M375" s="2" t="str">
        <f ca="1">IFERROR(__xludf.DUMMYFUNCTION("""COMPUTED_VALUE""")," USA")</f>
        <v xml:space="preserve"> USA</v>
      </c>
    </row>
    <row r="376" spans="1:14">
      <c r="A376" s="60">
        <v>375</v>
      </c>
      <c r="B376" s="79" t="s">
        <v>2391</v>
      </c>
      <c r="C376" s="60" t="s">
        <v>606</v>
      </c>
      <c r="D376" s="93" t="s">
        <v>1793</v>
      </c>
      <c r="E376" s="48" t="str">
        <f t="shared" si="0"/>
        <v>Columbia</v>
      </c>
      <c r="F376" s="83" t="str">
        <f t="shared" si="1"/>
        <v>Keenan (Columbia),SC</v>
      </c>
      <c r="G376" s="60" t="s">
        <v>2393</v>
      </c>
      <c r="H376" s="60">
        <v>34.100574700000003</v>
      </c>
      <c r="I376" s="60">
        <v>-80.985943699999993</v>
      </c>
      <c r="J376" s="60" t="str">
        <f ca="1">IFERROR(__xludf.DUMMYFUNCTION("SPLIT(G376,"","")"),"Unnamed Road")</f>
        <v>Unnamed Road</v>
      </c>
      <c r="K376" s="2" t="str">
        <f ca="1">IFERROR(__xludf.DUMMYFUNCTION("""COMPUTED_VALUE""")," Columbia")</f>
        <v xml:space="preserve"> Columbia</v>
      </c>
      <c r="L376" s="2" t="str">
        <f ca="1">IFERROR(__xludf.DUMMYFUNCTION("""COMPUTED_VALUE""")," SC 29203")</f>
        <v xml:space="preserve"> SC 29203</v>
      </c>
      <c r="M376" s="2" t="str">
        <f ca="1">IFERROR(__xludf.DUMMYFUNCTION("""COMPUTED_VALUE""")," USA")</f>
        <v xml:space="preserve"> USA</v>
      </c>
    </row>
    <row r="377" spans="1:14">
      <c r="A377" s="60">
        <v>376</v>
      </c>
      <c r="B377" s="79" t="s">
        <v>2397</v>
      </c>
      <c r="C377" s="60" t="s">
        <v>136</v>
      </c>
      <c r="D377" s="93" t="s">
        <v>2398</v>
      </c>
      <c r="E377" s="48" t="str">
        <f t="shared" si="0"/>
        <v>Tarpon Springs</v>
      </c>
      <c r="F377" s="83" t="str">
        <f t="shared" si="1"/>
        <v>East Lake (Tarpon Springs),FL</v>
      </c>
      <c r="G377" s="60" t="s">
        <v>2401</v>
      </c>
      <c r="H377" s="60">
        <v>28.146124799999999</v>
      </c>
      <c r="I377" s="60">
        <v>-82.7567679</v>
      </c>
      <c r="J377" s="60" t="str">
        <f ca="1">IFERROR(__xludf.DUMMYFUNCTION("SPLIT(G377,"","")"),"4 S Pinellas Ave")</f>
        <v>4 S Pinellas Ave</v>
      </c>
      <c r="K377" s="2" t="str">
        <f ca="1">IFERROR(__xludf.DUMMYFUNCTION("""COMPUTED_VALUE""")," Tarpon Springs")</f>
        <v xml:space="preserve"> Tarpon Springs</v>
      </c>
      <c r="L377" s="2" t="str">
        <f ca="1">IFERROR(__xludf.DUMMYFUNCTION("""COMPUTED_VALUE""")," FL 34689")</f>
        <v xml:space="preserve"> FL 34689</v>
      </c>
      <c r="M377" s="2" t="str">
        <f ca="1">IFERROR(__xludf.DUMMYFUNCTION("""COMPUTED_VALUE""")," USA")</f>
        <v xml:space="preserve"> USA</v>
      </c>
    </row>
    <row r="378" spans="1:14">
      <c r="A378" s="65">
        <v>377</v>
      </c>
      <c r="B378" s="80" t="s">
        <v>2404</v>
      </c>
      <c r="C378" s="65" t="s">
        <v>588</v>
      </c>
      <c r="D378" s="93" t="s">
        <v>2406</v>
      </c>
      <c r="E378" s="48" t="str">
        <f t="shared" si="0"/>
        <v>Stockton</v>
      </c>
      <c r="F378" s="83" t="str">
        <f t="shared" si="1"/>
        <v>Weston Ranch (Stockton),CA</v>
      </c>
      <c r="G378" s="65" t="s">
        <v>2407</v>
      </c>
      <c r="H378" s="65">
        <v>37.905472799999998</v>
      </c>
      <c r="I378" s="65">
        <v>-121.30346729999999</v>
      </c>
      <c r="J378" s="60" t="str">
        <f ca="1">IFERROR(__xludf.DUMMYFUNCTION("SPLIT(G378,"","")"),"3984 Ews Woods Blvd")</f>
        <v>3984 Ews Woods Blvd</v>
      </c>
      <c r="K378" s="2" t="str">
        <f ca="1">IFERROR(__xludf.DUMMYFUNCTION("""COMPUTED_VALUE""")," Stockton")</f>
        <v xml:space="preserve"> Stockton</v>
      </c>
      <c r="L378" s="2" t="str">
        <f ca="1">IFERROR(__xludf.DUMMYFUNCTION("""COMPUTED_VALUE""")," CA 95206")</f>
        <v xml:space="preserve"> CA 95206</v>
      </c>
      <c r="M378" s="2" t="str">
        <f ca="1">IFERROR(__xludf.DUMMYFUNCTION("""COMPUTED_VALUE""")," USA")</f>
        <v xml:space="preserve"> USA</v>
      </c>
    </row>
    <row r="379" spans="1:14">
      <c r="A379" s="60">
        <v>378</v>
      </c>
      <c r="B379" s="79" t="s">
        <v>2412</v>
      </c>
      <c r="C379" s="60" t="s">
        <v>183</v>
      </c>
      <c r="D379" s="93" t="s">
        <v>2133</v>
      </c>
      <c r="E379" s="48" t="str">
        <f t="shared" si="0"/>
        <v>Albany</v>
      </c>
      <c r="F379" s="83" t="str">
        <f t="shared" si="1"/>
        <v>Albany Academy for Boys (Albany),NY</v>
      </c>
      <c r="G379" s="60" t="s">
        <v>2415</v>
      </c>
      <c r="H379" s="60">
        <v>42.645009399999999</v>
      </c>
      <c r="I379" s="60">
        <v>-73.784603500000003</v>
      </c>
      <c r="J379" s="60" t="str">
        <f ca="1">IFERROR(__xludf.DUMMYFUNCTION("SPLIT(G379,"","")"),"140 Academy Rd")</f>
        <v>140 Academy Rd</v>
      </c>
      <c r="K379" s="2" t="str">
        <f ca="1">IFERROR(__xludf.DUMMYFUNCTION("""COMPUTED_VALUE""")," Albany")</f>
        <v xml:space="preserve"> Albany</v>
      </c>
      <c r="L379" s="2" t="str">
        <f ca="1">IFERROR(__xludf.DUMMYFUNCTION("""COMPUTED_VALUE""")," NY 12208")</f>
        <v xml:space="preserve"> NY 12208</v>
      </c>
      <c r="M379" s="2" t="str">
        <f ca="1">IFERROR(__xludf.DUMMYFUNCTION("""COMPUTED_VALUE""")," USA")</f>
        <v xml:space="preserve"> USA</v>
      </c>
    </row>
    <row r="380" spans="1:14">
      <c r="A380" s="65">
        <v>379</v>
      </c>
      <c r="B380" s="80" t="s">
        <v>2417</v>
      </c>
      <c r="C380" s="65" t="s">
        <v>745</v>
      </c>
      <c r="D380" s="93" t="s">
        <v>2419</v>
      </c>
      <c r="E380" s="48" t="str">
        <f t="shared" si="0"/>
        <v>Spokane Valley</v>
      </c>
      <c r="F380" s="83" t="str">
        <f t="shared" si="1"/>
        <v>Central Valley (Spokane Valley),WA</v>
      </c>
      <c r="G380" s="65" t="s">
        <v>2421</v>
      </c>
      <c r="H380" s="65">
        <v>47.6491106</v>
      </c>
      <c r="I380" s="65">
        <v>-117.1935751</v>
      </c>
      <c r="J380" s="60" t="str">
        <f ca="1">IFERROR(__xludf.DUMMYFUNCTION("SPLIT(G380,"","")"),"821 S Sullivan Rd")</f>
        <v>821 S Sullivan Rd</v>
      </c>
      <c r="K380" s="2" t="str">
        <f ca="1">IFERROR(__xludf.DUMMYFUNCTION("""COMPUTED_VALUE""")," Spokane Valley")</f>
        <v xml:space="preserve"> Spokane Valley</v>
      </c>
      <c r="L380" s="2" t="str">
        <f ca="1">IFERROR(__xludf.DUMMYFUNCTION("""COMPUTED_VALUE""")," WA 99037")</f>
        <v xml:space="preserve"> WA 99037</v>
      </c>
      <c r="M380" s="2" t="str">
        <f ca="1">IFERROR(__xludf.DUMMYFUNCTION("""COMPUTED_VALUE""")," USA")</f>
        <v xml:space="preserve"> USA</v>
      </c>
    </row>
    <row r="381" spans="1:14">
      <c r="A381" s="60">
        <v>380</v>
      </c>
      <c r="B381" s="79" t="s">
        <v>2425</v>
      </c>
      <c r="C381" s="60" t="s">
        <v>174</v>
      </c>
      <c r="D381" s="93" t="s">
        <v>2426</v>
      </c>
      <c r="E381" s="48" t="str">
        <f t="shared" si="0"/>
        <v>Dayton</v>
      </c>
      <c r="F381" s="83" t="str">
        <f t="shared" si="1"/>
        <v>Trotwood-Madison (Trotwood),OH</v>
      </c>
      <c r="G381" s="60" t="s">
        <v>2428</v>
      </c>
      <c r="H381" s="60">
        <v>39.781517699999988</v>
      </c>
      <c r="I381" s="60">
        <v>-84.333169400000003</v>
      </c>
      <c r="J381" s="60" t="str">
        <f ca="1">IFERROR(__xludf.DUMMYFUNCTION("SPLIT(G381,"","")"),"2475 N Snyder Rd")</f>
        <v>2475 N Snyder Rd</v>
      </c>
      <c r="K381" s="2" t="str">
        <f ca="1">IFERROR(__xludf.DUMMYFUNCTION("""COMPUTED_VALUE""")," Dayton")</f>
        <v xml:space="preserve"> Dayton</v>
      </c>
      <c r="L381" s="2" t="str">
        <f ca="1">IFERROR(__xludf.DUMMYFUNCTION("""COMPUTED_VALUE""")," OH 45426")</f>
        <v xml:space="preserve"> OH 45426</v>
      </c>
      <c r="M381" s="2" t="str">
        <f ca="1">IFERROR(__xludf.DUMMYFUNCTION("""COMPUTED_VALUE""")," USA")</f>
        <v xml:space="preserve"> USA</v>
      </c>
    </row>
    <row r="382" spans="1:14">
      <c r="A382" s="65">
        <v>381</v>
      </c>
      <c r="B382" s="80" t="s">
        <v>2432</v>
      </c>
      <c r="C382" s="65" t="s">
        <v>737</v>
      </c>
      <c r="D382" s="93" t="s">
        <v>2435</v>
      </c>
      <c r="E382" s="48" t="str">
        <f t="shared" si="0"/>
        <v>Gladstone</v>
      </c>
      <c r="F382" s="83" t="str">
        <f t="shared" si="1"/>
        <v>Gill St. Bernard's (Gladstone),NJ</v>
      </c>
      <c r="G382" s="65" t="s">
        <v>2437</v>
      </c>
      <c r="H382" s="65">
        <v>40.733245799999999</v>
      </c>
      <c r="I382" s="65">
        <v>-74.672218299999997</v>
      </c>
      <c r="J382" s="60" t="str">
        <f ca="1">IFERROR(__xludf.DUMMYFUNCTION("SPLIT(G382,"","")"),"Box 604")</f>
        <v>Box 604</v>
      </c>
      <c r="K382" s="2" t="str">
        <f ca="1">IFERROR(__xludf.DUMMYFUNCTION("""COMPUTED_VALUE""")," 25 St Bernards Rd")</f>
        <v xml:space="preserve"> 25 St Bernards Rd</v>
      </c>
      <c r="L382" s="2" t="str">
        <f ca="1">IFERROR(__xludf.DUMMYFUNCTION("""COMPUTED_VALUE""")," Gladstone")</f>
        <v xml:space="preserve"> Gladstone</v>
      </c>
      <c r="M382" s="2" t="str">
        <f ca="1">IFERROR(__xludf.DUMMYFUNCTION("""COMPUTED_VALUE""")," NJ 07934")</f>
        <v xml:space="preserve"> NJ 07934</v>
      </c>
      <c r="N382" s="2" t="str">
        <f ca="1">IFERROR(__xludf.DUMMYFUNCTION("""COMPUTED_VALUE""")," USA")</f>
        <v xml:space="preserve"> USA</v>
      </c>
    </row>
    <row r="383" spans="1:14">
      <c r="A383" s="60">
        <v>382</v>
      </c>
      <c r="B383" s="79" t="s">
        <v>2440</v>
      </c>
      <c r="C383" s="60" t="s">
        <v>646</v>
      </c>
      <c r="D383" s="93" t="s">
        <v>2443</v>
      </c>
      <c r="E383" s="48" t="str">
        <f t="shared" si="0"/>
        <v>Manhattan</v>
      </c>
      <c r="F383" s="83" t="str">
        <f t="shared" si="1"/>
        <v>Manhattan Christian (Manhattan),MT</v>
      </c>
      <c r="G383" s="60" t="s">
        <v>2444</v>
      </c>
      <c r="H383" s="60">
        <v>45.751996800000001</v>
      </c>
      <c r="I383" s="60">
        <v>-111.302041</v>
      </c>
      <c r="J383" s="60" t="str">
        <f ca="1">IFERROR(__xludf.DUMMYFUNCTION("SPLIT(G383,"","")"),"8000 Churchill Rd")</f>
        <v>8000 Churchill Rd</v>
      </c>
      <c r="K383" s="2" t="str">
        <f ca="1">IFERROR(__xludf.DUMMYFUNCTION("""COMPUTED_VALUE""")," Manhattan")</f>
        <v xml:space="preserve"> Manhattan</v>
      </c>
      <c r="L383" s="2" t="str">
        <f ca="1">IFERROR(__xludf.DUMMYFUNCTION("""COMPUTED_VALUE""")," MT 59741")</f>
        <v xml:space="preserve"> MT 59741</v>
      </c>
      <c r="M383" s="2" t="str">
        <f ca="1">IFERROR(__xludf.DUMMYFUNCTION("""COMPUTED_VALUE""")," USA")</f>
        <v xml:space="preserve"> USA</v>
      </c>
    </row>
    <row r="384" spans="1:14">
      <c r="A384" s="65">
        <v>383</v>
      </c>
      <c r="B384" s="80" t="s">
        <v>2447</v>
      </c>
      <c r="C384" s="65" t="s">
        <v>588</v>
      </c>
      <c r="D384" s="93" t="s">
        <v>2448</v>
      </c>
      <c r="E384" s="48" t="str">
        <f t="shared" si="0"/>
        <v>Sherman Oaks</v>
      </c>
      <c r="F384" s="83" t="str">
        <f t="shared" si="1"/>
        <v>Notre Dame (SO) (Sherman Oaks),CA</v>
      </c>
      <c r="G384" s="65" t="s">
        <v>2453</v>
      </c>
      <c r="H384" s="65">
        <v>34.157996199999999</v>
      </c>
      <c r="I384" s="65">
        <v>-118.4307233</v>
      </c>
      <c r="J384" s="60" t="str">
        <f ca="1">IFERROR(__xludf.DUMMYFUNCTION("SPLIT(G384,"","")"),"13645 Riverside Dr")</f>
        <v>13645 Riverside Dr</v>
      </c>
      <c r="K384" s="2" t="str">
        <f ca="1">IFERROR(__xludf.DUMMYFUNCTION("""COMPUTED_VALUE""")," Sherman Oaks")</f>
        <v xml:space="preserve"> Sherman Oaks</v>
      </c>
      <c r="L384" s="2" t="str">
        <f ca="1">IFERROR(__xludf.DUMMYFUNCTION("""COMPUTED_VALUE""")," CA 91423")</f>
        <v xml:space="preserve"> CA 91423</v>
      </c>
      <c r="M384" s="2" t="str">
        <f ca="1">IFERROR(__xludf.DUMMYFUNCTION("""COMPUTED_VALUE""")," USA")</f>
        <v xml:space="preserve"> USA</v>
      </c>
    </row>
    <row r="385" spans="1:14">
      <c r="A385" s="60">
        <v>384</v>
      </c>
      <c r="B385" s="79" t="s">
        <v>2455</v>
      </c>
      <c r="C385" s="60" t="s">
        <v>595</v>
      </c>
      <c r="D385" s="93" t="s">
        <v>1448</v>
      </c>
      <c r="E385" s="48" t="str">
        <f t="shared" si="0"/>
        <v>Houston</v>
      </c>
      <c r="F385" s="83" t="str">
        <f t="shared" si="1"/>
        <v>North Shore (Houston),TX</v>
      </c>
      <c r="G385" s="60" t="s">
        <v>2457</v>
      </c>
      <c r="H385" s="60">
        <v>29.775805900000002</v>
      </c>
      <c r="I385" s="60">
        <v>-95.218262799999991</v>
      </c>
      <c r="J385" s="60" t="str">
        <f ca="1">IFERROR(__xludf.DUMMYFUNCTION("SPLIT(G385,"","")"),"851 Federal Rd")</f>
        <v>851 Federal Rd</v>
      </c>
      <c r="K385" s="2" t="str">
        <f ca="1">IFERROR(__xludf.DUMMYFUNCTION("""COMPUTED_VALUE""")," Houston")</f>
        <v xml:space="preserve"> Houston</v>
      </c>
      <c r="L385" s="2" t="str">
        <f ca="1">IFERROR(__xludf.DUMMYFUNCTION("""COMPUTED_VALUE""")," TX 77015")</f>
        <v xml:space="preserve"> TX 77015</v>
      </c>
      <c r="M385" s="2" t="str">
        <f ca="1">IFERROR(__xludf.DUMMYFUNCTION("""COMPUTED_VALUE""")," USA")</f>
        <v xml:space="preserve"> USA</v>
      </c>
    </row>
    <row r="386" spans="1:14">
      <c r="A386" s="65">
        <v>385</v>
      </c>
      <c r="B386" s="80" t="s">
        <v>211</v>
      </c>
      <c r="C386" s="65" t="s">
        <v>940</v>
      </c>
      <c r="D386" s="93" t="s">
        <v>2462</v>
      </c>
      <c r="E386" s="48" t="str">
        <f t="shared" si="0"/>
        <v>Auburn</v>
      </c>
      <c r="F386" s="83" t="str">
        <f t="shared" si="1"/>
        <v>Auburn,NE</v>
      </c>
      <c r="G386" s="65" t="s">
        <v>2464</v>
      </c>
      <c r="H386" s="65">
        <v>40.394723599999999</v>
      </c>
      <c r="I386" s="65">
        <v>-95.832219099999989</v>
      </c>
      <c r="J386" s="60" t="str">
        <f ca="1">IFERROR(__xludf.DUMMYFUNCTION("SPLIT(G386,"","")"),"501 10th St")</f>
        <v>501 10th St</v>
      </c>
      <c r="K386" s="2" t="str">
        <f ca="1">IFERROR(__xludf.DUMMYFUNCTION("""COMPUTED_VALUE""")," Auburn")</f>
        <v xml:space="preserve"> Auburn</v>
      </c>
      <c r="L386" s="2" t="str">
        <f ca="1">IFERROR(__xludf.DUMMYFUNCTION("""COMPUTED_VALUE""")," NE 68305")</f>
        <v xml:space="preserve"> NE 68305</v>
      </c>
      <c r="M386" s="2" t="str">
        <f ca="1">IFERROR(__xludf.DUMMYFUNCTION("""COMPUTED_VALUE""")," USA")</f>
        <v xml:space="preserve"> USA</v>
      </c>
    </row>
    <row r="387" spans="1:14">
      <c r="A387" s="60">
        <v>386</v>
      </c>
      <c r="B387" s="79" t="s">
        <v>2467</v>
      </c>
      <c r="C387" s="60" t="s">
        <v>796</v>
      </c>
      <c r="D387" s="93" t="s">
        <v>1408</v>
      </c>
      <c r="E387" s="48" t="str">
        <f t="shared" si="0"/>
        <v>Wichita</v>
      </c>
      <c r="F387" s="83" t="str">
        <f t="shared" si="1"/>
        <v>Collegiate (Wichita),KS</v>
      </c>
      <c r="G387" s="60" t="s">
        <v>2469</v>
      </c>
      <c r="H387" s="60">
        <v>37.707070799999997</v>
      </c>
      <c r="I387" s="60">
        <v>-97.231514399999995</v>
      </c>
      <c r="J387" s="60" t="str">
        <f ca="1">IFERROR(__xludf.DUMMYFUNCTION("SPLIT(G387,"","")"),"9115 E 13th St N")</f>
        <v>9115 E 13th St N</v>
      </c>
      <c r="K387" s="2" t="str">
        <f ca="1">IFERROR(__xludf.DUMMYFUNCTION("""COMPUTED_VALUE""")," Wichita")</f>
        <v xml:space="preserve"> Wichita</v>
      </c>
      <c r="L387" s="2" t="str">
        <f ca="1">IFERROR(__xludf.DUMMYFUNCTION("""COMPUTED_VALUE""")," KS 67206")</f>
        <v xml:space="preserve"> KS 67206</v>
      </c>
      <c r="M387" s="2" t="str">
        <f ca="1">IFERROR(__xludf.DUMMYFUNCTION("""COMPUTED_VALUE""")," USA")</f>
        <v xml:space="preserve"> USA</v>
      </c>
    </row>
    <row r="388" spans="1:14">
      <c r="A388" s="65">
        <v>387</v>
      </c>
      <c r="B388" s="80" t="s">
        <v>2473</v>
      </c>
      <c r="C388" s="65" t="s">
        <v>737</v>
      </c>
      <c r="D388" s="93" t="s">
        <v>2474</v>
      </c>
      <c r="E388" s="48" t="str">
        <f t="shared" si="0"/>
        <v>Jersey City</v>
      </c>
      <c r="F388" s="83" t="str">
        <f t="shared" si="1"/>
        <v>St. Peter's Prep (Jersey City),NJ</v>
      </c>
      <c r="G388" s="65" t="s">
        <v>2475</v>
      </c>
      <c r="H388" s="65">
        <v>40.715660199999988</v>
      </c>
      <c r="I388" s="65">
        <v>-74.039669500000002</v>
      </c>
      <c r="J388" s="60" t="str">
        <f ca="1">IFERROR(__xludf.DUMMYFUNCTION("SPLIT(G388,"","")"),"144 Grand St")</f>
        <v>144 Grand St</v>
      </c>
      <c r="K388" s="2" t="str">
        <f ca="1">IFERROR(__xludf.DUMMYFUNCTION("""COMPUTED_VALUE""")," Jersey City")</f>
        <v xml:space="preserve"> Jersey City</v>
      </c>
      <c r="L388" s="2" t="str">
        <f ca="1">IFERROR(__xludf.DUMMYFUNCTION("""COMPUTED_VALUE""")," NJ 07302")</f>
        <v xml:space="preserve"> NJ 07302</v>
      </c>
      <c r="M388" s="2" t="str">
        <f ca="1">IFERROR(__xludf.DUMMYFUNCTION("""COMPUTED_VALUE""")," USA")</f>
        <v xml:space="preserve"> USA</v>
      </c>
    </row>
    <row r="389" spans="1:14">
      <c r="A389" s="60">
        <v>388</v>
      </c>
      <c r="B389" s="79" t="s">
        <v>2477</v>
      </c>
      <c r="C389" s="60" t="s">
        <v>174</v>
      </c>
      <c r="D389" s="93" t="s">
        <v>2478</v>
      </c>
      <c r="E389" s="48" t="str">
        <f t="shared" si="0"/>
        <v>Ottawa</v>
      </c>
      <c r="F389" s="83" t="str">
        <f t="shared" si="1"/>
        <v>Ottawa-Glandorf (Ottawa),OH</v>
      </c>
      <c r="G389" s="60" t="s">
        <v>2480</v>
      </c>
      <c r="H389" s="60">
        <v>41.029182300000002</v>
      </c>
      <c r="I389" s="60">
        <v>-84.045946799999996</v>
      </c>
      <c r="J389" s="60" t="str">
        <f ca="1">IFERROR(__xludf.DUMMYFUNCTION("SPLIT(G389,"","")"),"630 Glendale Ave")</f>
        <v>630 Glendale Ave</v>
      </c>
      <c r="K389" s="2" t="str">
        <f ca="1">IFERROR(__xludf.DUMMYFUNCTION("""COMPUTED_VALUE""")," Ottawa")</f>
        <v xml:space="preserve"> Ottawa</v>
      </c>
      <c r="L389" s="2" t="str">
        <f ca="1">IFERROR(__xludf.DUMMYFUNCTION("""COMPUTED_VALUE""")," OH 45875")</f>
        <v xml:space="preserve"> OH 45875</v>
      </c>
      <c r="M389" s="2" t="str">
        <f ca="1">IFERROR(__xludf.DUMMYFUNCTION("""COMPUTED_VALUE""")," USA")</f>
        <v xml:space="preserve"> USA</v>
      </c>
    </row>
    <row r="390" spans="1:14">
      <c r="A390" s="65">
        <v>389</v>
      </c>
      <c r="B390" s="80" t="s">
        <v>2483</v>
      </c>
      <c r="C390" s="65" t="s">
        <v>646</v>
      </c>
      <c r="D390" s="93" t="s">
        <v>2484</v>
      </c>
      <c r="E390" s="48" t="str">
        <f t="shared" si="0"/>
        <v>Hardin</v>
      </c>
      <c r="F390" s="83" t="str">
        <f t="shared" si="1"/>
        <v>Hardin,MT</v>
      </c>
      <c r="G390" s="65" t="s">
        <v>2486</v>
      </c>
      <c r="H390" s="65">
        <v>45.732477799999998</v>
      </c>
      <c r="I390" s="65">
        <v>-107.61203140000001</v>
      </c>
      <c r="J390" s="60" t="str">
        <f ca="1">IFERROR(__xludf.DUMMYFUNCTION("SPLIT(G390,"","")"),"403 4th St W")</f>
        <v>403 4th St W</v>
      </c>
      <c r="K390" s="2" t="str">
        <f ca="1">IFERROR(__xludf.DUMMYFUNCTION("""COMPUTED_VALUE""")," Hardin")</f>
        <v xml:space="preserve"> Hardin</v>
      </c>
      <c r="L390" s="2" t="str">
        <f ca="1">IFERROR(__xludf.DUMMYFUNCTION("""COMPUTED_VALUE""")," MT 59034")</f>
        <v xml:space="preserve"> MT 59034</v>
      </c>
      <c r="M390" s="2" t="str">
        <f ca="1">IFERROR(__xludf.DUMMYFUNCTION("""COMPUTED_VALUE""")," USA")</f>
        <v xml:space="preserve"> USA</v>
      </c>
    </row>
    <row r="391" spans="1:14">
      <c r="A391" s="60">
        <v>390</v>
      </c>
      <c r="B391" s="79" t="s">
        <v>2490</v>
      </c>
      <c r="C391" s="60" t="s">
        <v>646</v>
      </c>
      <c r="D391" s="93" t="s">
        <v>2491</v>
      </c>
      <c r="E391" s="48" t="str">
        <f t="shared" si="0"/>
        <v>Fairview</v>
      </c>
      <c r="F391" s="83" t="str">
        <f t="shared" si="1"/>
        <v>Fairview,MT</v>
      </c>
      <c r="G391" s="60" t="s">
        <v>2492</v>
      </c>
      <c r="H391" s="60">
        <v>47.856336499999998</v>
      </c>
      <c r="I391" s="60">
        <v>-104.0446701</v>
      </c>
      <c r="J391" s="60" t="str">
        <f ca="1">IFERROR(__xludf.DUMMYFUNCTION("SPLIT(G391,"","")"),"4 Ellery Ave")</f>
        <v>4 Ellery Ave</v>
      </c>
      <c r="K391" s="2" t="str">
        <f ca="1">IFERROR(__xludf.DUMMYFUNCTION("""COMPUTED_VALUE""")," Fairview")</f>
        <v xml:space="preserve"> Fairview</v>
      </c>
      <c r="L391" s="2" t="str">
        <f ca="1">IFERROR(__xludf.DUMMYFUNCTION("""COMPUTED_VALUE""")," MT 59221")</f>
        <v xml:space="preserve"> MT 59221</v>
      </c>
      <c r="M391" s="2" t="str">
        <f ca="1">IFERROR(__xludf.DUMMYFUNCTION("""COMPUTED_VALUE""")," USA")</f>
        <v xml:space="preserve"> USA</v>
      </c>
    </row>
    <row r="392" spans="1:14">
      <c r="A392" s="65">
        <v>391</v>
      </c>
      <c r="B392" s="80" t="s">
        <v>360</v>
      </c>
      <c r="C392" s="65" t="s">
        <v>191</v>
      </c>
      <c r="D392" s="93" t="s">
        <v>2495</v>
      </c>
      <c r="E392" s="48" t="str">
        <f t="shared" si="0"/>
        <v>East Lansing</v>
      </c>
      <c r="F392" s="83" t="str">
        <f t="shared" si="1"/>
        <v>East Lansing,MI</v>
      </c>
      <c r="G392" s="65" t="s">
        <v>2496</v>
      </c>
      <c r="H392" s="65">
        <v>42.7369792</v>
      </c>
      <c r="I392" s="65">
        <v>-84.483865400000013</v>
      </c>
      <c r="J392" s="60" t="str">
        <f ca="1">IFERROR(__xludf.DUMMYFUNCTION("SPLIT(G392,"","")"),"337 Abbot Rd")</f>
        <v>337 Abbot Rd</v>
      </c>
      <c r="K392" s="2" t="str">
        <f ca="1">IFERROR(__xludf.DUMMYFUNCTION("""COMPUTED_VALUE""")," East Lansing")</f>
        <v xml:space="preserve"> East Lansing</v>
      </c>
      <c r="L392" s="2" t="str">
        <f ca="1">IFERROR(__xludf.DUMMYFUNCTION("""COMPUTED_VALUE""")," MI 48823")</f>
        <v xml:space="preserve"> MI 48823</v>
      </c>
      <c r="M392" s="2" t="str">
        <f ca="1">IFERROR(__xludf.DUMMYFUNCTION("""COMPUTED_VALUE""")," USA")</f>
        <v xml:space="preserve"> USA</v>
      </c>
    </row>
    <row r="393" spans="1:14">
      <c r="A393" s="60">
        <v>392</v>
      </c>
      <c r="B393" s="79" t="s">
        <v>2499</v>
      </c>
      <c r="C393" s="60" t="s">
        <v>675</v>
      </c>
      <c r="D393" s="93" t="s">
        <v>2500</v>
      </c>
      <c r="E393" s="48" t="str">
        <f t="shared" si="0"/>
        <v>Malvern</v>
      </c>
      <c r="F393" s="83" t="str">
        <f t="shared" si="1"/>
        <v>Malvern Prep (Malvern),PA</v>
      </c>
      <c r="G393" s="60" t="s">
        <v>2501</v>
      </c>
      <c r="H393" s="60">
        <v>40.027949</v>
      </c>
      <c r="I393" s="60">
        <v>-75.511656000000002</v>
      </c>
      <c r="J393" s="60" t="str">
        <f ca="1">IFERROR(__xludf.DUMMYFUNCTION("SPLIT(G393,"","")"),"418 S Warren Ave")</f>
        <v>418 S Warren Ave</v>
      </c>
      <c r="K393" s="2" t="str">
        <f ca="1">IFERROR(__xludf.DUMMYFUNCTION("""COMPUTED_VALUE""")," Malvern")</f>
        <v xml:space="preserve"> Malvern</v>
      </c>
      <c r="L393" s="2" t="str">
        <f ca="1">IFERROR(__xludf.DUMMYFUNCTION("""COMPUTED_VALUE""")," PA 19355")</f>
        <v xml:space="preserve"> PA 19355</v>
      </c>
      <c r="M393" s="2" t="str">
        <f ca="1">IFERROR(__xludf.DUMMYFUNCTION("""COMPUTED_VALUE""")," USA")</f>
        <v xml:space="preserve"> USA</v>
      </c>
    </row>
    <row r="394" spans="1:14">
      <c r="A394" s="65">
        <v>393</v>
      </c>
      <c r="B394" s="80" t="s">
        <v>2503</v>
      </c>
      <c r="C394" s="65" t="s">
        <v>174</v>
      </c>
      <c r="D394" s="93" t="s">
        <v>2505</v>
      </c>
      <c r="E394" s="48" t="str">
        <f t="shared" si="0"/>
        <v>Fort Shawnee</v>
      </c>
      <c r="F394" s="83" t="str">
        <f t="shared" si="1"/>
        <v>Shawnee (Lima),OH</v>
      </c>
      <c r="G394" s="65" t="s">
        <v>2506</v>
      </c>
      <c r="H394" s="65">
        <v>40.692051599999999</v>
      </c>
      <c r="I394" s="65">
        <v>-84.163956900000002</v>
      </c>
      <c r="J394" s="60" t="str">
        <f ca="1">IFERROR(__xludf.DUMMYFUNCTION("SPLIT(G394,"","")"),"3255 Zurmehly Rd")</f>
        <v>3255 Zurmehly Rd</v>
      </c>
      <c r="K394" s="2" t="str">
        <f ca="1">IFERROR(__xludf.DUMMYFUNCTION("""COMPUTED_VALUE""")," Fort Shawnee")</f>
        <v xml:space="preserve"> Fort Shawnee</v>
      </c>
      <c r="L394" s="2" t="str">
        <f ca="1">IFERROR(__xludf.DUMMYFUNCTION("""COMPUTED_VALUE""")," OH 45806")</f>
        <v xml:space="preserve"> OH 45806</v>
      </c>
      <c r="M394" s="2" t="str">
        <f ca="1">IFERROR(__xludf.DUMMYFUNCTION("""COMPUTED_VALUE""")," USA")</f>
        <v xml:space="preserve"> USA</v>
      </c>
    </row>
    <row r="395" spans="1:14">
      <c r="A395" s="60">
        <v>394</v>
      </c>
      <c r="B395" s="79" t="s">
        <v>2509</v>
      </c>
      <c r="C395" s="60" t="s">
        <v>682</v>
      </c>
      <c r="D395" s="93" t="s">
        <v>2510</v>
      </c>
      <c r="E395" s="48" t="str">
        <f t="shared" si="0"/>
        <v>Hartland</v>
      </c>
      <c r="F395" s="83" t="str">
        <f t="shared" si="1"/>
        <v>Arrowhead (Hartland),WI</v>
      </c>
      <c r="G395" s="60" t="s">
        <v>2512</v>
      </c>
      <c r="H395" s="60">
        <v>43.117851599999987</v>
      </c>
      <c r="I395" s="60">
        <v>-88.347459999999998</v>
      </c>
      <c r="J395" s="60" t="str">
        <f ca="1">IFERROR(__xludf.DUMMYFUNCTION("SPLIT(G395,"","")"),"800 North Ave")</f>
        <v>800 North Ave</v>
      </c>
      <c r="K395" s="2" t="str">
        <f ca="1">IFERROR(__xludf.DUMMYFUNCTION("""COMPUTED_VALUE""")," Hartland")</f>
        <v xml:space="preserve"> Hartland</v>
      </c>
      <c r="L395" s="2" t="str">
        <f ca="1">IFERROR(__xludf.DUMMYFUNCTION("""COMPUTED_VALUE""")," WI 53029")</f>
        <v xml:space="preserve"> WI 53029</v>
      </c>
      <c r="M395" s="2" t="str">
        <f ca="1">IFERROR(__xludf.DUMMYFUNCTION("""COMPUTED_VALUE""")," USA")</f>
        <v xml:space="preserve"> USA</v>
      </c>
    </row>
    <row r="396" spans="1:14">
      <c r="A396" s="65">
        <v>395</v>
      </c>
      <c r="B396" s="80" t="s">
        <v>2514</v>
      </c>
      <c r="C396" s="65" t="s">
        <v>191</v>
      </c>
      <c r="D396" s="93" t="s">
        <v>2515</v>
      </c>
      <c r="E396" s="48" t="str">
        <f t="shared" si="0"/>
        <v>Okemos</v>
      </c>
      <c r="F396" s="83" t="str">
        <f t="shared" si="1"/>
        <v>Okemos,MI</v>
      </c>
      <c r="G396" s="65" t="s">
        <v>2516</v>
      </c>
      <c r="H396" s="65">
        <v>42.722256999999999</v>
      </c>
      <c r="I396" s="65">
        <v>-84.427474399999994</v>
      </c>
      <c r="J396" s="60" t="str">
        <f ca="1">IFERROR(__xludf.DUMMYFUNCTION("SPLIT(G396,"","")"),"2090 W Grand River Ave")</f>
        <v>2090 W Grand River Ave</v>
      </c>
      <c r="K396" s="2" t="str">
        <f ca="1">IFERROR(__xludf.DUMMYFUNCTION("""COMPUTED_VALUE""")," Okemos")</f>
        <v xml:space="preserve"> Okemos</v>
      </c>
      <c r="L396" s="2" t="str">
        <f ca="1">IFERROR(__xludf.DUMMYFUNCTION("""COMPUTED_VALUE""")," MI 48864")</f>
        <v xml:space="preserve"> MI 48864</v>
      </c>
      <c r="M396" s="2" t="str">
        <f ca="1">IFERROR(__xludf.DUMMYFUNCTION("""COMPUTED_VALUE""")," USA")</f>
        <v xml:space="preserve"> USA</v>
      </c>
    </row>
    <row r="397" spans="1:14">
      <c r="A397" s="60">
        <v>396</v>
      </c>
      <c r="B397" s="79" t="s">
        <v>2519</v>
      </c>
      <c r="C397" s="60" t="s">
        <v>604</v>
      </c>
      <c r="D397" s="93" t="s">
        <v>2521</v>
      </c>
      <c r="E397" s="48" t="str">
        <f t="shared" si="0"/>
        <v>Elmhurst</v>
      </c>
      <c r="F397" s="83" t="str">
        <f t="shared" si="1"/>
        <v>York (Elmhurst),IL</v>
      </c>
      <c r="G397" s="60" t="s">
        <v>2522</v>
      </c>
      <c r="H397" s="60">
        <v>41.893089699999997</v>
      </c>
      <c r="I397" s="60">
        <v>-87.952778699999996</v>
      </c>
      <c r="J397" s="60" t="str">
        <f ca="1">IFERROR(__xludf.DUMMYFUNCTION("SPLIT(G397,"","")"),"355 St Charles Rd")</f>
        <v>355 St Charles Rd</v>
      </c>
      <c r="K397" s="2" t="str">
        <f ca="1">IFERROR(__xludf.DUMMYFUNCTION("""COMPUTED_VALUE""")," Elmhurst")</f>
        <v xml:space="preserve"> Elmhurst</v>
      </c>
      <c r="L397" s="2" t="str">
        <f ca="1">IFERROR(__xludf.DUMMYFUNCTION("""COMPUTED_VALUE""")," IL 60126")</f>
        <v xml:space="preserve"> IL 60126</v>
      </c>
      <c r="M397" s="2" t="str">
        <f ca="1">IFERROR(__xludf.DUMMYFUNCTION("""COMPUTED_VALUE""")," USA")</f>
        <v xml:space="preserve"> USA</v>
      </c>
    </row>
    <row r="398" spans="1:14">
      <c r="A398" s="65">
        <v>397</v>
      </c>
      <c r="B398" s="80" t="s">
        <v>2526</v>
      </c>
      <c r="C398" s="65" t="s">
        <v>675</v>
      </c>
      <c r="D398" s="93" t="s">
        <v>2527</v>
      </c>
      <c r="E398" s="48" t="str">
        <f t="shared" si="0"/>
        <v>Pittsburgh</v>
      </c>
      <c r="F398" s="83" t="str">
        <f t="shared" si="1"/>
        <v>Mt. Lebanon (Pittsburgh),PA</v>
      </c>
      <c r="G398" s="65" t="s">
        <v>2528</v>
      </c>
      <c r="H398" s="65">
        <v>40.440328000000001</v>
      </c>
      <c r="I398" s="65">
        <v>-79.996379300000001</v>
      </c>
      <c r="J398" s="60" t="str">
        <f ca="1">IFERROR(__xludf.DUMMYFUNCTION("SPLIT(G398,"","")"),"531 Grant St")</f>
        <v>531 Grant St</v>
      </c>
      <c r="K398" s="2" t="str">
        <f ca="1">IFERROR(__xludf.DUMMYFUNCTION("""COMPUTED_VALUE""")," Pittsburgh")</f>
        <v xml:space="preserve"> Pittsburgh</v>
      </c>
      <c r="L398" s="2" t="str">
        <f ca="1">IFERROR(__xludf.DUMMYFUNCTION("""COMPUTED_VALUE""")," PA 15219")</f>
        <v xml:space="preserve"> PA 15219</v>
      </c>
      <c r="M398" s="2" t="str">
        <f ca="1">IFERROR(__xludf.DUMMYFUNCTION("""COMPUTED_VALUE""")," USA")</f>
        <v xml:space="preserve"> USA</v>
      </c>
    </row>
    <row r="399" spans="1:14">
      <c r="A399" s="60">
        <v>398</v>
      </c>
      <c r="B399" s="79" t="s">
        <v>2531</v>
      </c>
      <c r="C399" s="60" t="s">
        <v>602</v>
      </c>
      <c r="D399" s="93" t="s">
        <v>2532</v>
      </c>
      <c r="E399" s="48" t="str">
        <f t="shared" si="0"/>
        <v>Middleburg</v>
      </c>
      <c r="F399" s="83" t="str">
        <f t="shared" si="1"/>
        <v>Middleburg Academy (Middleburg),VA</v>
      </c>
      <c r="G399" s="60" t="s">
        <v>2535</v>
      </c>
      <c r="H399" s="60">
        <v>38.988653999999997</v>
      </c>
      <c r="I399" s="60">
        <v>-77.785347000000002</v>
      </c>
      <c r="J399" s="60" t="str">
        <f ca="1">IFERROR(__xludf.DUMMYFUNCTION("SPLIT(G399,"","")"),"35321 Notre Dame Ln")</f>
        <v>35321 Notre Dame Ln</v>
      </c>
      <c r="K399" s="2" t="str">
        <f ca="1">IFERROR(__xludf.DUMMYFUNCTION("""COMPUTED_VALUE""")," Middleburg")</f>
        <v xml:space="preserve"> Middleburg</v>
      </c>
      <c r="L399" s="2" t="str">
        <f ca="1">IFERROR(__xludf.DUMMYFUNCTION("""COMPUTED_VALUE""")," VA 20117")</f>
        <v xml:space="preserve"> VA 20117</v>
      </c>
      <c r="M399" s="2" t="str">
        <f ca="1">IFERROR(__xludf.DUMMYFUNCTION("""COMPUTED_VALUE""")," USA")</f>
        <v xml:space="preserve"> USA</v>
      </c>
    </row>
    <row r="400" spans="1:14">
      <c r="A400" s="65">
        <v>399</v>
      </c>
      <c r="B400" s="80" t="s">
        <v>2539</v>
      </c>
      <c r="C400" s="65" t="s">
        <v>675</v>
      </c>
      <c r="D400" s="93" t="s">
        <v>1453</v>
      </c>
      <c r="E400" s="48" t="str">
        <f t="shared" si="0"/>
        <v>West Chester</v>
      </c>
      <c r="F400" s="83" t="str">
        <f t="shared" si="1"/>
        <v>Westtown (West Chester),PA</v>
      </c>
      <c r="G400" s="65" t="s">
        <v>2541</v>
      </c>
      <c r="H400" s="65">
        <v>39.9319153</v>
      </c>
      <c r="I400" s="65">
        <v>-75.549172499999997</v>
      </c>
      <c r="J400" s="60" t="str">
        <f ca="1">IFERROR(__xludf.DUMMYFUNCTION("SPLIT(G400,"","")"),"Westtown Train Station")</f>
        <v>Westtown Train Station</v>
      </c>
      <c r="K400" s="2" t="str">
        <f ca="1">IFERROR(__xludf.DUMMYFUNCTION("""COMPUTED_VALUE""")," 842 E Market Street")</f>
        <v xml:space="preserve"> 842 E Market Street</v>
      </c>
      <c r="L400" s="2" t="str">
        <f ca="1">IFERROR(__xludf.DUMMYFUNCTION("""COMPUTED_VALUE""")," West Chester")</f>
        <v xml:space="preserve"> West Chester</v>
      </c>
      <c r="M400" s="2" t="str">
        <f ca="1">IFERROR(__xludf.DUMMYFUNCTION("""COMPUTED_VALUE""")," PA 19382")</f>
        <v xml:space="preserve"> PA 19382</v>
      </c>
      <c r="N400" s="2" t="str">
        <f ca="1">IFERROR(__xludf.DUMMYFUNCTION("""COMPUTED_VALUE""")," USA")</f>
        <v xml:space="preserve"> USA</v>
      </c>
    </row>
    <row r="401" spans="1:13">
      <c r="A401" s="97">
        <v>400</v>
      </c>
      <c r="B401" s="99" t="s">
        <v>2544</v>
      </c>
      <c r="C401" s="97" t="s">
        <v>595</v>
      </c>
      <c r="D401" s="93" t="s">
        <v>766</v>
      </c>
      <c r="E401" s="48" t="str">
        <f t="shared" si="0"/>
        <v>Mt Pleasant</v>
      </c>
      <c r="F401" s="83" t="str">
        <f t="shared" si="1"/>
        <v>Mt. Pleasant,TX</v>
      </c>
      <c r="G401" s="97" t="s">
        <v>2546</v>
      </c>
      <c r="H401" s="97">
        <v>33.1567863</v>
      </c>
      <c r="I401" s="97">
        <v>-94.968268999999992</v>
      </c>
      <c r="J401" s="60" t="str">
        <f ca="1">IFERROR(__xludf.DUMMYFUNCTION("SPLIT(G401,"","")"),"908 W 1st St")</f>
        <v>908 W 1st St</v>
      </c>
      <c r="K401" s="2" t="str">
        <f ca="1">IFERROR(__xludf.DUMMYFUNCTION("""COMPUTED_VALUE""")," Mt Pleasant")</f>
        <v xml:space="preserve"> Mt Pleasant</v>
      </c>
      <c r="L401" s="2" t="str">
        <f ca="1">IFERROR(__xludf.DUMMYFUNCTION("""COMPUTED_VALUE""")," TX 75455")</f>
        <v xml:space="preserve"> TX 75455</v>
      </c>
      <c r="M401" s="2" t="str">
        <f ca="1">IFERROR(__xludf.DUMMYFUNCTION("""COMPUTED_VALUE""")," USA")</f>
        <v xml:space="preserve"> USA</v>
      </c>
    </row>
    <row r="402" spans="1:13">
      <c r="A402" s="60">
        <v>401</v>
      </c>
      <c r="B402" s="79" t="s">
        <v>2549</v>
      </c>
      <c r="C402" s="60" t="s">
        <v>69</v>
      </c>
      <c r="D402" s="93" t="s">
        <v>670</v>
      </c>
      <c r="E402" s="48" t="str">
        <f t="shared" si="0"/>
        <v>Birmingham</v>
      </c>
      <c r="F402" s="83" t="str">
        <f t="shared" si="1"/>
        <v>Ramsay (Birmingham),AL</v>
      </c>
      <c r="G402" s="60" t="s">
        <v>2550</v>
      </c>
      <c r="H402" s="60">
        <v>33.497616000000001</v>
      </c>
      <c r="I402" s="60">
        <v>-86.798456999999999</v>
      </c>
      <c r="J402" s="60" t="str">
        <f ca="1">IFERROR(__xludf.DUMMYFUNCTION("SPLIT(G402,"","")"),"1800 13th Ave S")</f>
        <v>1800 13th Ave S</v>
      </c>
      <c r="K402" s="2" t="str">
        <f ca="1">IFERROR(__xludf.DUMMYFUNCTION("""COMPUTED_VALUE""")," Birmingham")</f>
        <v xml:space="preserve"> Birmingham</v>
      </c>
      <c r="L402" s="2" t="str">
        <f ca="1">IFERROR(__xludf.DUMMYFUNCTION("""COMPUTED_VALUE""")," AL 35205")</f>
        <v xml:space="preserve"> AL 35205</v>
      </c>
      <c r="M402" s="2" t="str">
        <f ca="1">IFERROR(__xludf.DUMMYFUNCTION("""COMPUTED_VALUE""")," USA")</f>
        <v xml:space="preserve"> USA</v>
      </c>
    </row>
    <row r="403" spans="1:13">
      <c r="A403" s="65">
        <v>402</v>
      </c>
      <c r="B403" s="80" t="s">
        <v>2552</v>
      </c>
      <c r="C403" s="65" t="s">
        <v>179</v>
      </c>
      <c r="D403" s="93" t="s">
        <v>2553</v>
      </c>
      <c r="E403" s="48" t="str">
        <f t="shared" si="0"/>
        <v>Farmville</v>
      </c>
      <c r="F403" s="83" t="str">
        <f t="shared" si="1"/>
        <v>Farmville Central (Farmville),NC</v>
      </c>
      <c r="G403" s="65" t="s">
        <v>2555</v>
      </c>
      <c r="H403" s="65">
        <v>35.5942078</v>
      </c>
      <c r="I403" s="65">
        <v>-77.568786599999996</v>
      </c>
      <c r="J403" s="60" t="str">
        <f ca="1">IFERROR(__xludf.DUMMYFUNCTION("SPLIT(G403,"","")"),"3308 E Wilson St")</f>
        <v>3308 E Wilson St</v>
      </c>
      <c r="K403" s="2" t="str">
        <f ca="1">IFERROR(__xludf.DUMMYFUNCTION("""COMPUTED_VALUE""")," Farmville")</f>
        <v xml:space="preserve"> Farmville</v>
      </c>
      <c r="L403" s="2" t="str">
        <f ca="1">IFERROR(__xludf.DUMMYFUNCTION("""COMPUTED_VALUE""")," NC 27828")</f>
        <v xml:space="preserve"> NC 27828</v>
      </c>
      <c r="M403" s="2" t="str">
        <f ca="1">IFERROR(__xludf.DUMMYFUNCTION("""COMPUTED_VALUE""")," USA")</f>
        <v xml:space="preserve"> USA</v>
      </c>
    </row>
    <row r="404" spans="1:13">
      <c r="A404" s="60">
        <v>403</v>
      </c>
      <c r="B404" s="79" t="s">
        <v>2558</v>
      </c>
      <c r="C404" s="60" t="s">
        <v>179</v>
      </c>
      <c r="D404" s="93" t="s">
        <v>2559</v>
      </c>
      <c r="E404" s="48" t="str">
        <f t="shared" si="0"/>
        <v>Morganton</v>
      </c>
      <c r="F404" s="83" t="str">
        <f t="shared" si="1"/>
        <v>Freedom (Morganton),NC</v>
      </c>
      <c r="G404" s="60" t="s">
        <v>2561</v>
      </c>
      <c r="H404" s="60">
        <v>35.744523999999998</v>
      </c>
      <c r="I404" s="60">
        <v>-81.719683000000003</v>
      </c>
      <c r="J404" s="60" t="str">
        <f ca="1">IFERROR(__xludf.DUMMYFUNCTION("SPLIT(G404,"","")"),"511 Independence Blvd")</f>
        <v>511 Independence Blvd</v>
      </c>
      <c r="K404" s="2" t="str">
        <f ca="1">IFERROR(__xludf.DUMMYFUNCTION("""COMPUTED_VALUE""")," Morganton")</f>
        <v xml:space="preserve"> Morganton</v>
      </c>
      <c r="L404" s="2" t="str">
        <f ca="1">IFERROR(__xludf.DUMMYFUNCTION("""COMPUTED_VALUE""")," NC 28655")</f>
        <v xml:space="preserve"> NC 28655</v>
      </c>
      <c r="M404" s="2" t="str">
        <f ca="1">IFERROR(__xludf.DUMMYFUNCTION("""COMPUTED_VALUE""")," USA")</f>
        <v xml:space="preserve"> USA</v>
      </c>
    </row>
    <row r="405" spans="1:13">
      <c r="A405" s="65">
        <v>404</v>
      </c>
      <c r="B405" s="80" t="s">
        <v>2564</v>
      </c>
      <c r="C405" s="65" t="s">
        <v>618</v>
      </c>
      <c r="D405" s="93" t="s">
        <v>2565</v>
      </c>
      <c r="E405" s="48" t="str">
        <f t="shared" si="0"/>
        <v>Sellersburg</v>
      </c>
      <c r="F405" s="83" t="str">
        <f t="shared" si="1"/>
        <v>Silver Creek (Sellersburg),IN</v>
      </c>
      <c r="G405" s="65" t="s">
        <v>2568</v>
      </c>
      <c r="H405" s="65">
        <v>38.408193599999997</v>
      </c>
      <c r="I405" s="65">
        <v>-85.755313799999996</v>
      </c>
      <c r="J405" s="60" t="str">
        <f ca="1">IFERROR(__xludf.DUMMYFUNCTION("SPLIT(G405,"","")"),"557 Renz Ave")</f>
        <v>557 Renz Ave</v>
      </c>
      <c r="K405" s="2" t="str">
        <f ca="1">IFERROR(__xludf.DUMMYFUNCTION("""COMPUTED_VALUE""")," Sellersburg")</f>
        <v xml:space="preserve"> Sellersburg</v>
      </c>
      <c r="L405" s="2" t="str">
        <f ca="1">IFERROR(__xludf.DUMMYFUNCTION("""COMPUTED_VALUE""")," IN 47172")</f>
        <v xml:space="preserve"> IN 47172</v>
      </c>
      <c r="M405" s="2" t="str">
        <f ca="1">IFERROR(__xludf.DUMMYFUNCTION("""COMPUTED_VALUE""")," USA")</f>
        <v xml:space="preserve"> USA</v>
      </c>
    </row>
    <row r="406" spans="1:13">
      <c r="A406" s="60">
        <v>405</v>
      </c>
      <c r="B406" s="79" t="s">
        <v>2571</v>
      </c>
      <c r="C406" s="60" t="s">
        <v>71</v>
      </c>
      <c r="D406" s="93" t="s">
        <v>2572</v>
      </c>
      <c r="E406" s="48" t="str">
        <f t="shared" si="0"/>
        <v>Goodyear</v>
      </c>
      <c r="F406" s="83" t="str">
        <f t="shared" si="1"/>
        <v>Millennium (Goodyear),AZ</v>
      </c>
      <c r="G406" s="60" t="s">
        <v>2574</v>
      </c>
      <c r="H406" s="60">
        <v>33.494537299999998</v>
      </c>
      <c r="I406" s="60">
        <v>-112.3772714</v>
      </c>
      <c r="J406" s="60" t="str">
        <f ca="1">IFERROR(__xludf.DUMMYFUNCTION("SPLIT(G406,"","")"),"500 W Wigwam Blvd")</f>
        <v>500 W Wigwam Blvd</v>
      </c>
      <c r="K406" s="2" t="str">
        <f ca="1">IFERROR(__xludf.DUMMYFUNCTION("""COMPUTED_VALUE""")," Goodyear")</f>
        <v xml:space="preserve"> Goodyear</v>
      </c>
      <c r="L406" s="2" t="str">
        <f ca="1">IFERROR(__xludf.DUMMYFUNCTION("""COMPUTED_VALUE""")," AZ 85395")</f>
        <v xml:space="preserve"> AZ 85395</v>
      </c>
      <c r="M406" s="2" t="str">
        <f ca="1">IFERROR(__xludf.DUMMYFUNCTION("""COMPUTED_VALUE""")," USA")</f>
        <v xml:space="preserve"> USA</v>
      </c>
    </row>
    <row r="407" spans="1:13">
      <c r="A407" s="65">
        <v>406</v>
      </c>
      <c r="B407" s="80" t="s">
        <v>2577</v>
      </c>
      <c r="C407" s="65" t="s">
        <v>901</v>
      </c>
      <c r="D407" s="93" t="s">
        <v>2578</v>
      </c>
      <c r="E407" s="48" t="str">
        <f t="shared" si="0"/>
        <v>Fort Smith</v>
      </c>
      <c r="F407" s="83" t="str">
        <f t="shared" si="1"/>
        <v>Northside (Fort Smith),AR</v>
      </c>
      <c r="G407" s="65" t="s">
        <v>2580</v>
      </c>
      <c r="H407" s="65">
        <v>35.379235899999998</v>
      </c>
      <c r="I407" s="65">
        <v>-94.406956899999997</v>
      </c>
      <c r="J407" s="60" t="str">
        <f ca="1">IFERROR(__xludf.DUMMYFUNCTION("SPLIT(G407,"","")"),"2301 N B St")</f>
        <v>2301 N B St</v>
      </c>
      <c r="K407" s="2" t="str">
        <f ca="1">IFERROR(__xludf.DUMMYFUNCTION("""COMPUTED_VALUE""")," Fort Smith")</f>
        <v xml:space="preserve"> Fort Smith</v>
      </c>
      <c r="L407" s="2" t="str">
        <f ca="1">IFERROR(__xludf.DUMMYFUNCTION("""COMPUTED_VALUE""")," AR 72901")</f>
        <v xml:space="preserve"> AR 72901</v>
      </c>
      <c r="M407" s="2" t="str">
        <f ca="1">IFERROR(__xludf.DUMMYFUNCTION("""COMPUTED_VALUE""")," USA")</f>
        <v xml:space="preserve"> USA</v>
      </c>
    </row>
    <row r="408" spans="1:13">
      <c r="A408" s="60">
        <v>407</v>
      </c>
      <c r="B408" s="79" t="s">
        <v>2584</v>
      </c>
      <c r="C408" s="60" t="s">
        <v>1296</v>
      </c>
      <c r="D408" s="93" t="s">
        <v>1775</v>
      </c>
      <c r="E408" s="48" t="str">
        <f t="shared" si="0"/>
        <v>Portland</v>
      </c>
      <c r="F408" s="83" t="str">
        <f t="shared" si="1"/>
        <v>Jesuit (Portland),OR</v>
      </c>
      <c r="G408" s="60" t="s">
        <v>2586</v>
      </c>
      <c r="H408" s="60">
        <v>45.484848199999988</v>
      </c>
      <c r="I408" s="60">
        <v>-122.7687758</v>
      </c>
      <c r="J408" s="60" t="str">
        <f ca="1">IFERROR(__xludf.DUMMYFUNCTION("SPLIT(G408,"","")"),"9000 SW Beaverton Hillsdale Hwy")</f>
        <v>9000 SW Beaverton Hillsdale Hwy</v>
      </c>
      <c r="K408" s="2" t="str">
        <f ca="1">IFERROR(__xludf.DUMMYFUNCTION("""COMPUTED_VALUE""")," Portland")</f>
        <v xml:space="preserve"> Portland</v>
      </c>
      <c r="L408" s="2" t="str">
        <f ca="1">IFERROR(__xludf.DUMMYFUNCTION("""COMPUTED_VALUE""")," OR 97225")</f>
        <v xml:space="preserve"> OR 97225</v>
      </c>
      <c r="M408" s="2" t="str">
        <f ca="1">IFERROR(__xludf.DUMMYFUNCTION("""COMPUTED_VALUE""")," USA")</f>
        <v xml:space="preserve"> USA</v>
      </c>
    </row>
    <row r="409" spans="1:13">
      <c r="A409" s="65">
        <v>408</v>
      </c>
      <c r="B409" s="80" t="s">
        <v>2587</v>
      </c>
      <c r="C409" s="65" t="s">
        <v>608</v>
      </c>
      <c r="D409" s="93" t="s">
        <v>2589</v>
      </c>
      <c r="E409" s="48" t="str">
        <f t="shared" si="0"/>
        <v>St Paul</v>
      </c>
      <c r="F409" s="83" t="str">
        <f t="shared" si="1"/>
        <v>Cretin-Derham Hall (St. Paul),MN</v>
      </c>
      <c r="G409" s="65" t="s">
        <v>2591</v>
      </c>
      <c r="H409" s="65">
        <v>44.9248616</v>
      </c>
      <c r="I409" s="65">
        <v>-93.158993600000002</v>
      </c>
      <c r="J409" s="60" t="str">
        <f ca="1">IFERROR(__xludf.DUMMYFUNCTION("SPLIT(G409,"","")"),"550 S Albert St")</f>
        <v>550 S Albert St</v>
      </c>
      <c r="K409" s="2" t="str">
        <f ca="1">IFERROR(__xludf.DUMMYFUNCTION("""COMPUTED_VALUE""")," St Paul")</f>
        <v xml:space="preserve"> St Paul</v>
      </c>
      <c r="L409" s="2" t="str">
        <f ca="1">IFERROR(__xludf.DUMMYFUNCTION("""COMPUTED_VALUE""")," MN 55116")</f>
        <v xml:space="preserve"> MN 55116</v>
      </c>
      <c r="M409" s="2" t="str">
        <f ca="1">IFERROR(__xludf.DUMMYFUNCTION("""COMPUTED_VALUE""")," USA")</f>
        <v xml:space="preserve"> USA</v>
      </c>
    </row>
    <row r="410" spans="1:13">
      <c r="A410" s="60">
        <v>409</v>
      </c>
      <c r="B410" s="79" t="s">
        <v>2596</v>
      </c>
      <c r="C410" s="60" t="s">
        <v>604</v>
      </c>
      <c r="D410" s="93" t="s">
        <v>2597</v>
      </c>
      <c r="E410" s="48" t="str">
        <f t="shared" si="0"/>
        <v>Cary</v>
      </c>
      <c r="F410" s="83" t="str">
        <f t="shared" si="1"/>
        <v>Cary-Grove (Cary),IL</v>
      </c>
      <c r="G410" s="60" t="s">
        <v>2601</v>
      </c>
      <c r="H410" s="60">
        <v>42.221176300000003</v>
      </c>
      <c r="I410" s="60">
        <v>-88.241758300000001</v>
      </c>
      <c r="J410" s="60" t="str">
        <f ca="1">IFERROR(__xludf.DUMMYFUNCTION("SPLIT(G410,"","")"),"2208 Three Oaks Rd")</f>
        <v>2208 Three Oaks Rd</v>
      </c>
      <c r="K410" s="2" t="str">
        <f ca="1">IFERROR(__xludf.DUMMYFUNCTION("""COMPUTED_VALUE""")," Cary")</f>
        <v xml:space="preserve"> Cary</v>
      </c>
      <c r="L410" s="2" t="str">
        <f ca="1">IFERROR(__xludf.DUMMYFUNCTION("""COMPUTED_VALUE""")," IL 60013")</f>
        <v xml:space="preserve"> IL 60013</v>
      </c>
      <c r="M410" s="2" t="str">
        <f ca="1">IFERROR(__xludf.DUMMYFUNCTION("""COMPUTED_VALUE""")," USA")</f>
        <v xml:space="preserve"> USA</v>
      </c>
    </row>
    <row r="411" spans="1:13">
      <c r="A411" s="65">
        <v>410</v>
      </c>
      <c r="B411" s="80" t="s">
        <v>2604</v>
      </c>
      <c r="C411" s="65" t="s">
        <v>136</v>
      </c>
      <c r="D411" s="93" t="s">
        <v>2606</v>
      </c>
      <c r="E411" s="48" t="str">
        <f t="shared" si="0"/>
        <v>Ocoee</v>
      </c>
      <c r="F411" s="83" t="str">
        <f t="shared" si="1"/>
        <v>Ocoee,FL</v>
      </c>
      <c r="G411" s="65" t="s">
        <v>2607</v>
      </c>
      <c r="H411" s="65">
        <v>28.569167700000001</v>
      </c>
      <c r="I411" s="65">
        <v>-81.543961899999999</v>
      </c>
      <c r="J411" s="60" t="str">
        <f ca="1">IFERROR(__xludf.DUMMYFUNCTION("SPLIT(G411,"","")"),"129 E McKey St")</f>
        <v>129 E McKey St</v>
      </c>
      <c r="K411" s="2" t="str">
        <f ca="1">IFERROR(__xludf.DUMMYFUNCTION("""COMPUTED_VALUE""")," Ocoee")</f>
        <v xml:space="preserve"> Ocoee</v>
      </c>
      <c r="L411" s="2" t="str">
        <f ca="1">IFERROR(__xludf.DUMMYFUNCTION("""COMPUTED_VALUE""")," FL 34761")</f>
        <v xml:space="preserve"> FL 34761</v>
      </c>
      <c r="M411" s="2" t="str">
        <f ca="1">IFERROR(__xludf.DUMMYFUNCTION("""COMPUTED_VALUE""")," USA")</f>
        <v xml:space="preserve"> USA</v>
      </c>
    </row>
    <row r="412" spans="1:13">
      <c r="A412" s="60">
        <v>411</v>
      </c>
      <c r="B412" s="79" t="s">
        <v>2610</v>
      </c>
      <c r="C412" s="60" t="s">
        <v>598</v>
      </c>
      <c r="D412" s="93" t="s">
        <v>2611</v>
      </c>
      <c r="E412" s="48" t="str">
        <f t="shared" si="0"/>
        <v>Lithonia</v>
      </c>
      <c r="F412" s="83" t="str">
        <f t="shared" si="1"/>
        <v>Lithonia,GA</v>
      </c>
      <c r="G412" s="60" t="s">
        <v>2613</v>
      </c>
      <c r="H412" s="60">
        <v>33.7123305</v>
      </c>
      <c r="I412" s="60">
        <v>-84.105193900000003</v>
      </c>
      <c r="J412" s="60" t="str">
        <f ca="1">IFERROR(__xludf.DUMMYFUNCTION("SPLIT(G412,"","")"),"7278 Conyers St")</f>
        <v>7278 Conyers St</v>
      </c>
      <c r="K412" s="2" t="str">
        <f ca="1">IFERROR(__xludf.DUMMYFUNCTION("""COMPUTED_VALUE""")," Lithonia")</f>
        <v xml:space="preserve"> Lithonia</v>
      </c>
      <c r="L412" s="2" t="str">
        <f ca="1">IFERROR(__xludf.DUMMYFUNCTION("""COMPUTED_VALUE""")," GA 30058")</f>
        <v xml:space="preserve"> GA 30058</v>
      </c>
      <c r="M412" s="2" t="str">
        <f ca="1">IFERROR(__xludf.DUMMYFUNCTION("""COMPUTED_VALUE""")," USA")</f>
        <v xml:space="preserve"> USA</v>
      </c>
    </row>
    <row r="413" spans="1:13">
      <c r="A413" s="65">
        <v>412</v>
      </c>
      <c r="B413" s="80" t="s">
        <v>2616</v>
      </c>
      <c r="C413" s="65" t="s">
        <v>1296</v>
      </c>
      <c r="D413" s="93" t="s">
        <v>1775</v>
      </c>
      <c r="E413" s="48" t="str">
        <f t="shared" si="0"/>
        <v>Portland</v>
      </c>
      <c r="F413" s="83" t="str">
        <f t="shared" si="1"/>
        <v>Central Catholic (Portland),OR</v>
      </c>
      <c r="G413" s="65" t="s">
        <v>2618</v>
      </c>
      <c r="H413" s="65">
        <v>45.519443699999997</v>
      </c>
      <c r="I413" s="65">
        <v>-122.6412212</v>
      </c>
      <c r="J413" s="60" t="str">
        <f ca="1">IFERROR(__xludf.DUMMYFUNCTION("SPLIT(G413,"","")"),"2401 SE Stark St")</f>
        <v>2401 SE Stark St</v>
      </c>
      <c r="K413" s="2" t="str">
        <f ca="1">IFERROR(__xludf.DUMMYFUNCTION("""COMPUTED_VALUE""")," Portland")</f>
        <v xml:space="preserve"> Portland</v>
      </c>
      <c r="L413" s="2" t="str">
        <f ca="1">IFERROR(__xludf.DUMMYFUNCTION("""COMPUTED_VALUE""")," OR 97214")</f>
        <v xml:space="preserve"> OR 97214</v>
      </c>
      <c r="M413" s="2" t="str">
        <f ca="1">IFERROR(__xludf.DUMMYFUNCTION("""COMPUTED_VALUE""")," USA")</f>
        <v xml:space="preserve"> USA</v>
      </c>
    </row>
    <row r="414" spans="1:13">
      <c r="A414" s="60">
        <v>413</v>
      </c>
      <c r="B414" s="79" t="s">
        <v>2619</v>
      </c>
      <c r="C414" s="60" t="s">
        <v>604</v>
      </c>
      <c r="D414" s="93" t="s">
        <v>2620</v>
      </c>
      <c r="E414" s="48" t="str">
        <f t="shared" si="0"/>
        <v>O'Fallon</v>
      </c>
      <c r="F414" s="83" t="str">
        <f t="shared" si="1"/>
        <v>O'Fallon,IL</v>
      </c>
      <c r="G414" s="60" t="s">
        <v>2621</v>
      </c>
      <c r="H414" s="60">
        <v>38.592323</v>
      </c>
      <c r="I414" s="60">
        <v>-89.910990999999996</v>
      </c>
      <c r="J414" s="60" t="str">
        <f ca="1">IFERROR(__xludf.DUMMYFUNCTION("SPLIT(G414,"","")"),"1 S Lincoln Ave")</f>
        <v>1 S Lincoln Ave</v>
      </c>
      <c r="K414" s="2" t="str">
        <f ca="1">IFERROR(__xludf.DUMMYFUNCTION("""COMPUTED_VALUE""")," O'Fallon")</f>
        <v xml:space="preserve"> O'Fallon</v>
      </c>
      <c r="L414" s="2" t="str">
        <f ca="1">IFERROR(__xludf.DUMMYFUNCTION("""COMPUTED_VALUE""")," IL 62269")</f>
        <v xml:space="preserve"> IL 62269</v>
      </c>
      <c r="M414" s="2" t="str">
        <f ca="1">IFERROR(__xludf.DUMMYFUNCTION("""COMPUTED_VALUE""")," USA")</f>
        <v xml:space="preserve"> USA</v>
      </c>
    </row>
    <row r="415" spans="1:13">
      <c r="A415" s="65">
        <v>414</v>
      </c>
      <c r="B415" s="80" t="s">
        <v>2627</v>
      </c>
      <c r="C415" s="65" t="s">
        <v>595</v>
      </c>
      <c r="D415" s="93" t="s">
        <v>2630</v>
      </c>
      <c r="E415" s="48" t="str">
        <f t="shared" si="0"/>
        <v>Wichita Falls</v>
      </c>
      <c r="F415" s="83" t="str">
        <f t="shared" si="1"/>
        <v>Rider (Wichita Falls),TX</v>
      </c>
      <c r="G415" s="65" t="s">
        <v>2632</v>
      </c>
      <c r="H415" s="65">
        <v>33.862449099999999</v>
      </c>
      <c r="I415" s="65">
        <v>-98.568461499999998</v>
      </c>
      <c r="J415" s="60" t="str">
        <f ca="1">IFERROR(__xludf.DUMMYFUNCTION("SPLIT(G415,"","")"),"4611 Cypress Ave")</f>
        <v>4611 Cypress Ave</v>
      </c>
      <c r="K415" s="2" t="str">
        <f ca="1">IFERROR(__xludf.DUMMYFUNCTION("""COMPUTED_VALUE""")," Wichita Falls")</f>
        <v xml:space="preserve"> Wichita Falls</v>
      </c>
      <c r="L415" s="2" t="str">
        <f ca="1">IFERROR(__xludf.DUMMYFUNCTION("""COMPUTED_VALUE""")," TX 76310")</f>
        <v xml:space="preserve"> TX 76310</v>
      </c>
      <c r="M415" s="2" t="str">
        <f ca="1">IFERROR(__xludf.DUMMYFUNCTION("""COMPUTED_VALUE""")," USA")</f>
        <v xml:space="preserve"> USA</v>
      </c>
    </row>
    <row r="416" spans="1:13">
      <c r="A416" s="60">
        <v>415</v>
      </c>
      <c r="B416" s="79" t="s">
        <v>2637</v>
      </c>
      <c r="C416" s="60" t="s">
        <v>191</v>
      </c>
      <c r="D416" s="93" t="s">
        <v>2638</v>
      </c>
      <c r="E416" s="48" t="str">
        <f t="shared" si="0"/>
        <v>Williamston</v>
      </c>
      <c r="F416" s="83" t="str">
        <f t="shared" si="1"/>
        <v>Williamston,MI</v>
      </c>
      <c r="G416" s="60" t="s">
        <v>2640</v>
      </c>
      <c r="H416" s="60">
        <v>42.688923500000001</v>
      </c>
      <c r="I416" s="60">
        <v>-84.283024499999996</v>
      </c>
      <c r="J416" s="60" t="str">
        <f ca="1">IFERROR(__xludf.DUMMYFUNCTION("SPLIT(G416,"","")"),"107 S Putnam St")</f>
        <v>107 S Putnam St</v>
      </c>
      <c r="K416" s="2" t="str">
        <f ca="1">IFERROR(__xludf.DUMMYFUNCTION("""COMPUTED_VALUE""")," Williamston")</f>
        <v xml:space="preserve"> Williamston</v>
      </c>
      <c r="L416" s="2" t="str">
        <f ca="1">IFERROR(__xludf.DUMMYFUNCTION("""COMPUTED_VALUE""")," MI 48895")</f>
        <v xml:space="preserve"> MI 48895</v>
      </c>
      <c r="M416" s="2" t="str">
        <f ca="1">IFERROR(__xludf.DUMMYFUNCTION("""COMPUTED_VALUE""")," USA")</f>
        <v xml:space="preserve"> USA</v>
      </c>
    </row>
    <row r="417" spans="1:13">
      <c r="A417" s="65">
        <v>416</v>
      </c>
      <c r="B417" s="80" t="s">
        <v>2643</v>
      </c>
      <c r="C417" s="65" t="s">
        <v>975</v>
      </c>
      <c r="D417" s="93" t="s">
        <v>1913</v>
      </c>
      <c r="E417" s="48" t="str">
        <f t="shared" si="0"/>
        <v>Albuquerque</v>
      </c>
      <c r="F417" s="83" t="str">
        <f t="shared" si="1"/>
        <v>Valley (Albuquerque),NM</v>
      </c>
      <c r="G417" s="65" t="s">
        <v>2645</v>
      </c>
      <c r="H417" s="65">
        <v>35.071150600000003</v>
      </c>
      <c r="I417" s="65">
        <v>-106.73936519999999</v>
      </c>
      <c r="J417" s="60" t="str">
        <f ca="1">IFERROR(__xludf.DUMMYFUNCTION("SPLIT(G417,"","")"),"Valley Vista SW")</f>
        <v>Valley Vista SW</v>
      </c>
      <c r="K417" s="2" t="str">
        <f ca="1">IFERROR(__xludf.DUMMYFUNCTION("""COMPUTED_VALUE""")," Albuquerque")</f>
        <v xml:space="preserve"> Albuquerque</v>
      </c>
      <c r="L417" s="2" t="str">
        <f ca="1">IFERROR(__xludf.DUMMYFUNCTION("""COMPUTED_VALUE""")," NM 87121")</f>
        <v xml:space="preserve"> NM 87121</v>
      </c>
      <c r="M417" s="2" t="str">
        <f ca="1">IFERROR(__xludf.DUMMYFUNCTION("""COMPUTED_VALUE""")," USA")</f>
        <v xml:space="preserve"> USA</v>
      </c>
    </row>
    <row r="418" spans="1:13">
      <c r="A418" s="60">
        <v>417</v>
      </c>
      <c r="B418" s="79" t="s">
        <v>2648</v>
      </c>
      <c r="C418" s="60" t="s">
        <v>191</v>
      </c>
      <c r="D418" s="93" t="s">
        <v>2650</v>
      </c>
      <c r="E418" s="48" t="str">
        <f t="shared" si="0"/>
        <v>Benton Harbor</v>
      </c>
      <c r="F418" s="83" t="str">
        <f t="shared" si="1"/>
        <v>Benton Harbor,MI</v>
      </c>
      <c r="G418" s="60" t="s">
        <v>2651</v>
      </c>
      <c r="H418" s="60">
        <v>42.116706499999999</v>
      </c>
      <c r="I418" s="60">
        <v>-86.45418939999999</v>
      </c>
      <c r="J418" s="60" t="str">
        <f ca="1">IFERROR(__xludf.DUMMYFUNCTION("SPLIT(G418,"","")"),"101149 6th St")</f>
        <v>101149 6th St</v>
      </c>
      <c r="K418" s="2" t="str">
        <f ca="1">IFERROR(__xludf.DUMMYFUNCTION("""COMPUTED_VALUE""")," Benton Harbor")</f>
        <v xml:space="preserve"> Benton Harbor</v>
      </c>
      <c r="L418" s="2" t="str">
        <f ca="1">IFERROR(__xludf.DUMMYFUNCTION("""COMPUTED_VALUE""")," MI 49022")</f>
        <v xml:space="preserve"> MI 49022</v>
      </c>
      <c r="M418" s="2" t="str">
        <f ca="1">IFERROR(__xludf.DUMMYFUNCTION("""COMPUTED_VALUE""")," USA")</f>
        <v xml:space="preserve"> USA</v>
      </c>
    </row>
    <row r="419" spans="1:13">
      <c r="A419" s="65">
        <v>418</v>
      </c>
      <c r="B419" s="80" t="s">
        <v>2653</v>
      </c>
      <c r="C419" s="65" t="s">
        <v>588</v>
      </c>
      <c r="D419" s="93" t="s">
        <v>2654</v>
      </c>
      <c r="E419" s="48" t="str">
        <f t="shared" si="0"/>
        <v>Arroyo Grande</v>
      </c>
      <c r="F419" s="83" t="str">
        <f t="shared" si="1"/>
        <v>Arroyo Grande,CA</v>
      </c>
      <c r="G419" s="65" t="s">
        <v>2655</v>
      </c>
      <c r="H419" s="65">
        <v>35.118586800000003</v>
      </c>
      <c r="I419" s="65">
        <v>-120.59072519999999</v>
      </c>
      <c r="J419" s="60" t="str">
        <f ca="1">IFERROR(__xludf.DUMMYFUNCTION("SPLIT(G419,"","")"),"811 E Grand Ave")</f>
        <v>811 E Grand Ave</v>
      </c>
      <c r="K419" s="2" t="str">
        <f ca="1">IFERROR(__xludf.DUMMYFUNCTION("""COMPUTED_VALUE""")," Arroyo Grande")</f>
        <v xml:space="preserve"> Arroyo Grande</v>
      </c>
      <c r="L419" s="2" t="str">
        <f ca="1">IFERROR(__xludf.DUMMYFUNCTION("""COMPUTED_VALUE""")," CA 93420")</f>
        <v xml:space="preserve"> CA 93420</v>
      </c>
      <c r="M419" s="2" t="str">
        <f ca="1">IFERROR(__xludf.DUMMYFUNCTION("""COMPUTED_VALUE""")," USA")</f>
        <v xml:space="preserve"> USA</v>
      </c>
    </row>
    <row r="420" spans="1:13">
      <c r="A420" s="60">
        <v>419</v>
      </c>
      <c r="B420" s="79" t="s">
        <v>2657</v>
      </c>
      <c r="C420" s="60" t="s">
        <v>1322</v>
      </c>
      <c r="D420" s="93" t="s">
        <v>2658</v>
      </c>
      <c r="E420" s="48" t="str">
        <f t="shared" si="0"/>
        <v>Boulder</v>
      </c>
      <c r="F420" s="83" t="str">
        <f t="shared" si="1"/>
        <v>Fairview (Boulder),CO</v>
      </c>
      <c r="G420" s="60" t="s">
        <v>2660</v>
      </c>
      <c r="H420" s="60">
        <v>39.972487100000002</v>
      </c>
      <c r="I420" s="60">
        <v>-105.2463001</v>
      </c>
      <c r="J420" s="60" t="str">
        <f ca="1">IFERROR(__xludf.DUMMYFUNCTION("SPLIT(G420,"","")"),"1515 Greenbriar Blvd")</f>
        <v>1515 Greenbriar Blvd</v>
      </c>
      <c r="K420" s="2" t="str">
        <f ca="1">IFERROR(__xludf.DUMMYFUNCTION("""COMPUTED_VALUE""")," Boulder")</f>
        <v xml:space="preserve"> Boulder</v>
      </c>
      <c r="L420" s="2" t="str">
        <f ca="1">IFERROR(__xludf.DUMMYFUNCTION("""COMPUTED_VALUE""")," CO 80305")</f>
        <v xml:space="preserve"> CO 80305</v>
      </c>
      <c r="M420" s="2" t="str">
        <f ca="1">IFERROR(__xludf.DUMMYFUNCTION("""COMPUTED_VALUE""")," USA")</f>
        <v xml:space="preserve"> USA</v>
      </c>
    </row>
    <row r="421" spans="1:13">
      <c r="A421" s="65">
        <v>420</v>
      </c>
      <c r="B421" s="80" t="s">
        <v>2662</v>
      </c>
      <c r="C421" s="65" t="s">
        <v>588</v>
      </c>
      <c r="D421" s="93" t="s">
        <v>2663</v>
      </c>
      <c r="E421" s="48" t="str">
        <f t="shared" si="0"/>
        <v>Valencia</v>
      </c>
      <c r="F421" s="83" t="str">
        <f t="shared" si="1"/>
        <v>Valencia,CA</v>
      </c>
      <c r="G421" s="65" t="s">
        <v>2664</v>
      </c>
      <c r="H421" s="65">
        <v>34.456150999999998</v>
      </c>
      <c r="I421" s="65">
        <v>-118.5713823</v>
      </c>
      <c r="J421" s="60" t="str">
        <f ca="1">IFERROR(__xludf.DUMMYFUNCTION("SPLIT(G421,"","")"),"24805 Carbon Ln")</f>
        <v>24805 Carbon Ln</v>
      </c>
      <c r="K421" s="2" t="str">
        <f ca="1">IFERROR(__xludf.DUMMYFUNCTION("""COMPUTED_VALUE""")," Valencia")</f>
        <v xml:space="preserve"> Valencia</v>
      </c>
      <c r="L421" s="2" t="str">
        <f ca="1">IFERROR(__xludf.DUMMYFUNCTION("""COMPUTED_VALUE""")," CA 91354")</f>
        <v xml:space="preserve"> CA 91354</v>
      </c>
      <c r="M421" s="2" t="str">
        <f ca="1">IFERROR(__xludf.DUMMYFUNCTION("""COMPUTED_VALUE""")," USA")</f>
        <v xml:space="preserve"> USA</v>
      </c>
    </row>
    <row r="422" spans="1:13">
      <c r="A422" s="60">
        <v>421</v>
      </c>
      <c r="B422" s="79" t="s">
        <v>2666</v>
      </c>
      <c r="C422" s="60" t="s">
        <v>618</v>
      </c>
      <c r="D422" s="93" t="s">
        <v>2667</v>
      </c>
      <c r="E422" s="48" t="str">
        <f t="shared" si="0"/>
        <v>Mishawaka</v>
      </c>
      <c r="F422" s="83" t="str">
        <f t="shared" si="1"/>
        <v>Mishawaka Marian (Mishawaka),IN</v>
      </c>
      <c r="G422" s="60" t="s">
        <v>2669</v>
      </c>
      <c r="H422" s="60">
        <v>41.649813600000002</v>
      </c>
      <c r="I422" s="60">
        <v>-86.197324899999998</v>
      </c>
      <c r="J422" s="60" t="str">
        <f ca="1">IFERROR(__xludf.DUMMYFUNCTION("SPLIT(G422,"","")"),"1311 S Logan St")</f>
        <v>1311 S Logan St</v>
      </c>
      <c r="K422" s="2" t="str">
        <f ca="1">IFERROR(__xludf.DUMMYFUNCTION("""COMPUTED_VALUE""")," Mishawaka")</f>
        <v xml:space="preserve"> Mishawaka</v>
      </c>
      <c r="L422" s="2" t="str">
        <f ca="1">IFERROR(__xludf.DUMMYFUNCTION("""COMPUTED_VALUE""")," IN 46544")</f>
        <v xml:space="preserve"> IN 46544</v>
      </c>
      <c r="M422" s="2" t="str">
        <f ca="1">IFERROR(__xludf.DUMMYFUNCTION("""COMPUTED_VALUE""")," USA")</f>
        <v xml:space="preserve"> USA</v>
      </c>
    </row>
    <row r="423" spans="1:13">
      <c r="A423" s="65">
        <v>422</v>
      </c>
      <c r="B423" s="80" t="s">
        <v>2671</v>
      </c>
      <c r="C423" s="65" t="s">
        <v>595</v>
      </c>
      <c r="D423" s="93" t="s">
        <v>2672</v>
      </c>
      <c r="E423" s="48" t="str">
        <f t="shared" si="0"/>
        <v>Hewitt</v>
      </c>
      <c r="F423" s="83" t="str">
        <f t="shared" si="1"/>
        <v>Midway (Waco),TX</v>
      </c>
      <c r="G423" s="65" t="s">
        <v>2673</v>
      </c>
      <c r="H423" s="65">
        <v>31.4790876</v>
      </c>
      <c r="I423" s="65">
        <v>-97.204575300000002</v>
      </c>
      <c r="J423" s="60" t="str">
        <f ca="1">IFERROR(__xludf.DUMMYFUNCTION("SPLIT(G423,"","")"),"800 N Hewitt Dr")</f>
        <v>800 N Hewitt Dr</v>
      </c>
      <c r="K423" s="2" t="str">
        <f ca="1">IFERROR(__xludf.DUMMYFUNCTION("""COMPUTED_VALUE""")," Hewitt")</f>
        <v xml:space="preserve"> Hewitt</v>
      </c>
      <c r="L423" s="2" t="str">
        <f ca="1">IFERROR(__xludf.DUMMYFUNCTION("""COMPUTED_VALUE""")," TX 76643")</f>
        <v xml:space="preserve"> TX 76643</v>
      </c>
      <c r="M423" s="2" t="str">
        <f ca="1">IFERROR(__xludf.DUMMYFUNCTION("""COMPUTED_VALUE""")," USA")</f>
        <v xml:space="preserve"> USA</v>
      </c>
    </row>
    <row r="424" spans="1:13">
      <c r="A424" s="97">
        <v>423</v>
      </c>
      <c r="B424" s="99" t="s">
        <v>2675</v>
      </c>
      <c r="C424" s="97" t="s">
        <v>590</v>
      </c>
      <c r="D424" s="93" t="s">
        <v>2676</v>
      </c>
      <c r="E424" s="48" t="str">
        <f t="shared" si="0"/>
        <v>Fort Washington</v>
      </c>
      <c r="F424" s="83" t="str">
        <f t="shared" si="1"/>
        <v>National Christian Academy (Fort Washington),MD</v>
      </c>
      <c r="G424" s="97" t="s">
        <v>2678</v>
      </c>
      <c r="H424" s="97">
        <v>38.798929100000002</v>
      </c>
      <c r="I424" s="97">
        <v>-76.977897499999997</v>
      </c>
      <c r="J424" s="60" t="str">
        <f ca="1">IFERROR(__xludf.DUMMYFUNCTION("SPLIT(G424,"","")"),"6700 Bock Rd")</f>
        <v>6700 Bock Rd</v>
      </c>
      <c r="K424" s="2" t="str">
        <f ca="1">IFERROR(__xludf.DUMMYFUNCTION("""COMPUTED_VALUE""")," Fort Washington")</f>
        <v xml:space="preserve"> Fort Washington</v>
      </c>
      <c r="L424" s="2" t="str">
        <f ca="1">IFERROR(__xludf.DUMMYFUNCTION("""COMPUTED_VALUE""")," MD 20744")</f>
        <v xml:space="preserve"> MD 20744</v>
      </c>
      <c r="M424" s="2" t="str">
        <f ca="1">IFERROR(__xludf.DUMMYFUNCTION("""COMPUTED_VALUE""")," USA")</f>
        <v xml:space="preserve"> USA</v>
      </c>
    </row>
    <row r="425" spans="1:13">
      <c r="A425" s="65">
        <v>424</v>
      </c>
      <c r="B425" s="80" t="s">
        <v>2680</v>
      </c>
      <c r="C425" s="65" t="s">
        <v>608</v>
      </c>
      <c r="D425" s="93" t="s">
        <v>2681</v>
      </c>
      <c r="E425" s="48" t="str">
        <f t="shared" si="0"/>
        <v>Brooklyn Park</v>
      </c>
      <c r="F425" s="83" t="str">
        <f t="shared" si="1"/>
        <v>Park Center (Brooklyn Park),MN</v>
      </c>
      <c r="G425" s="65" t="s">
        <v>2682</v>
      </c>
      <c r="H425" s="65">
        <v>45.088651900000002</v>
      </c>
      <c r="I425" s="65">
        <v>-93.343664899999993</v>
      </c>
      <c r="J425" s="60" t="str">
        <f ca="1">IFERROR(__xludf.DUMMYFUNCTION("SPLIT(G425,"","")"),"7300 Brooklyn Blvd")</f>
        <v>7300 Brooklyn Blvd</v>
      </c>
      <c r="K425" s="2" t="str">
        <f ca="1">IFERROR(__xludf.DUMMYFUNCTION("""COMPUTED_VALUE""")," Brooklyn Park")</f>
        <v xml:space="preserve"> Brooklyn Park</v>
      </c>
      <c r="L425" s="2" t="str">
        <f ca="1">IFERROR(__xludf.DUMMYFUNCTION("""COMPUTED_VALUE""")," MN 55443")</f>
        <v xml:space="preserve"> MN 55443</v>
      </c>
      <c r="M425" s="2" t="str">
        <f ca="1">IFERROR(__xludf.DUMMYFUNCTION("""COMPUTED_VALUE""")," USA")</f>
        <v xml:space="preserve"> USA</v>
      </c>
    </row>
    <row r="426" spans="1:13">
      <c r="A426" s="60">
        <v>425</v>
      </c>
      <c r="B426" s="79" t="s">
        <v>2684</v>
      </c>
      <c r="C426" s="60" t="s">
        <v>191</v>
      </c>
      <c r="D426" s="93" t="s">
        <v>2685</v>
      </c>
      <c r="E426" s="48" t="str">
        <f t="shared" si="0"/>
        <v>River Rouge</v>
      </c>
      <c r="F426" s="83" t="str">
        <f t="shared" si="1"/>
        <v>River Rouge,MI</v>
      </c>
      <c r="G426" s="60" t="s">
        <v>2687</v>
      </c>
      <c r="H426" s="60">
        <v>42.2733718</v>
      </c>
      <c r="I426" s="60">
        <v>-83.134367699999999</v>
      </c>
      <c r="J426" s="60" t="str">
        <f ca="1">IFERROR(__xludf.DUMMYFUNCTION("SPLIT(G426,"","")"),"10573 W Jefferson Ave")</f>
        <v>10573 W Jefferson Ave</v>
      </c>
      <c r="K426" s="2" t="str">
        <f ca="1">IFERROR(__xludf.DUMMYFUNCTION("""COMPUTED_VALUE""")," River Rouge")</f>
        <v xml:space="preserve"> River Rouge</v>
      </c>
      <c r="L426" s="2" t="str">
        <f ca="1">IFERROR(__xludf.DUMMYFUNCTION("""COMPUTED_VALUE""")," MI 48218")</f>
        <v xml:space="preserve"> MI 48218</v>
      </c>
      <c r="M426" s="2" t="str">
        <f ca="1">IFERROR(__xludf.DUMMYFUNCTION("""COMPUTED_VALUE""")," USA")</f>
        <v xml:space="preserve"> USA</v>
      </c>
    </row>
    <row r="427" spans="1:13">
      <c r="A427" s="60">
        <v>426</v>
      </c>
      <c r="B427" s="79" t="s">
        <v>2689</v>
      </c>
      <c r="C427" s="60" t="s">
        <v>598</v>
      </c>
      <c r="D427" s="93" t="s">
        <v>2690</v>
      </c>
      <c r="E427" s="48" t="str">
        <f t="shared" si="0"/>
        <v>Athens</v>
      </c>
      <c r="F427" s="83" t="str">
        <f t="shared" si="1"/>
        <v>Cedar Shoals (Athens),GA</v>
      </c>
      <c r="G427" s="60" t="s">
        <v>2692</v>
      </c>
      <c r="H427" s="60">
        <v>33.923046999999997</v>
      </c>
      <c r="I427" s="60">
        <v>-83.331727999999998</v>
      </c>
      <c r="J427" s="60" t="str">
        <f ca="1">IFERROR(__xludf.DUMMYFUNCTION("SPLIT(G427,"","")"),"1300 Cedar Shoals Dr")</f>
        <v>1300 Cedar Shoals Dr</v>
      </c>
      <c r="K427" s="2" t="str">
        <f ca="1">IFERROR(__xludf.DUMMYFUNCTION("""COMPUTED_VALUE""")," Athens")</f>
        <v xml:space="preserve"> Athens</v>
      </c>
      <c r="L427" s="2" t="str">
        <f ca="1">IFERROR(__xludf.DUMMYFUNCTION("""COMPUTED_VALUE""")," GA 30605")</f>
        <v xml:space="preserve"> GA 30605</v>
      </c>
      <c r="M427" s="2" t="str">
        <f ca="1">IFERROR(__xludf.DUMMYFUNCTION("""COMPUTED_VALUE""")," USA")</f>
        <v xml:space="preserve"> USA</v>
      </c>
    </row>
    <row r="428" spans="1:13">
      <c r="A428" s="65">
        <v>427</v>
      </c>
      <c r="B428" s="80" t="s">
        <v>2694</v>
      </c>
      <c r="C428" s="65" t="s">
        <v>98</v>
      </c>
      <c r="D428" s="93" t="s">
        <v>2695</v>
      </c>
      <c r="E428" s="48" t="str">
        <f t="shared" si="0"/>
        <v>Honolulu</v>
      </c>
      <c r="F428" s="83" t="str">
        <f t="shared" si="1"/>
        <v>Maryknoll (Honolulu),HI</v>
      </c>
      <c r="G428" s="65" t="s">
        <v>2697</v>
      </c>
      <c r="H428" s="65">
        <v>21.300912</v>
      </c>
      <c r="I428" s="65">
        <v>-157.83046659999999</v>
      </c>
      <c r="J428" s="60" t="str">
        <f ca="1">IFERROR(__xludf.DUMMYFUNCTION("SPLIT(G428,"","")"),"1526 Alexander St")</f>
        <v>1526 Alexander St</v>
      </c>
      <c r="K428" s="2" t="str">
        <f ca="1">IFERROR(__xludf.DUMMYFUNCTION("""COMPUTED_VALUE""")," Honolulu")</f>
        <v xml:space="preserve"> Honolulu</v>
      </c>
      <c r="L428" s="2" t="str">
        <f ca="1">IFERROR(__xludf.DUMMYFUNCTION("""COMPUTED_VALUE""")," HI 96822")</f>
        <v xml:space="preserve"> HI 96822</v>
      </c>
      <c r="M428" s="2" t="str">
        <f ca="1">IFERROR(__xludf.DUMMYFUNCTION("""COMPUTED_VALUE""")," USA")</f>
        <v xml:space="preserve"> USA</v>
      </c>
    </row>
    <row r="429" spans="1:13">
      <c r="A429" s="60">
        <v>428</v>
      </c>
      <c r="B429" s="79" t="s">
        <v>2699</v>
      </c>
      <c r="C429" s="60" t="s">
        <v>901</v>
      </c>
      <c r="D429" s="93" t="s">
        <v>2700</v>
      </c>
      <c r="E429" s="48" t="str">
        <f t="shared" si="0"/>
        <v>Hot Springs</v>
      </c>
      <c r="F429" s="83" t="str">
        <f t="shared" si="1"/>
        <v>Hot Springs,AR</v>
      </c>
      <c r="G429" s="60" t="s">
        <v>2702</v>
      </c>
      <c r="H429" s="60">
        <v>34.5037004</v>
      </c>
      <c r="I429" s="60">
        <v>-93.055179499999994</v>
      </c>
      <c r="J429" s="60" t="str">
        <f ca="1">IFERROR(__xludf.DUMMYFUNCTION("SPLIT(G429,"","")"),"348 US-70 BUS")</f>
        <v>348 US-70 BUS</v>
      </c>
      <c r="K429" s="2" t="str">
        <f ca="1">IFERROR(__xludf.DUMMYFUNCTION("""COMPUTED_VALUE""")," Hot Springs")</f>
        <v xml:space="preserve"> Hot Springs</v>
      </c>
      <c r="L429" s="2" t="str">
        <f ca="1">IFERROR(__xludf.DUMMYFUNCTION("""COMPUTED_VALUE""")," AR 71901")</f>
        <v xml:space="preserve"> AR 71901</v>
      </c>
      <c r="M429" s="2" t="str">
        <f ca="1">IFERROR(__xludf.DUMMYFUNCTION("""COMPUTED_VALUE""")," USA")</f>
        <v xml:space="preserve"> USA</v>
      </c>
    </row>
    <row r="430" spans="1:13">
      <c r="A430" s="65">
        <v>429</v>
      </c>
      <c r="B430" s="80" t="s">
        <v>2704</v>
      </c>
      <c r="C430" s="65" t="s">
        <v>602</v>
      </c>
      <c r="D430" s="93" t="s">
        <v>1554</v>
      </c>
      <c r="E430" s="48" t="str">
        <f t="shared" si="0"/>
        <v>Virginia Beach</v>
      </c>
      <c r="F430" s="83" t="str">
        <f t="shared" si="1"/>
        <v>Cape Henry Collegiate (Virginia Beach),VA</v>
      </c>
      <c r="G430" s="65" t="s">
        <v>2705</v>
      </c>
      <c r="H430" s="65">
        <v>36.8768058</v>
      </c>
      <c r="I430" s="65">
        <v>-76.029850499999995</v>
      </c>
      <c r="J430" s="60" t="str">
        <f ca="1">IFERROR(__xludf.DUMMYFUNCTION("SPLIT(G430,"","")"),"1320 Mill Dam Rd")</f>
        <v>1320 Mill Dam Rd</v>
      </c>
      <c r="K430" s="2" t="str">
        <f ca="1">IFERROR(__xludf.DUMMYFUNCTION("""COMPUTED_VALUE""")," Virginia Beach")</f>
        <v xml:space="preserve"> Virginia Beach</v>
      </c>
      <c r="L430" s="2" t="str">
        <f ca="1">IFERROR(__xludf.DUMMYFUNCTION("""COMPUTED_VALUE""")," VA 23454")</f>
        <v xml:space="preserve"> VA 23454</v>
      </c>
      <c r="M430" s="2" t="str">
        <f ca="1">IFERROR(__xludf.DUMMYFUNCTION("""COMPUTED_VALUE""")," USA")</f>
        <v xml:space="preserve"> USA</v>
      </c>
    </row>
    <row r="431" spans="1:13">
      <c r="A431" s="60">
        <v>430</v>
      </c>
      <c r="B431" s="79" t="s">
        <v>2707</v>
      </c>
      <c r="C431" s="60" t="s">
        <v>588</v>
      </c>
      <c r="D431" s="93" t="s">
        <v>2708</v>
      </c>
      <c r="E431" s="48" t="str">
        <f t="shared" si="0"/>
        <v>El Cajon</v>
      </c>
      <c r="F431" s="83" t="str">
        <f t="shared" si="1"/>
        <v>Foothills Christian (El Cajon),CA</v>
      </c>
      <c r="G431" s="60" t="s">
        <v>2710</v>
      </c>
      <c r="H431" s="60">
        <v>32.7979032</v>
      </c>
      <c r="I431" s="60">
        <v>-116.9955324</v>
      </c>
      <c r="J431" s="60" t="str">
        <f ca="1">IFERROR(__xludf.DUMMYFUNCTION("SPLIT(G431,"","")"),"2321 Dryden Rd")</f>
        <v>2321 Dryden Rd</v>
      </c>
      <c r="K431" s="2" t="str">
        <f ca="1">IFERROR(__xludf.DUMMYFUNCTION("""COMPUTED_VALUE""")," El Cajon")</f>
        <v xml:space="preserve"> El Cajon</v>
      </c>
      <c r="L431" s="2" t="str">
        <f ca="1">IFERROR(__xludf.DUMMYFUNCTION("""COMPUTED_VALUE""")," CA 92020")</f>
        <v xml:space="preserve"> CA 92020</v>
      </c>
      <c r="M431" s="2" t="str">
        <f ca="1">IFERROR(__xludf.DUMMYFUNCTION("""COMPUTED_VALUE""")," USA")</f>
        <v xml:space="preserve"> USA</v>
      </c>
    </row>
    <row r="432" spans="1:13">
      <c r="A432" s="65">
        <v>431</v>
      </c>
      <c r="B432" s="80" t="s">
        <v>2712</v>
      </c>
      <c r="C432" s="65" t="s">
        <v>624</v>
      </c>
      <c r="D432" s="93" t="s">
        <v>2713</v>
      </c>
      <c r="E432" s="48" t="str">
        <f t="shared" si="0"/>
        <v>Walker</v>
      </c>
      <c r="F432" s="83" t="str">
        <f t="shared" si="1"/>
        <v>Walker,LA</v>
      </c>
      <c r="G432" s="65" t="s">
        <v>2714</v>
      </c>
      <c r="H432" s="65">
        <v>30.4879678</v>
      </c>
      <c r="I432" s="65">
        <v>-90.861487799999992</v>
      </c>
      <c r="J432" s="60" t="str">
        <f ca="1">IFERROR(__xludf.DUMMYFUNCTION("SPLIT(G432,"","")"),"29525 Walker Rd S")</f>
        <v>29525 Walker Rd S</v>
      </c>
      <c r="K432" s="2" t="str">
        <f ca="1">IFERROR(__xludf.DUMMYFUNCTION("""COMPUTED_VALUE""")," Walker")</f>
        <v xml:space="preserve"> Walker</v>
      </c>
      <c r="L432" s="2" t="str">
        <f ca="1">IFERROR(__xludf.DUMMYFUNCTION("""COMPUTED_VALUE""")," LA 70785")</f>
        <v xml:space="preserve"> LA 70785</v>
      </c>
      <c r="M432" s="2" t="str">
        <f ca="1">IFERROR(__xludf.DUMMYFUNCTION("""COMPUTED_VALUE""")," USA")</f>
        <v xml:space="preserve"> USA</v>
      </c>
    </row>
    <row r="433" spans="1:13">
      <c r="A433" s="60">
        <v>432</v>
      </c>
      <c r="B433" s="79" t="s">
        <v>2716</v>
      </c>
      <c r="C433" s="60" t="s">
        <v>602</v>
      </c>
      <c r="D433" s="93" t="s">
        <v>810</v>
      </c>
      <c r="E433" s="48" t="str">
        <f t="shared" si="0"/>
        <v>Alexandria</v>
      </c>
      <c r="F433" s="83" t="str">
        <f t="shared" si="1"/>
        <v>Episcopal (Alexandria),VA</v>
      </c>
      <c r="G433" s="60" t="s">
        <v>2718</v>
      </c>
      <c r="H433" s="60">
        <v>38.824421600000001</v>
      </c>
      <c r="I433" s="60">
        <v>-77.093969700000002</v>
      </c>
      <c r="J433" s="60" t="str">
        <f ca="1">IFERROR(__xludf.DUMMYFUNCTION("SPLIT(G433,"","")"),"1200 N Quaker Ln")</f>
        <v>1200 N Quaker Ln</v>
      </c>
      <c r="K433" s="2" t="str">
        <f ca="1">IFERROR(__xludf.DUMMYFUNCTION("""COMPUTED_VALUE""")," Alexandria")</f>
        <v xml:space="preserve"> Alexandria</v>
      </c>
      <c r="L433" s="2" t="str">
        <f ca="1">IFERROR(__xludf.DUMMYFUNCTION("""COMPUTED_VALUE""")," VA 22302")</f>
        <v xml:space="preserve"> VA 22302</v>
      </c>
      <c r="M433" s="2" t="str">
        <f ca="1">IFERROR(__xludf.DUMMYFUNCTION("""COMPUTED_VALUE""")," USA")</f>
        <v xml:space="preserve"> USA</v>
      </c>
    </row>
    <row r="434" spans="1:13">
      <c r="A434" s="65">
        <v>433</v>
      </c>
      <c r="B434" s="80" t="s">
        <v>2720</v>
      </c>
      <c r="C434" s="65" t="s">
        <v>1325</v>
      </c>
      <c r="D434" s="93" t="s">
        <v>2721</v>
      </c>
      <c r="E434" s="48" t="str">
        <f t="shared" si="0"/>
        <v>Manchester</v>
      </c>
      <c r="F434" s="83" t="str">
        <f t="shared" si="1"/>
        <v>East Catholic (Manchester),CT</v>
      </c>
      <c r="G434" s="65" t="s">
        <v>2722</v>
      </c>
      <c r="H434" s="65">
        <v>41.783404099999998</v>
      </c>
      <c r="I434" s="65">
        <v>-72.559308200000004</v>
      </c>
      <c r="J434" s="60" t="str">
        <f ca="1">IFERROR(__xludf.DUMMYFUNCTION("SPLIT(G434,"","")"),"115 New State Rd")</f>
        <v>115 New State Rd</v>
      </c>
      <c r="K434" s="2" t="str">
        <f ca="1">IFERROR(__xludf.DUMMYFUNCTION("""COMPUTED_VALUE""")," Manchester")</f>
        <v xml:space="preserve"> Manchester</v>
      </c>
      <c r="L434" s="2" t="str">
        <f ca="1">IFERROR(__xludf.DUMMYFUNCTION("""COMPUTED_VALUE""")," CT 06042")</f>
        <v xml:space="preserve"> CT 06042</v>
      </c>
      <c r="M434" s="2" t="str">
        <f ca="1">IFERROR(__xludf.DUMMYFUNCTION("""COMPUTED_VALUE""")," USA")</f>
        <v xml:space="preserve"> USA</v>
      </c>
    </row>
    <row r="435" spans="1:13">
      <c r="A435" s="60">
        <v>434</v>
      </c>
      <c r="B435" s="79" t="s">
        <v>2723</v>
      </c>
      <c r="C435" s="60" t="s">
        <v>881</v>
      </c>
      <c r="D435" s="93" t="s">
        <v>882</v>
      </c>
      <c r="E435" s="48" t="str">
        <f t="shared" si="0"/>
        <v>Louisville</v>
      </c>
      <c r="F435" s="83" t="str">
        <f t="shared" si="1"/>
        <v>Fern Creek (Louisville),KY</v>
      </c>
      <c r="G435" s="60" t="s">
        <v>2725</v>
      </c>
      <c r="H435" s="60">
        <v>38.165148500000001</v>
      </c>
      <c r="I435" s="60">
        <v>-85.599150299999991</v>
      </c>
      <c r="J435" s="60" t="str">
        <f ca="1">IFERROR(__xludf.DUMMYFUNCTION("SPLIT(G435,"","")"),"Bardstown @ Hudson")</f>
        <v>Bardstown @ Hudson</v>
      </c>
      <c r="K435" s="2" t="str">
        <f ca="1">IFERROR(__xludf.DUMMYFUNCTION("""COMPUTED_VALUE""")," Louisville")</f>
        <v xml:space="preserve"> Louisville</v>
      </c>
      <c r="L435" s="2" t="str">
        <f ca="1">IFERROR(__xludf.DUMMYFUNCTION("""COMPUTED_VALUE""")," KY 40291")</f>
        <v xml:space="preserve"> KY 40291</v>
      </c>
      <c r="M435" s="2" t="str">
        <f ca="1">IFERROR(__xludf.DUMMYFUNCTION("""COMPUTED_VALUE""")," USA")</f>
        <v xml:space="preserve"> USA</v>
      </c>
    </row>
    <row r="436" spans="1:13">
      <c r="A436" s="65">
        <v>435</v>
      </c>
      <c r="B436" s="80" t="s">
        <v>2728</v>
      </c>
      <c r="C436" s="65" t="s">
        <v>737</v>
      </c>
      <c r="D436" s="93" t="s">
        <v>2730</v>
      </c>
      <c r="E436" s="48" t="str">
        <f t="shared" si="0"/>
        <v>Montclair</v>
      </c>
      <c r="F436" s="83" t="str">
        <f t="shared" si="1"/>
        <v>Immaculate Conception (Montclair),NJ</v>
      </c>
      <c r="G436" s="65" t="s">
        <v>2731</v>
      </c>
      <c r="H436" s="65">
        <v>40.816471800000002</v>
      </c>
      <c r="I436" s="65">
        <v>-74.2166383</v>
      </c>
      <c r="J436" s="60" t="str">
        <f ca="1">IFERROR(__xludf.DUMMYFUNCTION("SPLIT(G436,"","")"),"33 Cottage Pl")</f>
        <v>33 Cottage Pl</v>
      </c>
      <c r="K436" s="2" t="str">
        <f ca="1">IFERROR(__xludf.DUMMYFUNCTION("""COMPUTED_VALUE""")," Montclair")</f>
        <v xml:space="preserve"> Montclair</v>
      </c>
      <c r="L436" s="2" t="str">
        <f ca="1">IFERROR(__xludf.DUMMYFUNCTION("""COMPUTED_VALUE""")," NJ 07042")</f>
        <v xml:space="preserve"> NJ 07042</v>
      </c>
      <c r="M436" s="2" t="str">
        <f ca="1">IFERROR(__xludf.DUMMYFUNCTION("""COMPUTED_VALUE""")," USA")</f>
        <v xml:space="preserve"> USA</v>
      </c>
    </row>
    <row r="437" spans="1:13">
      <c r="A437" s="60">
        <v>436</v>
      </c>
      <c r="B437" s="79" t="s">
        <v>2735</v>
      </c>
      <c r="C437" s="60" t="s">
        <v>595</v>
      </c>
      <c r="D437" s="93" t="s">
        <v>1109</v>
      </c>
      <c r="E437" s="48" t="str">
        <f t="shared" si="0"/>
        <v>Arlington</v>
      </c>
      <c r="F437" s="83" t="str">
        <f t="shared" si="1"/>
        <v>Bowie (Arlington),TX</v>
      </c>
      <c r="G437" s="60" t="s">
        <v>2737</v>
      </c>
      <c r="H437" s="60">
        <v>32.6625704</v>
      </c>
      <c r="I437" s="60">
        <v>-97.0719177</v>
      </c>
      <c r="J437" s="60" t="str">
        <f ca="1">IFERROR(__xludf.DUMMYFUNCTION("SPLIT(G437,"","")"),"2101 Highbank Dr")</f>
        <v>2101 Highbank Dr</v>
      </c>
      <c r="K437" s="2" t="str">
        <f ca="1">IFERROR(__xludf.DUMMYFUNCTION("""COMPUTED_VALUE""")," Arlington")</f>
        <v xml:space="preserve"> Arlington</v>
      </c>
      <c r="L437" s="2" t="str">
        <f ca="1">IFERROR(__xludf.DUMMYFUNCTION("""COMPUTED_VALUE""")," TX 76018")</f>
        <v xml:space="preserve"> TX 76018</v>
      </c>
      <c r="M437" s="2" t="str">
        <f ca="1">IFERROR(__xludf.DUMMYFUNCTION("""COMPUTED_VALUE""")," USA")</f>
        <v xml:space="preserve"> USA</v>
      </c>
    </row>
    <row r="438" spans="1:13">
      <c r="A438" s="65">
        <v>437</v>
      </c>
      <c r="B438" s="80" t="s">
        <v>2739</v>
      </c>
      <c r="C438" s="65" t="s">
        <v>796</v>
      </c>
      <c r="D438" s="93" t="s">
        <v>2740</v>
      </c>
      <c r="E438" s="48" t="str">
        <f t="shared" si="0"/>
        <v>Roeland Park</v>
      </c>
      <c r="F438" s="83" t="str">
        <f t="shared" si="1"/>
        <v>Bishop Miege (Shawnee Mission),KS</v>
      </c>
      <c r="G438" s="65" t="s">
        <v>2742</v>
      </c>
      <c r="H438" s="65">
        <v>39.035641400000003</v>
      </c>
      <c r="I438" s="65">
        <v>-94.624758599999993</v>
      </c>
      <c r="J438" s="60" t="str">
        <f ca="1">IFERROR(__xludf.DUMMYFUNCTION("SPLIT(G438,"","")"),"5041 Reinhardt Dr")</f>
        <v>5041 Reinhardt Dr</v>
      </c>
      <c r="K438" s="2" t="str">
        <f ca="1">IFERROR(__xludf.DUMMYFUNCTION("""COMPUTED_VALUE""")," Roeland Park")</f>
        <v xml:space="preserve"> Roeland Park</v>
      </c>
      <c r="L438" s="2" t="str">
        <f ca="1">IFERROR(__xludf.DUMMYFUNCTION("""COMPUTED_VALUE""")," KS 66205")</f>
        <v xml:space="preserve"> KS 66205</v>
      </c>
      <c r="M438" s="2" t="str">
        <f ca="1">IFERROR(__xludf.DUMMYFUNCTION("""COMPUTED_VALUE""")," USA")</f>
        <v xml:space="preserve"> USA</v>
      </c>
    </row>
    <row r="439" spans="1:13">
      <c r="A439" s="60">
        <v>438</v>
      </c>
      <c r="B439" s="79" t="s">
        <v>2746</v>
      </c>
      <c r="C439" s="60" t="s">
        <v>897</v>
      </c>
      <c r="D439" s="93" t="s">
        <v>2747</v>
      </c>
      <c r="E439" s="48" t="str">
        <f t="shared" si="0"/>
        <v>Cape Girardeau</v>
      </c>
      <c r="F439" s="83" t="str">
        <f t="shared" si="1"/>
        <v>Notre Dame (Cape Girardeau),MO</v>
      </c>
      <c r="G439" s="60" t="s">
        <v>2748</v>
      </c>
      <c r="H439" s="60">
        <v>37.305658999999999</v>
      </c>
      <c r="I439" s="60">
        <v>-89.608908999999997</v>
      </c>
      <c r="J439" s="60" t="str">
        <f ca="1">IFERROR(__xludf.DUMMYFUNCTION("SPLIT(G439,"","")"),"265 Notre Dame Dr")</f>
        <v>265 Notre Dame Dr</v>
      </c>
      <c r="K439" s="2" t="str">
        <f ca="1">IFERROR(__xludf.DUMMYFUNCTION("""COMPUTED_VALUE""")," Cape Girardeau")</f>
        <v xml:space="preserve"> Cape Girardeau</v>
      </c>
      <c r="L439" s="2" t="str">
        <f ca="1">IFERROR(__xludf.DUMMYFUNCTION("""COMPUTED_VALUE""")," MO 63701")</f>
        <v xml:space="preserve"> MO 63701</v>
      </c>
      <c r="M439" s="2" t="str">
        <f ca="1">IFERROR(__xludf.DUMMYFUNCTION("""COMPUTED_VALUE""")," USA")</f>
        <v xml:space="preserve"> USA</v>
      </c>
    </row>
    <row r="440" spans="1:13">
      <c r="A440" s="65">
        <v>439</v>
      </c>
      <c r="B440" s="80" t="s">
        <v>2752</v>
      </c>
      <c r="C440" s="65" t="s">
        <v>136</v>
      </c>
      <c r="D440" s="93" t="s">
        <v>835</v>
      </c>
      <c r="E440" s="48" t="str">
        <f t="shared" si="0"/>
        <v>Orlando</v>
      </c>
      <c r="F440" s="83" t="str">
        <f t="shared" si="1"/>
        <v>Dr. Phillips (Orlando),FL</v>
      </c>
      <c r="G440" s="65" t="s">
        <v>2754</v>
      </c>
      <c r="H440" s="65">
        <v>28.537538699999999</v>
      </c>
      <c r="I440" s="65">
        <v>-81.376897</v>
      </c>
      <c r="J440" s="60" t="str">
        <f ca="1">IFERROR(__xludf.DUMMYFUNCTION("SPLIT(G440,"","")"),"445 S Magnolia Ave")</f>
        <v>445 S Magnolia Ave</v>
      </c>
      <c r="K440" s="2" t="str">
        <f ca="1">IFERROR(__xludf.DUMMYFUNCTION("""COMPUTED_VALUE""")," Orlando")</f>
        <v xml:space="preserve"> Orlando</v>
      </c>
      <c r="L440" s="2" t="str">
        <f ca="1">IFERROR(__xludf.DUMMYFUNCTION("""COMPUTED_VALUE""")," FL 32801")</f>
        <v xml:space="preserve"> FL 32801</v>
      </c>
      <c r="M440" s="2" t="str">
        <f ca="1">IFERROR(__xludf.DUMMYFUNCTION("""COMPUTED_VALUE""")," USA")</f>
        <v xml:space="preserve"> USA</v>
      </c>
    </row>
    <row r="441" spans="1:13">
      <c r="A441" s="60">
        <v>440</v>
      </c>
      <c r="B441" s="79" t="s">
        <v>2757</v>
      </c>
      <c r="C441" s="60" t="s">
        <v>897</v>
      </c>
      <c r="D441" s="93" t="s">
        <v>899</v>
      </c>
      <c r="E441" s="48" t="str">
        <f t="shared" si="0"/>
        <v>St. Louis</v>
      </c>
      <c r="F441" s="83" t="str">
        <f t="shared" si="1"/>
        <v>De Smet Jesuit (St. Louis),MO</v>
      </c>
      <c r="G441" s="60" t="s">
        <v>2758</v>
      </c>
      <c r="H441" s="60">
        <v>38.660578999999998</v>
      </c>
      <c r="I441" s="60">
        <v>-90.445639999999997</v>
      </c>
      <c r="J441" s="60" t="str">
        <f ca="1">IFERROR(__xludf.DUMMYFUNCTION("SPLIT(G441,"","")"),"233 N New Ballas Rd")</f>
        <v>233 N New Ballas Rd</v>
      </c>
      <c r="K441" s="2" t="str">
        <f ca="1">IFERROR(__xludf.DUMMYFUNCTION("""COMPUTED_VALUE""")," St. Louis")</f>
        <v xml:space="preserve"> St. Louis</v>
      </c>
      <c r="L441" s="2" t="str">
        <f ca="1">IFERROR(__xludf.DUMMYFUNCTION("""COMPUTED_VALUE""")," MO 63141")</f>
        <v xml:space="preserve"> MO 63141</v>
      </c>
      <c r="M441" s="2" t="str">
        <f ca="1">IFERROR(__xludf.DUMMYFUNCTION("""COMPUTED_VALUE""")," USA")</f>
        <v xml:space="preserve"> USA</v>
      </c>
    </row>
    <row r="442" spans="1:13">
      <c r="A442" s="65">
        <v>441</v>
      </c>
      <c r="B442" s="80" t="s">
        <v>2763</v>
      </c>
      <c r="C442" s="65" t="s">
        <v>136</v>
      </c>
      <c r="D442" s="93" t="s">
        <v>2764</v>
      </c>
      <c r="E442" s="48" t="str">
        <f t="shared" si="0"/>
        <v>Pinecrest</v>
      </c>
      <c r="F442" s="83" t="str">
        <f t="shared" si="1"/>
        <v>Gulliver Prep (Miami),FL</v>
      </c>
      <c r="G442" s="65" t="s">
        <v>2766</v>
      </c>
      <c r="H442" s="65">
        <v>25.689506999999999</v>
      </c>
      <c r="I442" s="65">
        <v>-80.299706</v>
      </c>
      <c r="J442" s="60" t="str">
        <f ca="1">IFERROR(__xludf.DUMMYFUNCTION("SPLIT(G442,"","")"),"6575 N Kendall Dr")</f>
        <v>6575 N Kendall Dr</v>
      </c>
      <c r="K442" s="2" t="str">
        <f ca="1">IFERROR(__xludf.DUMMYFUNCTION("""COMPUTED_VALUE""")," Pinecrest")</f>
        <v xml:space="preserve"> Pinecrest</v>
      </c>
      <c r="L442" s="2" t="str">
        <f ca="1">IFERROR(__xludf.DUMMYFUNCTION("""COMPUTED_VALUE""")," FL 33156")</f>
        <v xml:space="preserve"> FL 33156</v>
      </c>
      <c r="M442" s="2" t="str">
        <f ca="1">IFERROR(__xludf.DUMMYFUNCTION("""COMPUTED_VALUE""")," USA")</f>
        <v xml:space="preserve"> USA</v>
      </c>
    </row>
    <row r="443" spans="1:13">
      <c r="A443" s="60">
        <v>442</v>
      </c>
      <c r="B443" s="79" t="s">
        <v>2772</v>
      </c>
      <c r="C443" s="60" t="s">
        <v>179</v>
      </c>
      <c r="D443" s="93" t="s">
        <v>1921</v>
      </c>
      <c r="E443" s="48" t="str">
        <f t="shared" si="0"/>
        <v>Greensboro</v>
      </c>
      <c r="F443" s="83" t="str">
        <f t="shared" si="1"/>
        <v>Piedmont Classical (Browns Summit),NC</v>
      </c>
      <c r="G443" s="60" t="s">
        <v>2774</v>
      </c>
      <c r="H443" s="60">
        <v>36.141088000000003</v>
      </c>
      <c r="I443" s="60">
        <v>-79.775282399999995</v>
      </c>
      <c r="J443" s="60" t="str">
        <f ca="1">IFERROR(__xludf.DUMMYFUNCTION("SPLIT(G443,"","")"),"4100 Yanceyville St")</f>
        <v>4100 Yanceyville St</v>
      </c>
      <c r="K443" s="2" t="str">
        <f ca="1">IFERROR(__xludf.DUMMYFUNCTION("""COMPUTED_VALUE""")," Greensboro")</f>
        <v xml:space="preserve"> Greensboro</v>
      </c>
      <c r="L443" s="2" t="str">
        <f ca="1">IFERROR(__xludf.DUMMYFUNCTION("""COMPUTED_VALUE""")," NC 27405")</f>
        <v xml:space="preserve"> NC 27405</v>
      </c>
      <c r="M443" s="2" t="str">
        <f ca="1">IFERROR(__xludf.DUMMYFUNCTION("""COMPUTED_VALUE""")," USA")</f>
        <v xml:space="preserve"> USA</v>
      </c>
    </row>
    <row r="444" spans="1:13">
      <c r="A444" s="65">
        <v>443</v>
      </c>
      <c r="B444" s="80" t="s">
        <v>2779</v>
      </c>
      <c r="C444" s="65" t="s">
        <v>618</v>
      </c>
      <c r="D444" s="93" t="s">
        <v>680</v>
      </c>
      <c r="E444" s="48" t="str">
        <f t="shared" si="0"/>
        <v>Indianapolis</v>
      </c>
      <c r="F444" s="83" t="str">
        <f t="shared" si="1"/>
        <v>Indianapolis Crispus Attucks (Indianapolis),IN</v>
      </c>
      <c r="G444" s="65" t="s">
        <v>2781</v>
      </c>
      <c r="H444" s="65">
        <v>39.782831600000002</v>
      </c>
      <c r="I444" s="65">
        <v>-86.169199199999994</v>
      </c>
      <c r="J444" s="60" t="str">
        <f ca="1">IFERROR(__xludf.DUMMYFUNCTION("SPLIT(G444,"","")"),"1140 Doctor M.L.K. Jr St")</f>
        <v>1140 Doctor M.L.K. Jr St</v>
      </c>
      <c r="K444" s="2" t="str">
        <f ca="1">IFERROR(__xludf.DUMMYFUNCTION("""COMPUTED_VALUE""")," Indianapolis")</f>
        <v xml:space="preserve"> Indianapolis</v>
      </c>
      <c r="L444" s="2" t="str">
        <f ca="1">IFERROR(__xludf.DUMMYFUNCTION("""COMPUTED_VALUE""")," IN 46202")</f>
        <v xml:space="preserve"> IN 46202</v>
      </c>
      <c r="M444" s="2" t="str">
        <f ca="1">IFERROR(__xludf.DUMMYFUNCTION("""COMPUTED_VALUE""")," USA")</f>
        <v xml:space="preserve"> USA</v>
      </c>
    </row>
    <row r="445" spans="1:13">
      <c r="A445" s="60">
        <v>444</v>
      </c>
      <c r="B445" s="79" t="s">
        <v>2783</v>
      </c>
      <c r="C445" s="60" t="s">
        <v>624</v>
      </c>
      <c r="D445" s="93" t="s">
        <v>683</v>
      </c>
      <c r="E445" s="48" t="str">
        <f t="shared" si="0"/>
        <v>Baton Rouge</v>
      </c>
      <c r="F445" s="83" t="str">
        <f t="shared" si="1"/>
        <v>University Lab (Baton Rouge),LA</v>
      </c>
      <c r="G445" s="60" t="s">
        <v>2785</v>
      </c>
      <c r="H445" s="60">
        <v>30.415050799999999</v>
      </c>
      <c r="I445" s="60">
        <v>-91.172831000000002</v>
      </c>
      <c r="J445" s="60" t="str">
        <f ca="1">IFERROR(__xludf.DUMMYFUNCTION("SPLIT(G445,"","")"),"45 Dalrymple Dr")</f>
        <v>45 Dalrymple Dr</v>
      </c>
      <c r="K445" s="2" t="str">
        <f ca="1">IFERROR(__xludf.DUMMYFUNCTION("""COMPUTED_VALUE""")," Baton Rouge")</f>
        <v xml:space="preserve"> Baton Rouge</v>
      </c>
      <c r="L445" s="2" t="str">
        <f ca="1">IFERROR(__xludf.DUMMYFUNCTION("""COMPUTED_VALUE""")," LA 70808")</f>
        <v xml:space="preserve"> LA 70808</v>
      </c>
      <c r="M445" s="2" t="str">
        <f ca="1">IFERROR(__xludf.DUMMYFUNCTION("""COMPUTED_VALUE""")," USA")</f>
        <v xml:space="preserve"> USA</v>
      </c>
    </row>
    <row r="446" spans="1:13">
      <c r="A446" s="65">
        <v>445</v>
      </c>
      <c r="B446" s="80" t="s">
        <v>2787</v>
      </c>
      <c r="C446" s="65" t="s">
        <v>191</v>
      </c>
      <c r="D446" s="93" t="s">
        <v>2789</v>
      </c>
      <c r="E446" s="48" t="str">
        <f t="shared" si="0"/>
        <v>Detroit</v>
      </c>
      <c r="F446" s="83" t="str">
        <f t="shared" si="1"/>
        <v>Edison Academy (Detroit),MI</v>
      </c>
      <c r="G446" s="65" t="s">
        <v>2790</v>
      </c>
      <c r="H446" s="65">
        <v>42.352006000000003</v>
      </c>
      <c r="I446" s="65">
        <v>-83.036860399999995</v>
      </c>
      <c r="J446" s="60" t="str">
        <f ca="1">IFERROR(__xludf.DUMMYFUNCTION("SPLIT(G446,"","")"),"1988 Erskine St")</f>
        <v>1988 Erskine St</v>
      </c>
      <c r="K446" s="2" t="str">
        <f ca="1">IFERROR(__xludf.DUMMYFUNCTION("""COMPUTED_VALUE""")," Detroit")</f>
        <v xml:space="preserve"> Detroit</v>
      </c>
      <c r="L446" s="2" t="str">
        <f ca="1">IFERROR(__xludf.DUMMYFUNCTION("""COMPUTED_VALUE""")," MI 48207")</f>
        <v xml:space="preserve"> MI 48207</v>
      </c>
      <c r="M446" s="2" t="str">
        <f ca="1">IFERROR(__xludf.DUMMYFUNCTION("""COMPUTED_VALUE""")," USA")</f>
        <v xml:space="preserve"> USA</v>
      </c>
    </row>
    <row r="447" spans="1:13">
      <c r="A447" s="60">
        <v>446</v>
      </c>
      <c r="B447" s="79" t="s">
        <v>2791</v>
      </c>
      <c r="C447" s="60" t="s">
        <v>770</v>
      </c>
      <c r="D447" s="93" t="s">
        <v>875</v>
      </c>
      <c r="E447" s="48" t="str">
        <f t="shared" si="0"/>
        <v>Memphis</v>
      </c>
      <c r="F447" s="83" t="str">
        <f t="shared" si="1"/>
        <v>Wooddale (Memphis),TN</v>
      </c>
      <c r="G447" s="60" t="s">
        <v>2793</v>
      </c>
      <c r="H447" s="60">
        <v>35.057194000000003</v>
      </c>
      <c r="I447" s="60">
        <v>-89.891984600000001</v>
      </c>
      <c r="J447" s="60" t="str">
        <f ca="1">IFERROR(__xludf.DUMMYFUNCTION("SPLIT(G447,"","")"),"5151 Scottsdale Ave")</f>
        <v>5151 Scottsdale Ave</v>
      </c>
      <c r="K447" s="2" t="str">
        <f ca="1">IFERROR(__xludf.DUMMYFUNCTION("""COMPUTED_VALUE""")," Memphis")</f>
        <v xml:space="preserve"> Memphis</v>
      </c>
      <c r="L447" s="2" t="str">
        <f ca="1">IFERROR(__xludf.DUMMYFUNCTION("""COMPUTED_VALUE""")," TN 38118")</f>
        <v xml:space="preserve"> TN 38118</v>
      </c>
      <c r="M447" s="2" t="str">
        <f ca="1">IFERROR(__xludf.DUMMYFUNCTION("""COMPUTED_VALUE""")," USA")</f>
        <v xml:space="preserve"> USA</v>
      </c>
    </row>
    <row r="448" spans="1:13">
      <c r="A448" s="65">
        <v>447</v>
      </c>
      <c r="B448" s="80" t="s">
        <v>2795</v>
      </c>
      <c r="C448" s="65" t="s">
        <v>588</v>
      </c>
      <c r="D448" s="93" t="s">
        <v>2796</v>
      </c>
      <c r="E448" s="48" t="str">
        <f t="shared" si="0"/>
        <v>Torrance</v>
      </c>
      <c r="F448" s="83" t="str">
        <f t="shared" si="1"/>
        <v>Bishop Montgomery (Torrance),CA</v>
      </c>
      <c r="G448" s="52" t="s">
        <v>2798</v>
      </c>
      <c r="H448" s="65">
        <v>33.836523999999997</v>
      </c>
      <c r="I448" s="65">
        <v>-118.3734314</v>
      </c>
      <c r="J448" s="60" t="str">
        <f ca="1">IFERROR(__xludf.DUMMYFUNCTION("SPLIT(G448,"","")"),"5430 Torrance Blvd")</f>
        <v>5430 Torrance Blvd</v>
      </c>
      <c r="K448" s="2" t="str">
        <f ca="1">IFERROR(__xludf.DUMMYFUNCTION("""COMPUTED_VALUE""")," Torrance")</f>
        <v xml:space="preserve"> Torrance</v>
      </c>
      <c r="L448" s="2" t="str">
        <f ca="1">IFERROR(__xludf.DUMMYFUNCTION("""COMPUTED_VALUE""")," CA 90503")</f>
        <v xml:space="preserve"> CA 90503</v>
      </c>
      <c r="M448" s="2" t="str">
        <f ca="1">IFERROR(__xludf.DUMMYFUNCTION("""COMPUTED_VALUE""")," USA")</f>
        <v xml:space="preserve"> USA</v>
      </c>
    </row>
    <row r="449" spans="1:16">
      <c r="A449" s="115">
        <v>448</v>
      </c>
      <c r="B449" s="116" t="s">
        <v>2802</v>
      </c>
      <c r="C449" s="115" t="s">
        <v>624</v>
      </c>
      <c r="D449" s="93" t="s">
        <v>2805</v>
      </c>
      <c r="E449" s="48" t="str">
        <f t="shared" si="0"/>
        <v>Lafayette</v>
      </c>
      <c r="F449" s="117" t="str">
        <f t="shared" si="1"/>
        <v>St. Thomas More (Lafayette),LA</v>
      </c>
      <c r="G449" s="115" t="s">
        <v>2808</v>
      </c>
      <c r="H449" s="115">
        <v>30.145844499999999</v>
      </c>
      <c r="I449" s="115">
        <v>-92.040943499999997</v>
      </c>
      <c r="J449" s="115" t="str">
        <f ca="1">IFERROR(__xludf.DUMMYFUNCTION("SPLIT(G449,"","")"),"450 E Farrel Rd")</f>
        <v>450 E Farrel Rd</v>
      </c>
      <c r="K449" s="2" t="str">
        <f ca="1">IFERROR(__xludf.DUMMYFUNCTION("""COMPUTED_VALUE""")," Lafayette")</f>
        <v xml:space="preserve"> Lafayette</v>
      </c>
      <c r="L449" s="2" t="str">
        <f ca="1">IFERROR(__xludf.DUMMYFUNCTION("""COMPUTED_VALUE""")," LA 70508")</f>
        <v xml:space="preserve"> LA 70508</v>
      </c>
      <c r="M449" s="2" t="str">
        <f ca="1">IFERROR(__xludf.DUMMYFUNCTION("""COMPUTED_VALUE""")," USA")</f>
        <v xml:space="preserve"> USA</v>
      </c>
      <c r="P449" s="115"/>
    </row>
    <row r="450" spans="1:16">
      <c r="A450" s="65">
        <v>449</v>
      </c>
      <c r="B450" s="80" t="s">
        <v>2812</v>
      </c>
      <c r="C450" s="65" t="s">
        <v>1067</v>
      </c>
      <c r="D450" s="93" t="s">
        <v>2815</v>
      </c>
      <c r="E450" s="48" t="str">
        <f t="shared" si="0"/>
        <v>Blairstown</v>
      </c>
      <c r="F450" s="83" t="str">
        <f t="shared" si="1"/>
        <v>Blair Academy (Blairstown),PS</v>
      </c>
      <c r="G450" s="65" t="s">
        <v>2816</v>
      </c>
      <c r="H450" s="65">
        <v>40.98601</v>
      </c>
      <c r="I450" s="65">
        <v>-74.963783399999997</v>
      </c>
      <c r="J450" s="60" t="str">
        <f ca="1">IFERROR(__xludf.DUMMYFUNCTION("SPLIT(G450,"","")"),"2 Park St")</f>
        <v>2 Park St</v>
      </c>
      <c r="K450" s="2" t="str">
        <f ca="1">IFERROR(__xludf.DUMMYFUNCTION("""COMPUTED_VALUE""")," Blairstown")</f>
        <v xml:space="preserve"> Blairstown</v>
      </c>
      <c r="L450" s="2" t="str">
        <f ca="1">IFERROR(__xludf.DUMMYFUNCTION("""COMPUTED_VALUE""")," NJ 07825")</f>
        <v xml:space="preserve"> NJ 07825</v>
      </c>
      <c r="M450" s="2" t="str">
        <f ca="1">IFERROR(__xludf.DUMMYFUNCTION("""COMPUTED_VALUE""")," USA")</f>
        <v xml:space="preserve"> USA</v>
      </c>
      <c r="P450" s="60"/>
    </row>
    <row r="451" spans="1:16">
      <c r="A451" s="97">
        <v>450</v>
      </c>
      <c r="B451" s="99" t="s">
        <v>2821</v>
      </c>
      <c r="C451" s="97" t="s">
        <v>136</v>
      </c>
      <c r="D451" s="93" t="s">
        <v>2822</v>
      </c>
      <c r="E451" s="48" t="str">
        <f t="shared" si="0"/>
        <v>Lake City</v>
      </c>
      <c r="F451" s="83" t="str">
        <f t="shared" si="1"/>
        <v>Columbia (Lake City),FL</v>
      </c>
      <c r="G451" s="97" t="s">
        <v>2823</v>
      </c>
      <c r="H451" s="97">
        <v>30.147915300000001</v>
      </c>
      <c r="I451" s="97">
        <v>-82.635565099999994</v>
      </c>
      <c r="J451" s="60" t="str">
        <f ca="1">IFERROR(__xludf.DUMMYFUNCTION("SPLIT(G451,"","")"),"469 SW Fighting Tiger Dr")</f>
        <v>469 SW Fighting Tiger Dr</v>
      </c>
      <c r="K451" s="2" t="str">
        <f ca="1">IFERROR(__xludf.DUMMYFUNCTION("""COMPUTED_VALUE""")," Lake City")</f>
        <v xml:space="preserve"> Lake City</v>
      </c>
      <c r="L451" s="2" t="str">
        <f ca="1">IFERROR(__xludf.DUMMYFUNCTION("""COMPUTED_VALUE""")," FL 32025")</f>
        <v xml:space="preserve"> FL 32025</v>
      </c>
      <c r="M451" s="2" t="str">
        <f ca="1">IFERROR(__xludf.DUMMYFUNCTION("""COMPUTED_VALUE""")," USA")</f>
        <v xml:space="preserve"> USA</v>
      </c>
      <c r="P451" s="60"/>
    </row>
    <row r="452" spans="1:16">
      <c r="A452" s="60">
        <v>451</v>
      </c>
      <c r="B452" s="79" t="s">
        <v>2827</v>
      </c>
      <c r="C452" s="60" t="s">
        <v>71</v>
      </c>
      <c r="D452" s="93" t="s">
        <v>2828</v>
      </c>
      <c r="E452" s="48" t="str">
        <f t="shared" si="0"/>
        <v>Mesa</v>
      </c>
      <c r="F452" s="83" t="str">
        <f t="shared" si="1"/>
        <v>Skyline (Mesa),AZ</v>
      </c>
      <c r="G452" s="60" t="s">
        <v>2829</v>
      </c>
      <c r="H452" s="60">
        <v>33.399390099999998</v>
      </c>
      <c r="I452" s="60">
        <v>-111.6145921</v>
      </c>
      <c r="J452" s="60" t="str">
        <f ca="1">IFERROR(__xludf.DUMMYFUNCTION("SPLIT(G452,"","")"),"845 S Crismon Rd")</f>
        <v>845 S Crismon Rd</v>
      </c>
      <c r="K452" s="2" t="str">
        <f ca="1">IFERROR(__xludf.DUMMYFUNCTION("""COMPUTED_VALUE""")," Mesa")</f>
        <v xml:space="preserve"> Mesa</v>
      </c>
      <c r="L452" s="2" t="str">
        <f ca="1">IFERROR(__xludf.DUMMYFUNCTION("""COMPUTED_VALUE""")," AZ 85208")</f>
        <v xml:space="preserve"> AZ 85208</v>
      </c>
      <c r="M452" s="2" t="str">
        <f ca="1">IFERROR(__xludf.DUMMYFUNCTION("""COMPUTED_VALUE""")," USA")</f>
        <v xml:space="preserve"> USA</v>
      </c>
      <c r="P452" s="60"/>
    </row>
    <row r="453" spans="1:16">
      <c r="A453" s="65">
        <v>452</v>
      </c>
      <c r="B453" s="80" t="s">
        <v>2833</v>
      </c>
      <c r="C453" s="65" t="s">
        <v>682</v>
      </c>
      <c r="D453" s="93" t="s">
        <v>1270</v>
      </c>
      <c r="E453" s="48" t="str">
        <f t="shared" si="0"/>
        <v>Madison</v>
      </c>
      <c r="F453" s="83" t="str">
        <f t="shared" si="1"/>
        <v>Madison East (Madison),WI</v>
      </c>
      <c r="G453" s="65" t="s">
        <v>2834</v>
      </c>
      <c r="H453" s="65">
        <v>43.073051700000001</v>
      </c>
      <c r="I453" s="65">
        <v>-89.401230200000001</v>
      </c>
      <c r="J453" s="60" t="str">
        <f ca="1">IFERROR(__xludf.DUMMYFUNCTION("SPLIT(G453,"","")"),"Grainger Hall of Business Administration")</f>
        <v>Grainger Hall of Business Administration</v>
      </c>
      <c r="K453" s="2" t="str">
        <f ca="1">IFERROR(__xludf.DUMMYFUNCTION("""COMPUTED_VALUE""")," Madison")</f>
        <v xml:space="preserve"> Madison</v>
      </c>
      <c r="L453" s="2" t="str">
        <f ca="1">IFERROR(__xludf.DUMMYFUNCTION("""COMPUTED_VALUE""")," WI 53715")</f>
        <v xml:space="preserve"> WI 53715</v>
      </c>
      <c r="M453" s="2" t="str">
        <f ca="1">IFERROR(__xludf.DUMMYFUNCTION("""COMPUTED_VALUE""")," USA")</f>
        <v xml:space="preserve"> USA</v>
      </c>
      <c r="P453" s="60"/>
    </row>
    <row r="454" spans="1:16">
      <c r="A454" s="60">
        <v>453</v>
      </c>
      <c r="B454" s="79" t="s">
        <v>2838</v>
      </c>
      <c r="C454" s="60" t="s">
        <v>136</v>
      </c>
      <c r="D454" s="93" t="s">
        <v>2839</v>
      </c>
      <c r="E454" s="48" t="str">
        <f t="shared" si="0"/>
        <v>Miami</v>
      </c>
      <c r="F454" s="83" t="str">
        <f t="shared" si="1"/>
        <v>Schoolhouse Prep (Miami),FL</v>
      </c>
      <c r="G454" s="60" t="s">
        <v>2840</v>
      </c>
      <c r="H454" s="60">
        <v>25.733039099999999</v>
      </c>
      <c r="I454" s="60">
        <v>-80.3705116</v>
      </c>
      <c r="J454" s="60" t="str">
        <f ca="1">IFERROR(__xludf.DUMMYFUNCTION("SPLIT(G454,"","")"),"3800 SW 108th Ave")</f>
        <v>3800 SW 108th Ave</v>
      </c>
      <c r="K454" s="2" t="str">
        <f ca="1">IFERROR(__xludf.DUMMYFUNCTION("""COMPUTED_VALUE""")," Miami")</f>
        <v xml:space="preserve"> Miami</v>
      </c>
      <c r="L454" s="2" t="str">
        <f ca="1">IFERROR(__xludf.DUMMYFUNCTION("""COMPUTED_VALUE""")," FL 33165")</f>
        <v xml:space="preserve"> FL 33165</v>
      </c>
      <c r="M454" s="2" t="str">
        <f ca="1">IFERROR(__xludf.DUMMYFUNCTION("""COMPUTED_VALUE""")," USA")</f>
        <v xml:space="preserve"> USA</v>
      </c>
      <c r="P454" s="60"/>
    </row>
    <row r="455" spans="1:16">
      <c r="A455" s="65">
        <v>454</v>
      </c>
      <c r="B455" s="80" t="s">
        <v>2843</v>
      </c>
      <c r="C455" s="65" t="s">
        <v>588</v>
      </c>
      <c r="D455" s="93" t="s">
        <v>2844</v>
      </c>
      <c r="E455" s="48" t="str">
        <f t="shared" si="0"/>
        <v>Folsom</v>
      </c>
      <c r="F455" s="83" t="str">
        <f t="shared" si="1"/>
        <v>Folsom,CA</v>
      </c>
      <c r="G455" s="65" t="s">
        <v>2846</v>
      </c>
      <c r="H455" s="65">
        <v>38.677959100000002</v>
      </c>
      <c r="I455" s="65">
        <v>-121.17605829999999</v>
      </c>
      <c r="J455" s="60" t="str">
        <f ca="1">IFERROR(__xludf.DUMMYFUNCTION("SPLIT(G455,"","")"),"625 Sutter St")</f>
        <v>625 Sutter St</v>
      </c>
      <c r="K455" s="2" t="str">
        <f ca="1">IFERROR(__xludf.DUMMYFUNCTION("""COMPUTED_VALUE""")," Folsom")</f>
        <v xml:space="preserve"> Folsom</v>
      </c>
      <c r="L455" s="2" t="str">
        <f ca="1">IFERROR(__xludf.DUMMYFUNCTION("""COMPUTED_VALUE""")," CA 95630")</f>
        <v xml:space="preserve"> CA 95630</v>
      </c>
      <c r="M455" s="2" t="str">
        <f ca="1">IFERROR(__xludf.DUMMYFUNCTION("""COMPUTED_VALUE""")," USA")</f>
        <v xml:space="preserve"> USA</v>
      </c>
      <c r="P455" s="60"/>
    </row>
    <row r="456" spans="1:16">
      <c r="A456" s="60">
        <v>455</v>
      </c>
      <c r="B456" s="79" t="s">
        <v>2850</v>
      </c>
      <c r="C456" s="60" t="s">
        <v>590</v>
      </c>
      <c r="D456" s="93" t="s">
        <v>2272</v>
      </c>
      <c r="E456" s="48" t="str">
        <f t="shared" si="0"/>
        <v>Oxon Hill</v>
      </c>
      <c r="F456" s="83" t="str">
        <f t="shared" si="1"/>
        <v>Oxon Hill,MD</v>
      </c>
      <c r="G456" s="60" t="s">
        <v>2852</v>
      </c>
      <c r="H456" s="60">
        <v>38.803317799999988</v>
      </c>
      <c r="I456" s="60">
        <v>-76.989727800000011</v>
      </c>
      <c r="J456" s="60" t="str">
        <f ca="1">IFERROR(__xludf.DUMMYFUNCTION("SPLIT(G456,"","")"),"6306 Oxon Hill Rd")</f>
        <v>6306 Oxon Hill Rd</v>
      </c>
      <c r="K456" s="2" t="str">
        <f ca="1">IFERROR(__xludf.DUMMYFUNCTION("""COMPUTED_VALUE""")," Oxon Hill")</f>
        <v xml:space="preserve"> Oxon Hill</v>
      </c>
      <c r="L456" s="2" t="str">
        <f ca="1">IFERROR(__xludf.DUMMYFUNCTION("""COMPUTED_VALUE""")," MD 20745")</f>
        <v xml:space="preserve"> MD 20745</v>
      </c>
      <c r="M456" s="2" t="str">
        <f ca="1">IFERROR(__xludf.DUMMYFUNCTION("""COMPUTED_VALUE""")," USA")</f>
        <v xml:space="preserve"> USA</v>
      </c>
      <c r="P456" s="60"/>
    </row>
    <row r="457" spans="1:16">
      <c r="A457" s="65">
        <v>456</v>
      </c>
      <c r="B457" s="80" t="s">
        <v>2858</v>
      </c>
      <c r="C457" s="65" t="s">
        <v>901</v>
      </c>
      <c r="D457" s="93" t="s">
        <v>2859</v>
      </c>
      <c r="E457" s="48" t="str">
        <f t="shared" si="0"/>
        <v>Blytheville</v>
      </c>
      <c r="F457" s="83" t="str">
        <f t="shared" si="1"/>
        <v>Blytheville,AR</v>
      </c>
      <c r="G457" s="65" t="s">
        <v>2861</v>
      </c>
      <c r="H457" s="65">
        <v>35.927295299999997</v>
      </c>
      <c r="I457" s="65">
        <v>-89.9189753</v>
      </c>
      <c r="J457" s="60" t="str">
        <f ca="1">IFERROR(__xludf.DUMMYFUNCTION("SPLIT(G457,"","")"),"646 E Main St")</f>
        <v>646 E Main St</v>
      </c>
      <c r="K457" s="2" t="str">
        <f ca="1">IFERROR(__xludf.DUMMYFUNCTION("""COMPUTED_VALUE""")," Blytheville")</f>
        <v xml:space="preserve"> Blytheville</v>
      </c>
      <c r="L457" s="2" t="str">
        <f ca="1">IFERROR(__xludf.DUMMYFUNCTION("""COMPUTED_VALUE""")," AR 72315")</f>
        <v xml:space="preserve"> AR 72315</v>
      </c>
      <c r="M457" s="2" t="str">
        <f ca="1">IFERROR(__xludf.DUMMYFUNCTION("""COMPUTED_VALUE""")," USA")</f>
        <v xml:space="preserve"> USA</v>
      </c>
      <c r="P457" s="60"/>
    </row>
    <row r="458" spans="1:16">
      <c r="A458" s="60">
        <v>457</v>
      </c>
      <c r="B458" s="79" t="s">
        <v>2865</v>
      </c>
      <c r="C458" s="60" t="s">
        <v>588</v>
      </c>
      <c r="D458" s="93" t="s">
        <v>639</v>
      </c>
      <c r="E458" s="48" t="str">
        <f t="shared" si="0"/>
        <v>Rancho Cucamonga</v>
      </c>
      <c r="F458" s="83" t="str">
        <f t="shared" si="1"/>
        <v>Los Osos (Rancho Cucamonga),CA</v>
      </c>
      <c r="G458" s="60" t="s">
        <v>2868</v>
      </c>
      <c r="H458" s="60">
        <v>34.145235999999997</v>
      </c>
      <c r="I458" s="60">
        <v>-117.5561885</v>
      </c>
      <c r="J458" s="60" t="str">
        <f ca="1">IFERROR(__xludf.DUMMYFUNCTION("SPLIT(G458,"","")"),"6001 Milliken Ave")</f>
        <v>6001 Milliken Ave</v>
      </c>
      <c r="K458" s="2" t="str">
        <f ca="1">IFERROR(__xludf.DUMMYFUNCTION("""COMPUTED_VALUE""")," Rancho Cucamonga")</f>
        <v xml:space="preserve"> Rancho Cucamonga</v>
      </c>
      <c r="L458" s="2" t="str">
        <f ca="1">IFERROR(__xludf.DUMMYFUNCTION("""COMPUTED_VALUE""")," CA 91737")</f>
        <v xml:space="preserve"> CA 91737</v>
      </c>
      <c r="M458" s="2" t="str">
        <f ca="1">IFERROR(__xludf.DUMMYFUNCTION("""COMPUTED_VALUE""")," USA")</f>
        <v xml:space="preserve"> USA</v>
      </c>
      <c r="P458" s="60"/>
    </row>
    <row r="459" spans="1:16">
      <c r="A459" s="65">
        <v>458</v>
      </c>
      <c r="B459" s="80" t="s">
        <v>2873</v>
      </c>
      <c r="C459" s="65" t="s">
        <v>1273</v>
      </c>
      <c r="D459" s="93" t="s">
        <v>2874</v>
      </c>
      <c r="E459" s="48" t="str">
        <f t="shared" si="0"/>
        <v>Norwalk</v>
      </c>
      <c r="F459" s="83" t="str">
        <f t="shared" si="1"/>
        <v>Norwalk,IA</v>
      </c>
      <c r="G459" s="65" t="s">
        <v>2876</v>
      </c>
      <c r="H459" s="65">
        <v>41.475546000000008</v>
      </c>
      <c r="I459" s="65">
        <v>-93.678830399999995</v>
      </c>
      <c r="J459" s="60" t="str">
        <f ca="1">IFERROR(__xludf.DUMMYFUNCTION("SPLIT(G459,"","")"),"802 Main St")</f>
        <v>802 Main St</v>
      </c>
      <c r="K459" s="2" t="str">
        <f ca="1">IFERROR(__xludf.DUMMYFUNCTION("""COMPUTED_VALUE""")," Norwalk")</f>
        <v xml:space="preserve"> Norwalk</v>
      </c>
      <c r="L459" s="2" t="str">
        <f ca="1">IFERROR(__xludf.DUMMYFUNCTION("""COMPUTED_VALUE""")," IA 50211")</f>
        <v xml:space="preserve"> IA 50211</v>
      </c>
      <c r="M459" s="2" t="str">
        <f ca="1">IFERROR(__xludf.DUMMYFUNCTION("""COMPUTED_VALUE""")," USA")</f>
        <v xml:space="preserve"> USA</v>
      </c>
      <c r="P459" s="60"/>
    </row>
    <row r="460" spans="1:16">
      <c r="A460" s="60">
        <v>459</v>
      </c>
      <c r="B460" s="79" t="s">
        <v>2880</v>
      </c>
      <c r="C460" s="60" t="s">
        <v>595</v>
      </c>
      <c r="D460" s="93" t="s">
        <v>2881</v>
      </c>
      <c r="E460" s="48" t="str">
        <f t="shared" si="0"/>
        <v>Lewisville</v>
      </c>
      <c r="F460" s="83" t="str">
        <f t="shared" si="1"/>
        <v>Lewisville,TX</v>
      </c>
      <c r="G460" s="60" t="s">
        <v>2882</v>
      </c>
      <c r="H460" s="60">
        <v>33.046233000000001</v>
      </c>
      <c r="I460" s="60">
        <v>-96.994174000000001</v>
      </c>
      <c r="J460" s="60" t="str">
        <f ca="1">IFERROR(__xludf.DUMMYFUNCTION("SPLIT(G460,"","")"),"102 W Main St")</f>
        <v>102 W Main St</v>
      </c>
      <c r="K460" s="2" t="str">
        <f ca="1">IFERROR(__xludf.DUMMYFUNCTION("""COMPUTED_VALUE""")," Lewisville")</f>
        <v xml:space="preserve"> Lewisville</v>
      </c>
      <c r="L460" s="2" t="str">
        <f ca="1">IFERROR(__xludf.DUMMYFUNCTION("""COMPUTED_VALUE""")," TX 75057")</f>
        <v xml:space="preserve"> TX 75057</v>
      </c>
      <c r="M460" s="2" t="str">
        <f ca="1">IFERROR(__xludf.DUMMYFUNCTION("""COMPUTED_VALUE""")," USA")</f>
        <v xml:space="preserve"> USA</v>
      </c>
      <c r="P460" s="60"/>
    </row>
    <row r="461" spans="1:16">
      <c r="A461" s="65">
        <v>460</v>
      </c>
      <c r="B461" s="80" t="s">
        <v>2886</v>
      </c>
      <c r="C461" s="65" t="s">
        <v>1094</v>
      </c>
      <c r="D461" s="93" t="s">
        <v>2888</v>
      </c>
      <c r="E461" s="48" t="str">
        <f t="shared" si="0"/>
        <v>Hampden</v>
      </c>
      <c r="F461" s="83" t="str">
        <f t="shared" si="1"/>
        <v>Hampden,ME</v>
      </c>
      <c r="G461" s="65" t="s">
        <v>2889</v>
      </c>
      <c r="H461" s="65">
        <v>44.744542099999997</v>
      </c>
      <c r="I461" s="65">
        <v>-68.837043600000001</v>
      </c>
      <c r="J461" s="60" t="str">
        <f ca="1">IFERROR(__xludf.DUMMYFUNCTION("SPLIT(G461,"","")"),"9 Canoe Club Rd")</f>
        <v>9 Canoe Club Rd</v>
      </c>
      <c r="K461" s="2" t="str">
        <f ca="1">IFERROR(__xludf.DUMMYFUNCTION("""COMPUTED_VALUE""")," Hampden")</f>
        <v xml:space="preserve"> Hampden</v>
      </c>
      <c r="L461" s="2" t="str">
        <f ca="1">IFERROR(__xludf.DUMMYFUNCTION("""COMPUTED_VALUE""")," ME 04444")</f>
        <v xml:space="preserve"> ME 04444</v>
      </c>
      <c r="M461" s="2" t="str">
        <f ca="1">IFERROR(__xludf.DUMMYFUNCTION("""COMPUTED_VALUE""")," USA")</f>
        <v xml:space="preserve"> USA</v>
      </c>
      <c r="P461" s="60"/>
    </row>
    <row r="462" spans="1:16">
      <c r="A462" s="60">
        <v>461</v>
      </c>
      <c r="B462" s="79" t="s">
        <v>2892</v>
      </c>
      <c r="C462" s="60" t="s">
        <v>975</v>
      </c>
      <c r="D462" s="93" t="s">
        <v>2103</v>
      </c>
      <c r="E462" s="48" t="str">
        <f t="shared" si="0"/>
        <v>Santa Fe</v>
      </c>
      <c r="F462" s="83" t="str">
        <f t="shared" si="1"/>
        <v>Santa Fe,NM</v>
      </c>
      <c r="G462" s="60" t="s">
        <v>2895</v>
      </c>
      <c r="H462" s="60">
        <v>35.686975199999999</v>
      </c>
      <c r="I462" s="60">
        <v>-105.937799</v>
      </c>
      <c r="J462" s="60" t="str">
        <f ca="1">IFERROR(__xludf.DUMMYFUNCTION("SPLIT(G462,"","")"),"215 E San Francisco St")</f>
        <v>215 E San Francisco St</v>
      </c>
      <c r="K462" s="2" t="str">
        <f ca="1">IFERROR(__xludf.DUMMYFUNCTION("""COMPUTED_VALUE""")," Santa Fe")</f>
        <v xml:space="preserve"> Santa Fe</v>
      </c>
      <c r="L462" s="2" t="str">
        <f ca="1">IFERROR(__xludf.DUMMYFUNCTION("""COMPUTED_VALUE""")," NM 87501")</f>
        <v xml:space="preserve"> NM 87501</v>
      </c>
      <c r="M462" s="2" t="str">
        <f ca="1">IFERROR(__xludf.DUMMYFUNCTION("""COMPUTED_VALUE""")," USA")</f>
        <v xml:space="preserve"> USA</v>
      </c>
      <c r="P462" s="60"/>
    </row>
    <row r="463" spans="1:16">
      <c r="A463" s="65">
        <v>462</v>
      </c>
      <c r="B463" s="80" t="s">
        <v>2898</v>
      </c>
      <c r="C463" s="65" t="s">
        <v>897</v>
      </c>
      <c r="D463" s="93" t="s">
        <v>2900</v>
      </c>
      <c r="E463" s="48" t="str">
        <f t="shared" si="0"/>
        <v>Hartville</v>
      </c>
      <c r="F463" s="83" t="str">
        <f t="shared" si="1"/>
        <v>Hartville,MO</v>
      </c>
      <c r="G463" s="65" t="s">
        <v>2901</v>
      </c>
      <c r="H463" s="65">
        <v>37.250883700000003</v>
      </c>
      <c r="I463" s="65">
        <v>-92.5104446</v>
      </c>
      <c r="J463" s="60" t="str">
        <f ca="1">IFERROR(__xludf.DUMMYFUNCTION("SPLIT(G463,"","")"),"109 W Rolla St")</f>
        <v>109 W Rolla St</v>
      </c>
      <c r="K463" s="2" t="str">
        <f ca="1">IFERROR(__xludf.DUMMYFUNCTION("""COMPUTED_VALUE""")," Hartville")</f>
        <v xml:space="preserve"> Hartville</v>
      </c>
      <c r="L463" s="2" t="str">
        <f ca="1">IFERROR(__xludf.DUMMYFUNCTION("""COMPUTED_VALUE""")," MO 65667")</f>
        <v xml:space="preserve"> MO 65667</v>
      </c>
      <c r="M463" s="2" t="str">
        <f ca="1">IFERROR(__xludf.DUMMYFUNCTION("""COMPUTED_VALUE""")," USA")</f>
        <v xml:space="preserve"> USA</v>
      </c>
      <c r="P463" s="60"/>
    </row>
    <row r="464" spans="1:16">
      <c r="A464" s="60">
        <v>463</v>
      </c>
      <c r="B464" s="79" t="s">
        <v>2904</v>
      </c>
      <c r="C464" s="60" t="s">
        <v>881</v>
      </c>
      <c r="D464" s="93" t="s">
        <v>2906</v>
      </c>
      <c r="E464" s="48" t="str">
        <f t="shared" si="0"/>
        <v>Lexington</v>
      </c>
      <c r="F464" s="83" t="str">
        <f t="shared" si="1"/>
        <v>Lexington Catholic (Lexington),KY</v>
      </c>
      <c r="G464" s="60" t="s">
        <v>2907</v>
      </c>
      <c r="H464" s="60">
        <v>38.017457299999997</v>
      </c>
      <c r="I464" s="60">
        <v>-84.53466929999999</v>
      </c>
      <c r="J464" s="60" t="str">
        <f ca="1">IFERROR(__xludf.DUMMYFUNCTION("SPLIT(G464,"","")"),"2250 Clays Mill Rd")</f>
        <v>2250 Clays Mill Rd</v>
      </c>
      <c r="K464" s="2" t="str">
        <f ca="1">IFERROR(__xludf.DUMMYFUNCTION("""COMPUTED_VALUE""")," Lexington")</f>
        <v xml:space="preserve"> Lexington</v>
      </c>
      <c r="L464" s="2" t="str">
        <f ca="1">IFERROR(__xludf.DUMMYFUNCTION("""COMPUTED_VALUE""")," KY 40503")</f>
        <v xml:space="preserve"> KY 40503</v>
      </c>
      <c r="M464" s="2" t="str">
        <f ca="1">IFERROR(__xludf.DUMMYFUNCTION("""COMPUTED_VALUE""")," USA")</f>
        <v xml:space="preserve"> USA</v>
      </c>
      <c r="P464" s="60"/>
    </row>
    <row r="465" spans="1:16">
      <c r="A465" s="65">
        <v>464</v>
      </c>
      <c r="B465" s="80" t="s">
        <v>2909</v>
      </c>
      <c r="C465" s="65" t="s">
        <v>179</v>
      </c>
      <c r="D465" s="93" t="s">
        <v>2910</v>
      </c>
      <c r="E465" s="48" t="str">
        <f t="shared" si="0"/>
        <v>Charlotte</v>
      </c>
      <c r="F465" s="83" t="str">
        <f t="shared" si="1"/>
        <v>Olympic (Charlotte),NC</v>
      </c>
      <c r="G465" s="65" t="s">
        <v>2912</v>
      </c>
      <c r="H465" s="65">
        <v>35.157963000000002</v>
      </c>
      <c r="I465" s="65">
        <v>-80.952376000000015</v>
      </c>
      <c r="J465" s="60" t="str">
        <f ca="1">IFERROR(__xludf.DUMMYFUNCTION("SPLIT(G465,"","")"),"4301 Sandy Porter Rd")</f>
        <v>4301 Sandy Porter Rd</v>
      </c>
      <c r="K465" s="2" t="str">
        <f ca="1">IFERROR(__xludf.DUMMYFUNCTION("""COMPUTED_VALUE""")," Charlotte")</f>
        <v xml:space="preserve"> Charlotte</v>
      </c>
      <c r="L465" s="2" t="str">
        <f ca="1">IFERROR(__xludf.DUMMYFUNCTION("""COMPUTED_VALUE""")," NC 28273")</f>
        <v xml:space="preserve"> NC 28273</v>
      </c>
      <c r="M465" s="2" t="str">
        <f ca="1">IFERROR(__xludf.DUMMYFUNCTION("""COMPUTED_VALUE""")," USA")</f>
        <v xml:space="preserve"> USA</v>
      </c>
      <c r="P465" s="60"/>
    </row>
    <row r="466" spans="1:16">
      <c r="A466" s="60">
        <v>465</v>
      </c>
      <c r="B466" s="79" t="s">
        <v>2915</v>
      </c>
      <c r="C466" s="60" t="s">
        <v>179</v>
      </c>
      <c r="D466" s="93" t="s">
        <v>731</v>
      </c>
      <c r="E466" s="48" t="str">
        <f t="shared" si="0"/>
        <v>Concord</v>
      </c>
      <c r="F466" s="83" t="str">
        <f t="shared" si="1"/>
        <v>Cox Mill (Concord),NC</v>
      </c>
      <c r="G466" s="60" t="s">
        <v>2917</v>
      </c>
      <c r="H466" s="60">
        <v>35.395376499999998</v>
      </c>
      <c r="I466" s="60">
        <v>-80.727738799999997</v>
      </c>
      <c r="J466" s="60" t="str">
        <f ca="1">IFERROR(__xludf.DUMMYFUNCTION("SPLIT(G466,"","")"),"1355 Cox Mill Rd")</f>
        <v>1355 Cox Mill Rd</v>
      </c>
      <c r="K466" s="2" t="str">
        <f ca="1">IFERROR(__xludf.DUMMYFUNCTION("""COMPUTED_VALUE""")," Concord")</f>
        <v xml:space="preserve"> Concord</v>
      </c>
      <c r="L466" s="2" t="str">
        <f ca="1">IFERROR(__xludf.DUMMYFUNCTION("""COMPUTED_VALUE""")," NC 28027")</f>
        <v xml:space="preserve"> NC 28027</v>
      </c>
      <c r="M466" s="2" t="str">
        <f ca="1">IFERROR(__xludf.DUMMYFUNCTION("""COMPUTED_VALUE""")," USA")</f>
        <v xml:space="preserve"> USA</v>
      </c>
      <c r="P466" s="60"/>
    </row>
    <row r="467" spans="1:16">
      <c r="A467" s="65">
        <v>466</v>
      </c>
      <c r="B467" s="80" t="s">
        <v>2919</v>
      </c>
      <c r="C467" s="65" t="s">
        <v>588</v>
      </c>
      <c r="D467" s="93" t="s">
        <v>2921</v>
      </c>
      <c r="E467" s="48" t="str">
        <f t="shared" si="0"/>
        <v>Thousand Oaks</v>
      </c>
      <c r="F467" s="83" t="str">
        <f t="shared" si="1"/>
        <v>Westlake (Westlake Village),CA</v>
      </c>
      <c r="G467" s="65" t="s">
        <v>2922</v>
      </c>
      <c r="H467" s="65">
        <v>34.146646699999998</v>
      </c>
      <c r="I467" s="65">
        <v>-118.8073729</v>
      </c>
      <c r="J467" s="60" t="str">
        <f ca="1">IFERROR(__xludf.DUMMYFUNCTION("SPLIT(G467,"","")"),"1 WellPoint Way")</f>
        <v>1 WellPoint Way</v>
      </c>
      <c r="K467" s="2" t="str">
        <f ca="1">IFERROR(__xludf.DUMMYFUNCTION("""COMPUTED_VALUE""")," Thousand Oaks")</f>
        <v xml:space="preserve"> Thousand Oaks</v>
      </c>
      <c r="L467" s="2" t="str">
        <f ca="1">IFERROR(__xludf.DUMMYFUNCTION("""COMPUTED_VALUE""")," CA 91362")</f>
        <v xml:space="preserve"> CA 91362</v>
      </c>
      <c r="M467" s="2" t="str">
        <f ca="1">IFERROR(__xludf.DUMMYFUNCTION("""COMPUTED_VALUE""")," USA")</f>
        <v xml:space="preserve"> USA</v>
      </c>
      <c r="P467" s="60"/>
    </row>
    <row r="468" spans="1:16">
      <c r="A468" s="60">
        <v>467</v>
      </c>
      <c r="B468" s="79" t="s">
        <v>2925</v>
      </c>
      <c r="C468" s="60" t="s">
        <v>1055</v>
      </c>
      <c r="D468" s="93" t="s">
        <v>2926</v>
      </c>
      <c r="E468" s="48" t="str">
        <f t="shared" si="0"/>
        <v>Lawton</v>
      </c>
      <c r="F468" s="83" t="str">
        <f t="shared" si="1"/>
        <v>Lawton,OK</v>
      </c>
      <c r="G468" s="60" t="s">
        <v>2927</v>
      </c>
      <c r="H468" s="60">
        <v>34.603566899999997</v>
      </c>
      <c r="I468" s="60">
        <v>-98.395929099999989</v>
      </c>
      <c r="J468" s="60" t="str">
        <f ca="1">IFERROR(__xludf.DUMMYFUNCTION("SPLIT(G468,"","")"),"514-548 SW D Ave")</f>
        <v>514-548 SW D Ave</v>
      </c>
      <c r="K468" s="2" t="str">
        <f ca="1">IFERROR(__xludf.DUMMYFUNCTION("""COMPUTED_VALUE""")," Lawton")</f>
        <v xml:space="preserve"> Lawton</v>
      </c>
      <c r="L468" s="2" t="str">
        <f ca="1">IFERROR(__xludf.DUMMYFUNCTION("""COMPUTED_VALUE""")," OK 73501")</f>
        <v xml:space="preserve"> OK 73501</v>
      </c>
      <c r="M468" s="2" t="str">
        <f ca="1">IFERROR(__xludf.DUMMYFUNCTION("""COMPUTED_VALUE""")," USA")</f>
        <v xml:space="preserve"> USA</v>
      </c>
      <c r="P468" s="60"/>
    </row>
    <row r="469" spans="1:16">
      <c r="A469" s="65">
        <v>468</v>
      </c>
      <c r="B469" s="80" t="s">
        <v>2930</v>
      </c>
      <c r="C469" s="65" t="s">
        <v>588</v>
      </c>
      <c r="D469" s="93" t="s">
        <v>2931</v>
      </c>
      <c r="E469" s="48" t="str">
        <f t="shared" si="0"/>
        <v>Lake Balboa</v>
      </c>
      <c r="F469" s="83" t="str">
        <f t="shared" si="1"/>
        <v>Birmingham (Lake Balboa),CA</v>
      </c>
      <c r="G469" s="65" t="s">
        <v>2932</v>
      </c>
      <c r="H469" s="65">
        <v>34.188795900000002</v>
      </c>
      <c r="I469" s="65">
        <v>-118.5045983</v>
      </c>
      <c r="J469" s="60" t="str">
        <f ca="1">IFERROR(__xludf.DUMMYFUNCTION("SPLIT(G469,"","")"),"1710 Haynes St")</f>
        <v>1710 Haynes St</v>
      </c>
      <c r="K469" s="2" t="str">
        <f ca="1">IFERROR(__xludf.DUMMYFUNCTION("""COMPUTED_VALUE""")," Lake Balboa")</f>
        <v xml:space="preserve"> Lake Balboa</v>
      </c>
      <c r="L469" s="2" t="str">
        <f ca="1">IFERROR(__xludf.DUMMYFUNCTION("""COMPUTED_VALUE""")," CA 91406")</f>
        <v xml:space="preserve"> CA 91406</v>
      </c>
      <c r="M469" s="2" t="str">
        <f ca="1">IFERROR(__xludf.DUMMYFUNCTION("""COMPUTED_VALUE""")," USA")</f>
        <v xml:space="preserve"> USA</v>
      </c>
      <c r="P469" s="60"/>
    </row>
    <row r="470" spans="1:16">
      <c r="A470" s="60">
        <v>469</v>
      </c>
      <c r="B470" s="79" t="s">
        <v>2935</v>
      </c>
      <c r="C470" s="60" t="s">
        <v>183</v>
      </c>
      <c r="D470" s="93" t="s">
        <v>2936</v>
      </c>
      <c r="E470" s="48" t="str">
        <f t="shared" si="0"/>
        <v>Syracuse</v>
      </c>
      <c r="F470" s="83" t="str">
        <f t="shared" si="1"/>
        <v>Corcoran (Syracuse),NY</v>
      </c>
      <c r="G470" s="60" t="s">
        <v>2939</v>
      </c>
      <c r="H470" s="60">
        <v>43.017885</v>
      </c>
      <c r="I470" s="60">
        <v>-76.174155999999996</v>
      </c>
      <c r="J470" s="60" t="str">
        <f ca="1">IFERROR(__xludf.DUMMYFUNCTION("SPLIT(G470,"","")"),"919 Glenwood Ave")</f>
        <v>919 Glenwood Ave</v>
      </c>
      <c r="K470" s="2" t="str">
        <f ca="1">IFERROR(__xludf.DUMMYFUNCTION("""COMPUTED_VALUE""")," Syracuse")</f>
        <v xml:space="preserve"> Syracuse</v>
      </c>
      <c r="L470" s="2" t="str">
        <f ca="1">IFERROR(__xludf.DUMMYFUNCTION("""COMPUTED_VALUE""")," NY 13207")</f>
        <v xml:space="preserve"> NY 13207</v>
      </c>
      <c r="M470" s="2" t="str">
        <f ca="1">IFERROR(__xludf.DUMMYFUNCTION("""COMPUTED_VALUE""")," USA")</f>
        <v xml:space="preserve"> USA</v>
      </c>
      <c r="P470" s="60"/>
    </row>
    <row r="471" spans="1:16">
      <c r="A471" s="65">
        <v>470</v>
      </c>
      <c r="B471" s="80" t="s">
        <v>2942</v>
      </c>
      <c r="C471" s="65" t="s">
        <v>588</v>
      </c>
      <c r="D471" s="93" t="s">
        <v>2943</v>
      </c>
      <c r="E471" s="48" t="str">
        <f t="shared" si="0"/>
        <v>Atherton</v>
      </c>
      <c r="F471" s="83" t="str">
        <f t="shared" si="1"/>
        <v>Menlo-Atherton (Atherton),CA</v>
      </c>
      <c r="G471" s="65" t="s">
        <v>2945</v>
      </c>
      <c r="H471" s="65">
        <v>37.460766999999997</v>
      </c>
      <c r="I471" s="65">
        <v>-122.1751142</v>
      </c>
      <c r="J471" s="60" t="str">
        <f ca="1">IFERROR(__xludf.DUMMYFUNCTION("SPLIT(G471,"","")"),"555 Middlefield Rd")</f>
        <v>555 Middlefield Rd</v>
      </c>
      <c r="K471" s="2" t="str">
        <f ca="1">IFERROR(__xludf.DUMMYFUNCTION("""COMPUTED_VALUE""")," Atherton")</f>
        <v xml:space="preserve"> Atherton</v>
      </c>
      <c r="L471" s="2" t="str">
        <f ca="1">IFERROR(__xludf.DUMMYFUNCTION("""COMPUTED_VALUE""")," CA 94027")</f>
        <v xml:space="preserve"> CA 94027</v>
      </c>
      <c r="M471" s="2" t="str">
        <f ca="1">IFERROR(__xludf.DUMMYFUNCTION("""COMPUTED_VALUE""")," USA")</f>
        <v xml:space="preserve"> USA</v>
      </c>
      <c r="P471" s="60"/>
    </row>
    <row r="472" spans="1:16">
      <c r="A472" s="60">
        <v>471</v>
      </c>
      <c r="B472" s="79" t="s">
        <v>2947</v>
      </c>
      <c r="C472" s="60" t="s">
        <v>174</v>
      </c>
      <c r="D472" s="93" t="s">
        <v>2948</v>
      </c>
      <c r="E472" s="48" t="str">
        <f t="shared" si="0"/>
        <v>Medina</v>
      </c>
      <c r="F472" s="83" t="str">
        <f t="shared" si="1"/>
        <v>Medina,OH</v>
      </c>
      <c r="G472" s="60" t="s">
        <v>2950</v>
      </c>
      <c r="H472" s="60">
        <v>41.143245</v>
      </c>
      <c r="I472" s="60">
        <v>-81.855219599999998</v>
      </c>
      <c r="J472" s="60" t="str">
        <f ca="1">IFERROR(__xludf.DUMMYFUNCTION("SPLIT(G472,"","")"),"327 N Spring Grove St")</f>
        <v>327 N Spring Grove St</v>
      </c>
      <c r="K472" s="2" t="str">
        <f ca="1">IFERROR(__xludf.DUMMYFUNCTION("""COMPUTED_VALUE""")," Medina")</f>
        <v xml:space="preserve"> Medina</v>
      </c>
      <c r="L472" s="2" t="str">
        <f ca="1">IFERROR(__xludf.DUMMYFUNCTION("""COMPUTED_VALUE""")," OH 44256")</f>
        <v xml:space="preserve"> OH 44256</v>
      </c>
      <c r="M472" s="2" t="str">
        <f ca="1">IFERROR(__xludf.DUMMYFUNCTION("""COMPUTED_VALUE""")," USA")</f>
        <v xml:space="preserve"> USA</v>
      </c>
      <c r="P472" s="60"/>
    </row>
    <row r="473" spans="1:16">
      <c r="A473" s="65">
        <v>472</v>
      </c>
      <c r="B473" s="80" t="s">
        <v>1600</v>
      </c>
      <c r="C473" s="65" t="s">
        <v>675</v>
      </c>
      <c r="D473" s="93" t="s">
        <v>2953</v>
      </c>
      <c r="E473" s="48" t="str">
        <f t="shared" si="0"/>
        <v>Butler</v>
      </c>
      <c r="F473" s="83" t="str">
        <f t="shared" si="1"/>
        <v>Butler,PA</v>
      </c>
      <c r="G473" s="65" t="s">
        <v>2955</v>
      </c>
      <c r="H473" s="65">
        <v>40.861175500000002</v>
      </c>
      <c r="I473" s="65">
        <v>-79.895332799999991</v>
      </c>
      <c r="J473" s="60" t="str">
        <f ca="1">IFERROR(__xludf.DUMMYFUNCTION("SPLIT(G473,"","")"),"106 N Main St")</f>
        <v>106 N Main St</v>
      </c>
      <c r="K473" s="2" t="str">
        <f ca="1">IFERROR(__xludf.DUMMYFUNCTION("""COMPUTED_VALUE""")," Butler")</f>
        <v xml:space="preserve"> Butler</v>
      </c>
      <c r="L473" s="2" t="str">
        <f ca="1">IFERROR(__xludf.DUMMYFUNCTION("""COMPUTED_VALUE""")," PA 16001")</f>
        <v xml:space="preserve"> PA 16001</v>
      </c>
      <c r="M473" s="2" t="str">
        <f ca="1">IFERROR(__xludf.DUMMYFUNCTION("""COMPUTED_VALUE""")," USA")</f>
        <v xml:space="preserve"> USA</v>
      </c>
      <c r="P473" s="60"/>
    </row>
    <row r="474" spans="1:16">
      <c r="A474" s="60">
        <v>473</v>
      </c>
      <c r="B474" s="79" t="s">
        <v>2957</v>
      </c>
      <c r="C474" s="60" t="s">
        <v>897</v>
      </c>
      <c r="D474" s="93" t="s">
        <v>2958</v>
      </c>
      <c r="E474" s="48" t="str">
        <f t="shared" si="0"/>
        <v>St Charles</v>
      </c>
      <c r="F474" s="83" t="str">
        <f t="shared" si="1"/>
        <v>Howell (St. Charles),MO</v>
      </c>
      <c r="G474" s="60" t="s">
        <v>2960</v>
      </c>
      <c r="H474" s="60">
        <v>38.745087300000002</v>
      </c>
      <c r="I474" s="60">
        <v>-90.614064299999995</v>
      </c>
      <c r="J474" s="60" t="str">
        <f ca="1">IFERROR(__xludf.DUMMYFUNCTION("SPLIT(G474,"","")"),"Unnamed Road")</f>
        <v>Unnamed Road</v>
      </c>
      <c r="K474" s="2" t="str">
        <f ca="1">IFERROR(__xludf.DUMMYFUNCTION("""COMPUTED_VALUE""")," St Charles")</f>
        <v xml:space="preserve"> St Charles</v>
      </c>
      <c r="L474" s="2" t="str">
        <f ca="1">IFERROR(__xludf.DUMMYFUNCTION("""COMPUTED_VALUE""")," MO 63304")</f>
        <v xml:space="preserve"> MO 63304</v>
      </c>
      <c r="M474" s="2" t="str">
        <f ca="1">IFERROR(__xludf.DUMMYFUNCTION("""COMPUTED_VALUE""")," USA")</f>
        <v xml:space="preserve"> USA</v>
      </c>
      <c r="P474" s="60"/>
    </row>
    <row r="475" spans="1:16">
      <c r="A475" s="65">
        <v>474</v>
      </c>
      <c r="B475" s="80" t="s">
        <v>2962</v>
      </c>
      <c r="C475" s="65" t="s">
        <v>901</v>
      </c>
      <c r="D475" s="93" t="s">
        <v>2963</v>
      </c>
      <c r="E475" s="48" t="str">
        <f t="shared" si="0"/>
        <v>Springdale</v>
      </c>
      <c r="F475" s="83" t="str">
        <f t="shared" si="1"/>
        <v>Har-Ber (Springdale),AR</v>
      </c>
      <c r="G475" s="65" t="s">
        <v>2965</v>
      </c>
      <c r="H475" s="65">
        <v>36.184273099999999</v>
      </c>
      <c r="I475" s="65">
        <v>-94.213041199999992</v>
      </c>
      <c r="J475" s="60" t="str">
        <f ca="1">IFERROR(__xludf.DUMMYFUNCTION("SPLIT(G475,"","")"),"300 Jones Rd")</f>
        <v>300 Jones Rd</v>
      </c>
      <c r="K475" s="2" t="str">
        <f ca="1">IFERROR(__xludf.DUMMYFUNCTION("""COMPUTED_VALUE""")," Springdale")</f>
        <v xml:space="preserve"> Springdale</v>
      </c>
      <c r="L475" s="2" t="str">
        <f ca="1">IFERROR(__xludf.DUMMYFUNCTION("""COMPUTED_VALUE""")," AR 72762")</f>
        <v xml:space="preserve"> AR 72762</v>
      </c>
      <c r="M475" s="2" t="str">
        <f ca="1">IFERROR(__xludf.DUMMYFUNCTION("""COMPUTED_VALUE""")," USA")</f>
        <v xml:space="preserve"> USA</v>
      </c>
      <c r="P475" s="60"/>
    </row>
    <row r="476" spans="1:16">
      <c r="A476" s="97">
        <v>475</v>
      </c>
      <c r="B476" s="99" t="s">
        <v>2969</v>
      </c>
      <c r="C476" s="97" t="s">
        <v>737</v>
      </c>
      <c r="D476" s="93" t="s">
        <v>2970</v>
      </c>
      <c r="E476" s="48" t="str">
        <f t="shared" si="0"/>
        <v>North Wildwood</v>
      </c>
      <c r="F476" s="83" t="str">
        <f t="shared" si="1"/>
        <v>Wildwood Catholic (North Wildwood),NJ</v>
      </c>
      <c r="G476" s="97" t="s">
        <v>2971</v>
      </c>
      <c r="H476" s="97">
        <v>38.9995239</v>
      </c>
      <c r="I476" s="97">
        <v>-74.802838800000004</v>
      </c>
      <c r="J476" s="60" t="str">
        <f ca="1">IFERROR(__xludf.DUMMYFUNCTION("SPLIT(G476,"","")"),"1500 Central Ave")</f>
        <v>1500 Central Ave</v>
      </c>
      <c r="K476" s="2" t="str">
        <f ca="1">IFERROR(__xludf.DUMMYFUNCTION("""COMPUTED_VALUE""")," North Wildwood")</f>
        <v xml:space="preserve"> North Wildwood</v>
      </c>
      <c r="L476" s="2" t="str">
        <f ca="1">IFERROR(__xludf.DUMMYFUNCTION("""COMPUTED_VALUE""")," NJ 08260")</f>
        <v xml:space="preserve"> NJ 08260</v>
      </c>
      <c r="M476" s="2" t="str">
        <f ca="1">IFERROR(__xludf.DUMMYFUNCTION("""COMPUTED_VALUE""")," USA")</f>
        <v xml:space="preserve"> USA</v>
      </c>
      <c r="P476" s="60"/>
    </row>
    <row r="477" spans="1:16">
      <c r="A477" s="97">
        <v>476</v>
      </c>
      <c r="B477" s="99" t="s">
        <v>2974</v>
      </c>
      <c r="C477" s="97" t="s">
        <v>624</v>
      </c>
      <c r="D477" s="93" t="s">
        <v>683</v>
      </c>
      <c r="E477" s="48" t="str">
        <f t="shared" si="0"/>
        <v>Baton Rouge</v>
      </c>
      <c r="F477" s="83" t="str">
        <f t="shared" si="1"/>
        <v>Catholic-B.R. (Baton Rouge),LA</v>
      </c>
      <c r="G477" s="97" t="s">
        <v>2976</v>
      </c>
      <c r="H477" s="97">
        <v>30.431618400000001</v>
      </c>
      <c r="I477" s="97">
        <v>-91.154274999999998</v>
      </c>
      <c r="J477" s="60" t="str">
        <f ca="1">IFERROR(__xludf.DUMMYFUNCTION("SPLIT(G477,"","")"),"1800 S Acadian Thruway")</f>
        <v>1800 S Acadian Thruway</v>
      </c>
      <c r="K477" s="2" t="str">
        <f ca="1">IFERROR(__xludf.DUMMYFUNCTION("""COMPUTED_VALUE""")," Baton Rouge")</f>
        <v xml:space="preserve"> Baton Rouge</v>
      </c>
      <c r="L477" s="2" t="str">
        <f ca="1">IFERROR(__xludf.DUMMYFUNCTION("""COMPUTED_VALUE""")," LA 70808")</f>
        <v xml:space="preserve"> LA 70808</v>
      </c>
      <c r="M477" s="2" t="str">
        <f ca="1">IFERROR(__xludf.DUMMYFUNCTION("""COMPUTED_VALUE""")," USA")</f>
        <v xml:space="preserve"> USA</v>
      </c>
      <c r="P477" s="60"/>
    </row>
    <row r="478" spans="1:16">
      <c r="A478" s="65">
        <v>477</v>
      </c>
      <c r="B478" s="80" t="s">
        <v>2978</v>
      </c>
      <c r="C478" s="65" t="s">
        <v>183</v>
      </c>
      <c r="D478" s="93" t="s">
        <v>2133</v>
      </c>
      <c r="E478" s="48" t="str">
        <f t="shared" si="0"/>
        <v>Albany</v>
      </c>
      <c r="F478" s="83" t="str">
        <f t="shared" si="1"/>
        <v>Green Tech (Albany),NY</v>
      </c>
      <c r="G478" s="65" t="s">
        <v>2979</v>
      </c>
      <c r="H478" s="65">
        <v>42.642613999999988</v>
      </c>
      <c r="I478" s="65">
        <v>-73.771050199999991</v>
      </c>
      <c r="J478" s="60" t="str">
        <f ca="1">IFERROR(__xludf.DUMMYFUNCTION("SPLIT(G478,"","")"),"99 Slingerland St")</f>
        <v>99 Slingerland St</v>
      </c>
      <c r="K478" s="2" t="str">
        <f ca="1">IFERROR(__xludf.DUMMYFUNCTION("""COMPUTED_VALUE""")," Albany")</f>
        <v xml:space="preserve"> Albany</v>
      </c>
      <c r="L478" s="2" t="str">
        <f ca="1">IFERROR(__xludf.DUMMYFUNCTION("""COMPUTED_VALUE""")," NY 12202")</f>
        <v xml:space="preserve"> NY 12202</v>
      </c>
      <c r="M478" s="2" t="str">
        <f ca="1">IFERROR(__xludf.DUMMYFUNCTION("""COMPUTED_VALUE""")," USA")</f>
        <v xml:space="preserve"> USA</v>
      </c>
      <c r="P478" s="60"/>
    </row>
    <row r="479" spans="1:16">
      <c r="A479" s="60">
        <v>478</v>
      </c>
      <c r="B479" s="79" t="s">
        <v>2981</v>
      </c>
      <c r="C479" s="60" t="s">
        <v>796</v>
      </c>
      <c r="D479" s="93" t="s">
        <v>2983</v>
      </c>
      <c r="E479" s="48" t="str">
        <f t="shared" si="0"/>
        <v>Bonner Springs</v>
      </c>
      <c r="F479" s="83" t="str">
        <f t="shared" si="1"/>
        <v>Basehor-Linwood (Basehor),KS</v>
      </c>
      <c r="G479" s="60" t="s">
        <v>2984</v>
      </c>
      <c r="H479" s="60">
        <v>39.070124100000001</v>
      </c>
      <c r="I479" s="60">
        <v>-94.9558696</v>
      </c>
      <c r="J479" s="60" t="str">
        <f ca="1">IFERROR(__xludf.DUMMYFUNCTION("SPLIT(G479,"","")"),"16244 Metropolitan Ave")</f>
        <v>16244 Metropolitan Ave</v>
      </c>
      <c r="K479" s="2" t="str">
        <f ca="1">IFERROR(__xludf.DUMMYFUNCTION("""COMPUTED_VALUE""")," Bonner Springs")</f>
        <v xml:space="preserve"> Bonner Springs</v>
      </c>
      <c r="L479" s="2" t="str">
        <f ca="1">IFERROR(__xludf.DUMMYFUNCTION("""COMPUTED_VALUE""")," KS 66012")</f>
        <v xml:space="preserve"> KS 66012</v>
      </c>
      <c r="M479" s="2" t="str">
        <f ca="1">IFERROR(__xludf.DUMMYFUNCTION("""COMPUTED_VALUE""")," USA")</f>
        <v xml:space="preserve"> USA</v>
      </c>
      <c r="P479" s="60"/>
    </row>
    <row r="480" spans="1:16">
      <c r="A480" s="65">
        <v>479</v>
      </c>
      <c r="B480" s="80" t="s">
        <v>2987</v>
      </c>
      <c r="C480" s="65" t="s">
        <v>901</v>
      </c>
      <c r="D480" s="93" t="s">
        <v>1440</v>
      </c>
      <c r="E480" s="48" t="str">
        <f t="shared" si="0"/>
        <v>Little Rock</v>
      </c>
      <c r="F480" s="83" t="str">
        <f t="shared" si="1"/>
        <v>Central (Little Rock),AR</v>
      </c>
      <c r="G480" s="65" t="s">
        <v>2989</v>
      </c>
      <c r="H480" s="65">
        <v>34.7367998</v>
      </c>
      <c r="I480" s="65">
        <v>-92.298687299999997</v>
      </c>
      <c r="J480" s="60" t="str">
        <f ca="1">IFERROR(__xludf.DUMMYFUNCTION("SPLIT(G480,"","")"),"1500 S Park St")</f>
        <v>1500 S Park St</v>
      </c>
      <c r="K480" s="2" t="str">
        <f ca="1">IFERROR(__xludf.DUMMYFUNCTION("""COMPUTED_VALUE""")," Little Rock")</f>
        <v xml:space="preserve"> Little Rock</v>
      </c>
      <c r="L480" s="2" t="str">
        <f ca="1">IFERROR(__xludf.DUMMYFUNCTION("""COMPUTED_VALUE""")," AR 72202")</f>
        <v xml:space="preserve"> AR 72202</v>
      </c>
      <c r="M480" s="2" t="str">
        <f ca="1">IFERROR(__xludf.DUMMYFUNCTION("""COMPUTED_VALUE""")," USA")</f>
        <v xml:space="preserve"> USA</v>
      </c>
      <c r="P480" s="60"/>
    </row>
    <row r="481" spans="1:16">
      <c r="A481" s="60">
        <v>480</v>
      </c>
      <c r="B481" s="79" t="s">
        <v>2991</v>
      </c>
      <c r="C481" s="60" t="s">
        <v>604</v>
      </c>
      <c r="D481" s="93" t="s">
        <v>2992</v>
      </c>
      <c r="E481" s="48" t="str">
        <f t="shared" si="0"/>
        <v>Kankakee</v>
      </c>
      <c r="F481" s="83" t="str">
        <f t="shared" si="1"/>
        <v>Kankakee,IL</v>
      </c>
      <c r="G481" s="60" t="s">
        <v>2994</v>
      </c>
      <c r="H481" s="60">
        <v>41.120032500000001</v>
      </c>
      <c r="I481" s="60">
        <v>-87.861153099999996</v>
      </c>
      <c r="J481" s="60" t="str">
        <f ca="1">IFERROR(__xludf.DUMMYFUNCTION("SPLIT(G481,"","")"),"388 E Court St")</f>
        <v>388 E Court St</v>
      </c>
      <c r="K481" s="2" t="str">
        <f ca="1">IFERROR(__xludf.DUMMYFUNCTION("""COMPUTED_VALUE""")," Kankakee")</f>
        <v xml:space="preserve"> Kankakee</v>
      </c>
      <c r="L481" s="2" t="str">
        <f ca="1">IFERROR(__xludf.DUMMYFUNCTION("""COMPUTED_VALUE""")," IL 60901")</f>
        <v xml:space="preserve"> IL 60901</v>
      </c>
      <c r="M481" s="2" t="str">
        <f ca="1">IFERROR(__xludf.DUMMYFUNCTION("""COMPUTED_VALUE""")," USA")</f>
        <v xml:space="preserve"> USA</v>
      </c>
      <c r="P481" s="60"/>
    </row>
    <row r="482" spans="1:16">
      <c r="A482" s="65">
        <v>481</v>
      </c>
      <c r="B482" s="80" t="s">
        <v>2997</v>
      </c>
      <c r="C482" s="65" t="s">
        <v>1039</v>
      </c>
      <c r="D482" s="93" t="s">
        <v>2998</v>
      </c>
      <c r="E482" s="48" t="str">
        <f t="shared" si="0"/>
        <v>Mansfield</v>
      </c>
      <c r="F482" s="83" t="str">
        <f t="shared" si="1"/>
        <v>Mansfield,MA</v>
      </c>
      <c r="G482" s="65" t="s">
        <v>3000</v>
      </c>
      <c r="H482" s="65">
        <v>42.033456500000007</v>
      </c>
      <c r="I482" s="65">
        <v>-71.219057800000002</v>
      </c>
      <c r="J482" s="60" t="str">
        <f ca="1">IFERROR(__xludf.DUMMYFUNCTION("SPLIT(G482,"","")"),"172 N Main St")</f>
        <v>172 N Main St</v>
      </c>
      <c r="K482" s="2" t="str">
        <f ca="1">IFERROR(__xludf.DUMMYFUNCTION("""COMPUTED_VALUE""")," Mansfield")</f>
        <v xml:space="preserve"> Mansfield</v>
      </c>
      <c r="L482" s="2" t="str">
        <f ca="1">IFERROR(__xludf.DUMMYFUNCTION("""COMPUTED_VALUE""")," MA 02048")</f>
        <v xml:space="preserve"> MA 02048</v>
      </c>
      <c r="M482" s="2" t="str">
        <f ca="1">IFERROR(__xludf.DUMMYFUNCTION("""COMPUTED_VALUE""")," USA")</f>
        <v xml:space="preserve"> USA</v>
      </c>
      <c r="P482" s="60"/>
    </row>
    <row r="483" spans="1:16">
      <c r="A483" s="60">
        <v>482</v>
      </c>
      <c r="B483" s="79" t="s">
        <v>3005</v>
      </c>
      <c r="C483" s="60" t="s">
        <v>595</v>
      </c>
      <c r="D483" s="93" t="s">
        <v>1109</v>
      </c>
      <c r="E483" s="48" t="str">
        <f t="shared" si="0"/>
        <v>Arlington</v>
      </c>
      <c r="F483" s="83" t="str">
        <f t="shared" si="1"/>
        <v>Lamar (Arlington),TX</v>
      </c>
      <c r="G483" s="60" t="s">
        <v>3007</v>
      </c>
      <c r="H483" s="60">
        <v>32.764248000000002</v>
      </c>
      <c r="I483" s="60">
        <v>-97.092081999999991</v>
      </c>
      <c r="J483" s="60" t="str">
        <f ca="1">IFERROR(__xludf.DUMMYFUNCTION("SPLIT(G483,"","")"),"1224 E Lamar Blvd")</f>
        <v>1224 E Lamar Blvd</v>
      </c>
      <c r="K483" s="2" t="str">
        <f ca="1">IFERROR(__xludf.DUMMYFUNCTION("""COMPUTED_VALUE""")," Arlington")</f>
        <v xml:space="preserve"> Arlington</v>
      </c>
      <c r="L483" s="2" t="str">
        <f ca="1">IFERROR(__xludf.DUMMYFUNCTION("""COMPUTED_VALUE""")," TX 76011")</f>
        <v xml:space="preserve"> TX 76011</v>
      </c>
      <c r="M483" s="2" t="str">
        <f ca="1">IFERROR(__xludf.DUMMYFUNCTION("""COMPUTED_VALUE""")," USA")</f>
        <v xml:space="preserve"> USA</v>
      </c>
      <c r="P483" s="60"/>
    </row>
    <row r="484" spans="1:16">
      <c r="A484" s="65">
        <v>483</v>
      </c>
      <c r="B484" s="80" t="s">
        <v>3010</v>
      </c>
      <c r="C484" s="65" t="s">
        <v>1296</v>
      </c>
      <c r="D484" s="93" t="s">
        <v>3011</v>
      </c>
      <c r="E484" s="48" t="str">
        <f t="shared" si="0"/>
        <v>Gresham</v>
      </c>
      <c r="F484" s="83" t="str">
        <f t="shared" si="1"/>
        <v>Barlow (Gresham),OR</v>
      </c>
      <c r="G484" s="65" t="s">
        <v>3013</v>
      </c>
      <c r="H484" s="65">
        <v>45.507404000000001</v>
      </c>
      <c r="I484" s="65">
        <v>-122.436358</v>
      </c>
      <c r="J484" s="60" t="str">
        <f ca="1">IFERROR(__xludf.DUMMYFUNCTION("SPLIT(G484,"","")"),"1331 NW Eastman Pkwy")</f>
        <v>1331 NW Eastman Pkwy</v>
      </c>
      <c r="K484" s="2" t="str">
        <f ca="1">IFERROR(__xludf.DUMMYFUNCTION("""COMPUTED_VALUE""")," Gresham")</f>
        <v xml:space="preserve"> Gresham</v>
      </c>
      <c r="L484" s="2" t="str">
        <f ca="1">IFERROR(__xludf.DUMMYFUNCTION("""COMPUTED_VALUE""")," OR 97030")</f>
        <v xml:space="preserve"> OR 97030</v>
      </c>
      <c r="M484" s="2" t="str">
        <f ca="1">IFERROR(__xludf.DUMMYFUNCTION("""COMPUTED_VALUE""")," USA")</f>
        <v xml:space="preserve"> USA</v>
      </c>
      <c r="P484" s="60"/>
    </row>
    <row r="485" spans="1:16">
      <c r="A485" s="60">
        <v>484</v>
      </c>
      <c r="B485" s="79" t="s">
        <v>3016</v>
      </c>
      <c r="C485" s="60" t="s">
        <v>588</v>
      </c>
      <c r="D485" s="93" t="s">
        <v>3018</v>
      </c>
      <c r="E485" s="48" t="str">
        <f t="shared" si="0"/>
        <v>Anaheim</v>
      </c>
      <c r="F485" s="83" t="str">
        <f t="shared" si="1"/>
        <v>Fairmont Prep (Anaheim),CA</v>
      </c>
      <c r="G485" s="60" t="s">
        <v>3019</v>
      </c>
      <c r="H485" s="60">
        <v>33.8439914</v>
      </c>
      <c r="I485" s="60">
        <v>-117.9601554</v>
      </c>
      <c r="J485" s="60" t="str">
        <f ca="1">IFERROR(__xludf.DUMMYFUNCTION("SPLIT(G485,"","")"),"2200 W Sequoia Ave")</f>
        <v>2200 W Sequoia Ave</v>
      </c>
      <c r="K485" s="2" t="str">
        <f ca="1">IFERROR(__xludf.DUMMYFUNCTION("""COMPUTED_VALUE""")," Anaheim")</f>
        <v xml:space="preserve"> Anaheim</v>
      </c>
      <c r="L485" s="2" t="str">
        <f ca="1">IFERROR(__xludf.DUMMYFUNCTION("""COMPUTED_VALUE""")," CA 92801")</f>
        <v xml:space="preserve"> CA 92801</v>
      </c>
      <c r="M485" s="2" t="str">
        <f ca="1">IFERROR(__xludf.DUMMYFUNCTION("""COMPUTED_VALUE""")," USA")</f>
        <v xml:space="preserve"> USA</v>
      </c>
      <c r="P485" s="60"/>
    </row>
    <row r="486" spans="1:16">
      <c r="A486" s="65">
        <v>485</v>
      </c>
      <c r="B486" s="80" t="s">
        <v>3022</v>
      </c>
      <c r="C486" s="65" t="s">
        <v>136</v>
      </c>
      <c r="D486" s="93" t="s">
        <v>3023</v>
      </c>
      <c r="E486" s="48" t="str">
        <f t="shared" si="0"/>
        <v>Palm Beach Gardens</v>
      </c>
      <c r="F486" s="83" t="str">
        <f t="shared" si="1"/>
        <v>Dwyer (Palm Beach Gardens),FL</v>
      </c>
      <c r="G486" s="65" t="s">
        <v>3025</v>
      </c>
      <c r="H486" s="65">
        <v>26.876958999999999</v>
      </c>
      <c r="I486" s="65">
        <v>-80.106357000000003</v>
      </c>
      <c r="J486" s="60" t="str">
        <f ca="1">IFERROR(__xludf.DUMMYFUNCTION("SPLIT(G486,"","")"),"13601 N Military Trl")</f>
        <v>13601 N Military Trl</v>
      </c>
      <c r="K486" s="2" t="str">
        <f ca="1">IFERROR(__xludf.DUMMYFUNCTION("""COMPUTED_VALUE""")," Palm Beach Gardens")</f>
        <v xml:space="preserve"> Palm Beach Gardens</v>
      </c>
      <c r="L486" s="2" t="str">
        <f ca="1">IFERROR(__xludf.DUMMYFUNCTION("""COMPUTED_VALUE""")," FL 33418")</f>
        <v xml:space="preserve"> FL 33418</v>
      </c>
      <c r="M486" s="2" t="str">
        <f ca="1">IFERROR(__xludf.DUMMYFUNCTION("""COMPUTED_VALUE""")," USA")</f>
        <v xml:space="preserve"> USA</v>
      </c>
      <c r="P486" s="60"/>
    </row>
    <row r="487" spans="1:16">
      <c r="A487" s="60">
        <v>486</v>
      </c>
      <c r="B487" s="79" t="s">
        <v>3028</v>
      </c>
      <c r="C487" s="60" t="s">
        <v>770</v>
      </c>
      <c r="D487" s="93" t="s">
        <v>3029</v>
      </c>
      <c r="E487" s="48" t="str">
        <f t="shared" si="0"/>
        <v>Johnson City</v>
      </c>
      <c r="F487" s="83" t="str">
        <f t="shared" si="1"/>
        <v>Science Hill (Johnson City),TN</v>
      </c>
      <c r="G487" s="60" t="s">
        <v>3030</v>
      </c>
      <c r="H487" s="60">
        <v>36.326897600000002</v>
      </c>
      <c r="I487" s="60">
        <v>-82.371208899999999</v>
      </c>
      <c r="J487" s="60" t="str">
        <f ca="1">IFERROR(__xludf.DUMMYFUNCTION("SPLIT(G487,"","")"),"1509 John Exum Pkwy")</f>
        <v>1509 John Exum Pkwy</v>
      </c>
      <c r="K487" s="2" t="str">
        <f ca="1">IFERROR(__xludf.DUMMYFUNCTION("""COMPUTED_VALUE""")," Johnson City")</f>
        <v xml:space="preserve"> Johnson City</v>
      </c>
      <c r="L487" s="2" t="str">
        <f ca="1">IFERROR(__xludf.DUMMYFUNCTION("""COMPUTED_VALUE""")," TN 37604")</f>
        <v xml:space="preserve"> TN 37604</v>
      </c>
      <c r="M487" s="2" t="str">
        <f ca="1">IFERROR(__xludf.DUMMYFUNCTION("""COMPUTED_VALUE""")," USA")</f>
        <v xml:space="preserve"> USA</v>
      </c>
      <c r="P487" s="60"/>
    </row>
    <row r="488" spans="1:16">
      <c r="A488" s="65">
        <v>487</v>
      </c>
      <c r="B488" s="80" t="s">
        <v>3033</v>
      </c>
      <c r="C488" s="65" t="s">
        <v>602</v>
      </c>
      <c r="D488" s="93" t="s">
        <v>3034</v>
      </c>
      <c r="E488" s="48" t="str">
        <f t="shared" si="0"/>
        <v>Colonial Heights</v>
      </c>
      <c r="F488" s="83" t="str">
        <f t="shared" si="1"/>
        <v>Life Christian Academy (Chester),VA</v>
      </c>
      <c r="G488" s="65" t="s">
        <v>3036</v>
      </c>
      <c r="H488" s="65">
        <v>37.290920999999997</v>
      </c>
      <c r="I488" s="65">
        <v>-77.415804999999992</v>
      </c>
      <c r="J488" s="60" t="str">
        <f ca="1">IFERROR(__xludf.DUMMYFUNCTION("SPLIT(G488,"","")"),"16801 Harrowgate Rd")</f>
        <v>16801 Harrowgate Rd</v>
      </c>
      <c r="K488" s="2" t="str">
        <f ca="1">IFERROR(__xludf.DUMMYFUNCTION("""COMPUTED_VALUE""")," Colonial Heights")</f>
        <v xml:space="preserve"> Colonial Heights</v>
      </c>
      <c r="L488" s="2" t="str">
        <f ca="1">IFERROR(__xludf.DUMMYFUNCTION("""COMPUTED_VALUE""")," VA 23834")</f>
        <v xml:space="preserve"> VA 23834</v>
      </c>
      <c r="M488" s="2" t="str">
        <f ca="1">IFERROR(__xludf.DUMMYFUNCTION("""COMPUTED_VALUE""")," USA")</f>
        <v xml:space="preserve"> USA</v>
      </c>
      <c r="P488" s="60"/>
    </row>
    <row r="489" spans="1:16">
      <c r="A489" s="60">
        <v>488</v>
      </c>
      <c r="B489" s="79" t="s">
        <v>3039</v>
      </c>
      <c r="C489" s="60" t="s">
        <v>598</v>
      </c>
      <c r="D489" s="93" t="s">
        <v>3040</v>
      </c>
      <c r="E489" s="48" t="str">
        <f t="shared" si="0"/>
        <v>McDonough</v>
      </c>
      <c r="F489" s="83" t="str">
        <f t="shared" si="1"/>
        <v>Eagle's Landing (McDonough),GA</v>
      </c>
      <c r="G489" s="60" t="s">
        <v>3043</v>
      </c>
      <c r="H489" s="60">
        <v>33.458097100000003</v>
      </c>
      <c r="I489" s="60">
        <v>-84.178479499999995</v>
      </c>
      <c r="J489" s="60" t="str">
        <f ca="1">IFERROR(__xludf.DUMMYFUNCTION("SPLIT(G489,"","")"),"50 Kelly Rd")</f>
        <v>50 Kelly Rd</v>
      </c>
      <c r="K489" s="2" t="str">
        <f ca="1">IFERROR(__xludf.DUMMYFUNCTION("""COMPUTED_VALUE""")," McDonough")</f>
        <v xml:space="preserve"> McDonough</v>
      </c>
      <c r="L489" s="2" t="str">
        <f ca="1">IFERROR(__xludf.DUMMYFUNCTION("""COMPUTED_VALUE""")," GA 30253")</f>
        <v xml:space="preserve"> GA 30253</v>
      </c>
      <c r="M489" s="2" t="str">
        <f ca="1">IFERROR(__xludf.DUMMYFUNCTION("""COMPUTED_VALUE""")," USA")</f>
        <v xml:space="preserve"> USA</v>
      </c>
      <c r="P489" s="60"/>
    </row>
    <row r="490" spans="1:16">
      <c r="A490" s="65">
        <v>489</v>
      </c>
      <c r="B490" s="80" t="s">
        <v>3046</v>
      </c>
      <c r="C490" s="65" t="s">
        <v>598</v>
      </c>
      <c r="D490" s="93" t="s">
        <v>972</v>
      </c>
      <c r="E490" s="48" t="str">
        <f t="shared" si="0"/>
        <v>Alpharetta</v>
      </c>
      <c r="F490" s="83" t="str">
        <f t="shared" si="1"/>
        <v>Chattahoochee (Alpharetta),GA</v>
      </c>
      <c r="G490" s="65" t="s">
        <v>3048</v>
      </c>
      <c r="H490" s="65">
        <v>34.074596900000003</v>
      </c>
      <c r="I490" s="65">
        <v>-84.261782299999993</v>
      </c>
      <c r="J490" s="60" t="str">
        <f ca="1">IFERROR(__xludf.DUMMYFUNCTION("SPLIT(G490,"","")"),"3155 North Point Pkwy")</f>
        <v>3155 North Point Pkwy</v>
      </c>
      <c r="K490" s="2" t="str">
        <f ca="1">IFERROR(__xludf.DUMMYFUNCTION("""COMPUTED_VALUE""")," Alpharetta")</f>
        <v xml:space="preserve"> Alpharetta</v>
      </c>
      <c r="L490" s="2" t="str">
        <f ca="1">IFERROR(__xludf.DUMMYFUNCTION("""COMPUTED_VALUE""")," GA 30005")</f>
        <v xml:space="preserve"> GA 30005</v>
      </c>
      <c r="M490" s="2" t="str">
        <f ca="1">IFERROR(__xludf.DUMMYFUNCTION("""COMPUTED_VALUE""")," USA")</f>
        <v xml:space="preserve"> USA</v>
      </c>
      <c r="P490" s="60"/>
    </row>
    <row r="491" spans="1:16">
      <c r="A491" s="60">
        <v>490</v>
      </c>
      <c r="B491" s="79" t="s">
        <v>3050</v>
      </c>
      <c r="C491" s="60" t="s">
        <v>1322</v>
      </c>
      <c r="D491" s="93" t="s">
        <v>3052</v>
      </c>
      <c r="E491" s="48" t="str">
        <f t="shared" si="0"/>
        <v>Highlands Ranch</v>
      </c>
      <c r="F491" s="83" t="str">
        <f t="shared" si="1"/>
        <v>Valor Christian (Highlands Ranch),CO</v>
      </c>
      <c r="G491" s="60" t="s">
        <v>3053</v>
      </c>
      <c r="H491" s="60">
        <v>39.540515000000013</v>
      </c>
      <c r="I491" s="60">
        <v>-104.9448572</v>
      </c>
      <c r="J491" s="60" t="str">
        <f ca="1">IFERROR(__xludf.DUMMYFUNCTION("SPLIT(G491,"","")"),"3775 E Grace Blvd")</f>
        <v>3775 E Grace Blvd</v>
      </c>
      <c r="K491" s="2" t="str">
        <f ca="1">IFERROR(__xludf.DUMMYFUNCTION("""COMPUTED_VALUE""")," Highlands Ranch")</f>
        <v xml:space="preserve"> Highlands Ranch</v>
      </c>
      <c r="L491" s="2" t="str">
        <f ca="1">IFERROR(__xludf.DUMMYFUNCTION("""COMPUTED_VALUE""")," CO 80126")</f>
        <v xml:space="preserve"> CO 80126</v>
      </c>
      <c r="M491" s="2" t="str">
        <f ca="1">IFERROR(__xludf.DUMMYFUNCTION("""COMPUTED_VALUE""")," USA")</f>
        <v xml:space="preserve"> USA</v>
      </c>
      <c r="P491" s="60"/>
    </row>
    <row r="492" spans="1:16">
      <c r="A492" s="65">
        <v>491</v>
      </c>
      <c r="B492" s="80" t="s">
        <v>3056</v>
      </c>
      <c r="C492" s="65" t="s">
        <v>770</v>
      </c>
      <c r="D492" s="93" t="s">
        <v>3057</v>
      </c>
      <c r="E492" s="48" t="str">
        <f t="shared" si="0"/>
        <v>Knoxville</v>
      </c>
      <c r="F492" s="83" t="str">
        <f t="shared" si="1"/>
        <v>Knoxville Catholic (Knoxville),TN</v>
      </c>
      <c r="G492" s="65" t="s">
        <v>3059</v>
      </c>
      <c r="H492" s="65">
        <v>35.925262600000003</v>
      </c>
      <c r="I492" s="65">
        <v>-83.9994686</v>
      </c>
      <c r="J492" s="60" t="str">
        <f ca="1">IFERROR(__xludf.DUMMYFUNCTION("SPLIT(G492,"","")"),"805 S Northshore Dr")</f>
        <v>805 S Northshore Dr</v>
      </c>
      <c r="K492" s="2" t="str">
        <f ca="1">IFERROR(__xludf.DUMMYFUNCTION("""COMPUTED_VALUE""")," Knoxville")</f>
        <v xml:space="preserve"> Knoxville</v>
      </c>
      <c r="L492" s="2" t="str">
        <f ca="1">IFERROR(__xludf.DUMMYFUNCTION("""COMPUTED_VALUE""")," TN 37919")</f>
        <v xml:space="preserve"> TN 37919</v>
      </c>
      <c r="M492" s="2" t="str">
        <f ca="1">IFERROR(__xludf.DUMMYFUNCTION("""COMPUTED_VALUE""")," USA")</f>
        <v xml:space="preserve"> USA</v>
      </c>
      <c r="P492" s="60"/>
    </row>
    <row r="493" spans="1:16">
      <c r="A493" s="60">
        <v>492</v>
      </c>
      <c r="B493" s="79" t="s">
        <v>3061</v>
      </c>
      <c r="C493" s="60" t="s">
        <v>179</v>
      </c>
      <c r="D493" s="93" t="s">
        <v>3063</v>
      </c>
      <c r="E493" s="48" t="str">
        <f t="shared" si="0"/>
        <v>Winston-Salem</v>
      </c>
      <c r="F493" s="83" t="str">
        <f t="shared" si="1"/>
        <v>Mount Tabor (Winston-Salem),NC</v>
      </c>
      <c r="G493" s="60" t="s">
        <v>3064</v>
      </c>
      <c r="H493" s="60">
        <v>36.119026400000003</v>
      </c>
      <c r="I493" s="60">
        <v>-80.319496200000003</v>
      </c>
      <c r="J493" s="60" t="str">
        <f ca="1">IFERROR(__xludf.DUMMYFUNCTION("SPLIT(G493,"","")"),"200 Robinhood Medical Plaza")</f>
        <v>200 Robinhood Medical Plaza</v>
      </c>
      <c r="K493" s="2" t="str">
        <f ca="1">IFERROR(__xludf.DUMMYFUNCTION("""COMPUTED_VALUE""")," Winston-Salem")</f>
        <v xml:space="preserve"> Winston-Salem</v>
      </c>
      <c r="L493" s="2" t="str">
        <f ca="1">IFERROR(__xludf.DUMMYFUNCTION("""COMPUTED_VALUE""")," NC 27106")</f>
        <v xml:space="preserve"> NC 27106</v>
      </c>
      <c r="M493" s="2" t="str">
        <f ca="1">IFERROR(__xludf.DUMMYFUNCTION("""COMPUTED_VALUE""")," USA")</f>
        <v xml:space="preserve"> USA</v>
      </c>
      <c r="P493" s="60"/>
    </row>
    <row r="494" spans="1:16">
      <c r="A494" s="65">
        <v>493</v>
      </c>
      <c r="B494" s="80" t="s">
        <v>3066</v>
      </c>
      <c r="C494" s="65" t="s">
        <v>1055</v>
      </c>
      <c r="D494" s="93" t="s">
        <v>1420</v>
      </c>
      <c r="E494" s="48" t="str">
        <f t="shared" si="0"/>
        <v>Tulsa</v>
      </c>
      <c r="F494" s="83" t="str">
        <f t="shared" si="1"/>
        <v>Union (Tulsa),OK</v>
      </c>
      <c r="G494" s="65" t="s">
        <v>3068</v>
      </c>
      <c r="H494" s="65">
        <v>36.066442000000002</v>
      </c>
      <c r="I494" s="65">
        <v>-95.87018599999999</v>
      </c>
      <c r="J494" s="60" t="str">
        <f ca="1">IFERROR(__xludf.DUMMYFUNCTION("SPLIT(G494,"","")"),"6636 S Mingo Rd")</f>
        <v>6636 S Mingo Rd</v>
      </c>
      <c r="K494" s="2" t="str">
        <f ca="1">IFERROR(__xludf.DUMMYFUNCTION("""COMPUTED_VALUE""")," Tulsa")</f>
        <v xml:space="preserve"> Tulsa</v>
      </c>
      <c r="L494" s="2" t="str">
        <f ca="1">IFERROR(__xludf.DUMMYFUNCTION("""COMPUTED_VALUE""")," OK 74133")</f>
        <v xml:space="preserve"> OK 74133</v>
      </c>
      <c r="M494" s="2" t="str">
        <f ca="1">IFERROR(__xludf.DUMMYFUNCTION("""COMPUTED_VALUE""")," USA")</f>
        <v xml:space="preserve"> USA</v>
      </c>
      <c r="P494" s="60"/>
    </row>
    <row r="495" spans="1:16">
      <c r="A495" s="60">
        <v>494</v>
      </c>
      <c r="B495" s="79" t="s">
        <v>3071</v>
      </c>
      <c r="C495" s="60" t="s">
        <v>136</v>
      </c>
      <c r="D495" s="93" t="s">
        <v>1122</v>
      </c>
      <c r="E495" s="48" t="str">
        <f t="shared" si="0"/>
        <v>Tallahassee</v>
      </c>
      <c r="F495" s="83" t="str">
        <f t="shared" si="1"/>
        <v>Lincoln (Tallahassee),FL</v>
      </c>
      <c r="G495" s="60" t="s">
        <v>3074</v>
      </c>
      <c r="H495" s="60">
        <v>30.445193400000001</v>
      </c>
      <c r="I495" s="60">
        <v>-84.260946700000005</v>
      </c>
      <c r="J495" s="60" t="str">
        <f ca="1">IFERROR(__xludf.DUMMYFUNCTION("SPLIT(G495,"","")"),"243 N Magnolia Dr")</f>
        <v>243 N Magnolia Dr</v>
      </c>
      <c r="K495" s="2" t="str">
        <f ca="1">IFERROR(__xludf.DUMMYFUNCTION("""COMPUTED_VALUE""")," Tallahassee")</f>
        <v xml:space="preserve"> Tallahassee</v>
      </c>
      <c r="L495" s="2" t="str">
        <f ca="1">IFERROR(__xludf.DUMMYFUNCTION("""COMPUTED_VALUE""")," FL 32301")</f>
        <v xml:space="preserve"> FL 32301</v>
      </c>
      <c r="M495" s="2" t="str">
        <f ca="1">IFERROR(__xludf.DUMMYFUNCTION("""COMPUTED_VALUE""")," USA")</f>
        <v xml:space="preserve"> USA</v>
      </c>
      <c r="P495" s="60"/>
    </row>
    <row r="496" spans="1:16">
      <c r="A496" s="65">
        <v>495</v>
      </c>
      <c r="B496" s="80" t="s">
        <v>1686</v>
      </c>
      <c r="C496" s="65" t="s">
        <v>595</v>
      </c>
      <c r="D496" s="93" t="s">
        <v>3078</v>
      </c>
      <c r="E496" s="48" t="str">
        <f t="shared" si="0"/>
        <v>Decatur</v>
      </c>
      <c r="F496" s="83" t="str">
        <f t="shared" si="1"/>
        <v>Decatur,TX</v>
      </c>
      <c r="G496" s="65" t="s">
        <v>3080</v>
      </c>
      <c r="H496" s="65">
        <v>33.234283400000002</v>
      </c>
      <c r="I496" s="65">
        <v>-97.586139299999999</v>
      </c>
      <c r="J496" s="60" t="str">
        <f ca="1">IFERROR(__xludf.DUMMYFUNCTION("SPLIT(G496,"","")"),"2201 FM 51")</f>
        <v>2201 FM 51</v>
      </c>
      <c r="K496" s="2" t="str">
        <f ca="1">IFERROR(__xludf.DUMMYFUNCTION("""COMPUTED_VALUE""")," Decatur")</f>
        <v xml:space="preserve"> Decatur</v>
      </c>
      <c r="L496" s="2" t="str">
        <f ca="1">IFERROR(__xludf.DUMMYFUNCTION("""COMPUTED_VALUE""")," TX 76234")</f>
        <v xml:space="preserve"> TX 76234</v>
      </c>
      <c r="M496" s="2" t="str">
        <f ca="1">IFERROR(__xludf.DUMMYFUNCTION("""COMPUTED_VALUE""")," USA")</f>
        <v xml:space="preserve"> USA</v>
      </c>
      <c r="P496" s="60"/>
    </row>
    <row r="497" spans="1:16">
      <c r="A497" s="60">
        <v>496</v>
      </c>
      <c r="B497" s="79" t="s">
        <v>3082</v>
      </c>
      <c r="C497" s="60" t="s">
        <v>593</v>
      </c>
      <c r="D497" s="93" t="s">
        <v>1895</v>
      </c>
      <c r="E497" s="48" t="str">
        <f t="shared" si="0"/>
        <v>Henderson</v>
      </c>
      <c r="F497" s="83" t="str">
        <f t="shared" si="1"/>
        <v>Coronado (Henderson),NV</v>
      </c>
      <c r="G497" s="60" t="s">
        <v>3084</v>
      </c>
      <c r="H497" s="60">
        <v>35.994277300000007</v>
      </c>
      <c r="I497" s="60">
        <v>-115.11187169999999</v>
      </c>
      <c r="J497" s="60" t="str">
        <f ca="1">IFERROR(__xludf.DUMMYFUNCTION("SPLIT(G497,"","")"),"1001 Coronado Center Dr")</f>
        <v>1001 Coronado Center Dr</v>
      </c>
      <c r="K497" s="2" t="str">
        <f ca="1">IFERROR(__xludf.DUMMYFUNCTION("""COMPUTED_VALUE""")," Henderson")</f>
        <v xml:space="preserve"> Henderson</v>
      </c>
      <c r="L497" s="2" t="str">
        <f ca="1">IFERROR(__xludf.DUMMYFUNCTION("""COMPUTED_VALUE""")," NV 89052")</f>
        <v xml:space="preserve"> NV 89052</v>
      </c>
      <c r="M497" s="2" t="str">
        <f ca="1">IFERROR(__xludf.DUMMYFUNCTION("""COMPUTED_VALUE""")," USA")</f>
        <v xml:space="preserve"> USA</v>
      </c>
      <c r="P497" s="60"/>
    </row>
    <row r="498" spans="1:16">
      <c r="A498" s="65">
        <v>497</v>
      </c>
      <c r="B498" s="80" t="s">
        <v>3087</v>
      </c>
      <c r="C498" s="65" t="s">
        <v>590</v>
      </c>
      <c r="D498" s="93" t="s">
        <v>3089</v>
      </c>
      <c r="E498" s="48" t="str">
        <f t="shared" si="0"/>
        <v>Forestville</v>
      </c>
      <c r="F498" s="83" t="str">
        <f t="shared" si="1"/>
        <v>Bishop McNamara (Forestville),MD</v>
      </c>
      <c r="G498" s="65" t="s">
        <v>3090</v>
      </c>
      <c r="H498" s="65">
        <v>38.8521292</v>
      </c>
      <c r="I498" s="65">
        <v>-76.888706900000003</v>
      </c>
      <c r="J498" s="60" t="str">
        <f ca="1">IFERROR(__xludf.DUMMYFUNCTION("SPLIT(G498,"","")"),"6800 Marlboro Pike")</f>
        <v>6800 Marlboro Pike</v>
      </c>
      <c r="K498" s="2" t="str">
        <f ca="1">IFERROR(__xludf.DUMMYFUNCTION("""COMPUTED_VALUE""")," Forestville")</f>
        <v xml:space="preserve"> Forestville</v>
      </c>
      <c r="L498" s="2" t="str">
        <f ca="1">IFERROR(__xludf.DUMMYFUNCTION("""COMPUTED_VALUE""")," MD 20747")</f>
        <v xml:space="preserve"> MD 20747</v>
      </c>
      <c r="M498" s="2" t="str">
        <f ca="1">IFERROR(__xludf.DUMMYFUNCTION("""COMPUTED_VALUE""")," USA")</f>
        <v xml:space="preserve"> USA</v>
      </c>
      <c r="P498" s="60"/>
    </row>
    <row r="499" spans="1:16">
      <c r="A499" s="60">
        <v>498</v>
      </c>
      <c r="B499" s="79" t="s">
        <v>3093</v>
      </c>
      <c r="C499" s="60" t="s">
        <v>897</v>
      </c>
      <c r="D499" s="93" t="s">
        <v>3094</v>
      </c>
      <c r="E499" s="48" t="str">
        <f t="shared" si="0"/>
        <v>Kansas City</v>
      </c>
      <c r="F499" s="83" t="str">
        <f t="shared" si="1"/>
        <v>Staley (Kansas City),MO</v>
      </c>
      <c r="G499" s="60" t="s">
        <v>3096</v>
      </c>
      <c r="H499" s="60">
        <v>39.288314100000001</v>
      </c>
      <c r="I499" s="60">
        <v>-94.543852399999992</v>
      </c>
      <c r="J499" s="60" t="str">
        <f ca="1">IFERROR(__xludf.DUMMYFUNCTION("SPLIT(G499,"","")"),"2800 NE Shoal Creek Pkwy")</f>
        <v>2800 NE Shoal Creek Pkwy</v>
      </c>
      <c r="K499" s="2" t="str">
        <f ca="1">IFERROR(__xludf.DUMMYFUNCTION("""COMPUTED_VALUE""")," Kansas City")</f>
        <v xml:space="preserve"> Kansas City</v>
      </c>
      <c r="L499" s="2" t="str">
        <f ca="1">IFERROR(__xludf.DUMMYFUNCTION("""COMPUTED_VALUE""")," MO 64156")</f>
        <v xml:space="preserve"> MO 64156</v>
      </c>
      <c r="M499" s="2" t="str">
        <f ca="1">IFERROR(__xludf.DUMMYFUNCTION("""COMPUTED_VALUE""")," USA")</f>
        <v xml:space="preserve"> USA</v>
      </c>
      <c r="P499" s="60"/>
    </row>
    <row r="500" spans="1:16">
      <c r="A500" s="65">
        <v>499</v>
      </c>
      <c r="B500" s="80" t="s">
        <v>3097</v>
      </c>
      <c r="C500" s="65" t="s">
        <v>1039</v>
      </c>
      <c r="D500" s="93" t="s">
        <v>3098</v>
      </c>
      <c r="E500" s="48" t="str">
        <f t="shared" si="0"/>
        <v>Sutton</v>
      </c>
      <c r="F500" s="83" t="str">
        <f t="shared" si="1"/>
        <v>Sutton,MA</v>
      </c>
      <c r="G500" s="65" t="s">
        <v>3099</v>
      </c>
      <c r="H500" s="65">
        <v>42.150035299999999</v>
      </c>
      <c r="I500" s="65">
        <v>-71.763287800000001</v>
      </c>
      <c r="J500" s="60" t="str">
        <f ca="1">IFERROR(__xludf.DUMMYFUNCTION("SPLIT(G500,"","")"),"4 Uxbridge Rd")</f>
        <v>4 Uxbridge Rd</v>
      </c>
      <c r="K500" s="2" t="str">
        <f ca="1">IFERROR(__xludf.DUMMYFUNCTION("""COMPUTED_VALUE""")," Sutton")</f>
        <v xml:space="preserve"> Sutton</v>
      </c>
      <c r="L500" s="2" t="str">
        <f ca="1">IFERROR(__xludf.DUMMYFUNCTION("""COMPUTED_VALUE""")," MA 01590")</f>
        <v xml:space="preserve"> MA 01590</v>
      </c>
      <c r="M500" s="2" t="str">
        <f ca="1">IFERROR(__xludf.DUMMYFUNCTION("""COMPUTED_VALUE""")," USA")</f>
        <v xml:space="preserve"> USA</v>
      </c>
      <c r="P500" s="60"/>
    </row>
    <row r="501" spans="1:16">
      <c r="A501" s="60">
        <v>500</v>
      </c>
      <c r="B501" s="79" t="s">
        <v>3100</v>
      </c>
      <c r="C501" s="60" t="s">
        <v>1055</v>
      </c>
      <c r="D501" s="93" t="s">
        <v>2377</v>
      </c>
      <c r="E501" s="48" t="str">
        <f t="shared" si="0"/>
        <v>Oklahoma City</v>
      </c>
      <c r="F501" s="83" t="str">
        <f t="shared" si="1"/>
        <v>Heritage Hall (Oklahoma City),OK</v>
      </c>
      <c r="G501" s="60" t="s">
        <v>3102</v>
      </c>
      <c r="H501" s="60">
        <v>35.591121999999999</v>
      </c>
      <c r="I501" s="60">
        <v>-97.542737000000002</v>
      </c>
      <c r="J501" s="60" t="str">
        <f ca="1">IFERROR(__xludf.DUMMYFUNCTION("SPLIT(G501,"","")"),"1800 NW 122nd St")</f>
        <v>1800 NW 122nd St</v>
      </c>
      <c r="K501" s="2" t="str">
        <f ca="1">IFERROR(__xludf.DUMMYFUNCTION("""COMPUTED_VALUE""")," Oklahoma City")</f>
        <v xml:space="preserve"> Oklahoma City</v>
      </c>
      <c r="L501" s="2" t="str">
        <f ca="1">IFERROR(__xludf.DUMMYFUNCTION("""COMPUTED_VALUE""")," OK 73120")</f>
        <v xml:space="preserve"> OK 73120</v>
      </c>
      <c r="M501" s="2" t="str">
        <f ca="1">IFERROR(__xludf.DUMMYFUNCTION("""COMPUTED_VALUE""")," USA")</f>
        <v xml:space="preserve"> USA</v>
      </c>
      <c r="P501" s="60"/>
    </row>
    <row r="502" spans="1:16">
      <c r="A502" s="60">
        <v>501</v>
      </c>
      <c r="B502" s="79" t="s">
        <v>3106</v>
      </c>
      <c r="C502" s="60" t="s">
        <v>595</v>
      </c>
      <c r="D502" s="93" t="s">
        <v>3107</v>
      </c>
      <c r="E502" s="48" t="str">
        <f t="shared" si="0"/>
        <v>Lubbock</v>
      </c>
      <c r="F502" s="83" t="str">
        <f t="shared" si="1"/>
        <v>Frenship (Wolfforth),TX</v>
      </c>
      <c r="G502" s="60" t="s">
        <v>3108</v>
      </c>
      <c r="H502" s="60">
        <v>33.520791000000003</v>
      </c>
      <c r="I502" s="60">
        <v>-102.026135</v>
      </c>
      <c r="J502" s="60" t="str">
        <f ca="1">IFERROR(__xludf.DUMMYFUNCTION("SPLIT(G502,"","")"),"Research Blvd")</f>
        <v>Research Blvd</v>
      </c>
      <c r="K502" s="2" t="str">
        <f ca="1">IFERROR(__xludf.DUMMYFUNCTION("""COMPUTED_VALUE""")," Lubbock")</f>
        <v xml:space="preserve"> Lubbock</v>
      </c>
      <c r="L502" s="2" t="str">
        <f ca="1">IFERROR(__xludf.DUMMYFUNCTION("""COMPUTED_VALUE""")," TX 79407")</f>
        <v xml:space="preserve"> TX 79407</v>
      </c>
      <c r="M502" s="2" t="str">
        <f ca="1">IFERROR(__xludf.DUMMYFUNCTION("""COMPUTED_VALUE""")," USA")</f>
        <v xml:space="preserve"> USA</v>
      </c>
      <c r="P502" s="60"/>
    </row>
    <row r="503" spans="1:16">
      <c r="A503" s="65">
        <v>502</v>
      </c>
      <c r="B503" s="80" t="s">
        <v>3111</v>
      </c>
      <c r="C503" s="65" t="s">
        <v>595</v>
      </c>
      <c r="D503" s="93" t="s">
        <v>3112</v>
      </c>
      <c r="E503" s="48" t="str">
        <f t="shared" si="0"/>
        <v>Amarillo</v>
      </c>
      <c r="F503" s="83" t="str">
        <f t="shared" si="1"/>
        <v>Amarillo,TX</v>
      </c>
      <c r="G503" s="65" t="s">
        <v>3114</v>
      </c>
      <c r="H503" s="65">
        <v>35.221997100000003</v>
      </c>
      <c r="I503" s="65">
        <v>-101.8312969</v>
      </c>
      <c r="J503" s="60" t="str">
        <f ca="1">IFERROR(__xludf.DUMMYFUNCTION("SPLIT(G503,"","")"),"307 I-40BL")</f>
        <v>307 I-40BL</v>
      </c>
      <c r="K503" s="2" t="str">
        <f ca="1">IFERROR(__xludf.DUMMYFUNCTION("""COMPUTED_VALUE""")," Amarillo")</f>
        <v xml:space="preserve"> Amarillo</v>
      </c>
      <c r="L503" s="2" t="str">
        <f ca="1">IFERROR(__xludf.DUMMYFUNCTION("""COMPUTED_VALUE""")," TX 79107")</f>
        <v xml:space="preserve"> TX 79107</v>
      </c>
      <c r="M503" s="2" t="str">
        <f ca="1">IFERROR(__xludf.DUMMYFUNCTION("""COMPUTED_VALUE""")," USA")</f>
        <v xml:space="preserve"> USA</v>
      </c>
      <c r="P503" s="60"/>
    </row>
    <row r="504" spans="1:16">
      <c r="A504" s="60">
        <v>503</v>
      </c>
      <c r="B504" s="79" t="s">
        <v>3117</v>
      </c>
      <c r="C504" s="60" t="s">
        <v>693</v>
      </c>
      <c r="D504" s="93" t="s">
        <v>3118</v>
      </c>
      <c r="E504" s="48" t="str">
        <f t="shared" si="0"/>
        <v>Gulfport</v>
      </c>
      <c r="F504" s="83" t="str">
        <f t="shared" si="1"/>
        <v>Harrison Central (Gulfport),MS</v>
      </c>
      <c r="G504" s="60" t="s">
        <v>3119</v>
      </c>
      <c r="H504" s="60">
        <v>30.516646999999999</v>
      </c>
      <c r="I504" s="60">
        <v>-89.102313199999998</v>
      </c>
      <c r="J504" s="60" t="str">
        <f ca="1">IFERROR(__xludf.DUMMYFUNCTION("SPLIT(G504,"","")"),"15600 School Rd")</f>
        <v>15600 School Rd</v>
      </c>
      <c r="K504" s="2" t="str">
        <f ca="1">IFERROR(__xludf.DUMMYFUNCTION("""COMPUTED_VALUE""")," Gulfport")</f>
        <v xml:space="preserve"> Gulfport</v>
      </c>
      <c r="L504" s="2" t="str">
        <f ca="1">IFERROR(__xludf.DUMMYFUNCTION("""COMPUTED_VALUE""")," MS 39503")</f>
        <v xml:space="preserve"> MS 39503</v>
      </c>
      <c r="M504" s="2" t="str">
        <f ca="1">IFERROR(__xludf.DUMMYFUNCTION("""COMPUTED_VALUE""")," USA")</f>
        <v xml:space="preserve"> USA</v>
      </c>
      <c r="P504" s="60"/>
    </row>
    <row r="505" spans="1:16">
      <c r="A505" s="65">
        <v>504</v>
      </c>
      <c r="B505" s="80" t="s">
        <v>3122</v>
      </c>
      <c r="C505" s="65" t="s">
        <v>737</v>
      </c>
      <c r="D505" s="93" t="s">
        <v>3124</v>
      </c>
      <c r="E505" s="48" t="str">
        <f t="shared" si="0"/>
        <v>Montvale</v>
      </c>
      <c r="F505" s="83" t="str">
        <f t="shared" si="1"/>
        <v>St. Joseph Regional (Montvale),NJ</v>
      </c>
      <c r="G505" s="65" t="s">
        <v>3125</v>
      </c>
      <c r="H505" s="65">
        <v>41.0500276</v>
      </c>
      <c r="I505" s="65">
        <v>-74.07184389999999</v>
      </c>
      <c r="J505" s="60" t="str">
        <f ca="1">IFERROR(__xludf.DUMMYFUNCTION("SPLIT(G505,"","")"),"40 Chestnut Ridge Rd")</f>
        <v>40 Chestnut Ridge Rd</v>
      </c>
      <c r="K505" s="2" t="str">
        <f ca="1">IFERROR(__xludf.DUMMYFUNCTION("""COMPUTED_VALUE""")," Montvale")</f>
        <v xml:space="preserve"> Montvale</v>
      </c>
      <c r="L505" s="2" t="str">
        <f ca="1">IFERROR(__xludf.DUMMYFUNCTION("""COMPUTED_VALUE""")," NJ 07645")</f>
        <v xml:space="preserve"> NJ 07645</v>
      </c>
      <c r="M505" s="2" t="str">
        <f ca="1">IFERROR(__xludf.DUMMYFUNCTION("""COMPUTED_VALUE""")," USA")</f>
        <v xml:space="preserve"> USA</v>
      </c>
      <c r="P505" s="60"/>
    </row>
    <row r="506" spans="1:16">
      <c r="A506" s="60">
        <v>505</v>
      </c>
      <c r="B506" s="79" t="s">
        <v>3128</v>
      </c>
      <c r="C506" s="60" t="s">
        <v>1055</v>
      </c>
      <c r="D506" s="93" t="s">
        <v>3129</v>
      </c>
      <c r="E506" s="48" t="str">
        <f t="shared" si="0"/>
        <v>Moore</v>
      </c>
      <c r="F506" s="83" t="str">
        <f t="shared" si="1"/>
        <v>Southmoore (Moore),OK</v>
      </c>
      <c r="G506" s="60" t="s">
        <v>3130</v>
      </c>
      <c r="H506" s="60">
        <v>35.310856999999999</v>
      </c>
      <c r="I506" s="60">
        <v>-97.515263300000001</v>
      </c>
      <c r="J506" s="60" t="str">
        <f ca="1">IFERROR(__xludf.DUMMYFUNCTION("SPLIT(G506,"","")"),"2901 S Santa Fe Ave")</f>
        <v>2901 S Santa Fe Ave</v>
      </c>
      <c r="K506" s="2" t="str">
        <f ca="1">IFERROR(__xludf.DUMMYFUNCTION("""COMPUTED_VALUE""")," Moore")</f>
        <v xml:space="preserve"> Moore</v>
      </c>
      <c r="L506" s="2" t="str">
        <f ca="1">IFERROR(__xludf.DUMMYFUNCTION("""COMPUTED_VALUE""")," OK 73170")</f>
        <v xml:space="preserve"> OK 73170</v>
      </c>
      <c r="M506" s="2" t="str">
        <f ca="1">IFERROR(__xludf.DUMMYFUNCTION("""COMPUTED_VALUE""")," USA")</f>
        <v xml:space="preserve"> USA</v>
      </c>
      <c r="P506" s="60"/>
    </row>
    <row r="507" spans="1:16">
      <c r="A507" s="65">
        <v>506</v>
      </c>
      <c r="B507" s="80" t="s">
        <v>3133</v>
      </c>
      <c r="C507" s="65" t="s">
        <v>608</v>
      </c>
      <c r="D507" s="93" t="s">
        <v>2681</v>
      </c>
      <c r="E507" s="48" t="str">
        <f t="shared" si="0"/>
        <v>Brooklyn Park</v>
      </c>
      <c r="F507" s="83" t="str">
        <f t="shared" si="1"/>
        <v>Minnesota Prep Academy (Brooklyn Park),MN</v>
      </c>
      <c r="G507" s="65" t="s">
        <v>2682</v>
      </c>
      <c r="H507" s="65">
        <v>45.088651900000002</v>
      </c>
      <c r="I507" s="65">
        <v>-93.343664899999993</v>
      </c>
      <c r="J507" s="60" t="str">
        <f ca="1">IFERROR(__xludf.DUMMYFUNCTION("SPLIT(G507,"","")"),"7300 Brooklyn Blvd")</f>
        <v>7300 Brooklyn Blvd</v>
      </c>
      <c r="K507" s="2" t="str">
        <f ca="1">IFERROR(__xludf.DUMMYFUNCTION("""COMPUTED_VALUE""")," Brooklyn Park")</f>
        <v xml:space="preserve"> Brooklyn Park</v>
      </c>
      <c r="L507" s="2" t="str">
        <f ca="1">IFERROR(__xludf.DUMMYFUNCTION("""COMPUTED_VALUE""")," MN 55443")</f>
        <v xml:space="preserve"> MN 55443</v>
      </c>
      <c r="M507" s="2" t="str">
        <f ca="1">IFERROR(__xludf.DUMMYFUNCTION("""COMPUTED_VALUE""")," USA")</f>
        <v xml:space="preserve"> USA</v>
      </c>
      <c r="P507" s="60"/>
    </row>
    <row r="508" spans="1:16">
      <c r="A508" s="60">
        <v>507</v>
      </c>
      <c r="B508" s="79" t="s">
        <v>3136</v>
      </c>
      <c r="C508" s="60" t="s">
        <v>901</v>
      </c>
      <c r="D508" s="93" t="s">
        <v>3137</v>
      </c>
      <c r="E508" s="48" t="str">
        <f t="shared" si="0"/>
        <v>Rogers</v>
      </c>
      <c r="F508" s="83" t="str">
        <f t="shared" si="1"/>
        <v>Rogers,AR</v>
      </c>
      <c r="G508" s="60" t="s">
        <v>3139</v>
      </c>
      <c r="H508" s="60">
        <v>36.332019600000002</v>
      </c>
      <c r="I508" s="60">
        <v>-94.118536599999999</v>
      </c>
      <c r="J508" s="60" t="str">
        <f ca="1">IFERROR(__xludf.DUMMYFUNCTION("SPLIT(G508,"","")"),"214 W Elm St")</f>
        <v>214 W Elm St</v>
      </c>
      <c r="K508" s="2" t="str">
        <f ca="1">IFERROR(__xludf.DUMMYFUNCTION("""COMPUTED_VALUE""")," Rogers")</f>
        <v xml:space="preserve"> Rogers</v>
      </c>
      <c r="L508" s="2" t="str">
        <f ca="1">IFERROR(__xludf.DUMMYFUNCTION("""COMPUTED_VALUE""")," AR 72756")</f>
        <v xml:space="preserve"> AR 72756</v>
      </c>
      <c r="M508" s="2" t="str">
        <f ca="1">IFERROR(__xludf.DUMMYFUNCTION("""COMPUTED_VALUE""")," USA")</f>
        <v xml:space="preserve"> USA</v>
      </c>
      <c r="P508" s="60"/>
    </row>
    <row r="509" spans="1:16">
      <c r="A509" s="65">
        <v>508</v>
      </c>
      <c r="B509" s="80" t="s">
        <v>3143</v>
      </c>
      <c r="C509" s="65" t="s">
        <v>737</v>
      </c>
      <c r="D509" s="93" t="s">
        <v>3144</v>
      </c>
      <c r="E509" s="48" t="str">
        <f t="shared" si="0"/>
        <v>Paterson</v>
      </c>
      <c r="F509" s="83" t="str">
        <f t="shared" si="1"/>
        <v>Kennedy (Paterson),NJ</v>
      </c>
      <c r="G509" s="65" t="s">
        <v>3146</v>
      </c>
      <c r="H509" s="65">
        <v>40.914649099999998</v>
      </c>
      <c r="I509" s="65">
        <v>-74.187452499999992</v>
      </c>
      <c r="J509" s="60" t="str">
        <f ca="1">IFERROR(__xludf.DUMMYFUNCTION("SPLIT(G509,"","")"),"61 Preakness Ave")</f>
        <v>61 Preakness Ave</v>
      </c>
      <c r="K509" s="2" t="str">
        <f ca="1">IFERROR(__xludf.DUMMYFUNCTION("""COMPUTED_VALUE""")," Paterson")</f>
        <v xml:space="preserve"> Paterson</v>
      </c>
      <c r="L509" s="2" t="str">
        <f ca="1">IFERROR(__xludf.DUMMYFUNCTION("""COMPUTED_VALUE""")," NJ 07522")</f>
        <v xml:space="preserve"> NJ 07522</v>
      </c>
      <c r="M509" s="2" t="str">
        <f ca="1">IFERROR(__xludf.DUMMYFUNCTION("""COMPUTED_VALUE""")," USA")</f>
        <v xml:space="preserve"> USA</v>
      </c>
      <c r="P509" s="60"/>
    </row>
    <row r="510" spans="1:16">
      <c r="A510" s="60">
        <v>509</v>
      </c>
      <c r="B510" s="79" t="s">
        <v>3150</v>
      </c>
      <c r="C510" s="60" t="s">
        <v>595</v>
      </c>
      <c r="D510" s="93" t="s">
        <v>3151</v>
      </c>
      <c r="E510" s="48" t="str">
        <f t="shared" si="0"/>
        <v>Fort Worth</v>
      </c>
      <c r="F510" s="83" t="str">
        <f t="shared" si="1"/>
        <v>North Crowley (Fort Worth),TX</v>
      </c>
      <c r="G510" s="60" t="s">
        <v>3152</v>
      </c>
      <c r="H510" s="60">
        <v>32.610462200000001</v>
      </c>
      <c r="I510" s="60">
        <v>-97.394405399999997</v>
      </c>
      <c r="J510" s="60">
        <f ca="1">IFERROR(__xludf.DUMMYFUNCTION("SPLIT(G510,"","")"),2701)</f>
        <v>2701</v>
      </c>
      <c r="K510" s="2" t="str">
        <f ca="1">IFERROR(__xludf.DUMMYFUNCTION("""COMPUTED_VALUE""")," 9100 S Hulen St")</f>
        <v xml:space="preserve"> 9100 S Hulen St</v>
      </c>
      <c r="L510" s="2" t="str">
        <f ca="1">IFERROR(__xludf.DUMMYFUNCTION("""COMPUTED_VALUE""")," Fort Worth")</f>
        <v xml:space="preserve"> Fort Worth</v>
      </c>
      <c r="M510" s="2" t="str">
        <f ca="1">IFERROR(__xludf.DUMMYFUNCTION("""COMPUTED_VALUE""")," TX 76123")</f>
        <v xml:space="preserve"> TX 76123</v>
      </c>
      <c r="N510" s="2" t="str">
        <f ca="1">IFERROR(__xludf.DUMMYFUNCTION("""COMPUTED_VALUE""")," USA")</f>
        <v xml:space="preserve"> USA</v>
      </c>
      <c r="P510" s="60"/>
    </row>
    <row r="511" spans="1:16">
      <c r="A511" s="65">
        <v>510</v>
      </c>
      <c r="B511" s="80" t="s">
        <v>3157</v>
      </c>
      <c r="C511" s="65" t="s">
        <v>588</v>
      </c>
      <c r="D511" s="93" t="s">
        <v>3158</v>
      </c>
      <c r="E511" s="48" t="str">
        <f t="shared" si="0"/>
        <v>Newport Beach</v>
      </c>
      <c r="F511" s="83" t="str">
        <f t="shared" si="1"/>
        <v>Pacifica Christian/Orange County (Newport Beach),CA</v>
      </c>
      <c r="G511" s="65" t="s">
        <v>3159</v>
      </c>
      <c r="H511" s="65">
        <v>33.6281854</v>
      </c>
      <c r="I511" s="65">
        <v>-117.9353704</v>
      </c>
      <c r="J511" s="60" t="str">
        <f ca="1">IFERROR(__xludf.DUMMYFUNCTION("SPLIT(G511,"","")"),"883 W 15th St")</f>
        <v>883 W 15th St</v>
      </c>
      <c r="K511" s="2" t="str">
        <f ca="1">IFERROR(__xludf.DUMMYFUNCTION("""COMPUTED_VALUE""")," Newport Beach")</f>
        <v xml:space="preserve"> Newport Beach</v>
      </c>
      <c r="L511" s="2" t="str">
        <f ca="1">IFERROR(__xludf.DUMMYFUNCTION("""COMPUTED_VALUE""")," CA 92663")</f>
        <v xml:space="preserve"> CA 92663</v>
      </c>
      <c r="M511" s="2" t="str">
        <f ca="1">IFERROR(__xludf.DUMMYFUNCTION("""COMPUTED_VALUE""")," USA")</f>
        <v xml:space="preserve"> USA</v>
      </c>
      <c r="P511" s="60"/>
    </row>
    <row r="512" spans="1:16">
      <c r="A512" s="60">
        <v>511</v>
      </c>
      <c r="B512" s="79" t="s">
        <v>3162</v>
      </c>
      <c r="C512" s="60" t="s">
        <v>136</v>
      </c>
      <c r="D512" s="93" t="s">
        <v>1103</v>
      </c>
      <c r="E512" s="48" t="str">
        <f t="shared" si="0"/>
        <v>Jacksonville</v>
      </c>
      <c r="F512" s="83" t="str">
        <f t="shared" si="1"/>
        <v>Impact Christian Academy (Jacksonville),FL</v>
      </c>
      <c r="G512" s="60" t="s">
        <v>3164</v>
      </c>
      <c r="H512" s="60">
        <v>30.338989900000001</v>
      </c>
      <c r="I512" s="60">
        <v>-81.55798759999999</v>
      </c>
      <c r="J512" s="60" t="str">
        <f ca="1">IFERROR(__xludf.DUMMYFUNCTION("SPLIT(G512,"","")"),"8985 Lone Star Rd")</f>
        <v>8985 Lone Star Rd</v>
      </c>
      <c r="K512" s="2" t="str">
        <f ca="1">IFERROR(__xludf.DUMMYFUNCTION("""COMPUTED_VALUE""")," Jacksonville")</f>
        <v xml:space="preserve"> Jacksonville</v>
      </c>
      <c r="L512" s="2" t="str">
        <f ca="1">IFERROR(__xludf.DUMMYFUNCTION("""COMPUTED_VALUE""")," FL 32211")</f>
        <v xml:space="preserve"> FL 32211</v>
      </c>
      <c r="M512" s="2" t="str">
        <f ca="1">IFERROR(__xludf.DUMMYFUNCTION("""COMPUTED_VALUE""")," USA")</f>
        <v xml:space="preserve"> USA</v>
      </c>
      <c r="P512" s="60"/>
    </row>
    <row r="513" spans="1:16">
      <c r="A513" s="65">
        <v>512</v>
      </c>
      <c r="B513" s="80" t="s">
        <v>3167</v>
      </c>
      <c r="C513" s="65" t="s">
        <v>675</v>
      </c>
      <c r="D513" s="93" t="s">
        <v>705</v>
      </c>
      <c r="E513" s="48" t="str">
        <f t="shared" si="0"/>
        <v>Philadelphia</v>
      </c>
      <c r="F513" s="83" t="str">
        <f t="shared" si="1"/>
        <v>Simon Gratz (Philadelphia),PA</v>
      </c>
      <c r="G513" s="65" t="s">
        <v>3168</v>
      </c>
      <c r="H513" s="65">
        <v>40.014726699999997</v>
      </c>
      <c r="I513" s="65">
        <v>-75.155405799999997</v>
      </c>
      <c r="J513" s="60" t="str">
        <f ca="1">IFERROR(__xludf.DUMMYFUNCTION("SPLIT(G513,"","")"),"1798 W Hunting Park Ave")</f>
        <v>1798 W Hunting Park Ave</v>
      </c>
      <c r="K513" s="2" t="str">
        <f ca="1">IFERROR(__xludf.DUMMYFUNCTION("""COMPUTED_VALUE""")," Philadelphia")</f>
        <v xml:space="preserve"> Philadelphia</v>
      </c>
      <c r="L513" s="2" t="str">
        <f ca="1">IFERROR(__xludf.DUMMYFUNCTION("""COMPUTED_VALUE""")," PA 19140")</f>
        <v xml:space="preserve"> PA 19140</v>
      </c>
      <c r="M513" s="2" t="str">
        <f ca="1">IFERROR(__xludf.DUMMYFUNCTION("""COMPUTED_VALUE""")," USA")</f>
        <v xml:space="preserve"> USA</v>
      </c>
      <c r="P513" s="60"/>
    </row>
    <row r="514" spans="1:16">
      <c r="A514" s="60">
        <v>513</v>
      </c>
      <c r="B514" s="79" t="s">
        <v>3173</v>
      </c>
      <c r="C514" s="60" t="s">
        <v>1296</v>
      </c>
      <c r="D514" s="93" t="s">
        <v>3174</v>
      </c>
      <c r="E514" s="48" t="str">
        <f t="shared" si="0"/>
        <v>Lake Oswego</v>
      </c>
      <c r="F514" s="83" t="str">
        <f t="shared" si="1"/>
        <v>Lake Oswego,OR</v>
      </c>
      <c r="G514" s="60" t="s">
        <v>3175</v>
      </c>
      <c r="H514" s="60">
        <v>45.415734</v>
      </c>
      <c r="I514" s="60">
        <v>-122.7163273</v>
      </c>
      <c r="J514" s="60" t="str">
        <f ca="1">IFERROR(__xludf.DUMMYFUNCTION("SPLIT(G514,"","")"),"P. O. Box 2302")</f>
        <v>P. O. Box 2302</v>
      </c>
      <c r="K514" s="2" t="str">
        <f ca="1">IFERROR(__xludf.DUMMYFUNCTION("""COMPUTED_VALUE""")," 15875 Boones Ferry Rd")</f>
        <v xml:space="preserve"> 15875 Boones Ferry Rd</v>
      </c>
      <c r="L514" s="2" t="str">
        <f ca="1">IFERROR(__xludf.DUMMYFUNCTION("""COMPUTED_VALUE""")," Lake Oswego")</f>
        <v xml:space="preserve"> Lake Oswego</v>
      </c>
      <c r="M514" s="2" t="str">
        <f ca="1">IFERROR(__xludf.DUMMYFUNCTION("""COMPUTED_VALUE""")," OR 97035")</f>
        <v xml:space="preserve"> OR 97035</v>
      </c>
      <c r="N514" s="2" t="str">
        <f ca="1">IFERROR(__xludf.DUMMYFUNCTION("""COMPUTED_VALUE""")," USA")</f>
        <v xml:space="preserve"> USA</v>
      </c>
      <c r="P514" s="60"/>
    </row>
    <row r="515" spans="1:16">
      <c r="A515" s="65">
        <v>514</v>
      </c>
      <c r="B515" s="80" t="s">
        <v>3178</v>
      </c>
      <c r="C515" s="65" t="s">
        <v>796</v>
      </c>
      <c r="D515" s="93" t="s">
        <v>1408</v>
      </c>
      <c r="E515" s="48" t="str">
        <f t="shared" si="0"/>
        <v>Wichita</v>
      </c>
      <c r="F515" s="83" t="str">
        <f t="shared" si="1"/>
        <v>Bishop Carroll (Wichita),KS</v>
      </c>
      <c r="G515" s="65" t="s">
        <v>3181</v>
      </c>
      <c r="H515" s="65">
        <v>37.693327799999999</v>
      </c>
      <c r="I515" s="65">
        <v>-97.436555600000005</v>
      </c>
      <c r="J515" s="60" t="str">
        <f ca="1">IFERROR(__xludf.DUMMYFUNCTION("SPLIT(G515,"","")"),"8101 W Central Ave")</f>
        <v>8101 W Central Ave</v>
      </c>
      <c r="K515" s="2" t="str">
        <f ca="1">IFERROR(__xludf.DUMMYFUNCTION("""COMPUTED_VALUE""")," Wichita")</f>
        <v xml:space="preserve"> Wichita</v>
      </c>
      <c r="L515" s="2" t="str">
        <f ca="1">IFERROR(__xludf.DUMMYFUNCTION("""COMPUTED_VALUE""")," KS 67212")</f>
        <v xml:space="preserve"> KS 67212</v>
      </c>
      <c r="M515" s="2" t="str">
        <f ca="1">IFERROR(__xludf.DUMMYFUNCTION("""COMPUTED_VALUE""")," USA")</f>
        <v xml:space="preserve"> USA</v>
      </c>
      <c r="P515" s="60"/>
    </row>
    <row r="516" spans="1:16">
      <c r="A516" s="60">
        <v>515</v>
      </c>
      <c r="B516" s="79" t="s">
        <v>3186</v>
      </c>
      <c r="C516" s="60" t="s">
        <v>770</v>
      </c>
      <c r="D516" s="93" t="s">
        <v>3187</v>
      </c>
      <c r="E516" s="48" t="str">
        <f t="shared" si="0"/>
        <v>Murfreesboro</v>
      </c>
      <c r="F516" s="83" t="str">
        <f t="shared" si="1"/>
        <v>Blackman (Murfreesboro),TN</v>
      </c>
      <c r="G516" s="60" t="s">
        <v>3188</v>
      </c>
      <c r="H516" s="60">
        <v>35.859310299999997</v>
      </c>
      <c r="I516" s="60">
        <v>-86.475815799999992</v>
      </c>
      <c r="J516" s="60" t="str">
        <f ca="1">IFERROR(__xludf.DUMMYFUNCTION("SPLIT(G516,"","")"),"3956 Blaze Dr")</f>
        <v>3956 Blaze Dr</v>
      </c>
      <c r="K516" s="2" t="str">
        <f ca="1">IFERROR(__xludf.DUMMYFUNCTION("""COMPUTED_VALUE""")," Murfreesboro")</f>
        <v xml:space="preserve"> Murfreesboro</v>
      </c>
      <c r="L516" s="2" t="str">
        <f ca="1">IFERROR(__xludf.DUMMYFUNCTION("""COMPUTED_VALUE""")," TN 37128")</f>
        <v xml:space="preserve"> TN 37128</v>
      </c>
      <c r="M516" s="2" t="str">
        <f ca="1">IFERROR(__xludf.DUMMYFUNCTION("""COMPUTED_VALUE""")," USA")</f>
        <v xml:space="preserve"> USA</v>
      </c>
      <c r="P516" s="60"/>
    </row>
    <row r="517" spans="1:16">
      <c r="A517" s="65">
        <v>516</v>
      </c>
      <c r="B517" s="80" t="s">
        <v>3192</v>
      </c>
      <c r="C517" s="65" t="s">
        <v>1296</v>
      </c>
      <c r="D517" s="93" t="s">
        <v>3193</v>
      </c>
      <c r="E517" s="48" t="str">
        <f t="shared" si="0"/>
        <v>Salem</v>
      </c>
      <c r="F517" s="83" t="str">
        <f t="shared" si="1"/>
        <v>South Salem (Salem),OR</v>
      </c>
      <c r="G517" s="65" t="s">
        <v>3194</v>
      </c>
      <c r="H517" s="65">
        <v>44.909994300000001</v>
      </c>
      <c r="I517" s="65">
        <v>-123.0580951</v>
      </c>
      <c r="J517" s="60" t="str">
        <f ca="1">IFERROR(__xludf.DUMMYFUNCTION("SPLIT(G517,"","")"),"945 Downs St S")</f>
        <v>945 Downs St S</v>
      </c>
      <c r="K517" s="2" t="str">
        <f ca="1">IFERROR(__xludf.DUMMYFUNCTION("""COMPUTED_VALUE""")," Salem")</f>
        <v xml:space="preserve"> Salem</v>
      </c>
      <c r="L517" s="2" t="str">
        <f ca="1">IFERROR(__xludf.DUMMYFUNCTION("""COMPUTED_VALUE""")," OR 97302")</f>
        <v xml:space="preserve"> OR 97302</v>
      </c>
      <c r="M517" s="2" t="str">
        <f ca="1">IFERROR(__xludf.DUMMYFUNCTION("""COMPUTED_VALUE""")," USA")</f>
        <v xml:space="preserve"> USA</v>
      </c>
      <c r="P517" s="60"/>
    </row>
    <row r="518" spans="1:16">
      <c r="A518" s="60">
        <v>517</v>
      </c>
      <c r="B518" s="79" t="s">
        <v>3199</v>
      </c>
      <c r="C518" s="60" t="s">
        <v>588</v>
      </c>
      <c r="D518" s="93" t="s">
        <v>3201</v>
      </c>
      <c r="E518" s="48" t="str">
        <f t="shared" si="0"/>
        <v>Hesperia</v>
      </c>
      <c r="F518" s="83" t="str">
        <f t="shared" si="1"/>
        <v>Hesperia,CA</v>
      </c>
      <c r="G518" s="60" t="s">
        <v>3202</v>
      </c>
      <c r="H518" s="60">
        <v>34.426388600000003</v>
      </c>
      <c r="I518" s="60">
        <v>-117.3008784</v>
      </c>
      <c r="J518" s="60" t="str">
        <f ca="1">IFERROR(__xludf.DUMMYFUNCTION("SPLIT(G518,"","")"),"9646 Hesperia Rd")</f>
        <v>9646 Hesperia Rd</v>
      </c>
      <c r="K518" s="2" t="str">
        <f ca="1">IFERROR(__xludf.DUMMYFUNCTION("""COMPUTED_VALUE""")," Hesperia")</f>
        <v xml:space="preserve"> Hesperia</v>
      </c>
      <c r="L518" s="2" t="str">
        <f ca="1">IFERROR(__xludf.DUMMYFUNCTION("""COMPUTED_VALUE""")," CA 92345")</f>
        <v xml:space="preserve"> CA 92345</v>
      </c>
      <c r="M518" s="2" t="str">
        <f ca="1">IFERROR(__xludf.DUMMYFUNCTION("""COMPUTED_VALUE""")," USA")</f>
        <v xml:space="preserve"> USA</v>
      </c>
      <c r="P518" s="60"/>
    </row>
    <row r="519" spans="1:16">
      <c r="A519" s="65">
        <v>518</v>
      </c>
      <c r="B519" s="80" t="s">
        <v>3207</v>
      </c>
      <c r="C519" s="65" t="s">
        <v>693</v>
      </c>
      <c r="D519" s="93" t="s">
        <v>3208</v>
      </c>
      <c r="E519" s="48" t="str">
        <f t="shared" si="0"/>
        <v>Hattiesburg</v>
      </c>
      <c r="F519" s="83" t="str">
        <f t="shared" si="1"/>
        <v>Oak Grove (Hattiesburg),MS</v>
      </c>
      <c r="G519" s="65" t="s">
        <v>3210</v>
      </c>
      <c r="H519" s="65">
        <v>31.305989</v>
      </c>
      <c r="I519" s="65">
        <v>-89.40444939999999</v>
      </c>
      <c r="J519" s="60" t="str">
        <f ca="1">IFERROR(__xludf.DUMMYFUNCTION("SPLIT(G519,"","")"),"34 Warrior Dr")</f>
        <v>34 Warrior Dr</v>
      </c>
      <c r="K519" s="2" t="str">
        <f ca="1">IFERROR(__xludf.DUMMYFUNCTION("""COMPUTED_VALUE""")," Hattiesburg")</f>
        <v xml:space="preserve"> Hattiesburg</v>
      </c>
      <c r="L519" s="2" t="str">
        <f ca="1">IFERROR(__xludf.DUMMYFUNCTION("""COMPUTED_VALUE""")," MS 39402")</f>
        <v xml:space="preserve"> MS 39402</v>
      </c>
      <c r="M519" s="2" t="str">
        <f ca="1">IFERROR(__xludf.DUMMYFUNCTION("""COMPUTED_VALUE""")," USA")</f>
        <v xml:space="preserve"> USA</v>
      </c>
      <c r="P519" s="60"/>
    </row>
    <row r="520" spans="1:16">
      <c r="A520" s="60">
        <v>519</v>
      </c>
      <c r="B520" s="79" t="s">
        <v>3214</v>
      </c>
      <c r="C520" s="60" t="s">
        <v>136</v>
      </c>
      <c r="D520" s="93" t="s">
        <v>835</v>
      </c>
      <c r="E520" s="48" t="str">
        <f t="shared" si="0"/>
        <v>Orlando</v>
      </c>
      <c r="F520" s="83" t="str">
        <f t="shared" si="1"/>
        <v>Lake Highland Prep (Orlando),FL</v>
      </c>
      <c r="G520" s="60" t="s">
        <v>3216</v>
      </c>
      <c r="H520" s="60">
        <v>28.557920500000002</v>
      </c>
      <c r="I520" s="60">
        <v>-81.371735500000014</v>
      </c>
      <c r="J520" s="60" t="str">
        <f ca="1">IFERROR(__xludf.DUMMYFUNCTION("SPLIT(G520,"","")"),"901 Highland Ave")</f>
        <v>901 Highland Ave</v>
      </c>
      <c r="K520" s="2" t="str">
        <f ca="1">IFERROR(__xludf.DUMMYFUNCTION("""COMPUTED_VALUE""")," Orlando")</f>
        <v xml:space="preserve"> Orlando</v>
      </c>
      <c r="L520" s="2" t="str">
        <f ca="1">IFERROR(__xludf.DUMMYFUNCTION("""COMPUTED_VALUE""")," FL 32803")</f>
        <v xml:space="preserve"> FL 32803</v>
      </c>
      <c r="M520" s="2" t="str">
        <f ca="1">IFERROR(__xludf.DUMMYFUNCTION("""COMPUTED_VALUE""")," USA")</f>
        <v xml:space="preserve"> USA</v>
      </c>
      <c r="P520" s="60"/>
    </row>
    <row r="521" spans="1:16">
      <c r="A521" s="65">
        <v>520</v>
      </c>
      <c r="B521" s="80" t="s">
        <v>3220</v>
      </c>
      <c r="C521" s="65" t="s">
        <v>588</v>
      </c>
      <c r="D521" s="93" t="s">
        <v>1314</v>
      </c>
      <c r="E521" s="48" t="str">
        <f t="shared" si="0"/>
        <v>Fresno</v>
      </c>
      <c r="F521" s="83" t="str">
        <f t="shared" si="1"/>
        <v>San Joaquin Memorial (Fresno),CA</v>
      </c>
      <c r="G521" s="65" t="s">
        <v>3223</v>
      </c>
      <c r="H521" s="65">
        <v>36.762478999999999</v>
      </c>
      <c r="I521" s="65">
        <v>-119.779043</v>
      </c>
      <c r="J521" s="60" t="str">
        <f ca="1">IFERROR(__xludf.DUMMYFUNCTION("SPLIT(G521,"","")"),"1406 N Fresno St")</f>
        <v>1406 N Fresno St</v>
      </c>
      <c r="K521" s="2" t="str">
        <f ca="1">IFERROR(__xludf.DUMMYFUNCTION("""COMPUTED_VALUE""")," Fresno")</f>
        <v xml:space="preserve"> Fresno</v>
      </c>
      <c r="L521" s="2" t="str">
        <f ca="1">IFERROR(__xludf.DUMMYFUNCTION("""COMPUTED_VALUE""")," CA 93703")</f>
        <v xml:space="preserve"> CA 93703</v>
      </c>
      <c r="M521" s="2" t="str">
        <f ca="1">IFERROR(__xludf.DUMMYFUNCTION("""COMPUTED_VALUE""")," USA")</f>
        <v xml:space="preserve"> USA</v>
      </c>
      <c r="P521" s="60"/>
    </row>
    <row r="522" spans="1:16">
      <c r="A522" s="60">
        <v>521</v>
      </c>
      <c r="B522" s="79" t="s">
        <v>3226</v>
      </c>
      <c r="C522" s="60" t="s">
        <v>588</v>
      </c>
      <c r="D522" s="93" t="s">
        <v>3227</v>
      </c>
      <c r="E522" s="48" t="str">
        <f t="shared" si="0"/>
        <v>Rocklin</v>
      </c>
      <c r="F522" s="83" t="str">
        <f t="shared" si="1"/>
        <v>Whitney (Rocklin),CA</v>
      </c>
      <c r="G522" s="60" t="s">
        <v>3229</v>
      </c>
      <c r="H522" s="60">
        <v>38.830275700000001</v>
      </c>
      <c r="I522" s="60">
        <v>-121.2466527</v>
      </c>
      <c r="J522" s="60" t="str">
        <f ca="1">IFERROR(__xludf.DUMMYFUNCTION("SPLIT(G522,"","")"),"3810 Whitney Oaks Dr")</f>
        <v>3810 Whitney Oaks Dr</v>
      </c>
      <c r="K522" s="2" t="str">
        <f ca="1">IFERROR(__xludf.DUMMYFUNCTION("""COMPUTED_VALUE""")," Rocklin")</f>
        <v xml:space="preserve"> Rocklin</v>
      </c>
      <c r="L522" s="2" t="str">
        <f ca="1">IFERROR(__xludf.DUMMYFUNCTION("""COMPUTED_VALUE""")," CA 95765")</f>
        <v xml:space="preserve"> CA 95765</v>
      </c>
      <c r="M522" s="2" t="str">
        <f ca="1">IFERROR(__xludf.DUMMYFUNCTION("""COMPUTED_VALUE""")," USA")</f>
        <v xml:space="preserve"> USA</v>
      </c>
      <c r="P522" s="60"/>
    </row>
    <row r="523" spans="1:16">
      <c r="A523" s="65">
        <v>522</v>
      </c>
      <c r="B523" s="80" t="s">
        <v>3232</v>
      </c>
      <c r="C523" s="65" t="s">
        <v>618</v>
      </c>
      <c r="D523" s="93" t="s">
        <v>3233</v>
      </c>
      <c r="E523" s="48" t="str">
        <f t="shared" si="0"/>
        <v>Chesterton</v>
      </c>
      <c r="F523" s="83" t="str">
        <f t="shared" si="1"/>
        <v>Chesterton,IN</v>
      </c>
      <c r="G523" s="65" t="s">
        <v>3235</v>
      </c>
      <c r="H523" s="65">
        <v>41.610593700000003</v>
      </c>
      <c r="I523" s="65">
        <v>-87.06419919999999</v>
      </c>
      <c r="J523" s="60" t="str">
        <f ca="1">IFERROR(__xludf.DUMMYFUNCTION("SPLIT(G523,"","")"),"unnamed road")</f>
        <v>unnamed road</v>
      </c>
      <c r="K523" s="2" t="str">
        <f ca="1">IFERROR(__xludf.DUMMYFUNCTION("""COMPUTED_VALUE""")," Chesterton")</f>
        <v xml:space="preserve"> Chesterton</v>
      </c>
      <c r="L523" s="2" t="str">
        <f ca="1">IFERROR(__xludf.DUMMYFUNCTION("""COMPUTED_VALUE""")," IN 46304")</f>
        <v xml:space="preserve"> IN 46304</v>
      </c>
      <c r="M523" s="2" t="str">
        <f ca="1">IFERROR(__xludf.DUMMYFUNCTION("""COMPUTED_VALUE""")," USA")</f>
        <v xml:space="preserve"> USA</v>
      </c>
      <c r="P523" s="60"/>
    </row>
    <row r="524" spans="1:16">
      <c r="A524" s="97">
        <v>523</v>
      </c>
      <c r="B524" s="99" t="s">
        <v>3238</v>
      </c>
      <c r="C524" s="97" t="s">
        <v>1273</v>
      </c>
      <c r="D524" s="93" t="s">
        <v>3239</v>
      </c>
      <c r="E524" s="48" t="str">
        <f t="shared" si="0"/>
        <v>Waterloo</v>
      </c>
      <c r="F524" s="83" t="str">
        <f t="shared" si="1"/>
        <v>Waterloo West (Waterloo),IA</v>
      </c>
      <c r="G524" s="97" t="s">
        <v>3240</v>
      </c>
      <c r="H524" s="97">
        <v>42.4710325</v>
      </c>
      <c r="I524" s="97">
        <v>-92.351170699999997</v>
      </c>
      <c r="J524" s="60" t="str">
        <f ca="1">IFERROR(__xludf.DUMMYFUNCTION("SPLIT(G524,"","")"),"425 E Ridgeway Ave")</f>
        <v>425 E Ridgeway Ave</v>
      </c>
      <c r="K524" s="2" t="str">
        <f ca="1">IFERROR(__xludf.DUMMYFUNCTION("""COMPUTED_VALUE""")," Waterloo")</f>
        <v xml:space="preserve"> Waterloo</v>
      </c>
      <c r="L524" s="2" t="str">
        <f ca="1">IFERROR(__xludf.DUMMYFUNCTION("""COMPUTED_VALUE""")," IA 50702")</f>
        <v xml:space="preserve"> IA 50702</v>
      </c>
      <c r="M524" s="2" t="str">
        <f ca="1">IFERROR(__xludf.DUMMYFUNCTION("""COMPUTED_VALUE""")," USA")</f>
        <v xml:space="preserve"> USA</v>
      </c>
      <c r="P524" s="60"/>
    </row>
    <row r="525" spans="1:16">
      <c r="A525" s="65">
        <v>524</v>
      </c>
      <c r="B525" s="80" t="s">
        <v>2093</v>
      </c>
      <c r="C525" s="65" t="s">
        <v>588</v>
      </c>
      <c r="D525" s="93" t="s">
        <v>3243</v>
      </c>
      <c r="E525" s="48" t="str">
        <f t="shared" si="0"/>
        <v>Piedmont</v>
      </c>
      <c r="F525" s="83" t="str">
        <f t="shared" si="1"/>
        <v>Piedmont,CA</v>
      </c>
      <c r="G525" s="65" t="s">
        <v>3245</v>
      </c>
      <c r="H525" s="65">
        <v>37.8244063</v>
      </c>
      <c r="I525" s="65">
        <v>-122.2314865</v>
      </c>
      <c r="J525" s="60" t="str">
        <f ca="1">IFERROR(__xludf.DUMMYFUNCTION("SPLIT(G525,"","")"),"342 Highland Ave")</f>
        <v>342 Highland Ave</v>
      </c>
      <c r="K525" s="2" t="str">
        <f ca="1">IFERROR(__xludf.DUMMYFUNCTION("""COMPUTED_VALUE""")," Piedmont")</f>
        <v xml:space="preserve"> Piedmont</v>
      </c>
      <c r="L525" s="2" t="str">
        <f ca="1">IFERROR(__xludf.DUMMYFUNCTION("""COMPUTED_VALUE""")," CA 94611")</f>
        <v xml:space="preserve"> CA 94611</v>
      </c>
      <c r="M525" s="2" t="str">
        <f ca="1">IFERROR(__xludf.DUMMYFUNCTION("""COMPUTED_VALUE""")," USA")</f>
        <v xml:space="preserve"> USA</v>
      </c>
      <c r="P525" s="60"/>
    </row>
    <row r="526" spans="1:16">
      <c r="A526" s="60">
        <v>525</v>
      </c>
      <c r="B526" s="79" t="s">
        <v>3247</v>
      </c>
      <c r="C526" s="60" t="s">
        <v>179</v>
      </c>
      <c r="D526" s="93" t="s">
        <v>3248</v>
      </c>
      <c r="E526" s="48" t="str">
        <f t="shared" si="0"/>
        <v>Lumberton</v>
      </c>
      <c r="F526" s="83" t="str">
        <f t="shared" si="1"/>
        <v>Lumberton,NC</v>
      </c>
      <c r="G526" s="60" t="s">
        <v>3251</v>
      </c>
      <c r="H526" s="60">
        <v>34.6182199</v>
      </c>
      <c r="I526" s="60">
        <v>-79.008642399999999</v>
      </c>
      <c r="J526" s="60" t="str">
        <f ca="1">IFERROR(__xludf.DUMMYFUNCTION("SPLIT(G526,"","")"),"209 N Elm St")</f>
        <v>209 N Elm St</v>
      </c>
      <c r="K526" s="2" t="str">
        <f ca="1">IFERROR(__xludf.DUMMYFUNCTION("""COMPUTED_VALUE""")," Lumberton")</f>
        <v xml:space="preserve"> Lumberton</v>
      </c>
      <c r="L526" s="2" t="str">
        <f ca="1">IFERROR(__xludf.DUMMYFUNCTION("""COMPUTED_VALUE""")," NC 28358")</f>
        <v xml:space="preserve"> NC 28358</v>
      </c>
      <c r="M526" s="2" t="str">
        <f ca="1">IFERROR(__xludf.DUMMYFUNCTION("""COMPUTED_VALUE""")," USA")</f>
        <v xml:space="preserve"> USA</v>
      </c>
      <c r="P526" s="60"/>
    </row>
    <row r="527" spans="1:16">
      <c r="A527" s="60">
        <v>526</v>
      </c>
      <c r="B527" s="79" t="s">
        <v>3255</v>
      </c>
      <c r="C527" s="60" t="s">
        <v>1273</v>
      </c>
      <c r="D527" s="93" t="s">
        <v>3256</v>
      </c>
      <c r="E527" s="48" t="str">
        <f t="shared" si="0"/>
        <v>Hull</v>
      </c>
      <c r="F527" s="83" t="str">
        <f t="shared" si="1"/>
        <v>Boyden-Hull (Hull),IA</v>
      </c>
      <c r="G527" s="60" t="s">
        <v>3257</v>
      </c>
      <c r="H527" s="60">
        <v>43.189115999999999</v>
      </c>
      <c r="I527" s="60">
        <v>-96.13652789999999</v>
      </c>
      <c r="J527" s="60" t="str">
        <f ca="1">IFERROR(__xludf.DUMMYFUNCTION("SPLIT(G527,"","")"),"801 1st St")</f>
        <v>801 1st St</v>
      </c>
      <c r="K527" s="2" t="str">
        <f ca="1">IFERROR(__xludf.DUMMYFUNCTION("""COMPUTED_VALUE""")," Hull")</f>
        <v xml:space="preserve"> Hull</v>
      </c>
      <c r="L527" s="2" t="str">
        <f ca="1">IFERROR(__xludf.DUMMYFUNCTION("""COMPUTED_VALUE""")," IA 51239")</f>
        <v xml:space="preserve"> IA 51239</v>
      </c>
      <c r="M527" s="2" t="str">
        <f ca="1">IFERROR(__xludf.DUMMYFUNCTION("""COMPUTED_VALUE""")," USA")</f>
        <v xml:space="preserve"> USA</v>
      </c>
      <c r="P527" s="60"/>
    </row>
    <row r="528" spans="1:16">
      <c r="A528" s="65">
        <v>527</v>
      </c>
      <c r="B528" s="80" t="s">
        <v>3263</v>
      </c>
      <c r="C528" s="65" t="s">
        <v>940</v>
      </c>
      <c r="D528" s="93" t="s">
        <v>941</v>
      </c>
      <c r="E528" s="48" t="str">
        <f t="shared" si="0"/>
        <v>Omaha</v>
      </c>
      <c r="F528" s="83" t="str">
        <f t="shared" si="1"/>
        <v>Millard North (Omaha),NE</v>
      </c>
      <c r="G528" s="65" t="s">
        <v>3265</v>
      </c>
      <c r="H528" s="65">
        <v>41.250377899999997</v>
      </c>
      <c r="I528" s="65">
        <v>-96.1410999</v>
      </c>
      <c r="J528" s="60" t="str">
        <f ca="1">IFERROR(__xludf.DUMMYFUNCTION("SPLIT(G528,"","")"),"1010 S 144th St")</f>
        <v>1010 S 144th St</v>
      </c>
      <c r="K528" s="2" t="str">
        <f ca="1">IFERROR(__xludf.DUMMYFUNCTION("""COMPUTED_VALUE""")," Omaha")</f>
        <v xml:space="preserve"> Omaha</v>
      </c>
      <c r="L528" s="2" t="str">
        <f ca="1">IFERROR(__xludf.DUMMYFUNCTION("""COMPUTED_VALUE""")," NE 68154")</f>
        <v xml:space="preserve"> NE 68154</v>
      </c>
      <c r="M528" s="2" t="str">
        <f ca="1">IFERROR(__xludf.DUMMYFUNCTION("""COMPUTED_VALUE""")," USA")</f>
        <v xml:space="preserve"> USA</v>
      </c>
      <c r="P528" s="60"/>
    </row>
    <row r="529" spans="1:16">
      <c r="A529" s="60">
        <v>528</v>
      </c>
      <c r="B529" s="79" t="s">
        <v>3269</v>
      </c>
      <c r="C529" s="60" t="s">
        <v>675</v>
      </c>
      <c r="D529" s="93" t="s">
        <v>3270</v>
      </c>
      <c r="E529" s="48" t="str">
        <f t="shared" si="0"/>
        <v>York</v>
      </c>
      <c r="F529" s="83" t="str">
        <f t="shared" si="1"/>
        <v>Central York (York),PA</v>
      </c>
      <c r="G529" s="60" t="s">
        <v>3272</v>
      </c>
      <c r="H529" s="60">
        <v>39.997290100000001</v>
      </c>
      <c r="I529" s="60">
        <v>-76.707541500000005</v>
      </c>
      <c r="J529" s="60" t="str">
        <f ca="1">IFERROR(__xludf.DUMMYFUNCTION("SPLIT(G529,"","")"),"775 Marion Rd")</f>
        <v>775 Marion Rd</v>
      </c>
      <c r="K529" s="2" t="str">
        <f ca="1">IFERROR(__xludf.DUMMYFUNCTION("""COMPUTED_VALUE""")," York")</f>
        <v xml:space="preserve"> York</v>
      </c>
      <c r="L529" s="2" t="str">
        <f ca="1">IFERROR(__xludf.DUMMYFUNCTION("""COMPUTED_VALUE""")," PA 17406")</f>
        <v xml:space="preserve"> PA 17406</v>
      </c>
      <c r="M529" s="2" t="str">
        <f ca="1">IFERROR(__xludf.DUMMYFUNCTION("""COMPUTED_VALUE""")," USA")</f>
        <v xml:space="preserve"> USA</v>
      </c>
      <c r="P529" s="60"/>
    </row>
    <row r="530" spans="1:16">
      <c r="A530" s="65">
        <v>529</v>
      </c>
      <c r="B530" s="80" t="s">
        <v>3275</v>
      </c>
      <c r="C530" s="65" t="s">
        <v>624</v>
      </c>
      <c r="D530" s="93" t="s">
        <v>3276</v>
      </c>
      <c r="E530" s="48" t="str">
        <f t="shared" si="0"/>
        <v>Natchitoches</v>
      </c>
      <c r="F530" s="83" t="str">
        <f t="shared" si="1"/>
        <v>Natchitoches Central (Natchitoches),LA</v>
      </c>
      <c r="G530" s="65" t="s">
        <v>3279</v>
      </c>
      <c r="H530" s="65">
        <v>31.745329699999999</v>
      </c>
      <c r="I530" s="65">
        <v>-93.108337899999995</v>
      </c>
      <c r="J530" s="60" t="str">
        <f ca="1">IFERROR(__xludf.DUMMYFUNCTION("SPLIT(G530,"","")"),"6587 LA-1 Bypass")</f>
        <v>6587 LA-1 Bypass</v>
      </c>
      <c r="K530" s="2" t="str">
        <f ca="1">IFERROR(__xludf.DUMMYFUNCTION("""COMPUTED_VALUE""")," Natchitoches")</f>
        <v xml:space="preserve"> Natchitoches</v>
      </c>
      <c r="L530" s="2" t="str">
        <f ca="1">IFERROR(__xludf.DUMMYFUNCTION("""COMPUTED_VALUE""")," LA 71457")</f>
        <v xml:space="preserve"> LA 71457</v>
      </c>
      <c r="M530" s="2" t="str">
        <f ca="1">IFERROR(__xludf.DUMMYFUNCTION("""COMPUTED_VALUE""")," USA")</f>
        <v xml:space="preserve"> USA</v>
      </c>
      <c r="P530" s="60"/>
    </row>
    <row r="531" spans="1:16">
      <c r="A531" s="60">
        <v>530</v>
      </c>
      <c r="B531" s="79" t="s">
        <v>3282</v>
      </c>
      <c r="C531" s="60" t="s">
        <v>1055</v>
      </c>
      <c r="D531" s="93" t="s">
        <v>1420</v>
      </c>
      <c r="E531" s="48" t="str">
        <f t="shared" si="0"/>
        <v>Tulsa</v>
      </c>
      <c r="F531" s="83" t="str">
        <f t="shared" si="1"/>
        <v>Memorial (Tulsa),OK</v>
      </c>
      <c r="G531" s="60" t="s">
        <v>3284</v>
      </c>
      <c r="H531" s="60">
        <v>36.012115100000003</v>
      </c>
      <c r="I531" s="60">
        <v>-95.887418099999991</v>
      </c>
      <c r="J531" s="60" t="str">
        <f ca="1">IFERROR(__xludf.DUMMYFUNCTION("SPLIT(G531,"","")"),"10506 S Memorial Dr")</f>
        <v>10506 S Memorial Dr</v>
      </c>
      <c r="K531" s="2" t="str">
        <f ca="1">IFERROR(__xludf.DUMMYFUNCTION("""COMPUTED_VALUE""")," Tulsa")</f>
        <v xml:space="preserve"> Tulsa</v>
      </c>
      <c r="L531" s="2" t="str">
        <f ca="1">IFERROR(__xludf.DUMMYFUNCTION("""COMPUTED_VALUE""")," OK 74133")</f>
        <v xml:space="preserve"> OK 74133</v>
      </c>
      <c r="M531" s="2" t="str">
        <f ca="1">IFERROR(__xludf.DUMMYFUNCTION("""COMPUTED_VALUE""")," USA")</f>
        <v xml:space="preserve"> USA</v>
      </c>
      <c r="P531" s="60"/>
    </row>
    <row r="532" spans="1:16">
      <c r="A532" s="65">
        <v>531</v>
      </c>
      <c r="B532" s="80" t="s">
        <v>3289</v>
      </c>
      <c r="C532" s="65" t="s">
        <v>595</v>
      </c>
      <c r="D532" s="93" t="s">
        <v>3290</v>
      </c>
      <c r="E532" s="48" t="str">
        <f t="shared" si="0"/>
        <v>Hutto</v>
      </c>
      <c r="F532" s="83" t="str">
        <f t="shared" si="1"/>
        <v>Hutto,TX</v>
      </c>
      <c r="G532" s="65" t="s">
        <v>3292</v>
      </c>
      <c r="H532" s="65">
        <v>30.542699499999991</v>
      </c>
      <c r="I532" s="65">
        <v>-97.546670199999994</v>
      </c>
      <c r="J532" s="60" t="str">
        <f ca="1">IFERROR(__xludf.DUMMYFUNCTION("SPLIT(G532,"","")"),"612 US-79")</f>
        <v>612 US-79</v>
      </c>
      <c r="K532" s="2" t="str">
        <f ca="1">IFERROR(__xludf.DUMMYFUNCTION("""COMPUTED_VALUE""")," Hutto")</f>
        <v xml:space="preserve"> Hutto</v>
      </c>
      <c r="L532" s="2" t="str">
        <f ca="1">IFERROR(__xludf.DUMMYFUNCTION("""COMPUTED_VALUE""")," TX 78634")</f>
        <v xml:space="preserve"> TX 78634</v>
      </c>
      <c r="M532" s="2" t="str">
        <f ca="1">IFERROR(__xludf.DUMMYFUNCTION("""COMPUTED_VALUE""")," USA")</f>
        <v xml:space="preserve"> USA</v>
      </c>
      <c r="P532" s="60"/>
    </row>
    <row r="533" spans="1:16">
      <c r="A533" s="60">
        <v>532</v>
      </c>
      <c r="B533" s="79" t="s">
        <v>3295</v>
      </c>
      <c r="C533" s="60" t="s">
        <v>595</v>
      </c>
      <c r="D533" s="93" t="s">
        <v>2998</v>
      </c>
      <c r="E533" s="48" t="str">
        <f t="shared" si="0"/>
        <v>Mansfield</v>
      </c>
      <c r="F533" s="83" t="str">
        <f t="shared" si="1"/>
        <v>Mansfield Legacy (Mansfield),TX</v>
      </c>
      <c r="G533" s="60" t="s">
        <v>3296</v>
      </c>
      <c r="H533" s="60">
        <v>32.578911400000003</v>
      </c>
      <c r="I533" s="60">
        <v>-97.152765799999997</v>
      </c>
      <c r="J533" s="60" t="str">
        <f ca="1">IFERROR(__xludf.DUMMYFUNCTION("SPLIT(G533,"","")"),"1263 N Main St")</f>
        <v>1263 N Main St</v>
      </c>
      <c r="K533" s="2" t="str">
        <f ca="1">IFERROR(__xludf.DUMMYFUNCTION("""COMPUTED_VALUE""")," Mansfield")</f>
        <v xml:space="preserve"> Mansfield</v>
      </c>
      <c r="L533" s="2" t="str">
        <f ca="1">IFERROR(__xludf.DUMMYFUNCTION("""COMPUTED_VALUE""")," TX 76063")</f>
        <v xml:space="preserve"> TX 76063</v>
      </c>
      <c r="M533" s="2" t="str">
        <f ca="1">IFERROR(__xludf.DUMMYFUNCTION("""COMPUTED_VALUE""")," USA")</f>
        <v xml:space="preserve"> USA</v>
      </c>
      <c r="P533" s="60"/>
    </row>
    <row r="534" spans="1:16">
      <c r="A534" s="65">
        <v>533</v>
      </c>
      <c r="B534" s="80" t="s">
        <v>3298</v>
      </c>
      <c r="C534" s="65" t="s">
        <v>174</v>
      </c>
      <c r="D534" s="93" t="s">
        <v>3300</v>
      </c>
      <c r="E534" s="48" t="str">
        <f t="shared" si="0"/>
        <v>Toledo</v>
      </c>
      <c r="F534" s="83" t="str">
        <f t="shared" si="1"/>
        <v>Rogers (Toledo),OH</v>
      </c>
      <c r="G534" s="65" t="s">
        <v>3302</v>
      </c>
      <c r="H534" s="65">
        <v>41.641385100000001</v>
      </c>
      <c r="I534" s="65">
        <v>-83.674235799999991</v>
      </c>
      <c r="J534" s="60" t="str">
        <f ca="1">IFERROR(__xludf.DUMMYFUNCTION("SPLIT(G534,"","")"),"222 McTigue Dr")</f>
        <v>222 McTigue Dr</v>
      </c>
      <c r="K534" s="2" t="str">
        <f ca="1">IFERROR(__xludf.DUMMYFUNCTION("""COMPUTED_VALUE""")," Toledo")</f>
        <v xml:space="preserve"> Toledo</v>
      </c>
      <c r="L534" s="2" t="str">
        <f ca="1">IFERROR(__xludf.DUMMYFUNCTION("""COMPUTED_VALUE""")," OH 43615")</f>
        <v xml:space="preserve"> OH 43615</v>
      </c>
      <c r="M534" s="2" t="str">
        <f ca="1">IFERROR(__xludf.DUMMYFUNCTION("""COMPUTED_VALUE""")," USA")</f>
        <v xml:space="preserve"> USA</v>
      </c>
      <c r="P534" s="60"/>
    </row>
    <row r="535" spans="1:16">
      <c r="A535" s="60">
        <v>534</v>
      </c>
      <c r="B535" s="79" t="s">
        <v>3306</v>
      </c>
      <c r="C535" s="60" t="s">
        <v>136</v>
      </c>
      <c r="D535" s="93" t="s">
        <v>1103</v>
      </c>
      <c r="E535" s="48" t="str">
        <f t="shared" si="0"/>
        <v>Jacksonville</v>
      </c>
      <c r="F535" s="83" t="str">
        <f t="shared" si="1"/>
        <v>North Florida Educational Institute (Jacksonville),FL</v>
      </c>
      <c r="G535" s="60" t="s">
        <v>3309</v>
      </c>
      <c r="H535" s="60">
        <v>30.386192600000001</v>
      </c>
      <c r="I535" s="60">
        <v>-81.642765999999995</v>
      </c>
      <c r="J535" s="60" t="str">
        <f ca="1">IFERROR(__xludf.DUMMYFUNCTION("SPLIT(G535,"","")"),"580 Lawton Ave")</f>
        <v>580 Lawton Ave</v>
      </c>
      <c r="K535" s="2" t="str">
        <f ca="1">IFERROR(__xludf.DUMMYFUNCTION("""COMPUTED_VALUE""")," Jacksonville")</f>
        <v xml:space="preserve"> Jacksonville</v>
      </c>
      <c r="L535" s="2" t="str">
        <f ca="1">IFERROR(__xludf.DUMMYFUNCTION("""COMPUTED_VALUE""")," FL 32208")</f>
        <v xml:space="preserve"> FL 32208</v>
      </c>
      <c r="M535" s="2" t="str">
        <f ca="1">IFERROR(__xludf.DUMMYFUNCTION("""COMPUTED_VALUE""")," USA")</f>
        <v xml:space="preserve"> USA</v>
      </c>
      <c r="P535" s="60"/>
    </row>
    <row r="536" spans="1:16">
      <c r="A536" s="65">
        <v>535</v>
      </c>
      <c r="B536" s="80" t="s">
        <v>3312</v>
      </c>
      <c r="C536" s="65" t="s">
        <v>881</v>
      </c>
      <c r="D536" s="93" t="s">
        <v>3313</v>
      </c>
      <c r="E536" s="48" t="str">
        <f t="shared" si="0"/>
        <v>Ashland</v>
      </c>
      <c r="F536" s="83" t="str">
        <f t="shared" si="1"/>
        <v>Blazer (Ashland),KY</v>
      </c>
      <c r="G536" s="65" t="s">
        <v>3315</v>
      </c>
      <c r="H536" s="65">
        <v>38.4772222</v>
      </c>
      <c r="I536" s="65">
        <v>-82.639722199999994</v>
      </c>
      <c r="J536" s="60" t="str">
        <f ca="1">IFERROR(__xludf.DUMMYFUNCTION("SPLIT(G536,"","")"),"1624 Carter Ave")</f>
        <v>1624 Carter Ave</v>
      </c>
      <c r="K536" s="2" t="str">
        <f ca="1">IFERROR(__xludf.DUMMYFUNCTION("""COMPUTED_VALUE""")," Ashland")</f>
        <v xml:space="preserve"> Ashland</v>
      </c>
      <c r="L536" s="2" t="str">
        <f ca="1">IFERROR(__xludf.DUMMYFUNCTION("""COMPUTED_VALUE""")," KY 41101")</f>
        <v xml:space="preserve"> KY 41101</v>
      </c>
      <c r="M536" s="2" t="str">
        <f ca="1">IFERROR(__xludf.DUMMYFUNCTION("""COMPUTED_VALUE""")," USA")</f>
        <v xml:space="preserve"> USA</v>
      </c>
      <c r="P536" s="60"/>
    </row>
    <row r="537" spans="1:16">
      <c r="A537" s="60">
        <v>536</v>
      </c>
      <c r="B537" s="79" t="s">
        <v>3317</v>
      </c>
      <c r="C537" s="60" t="s">
        <v>602</v>
      </c>
      <c r="D537" s="93" t="s">
        <v>1388</v>
      </c>
      <c r="E537" s="48" t="str">
        <f t="shared" si="0"/>
        <v>Norfolk</v>
      </c>
      <c r="F537" s="83" t="str">
        <f t="shared" si="1"/>
        <v>Norfolk Collegiate (Norfolk),VA</v>
      </c>
      <c r="G537" s="60" t="s">
        <v>3320</v>
      </c>
      <c r="H537" s="60">
        <v>36.9105889</v>
      </c>
      <c r="I537" s="60">
        <v>-76.274028700000002</v>
      </c>
      <c r="J537" s="60" t="str">
        <f ca="1">IFERROR(__xludf.DUMMYFUNCTION("SPLIT(G537,"","")"),"7312 Granby St")</f>
        <v>7312 Granby St</v>
      </c>
      <c r="K537" s="2" t="str">
        <f ca="1">IFERROR(__xludf.DUMMYFUNCTION("""COMPUTED_VALUE""")," Norfolk")</f>
        <v xml:space="preserve"> Norfolk</v>
      </c>
      <c r="L537" s="2" t="str">
        <f ca="1">IFERROR(__xludf.DUMMYFUNCTION("""COMPUTED_VALUE""")," VA 23505")</f>
        <v xml:space="preserve"> VA 23505</v>
      </c>
      <c r="M537" s="2" t="str">
        <f ca="1">IFERROR(__xludf.DUMMYFUNCTION("""COMPUTED_VALUE""")," USA")</f>
        <v xml:space="preserve"> USA</v>
      </c>
      <c r="P537" s="60"/>
    </row>
    <row r="538" spans="1:16">
      <c r="A538" s="65">
        <v>537</v>
      </c>
      <c r="B538" s="80" t="s">
        <v>3322</v>
      </c>
      <c r="C538" s="65" t="s">
        <v>745</v>
      </c>
      <c r="D538" s="93" t="s">
        <v>3324</v>
      </c>
      <c r="E538" s="48" t="str">
        <f t="shared" si="0"/>
        <v>Tacoma</v>
      </c>
      <c r="F538" s="83" t="str">
        <f t="shared" si="1"/>
        <v>Wilson (Tacoma),WA</v>
      </c>
      <c r="G538" s="65" t="s">
        <v>3325</v>
      </c>
      <c r="H538" s="65">
        <v>47.261458699999999</v>
      </c>
      <c r="I538" s="65">
        <v>-122.5067478</v>
      </c>
      <c r="J538" s="60" t="str">
        <f ca="1">IFERROR(__xludf.DUMMYFUNCTION("SPLIT(G538,"","")"),"1202 N Orchard St")</f>
        <v>1202 N Orchard St</v>
      </c>
      <c r="K538" s="2" t="str">
        <f ca="1">IFERROR(__xludf.DUMMYFUNCTION("""COMPUTED_VALUE""")," Tacoma")</f>
        <v xml:space="preserve"> Tacoma</v>
      </c>
      <c r="L538" s="2" t="str">
        <f ca="1">IFERROR(__xludf.DUMMYFUNCTION("""COMPUTED_VALUE""")," WA 98406")</f>
        <v xml:space="preserve"> WA 98406</v>
      </c>
      <c r="M538" s="2" t="str">
        <f ca="1">IFERROR(__xludf.DUMMYFUNCTION("""COMPUTED_VALUE""")," USA")</f>
        <v xml:space="preserve"> USA</v>
      </c>
      <c r="P538" s="60"/>
    </row>
    <row r="539" spans="1:16">
      <c r="A539" s="60">
        <v>538</v>
      </c>
      <c r="B539" s="79" t="s">
        <v>3328</v>
      </c>
      <c r="C539" s="60" t="s">
        <v>174</v>
      </c>
      <c r="D539" s="93" t="s">
        <v>3329</v>
      </c>
      <c r="E539" s="48" t="str">
        <f t="shared" si="0"/>
        <v>Worthington</v>
      </c>
      <c r="F539" s="83" t="str">
        <f t="shared" si="1"/>
        <v>Thomas Worthington (Worthington),OH</v>
      </c>
      <c r="G539" s="60" t="s">
        <v>3331</v>
      </c>
      <c r="H539" s="60">
        <v>40.090613300000001</v>
      </c>
      <c r="I539" s="60">
        <v>-83.025308699999997</v>
      </c>
      <c r="J539" s="60" t="str">
        <f ca="1">IFERROR(__xludf.DUMMYFUNCTION("SPLIT(G539,"","")"),"300 W Dublin Granville Rd")</f>
        <v>300 W Dublin Granville Rd</v>
      </c>
      <c r="K539" s="2" t="str">
        <f ca="1">IFERROR(__xludf.DUMMYFUNCTION("""COMPUTED_VALUE""")," Worthington")</f>
        <v xml:space="preserve"> Worthington</v>
      </c>
      <c r="L539" s="2" t="str">
        <f ca="1">IFERROR(__xludf.DUMMYFUNCTION("""COMPUTED_VALUE""")," OH 43085")</f>
        <v xml:space="preserve"> OH 43085</v>
      </c>
      <c r="M539" s="2" t="str">
        <f ca="1">IFERROR(__xludf.DUMMYFUNCTION("""COMPUTED_VALUE""")," USA")</f>
        <v xml:space="preserve"> USA</v>
      </c>
      <c r="P539" s="60"/>
    </row>
    <row r="540" spans="1:16">
      <c r="A540" s="65">
        <v>539</v>
      </c>
      <c r="B540" s="80" t="s">
        <v>3333</v>
      </c>
      <c r="C540" s="65" t="s">
        <v>70</v>
      </c>
      <c r="D540" s="93" t="s">
        <v>3334</v>
      </c>
      <c r="E540" s="48" t="str">
        <f t="shared" si="0"/>
        <v>Anchorage</v>
      </c>
      <c r="F540" s="83" t="str">
        <f t="shared" si="1"/>
        <v>East (Anchorage),AK</v>
      </c>
      <c r="G540" s="65" t="s">
        <v>3336</v>
      </c>
      <c r="H540" s="65">
        <v>61.212725700000007</v>
      </c>
      <c r="I540" s="65">
        <v>-149.8914297</v>
      </c>
      <c r="J540" s="60" t="str">
        <f ca="1">IFERROR(__xludf.DUMMYFUNCTION("SPLIT(G540,"","")"),"E Street &amp; 10th Avenue NNW")</f>
        <v>E Street &amp; 10th Avenue NNW</v>
      </c>
      <c r="K540" s="2" t="str">
        <f ca="1">IFERROR(__xludf.DUMMYFUNCTION("""COMPUTED_VALUE""")," Anchorage")</f>
        <v xml:space="preserve"> Anchorage</v>
      </c>
      <c r="L540" s="2" t="str">
        <f ca="1">IFERROR(__xludf.DUMMYFUNCTION("""COMPUTED_VALUE""")," AK 99501")</f>
        <v xml:space="preserve"> AK 99501</v>
      </c>
      <c r="M540" s="2" t="str">
        <f ca="1">IFERROR(__xludf.DUMMYFUNCTION("""COMPUTED_VALUE""")," USA")</f>
        <v xml:space="preserve"> USA</v>
      </c>
      <c r="P540" s="60"/>
    </row>
    <row r="541" spans="1:16">
      <c r="A541" s="60">
        <v>540</v>
      </c>
      <c r="B541" s="79" t="s">
        <v>3338</v>
      </c>
      <c r="C541" s="60" t="s">
        <v>881</v>
      </c>
      <c r="D541" s="93" t="s">
        <v>3339</v>
      </c>
      <c r="E541" s="48" t="str">
        <f t="shared" si="0"/>
        <v>Elizabethtown</v>
      </c>
      <c r="F541" s="83" t="str">
        <f t="shared" si="1"/>
        <v>John Hardin (Elizabethtown),KY</v>
      </c>
      <c r="G541" s="60" t="s">
        <v>3341</v>
      </c>
      <c r="H541" s="60">
        <v>37.755426700000001</v>
      </c>
      <c r="I541" s="60">
        <v>-85.904178599999995</v>
      </c>
      <c r="J541" s="60" t="str">
        <f ca="1">IFERROR(__xludf.DUMMYFUNCTION("SPLIT(G541,"","")"),"384 W A Jenkins Rd")</f>
        <v>384 W A Jenkins Rd</v>
      </c>
      <c r="K541" s="2" t="str">
        <f ca="1">IFERROR(__xludf.DUMMYFUNCTION("""COMPUTED_VALUE""")," Elizabethtown")</f>
        <v xml:space="preserve"> Elizabethtown</v>
      </c>
      <c r="L541" s="2" t="str">
        <f ca="1">IFERROR(__xludf.DUMMYFUNCTION("""COMPUTED_VALUE""")," KY 42701")</f>
        <v xml:space="preserve"> KY 42701</v>
      </c>
      <c r="M541" s="2" t="str">
        <f ca="1">IFERROR(__xludf.DUMMYFUNCTION("""COMPUTED_VALUE""")," USA")</f>
        <v xml:space="preserve"> USA</v>
      </c>
      <c r="P541" s="60"/>
    </row>
    <row r="542" spans="1:16">
      <c r="A542" s="65">
        <v>541</v>
      </c>
      <c r="B542" s="80" t="s">
        <v>3342</v>
      </c>
      <c r="C542" s="65" t="s">
        <v>881</v>
      </c>
      <c r="D542" s="93" t="s">
        <v>2906</v>
      </c>
      <c r="E542" s="48" t="str">
        <f t="shared" si="0"/>
        <v>Lexington</v>
      </c>
      <c r="F542" s="83" t="str">
        <f t="shared" si="1"/>
        <v>Henry Clay (Lexington),KY</v>
      </c>
      <c r="G542" s="65" t="s">
        <v>3344</v>
      </c>
      <c r="H542" s="65">
        <v>38.028494500000001</v>
      </c>
      <c r="I542" s="65">
        <v>-84.481626199999994</v>
      </c>
      <c r="J542" s="60" t="str">
        <f ca="1">IFERROR(__xludf.DUMMYFUNCTION("SPLIT(G542,"","")"),"1302 Fincastle Rd")</f>
        <v>1302 Fincastle Rd</v>
      </c>
      <c r="K542" s="2" t="str">
        <f ca="1">IFERROR(__xludf.DUMMYFUNCTION("""COMPUTED_VALUE""")," Lexington")</f>
        <v xml:space="preserve"> Lexington</v>
      </c>
      <c r="L542" s="2" t="str">
        <f ca="1">IFERROR(__xludf.DUMMYFUNCTION("""COMPUTED_VALUE""")," KY 40502")</f>
        <v xml:space="preserve"> KY 40502</v>
      </c>
      <c r="M542" s="2" t="str">
        <f ca="1">IFERROR(__xludf.DUMMYFUNCTION("""COMPUTED_VALUE""")," USA")</f>
        <v xml:space="preserve"> USA</v>
      </c>
      <c r="P542" s="60"/>
    </row>
    <row r="543" spans="1:16">
      <c r="A543" s="60">
        <v>542</v>
      </c>
      <c r="B543" s="79" t="s">
        <v>3346</v>
      </c>
      <c r="C543" s="60" t="s">
        <v>712</v>
      </c>
      <c r="D543" s="93" t="s">
        <v>3347</v>
      </c>
      <c r="E543" s="48" t="str">
        <f t="shared" si="0"/>
        <v>Potomac</v>
      </c>
      <c r="F543" s="83" t="str">
        <f t="shared" si="1"/>
        <v>St. Andrew's Episcopal (Potomac),DC</v>
      </c>
      <c r="G543" s="60" t="s">
        <v>3348</v>
      </c>
      <c r="H543" s="60">
        <v>39.046542000000002</v>
      </c>
      <c r="I543" s="60">
        <v>-77.176357999999993</v>
      </c>
      <c r="J543" s="60" t="str">
        <f ca="1">IFERROR(__xludf.DUMMYFUNCTION("SPLIT(G543,"","")"),"8804 Postoak Rd")</f>
        <v>8804 Postoak Rd</v>
      </c>
      <c r="K543" s="2" t="str">
        <f ca="1">IFERROR(__xludf.DUMMYFUNCTION("""COMPUTED_VALUE""")," Potomac")</f>
        <v xml:space="preserve"> Potomac</v>
      </c>
      <c r="L543" s="2" t="str">
        <f ca="1">IFERROR(__xludf.DUMMYFUNCTION("""COMPUTED_VALUE""")," MD 20854")</f>
        <v xml:space="preserve"> MD 20854</v>
      </c>
      <c r="M543" s="2" t="str">
        <f ca="1">IFERROR(__xludf.DUMMYFUNCTION("""COMPUTED_VALUE""")," USA")</f>
        <v xml:space="preserve"> USA</v>
      </c>
      <c r="P543" s="60"/>
    </row>
    <row r="544" spans="1:16">
      <c r="A544" s="65">
        <v>543</v>
      </c>
      <c r="B544" s="80" t="s">
        <v>3350</v>
      </c>
      <c r="C544" s="65" t="s">
        <v>770</v>
      </c>
      <c r="D544" s="93" t="s">
        <v>875</v>
      </c>
      <c r="E544" s="48" t="str">
        <f t="shared" si="0"/>
        <v>Memphis</v>
      </c>
      <c r="F544" s="83" t="str">
        <f t="shared" si="1"/>
        <v>White Station (Memphis),TN</v>
      </c>
      <c r="G544" s="65" t="s">
        <v>3352</v>
      </c>
      <c r="H544" s="65">
        <v>35.114440600000002</v>
      </c>
      <c r="I544" s="65">
        <v>-89.879745899999989</v>
      </c>
      <c r="J544" s="60" t="str">
        <f ca="1">IFERROR(__xludf.DUMMYFUNCTION("SPLIT(G544,"","")"),"5469 Fiesta Dr")</f>
        <v>5469 Fiesta Dr</v>
      </c>
      <c r="K544" s="2" t="str">
        <f ca="1">IFERROR(__xludf.DUMMYFUNCTION("""COMPUTED_VALUE""")," Memphis")</f>
        <v xml:space="preserve"> Memphis</v>
      </c>
      <c r="L544" s="2" t="str">
        <f ca="1">IFERROR(__xludf.DUMMYFUNCTION("""COMPUTED_VALUE""")," TN 38120")</f>
        <v xml:space="preserve"> TN 38120</v>
      </c>
      <c r="M544" s="2" t="str">
        <f ca="1">IFERROR(__xludf.DUMMYFUNCTION("""COMPUTED_VALUE""")," USA")</f>
        <v xml:space="preserve"> USA</v>
      </c>
      <c r="P544" s="60"/>
    </row>
    <row r="545" spans="1:16">
      <c r="A545" s="60">
        <v>544</v>
      </c>
      <c r="B545" s="79" t="s">
        <v>3354</v>
      </c>
      <c r="C545" s="60" t="s">
        <v>174</v>
      </c>
      <c r="D545" s="93" t="s">
        <v>1899</v>
      </c>
      <c r="E545" s="48" t="str">
        <f t="shared" si="0"/>
        <v>Cleveland</v>
      </c>
      <c r="F545" s="83" t="str">
        <f t="shared" si="1"/>
        <v>Cleveland Central Catholic (Cleveland),OH</v>
      </c>
      <c r="G545" s="60" t="s">
        <v>3356</v>
      </c>
      <c r="H545" s="60">
        <v>41.459222099999998</v>
      </c>
      <c r="I545" s="60">
        <v>-81.643020899999996</v>
      </c>
      <c r="J545" s="60" t="str">
        <f ca="1">IFERROR(__xludf.DUMMYFUNCTION("SPLIT(G545,"","")"),"6550 Baxter Ave")</f>
        <v>6550 Baxter Ave</v>
      </c>
      <c r="K545" s="2" t="str">
        <f ca="1">IFERROR(__xludf.DUMMYFUNCTION("""COMPUTED_VALUE""")," Cleveland")</f>
        <v xml:space="preserve"> Cleveland</v>
      </c>
      <c r="L545" s="2" t="str">
        <f ca="1">IFERROR(__xludf.DUMMYFUNCTION("""COMPUTED_VALUE""")," OH 44105")</f>
        <v xml:space="preserve"> OH 44105</v>
      </c>
      <c r="M545" s="2" t="str">
        <f ca="1">IFERROR(__xludf.DUMMYFUNCTION("""COMPUTED_VALUE""")," USA")</f>
        <v xml:space="preserve"> USA</v>
      </c>
      <c r="P545" s="60"/>
    </row>
    <row r="546" spans="1:16">
      <c r="A546" s="65">
        <v>545</v>
      </c>
      <c r="B546" s="80" t="s">
        <v>3359</v>
      </c>
      <c r="C546" s="65" t="s">
        <v>606</v>
      </c>
      <c r="D546" s="93" t="s">
        <v>1793</v>
      </c>
      <c r="E546" s="48" t="str">
        <f t="shared" si="0"/>
        <v>Columbia</v>
      </c>
      <c r="F546" s="83" t="str">
        <f t="shared" si="1"/>
        <v>Flora (Columbia),SC</v>
      </c>
      <c r="G546" s="65" t="s">
        <v>3362</v>
      </c>
      <c r="H546" s="65">
        <v>33.992362100000001</v>
      </c>
      <c r="I546" s="65">
        <v>-80.977847299999993</v>
      </c>
      <c r="J546" s="60" t="str">
        <f ca="1">IFERROR(__xludf.DUMMYFUNCTION("SPLIT(G546,"","")"),"4453 Devine St")</f>
        <v>4453 Devine St</v>
      </c>
      <c r="K546" s="2" t="str">
        <f ca="1">IFERROR(__xludf.DUMMYFUNCTION("""COMPUTED_VALUE""")," Columbia")</f>
        <v xml:space="preserve"> Columbia</v>
      </c>
      <c r="L546" s="2" t="str">
        <f ca="1">IFERROR(__xludf.DUMMYFUNCTION("""COMPUTED_VALUE""")," SC 29205")</f>
        <v xml:space="preserve"> SC 29205</v>
      </c>
      <c r="M546" s="2" t="str">
        <f ca="1">IFERROR(__xludf.DUMMYFUNCTION("""COMPUTED_VALUE""")," USA")</f>
        <v xml:space="preserve"> USA</v>
      </c>
      <c r="P546" s="60"/>
    </row>
    <row r="547" spans="1:16">
      <c r="A547" s="60">
        <v>546</v>
      </c>
      <c r="B547" s="79" t="s">
        <v>3365</v>
      </c>
      <c r="C547" s="60" t="s">
        <v>604</v>
      </c>
      <c r="D547" s="93" t="s">
        <v>3366</v>
      </c>
      <c r="E547" s="48" t="str">
        <f t="shared" si="0"/>
        <v>East St Louis</v>
      </c>
      <c r="F547" s="83" t="str">
        <f t="shared" si="1"/>
        <v>East St. Louis,IL</v>
      </c>
      <c r="G547" s="60" t="s">
        <v>3367</v>
      </c>
      <c r="H547" s="60">
        <v>38.624513999999998</v>
      </c>
      <c r="I547" s="60">
        <v>-90.150646499999993</v>
      </c>
      <c r="J547" s="60" t="str">
        <f ca="1">IFERROR(__xludf.DUMMYFUNCTION("SPLIT(G547,"","")"),"1000-1008 Martin Luther King Dr")</f>
        <v>1000-1008 Martin Luther King Dr</v>
      </c>
      <c r="K547" s="2" t="str">
        <f ca="1">IFERROR(__xludf.DUMMYFUNCTION("""COMPUTED_VALUE""")," East St Louis")</f>
        <v xml:space="preserve"> East St Louis</v>
      </c>
      <c r="L547" s="2" t="str">
        <f ca="1">IFERROR(__xludf.DUMMYFUNCTION("""COMPUTED_VALUE""")," IL 62201")</f>
        <v xml:space="preserve"> IL 62201</v>
      </c>
      <c r="M547" s="2" t="str">
        <f ca="1">IFERROR(__xludf.DUMMYFUNCTION("""COMPUTED_VALUE""")," USA")</f>
        <v xml:space="preserve"> USA</v>
      </c>
      <c r="P547" s="60"/>
    </row>
    <row r="548" spans="1:16">
      <c r="A548" s="65">
        <v>547</v>
      </c>
      <c r="B548" s="80" t="s">
        <v>3370</v>
      </c>
      <c r="C548" s="65" t="s">
        <v>588</v>
      </c>
      <c r="D548" s="93" t="s">
        <v>992</v>
      </c>
      <c r="E548" s="48" t="str">
        <f t="shared" si="0"/>
        <v>San Diego</v>
      </c>
      <c r="F548" s="83" t="str">
        <f t="shared" si="1"/>
        <v>Francis Parker (San Diego),CA</v>
      </c>
      <c r="G548" s="65" t="s">
        <v>3373</v>
      </c>
      <c r="H548" s="65">
        <v>32.771850200000003</v>
      </c>
      <c r="I548" s="65">
        <v>-117.1771931</v>
      </c>
      <c r="J548" s="60" t="str">
        <f ca="1">IFERROR(__xludf.DUMMYFUNCTION("SPLIT(G548,"","")"),"6501 Linda Vista Rd")</f>
        <v>6501 Linda Vista Rd</v>
      </c>
      <c r="K548" s="2" t="str">
        <f ca="1">IFERROR(__xludf.DUMMYFUNCTION("""COMPUTED_VALUE""")," San Diego")</f>
        <v xml:space="preserve"> San Diego</v>
      </c>
      <c r="L548" s="2" t="str">
        <f ca="1">IFERROR(__xludf.DUMMYFUNCTION("""COMPUTED_VALUE""")," CA 92111")</f>
        <v xml:space="preserve"> CA 92111</v>
      </c>
      <c r="M548" s="2" t="str">
        <f ca="1">IFERROR(__xludf.DUMMYFUNCTION("""COMPUTED_VALUE""")," USA")</f>
        <v xml:space="preserve"> USA</v>
      </c>
      <c r="P548" s="60"/>
    </row>
    <row r="549" spans="1:16">
      <c r="A549" s="60">
        <v>548</v>
      </c>
      <c r="B549" s="79" t="s">
        <v>3376</v>
      </c>
      <c r="C549" s="60" t="s">
        <v>174</v>
      </c>
      <c r="D549" s="93" t="s">
        <v>701</v>
      </c>
      <c r="E549" s="48" t="str">
        <f t="shared" si="0"/>
        <v>Cincinnati</v>
      </c>
      <c r="F549" s="83" t="str">
        <f t="shared" si="1"/>
        <v>St. Xavier (Cincinnati),OH</v>
      </c>
      <c r="G549" s="60" t="s">
        <v>3377</v>
      </c>
      <c r="H549" s="60">
        <v>39.208714999999998</v>
      </c>
      <c r="I549" s="60">
        <v>-84.503761999999995</v>
      </c>
      <c r="J549" s="60" t="str">
        <f ca="1">IFERROR(__xludf.DUMMYFUNCTION("SPLIT(G549,"","")"),"600 W North Bend Rd")</f>
        <v>600 W North Bend Rd</v>
      </c>
      <c r="K549" s="2" t="str">
        <f ca="1">IFERROR(__xludf.DUMMYFUNCTION("""COMPUTED_VALUE""")," Cincinnati")</f>
        <v xml:space="preserve"> Cincinnati</v>
      </c>
      <c r="L549" s="2" t="str">
        <f ca="1">IFERROR(__xludf.DUMMYFUNCTION("""COMPUTED_VALUE""")," OH 45224")</f>
        <v xml:space="preserve"> OH 45224</v>
      </c>
      <c r="M549" s="2" t="str">
        <f ca="1">IFERROR(__xludf.DUMMYFUNCTION("""COMPUTED_VALUE""")," USA")</f>
        <v xml:space="preserve"> USA</v>
      </c>
      <c r="P549" s="60"/>
    </row>
    <row r="550" spans="1:16">
      <c r="A550" s="65">
        <v>549</v>
      </c>
      <c r="B550" s="80" t="s">
        <v>3381</v>
      </c>
      <c r="C550" s="65" t="s">
        <v>604</v>
      </c>
      <c r="D550" s="93" t="s">
        <v>3382</v>
      </c>
      <c r="E550" s="48" t="str">
        <f t="shared" si="0"/>
        <v>Bolingbrook</v>
      </c>
      <c r="F550" s="83" t="str">
        <f t="shared" si="1"/>
        <v>Bolingbrook,IL</v>
      </c>
      <c r="G550" s="65" t="s">
        <v>3383</v>
      </c>
      <c r="H550" s="65">
        <v>41.698641599999988</v>
      </c>
      <c r="I550" s="65">
        <v>-88.068395499999994</v>
      </c>
      <c r="J550" s="60" t="str">
        <f ca="1">IFERROR(__xludf.DUMMYFUNCTION("SPLIT(G550,"","")"),"Rte 53 &amp; Briarcliff Rd")</f>
        <v>Rte 53 &amp; Briarcliff Rd</v>
      </c>
      <c r="K550" s="2" t="str">
        <f ca="1">IFERROR(__xludf.DUMMYFUNCTION("""COMPUTED_VALUE""")," Bolingbrook")</f>
        <v xml:space="preserve"> Bolingbrook</v>
      </c>
      <c r="L550" s="2" t="str">
        <f ca="1">IFERROR(__xludf.DUMMYFUNCTION("""COMPUTED_VALUE""")," IL 60440")</f>
        <v xml:space="preserve"> IL 60440</v>
      </c>
      <c r="M550" s="2" t="str">
        <f ca="1">IFERROR(__xludf.DUMMYFUNCTION("""COMPUTED_VALUE""")," USA")</f>
        <v xml:space="preserve"> USA</v>
      </c>
      <c r="P550" s="60"/>
    </row>
    <row r="551" spans="1:16">
      <c r="A551" s="60">
        <v>550</v>
      </c>
      <c r="B551" s="79" t="s">
        <v>3387</v>
      </c>
      <c r="C551" s="60" t="s">
        <v>588</v>
      </c>
      <c r="D551" s="93" t="s">
        <v>3388</v>
      </c>
      <c r="E551" s="48" t="str">
        <f t="shared" si="0"/>
        <v>Solana Beach</v>
      </c>
      <c r="F551" s="83" t="str">
        <f t="shared" si="1"/>
        <v>Santa Fe Christian (Solana Beach),CA</v>
      </c>
      <c r="G551" s="60" t="s">
        <v>3389</v>
      </c>
      <c r="H551" s="60">
        <v>32.992085000000003</v>
      </c>
      <c r="I551" s="60">
        <v>-117.25834999999999</v>
      </c>
      <c r="J551" s="60" t="str">
        <f ca="1">IFERROR(__xludf.DUMMYFUNCTION("SPLIT(G551,"","")"),"838 Academy Dr")</f>
        <v>838 Academy Dr</v>
      </c>
      <c r="K551" s="2" t="str">
        <f ca="1">IFERROR(__xludf.DUMMYFUNCTION("""COMPUTED_VALUE""")," Solana Beach")</f>
        <v xml:space="preserve"> Solana Beach</v>
      </c>
      <c r="L551" s="2" t="str">
        <f ca="1">IFERROR(__xludf.DUMMYFUNCTION("""COMPUTED_VALUE""")," CA 92075")</f>
        <v xml:space="preserve"> CA 92075</v>
      </c>
      <c r="M551" s="2" t="str">
        <f ca="1">IFERROR(__xludf.DUMMYFUNCTION("""COMPUTED_VALUE""")," USA")</f>
        <v xml:space="preserve"> USA</v>
      </c>
      <c r="P551" s="60"/>
    </row>
    <row r="552" spans="1:16">
      <c r="A552" s="60">
        <v>551</v>
      </c>
      <c r="B552" s="79" t="s">
        <v>567</v>
      </c>
      <c r="C552" s="60" t="s">
        <v>1094</v>
      </c>
      <c r="D552" s="93" t="s">
        <v>3270</v>
      </c>
      <c r="E552" s="48" t="str">
        <f t="shared" si="0"/>
        <v>York</v>
      </c>
      <c r="F552" s="83" t="str">
        <f t="shared" si="1"/>
        <v>York,ME</v>
      </c>
      <c r="G552" s="60" t="s">
        <v>3392</v>
      </c>
      <c r="H552" s="60">
        <v>43.161748300000014</v>
      </c>
      <c r="I552" s="60">
        <v>-70.648258100000007</v>
      </c>
      <c r="J552" s="60" t="str">
        <f ca="1">IFERROR(__xludf.DUMMYFUNCTION("SPLIT(G552,"","")"),"698 US-1")</f>
        <v>698 US-1</v>
      </c>
      <c r="K552" s="2" t="str">
        <f ca="1">IFERROR(__xludf.DUMMYFUNCTION("""COMPUTED_VALUE""")," York")</f>
        <v xml:space="preserve"> York</v>
      </c>
      <c r="L552" s="2" t="str">
        <f ca="1">IFERROR(__xludf.DUMMYFUNCTION("""COMPUTED_VALUE""")," ME 03909")</f>
        <v xml:space="preserve"> ME 03909</v>
      </c>
      <c r="M552" s="2" t="str">
        <f ca="1">IFERROR(__xludf.DUMMYFUNCTION("""COMPUTED_VALUE""")," USA")</f>
        <v xml:space="preserve"> USA</v>
      </c>
      <c r="P552" s="60"/>
    </row>
    <row r="553" spans="1:16">
      <c r="A553" s="65">
        <v>552</v>
      </c>
      <c r="B553" s="80" t="s">
        <v>3394</v>
      </c>
      <c r="C553" s="65" t="s">
        <v>1050</v>
      </c>
      <c r="D553" s="93" t="s">
        <v>3395</v>
      </c>
      <c r="E553" s="48" t="str">
        <f t="shared" si="0"/>
        <v>Scott Depot</v>
      </c>
      <c r="F553" s="83" t="str">
        <f t="shared" si="1"/>
        <v>Teays Valley Christian Prep (Scott Depot),WV</v>
      </c>
      <c r="G553" s="65" t="s">
        <v>3397</v>
      </c>
      <c r="H553" s="65">
        <v>38.449375000000003</v>
      </c>
      <c r="I553" s="65">
        <v>-81.903194200000002</v>
      </c>
      <c r="J553" s="60" t="str">
        <f ca="1">IFERROR(__xludf.DUMMYFUNCTION("SPLIT(G553,"","")"),"6562 Teays Valley Road")</f>
        <v>6562 Teays Valley Road</v>
      </c>
      <c r="K553" s="2" t="str">
        <f ca="1">IFERROR(__xludf.DUMMYFUNCTION("""COMPUTED_VALUE""")," Scott Depot")</f>
        <v xml:space="preserve"> Scott Depot</v>
      </c>
      <c r="L553" s="2" t="str">
        <f ca="1">IFERROR(__xludf.DUMMYFUNCTION("""COMPUTED_VALUE""")," WV 25560")</f>
        <v xml:space="preserve"> WV 25560</v>
      </c>
      <c r="M553" s="2" t="str">
        <f ca="1">IFERROR(__xludf.DUMMYFUNCTION("""COMPUTED_VALUE""")," USA")</f>
        <v xml:space="preserve"> USA</v>
      </c>
      <c r="P553" s="60"/>
    </row>
    <row r="554" spans="1:16">
      <c r="A554" s="60">
        <v>553</v>
      </c>
      <c r="B554" s="79" t="s">
        <v>3399</v>
      </c>
      <c r="C554" s="60" t="s">
        <v>136</v>
      </c>
      <c r="D554" s="93" t="s">
        <v>3400</v>
      </c>
      <c r="E554" s="48" t="str">
        <f t="shared" si="0"/>
        <v>Windermere</v>
      </c>
      <c r="F554" s="83" t="str">
        <f t="shared" si="1"/>
        <v>Windermere,FL</v>
      </c>
      <c r="G554" s="60" t="s">
        <v>3401</v>
      </c>
      <c r="H554" s="60">
        <v>28.4955593</v>
      </c>
      <c r="I554" s="60">
        <v>-81.534795199999991</v>
      </c>
      <c r="J554" s="60" t="str">
        <f ca="1">IFERROR(__xludf.DUMMYFUNCTION("SPLIT(G554,"","")"),"503b Main St")</f>
        <v>503b Main St</v>
      </c>
      <c r="K554" s="2" t="str">
        <f ca="1">IFERROR(__xludf.DUMMYFUNCTION("""COMPUTED_VALUE""")," Windermere")</f>
        <v xml:space="preserve"> Windermere</v>
      </c>
      <c r="L554" s="2" t="str">
        <f ca="1">IFERROR(__xludf.DUMMYFUNCTION("""COMPUTED_VALUE""")," FL 34786")</f>
        <v xml:space="preserve"> FL 34786</v>
      </c>
      <c r="M554" s="2" t="str">
        <f ca="1">IFERROR(__xludf.DUMMYFUNCTION("""COMPUTED_VALUE""")," USA")</f>
        <v xml:space="preserve"> USA</v>
      </c>
      <c r="P554" s="60"/>
    </row>
    <row r="555" spans="1:16">
      <c r="A555" s="65">
        <v>554</v>
      </c>
      <c r="B555" s="80" t="s">
        <v>3404</v>
      </c>
      <c r="C555" s="65" t="s">
        <v>136</v>
      </c>
      <c r="D555" s="93" t="s">
        <v>3405</v>
      </c>
      <c r="E555" s="48" t="str">
        <f t="shared" si="0"/>
        <v>Lake Worth</v>
      </c>
      <c r="F555" s="83" t="str">
        <f t="shared" si="1"/>
        <v>Park Vista (Lake Worth),FL</v>
      </c>
      <c r="G555" s="65" t="s">
        <v>3406</v>
      </c>
      <c r="H555" s="65">
        <v>26.558496000000002</v>
      </c>
      <c r="I555" s="65">
        <v>-80.144594299999994</v>
      </c>
      <c r="J555" s="60" t="str">
        <f ca="1">IFERROR(__xludf.DUMMYFUNCTION("SPLIT(G555,"","")"),"7900 Jog Rd")</f>
        <v>7900 Jog Rd</v>
      </c>
      <c r="K555" s="2" t="str">
        <f ca="1">IFERROR(__xludf.DUMMYFUNCTION("""COMPUTED_VALUE""")," Lake Worth")</f>
        <v xml:space="preserve"> Lake Worth</v>
      </c>
      <c r="L555" s="2" t="str">
        <f ca="1">IFERROR(__xludf.DUMMYFUNCTION("""COMPUTED_VALUE""")," FL 33463")</f>
        <v xml:space="preserve"> FL 33463</v>
      </c>
      <c r="M555" s="2" t="str">
        <f ca="1">IFERROR(__xludf.DUMMYFUNCTION("""COMPUTED_VALUE""")," USA")</f>
        <v xml:space="preserve"> USA</v>
      </c>
      <c r="P555" s="60"/>
    </row>
    <row r="556" spans="1:16">
      <c r="A556" s="60">
        <v>555</v>
      </c>
      <c r="B556" s="79" t="s">
        <v>3409</v>
      </c>
      <c r="C556" s="60" t="s">
        <v>174</v>
      </c>
      <c r="D556" s="93" t="s">
        <v>3410</v>
      </c>
      <c r="E556" s="48" t="str">
        <f t="shared" si="0"/>
        <v>Youngstown</v>
      </c>
      <c r="F556" s="83" t="str">
        <f t="shared" si="1"/>
        <v>Boardman (Youngstown),OH</v>
      </c>
      <c r="G556" s="60" t="s">
        <v>3412</v>
      </c>
      <c r="H556" s="60">
        <v>41.100218599999998</v>
      </c>
      <c r="I556" s="60">
        <v>-80.652434299999996</v>
      </c>
      <c r="J556" s="60" t="str">
        <f ca="1">IFERROR(__xludf.DUMMYFUNCTION("SPLIT(G556,"","")"),"W Boardman St &amp; S Hazel St")</f>
        <v>W Boardman St &amp; S Hazel St</v>
      </c>
      <c r="K556" s="2" t="str">
        <f ca="1">IFERROR(__xludf.DUMMYFUNCTION("""COMPUTED_VALUE""")," Youngstown")</f>
        <v xml:space="preserve"> Youngstown</v>
      </c>
      <c r="L556" s="2" t="str">
        <f ca="1">IFERROR(__xludf.DUMMYFUNCTION("""COMPUTED_VALUE""")," OH 44503")</f>
        <v xml:space="preserve"> OH 44503</v>
      </c>
      <c r="M556" s="2" t="str">
        <f ca="1">IFERROR(__xludf.DUMMYFUNCTION("""COMPUTED_VALUE""")," USA")</f>
        <v xml:space="preserve"> USA</v>
      </c>
      <c r="P556" s="60"/>
    </row>
    <row r="557" spans="1:16">
      <c r="A557" s="65">
        <v>556</v>
      </c>
      <c r="B557" s="80" t="s">
        <v>3415</v>
      </c>
      <c r="C557" s="65" t="s">
        <v>595</v>
      </c>
      <c r="D557" s="93" t="s">
        <v>3416</v>
      </c>
      <c r="E557" s="48" t="str">
        <f t="shared" si="0"/>
        <v>Frisco</v>
      </c>
      <c r="F557" s="83" t="str">
        <f t="shared" si="1"/>
        <v>Legacy Christian Academy (Frisco),TX</v>
      </c>
      <c r="G557" s="65" t="s">
        <v>3418</v>
      </c>
      <c r="H557" s="65">
        <v>33.131723899999997</v>
      </c>
      <c r="I557" s="65">
        <v>-96.843682399999992</v>
      </c>
      <c r="J557" s="60" t="str">
        <f ca="1">IFERROR(__xludf.DUMMYFUNCTION("SPLIT(G557,"","")"),"6525 Fighting Eagles Ln")</f>
        <v>6525 Fighting Eagles Ln</v>
      </c>
      <c r="K557" s="2" t="str">
        <f ca="1">IFERROR(__xludf.DUMMYFUNCTION("""COMPUTED_VALUE""")," Frisco")</f>
        <v xml:space="preserve"> Frisco</v>
      </c>
      <c r="L557" s="2" t="str">
        <f ca="1">IFERROR(__xludf.DUMMYFUNCTION("""COMPUTED_VALUE""")," TX 75034")</f>
        <v xml:space="preserve"> TX 75034</v>
      </c>
      <c r="M557" s="2" t="str">
        <f ca="1">IFERROR(__xludf.DUMMYFUNCTION("""COMPUTED_VALUE""")," USA")</f>
        <v xml:space="preserve"> USA</v>
      </c>
      <c r="P557" s="60"/>
    </row>
    <row r="558" spans="1:16">
      <c r="A558" s="60">
        <v>557</v>
      </c>
      <c r="B558" s="79" t="s">
        <v>3421</v>
      </c>
      <c r="C558" s="60" t="s">
        <v>136</v>
      </c>
      <c r="D558" s="93" t="s">
        <v>918</v>
      </c>
      <c r="E558" s="48" t="str">
        <f t="shared" si="0"/>
        <v>Fort Lauderdale</v>
      </c>
      <c r="F558" s="83" t="str">
        <f t="shared" si="1"/>
        <v>Calvary Christian Academy (Fort Lauderdale),FL</v>
      </c>
      <c r="G558" s="60" t="s">
        <v>3422</v>
      </c>
      <c r="H558" s="60">
        <v>26.204133800000001</v>
      </c>
      <c r="I558" s="60">
        <v>-80.175230299999996</v>
      </c>
      <c r="J558" s="60" t="str">
        <f ca="1">IFERROR(__xludf.DUMMYFUNCTION("SPLIT(G558,"","")"),"2401 W Cypress Creek Rd")</f>
        <v>2401 W Cypress Creek Rd</v>
      </c>
      <c r="K558" s="2" t="str">
        <f ca="1">IFERROR(__xludf.DUMMYFUNCTION("""COMPUTED_VALUE""")," Fort Lauderdale")</f>
        <v xml:space="preserve"> Fort Lauderdale</v>
      </c>
      <c r="L558" s="2" t="str">
        <f ca="1">IFERROR(__xludf.DUMMYFUNCTION("""COMPUTED_VALUE""")," FL 33309")</f>
        <v xml:space="preserve"> FL 33309</v>
      </c>
      <c r="M558" s="2" t="str">
        <f ca="1">IFERROR(__xludf.DUMMYFUNCTION("""COMPUTED_VALUE""")," USA")</f>
        <v xml:space="preserve"> USA</v>
      </c>
      <c r="P558" s="60"/>
    </row>
    <row r="559" spans="1:16">
      <c r="A559" s="65">
        <v>558</v>
      </c>
      <c r="B559" s="80" t="s">
        <v>3425</v>
      </c>
      <c r="C559" s="65" t="s">
        <v>598</v>
      </c>
      <c r="D559" s="93" t="s">
        <v>3426</v>
      </c>
      <c r="E559" s="48" t="str">
        <f t="shared" si="0"/>
        <v>Tucker</v>
      </c>
      <c r="F559" s="83" t="str">
        <f t="shared" si="1"/>
        <v>Tucker,GA</v>
      </c>
      <c r="G559" s="65" t="s">
        <v>3427</v>
      </c>
      <c r="H559" s="65">
        <v>33.8545479</v>
      </c>
      <c r="I559" s="65">
        <v>-84.2171424</v>
      </c>
      <c r="J559" s="60" t="str">
        <f ca="1">IFERROR(__xludf.DUMMYFUNCTION("SPLIT(G559,"","")"),"4983 Lavista Rd")</f>
        <v>4983 Lavista Rd</v>
      </c>
      <c r="K559" s="2" t="str">
        <f ca="1">IFERROR(__xludf.DUMMYFUNCTION("""COMPUTED_VALUE""")," Tucker")</f>
        <v xml:space="preserve"> Tucker</v>
      </c>
      <c r="L559" s="2" t="str">
        <f ca="1">IFERROR(__xludf.DUMMYFUNCTION("""COMPUTED_VALUE""")," GA 30084")</f>
        <v xml:space="preserve"> GA 30084</v>
      </c>
      <c r="M559" s="2" t="str">
        <f ca="1">IFERROR(__xludf.DUMMYFUNCTION("""COMPUTED_VALUE""")," USA")</f>
        <v xml:space="preserve"> USA</v>
      </c>
      <c r="P559" s="60"/>
    </row>
    <row r="560" spans="1:16">
      <c r="A560" s="60">
        <v>559</v>
      </c>
      <c r="B560" s="79" t="s">
        <v>3428</v>
      </c>
      <c r="C560" s="60" t="s">
        <v>604</v>
      </c>
      <c r="D560" s="93" t="s">
        <v>3429</v>
      </c>
      <c r="E560" s="48" t="str">
        <f t="shared" si="0"/>
        <v>St. Charles</v>
      </c>
      <c r="F560" s="83" t="str">
        <f t="shared" si="1"/>
        <v>St. Charles North (St. Charles),IL</v>
      </c>
      <c r="G560" s="60" t="s">
        <v>3431</v>
      </c>
      <c r="H560" s="60">
        <v>41.948896699999999</v>
      </c>
      <c r="I560" s="60">
        <v>-88.3206998</v>
      </c>
      <c r="J560" s="60" t="str">
        <f ca="1">IFERROR(__xludf.DUMMYFUNCTION("SPLIT(G560,"","")"),"225 Red Gate Rd")</f>
        <v>225 Red Gate Rd</v>
      </c>
      <c r="K560" s="2" t="str">
        <f ca="1">IFERROR(__xludf.DUMMYFUNCTION("""COMPUTED_VALUE""")," St. Charles")</f>
        <v xml:space="preserve"> St. Charles</v>
      </c>
      <c r="L560" s="2" t="str">
        <f ca="1">IFERROR(__xludf.DUMMYFUNCTION("""COMPUTED_VALUE""")," IL 60175")</f>
        <v xml:space="preserve"> IL 60175</v>
      </c>
      <c r="M560" s="2" t="str">
        <f ca="1">IFERROR(__xludf.DUMMYFUNCTION("""COMPUTED_VALUE""")," USA")</f>
        <v xml:space="preserve"> USA</v>
      </c>
      <c r="P560" s="60"/>
    </row>
    <row r="561" spans="1:16">
      <c r="A561" s="65">
        <v>560</v>
      </c>
      <c r="B561" s="80" t="s">
        <v>554</v>
      </c>
      <c r="C561" s="65" t="s">
        <v>901</v>
      </c>
      <c r="D561" s="93" t="s">
        <v>1412</v>
      </c>
      <c r="E561" s="48" t="str">
        <f t="shared" si="0"/>
        <v>Fayetteville</v>
      </c>
      <c r="F561" s="83" t="str">
        <f t="shared" si="1"/>
        <v>Fayetteville,AR</v>
      </c>
      <c r="G561" s="65" t="s">
        <v>3433</v>
      </c>
      <c r="H561" s="65">
        <v>36.082155999999998</v>
      </c>
      <c r="I561" s="65">
        <v>-94.171854200000013</v>
      </c>
      <c r="J561" s="60" t="str">
        <f ca="1">IFERROR(__xludf.DUMMYFUNCTION("SPLIT(G561,"","")"),"896 W Lawson St")</f>
        <v>896 W Lawson St</v>
      </c>
      <c r="K561" s="2" t="str">
        <f ca="1">IFERROR(__xludf.DUMMYFUNCTION("""COMPUTED_VALUE""")," Fayetteville")</f>
        <v xml:space="preserve"> Fayetteville</v>
      </c>
      <c r="L561" s="2" t="str">
        <f ca="1">IFERROR(__xludf.DUMMYFUNCTION("""COMPUTED_VALUE""")," AR 72703")</f>
        <v xml:space="preserve"> AR 72703</v>
      </c>
      <c r="M561" s="2" t="str">
        <f ca="1">IFERROR(__xludf.DUMMYFUNCTION("""COMPUTED_VALUE""")," USA")</f>
        <v xml:space="preserve"> USA</v>
      </c>
      <c r="P561" s="60"/>
    </row>
    <row r="562" spans="1:16">
      <c r="A562" s="60">
        <v>561</v>
      </c>
      <c r="B562" s="79" t="s">
        <v>3437</v>
      </c>
      <c r="C562" s="60" t="s">
        <v>765</v>
      </c>
      <c r="D562" s="93" t="s">
        <v>3438</v>
      </c>
      <c r="E562" s="48" t="str">
        <f t="shared" si="0"/>
        <v>Smithfield</v>
      </c>
      <c r="F562" s="83" t="str">
        <f t="shared" si="1"/>
        <v>Sky View (Smithfield),UT</v>
      </c>
      <c r="G562" s="60" t="s">
        <v>3439</v>
      </c>
      <c r="H562" s="60">
        <v>41.825724699999988</v>
      </c>
      <c r="I562" s="60">
        <v>-111.8246931</v>
      </c>
      <c r="J562" s="60" t="str">
        <f ca="1">IFERROR(__xludf.DUMMYFUNCTION("SPLIT(G562,"","")"),"520 S 250 E")</f>
        <v>520 S 250 E</v>
      </c>
      <c r="K562" s="2" t="str">
        <f ca="1">IFERROR(__xludf.DUMMYFUNCTION("""COMPUTED_VALUE""")," Smithfield")</f>
        <v xml:space="preserve"> Smithfield</v>
      </c>
      <c r="L562" s="2" t="str">
        <f ca="1">IFERROR(__xludf.DUMMYFUNCTION("""COMPUTED_VALUE""")," UT 84335")</f>
        <v xml:space="preserve"> UT 84335</v>
      </c>
      <c r="M562" s="2" t="str">
        <f ca="1">IFERROR(__xludf.DUMMYFUNCTION("""COMPUTED_VALUE""")," USA")</f>
        <v xml:space="preserve"> USA</v>
      </c>
      <c r="P562" s="60"/>
    </row>
    <row r="563" spans="1:16">
      <c r="A563" s="65">
        <v>562</v>
      </c>
      <c r="B563" s="80" t="s">
        <v>3442</v>
      </c>
      <c r="C563" s="65" t="s">
        <v>590</v>
      </c>
      <c r="D563" s="93" t="s">
        <v>749</v>
      </c>
      <c r="E563" s="48" t="str">
        <f t="shared" si="0"/>
        <v>Baltimore</v>
      </c>
      <c r="F563" s="83" t="str">
        <f t="shared" si="1"/>
        <v>Edmondson-Westside (Baltimore),MD</v>
      </c>
      <c r="G563" s="65" t="s">
        <v>3444</v>
      </c>
      <c r="H563" s="65">
        <v>39.291724899999998</v>
      </c>
      <c r="I563" s="65">
        <v>-76.687831000000003</v>
      </c>
      <c r="J563" s="60" t="str">
        <f ca="1">IFERROR(__xludf.DUMMYFUNCTION("SPLIT(G563,"","")"),"501 N Athol Ave")</f>
        <v>501 N Athol Ave</v>
      </c>
      <c r="K563" s="2" t="str">
        <f ca="1">IFERROR(__xludf.DUMMYFUNCTION("""COMPUTED_VALUE""")," Baltimore")</f>
        <v xml:space="preserve"> Baltimore</v>
      </c>
      <c r="L563" s="2" t="str">
        <f ca="1">IFERROR(__xludf.DUMMYFUNCTION("""COMPUTED_VALUE""")," MD 21229")</f>
        <v xml:space="preserve"> MD 21229</v>
      </c>
      <c r="M563" s="2" t="str">
        <f ca="1">IFERROR(__xludf.DUMMYFUNCTION("""COMPUTED_VALUE""")," USA")</f>
        <v xml:space="preserve"> USA</v>
      </c>
      <c r="P563" s="60"/>
    </row>
    <row r="564" spans="1:16">
      <c r="A564" s="60">
        <v>563</v>
      </c>
      <c r="B564" s="79" t="s">
        <v>3447</v>
      </c>
      <c r="C564" s="60" t="s">
        <v>1273</v>
      </c>
      <c r="D564" s="93" t="s">
        <v>3448</v>
      </c>
      <c r="E564" s="48" t="str">
        <f t="shared" si="0"/>
        <v>Waukee</v>
      </c>
      <c r="F564" s="83" t="str">
        <f t="shared" si="1"/>
        <v>Waukee,IA</v>
      </c>
      <c r="G564" s="60" t="s">
        <v>3449</v>
      </c>
      <c r="H564" s="60">
        <v>41.611990300000002</v>
      </c>
      <c r="I564" s="60">
        <v>-93.885576799999996</v>
      </c>
      <c r="J564" s="60" t="str">
        <f ca="1">IFERROR(__xludf.DUMMYFUNCTION("SPLIT(G564,"","")"),"243-299 6th St")</f>
        <v>243-299 6th St</v>
      </c>
      <c r="K564" s="2" t="str">
        <f ca="1">IFERROR(__xludf.DUMMYFUNCTION("""COMPUTED_VALUE""")," Waukee")</f>
        <v xml:space="preserve"> Waukee</v>
      </c>
      <c r="L564" s="2" t="str">
        <f ca="1">IFERROR(__xludf.DUMMYFUNCTION("""COMPUTED_VALUE""")," IA 50263")</f>
        <v xml:space="preserve"> IA 50263</v>
      </c>
      <c r="M564" s="2" t="str">
        <f ca="1">IFERROR(__xludf.DUMMYFUNCTION("""COMPUTED_VALUE""")," USA")</f>
        <v xml:space="preserve"> USA</v>
      </c>
      <c r="P564" s="60"/>
    </row>
    <row r="565" spans="1:16">
      <c r="A565" s="65">
        <v>564</v>
      </c>
      <c r="B565" s="80" t="s">
        <v>3453</v>
      </c>
      <c r="C565" s="65" t="s">
        <v>179</v>
      </c>
      <c r="D565" s="93" t="s">
        <v>2910</v>
      </c>
      <c r="E565" s="48" t="str">
        <f t="shared" si="0"/>
        <v>Charlotte</v>
      </c>
      <c r="F565" s="83" t="str">
        <f t="shared" si="1"/>
        <v>Ardrey Kell (Charlotte),NC</v>
      </c>
      <c r="G565" s="65" t="s">
        <v>3454</v>
      </c>
      <c r="H565" s="65">
        <v>35.029808600000003</v>
      </c>
      <c r="I565" s="65">
        <v>-80.826689899999991</v>
      </c>
      <c r="J565" s="60" t="str">
        <f ca="1">IFERROR(__xludf.DUMMYFUNCTION("SPLIT(G565,"","")"),"10220 Ardrey Kell Rd")</f>
        <v>10220 Ardrey Kell Rd</v>
      </c>
      <c r="K565" s="2" t="str">
        <f ca="1">IFERROR(__xludf.DUMMYFUNCTION("""COMPUTED_VALUE""")," Charlotte")</f>
        <v xml:space="preserve"> Charlotte</v>
      </c>
      <c r="L565" s="2" t="str">
        <f ca="1">IFERROR(__xludf.DUMMYFUNCTION("""COMPUTED_VALUE""")," NC 28277")</f>
        <v xml:space="preserve"> NC 28277</v>
      </c>
      <c r="M565" s="2" t="str">
        <f ca="1">IFERROR(__xludf.DUMMYFUNCTION("""COMPUTED_VALUE""")," USA")</f>
        <v xml:space="preserve"> USA</v>
      </c>
      <c r="P565" s="60"/>
    </row>
    <row r="566" spans="1:16">
      <c r="A566" s="60">
        <v>565</v>
      </c>
      <c r="B566" s="79" t="s">
        <v>3457</v>
      </c>
      <c r="C566" s="60" t="s">
        <v>682</v>
      </c>
      <c r="D566" s="93" t="s">
        <v>1251</v>
      </c>
      <c r="E566" s="48" t="str">
        <f t="shared" si="0"/>
        <v>Racine</v>
      </c>
      <c r="F566" s="83" t="str">
        <f t="shared" si="1"/>
        <v>Racine Case (Racine),WI</v>
      </c>
      <c r="G566" s="60" t="s">
        <v>3459</v>
      </c>
      <c r="H566" s="60">
        <v>42.715922999999997</v>
      </c>
      <c r="I566" s="60">
        <v>-87.850663400000002</v>
      </c>
      <c r="J566" s="60" t="str">
        <f ca="1">IFERROR(__xludf.DUMMYFUNCTION("SPLIT(G566,"","")"),"5729 Washington Ave")</f>
        <v>5729 Washington Ave</v>
      </c>
      <c r="K566" s="2" t="str">
        <f ca="1">IFERROR(__xludf.DUMMYFUNCTION("""COMPUTED_VALUE""")," Racine")</f>
        <v xml:space="preserve"> Racine</v>
      </c>
      <c r="L566" s="2" t="str">
        <f ca="1">IFERROR(__xludf.DUMMYFUNCTION("""COMPUTED_VALUE""")," WI 53406")</f>
        <v xml:space="preserve"> WI 53406</v>
      </c>
      <c r="M566" s="2" t="str">
        <f ca="1">IFERROR(__xludf.DUMMYFUNCTION("""COMPUTED_VALUE""")," USA")</f>
        <v xml:space="preserve"> USA</v>
      </c>
      <c r="P566" s="60"/>
    </row>
    <row r="567" spans="1:16">
      <c r="A567" s="65">
        <v>566</v>
      </c>
      <c r="B567" s="80" t="s">
        <v>3462</v>
      </c>
      <c r="C567" s="65" t="s">
        <v>975</v>
      </c>
      <c r="D567" s="93" t="s">
        <v>976</v>
      </c>
      <c r="E567" s="48" t="str">
        <f t="shared" si="0"/>
        <v>Las Cruces</v>
      </c>
      <c r="F567" s="83" t="str">
        <f t="shared" si="1"/>
        <v>Onate (Las Cruces),NM</v>
      </c>
      <c r="G567" s="65" t="s">
        <v>3463</v>
      </c>
      <c r="H567" s="65">
        <v>32.382708700000002</v>
      </c>
      <c r="I567" s="65">
        <v>-106.7155798</v>
      </c>
      <c r="J567" s="60" t="str">
        <f ca="1">IFERROR(__xludf.DUMMYFUNCTION("SPLIT(G567,"","")"),"5700 Mesa Grande Dr")</f>
        <v>5700 Mesa Grande Dr</v>
      </c>
      <c r="K567" s="2" t="str">
        <f ca="1">IFERROR(__xludf.DUMMYFUNCTION("""COMPUTED_VALUE""")," Las Cruces")</f>
        <v xml:space="preserve"> Las Cruces</v>
      </c>
      <c r="L567" s="2" t="str">
        <f ca="1">IFERROR(__xludf.DUMMYFUNCTION("""COMPUTED_VALUE""")," NM 88011")</f>
        <v xml:space="preserve"> NM 88011</v>
      </c>
      <c r="M567" s="2" t="str">
        <f ca="1">IFERROR(__xludf.DUMMYFUNCTION("""COMPUTED_VALUE""")," USA")</f>
        <v xml:space="preserve"> USA</v>
      </c>
      <c r="P567" s="60"/>
    </row>
    <row r="568" spans="1:16">
      <c r="A568" s="60">
        <v>567</v>
      </c>
      <c r="B568" s="79" t="s">
        <v>3466</v>
      </c>
      <c r="C568" s="60" t="s">
        <v>588</v>
      </c>
      <c r="D568" s="93" t="s">
        <v>3468</v>
      </c>
      <c r="E568" s="48" t="str">
        <f t="shared" si="0"/>
        <v>Livermore</v>
      </c>
      <c r="F568" s="83" t="str">
        <f t="shared" si="1"/>
        <v>Granada (Livermore),CA</v>
      </c>
      <c r="G568" s="60" t="s">
        <v>3469</v>
      </c>
      <c r="H568" s="60">
        <v>37.674877000000002</v>
      </c>
      <c r="I568" s="60">
        <v>-121.78801180000001</v>
      </c>
      <c r="J568" s="60" t="str">
        <f ca="1">IFERROR(__xludf.DUMMYFUNCTION("SPLIT(G568,"","")"),"400 Wall St")</f>
        <v>400 Wall St</v>
      </c>
      <c r="K568" s="2" t="str">
        <f ca="1">IFERROR(__xludf.DUMMYFUNCTION("""COMPUTED_VALUE""")," Livermore")</f>
        <v xml:space="preserve"> Livermore</v>
      </c>
      <c r="L568" s="2" t="str">
        <f ca="1">IFERROR(__xludf.DUMMYFUNCTION("""COMPUTED_VALUE""")," CA 94550")</f>
        <v xml:space="preserve"> CA 94550</v>
      </c>
      <c r="M568" s="2" t="str">
        <f ca="1">IFERROR(__xludf.DUMMYFUNCTION("""COMPUTED_VALUE""")," USA")</f>
        <v xml:space="preserve"> USA</v>
      </c>
      <c r="P568" s="60"/>
    </row>
    <row r="569" spans="1:16">
      <c r="A569" s="65">
        <v>568</v>
      </c>
      <c r="B569" s="80" t="s">
        <v>3473</v>
      </c>
      <c r="C569" s="65" t="s">
        <v>618</v>
      </c>
      <c r="D569" s="93" t="s">
        <v>3474</v>
      </c>
      <c r="E569" s="48" t="str">
        <f t="shared" si="0"/>
        <v>South Bend</v>
      </c>
      <c r="F569" s="83" t="str">
        <f t="shared" si="1"/>
        <v>South Bend Adams (South Bend),IN</v>
      </c>
      <c r="G569" s="65" t="s">
        <v>3475</v>
      </c>
      <c r="H569" s="65">
        <v>41.6670321</v>
      </c>
      <c r="I569" s="65">
        <v>-86.222889999999992</v>
      </c>
      <c r="J569" s="60" t="str">
        <f ca="1">IFERROR(__xludf.DUMMYFUNCTION("SPLIT(G569,"","")"),"808 Twyckenham Dr")</f>
        <v>808 Twyckenham Dr</v>
      </c>
      <c r="K569" s="2" t="str">
        <f ca="1">IFERROR(__xludf.DUMMYFUNCTION("""COMPUTED_VALUE""")," South Bend")</f>
        <v xml:space="preserve"> South Bend</v>
      </c>
      <c r="L569" s="2" t="str">
        <f ca="1">IFERROR(__xludf.DUMMYFUNCTION("""COMPUTED_VALUE""")," IN 46615")</f>
        <v xml:space="preserve"> IN 46615</v>
      </c>
      <c r="M569" s="2" t="str">
        <f ca="1">IFERROR(__xludf.DUMMYFUNCTION("""COMPUTED_VALUE""")," USA")</f>
        <v xml:space="preserve"> USA</v>
      </c>
      <c r="P569" s="60"/>
    </row>
    <row r="570" spans="1:16">
      <c r="A570" s="60">
        <v>569</v>
      </c>
      <c r="B570" s="79" t="s">
        <v>3478</v>
      </c>
      <c r="C570" s="60" t="s">
        <v>191</v>
      </c>
      <c r="D570" s="93" t="s">
        <v>3479</v>
      </c>
      <c r="E570" s="48" t="str">
        <f t="shared" si="0"/>
        <v>Saginaw</v>
      </c>
      <c r="F570" s="83" t="str">
        <f t="shared" si="1"/>
        <v>Bridgeport,MI</v>
      </c>
      <c r="G570" s="60" t="s">
        <v>3480</v>
      </c>
      <c r="H570" s="60">
        <v>43.360929900000002</v>
      </c>
      <c r="I570" s="60">
        <v>-83.885111699999996</v>
      </c>
      <c r="J570" s="60" t="str">
        <f ca="1">IFERROR(__xludf.DUMMYFUNCTION("SPLIT(G570,"","")"),"4293 Williamson Rd")</f>
        <v>4293 Williamson Rd</v>
      </c>
      <c r="K570" s="2" t="str">
        <f ca="1">IFERROR(__xludf.DUMMYFUNCTION("""COMPUTED_VALUE""")," Saginaw")</f>
        <v xml:space="preserve"> Saginaw</v>
      </c>
      <c r="L570" s="2" t="str">
        <f ca="1">IFERROR(__xludf.DUMMYFUNCTION("""COMPUTED_VALUE""")," MI 48601")</f>
        <v xml:space="preserve"> MI 48601</v>
      </c>
      <c r="M570" s="2" t="str">
        <f ca="1">IFERROR(__xludf.DUMMYFUNCTION("""COMPUTED_VALUE""")," USA")</f>
        <v xml:space="preserve"> USA</v>
      </c>
      <c r="P570" s="60"/>
    </row>
    <row r="571" spans="1:16">
      <c r="A571" s="65">
        <v>570</v>
      </c>
      <c r="B571" s="80" t="s">
        <v>3483</v>
      </c>
      <c r="C571" s="65" t="s">
        <v>588</v>
      </c>
      <c r="D571" s="93" t="s">
        <v>3484</v>
      </c>
      <c r="E571" s="48" t="str">
        <f t="shared" si="0"/>
        <v>Escondido</v>
      </c>
      <c r="F571" s="83" t="str">
        <f t="shared" si="1"/>
        <v>Balboa School (Escondido),CA</v>
      </c>
      <c r="G571" s="65" t="s">
        <v>3486</v>
      </c>
      <c r="H571" s="65">
        <v>33.095444999999998</v>
      </c>
      <c r="I571" s="65">
        <v>-117.081891</v>
      </c>
      <c r="J571" s="60" t="str">
        <f ca="1">IFERROR(__xludf.DUMMYFUNCTION("SPLIT(G571,"","")"),"855 Brotherton Rd")</f>
        <v>855 Brotherton Rd</v>
      </c>
      <c r="K571" s="2" t="str">
        <f ca="1">IFERROR(__xludf.DUMMYFUNCTION("""COMPUTED_VALUE""")," Escondido")</f>
        <v xml:space="preserve"> Escondido</v>
      </c>
      <c r="L571" s="2" t="str">
        <f ca="1">IFERROR(__xludf.DUMMYFUNCTION("""COMPUTED_VALUE""")," CA 92025")</f>
        <v xml:space="preserve"> CA 92025</v>
      </c>
      <c r="M571" s="2" t="str">
        <f ca="1">IFERROR(__xludf.DUMMYFUNCTION("""COMPUTED_VALUE""")," USA")</f>
        <v xml:space="preserve"> USA</v>
      </c>
      <c r="P571" s="60"/>
    </row>
    <row r="572" spans="1:16">
      <c r="A572" s="60">
        <v>571</v>
      </c>
      <c r="B572" s="79" t="s">
        <v>3488</v>
      </c>
      <c r="C572" s="60" t="s">
        <v>646</v>
      </c>
      <c r="D572" s="93" t="s">
        <v>3489</v>
      </c>
      <c r="E572" s="48" t="str">
        <f t="shared" si="0"/>
        <v>Helena</v>
      </c>
      <c r="F572" s="83" t="str">
        <f t="shared" si="1"/>
        <v>Capital (Helena),MT</v>
      </c>
      <c r="G572" s="60" t="s">
        <v>3490</v>
      </c>
      <c r="H572" s="60">
        <v>46.5858639</v>
      </c>
      <c r="I572" s="60">
        <v>-112.01851600000001</v>
      </c>
      <c r="J572" s="60" t="str">
        <f ca="1">IFERROR(__xludf.DUMMYFUNCTION("SPLIT(G572,"","")"),"1301 E 6th Ave")</f>
        <v>1301 E 6th Ave</v>
      </c>
      <c r="K572" s="2" t="str">
        <f ca="1">IFERROR(__xludf.DUMMYFUNCTION("""COMPUTED_VALUE""")," Helena")</f>
        <v xml:space="preserve"> Helena</v>
      </c>
      <c r="L572" s="2" t="str">
        <f ca="1">IFERROR(__xludf.DUMMYFUNCTION("""COMPUTED_VALUE""")," MT 59601")</f>
        <v xml:space="preserve"> MT 59601</v>
      </c>
      <c r="M572" s="2" t="str">
        <f ca="1">IFERROR(__xludf.DUMMYFUNCTION("""COMPUTED_VALUE""")," USA")</f>
        <v xml:space="preserve"> USA</v>
      </c>
      <c r="P572" s="60"/>
    </row>
    <row r="573" spans="1:16">
      <c r="A573" s="65">
        <v>572</v>
      </c>
      <c r="B573" s="80" t="s">
        <v>3492</v>
      </c>
      <c r="C573" s="65" t="s">
        <v>588</v>
      </c>
      <c r="D573" s="93" t="s">
        <v>3494</v>
      </c>
      <c r="E573" s="48" t="str">
        <f t="shared" si="0"/>
        <v>Beverly Hills</v>
      </c>
      <c r="F573" s="83" t="str">
        <f t="shared" si="1"/>
        <v>Beverly Hills,CA</v>
      </c>
      <c r="G573" s="65" t="s">
        <v>3495</v>
      </c>
      <c r="H573" s="65">
        <v>34.073620400000003</v>
      </c>
      <c r="I573" s="65">
        <v>-118.4003563</v>
      </c>
      <c r="J573" s="60" t="str">
        <f ca="1">IFERROR(__xludf.DUMMYFUNCTION("SPLIT(G573,"","")"),"464 N Rexford Dr")</f>
        <v>464 N Rexford Dr</v>
      </c>
      <c r="K573" s="2" t="str">
        <f ca="1">IFERROR(__xludf.DUMMYFUNCTION("""COMPUTED_VALUE""")," Beverly Hills")</f>
        <v xml:space="preserve"> Beverly Hills</v>
      </c>
      <c r="L573" s="2" t="str">
        <f ca="1">IFERROR(__xludf.DUMMYFUNCTION("""COMPUTED_VALUE""")," CA 90210")</f>
        <v xml:space="preserve"> CA 90210</v>
      </c>
      <c r="M573" s="2" t="str">
        <f ca="1">IFERROR(__xludf.DUMMYFUNCTION("""COMPUTED_VALUE""")," USA")</f>
        <v xml:space="preserve"> USA</v>
      </c>
      <c r="P573" s="60"/>
    </row>
    <row r="574" spans="1:16">
      <c r="A574" s="60">
        <v>573</v>
      </c>
      <c r="B574" s="79" t="s">
        <v>3499</v>
      </c>
      <c r="C574" s="60" t="s">
        <v>606</v>
      </c>
      <c r="D574" s="93" t="s">
        <v>3500</v>
      </c>
      <c r="E574" s="48" t="str">
        <f t="shared" si="0"/>
        <v>Myrtle Beach</v>
      </c>
      <c r="F574" s="83" t="str">
        <f t="shared" si="1"/>
        <v>Myrtle Beach,SC</v>
      </c>
      <c r="G574" s="60" t="s">
        <v>3502</v>
      </c>
      <c r="H574" s="60">
        <v>33.689060300000001</v>
      </c>
      <c r="I574" s="60">
        <v>-78.886694300000002</v>
      </c>
      <c r="J574" s="60" t="str">
        <f ca="1">IFERROR(__xludf.DUMMYFUNCTION("SPLIT(G574,"","")"),"400 N Kings Hwy")</f>
        <v>400 N Kings Hwy</v>
      </c>
      <c r="K574" s="2" t="str">
        <f ca="1">IFERROR(__xludf.DUMMYFUNCTION("""COMPUTED_VALUE""")," Myrtle Beach")</f>
        <v xml:space="preserve"> Myrtle Beach</v>
      </c>
      <c r="L574" s="2" t="str">
        <f ca="1">IFERROR(__xludf.DUMMYFUNCTION("""COMPUTED_VALUE""")," SC 29577")</f>
        <v xml:space="preserve"> SC 29577</v>
      </c>
      <c r="M574" s="2" t="str">
        <f ca="1">IFERROR(__xludf.DUMMYFUNCTION("""COMPUTED_VALUE""")," USA")</f>
        <v xml:space="preserve"> USA</v>
      </c>
      <c r="P574" s="60"/>
    </row>
    <row r="575" spans="1:16">
      <c r="A575" s="65">
        <v>574</v>
      </c>
      <c r="B575" s="80" t="s">
        <v>3507</v>
      </c>
      <c r="C575" s="65" t="s">
        <v>595</v>
      </c>
      <c r="D575" s="93" t="s">
        <v>878</v>
      </c>
      <c r="E575" s="48" t="str">
        <f t="shared" si="0"/>
        <v>San Antonio</v>
      </c>
      <c r="F575" s="83" t="str">
        <f t="shared" si="1"/>
        <v>Cole (San Antonio),TX</v>
      </c>
      <c r="G575" s="65" t="s">
        <v>3509</v>
      </c>
      <c r="H575" s="65">
        <v>29.479470599999999</v>
      </c>
      <c r="I575" s="65">
        <v>-98.419443399999992</v>
      </c>
      <c r="J575" s="60" t="str">
        <f ca="1">IFERROR(__xludf.DUMMYFUNCTION("SPLIT(G575,"","")"),"4001 Winans Rd")</f>
        <v>4001 Winans Rd</v>
      </c>
      <c r="K575" s="2" t="str">
        <f ca="1">IFERROR(__xludf.DUMMYFUNCTION("""COMPUTED_VALUE""")," San Antonio")</f>
        <v xml:space="preserve"> San Antonio</v>
      </c>
      <c r="L575" s="2" t="str">
        <f ca="1">IFERROR(__xludf.DUMMYFUNCTION("""COMPUTED_VALUE""")," TX 78234")</f>
        <v xml:space="preserve"> TX 78234</v>
      </c>
      <c r="M575" s="2" t="str">
        <f ca="1">IFERROR(__xludf.DUMMYFUNCTION("""COMPUTED_VALUE""")," USA")</f>
        <v xml:space="preserve"> USA</v>
      </c>
      <c r="P575" s="60"/>
    </row>
    <row r="576" spans="1:16">
      <c r="A576" s="97">
        <v>575</v>
      </c>
      <c r="B576" s="99" t="s">
        <v>3514</v>
      </c>
      <c r="C576" s="97" t="s">
        <v>588</v>
      </c>
      <c r="D576" s="93" t="s">
        <v>3516</v>
      </c>
      <c r="E576" s="48" t="str">
        <f t="shared" si="0"/>
        <v>Sun Valley</v>
      </c>
      <c r="F576" s="83" t="str">
        <f t="shared" si="1"/>
        <v>Village Christian (Sun Valley),CA</v>
      </c>
      <c r="G576" s="97" t="s">
        <v>3518</v>
      </c>
      <c r="H576" s="97">
        <v>34.231098699999997</v>
      </c>
      <c r="I576" s="97">
        <v>-118.35568979999999</v>
      </c>
      <c r="J576" s="60" t="str">
        <f ca="1">IFERROR(__xludf.DUMMYFUNCTION("SPLIT(G576,"","")"),"10291 Village Ave")</f>
        <v>10291 Village Ave</v>
      </c>
      <c r="K576" s="2" t="str">
        <f ca="1">IFERROR(__xludf.DUMMYFUNCTION("""COMPUTED_VALUE""")," Sun Valley")</f>
        <v xml:space="preserve"> Sun Valley</v>
      </c>
      <c r="L576" s="2" t="str">
        <f ca="1">IFERROR(__xludf.DUMMYFUNCTION("""COMPUTED_VALUE""")," CA 91352")</f>
        <v xml:space="preserve"> CA 91352</v>
      </c>
      <c r="M576" s="2" t="str">
        <f ca="1">IFERROR(__xludf.DUMMYFUNCTION("""COMPUTED_VALUE""")," USA")</f>
        <v xml:space="preserve"> USA</v>
      </c>
      <c r="P576" s="60"/>
    </row>
    <row r="577" spans="1:16">
      <c r="A577" s="60">
        <v>576</v>
      </c>
      <c r="B577" s="79" t="s">
        <v>3522</v>
      </c>
      <c r="C577" s="60" t="s">
        <v>897</v>
      </c>
      <c r="D577" s="93" t="s">
        <v>1088</v>
      </c>
      <c r="E577" s="48" t="str">
        <f t="shared" si="0"/>
        <v>Springfield</v>
      </c>
      <c r="F577" s="83" t="str">
        <f t="shared" si="1"/>
        <v>Kickapoo (Springfield),MO</v>
      </c>
      <c r="G577" s="60" t="s">
        <v>3524</v>
      </c>
      <c r="H577" s="60">
        <v>37.146427199999998</v>
      </c>
      <c r="I577" s="60">
        <v>-93.2895714</v>
      </c>
      <c r="J577" s="60" t="str">
        <f ca="1">IFERROR(__xludf.DUMMYFUNCTION("SPLIT(G577,"","")"),"3710 S Jefferson Ave")</f>
        <v>3710 S Jefferson Ave</v>
      </c>
      <c r="K577" s="2" t="str">
        <f ca="1">IFERROR(__xludf.DUMMYFUNCTION("""COMPUTED_VALUE""")," Springfield")</f>
        <v xml:space="preserve"> Springfield</v>
      </c>
      <c r="L577" s="2" t="str">
        <f ca="1">IFERROR(__xludf.DUMMYFUNCTION("""COMPUTED_VALUE""")," MO 65807")</f>
        <v xml:space="preserve"> MO 65807</v>
      </c>
      <c r="M577" s="2" t="str">
        <f ca="1">IFERROR(__xludf.DUMMYFUNCTION("""COMPUTED_VALUE""")," USA")</f>
        <v xml:space="preserve"> USA</v>
      </c>
      <c r="P577" s="60"/>
    </row>
    <row r="578" spans="1:16">
      <c r="A578" s="65">
        <v>577</v>
      </c>
      <c r="B578" s="80" t="s">
        <v>3529</v>
      </c>
      <c r="C578" s="65" t="s">
        <v>183</v>
      </c>
      <c r="D578" s="93" t="s">
        <v>3530</v>
      </c>
      <c r="E578" s="48" t="str">
        <f t="shared" si="0"/>
        <v>Lowville</v>
      </c>
      <c r="F578" s="83" t="str">
        <f t="shared" si="1"/>
        <v>Lowville,NY</v>
      </c>
      <c r="G578" s="65" t="s">
        <v>3533</v>
      </c>
      <c r="H578" s="65">
        <v>43.786735999999998</v>
      </c>
      <c r="I578" s="65">
        <v>-75.491850499999998</v>
      </c>
      <c r="J578" s="60" t="str">
        <f ca="1">IFERROR(__xludf.DUMMYFUNCTION("SPLIT(G578,"","")"),"5404 Shady Ave")</f>
        <v>5404 Shady Ave</v>
      </c>
      <c r="K578" s="2" t="str">
        <f ca="1">IFERROR(__xludf.DUMMYFUNCTION("""COMPUTED_VALUE""")," Lowville")</f>
        <v xml:space="preserve"> Lowville</v>
      </c>
      <c r="L578" s="2" t="str">
        <f ca="1">IFERROR(__xludf.DUMMYFUNCTION("""COMPUTED_VALUE""")," NY 13367")</f>
        <v xml:space="preserve"> NY 13367</v>
      </c>
      <c r="M578" s="2" t="str">
        <f ca="1">IFERROR(__xludf.DUMMYFUNCTION("""COMPUTED_VALUE""")," USA")</f>
        <v xml:space="preserve"> USA</v>
      </c>
      <c r="P578" s="60"/>
    </row>
    <row r="579" spans="1:16">
      <c r="A579" s="60">
        <v>578</v>
      </c>
      <c r="B579" s="79" t="s">
        <v>3536</v>
      </c>
      <c r="C579" s="60" t="s">
        <v>588</v>
      </c>
      <c r="D579" s="93" t="s">
        <v>3537</v>
      </c>
      <c r="E579" s="48" t="str">
        <f t="shared" si="0"/>
        <v>Bakersfield</v>
      </c>
      <c r="F579" s="83" t="str">
        <f t="shared" si="1"/>
        <v>Bakersfield Christian (Bakersfield),CA</v>
      </c>
      <c r="G579" s="60" t="s">
        <v>3539</v>
      </c>
      <c r="H579" s="60">
        <v>35.352696299999998</v>
      </c>
      <c r="I579" s="60">
        <v>-119.1440181</v>
      </c>
      <c r="J579" s="60" t="str">
        <f ca="1">IFERROR(__xludf.DUMMYFUNCTION("SPLIT(G579,"","")"),"12775 Stockdale Hwy")</f>
        <v>12775 Stockdale Hwy</v>
      </c>
      <c r="K579" s="2" t="str">
        <f ca="1">IFERROR(__xludf.DUMMYFUNCTION("""COMPUTED_VALUE""")," Bakersfield")</f>
        <v xml:space="preserve"> Bakersfield</v>
      </c>
      <c r="L579" s="2" t="str">
        <f ca="1">IFERROR(__xludf.DUMMYFUNCTION("""COMPUTED_VALUE""")," CA 93314")</f>
        <v xml:space="preserve"> CA 93314</v>
      </c>
      <c r="M579" s="2" t="str">
        <f ca="1">IFERROR(__xludf.DUMMYFUNCTION("""COMPUTED_VALUE""")," USA")</f>
        <v xml:space="preserve"> USA</v>
      </c>
      <c r="P579" s="60"/>
    </row>
    <row r="580" spans="1:16">
      <c r="A580" s="65">
        <v>579</v>
      </c>
      <c r="B580" s="80" t="s">
        <v>3542</v>
      </c>
      <c r="C580" s="65" t="s">
        <v>624</v>
      </c>
      <c r="D580" s="93" t="s">
        <v>3543</v>
      </c>
      <c r="E580" s="48" t="str">
        <f t="shared" si="0"/>
        <v>Ferriday</v>
      </c>
      <c r="F580" s="83" t="str">
        <f t="shared" si="1"/>
        <v>Huntington (Ferriday),LA</v>
      </c>
      <c r="G580" s="65" t="s">
        <v>3545</v>
      </c>
      <c r="H580" s="65">
        <v>31.615352099999999</v>
      </c>
      <c r="I580" s="65">
        <v>-91.523015999999998</v>
      </c>
      <c r="J580" s="60" t="str">
        <f ca="1">IFERROR(__xludf.DUMMYFUNCTION("SPLIT(G580,"","")"),"1450 Huntington Stadium Fisherman S Dr")</f>
        <v>1450 Huntington Stadium Fisherman S Dr</v>
      </c>
      <c r="K580" s="2" t="str">
        <f ca="1">IFERROR(__xludf.DUMMYFUNCTION("""COMPUTED_VALUE""")," Ferriday")</f>
        <v xml:space="preserve"> Ferriday</v>
      </c>
      <c r="L580" s="2" t="str">
        <f ca="1">IFERROR(__xludf.DUMMYFUNCTION("""COMPUTED_VALUE""")," LA 71334")</f>
        <v xml:space="preserve"> LA 71334</v>
      </c>
      <c r="M580" s="2" t="str">
        <f ca="1">IFERROR(__xludf.DUMMYFUNCTION("""COMPUTED_VALUE""")," USA")</f>
        <v xml:space="preserve"> USA</v>
      </c>
      <c r="P580" s="60"/>
    </row>
    <row r="581" spans="1:16">
      <c r="A581" s="60">
        <v>580</v>
      </c>
      <c r="B581" s="79" t="s">
        <v>3548</v>
      </c>
      <c r="C581" s="60" t="s">
        <v>191</v>
      </c>
      <c r="D581" s="93" t="s">
        <v>2789</v>
      </c>
      <c r="E581" s="48" t="str">
        <f t="shared" si="0"/>
        <v>Detroit</v>
      </c>
      <c r="F581" s="83" t="str">
        <f t="shared" si="1"/>
        <v>Cass Tech (Detroit),MI</v>
      </c>
      <c r="G581" s="60" t="s">
        <v>3549</v>
      </c>
      <c r="H581" s="60">
        <v>42.338992400000002</v>
      </c>
      <c r="I581" s="60">
        <v>-83.059845899999999</v>
      </c>
      <c r="J581" s="60" t="str">
        <f ca="1">IFERROR(__xludf.DUMMYFUNCTION("SPLIT(G581,"","")"),"2501 2nd Ave")</f>
        <v>2501 2nd Ave</v>
      </c>
      <c r="K581" s="2" t="str">
        <f ca="1">IFERROR(__xludf.DUMMYFUNCTION("""COMPUTED_VALUE""")," Detroit")</f>
        <v xml:space="preserve"> Detroit</v>
      </c>
      <c r="L581" s="2" t="str">
        <f ca="1">IFERROR(__xludf.DUMMYFUNCTION("""COMPUTED_VALUE""")," MI 48201")</f>
        <v xml:space="preserve"> MI 48201</v>
      </c>
      <c r="M581" s="2" t="str">
        <f ca="1">IFERROR(__xludf.DUMMYFUNCTION("""COMPUTED_VALUE""")," USA")</f>
        <v xml:space="preserve"> USA</v>
      </c>
      <c r="P581" s="60"/>
    </row>
    <row r="582" spans="1:16">
      <c r="A582" s="65">
        <v>581</v>
      </c>
      <c r="B582" s="80" t="s">
        <v>3554</v>
      </c>
      <c r="C582" s="65" t="s">
        <v>183</v>
      </c>
      <c r="D582" s="93" t="s">
        <v>3555</v>
      </c>
      <c r="E582" s="48" t="str">
        <f t="shared" si="0"/>
        <v>Brentwood</v>
      </c>
      <c r="F582" s="83" t="str">
        <f t="shared" si="1"/>
        <v>Brentwood,NY</v>
      </c>
      <c r="G582" s="65" t="s">
        <v>3556</v>
      </c>
      <c r="H582" s="65">
        <v>40.7812093</v>
      </c>
      <c r="I582" s="65">
        <v>-73.246227300000001</v>
      </c>
      <c r="J582" s="60" t="str">
        <f ca="1">IFERROR(__xludf.DUMMYFUNCTION("SPLIT(G582,"","")"),"783 Suffolk Ave")</f>
        <v>783 Suffolk Ave</v>
      </c>
      <c r="K582" s="2" t="str">
        <f ca="1">IFERROR(__xludf.DUMMYFUNCTION("""COMPUTED_VALUE""")," Brentwood")</f>
        <v xml:space="preserve"> Brentwood</v>
      </c>
      <c r="L582" s="2" t="str">
        <f ca="1">IFERROR(__xludf.DUMMYFUNCTION("""COMPUTED_VALUE""")," NY 11717")</f>
        <v xml:space="preserve"> NY 11717</v>
      </c>
      <c r="M582" s="2" t="str">
        <f ca="1">IFERROR(__xludf.DUMMYFUNCTION("""COMPUTED_VALUE""")," USA")</f>
        <v xml:space="preserve"> USA</v>
      </c>
      <c r="P582" s="60"/>
    </row>
    <row r="583" spans="1:16">
      <c r="A583" s="60">
        <v>582</v>
      </c>
      <c r="B583" s="79" t="s">
        <v>3563</v>
      </c>
      <c r="C583" s="60" t="s">
        <v>71</v>
      </c>
      <c r="D583" s="93" t="s">
        <v>1986</v>
      </c>
      <c r="E583" s="48" t="str">
        <f t="shared" si="0"/>
        <v>Tucson</v>
      </c>
      <c r="F583" s="83" t="str">
        <f t="shared" si="1"/>
        <v>Catalina Foothills (Tucson),AZ</v>
      </c>
      <c r="G583" s="60" t="s">
        <v>3565</v>
      </c>
      <c r="H583" s="60">
        <v>32.297853000000003</v>
      </c>
      <c r="I583" s="60">
        <v>-110.91870369999999</v>
      </c>
      <c r="J583" s="60" t="str">
        <f ca="1">IFERROR(__xludf.DUMMYFUNCTION("SPLIT(G583,"","")"),"3525 N Hacienda Del Sol Rd")</f>
        <v>3525 N Hacienda Del Sol Rd</v>
      </c>
      <c r="K583" s="2" t="str">
        <f ca="1">IFERROR(__xludf.DUMMYFUNCTION("""COMPUTED_VALUE""")," Tucson")</f>
        <v xml:space="preserve"> Tucson</v>
      </c>
      <c r="L583" s="2" t="str">
        <f ca="1">IFERROR(__xludf.DUMMYFUNCTION("""COMPUTED_VALUE""")," AZ 85718")</f>
        <v xml:space="preserve"> AZ 85718</v>
      </c>
      <c r="M583" s="2" t="str">
        <f ca="1">IFERROR(__xludf.DUMMYFUNCTION("""COMPUTED_VALUE""")," USA")</f>
        <v xml:space="preserve"> USA</v>
      </c>
      <c r="P583" s="60"/>
    </row>
    <row r="584" spans="1:16">
      <c r="A584" s="65">
        <v>583</v>
      </c>
      <c r="B584" s="80" t="s">
        <v>3568</v>
      </c>
      <c r="C584" s="65" t="s">
        <v>71</v>
      </c>
      <c r="D584" s="93" t="s">
        <v>3570</v>
      </c>
      <c r="E584" s="48" t="str">
        <f t="shared" si="0"/>
        <v>Chandler</v>
      </c>
      <c r="F584" s="83" t="str">
        <f t="shared" si="1"/>
        <v>AZ Compass Prep (Chandler),AZ</v>
      </c>
      <c r="G584" s="65" t="s">
        <v>3572</v>
      </c>
      <c r="H584" s="65">
        <v>33.3370988</v>
      </c>
      <c r="I584" s="65">
        <v>-111.8440962</v>
      </c>
      <c r="J584" s="60" t="str">
        <f ca="1">IFERROR(__xludf.DUMMYFUNCTION("SPLIT(G584,"","")"),"2020 N Arizona Ave UNIT 206")</f>
        <v>2020 N Arizona Ave UNIT 206</v>
      </c>
      <c r="K584" s="2" t="str">
        <f ca="1">IFERROR(__xludf.DUMMYFUNCTION("""COMPUTED_VALUE""")," Chandler")</f>
        <v xml:space="preserve"> Chandler</v>
      </c>
      <c r="L584" s="2" t="str">
        <f ca="1">IFERROR(__xludf.DUMMYFUNCTION("""COMPUTED_VALUE""")," AZ 85225")</f>
        <v xml:space="preserve"> AZ 85225</v>
      </c>
      <c r="M584" s="2" t="str">
        <f ca="1">IFERROR(__xludf.DUMMYFUNCTION("""COMPUTED_VALUE""")," USA")</f>
        <v xml:space="preserve"> USA</v>
      </c>
      <c r="P584" s="60"/>
    </row>
    <row r="585" spans="1:16">
      <c r="A585" s="60">
        <v>584</v>
      </c>
      <c r="B585" s="79" t="s">
        <v>3576</v>
      </c>
      <c r="C585" s="60" t="s">
        <v>765</v>
      </c>
      <c r="D585" s="93" t="s">
        <v>3577</v>
      </c>
      <c r="E585" s="48" t="str">
        <f t="shared" si="0"/>
        <v>Provo</v>
      </c>
      <c r="F585" s="83" t="str">
        <f t="shared" si="1"/>
        <v>Timpview (Provo),UT</v>
      </c>
      <c r="G585" s="60" t="s">
        <v>3580</v>
      </c>
      <c r="H585" s="60">
        <v>40.2805599</v>
      </c>
      <c r="I585" s="60">
        <v>-111.6457285</v>
      </c>
      <c r="J585" s="60" t="str">
        <f ca="1">IFERROR(__xludf.DUMMYFUNCTION("SPLIT(G585,"","")"),"3570 Timpview Dr")</f>
        <v>3570 Timpview Dr</v>
      </c>
      <c r="K585" s="2" t="str">
        <f ca="1">IFERROR(__xludf.DUMMYFUNCTION("""COMPUTED_VALUE""")," Provo")</f>
        <v xml:space="preserve"> Provo</v>
      </c>
      <c r="L585" s="2" t="str">
        <f ca="1">IFERROR(__xludf.DUMMYFUNCTION("""COMPUTED_VALUE""")," UT 84604")</f>
        <v xml:space="preserve"> UT 84604</v>
      </c>
      <c r="M585" s="2" t="str">
        <f ca="1">IFERROR(__xludf.DUMMYFUNCTION("""COMPUTED_VALUE""")," USA")</f>
        <v xml:space="preserve"> USA</v>
      </c>
      <c r="P585" s="60"/>
    </row>
    <row r="586" spans="1:16">
      <c r="A586" s="65">
        <v>585</v>
      </c>
      <c r="B586" s="80" t="s">
        <v>3583</v>
      </c>
      <c r="C586" s="65" t="s">
        <v>595</v>
      </c>
      <c r="D586" s="93" t="s">
        <v>3585</v>
      </c>
      <c r="E586" s="48" t="str">
        <f t="shared" si="0"/>
        <v>Helotes</v>
      </c>
      <c r="F586" s="83" t="str">
        <f t="shared" si="1"/>
        <v>O'Connor (Helotes),TX</v>
      </c>
      <c r="G586" s="65" t="s">
        <v>3586</v>
      </c>
      <c r="H586" s="65">
        <v>29.558993000000001</v>
      </c>
      <c r="I586" s="65">
        <v>-98.686538000000013</v>
      </c>
      <c r="J586" s="60" t="str">
        <f ca="1">IFERROR(__xludf.DUMMYFUNCTION("SPLIT(G586,"","")"),"12221 Leslie Rd")</f>
        <v>12221 Leslie Rd</v>
      </c>
      <c r="K586" s="2" t="str">
        <f ca="1">IFERROR(__xludf.DUMMYFUNCTION("""COMPUTED_VALUE""")," Helotes")</f>
        <v xml:space="preserve"> Helotes</v>
      </c>
      <c r="L586" s="2" t="str">
        <f ca="1">IFERROR(__xludf.DUMMYFUNCTION("""COMPUTED_VALUE""")," TX 78023")</f>
        <v xml:space="preserve"> TX 78023</v>
      </c>
      <c r="M586" s="2" t="str">
        <f ca="1">IFERROR(__xludf.DUMMYFUNCTION("""COMPUTED_VALUE""")," USA")</f>
        <v xml:space="preserve"> USA</v>
      </c>
      <c r="P586" s="60"/>
    </row>
    <row r="587" spans="1:16">
      <c r="A587" s="60">
        <v>586</v>
      </c>
      <c r="B587" s="79" t="s">
        <v>3590</v>
      </c>
      <c r="C587" s="60" t="s">
        <v>595</v>
      </c>
      <c r="D587" s="93" t="s">
        <v>3591</v>
      </c>
      <c r="E587" s="48" t="str">
        <f t="shared" si="0"/>
        <v>Roanoke</v>
      </c>
      <c r="F587" s="83" t="str">
        <f t="shared" si="1"/>
        <v>Byron Nelson (Trophy Club),TX</v>
      </c>
      <c r="G587" s="60" t="s">
        <v>3593</v>
      </c>
      <c r="H587" s="60">
        <v>33.018439999999998</v>
      </c>
      <c r="I587" s="60">
        <v>-97.203282000000002</v>
      </c>
      <c r="J587" s="60" t="str">
        <f ca="1">IFERROR(__xludf.DUMMYFUNCTION("SPLIT(G587,"","")"),"2775 Bobcat Blvd")</f>
        <v>2775 Bobcat Blvd</v>
      </c>
      <c r="K587" s="2" t="str">
        <f ca="1">IFERROR(__xludf.DUMMYFUNCTION("""COMPUTED_VALUE""")," Roanoke")</f>
        <v xml:space="preserve"> Roanoke</v>
      </c>
      <c r="L587" s="2" t="str">
        <f ca="1">IFERROR(__xludf.DUMMYFUNCTION("""COMPUTED_VALUE""")," TX 76262")</f>
        <v xml:space="preserve"> TX 76262</v>
      </c>
      <c r="M587" s="2" t="str">
        <f ca="1">IFERROR(__xludf.DUMMYFUNCTION("""COMPUTED_VALUE""")," USA")</f>
        <v xml:space="preserve"> USA</v>
      </c>
      <c r="P587" s="60"/>
    </row>
    <row r="588" spans="1:16">
      <c r="A588" s="65">
        <v>587</v>
      </c>
      <c r="B588" s="80" t="s">
        <v>542</v>
      </c>
      <c r="C588" s="65" t="s">
        <v>588</v>
      </c>
      <c r="D588" s="93" t="s">
        <v>3599</v>
      </c>
      <c r="E588" s="48" t="str">
        <f t="shared" si="0"/>
        <v>Carmel-By-The-Sea</v>
      </c>
      <c r="F588" s="83" t="str">
        <f t="shared" si="1"/>
        <v>Carmel,CA</v>
      </c>
      <c r="G588" s="65" t="s">
        <v>3600</v>
      </c>
      <c r="H588" s="65">
        <v>36.555238600000003</v>
      </c>
      <c r="I588" s="65">
        <v>-121.92328790000001</v>
      </c>
      <c r="J588" s="60" t="str">
        <f ca="1">IFERROR(__xludf.DUMMYFUNCTION("SPLIT(G588,"","")"),"800 Ocean Ave")</f>
        <v>800 Ocean Ave</v>
      </c>
      <c r="K588" s="2" t="str">
        <f ca="1">IFERROR(__xludf.DUMMYFUNCTION("""COMPUTED_VALUE""")," Carmel-By-The-Sea")</f>
        <v xml:space="preserve"> Carmel-By-The-Sea</v>
      </c>
      <c r="L588" s="2" t="str">
        <f ca="1">IFERROR(__xludf.DUMMYFUNCTION("""COMPUTED_VALUE""")," CA 93923")</f>
        <v xml:space="preserve"> CA 93923</v>
      </c>
      <c r="M588" s="2" t="str">
        <f ca="1">IFERROR(__xludf.DUMMYFUNCTION("""COMPUTED_VALUE""")," USA")</f>
        <v xml:space="preserve"> USA</v>
      </c>
      <c r="P588" s="60"/>
    </row>
    <row r="589" spans="1:16">
      <c r="A589" s="60">
        <v>588</v>
      </c>
      <c r="B589" s="79" t="s">
        <v>1084</v>
      </c>
      <c r="C589" s="60" t="s">
        <v>174</v>
      </c>
      <c r="D589" s="93" t="s">
        <v>1172</v>
      </c>
      <c r="E589" s="48" t="str">
        <f t="shared" si="0"/>
        <v>Cleveland Heights</v>
      </c>
      <c r="F589" s="83" t="str">
        <f t="shared" si="1"/>
        <v>Cleveland Heights,OH</v>
      </c>
      <c r="G589" s="60" t="s">
        <v>3606</v>
      </c>
      <c r="H589" s="60">
        <v>41.520051799999997</v>
      </c>
      <c r="I589" s="60">
        <v>-81.556235000000001</v>
      </c>
      <c r="J589" s="60" t="str">
        <f ca="1">IFERROR(__xludf.DUMMYFUNCTION("SPLIT(G589,"","")"),"3420 Mayfield Rd")</f>
        <v>3420 Mayfield Rd</v>
      </c>
      <c r="K589" s="2" t="str">
        <f ca="1">IFERROR(__xludf.DUMMYFUNCTION("""COMPUTED_VALUE""")," Cleveland Heights")</f>
        <v xml:space="preserve"> Cleveland Heights</v>
      </c>
      <c r="L589" s="2" t="str">
        <f ca="1">IFERROR(__xludf.DUMMYFUNCTION("""COMPUTED_VALUE""")," OH 44118")</f>
        <v xml:space="preserve"> OH 44118</v>
      </c>
      <c r="M589" s="2" t="str">
        <f ca="1">IFERROR(__xludf.DUMMYFUNCTION("""COMPUTED_VALUE""")," USA")</f>
        <v xml:space="preserve"> USA</v>
      </c>
      <c r="P589" s="60"/>
    </row>
    <row r="590" spans="1:16">
      <c r="A590" s="65">
        <v>589</v>
      </c>
      <c r="B590" s="80" t="s">
        <v>3610</v>
      </c>
      <c r="C590" s="65" t="s">
        <v>1067</v>
      </c>
      <c r="D590" s="93" t="s">
        <v>3611</v>
      </c>
      <c r="E590" s="48" t="str">
        <f t="shared" si="0"/>
        <v>Pottstown</v>
      </c>
      <c r="F590" s="83" t="str">
        <f t="shared" si="1"/>
        <v>Hill School (Pottstown),PS</v>
      </c>
      <c r="G590" s="65" t="s">
        <v>3612</v>
      </c>
      <c r="H590" s="65">
        <v>40.247049199999999</v>
      </c>
      <c r="I590" s="65">
        <v>-75.630598999999989</v>
      </c>
      <c r="J590" s="60" t="str">
        <f ca="1">IFERROR(__xludf.DUMMYFUNCTION("SPLIT(G590,"","")"),"860 Beech St")</f>
        <v>860 Beech St</v>
      </c>
      <c r="K590" s="2" t="str">
        <f ca="1">IFERROR(__xludf.DUMMYFUNCTION("""COMPUTED_VALUE""")," Pottstown")</f>
        <v xml:space="preserve"> Pottstown</v>
      </c>
      <c r="L590" s="2" t="str">
        <f ca="1">IFERROR(__xludf.DUMMYFUNCTION("""COMPUTED_VALUE""")," PA 19464")</f>
        <v xml:space="preserve"> PA 19464</v>
      </c>
      <c r="M590" s="2" t="str">
        <f ca="1">IFERROR(__xludf.DUMMYFUNCTION("""COMPUTED_VALUE""")," USA")</f>
        <v xml:space="preserve"> USA</v>
      </c>
      <c r="P590" s="60"/>
    </row>
    <row r="591" spans="1:16">
      <c r="A591" s="60">
        <v>590</v>
      </c>
      <c r="B591" s="79" t="s">
        <v>3617</v>
      </c>
      <c r="C591" s="60" t="s">
        <v>604</v>
      </c>
      <c r="D591" s="93" t="s">
        <v>3618</v>
      </c>
      <c r="E591" s="48" t="str">
        <f t="shared" si="0"/>
        <v>Lisle</v>
      </c>
      <c r="F591" s="83" t="str">
        <f t="shared" si="1"/>
        <v>Benet Academy (Lisle),IL</v>
      </c>
      <c r="G591" s="60" t="s">
        <v>3621</v>
      </c>
      <c r="H591" s="60">
        <v>41.784351299999997</v>
      </c>
      <c r="I591" s="60">
        <v>-88.094650599999994</v>
      </c>
      <c r="J591" s="60" t="str">
        <f ca="1">IFERROR(__xludf.DUMMYFUNCTION("SPLIT(G591,"","")"),"2200 Maple Ave")</f>
        <v>2200 Maple Ave</v>
      </c>
      <c r="K591" s="2" t="str">
        <f ca="1">IFERROR(__xludf.DUMMYFUNCTION("""COMPUTED_VALUE""")," Lisle")</f>
        <v xml:space="preserve"> Lisle</v>
      </c>
      <c r="L591" s="2" t="str">
        <f ca="1">IFERROR(__xludf.DUMMYFUNCTION("""COMPUTED_VALUE""")," IL 60532")</f>
        <v xml:space="preserve"> IL 60532</v>
      </c>
      <c r="M591" s="2" t="str">
        <f ca="1">IFERROR(__xludf.DUMMYFUNCTION("""COMPUTED_VALUE""")," USA")</f>
        <v xml:space="preserve"> USA</v>
      </c>
      <c r="P591" s="60"/>
    </row>
    <row r="592" spans="1:16">
      <c r="A592" s="65">
        <v>591</v>
      </c>
      <c r="B592" s="80" t="s">
        <v>3624</v>
      </c>
      <c r="C592" s="65" t="s">
        <v>174</v>
      </c>
      <c r="D592" s="93" t="s">
        <v>1679</v>
      </c>
      <c r="E592" s="48" t="str">
        <f t="shared" si="0"/>
        <v>Wyoming</v>
      </c>
      <c r="F592" s="83" t="str">
        <f t="shared" si="1"/>
        <v>Wyoming (Cincinnati),OH</v>
      </c>
      <c r="G592" s="65" t="s">
        <v>3627</v>
      </c>
      <c r="H592" s="65">
        <v>39.231169100000002</v>
      </c>
      <c r="I592" s="65">
        <v>-84.465775800000003</v>
      </c>
      <c r="J592" s="60" t="str">
        <f ca="1">IFERROR(__xludf.DUMMYFUNCTION("SPLIT(G592,"","")"),"803 Oak Ave")</f>
        <v>803 Oak Ave</v>
      </c>
      <c r="K592" s="2" t="str">
        <f ca="1">IFERROR(__xludf.DUMMYFUNCTION("""COMPUTED_VALUE""")," Wyoming")</f>
        <v xml:space="preserve"> Wyoming</v>
      </c>
      <c r="L592" s="2" t="str">
        <f ca="1">IFERROR(__xludf.DUMMYFUNCTION("""COMPUTED_VALUE""")," OH 45215")</f>
        <v xml:space="preserve"> OH 45215</v>
      </c>
      <c r="M592" s="2" t="str">
        <f ca="1">IFERROR(__xludf.DUMMYFUNCTION("""COMPUTED_VALUE""")," USA")</f>
        <v xml:space="preserve"> USA</v>
      </c>
      <c r="P592" s="60"/>
    </row>
    <row r="593" spans="1:16">
      <c r="A593" s="60">
        <v>592</v>
      </c>
      <c r="B593" s="79" t="s">
        <v>3631</v>
      </c>
      <c r="C593" s="60" t="s">
        <v>179</v>
      </c>
      <c r="D593" s="93" t="s">
        <v>3632</v>
      </c>
      <c r="E593" s="48" t="str">
        <f t="shared" si="0"/>
        <v>Creedmoor</v>
      </c>
      <c r="F593" s="83" t="str">
        <f t="shared" si="1"/>
        <v>South Granville (Creedmoor),NC</v>
      </c>
      <c r="G593" s="60" t="s">
        <v>3634</v>
      </c>
      <c r="H593" s="60">
        <v>36.122853900000003</v>
      </c>
      <c r="I593" s="60">
        <v>-78.674593000000002</v>
      </c>
      <c r="J593" s="60" t="str">
        <f ca="1">IFERROR(__xludf.DUMMYFUNCTION("SPLIT(G593,"","")"),"701 Crescent Heights Dr")</f>
        <v>701 Crescent Heights Dr</v>
      </c>
      <c r="K593" s="2" t="str">
        <f ca="1">IFERROR(__xludf.DUMMYFUNCTION("""COMPUTED_VALUE""")," Creedmoor")</f>
        <v xml:space="preserve"> Creedmoor</v>
      </c>
      <c r="L593" s="2" t="str">
        <f ca="1">IFERROR(__xludf.DUMMYFUNCTION("""COMPUTED_VALUE""")," NC 27522")</f>
        <v xml:space="preserve"> NC 27522</v>
      </c>
      <c r="M593" s="2" t="str">
        <f ca="1">IFERROR(__xludf.DUMMYFUNCTION("""COMPUTED_VALUE""")," USA")</f>
        <v xml:space="preserve"> USA</v>
      </c>
      <c r="P593" s="60"/>
    </row>
    <row r="594" spans="1:16">
      <c r="A594" s="65">
        <v>593</v>
      </c>
      <c r="B594" s="80" t="s">
        <v>3638</v>
      </c>
      <c r="C594" s="65" t="s">
        <v>897</v>
      </c>
      <c r="D594" s="93" t="s">
        <v>1793</v>
      </c>
      <c r="E594" s="48" t="str">
        <f t="shared" si="0"/>
        <v>Columbia</v>
      </c>
      <c r="F594" s="83" t="str">
        <f t="shared" si="1"/>
        <v>Rock Bridge (Columbia),MO</v>
      </c>
      <c r="G594" s="65" t="s">
        <v>3639</v>
      </c>
      <c r="H594" s="65">
        <v>38.858679799999997</v>
      </c>
      <c r="I594" s="65">
        <v>-92.401112400000002</v>
      </c>
      <c r="J594" s="60" t="str">
        <f ca="1">IFERROR(__xludf.DUMMYFUNCTION("SPLIT(G594,"","")"),"7953 Old Plank Rd S")</f>
        <v>7953 Old Plank Rd S</v>
      </c>
      <c r="K594" s="2" t="str">
        <f ca="1">IFERROR(__xludf.DUMMYFUNCTION("""COMPUTED_VALUE""")," Columbia")</f>
        <v xml:space="preserve"> Columbia</v>
      </c>
      <c r="L594" s="2" t="str">
        <f ca="1">IFERROR(__xludf.DUMMYFUNCTION("""COMPUTED_VALUE""")," MO 65203")</f>
        <v xml:space="preserve"> MO 65203</v>
      </c>
      <c r="M594" s="2" t="str">
        <f ca="1">IFERROR(__xludf.DUMMYFUNCTION("""COMPUTED_VALUE""")," USA")</f>
        <v xml:space="preserve"> USA</v>
      </c>
      <c r="P594" s="60"/>
    </row>
    <row r="595" spans="1:16">
      <c r="A595" s="60">
        <v>594</v>
      </c>
      <c r="B595" s="79" t="s">
        <v>3644</v>
      </c>
      <c r="C595" s="60" t="s">
        <v>598</v>
      </c>
      <c r="D595" s="93" t="s">
        <v>814</v>
      </c>
      <c r="E595" s="48" t="str">
        <f t="shared" si="0"/>
        <v>Marietta</v>
      </c>
      <c r="F595" s="83" t="str">
        <f t="shared" si="1"/>
        <v>Kell (Marietta),GA</v>
      </c>
      <c r="G595" s="60" t="s">
        <v>3647</v>
      </c>
      <c r="H595" s="60">
        <v>34.064255600000003</v>
      </c>
      <c r="I595" s="60">
        <v>-84.513115999999997</v>
      </c>
      <c r="J595" s="60" t="str">
        <f ca="1">IFERROR(__xludf.DUMMYFUNCTION("SPLIT(G595,"","")"),"4770 Lee Waters Rd")</f>
        <v>4770 Lee Waters Rd</v>
      </c>
      <c r="K595" s="2" t="str">
        <f ca="1">IFERROR(__xludf.DUMMYFUNCTION("""COMPUTED_VALUE""")," Marietta")</f>
        <v xml:space="preserve"> Marietta</v>
      </c>
      <c r="L595" s="2" t="str">
        <f ca="1">IFERROR(__xludf.DUMMYFUNCTION("""COMPUTED_VALUE""")," GA 30066")</f>
        <v xml:space="preserve"> GA 30066</v>
      </c>
      <c r="M595" s="2" t="str">
        <f ca="1">IFERROR(__xludf.DUMMYFUNCTION("""COMPUTED_VALUE""")," USA")</f>
        <v xml:space="preserve"> USA</v>
      </c>
      <c r="P595" s="60"/>
    </row>
    <row r="596" spans="1:16">
      <c r="A596" s="65">
        <v>595</v>
      </c>
      <c r="B596" s="80" t="s">
        <v>3651</v>
      </c>
      <c r="C596" s="65" t="s">
        <v>796</v>
      </c>
      <c r="D596" s="93" t="s">
        <v>3094</v>
      </c>
      <c r="E596" s="48" t="str">
        <f t="shared" si="0"/>
        <v>Kansas City</v>
      </c>
      <c r="F596" s="83" t="str">
        <f t="shared" si="1"/>
        <v>Piper (Kansas City),KS</v>
      </c>
      <c r="G596" s="65" t="s">
        <v>3653</v>
      </c>
      <c r="H596" s="65">
        <v>39.143058600000003</v>
      </c>
      <c r="I596" s="65">
        <v>-94.861352099999991</v>
      </c>
      <c r="J596" s="60" t="str">
        <f ca="1">IFERROR(__xludf.DUMMYFUNCTION("SPLIT(G596,"","")"),"12152 Leavenworth Rd")</f>
        <v>12152 Leavenworth Rd</v>
      </c>
      <c r="K596" s="2" t="str">
        <f ca="1">IFERROR(__xludf.DUMMYFUNCTION("""COMPUTED_VALUE""")," Kansas City")</f>
        <v xml:space="preserve"> Kansas City</v>
      </c>
      <c r="L596" s="2" t="str">
        <f ca="1">IFERROR(__xludf.DUMMYFUNCTION("""COMPUTED_VALUE""")," KS 66109")</f>
        <v xml:space="preserve"> KS 66109</v>
      </c>
      <c r="M596" s="2" t="str">
        <f ca="1">IFERROR(__xludf.DUMMYFUNCTION("""COMPUTED_VALUE""")," USA")</f>
        <v xml:space="preserve"> USA</v>
      </c>
      <c r="P596" s="60"/>
    </row>
    <row r="597" spans="1:16">
      <c r="A597" s="60">
        <v>596</v>
      </c>
      <c r="B597" s="79" t="s">
        <v>3659</v>
      </c>
      <c r="C597" s="60" t="s">
        <v>588</v>
      </c>
      <c r="D597" s="93" t="s">
        <v>3661</v>
      </c>
      <c r="E597" s="48" t="str">
        <f t="shared" si="0"/>
        <v>La Habra</v>
      </c>
      <c r="F597" s="83" t="str">
        <f t="shared" si="1"/>
        <v>Sonora (La Habra),CA</v>
      </c>
      <c r="G597" s="60" t="s">
        <v>3663</v>
      </c>
      <c r="H597" s="60">
        <v>33.927466299999999</v>
      </c>
      <c r="I597" s="60">
        <v>-117.92544940000001</v>
      </c>
      <c r="J597" s="60" t="str">
        <f ca="1">IFERROR(__xludf.DUMMYFUNCTION("SPLIT(G597,"","")"),"401 S Palm St")</f>
        <v>401 S Palm St</v>
      </c>
      <c r="K597" s="2" t="str">
        <f ca="1">IFERROR(__xludf.DUMMYFUNCTION("""COMPUTED_VALUE""")," La Habra")</f>
        <v xml:space="preserve"> La Habra</v>
      </c>
      <c r="L597" s="2" t="str">
        <f ca="1">IFERROR(__xludf.DUMMYFUNCTION("""COMPUTED_VALUE""")," CA 90631")</f>
        <v xml:space="preserve"> CA 90631</v>
      </c>
      <c r="M597" s="2" t="str">
        <f ca="1">IFERROR(__xludf.DUMMYFUNCTION("""COMPUTED_VALUE""")," USA")</f>
        <v xml:space="preserve"> USA</v>
      </c>
      <c r="P597" s="60"/>
    </row>
    <row r="598" spans="1:16">
      <c r="A598" s="65">
        <v>597</v>
      </c>
      <c r="B598" s="80" t="s">
        <v>3667</v>
      </c>
      <c r="C598" s="65" t="s">
        <v>712</v>
      </c>
      <c r="D598" s="93" t="s">
        <v>724</v>
      </c>
      <c r="E598" s="48" t="str">
        <f t="shared" si="0"/>
        <v>Washington</v>
      </c>
      <c r="F598" s="83" t="str">
        <f t="shared" si="1"/>
        <v>Archbishop Carroll (Washington),DC</v>
      </c>
      <c r="G598" s="65" t="s">
        <v>3668</v>
      </c>
      <c r="H598" s="65">
        <v>38.940768899999988</v>
      </c>
      <c r="I598" s="65">
        <v>-77.00639249999999</v>
      </c>
      <c r="J598" s="60" t="str">
        <f ca="1">IFERROR(__xludf.DUMMYFUNCTION("SPLIT(G598,"","")"),"4300 Harewood Rd NE")</f>
        <v>4300 Harewood Rd NE</v>
      </c>
      <c r="K598" s="2" t="str">
        <f ca="1">IFERROR(__xludf.DUMMYFUNCTION("""COMPUTED_VALUE""")," Washington")</f>
        <v xml:space="preserve"> Washington</v>
      </c>
      <c r="L598" s="2" t="str">
        <f ca="1">IFERROR(__xludf.DUMMYFUNCTION("""COMPUTED_VALUE""")," DC 20017")</f>
        <v xml:space="preserve"> DC 20017</v>
      </c>
      <c r="M598" s="2" t="str">
        <f ca="1">IFERROR(__xludf.DUMMYFUNCTION("""COMPUTED_VALUE""")," USA")</f>
        <v xml:space="preserve"> USA</v>
      </c>
      <c r="P598" s="60"/>
    </row>
    <row r="599" spans="1:16">
      <c r="A599" s="60">
        <v>598</v>
      </c>
      <c r="B599" s="79" t="s">
        <v>3671</v>
      </c>
      <c r="C599" s="60" t="s">
        <v>588</v>
      </c>
      <c r="D599" s="93" t="s">
        <v>1790</v>
      </c>
      <c r="E599" s="48" t="str">
        <f t="shared" si="0"/>
        <v>Mission Viejo</v>
      </c>
      <c r="F599" s="83" t="str">
        <f t="shared" si="1"/>
        <v>Mission Viejo,CA</v>
      </c>
      <c r="G599" s="60" t="s">
        <v>3674</v>
      </c>
      <c r="H599" s="60">
        <v>33.596891300000003</v>
      </c>
      <c r="I599" s="60">
        <v>-117.65815619999999</v>
      </c>
      <c r="J599" s="60" t="str">
        <f ca="1">IFERROR(__xludf.DUMMYFUNCTION("SPLIT(G599,"","")"),"Marguerite-La Paz")</f>
        <v>Marguerite-La Paz</v>
      </c>
      <c r="K599" s="2" t="str">
        <f ca="1">IFERROR(__xludf.DUMMYFUNCTION("""COMPUTED_VALUE""")," Mission Viejo")</f>
        <v xml:space="preserve"> Mission Viejo</v>
      </c>
      <c r="L599" s="2" t="str">
        <f ca="1">IFERROR(__xludf.DUMMYFUNCTION("""COMPUTED_VALUE""")," CA")</f>
        <v xml:space="preserve"> CA</v>
      </c>
      <c r="M599" s="2" t="str">
        <f ca="1">IFERROR(__xludf.DUMMYFUNCTION("""COMPUTED_VALUE""")," USA")</f>
        <v xml:space="preserve"> USA</v>
      </c>
      <c r="P599" s="60"/>
    </row>
    <row r="600" spans="1:16">
      <c r="A600" s="65">
        <v>599</v>
      </c>
      <c r="B600" s="80" t="s">
        <v>3678</v>
      </c>
      <c r="C600" s="65" t="s">
        <v>604</v>
      </c>
      <c r="D600" s="93" t="s">
        <v>652</v>
      </c>
      <c r="E600" s="48" t="str">
        <f t="shared" si="0"/>
        <v>Chicago</v>
      </c>
      <c r="F600" s="83" t="str">
        <f t="shared" si="1"/>
        <v>DePaul College Prep (Chicago),IL</v>
      </c>
      <c r="G600" s="65" t="s">
        <v>3680</v>
      </c>
      <c r="H600" s="65">
        <v>41.947761200000002</v>
      </c>
      <c r="I600" s="65">
        <v>-87.6974254</v>
      </c>
      <c r="J600" s="60" t="str">
        <f ca="1">IFERROR(__xludf.DUMMYFUNCTION("SPLIT(G600,"","")"),"3633 N California Ave")</f>
        <v>3633 N California Ave</v>
      </c>
      <c r="K600" s="2" t="str">
        <f ca="1">IFERROR(__xludf.DUMMYFUNCTION("""COMPUTED_VALUE""")," Chicago")</f>
        <v xml:space="preserve"> Chicago</v>
      </c>
      <c r="L600" s="2" t="str">
        <f ca="1">IFERROR(__xludf.DUMMYFUNCTION("""COMPUTED_VALUE""")," IL 60618")</f>
        <v xml:space="preserve"> IL 60618</v>
      </c>
      <c r="M600" s="2" t="str">
        <f ca="1">IFERROR(__xludf.DUMMYFUNCTION("""COMPUTED_VALUE""")," USA")</f>
        <v xml:space="preserve"> USA</v>
      </c>
      <c r="P600" s="60"/>
    </row>
    <row r="601" spans="1:16">
      <c r="A601" s="97">
        <v>600</v>
      </c>
      <c r="B601" s="99" t="s">
        <v>3685</v>
      </c>
      <c r="C601" s="97" t="s">
        <v>682</v>
      </c>
      <c r="D601" s="93" t="s">
        <v>3688</v>
      </c>
      <c r="E601" s="48" t="str">
        <f t="shared" si="0"/>
        <v>Hortonville</v>
      </c>
      <c r="F601" s="83" t="str">
        <f t="shared" si="1"/>
        <v>Hortonville,WI</v>
      </c>
      <c r="G601" s="97" t="s">
        <v>3689</v>
      </c>
      <c r="H601" s="97">
        <v>44.334705</v>
      </c>
      <c r="I601" s="97">
        <v>-88.63816150000001</v>
      </c>
      <c r="J601" s="60" t="str">
        <f ca="1">IFERROR(__xludf.DUMMYFUNCTION("SPLIT(G601,"","")"),"102 E Main St")</f>
        <v>102 E Main St</v>
      </c>
      <c r="K601" s="2" t="str">
        <f ca="1">IFERROR(__xludf.DUMMYFUNCTION("""COMPUTED_VALUE""")," Hortonville")</f>
        <v xml:space="preserve"> Hortonville</v>
      </c>
      <c r="L601" s="2" t="str">
        <f ca="1">IFERROR(__xludf.DUMMYFUNCTION("""COMPUTED_VALUE""")," WI 54944")</f>
        <v xml:space="preserve"> WI 54944</v>
      </c>
      <c r="M601" s="2" t="str">
        <f ca="1">IFERROR(__xludf.DUMMYFUNCTION("""COMPUTED_VALUE""")," USA")</f>
        <v xml:space="preserve"> USA</v>
      </c>
      <c r="P601" s="60"/>
    </row>
    <row r="602" spans="1:16">
      <c r="A602" s="60">
        <v>601</v>
      </c>
      <c r="B602" s="79" t="s">
        <v>3694</v>
      </c>
      <c r="C602" s="60" t="s">
        <v>604</v>
      </c>
      <c r="D602" s="93" t="s">
        <v>652</v>
      </c>
      <c r="E602" s="48" t="str">
        <f t="shared" si="0"/>
        <v>Chicago</v>
      </c>
      <c r="F602" s="83" t="str">
        <f t="shared" si="1"/>
        <v>Lincoln Park (Chicago),IL</v>
      </c>
      <c r="G602" s="60" t="s">
        <v>3696</v>
      </c>
      <c r="H602" s="60">
        <v>41.925470099999998</v>
      </c>
      <c r="I602" s="60">
        <v>-87.648778299999989</v>
      </c>
      <c r="J602" s="60" t="str">
        <f ca="1">IFERROR(__xludf.DUMMYFUNCTION("SPLIT(G602,"","")"),"2399 N Lincoln Ave")</f>
        <v>2399 N Lincoln Ave</v>
      </c>
      <c r="K602" s="2" t="str">
        <f ca="1">IFERROR(__xludf.DUMMYFUNCTION("""COMPUTED_VALUE""")," Chicago")</f>
        <v xml:space="preserve"> Chicago</v>
      </c>
      <c r="L602" s="2" t="str">
        <f ca="1">IFERROR(__xludf.DUMMYFUNCTION("""COMPUTED_VALUE""")," IL 60614")</f>
        <v xml:space="preserve"> IL 60614</v>
      </c>
      <c r="M602" s="2" t="str">
        <f ca="1">IFERROR(__xludf.DUMMYFUNCTION("""COMPUTED_VALUE""")," USA")</f>
        <v xml:space="preserve"> USA</v>
      </c>
      <c r="P602" s="60"/>
    </row>
    <row r="603" spans="1:16">
      <c r="A603" s="65">
        <v>602</v>
      </c>
      <c r="B603" s="80" t="s">
        <v>3700</v>
      </c>
      <c r="C603" s="65" t="s">
        <v>588</v>
      </c>
      <c r="D603" s="93" t="s">
        <v>3701</v>
      </c>
      <c r="E603" s="48" t="str">
        <f t="shared" si="0"/>
        <v>San Ramon</v>
      </c>
      <c r="F603" s="83" t="str">
        <f t="shared" si="1"/>
        <v>Dougherty Valley (San Ramon),CA</v>
      </c>
      <c r="G603" s="65" t="s">
        <v>3703</v>
      </c>
      <c r="H603" s="65">
        <v>37.769218799999997</v>
      </c>
      <c r="I603" s="65">
        <v>-121.90232469999999</v>
      </c>
      <c r="J603" s="60" t="str">
        <f ca="1">IFERROR(__xludf.DUMMYFUNCTION("SPLIT(G603,"","")"),"10550 Albion Rd")</f>
        <v>10550 Albion Rd</v>
      </c>
      <c r="K603" s="2" t="str">
        <f ca="1">IFERROR(__xludf.DUMMYFUNCTION("""COMPUTED_VALUE""")," San Ramon")</f>
        <v xml:space="preserve"> San Ramon</v>
      </c>
      <c r="L603" s="2" t="str">
        <f ca="1">IFERROR(__xludf.DUMMYFUNCTION("""COMPUTED_VALUE""")," CA 94582")</f>
        <v xml:space="preserve"> CA 94582</v>
      </c>
      <c r="M603" s="2" t="str">
        <f ca="1">IFERROR(__xludf.DUMMYFUNCTION("""COMPUTED_VALUE""")," USA")</f>
        <v xml:space="preserve"> USA</v>
      </c>
      <c r="P603" s="60"/>
    </row>
    <row r="604" spans="1:16">
      <c r="A604" s="60">
        <v>603</v>
      </c>
      <c r="B604" s="79" t="s">
        <v>3708</v>
      </c>
      <c r="C604" s="60" t="s">
        <v>595</v>
      </c>
      <c r="D604" s="93" t="s">
        <v>1063</v>
      </c>
      <c r="E604" s="48" t="str">
        <f t="shared" si="0"/>
        <v>Austin</v>
      </c>
      <c r="F604" s="83" t="str">
        <f t="shared" si="1"/>
        <v>Bowie (Austin),TX</v>
      </c>
      <c r="G604" s="60" t="s">
        <v>3711</v>
      </c>
      <c r="H604" s="60">
        <v>30.269062399999999</v>
      </c>
      <c r="I604" s="60">
        <v>-97.753170699999998</v>
      </c>
      <c r="J604" s="60" t="str">
        <f ca="1">IFERROR(__xludf.DUMMYFUNCTION("SPLIT(G604,"","")"),"311 Bowie St")</f>
        <v>311 Bowie St</v>
      </c>
      <c r="K604" s="2" t="str">
        <f ca="1">IFERROR(__xludf.DUMMYFUNCTION("""COMPUTED_VALUE""")," Austin")</f>
        <v xml:space="preserve"> Austin</v>
      </c>
      <c r="L604" s="2" t="str">
        <f ca="1">IFERROR(__xludf.DUMMYFUNCTION("""COMPUTED_VALUE""")," TX 78703")</f>
        <v xml:space="preserve"> TX 78703</v>
      </c>
      <c r="M604" s="2" t="str">
        <f ca="1">IFERROR(__xludf.DUMMYFUNCTION("""COMPUTED_VALUE""")," USA")</f>
        <v xml:space="preserve"> USA</v>
      </c>
      <c r="P604" s="60"/>
    </row>
    <row r="605" spans="1:16">
      <c r="A605" s="65">
        <v>604</v>
      </c>
      <c r="B605" s="80" t="s">
        <v>3715</v>
      </c>
      <c r="C605" s="65" t="s">
        <v>897</v>
      </c>
      <c r="D605" s="93" t="s">
        <v>3717</v>
      </c>
      <c r="E605" s="48" t="str">
        <f t="shared" si="0"/>
        <v>Peculiar</v>
      </c>
      <c r="F605" s="83" t="str">
        <f t="shared" si="1"/>
        <v>Raymore-Peculiar (Peculiar),MO</v>
      </c>
      <c r="G605" s="65" t="s">
        <v>3718</v>
      </c>
      <c r="H605" s="65">
        <v>38.745305299999998</v>
      </c>
      <c r="I605" s="65">
        <v>-94.457800599999999</v>
      </c>
      <c r="J605" s="60" t="str">
        <f ca="1">IFERROR(__xludf.DUMMYFUNCTION("SPLIT(G605,"","")"),"20801 S School Rd")</f>
        <v>20801 S School Rd</v>
      </c>
      <c r="K605" s="2" t="str">
        <f ca="1">IFERROR(__xludf.DUMMYFUNCTION("""COMPUTED_VALUE""")," Peculiar")</f>
        <v xml:space="preserve"> Peculiar</v>
      </c>
      <c r="L605" s="2" t="str">
        <f ca="1">IFERROR(__xludf.DUMMYFUNCTION("""COMPUTED_VALUE""")," MO 64078")</f>
        <v xml:space="preserve"> MO 64078</v>
      </c>
      <c r="M605" s="2" t="str">
        <f ca="1">IFERROR(__xludf.DUMMYFUNCTION("""COMPUTED_VALUE""")," USA")</f>
        <v xml:space="preserve"> USA</v>
      </c>
      <c r="P605" s="60"/>
    </row>
    <row r="606" spans="1:16">
      <c r="A606" s="60">
        <v>605</v>
      </c>
      <c r="B606" s="79" t="s">
        <v>3721</v>
      </c>
      <c r="C606" s="60" t="s">
        <v>897</v>
      </c>
      <c r="D606" s="93" t="s">
        <v>1088</v>
      </c>
      <c r="E606" s="48" t="str">
        <f t="shared" si="0"/>
        <v>Springfield</v>
      </c>
      <c r="F606" s="83" t="str">
        <f t="shared" si="1"/>
        <v>Greenwood (Springfield),MO</v>
      </c>
      <c r="G606" s="60" t="s">
        <v>3722</v>
      </c>
      <c r="H606" s="60">
        <v>37.165567699999997</v>
      </c>
      <c r="I606" s="60">
        <v>-93.3579893</v>
      </c>
      <c r="J606" s="60" t="str">
        <f ca="1">IFERROR(__xludf.DUMMYFUNCTION("SPLIT(G606,"","")"),"3835 W Greenwood St")</f>
        <v>3835 W Greenwood St</v>
      </c>
      <c r="K606" s="2" t="str">
        <f ca="1">IFERROR(__xludf.DUMMYFUNCTION("""COMPUTED_VALUE""")," Springfield")</f>
        <v xml:space="preserve"> Springfield</v>
      </c>
      <c r="L606" s="2" t="str">
        <f ca="1">IFERROR(__xludf.DUMMYFUNCTION("""COMPUTED_VALUE""")," MO 65807")</f>
        <v xml:space="preserve"> MO 65807</v>
      </c>
      <c r="M606" s="2" t="str">
        <f ca="1">IFERROR(__xludf.DUMMYFUNCTION("""COMPUTED_VALUE""")," USA")</f>
        <v xml:space="preserve"> USA</v>
      </c>
      <c r="P606" s="60"/>
    </row>
    <row r="607" spans="1:16">
      <c r="A607" s="65">
        <v>606</v>
      </c>
      <c r="B607" s="80" t="s">
        <v>3725</v>
      </c>
      <c r="C607" s="65" t="s">
        <v>595</v>
      </c>
      <c r="D607" s="93" t="s">
        <v>878</v>
      </c>
      <c r="E607" s="48" t="str">
        <f t="shared" si="0"/>
        <v>San Antonio</v>
      </c>
      <c r="F607" s="83" t="str">
        <f t="shared" si="1"/>
        <v>Harlan (San Antonio),TX</v>
      </c>
      <c r="G607" s="65" t="s">
        <v>3728</v>
      </c>
      <c r="H607" s="65">
        <v>29.3719708</v>
      </c>
      <c r="I607" s="65">
        <v>-98.516837999999993</v>
      </c>
      <c r="J607" s="60" t="str">
        <f ca="1">IFERROR(__xludf.DUMMYFUNCTION("SPLIT(G607,"","")"),"1103 Commercial Ave")</f>
        <v>1103 Commercial Ave</v>
      </c>
      <c r="K607" s="2" t="str">
        <f ca="1">IFERROR(__xludf.DUMMYFUNCTION("""COMPUTED_VALUE""")," San Antonio")</f>
        <v xml:space="preserve"> San Antonio</v>
      </c>
      <c r="L607" s="2" t="str">
        <f ca="1">IFERROR(__xludf.DUMMYFUNCTION("""COMPUTED_VALUE""")," TX 78211")</f>
        <v xml:space="preserve"> TX 78211</v>
      </c>
      <c r="M607" s="2" t="str">
        <f ca="1">IFERROR(__xludf.DUMMYFUNCTION("""COMPUTED_VALUE""")," USA")</f>
        <v xml:space="preserve"> USA</v>
      </c>
      <c r="P607" s="60"/>
    </row>
    <row r="608" spans="1:16">
      <c r="A608" s="60">
        <v>607</v>
      </c>
      <c r="B608" s="79" t="s">
        <v>3732</v>
      </c>
      <c r="C608" s="60" t="s">
        <v>901</v>
      </c>
      <c r="D608" s="93" t="s">
        <v>3733</v>
      </c>
      <c r="E608" s="48" t="str">
        <f t="shared" si="0"/>
        <v>Maumelle</v>
      </c>
      <c r="F608" s="83" t="str">
        <f t="shared" si="1"/>
        <v>Maumelle,AR</v>
      </c>
      <c r="G608" s="60" t="s">
        <v>3734</v>
      </c>
      <c r="H608" s="60">
        <v>34.866756500000001</v>
      </c>
      <c r="I608" s="60">
        <v>-92.404321899999999</v>
      </c>
      <c r="J608" s="60" t="str">
        <f ca="1">IFERROR(__xludf.DUMMYFUNCTION("SPLIT(G608,"","")"),"1100 Edgewood Dr")</f>
        <v>1100 Edgewood Dr</v>
      </c>
      <c r="K608" s="2" t="str">
        <f ca="1">IFERROR(__xludf.DUMMYFUNCTION("""COMPUTED_VALUE""")," Maumelle")</f>
        <v xml:space="preserve"> Maumelle</v>
      </c>
      <c r="L608" s="2" t="str">
        <f ca="1">IFERROR(__xludf.DUMMYFUNCTION("""COMPUTED_VALUE""")," AR 72113")</f>
        <v xml:space="preserve"> AR 72113</v>
      </c>
      <c r="M608" s="2" t="str">
        <f ca="1">IFERROR(__xludf.DUMMYFUNCTION("""COMPUTED_VALUE""")," USA")</f>
        <v xml:space="preserve"> USA</v>
      </c>
      <c r="P608" s="60"/>
    </row>
    <row r="609" spans="1:16">
      <c r="A609" s="65">
        <v>608</v>
      </c>
      <c r="B609" s="80" t="s">
        <v>3739</v>
      </c>
      <c r="C609" s="65" t="s">
        <v>745</v>
      </c>
      <c r="D609" s="93" t="s">
        <v>905</v>
      </c>
      <c r="E609" s="48" t="str">
        <f t="shared" si="0"/>
        <v>Seattle</v>
      </c>
      <c r="F609" s="83" t="str">
        <f t="shared" si="1"/>
        <v>Seattle Prep (Seattle),WA</v>
      </c>
      <c r="G609" s="65" t="s">
        <v>3740</v>
      </c>
      <c r="H609" s="65">
        <v>47.641305499999987</v>
      </c>
      <c r="I609" s="65">
        <v>-122.316799</v>
      </c>
      <c r="J609" s="60" t="str">
        <f ca="1">IFERROR(__xludf.DUMMYFUNCTION("SPLIT(G609,"","")"),"2400 11th Ave E")</f>
        <v>2400 11th Ave E</v>
      </c>
      <c r="K609" s="2" t="str">
        <f ca="1">IFERROR(__xludf.DUMMYFUNCTION("""COMPUTED_VALUE""")," Seattle")</f>
        <v xml:space="preserve"> Seattle</v>
      </c>
      <c r="L609" s="2" t="str">
        <f ca="1">IFERROR(__xludf.DUMMYFUNCTION("""COMPUTED_VALUE""")," WA 98102")</f>
        <v xml:space="preserve"> WA 98102</v>
      </c>
      <c r="M609" s="2" t="str">
        <f ca="1">IFERROR(__xludf.DUMMYFUNCTION("""COMPUTED_VALUE""")," USA")</f>
        <v xml:space="preserve"> USA</v>
      </c>
      <c r="P609" s="60"/>
    </row>
    <row r="610" spans="1:16">
      <c r="A610" s="60">
        <v>609</v>
      </c>
      <c r="B610" s="79" t="s">
        <v>3746</v>
      </c>
      <c r="C610" s="60" t="s">
        <v>598</v>
      </c>
      <c r="D610" s="93" t="s">
        <v>3748</v>
      </c>
      <c r="E610" s="48" t="str">
        <f t="shared" si="0"/>
        <v>Buford</v>
      </c>
      <c r="F610" s="83" t="str">
        <f t="shared" si="1"/>
        <v>Lanier (Sugar Hill),GA</v>
      </c>
      <c r="G610" s="60" t="s">
        <v>3749</v>
      </c>
      <c r="H610" s="60">
        <v>34.102575100000003</v>
      </c>
      <c r="I610" s="60">
        <v>-84.02972539999999</v>
      </c>
      <c r="J610" s="60" t="str">
        <f ca="1">IFERROR(__xludf.DUMMYFUNCTION("SPLIT(G610,"","")"),"1487 Railroad Ave")</f>
        <v>1487 Railroad Ave</v>
      </c>
      <c r="K610" s="2" t="str">
        <f ca="1">IFERROR(__xludf.DUMMYFUNCTION("""COMPUTED_VALUE""")," Buford")</f>
        <v xml:space="preserve"> Buford</v>
      </c>
      <c r="L610" s="2" t="str">
        <f ca="1">IFERROR(__xludf.DUMMYFUNCTION("""COMPUTED_VALUE""")," GA 30518")</f>
        <v xml:space="preserve"> GA 30518</v>
      </c>
      <c r="M610" s="2" t="str">
        <f ca="1">IFERROR(__xludf.DUMMYFUNCTION("""COMPUTED_VALUE""")," USA")</f>
        <v xml:space="preserve"> USA</v>
      </c>
      <c r="P610" s="60"/>
    </row>
    <row r="611" spans="1:16">
      <c r="A611" s="65">
        <v>610</v>
      </c>
      <c r="B611" s="80" t="s">
        <v>3755</v>
      </c>
      <c r="C611" s="65" t="s">
        <v>745</v>
      </c>
      <c r="D611" s="93" t="s">
        <v>3756</v>
      </c>
      <c r="E611" s="48" t="str">
        <f t="shared" si="0"/>
        <v>Lynden</v>
      </c>
      <c r="F611" s="83" t="str">
        <f t="shared" si="1"/>
        <v>Lynden,WA</v>
      </c>
      <c r="G611" s="65" t="s">
        <v>3758</v>
      </c>
      <c r="H611" s="65">
        <v>48.942801799999998</v>
      </c>
      <c r="I611" s="65">
        <v>-122.4529469</v>
      </c>
      <c r="J611" s="60" t="str">
        <f ca="1">IFERROR(__xludf.DUMMYFUNCTION("SPLIT(G611,"","")"),"PO Box 754")</f>
        <v>PO Box 754</v>
      </c>
      <c r="K611" s="2" t="str">
        <f ca="1">IFERROR(__xludf.DUMMYFUNCTION("""COMPUTED_VALUE""")," Lynden")</f>
        <v xml:space="preserve"> Lynden</v>
      </c>
      <c r="L611" s="2" t="str">
        <f ca="1">IFERROR(__xludf.DUMMYFUNCTION("""COMPUTED_VALUE""")," WA 98264")</f>
        <v xml:space="preserve"> WA 98264</v>
      </c>
      <c r="M611" s="2" t="str">
        <f ca="1">IFERROR(__xludf.DUMMYFUNCTION("""COMPUTED_VALUE""")," USA")</f>
        <v xml:space="preserve"> USA</v>
      </c>
      <c r="P611" s="60"/>
    </row>
    <row r="612" spans="1:16">
      <c r="A612" s="60">
        <v>611</v>
      </c>
      <c r="B612" s="79" t="s">
        <v>3762</v>
      </c>
      <c r="C612" s="60" t="s">
        <v>183</v>
      </c>
      <c r="D612" s="93" t="s">
        <v>3764</v>
      </c>
      <c r="E612" s="48" t="str">
        <f t="shared" si="0"/>
        <v>East Rochester</v>
      </c>
      <c r="F612" s="83" t="str">
        <f t="shared" si="1"/>
        <v>East (Rochester),NY</v>
      </c>
      <c r="G612" s="60" t="s">
        <v>3765</v>
      </c>
      <c r="H612" s="60">
        <v>43.108674099999988</v>
      </c>
      <c r="I612" s="60">
        <v>-77.487495899999999</v>
      </c>
      <c r="J612" s="60" t="str">
        <f ca="1">IFERROR(__xludf.DUMMYFUNCTION("SPLIT(G612,"","")"),"809 Main St")</f>
        <v>809 Main St</v>
      </c>
      <c r="K612" s="2" t="str">
        <f ca="1">IFERROR(__xludf.DUMMYFUNCTION("""COMPUTED_VALUE""")," East Rochester")</f>
        <v xml:space="preserve"> East Rochester</v>
      </c>
      <c r="L612" s="2" t="str">
        <f ca="1">IFERROR(__xludf.DUMMYFUNCTION("""COMPUTED_VALUE""")," NY 14445")</f>
        <v xml:space="preserve"> NY 14445</v>
      </c>
      <c r="M612" s="2" t="str">
        <f ca="1">IFERROR(__xludf.DUMMYFUNCTION("""COMPUTED_VALUE""")," USA")</f>
        <v xml:space="preserve"> USA</v>
      </c>
      <c r="P612" s="60"/>
    </row>
    <row r="613" spans="1:16">
      <c r="A613" s="65">
        <v>612</v>
      </c>
      <c r="B613" s="80" t="s">
        <v>3770</v>
      </c>
      <c r="C613" s="65" t="s">
        <v>595</v>
      </c>
      <c r="D613" s="93" t="s">
        <v>878</v>
      </c>
      <c r="E613" s="48" t="str">
        <f t="shared" si="0"/>
        <v>San Antonio</v>
      </c>
      <c r="F613" s="83" t="str">
        <f t="shared" si="1"/>
        <v>Johnson (San Antonio),TX</v>
      </c>
      <c r="G613" s="65" t="s">
        <v>3772</v>
      </c>
      <c r="H613" s="65">
        <v>29.656902299999999</v>
      </c>
      <c r="I613" s="65">
        <v>-98.435558499999999</v>
      </c>
      <c r="J613" s="60" t="str">
        <f ca="1">IFERROR(__xludf.DUMMYFUNCTION("SPLIT(G613,"","")"),"23203 Bulverde Rd")</f>
        <v>23203 Bulverde Rd</v>
      </c>
      <c r="K613" s="2" t="str">
        <f ca="1">IFERROR(__xludf.DUMMYFUNCTION("""COMPUTED_VALUE""")," San Antonio")</f>
        <v xml:space="preserve"> San Antonio</v>
      </c>
      <c r="L613" s="2" t="str">
        <f ca="1">IFERROR(__xludf.DUMMYFUNCTION("""COMPUTED_VALUE""")," TX 78259")</f>
        <v xml:space="preserve"> TX 78259</v>
      </c>
      <c r="M613" s="2" t="str">
        <f ca="1">IFERROR(__xludf.DUMMYFUNCTION("""COMPUTED_VALUE""")," USA")</f>
        <v xml:space="preserve"> USA</v>
      </c>
      <c r="P613" s="60"/>
    </row>
    <row r="614" spans="1:16">
      <c r="A614" s="60">
        <v>613</v>
      </c>
      <c r="B614" s="79" t="s">
        <v>3775</v>
      </c>
      <c r="C614" s="60" t="s">
        <v>1273</v>
      </c>
      <c r="D614" s="93" t="s">
        <v>3776</v>
      </c>
      <c r="E614" s="48" t="str">
        <f t="shared" si="0"/>
        <v>Iowa City</v>
      </c>
      <c r="F614" s="83" t="str">
        <f t="shared" si="1"/>
        <v>Iowa City West (Iowa City),IA</v>
      </c>
      <c r="G614" s="60" t="s">
        <v>3778</v>
      </c>
      <c r="H614" s="60">
        <v>41.654092599999998</v>
      </c>
      <c r="I614" s="60">
        <v>-91.581271999999998</v>
      </c>
      <c r="J614" s="60" t="str">
        <f ca="1">IFERROR(__xludf.DUMMYFUNCTION("SPLIT(G614,"","")"),"2901 Melrose Ave")</f>
        <v>2901 Melrose Ave</v>
      </c>
      <c r="K614" s="2" t="str">
        <f ca="1">IFERROR(__xludf.DUMMYFUNCTION("""COMPUTED_VALUE""")," Iowa City")</f>
        <v xml:space="preserve"> Iowa City</v>
      </c>
      <c r="L614" s="2" t="str">
        <f ca="1">IFERROR(__xludf.DUMMYFUNCTION("""COMPUTED_VALUE""")," IA 52246")</f>
        <v xml:space="preserve"> IA 52246</v>
      </c>
      <c r="M614" s="2" t="str">
        <f ca="1">IFERROR(__xludf.DUMMYFUNCTION("""COMPUTED_VALUE""")," USA")</f>
        <v xml:space="preserve"> USA</v>
      </c>
      <c r="P614" s="60"/>
    </row>
    <row r="615" spans="1:16">
      <c r="A615" s="65">
        <v>614</v>
      </c>
      <c r="B615" s="80" t="s">
        <v>3684</v>
      </c>
      <c r="C615" s="65" t="s">
        <v>897</v>
      </c>
      <c r="D615" s="93" t="s">
        <v>3781</v>
      </c>
      <c r="E615" s="48" t="str">
        <f t="shared" si="0"/>
        <v>Charleston</v>
      </c>
      <c r="F615" s="83" t="str">
        <f t="shared" si="1"/>
        <v>Charleston,MO</v>
      </c>
      <c r="G615" s="65" t="s">
        <v>3783</v>
      </c>
      <c r="H615" s="65">
        <v>36.920885400000003</v>
      </c>
      <c r="I615" s="65">
        <v>-89.350630999999993</v>
      </c>
      <c r="J615" s="60" t="str">
        <f ca="1">IFERROR(__xludf.DUMMYFUNCTION("SPLIT(G615,"","")"),"200 W Marshall St")</f>
        <v>200 W Marshall St</v>
      </c>
      <c r="K615" s="2" t="str">
        <f ca="1">IFERROR(__xludf.DUMMYFUNCTION("""COMPUTED_VALUE""")," Charleston")</f>
        <v xml:space="preserve"> Charleston</v>
      </c>
      <c r="L615" s="2" t="str">
        <f ca="1">IFERROR(__xludf.DUMMYFUNCTION("""COMPUTED_VALUE""")," MO 63834")</f>
        <v xml:space="preserve"> MO 63834</v>
      </c>
      <c r="M615" s="2" t="str">
        <f ca="1">IFERROR(__xludf.DUMMYFUNCTION("""COMPUTED_VALUE""")," USA")</f>
        <v xml:space="preserve"> USA</v>
      </c>
      <c r="P615" s="60"/>
    </row>
    <row r="616" spans="1:16">
      <c r="A616" s="60">
        <v>615</v>
      </c>
      <c r="B616" s="79" t="s">
        <v>3788</v>
      </c>
      <c r="C616" s="60" t="s">
        <v>881</v>
      </c>
      <c r="D616" s="93" t="s">
        <v>3789</v>
      </c>
      <c r="E616" s="48" t="str">
        <f t="shared" si="0"/>
        <v>La Grange</v>
      </c>
      <c r="F616" s="83" t="str">
        <f t="shared" si="1"/>
        <v>Oldham County (Buckner),KY</v>
      </c>
      <c r="G616" s="60" t="s">
        <v>3790</v>
      </c>
      <c r="H616" s="60">
        <v>38.383678199999999</v>
      </c>
      <c r="I616" s="60">
        <v>-85.439958799999999</v>
      </c>
      <c r="J616" s="60" t="str">
        <f ca="1">IFERROR(__xludf.DUMMYFUNCTION("SPLIT(G616,"","")"),"4217 KY-146")</f>
        <v>4217 KY-146</v>
      </c>
      <c r="K616" s="2" t="str">
        <f ca="1">IFERROR(__xludf.DUMMYFUNCTION("""COMPUTED_VALUE""")," La Grange")</f>
        <v xml:space="preserve"> La Grange</v>
      </c>
      <c r="L616" s="2" t="str">
        <f ca="1">IFERROR(__xludf.DUMMYFUNCTION("""COMPUTED_VALUE""")," KY 40031")</f>
        <v xml:space="preserve"> KY 40031</v>
      </c>
      <c r="M616" s="2" t="str">
        <f ca="1">IFERROR(__xludf.DUMMYFUNCTION("""COMPUTED_VALUE""")," USA")</f>
        <v xml:space="preserve"> USA</v>
      </c>
      <c r="P616" s="60"/>
    </row>
    <row r="617" spans="1:16">
      <c r="A617" s="65">
        <v>616</v>
      </c>
      <c r="B617" s="80" t="s">
        <v>3795</v>
      </c>
      <c r="C617" s="65" t="s">
        <v>737</v>
      </c>
      <c r="D617" s="93" t="s">
        <v>3796</v>
      </c>
      <c r="E617" s="48" t="str">
        <f t="shared" si="0"/>
        <v>Sicklerville</v>
      </c>
      <c r="F617" s="83" t="str">
        <f t="shared" si="1"/>
        <v>Timber Creek Regional (Erial),NJ</v>
      </c>
      <c r="G617" s="65" t="s">
        <v>3797</v>
      </c>
      <c r="H617" s="65">
        <v>39.761786800000003</v>
      </c>
      <c r="I617" s="65">
        <v>-75.017716800000002</v>
      </c>
      <c r="J617" s="60" t="str">
        <f ca="1">IFERROR(__xludf.DUMMYFUNCTION("SPLIT(G617,"","")"),"501 Jarvis Rd")</f>
        <v>501 Jarvis Rd</v>
      </c>
      <c r="K617" s="2" t="str">
        <f ca="1">IFERROR(__xludf.DUMMYFUNCTION("""COMPUTED_VALUE""")," Sicklerville")</f>
        <v xml:space="preserve"> Sicklerville</v>
      </c>
      <c r="L617" s="2" t="str">
        <f ca="1">IFERROR(__xludf.DUMMYFUNCTION("""COMPUTED_VALUE""")," NJ 08081")</f>
        <v xml:space="preserve"> NJ 08081</v>
      </c>
      <c r="M617" s="2" t="str">
        <f ca="1">IFERROR(__xludf.DUMMYFUNCTION("""COMPUTED_VALUE""")," USA")</f>
        <v xml:space="preserve"> USA</v>
      </c>
      <c r="P617" s="60"/>
    </row>
    <row r="618" spans="1:16">
      <c r="A618" s="60">
        <v>617</v>
      </c>
      <c r="B618" s="79" t="s">
        <v>3799</v>
      </c>
      <c r="C618" s="60" t="s">
        <v>174</v>
      </c>
      <c r="D618" s="93" t="s">
        <v>3800</v>
      </c>
      <c r="E618" s="48" t="str">
        <f t="shared" si="0"/>
        <v>Pickerington</v>
      </c>
      <c r="F618" s="83" t="str">
        <f t="shared" si="1"/>
        <v>Pickerington North (Pickerington),OH</v>
      </c>
      <c r="G618" s="60" t="s">
        <v>3803</v>
      </c>
      <c r="H618" s="60">
        <v>39.909964700000003</v>
      </c>
      <c r="I618" s="60">
        <v>-82.7328756</v>
      </c>
      <c r="J618" s="60" t="str">
        <f ca="1">IFERROR(__xludf.DUMMYFUNCTION("SPLIT(G618,"","")"),"7800 Refugee Rd")</f>
        <v>7800 Refugee Rd</v>
      </c>
      <c r="K618" s="2" t="str">
        <f ca="1">IFERROR(__xludf.DUMMYFUNCTION("""COMPUTED_VALUE""")," Pickerington")</f>
        <v xml:space="preserve"> Pickerington</v>
      </c>
      <c r="L618" s="2" t="str">
        <f ca="1">IFERROR(__xludf.DUMMYFUNCTION("""COMPUTED_VALUE""")," OH 43147")</f>
        <v xml:space="preserve"> OH 43147</v>
      </c>
      <c r="M618" s="2" t="str">
        <f ca="1">IFERROR(__xludf.DUMMYFUNCTION("""COMPUTED_VALUE""")," USA")</f>
        <v xml:space="preserve"> USA</v>
      </c>
      <c r="P618" s="60"/>
    </row>
    <row r="619" spans="1:16">
      <c r="A619" s="65">
        <v>618</v>
      </c>
      <c r="B619" s="80" t="s">
        <v>769</v>
      </c>
      <c r="C619" s="65" t="s">
        <v>675</v>
      </c>
      <c r="D619" s="93" t="s">
        <v>762</v>
      </c>
      <c r="E619" s="48" t="str">
        <f t="shared" si="0"/>
        <v>Reading</v>
      </c>
      <c r="F619" s="83" t="str">
        <f t="shared" si="1"/>
        <v>Reading,PA</v>
      </c>
      <c r="G619" s="65" t="s">
        <v>3809</v>
      </c>
      <c r="H619" s="65">
        <v>40.335648300000003</v>
      </c>
      <c r="I619" s="65">
        <v>-75.926874699999999</v>
      </c>
      <c r="J619" s="60" t="str">
        <f ca="1">IFERROR(__xludf.DUMMYFUNCTION("SPLIT(G619,"","")"),"523b Penn St")</f>
        <v>523b Penn St</v>
      </c>
      <c r="K619" s="2" t="str">
        <f ca="1">IFERROR(__xludf.DUMMYFUNCTION("""COMPUTED_VALUE""")," Reading")</f>
        <v xml:space="preserve"> Reading</v>
      </c>
      <c r="L619" s="2" t="str">
        <f ca="1">IFERROR(__xludf.DUMMYFUNCTION("""COMPUTED_VALUE""")," PA 19601")</f>
        <v xml:space="preserve"> PA 19601</v>
      </c>
      <c r="M619" s="2" t="str">
        <f ca="1">IFERROR(__xludf.DUMMYFUNCTION("""COMPUTED_VALUE""")," USA")</f>
        <v xml:space="preserve"> USA</v>
      </c>
      <c r="P619" s="60"/>
    </row>
    <row r="620" spans="1:16">
      <c r="A620" s="60">
        <v>619</v>
      </c>
      <c r="B620" s="79" t="s">
        <v>3815</v>
      </c>
      <c r="C620" s="60" t="s">
        <v>682</v>
      </c>
      <c r="D620" s="93" t="s">
        <v>2213</v>
      </c>
      <c r="E620" s="48" t="str">
        <f t="shared" si="0"/>
        <v>Glendale</v>
      </c>
      <c r="F620" s="83" t="str">
        <f t="shared" si="1"/>
        <v>Nicolet (Glendale),WI</v>
      </c>
      <c r="G620" s="60" t="s">
        <v>3817</v>
      </c>
      <c r="H620" s="60">
        <v>43.1393421</v>
      </c>
      <c r="I620" s="60">
        <v>-87.916843299999996</v>
      </c>
      <c r="J620" s="60" t="str">
        <f ca="1">IFERROR(__xludf.DUMMYFUNCTION("SPLIT(G620,"","")"),"6701 N Jean Nicolet Rd")</f>
        <v>6701 N Jean Nicolet Rd</v>
      </c>
      <c r="K620" s="2" t="str">
        <f ca="1">IFERROR(__xludf.DUMMYFUNCTION("""COMPUTED_VALUE""")," Glendale")</f>
        <v xml:space="preserve"> Glendale</v>
      </c>
      <c r="L620" s="2" t="str">
        <f ca="1">IFERROR(__xludf.DUMMYFUNCTION("""COMPUTED_VALUE""")," WI 53217")</f>
        <v xml:space="preserve"> WI 53217</v>
      </c>
      <c r="M620" s="2" t="str">
        <f ca="1">IFERROR(__xludf.DUMMYFUNCTION("""COMPUTED_VALUE""")," USA")</f>
        <v xml:space="preserve"> USA</v>
      </c>
      <c r="P620" s="60"/>
    </row>
    <row r="621" spans="1:16">
      <c r="A621" s="65">
        <v>620</v>
      </c>
      <c r="B621" s="80" t="s">
        <v>3822</v>
      </c>
      <c r="C621" s="65" t="s">
        <v>682</v>
      </c>
      <c r="D621" s="93" t="s">
        <v>3824</v>
      </c>
      <c r="E621" s="48" t="str">
        <f t="shared" si="0"/>
        <v>Cuba City</v>
      </c>
      <c r="F621" s="83" t="str">
        <f t="shared" si="1"/>
        <v>Cuba City,WI</v>
      </c>
      <c r="G621" s="65" t="s">
        <v>3825</v>
      </c>
      <c r="H621" s="65">
        <v>42.605554900000001</v>
      </c>
      <c r="I621" s="65">
        <v>-90.42985019999999</v>
      </c>
      <c r="J621" s="60" t="str">
        <f ca="1">IFERROR(__xludf.DUMMYFUNCTION("SPLIT(G621,"","")"),"115 S Washington St")</f>
        <v>115 S Washington St</v>
      </c>
      <c r="K621" s="2" t="str">
        <f ca="1">IFERROR(__xludf.DUMMYFUNCTION("""COMPUTED_VALUE""")," Cuba City")</f>
        <v xml:space="preserve"> Cuba City</v>
      </c>
      <c r="L621" s="2" t="str">
        <f ca="1">IFERROR(__xludf.DUMMYFUNCTION("""COMPUTED_VALUE""")," WI 53807")</f>
        <v xml:space="preserve"> WI 53807</v>
      </c>
      <c r="M621" s="2" t="str">
        <f ca="1">IFERROR(__xludf.DUMMYFUNCTION("""COMPUTED_VALUE""")," USA")</f>
        <v xml:space="preserve"> USA</v>
      </c>
      <c r="P621" s="60"/>
    </row>
    <row r="622" spans="1:16">
      <c r="A622" s="60">
        <v>621</v>
      </c>
      <c r="B622" s="79" t="s">
        <v>3830</v>
      </c>
      <c r="C622" s="60" t="s">
        <v>588</v>
      </c>
      <c r="D622" s="93" t="s">
        <v>3831</v>
      </c>
      <c r="E622" s="48" t="str">
        <f t="shared" si="0"/>
        <v>San Leandro</v>
      </c>
      <c r="F622" s="83" t="str">
        <f t="shared" si="1"/>
        <v>San Leandro,CA</v>
      </c>
      <c r="G622" s="60" t="s">
        <v>3833</v>
      </c>
      <c r="H622" s="60">
        <v>37.725766299999997</v>
      </c>
      <c r="I622" s="60">
        <v>-122.1568554</v>
      </c>
      <c r="J622" s="60" t="str">
        <f ca="1">IFERROR(__xludf.DUMMYFUNCTION("SPLIT(G622,"","")"),"1200 E 14th St")</f>
        <v>1200 E 14th St</v>
      </c>
      <c r="K622" s="2" t="str">
        <f ca="1">IFERROR(__xludf.DUMMYFUNCTION("""COMPUTED_VALUE""")," San Leandro")</f>
        <v xml:space="preserve"> San Leandro</v>
      </c>
      <c r="L622" s="2" t="str">
        <f ca="1">IFERROR(__xludf.DUMMYFUNCTION("""COMPUTED_VALUE""")," CA 94577")</f>
        <v xml:space="preserve"> CA 94577</v>
      </c>
      <c r="M622" s="2" t="str">
        <f ca="1">IFERROR(__xludf.DUMMYFUNCTION("""COMPUTED_VALUE""")," USA")</f>
        <v xml:space="preserve"> USA</v>
      </c>
      <c r="P622" s="60"/>
    </row>
    <row r="623" spans="1:16">
      <c r="A623" s="65">
        <v>622</v>
      </c>
      <c r="B623" s="80" t="s">
        <v>3837</v>
      </c>
      <c r="C623" s="65" t="s">
        <v>174</v>
      </c>
      <c r="D623" s="93" t="s">
        <v>3838</v>
      </c>
      <c r="E623" s="48" t="str">
        <f t="shared" si="0"/>
        <v>Groveport</v>
      </c>
      <c r="F623" s="83" t="str">
        <f t="shared" si="1"/>
        <v>South (Columbus),OH</v>
      </c>
      <c r="G623" s="65" t="s">
        <v>3840</v>
      </c>
      <c r="H623" s="65">
        <v>39.887005199999997</v>
      </c>
      <c r="I623" s="65">
        <v>-82.883240299999997</v>
      </c>
      <c r="J623" s="60" t="str">
        <f ca="1">IFERROR(__xludf.DUMMYFUNCTION("SPLIT(G623,"","")"),"4350 OH-317")</f>
        <v>4350 OH-317</v>
      </c>
      <c r="K623" s="2" t="str">
        <f ca="1">IFERROR(__xludf.DUMMYFUNCTION("""COMPUTED_VALUE""")," Groveport")</f>
        <v xml:space="preserve"> Groveport</v>
      </c>
      <c r="L623" s="2" t="str">
        <f ca="1">IFERROR(__xludf.DUMMYFUNCTION("""COMPUTED_VALUE""")," OH 43125")</f>
        <v xml:space="preserve"> OH 43125</v>
      </c>
      <c r="M623" s="2" t="str">
        <f ca="1">IFERROR(__xludf.DUMMYFUNCTION("""COMPUTED_VALUE""")," USA")</f>
        <v xml:space="preserve"> USA</v>
      </c>
      <c r="P623" s="60"/>
    </row>
    <row r="624" spans="1:16">
      <c r="A624" s="60">
        <v>623</v>
      </c>
      <c r="B624" s="79" t="s">
        <v>3844</v>
      </c>
      <c r="C624" s="60" t="s">
        <v>745</v>
      </c>
      <c r="D624" s="93" t="s">
        <v>3846</v>
      </c>
      <c r="E624" s="48" t="str">
        <f t="shared" si="0"/>
        <v>Olympia</v>
      </c>
      <c r="F624" s="83" t="str">
        <f t="shared" si="1"/>
        <v>Olympia,WA</v>
      </c>
      <c r="G624" s="60" t="s">
        <v>3847</v>
      </c>
      <c r="H624" s="60">
        <v>47.037874100000003</v>
      </c>
      <c r="I624" s="60">
        <v>-122.90069509999999</v>
      </c>
      <c r="J624" s="60" t="str">
        <f ca="1">IFERROR(__xludf.DUMMYFUNCTION("SPLIT(G624,"","")"),"1100 Capitol Way S")</f>
        <v>1100 Capitol Way S</v>
      </c>
      <c r="K624" s="2" t="str">
        <f ca="1">IFERROR(__xludf.DUMMYFUNCTION("""COMPUTED_VALUE""")," Olympia")</f>
        <v xml:space="preserve"> Olympia</v>
      </c>
      <c r="L624" s="2" t="str">
        <f ca="1">IFERROR(__xludf.DUMMYFUNCTION("""COMPUTED_VALUE""")," WA 98501")</f>
        <v xml:space="preserve"> WA 98501</v>
      </c>
      <c r="M624" s="2" t="str">
        <f ca="1">IFERROR(__xludf.DUMMYFUNCTION("""COMPUTED_VALUE""")," USA")</f>
        <v xml:space="preserve"> USA</v>
      </c>
      <c r="P624" s="60"/>
    </row>
    <row r="625" spans="1:16">
      <c r="A625" s="97">
        <v>624</v>
      </c>
      <c r="B625" s="99" t="s">
        <v>3852</v>
      </c>
      <c r="C625" s="97" t="s">
        <v>897</v>
      </c>
      <c r="D625" s="93" t="s">
        <v>3853</v>
      </c>
      <c r="E625" s="48" t="str">
        <f t="shared" si="0"/>
        <v>Nixa</v>
      </c>
      <c r="F625" s="83" t="str">
        <f t="shared" si="1"/>
        <v>Nixa,MO</v>
      </c>
      <c r="G625" s="97" t="s">
        <v>3856</v>
      </c>
      <c r="H625" s="97">
        <v>37.043386300000002</v>
      </c>
      <c r="I625" s="97">
        <v>-93.294353000000001</v>
      </c>
      <c r="J625" s="60" t="str">
        <f ca="1">IFERROR(__xludf.DUMMYFUNCTION("SPLIT(G625,"","")"),"104 E Mt Vernon St")</f>
        <v>104 E Mt Vernon St</v>
      </c>
      <c r="K625" s="2" t="str">
        <f ca="1">IFERROR(__xludf.DUMMYFUNCTION("""COMPUTED_VALUE""")," Nixa")</f>
        <v xml:space="preserve"> Nixa</v>
      </c>
      <c r="L625" s="2" t="str">
        <f ca="1">IFERROR(__xludf.DUMMYFUNCTION("""COMPUTED_VALUE""")," MO 65714")</f>
        <v xml:space="preserve"> MO 65714</v>
      </c>
      <c r="M625" s="2" t="str">
        <f ca="1">IFERROR(__xludf.DUMMYFUNCTION("""COMPUTED_VALUE""")," USA")</f>
        <v xml:space="preserve"> USA</v>
      </c>
      <c r="P625" s="60"/>
    </row>
    <row r="626" spans="1:16">
      <c r="A626" s="60">
        <v>625</v>
      </c>
      <c r="B626" s="79" t="s">
        <v>3860</v>
      </c>
      <c r="C626" s="60" t="s">
        <v>590</v>
      </c>
      <c r="D626" s="93" t="s">
        <v>3862</v>
      </c>
      <c r="E626" s="48" t="str">
        <f t="shared" si="0"/>
        <v>Olney</v>
      </c>
      <c r="F626" s="83" t="str">
        <f t="shared" si="1"/>
        <v>Our Lady of Good Counsel (Olney),MD</v>
      </c>
      <c r="G626" s="60" t="s">
        <v>3863</v>
      </c>
      <c r="H626" s="60">
        <v>39.140997499999997</v>
      </c>
      <c r="I626" s="60">
        <v>-77.0452181</v>
      </c>
      <c r="J626" s="60" t="str">
        <f ca="1">IFERROR(__xludf.DUMMYFUNCTION("SPLIT(G626,"","")"),"17301 Old Vic Blvd")</f>
        <v>17301 Old Vic Blvd</v>
      </c>
      <c r="K626" s="2" t="str">
        <f ca="1">IFERROR(__xludf.DUMMYFUNCTION("""COMPUTED_VALUE""")," Olney")</f>
        <v xml:space="preserve"> Olney</v>
      </c>
      <c r="L626" s="2" t="str">
        <f ca="1">IFERROR(__xludf.DUMMYFUNCTION("""COMPUTED_VALUE""")," MD 20832")</f>
        <v xml:space="preserve"> MD 20832</v>
      </c>
      <c r="M626" s="2" t="str">
        <f ca="1">IFERROR(__xludf.DUMMYFUNCTION("""COMPUTED_VALUE""")," USA")</f>
        <v xml:space="preserve"> USA</v>
      </c>
      <c r="P626" s="60"/>
    </row>
    <row r="627" spans="1:16">
      <c r="A627" s="60">
        <v>626</v>
      </c>
      <c r="B627" s="79" t="s">
        <v>3867</v>
      </c>
      <c r="C627" s="60" t="s">
        <v>595</v>
      </c>
      <c r="D627" s="93" t="s">
        <v>3151</v>
      </c>
      <c r="E627" s="48" t="str">
        <f t="shared" si="0"/>
        <v>Fort Worth</v>
      </c>
      <c r="F627" s="83" t="str">
        <f t="shared" si="1"/>
        <v>Wyatt (Fort Worth),TX</v>
      </c>
      <c r="G627" s="60" t="s">
        <v>3868</v>
      </c>
      <c r="H627" s="60">
        <v>32.683665499999996</v>
      </c>
      <c r="I627" s="60">
        <v>-97.294252499999999</v>
      </c>
      <c r="J627" s="60" t="str">
        <f ca="1">IFERROR(__xludf.DUMMYFUNCTION("SPLIT(G627,"","")"),"2400 E Seminary Dr")</f>
        <v>2400 E Seminary Dr</v>
      </c>
      <c r="K627" s="2" t="str">
        <f ca="1">IFERROR(__xludf.DUMMYFUNCTION("""COMPUTED_VALUE""")," Fort Worth")</f>
        <v xml:space="preserve"> Fort Worth</v>
      </c>
      <c r="L627" s="2" t="str">
        <f ca="1">IFERROR(__xludf.DUMMYFUNCTION("""COMPUTED_VALUE""")," TX 76119")</f>
        <v xml:space="preserve"> TX 76119</v>
      </c>
      <c r="M627" s="2" t="str">
        <f ca="1">IFERROR(__xludf.DUMMYFUNCTION("""COMPUTED_VALUE""")," USA")</f>
        <v xml:space="preserve"> USA</v>
      </c>
      <c r="P627" s="60"/>
    </row>
    <row r="628" spans="1:16">
      <c r="A628" s="65">
        <v>627</v>
      </c>
      <c r="B628" s="80" t="s">
        <v>3872</v>
      </c>
      <c r="C628" s="65" t="s">
        <v>1067</v>
      </c>
      <c r="D628" s="93" t="s">
        <v>3873</v>
      </c>
      <c r="E628" s="48" t="str">
        <f t="shared" si="0"/>
        <v>Wolfeboro</v>
      </c>
      <c r="F628" s="83" t="str">
        <f t="shared" si="1"/>
        <v>Brewster Academy (Wolfeboro),PS</v>
      </c>
      <c r="G628" s="65" t="s">
        <v>3875</v>
      </c>
      <c r="H628" s="65">
        <v>43.582879499999997</v>
      </c>
      <c r="I628" s="65">
        <v>-71.206468099999995</v>
      </c>
      <c r="J628" s="60" t="str">
        <f ca="1">IFERROR(__xludf.DUMMYFUNCTION("SPLIT(G628,"","")"),"80 Academy Dr")</f>
        <v>80 Academy Dr</v>
      </c>
      <c r="K628" s="2" t="str">
        <f ca="1">IFERROR(__xludf.DUMMYFUNCTION("""COMPUTED_VALUE""")," Wolfeboro")</f>
        <v xml:space="preserve"> Wolfeboro</v>
      </c>
      <c r="L628" s="2" t="str">
        <f ca="1">IFERROR(__xludf.DUMMYFUNCTION("""COMPUTED_VALUE""")," NH 03894")</f>
        <v xml:space="preserve"> NH 03894</v>
      </c>
      <c r="M628" s="2" t="str">
        <f ca="1">IFERROR(__xludf.DUMMYFUNCTION("""COMPUTED_VALUE""")," USA")</f>
        <v xml:space="preserve"> USA</v>
      </c>
      <c r="P628" s="60"/>
    </row>
    <row r="629" spans="1:16">
      <c r="A629" s="60">
        <v>628</v>
      </c>
      <c r="B629" s="79" t="s">
        <v>3879</v>
      </c>
      <c r="C629" s="60" t="s">
        <v>1296</v>
      </c>
      <c r="D629" s="93" t="s">
        <v>3880</v>
      </c>
      <c r="E629" s="48" t="str">
        <f t="shared" si="0"/>
        <v>Clackamas</v>
      </c>
      <c r="F629" s="83" t="str">
        <f t="shared" si="1"/>
        <v>Clackamas,OR</v>
      </c>
      <c r="G629" s="60" t="s">
        <v>3881</v>
      </c>
      <c r="H629" s="60">
        <v>45.4076205</v>
      </c>
      <c r="I629" s="60">
        <v>-122.5703692</v>
      </c>
      <c r="J629" s="60" t="str">
        <f ca="1">IFERROR(__xludf.DUMMYFUNCTION("SPLIT(G629,"","")"),"SE Hwy 212")</f>
        <v>SE Hwy 212</v>
      </c>
      <c r="K629" s="2" t="str">
        <f ca="1">IFERROR(__xludf.DUMMYFUNCTION("""COMPUTED_VALUE""")," Clackamas")</f>
        <v xml:space="preserve"> Clackamas</v>
      </c>
      <c r="L629" s="2" t="str">
        <f ca="1">IFERROR(__xludf.DUMMYFUNCTION("""COMPUTED_VALUE""")," OR 97015")</f>
        <v xml:space="preserve"> OR 97015</v>
      </c>
      <c r="M629" s="2" t="str">
        <f ca="1">IFERROR(__xludf.DUMMYFUNCTION("""COMPUTED_VALUE""")," USA")</f>
        <v xml:space="preserve"> USA</v>
      </c>
      <c r="P629" s="60"/>
    </row>
    <row r="630" spans="1:16">
      <c r="A630" s="65">
        <v>629</v>
      </c>
      <c r="B630" s="80" t="s">
        <v>3884</v>
      </c>
      <c r="C630" s="65" t="s">
        <v>1273</v>
      </c>
      <c r="D630" s="93" t="s">
        <v>3885</v>
      </c>
      <c r="E630" s="48" t="str">
        <f t="shared" si="0"/>
        <v>Eldridge</v>
      </c>
      <c r="F630" s="83" t="str">
        <f t="shared" si="1"/>
        <v>North Scott (Eldridge),IA</v>
      </c>
      <c r="G630" s="65" t="s">
        <v>3887</v>
      </c>
      <c r="H630" s="65">
        <v>41.652767799999999</v>
      </c>
      <c r="I630" s="65">
        <v>-90.584268199999997</v>
      </c>
      <c r="J630" s="60" t="str">
        <f ca="1">IFERROR(__xludf.DUMMYFUNCTION("SPLIT(G630,"","")"),"200 S 1st St")</f>
        <v>200 S 1st St</v>
      </c>
      <c r="K630" s="2" t="str">
        <f ca="1">IFERROR(__xludf.DUMMYFUNCTION("""COMPUTED_VALUE""")," Eldridge")</f>
        <v xml:space="preserve"> Eldridge</v>
      </c>
      <c r="L630" s="2" t="str">
        <f ca="1">IFERROR(__xludf.DUMMYFUNCTION("""COMPUTED_VALUE""")," IA 52748")</f>
        <v xml:space="preserve"> IA 52748</v>
      </c>
      <c r="M630" s="2" t="str">
        <f ca="1">IFERROR(__xludf.DUMMYFUNCTION("""COMPUTED_VALUE""")," USA")</f>
        <v xml:space="preserve"> USA</v>
      </c>
      <c r="P630" s="60"/>
    </row>
    <row r="631" spans="1:16">
      <c r="A631" s="60">
        <v>630</v>
      </c>
      <c r="B631" s="79" t="s">
        <v>3891</v>
      </c>
      <c r="C631" s="60" t="s">
        <v>595</v>
      </c>
      <c r="D631" s="93" t="s">
        <v>3892</v>
      </c>
      <c r="E631" s="48" t="str">
        <f t="shared" si="0"/>
        <v>Port Arthur</v>
      </c>
      <c r="F631" s="83" t="str">
        <f t="shared" si="1"/>
        <v>Port Arthur Memorial (Port Arthur),TX</v>
      </c>
      <c r="G631" s="60" t="s">
        <v>3893</v>
      </c>
      <c r="H631" s="60">
        <v>29.9320667</v>
      </c>
      <c r="I631" s="60">
        <v>-93.974402099999992</v>
      </c>
      <c r="J631" s="60" t="str">
        <f ca="1">IFERROR(__xludf.DUMMYFUNCTION("SPLIT(G631,"","")"),"US-96")</f>
        <v>US-96</v>
      </c>
      <c r="K631" s="2" t="str">
        <f ca="1">IFERROR(__xludf.DUMMYFUNCTION("""COMPUTED_VALUE""")," Port Arthur")</f>
        <v xml:space="preserve"> Port Arthur</v>
      </c>
      <c r="L631" s="2" t="str">
        <f ca="1">IFERROR(__xludf.DUMMYFUNCTION("""COMPUTED_VALUE""")," TX 77642")</f>
        <v xml:space="preserve"> TX 77642</v>
      </c>
      <c r="M631" s="2" t="str">
        <f ca="1">IFERROR(__xludf.DUMMYFUNCTION("""COMPUTED_VALUE""")," USA")</f>
        <v xml:space="preserve"> USA</v>
      </c>
      <c r="P631" s="60"/>
    </row>
    <row r="632" spans="1:16">
      <c r="A632" s="65">
        <v>631</v>
      </c>
      <c r="B632" s="80" t="s">
        <v>3897</v>
      </c>
      <c r="C632" s="65" t="s">
        <v>693</v>
      </c>
      <c r="D632" s="93" t="s">
        <v>3898</v>
      </c>
      <c r="E632" s="48" t="str">
        <f t="shared" si="0"/>
        <v>Raymond</v>
      </c>
      <c r="F632" s="83" t="str">
        <f t="shared" si="1"/>
        <v>Raymond,MS</v>
      </c>
      <c r="G632" s="65" t="s">
        <v>3899</v>
      </c>
      <c r="H632" s="65">
        <v>32.259314600000003</v>
      </c>
      <c r="I632" s="65">
        <v>-90.422595099999995</v>
      </c>
      <c r="J632" s="60" t="str">
        <f ca="1">IFERROR(__xludf.DUMMYFUNCTION("SPLIT(G632,"","")"),"110 E Main St")</f>
        <v>110 E Main St</v>
      </c>
      <c r="K632" s="2" t="str">
        <f ca="1">IFERROR(__xludf.DUMMYFUNCTION("""COMPUTED_VALUE""")," Raymond")</f>
        <v xml:space="preserve"> Raymond</v>
      </c>
      <c r="L632" s="2" t="str">
        <f ca="1">IFERROR(__xludf.DUMMYFUNCTION("""COMPUTED_VALUE""")," MS 39154")</f>
        <v xml:space="preserve"> MS 39154</v>
      </c>
      <c r="M632" s="2" t="str">
        <f ca="1">IFERROR(__xludf.DUMMYFUNCTION("""COMPUTED_VALUE""")," USA")</f>
        <v xml:space="preserve"> USA</v>
      </c>
      <c r="P632" s="60"/>
    </row>
    <row r="633" spans="1:16">
      <c r="A633" s="60">
        <v>632</v>
      </c>
      <c r="B633" s="79" t="s">
        <v>3904</v>
      </c>
      <c r="C633" s="60" t="s">
        <v>897</v>
      </c>
      <c r="D633" s="93" t="s">
        <v>3905</v>
      </c>
      <c r="E633" s="48" t="str">
        <f t="shared" si="0"/>
        <v>Jefferson City</v>
      </c>
      <c r="F633" s="83" t="str">
        <f t="shared" si="1"/>
        <v>Helias (Jefferson City),MO</v>
      </c>
      <c r="G633" s="60" t="s">
        <v>3906</v>
      </c>
      <c r="H633" s="60">
        <v>38.567341999999996</v>
      </c>
      <c r="I633" s="60">
        <v>-92.192813000000001</v>
      </c>
      <c r="J633" s="60" t="str">
        <f ca="1">IFERROR(__xludf.DUMMYFUNCTION("SPLIT(G633,"","")"),"1305 Swifts Hwy")</f>
        <v>1305 Swifts Hwy</v>
      </c>
      <c r="K633" s="2" t="str">
        <f ca="1">IFERROR(__xludf.DUMMYFUNCTION("""COMPUTED_VALUE""")," Jefferson City")</f>
        <v xml:space="preserve"> Jefferson City</v>
      </c>
      <c r="L633" s="2" t="str">
        <f ca="1">IFERROR(__xludf.DUMMYFUNCTION("""COMPUTED_VALUE""")," MO 65109")</f>
        <v xml:space="preserve"> MO 65109</v>
      </c>
      <c r="M633" s="2" t="str">
        <f ca="1">IFERROR(__xludf.DUMMYFUNCTION("""COMPUTED_VALUE""")," USA")</f>
        <v xml:space="preserve"> USA</v>
      </c>
      <c r="P633" s="60"/>
    </row>
    <row r="634" spans="1:16">
      <c r="A634" s="65">
        <v>633</v>
      </c>
      <c r="B634" s="80" t="s">
        <v>3909</v>
      </c>
      <c r="C634" s="65" t="s">
        <v>593</v>
      </c>
      <c r="D634" s="93" t="s">
        <v>630</v>
      </c>
      <c r="E634" s="48" t="str">
        <f t="shared" si="0"/>
        <v>Las Vegas</v>
      </c>
      <c r="F634" s="83" t="str">
        <f t="shared" si="1"/>
        <v>Spring Valley (Las Vegas),NV</v>
      </c>
      <c r="G634" s="65" t="s">
        <v>3910</v>
      </c>
      <c r="H634" s="65">
        <v>36.1080258</v>
      </c>
      <c r="I634" s="65">
        <v>-115.2450006</v>
      </c>
      <c r="J634" s="60" t="str">
        <f ca="1">IFERROR(__xludf.DUMMYFUNCTION("SPLIT(G634,"","")"),"4446 Verdugo St")</f>
        <v>4446 Verdugo St</v>
      </c>
      <c r="K634" s="2" t="str">
        <f ca="1">IFERROR(__xludf.DUMMYFUNCTION("""COMPUTED_VALUE""")," Las Vegas")</f>
        <v xml:space="preserve"> Las Vegas</v>
      </c>
      <c r="L634" s="2" t="str">
        <f ca="1">IFERROR(__xludf.DUMMYFUNCTION("""COMPUTED_VALUE""")," NV 89147")</f>
        <v xml:space="preserve"> NV 89147</v>
      </c>
      <c r="M634" s="2" t="str">
        <f ca="1">IFERROR(__xludf.DUMMYFUNCTION("""COMPUTED_VALUE""")," USA")</f>
        <v xml:space="preserve"> USA</v>
      </c>
      <c r="P634" s="60"/>
    </row>
    <row r="635" spans="1:16">
      <c r="A635" s="60">
        <v>634</v>
      </c>
      <c r="B635" s="79" t="s">
        <v>3915</v>
      </c>
      <c r="C635" s="60" t="s">
        <v>618</v>
      </c>
      <c r="D635" s="93" t="s">
        <v>1757</v>
      </c>
      <c r="E635" s="48" t="str">
        <f t="shared" si="0"/>
        <v>Fort Wayne</v>
      </c>
      <c r="F635" s="83" t="str">
        <f t="shared" si="1"/>
        <v>Fort Wayne Snider (Fort Wayne),IN</v>
      </c>
      <c r="G635" s="60" t="s">
        <v>3918</v>
      </c>
      <c r="H635" s="60">
        <v>41.107049699999997</v>
      </c>
      <c r="I635" s="60">
        <v>-85.082158399999997</v>
      </c>
      <c r="J635" s="60" t="str">
        <f ca="1">IFERROR(__xludf.DUMMYFUNCTION("SPLIT(G635,"","")"),"4600 Fairlawn Pass")</f>
        <v>4600 Fairlawn Pass</v>
      </c>
      <c r="K635" s="2" t="str">
        <f ca="1">IFERROR(__xludf.DUMMYFUNCTION("""COMPUTED_VALUE""")," Fort Wayne")</f>
        <v xml:space="preserve"> Fort Wayne</v>
      </c>
      <c r="L635" s="2" t="str">
        <f ca="1">IFERROR(__xludf.DUMMYFUNCTION("""COMPUTED_VALUE""")," IN 46815")</f>
        <v xml:space="preserve"> IN 46815</v>
      </c>
      <c r="M635" s="2" t="str">
        <f ca="1">IFERROR(__xludf.DUMMYFUNCTION("""COMPUTED_VALUE""")," USA")</f>
        <v xml:space="preserve"> USA</v>
      </c>
      <c r="P635" s="60"/>
    </row>
    <row r="636" spans="1:16">
      <c r="A636" s="65">
        <v>635</v>
      </c>
      <c r="B636" s="80" t="s">
        <v>3923</v>
      </c>
      <c r="C636" s="65" t="s">
        <v>604</v>
      </c>
      <c r="D636" s="93" t="s">
        <v>3924</v>
      </c>
      <c r="E636" s="48" t="str">
        <f t="shared" si="0"/>
        <v>Darien</v>
      </c>
      <c r="F636" s="83" t="str">
        <f t="shared" si="1"/>
        <v>Hinsdale South (Darien),IL</v>
      </c>
      <c r="G636" s="65" t="s">
        <v>3925</v>
      </c>
      <c r="H636" s="65">
        <v>41.753729700000001</v>
      </c>
      <c r="I636" s="65">
        <v>-87.952791099999999</v>
      </c>
      <c r="J636" s="60" t="str">
        <f ca="1">IFERROR(__xludf.DUMMYFUNCTION("SPLIT(G636,"","")"),"7401 Clarendon Hills Rd")</f>
        <v>7401 Clarendon Hills Rd</v>
      </c>
      <c r="K636" s="2" t="str">
        <f ca="1">IFERROR(__xludf.DUMMYFUNCTION("""COMPUTED_VALUE""")," Darien")</f>
        <v xml:space="preserve"> Darien</v>
      </c>
      <c r="L636" s="2" t="str">
        <f ca="1">IFERROR(__xludf.DUMMYFUNCTION("""COMPUTED_VALUE""")," IL 60561")</f>
        <v xml:space="preserve"> IL 60561</v>
      </c>
      <c r="M636" s="2" t="str">
        <f ca="1">IFERROR(__xludf.DUMMYFUNCTION("""COMPUTED_VALUE""")," USA")</f>
        <v xml:space="preserve"> USA</v>
      </c>
      <c r="P636" s="60"/>
    </row>
    <row r="637" spans="1:16">
      <c r="A637" s="60">
        <v>636</v>
      </c>
      <c r="B637" s="79" t="s">
        <v>3930</v>
      </c>
      <c r="C637" s="60" t="s">
        <v>183</v>
      </c>
      <c r="D637" s="93" t="s">
        <v>1599</v>
      </c>
      <c r="E637" s="48" t="str">
        <f t="shared" si="0"/>
        <v>Buffalo</v>
      </c>
      <c r="F637" s="83" t="str">
        <f t="shared" si="1"/>
        <v>The Park School of Buffalo (Buffalo),NY</v>
      </c>
      <c r="G637" s="60" t="s">
        <v>3933</v>
      </c>
      <c r="H637" s="60">
        <v>42.9672591</v>
      </c>
      <c r="I637" s="60">
        <v>-78.781267799999995</v>
      </c>
      <c r="J637" s="60" t="str">
        <f ca="1">IFERROR(__xludf.DUMMYFUNCTION("SPLIT(G637,"","")"),"4625 Harlem Rd")</f>
        <v>4625 Harlem Rd</v>
      </c>
      <c r="K637" s="2" t="str">
        <f ca="1">IFERROR(__xludf.DUMMYFUNCTION("""COMPUTED_VALUE""")," Buffalo")</f>
        <v xml:space="preserve"> Buffalo</v>
      </c>
      <c r="L637" s="2" t="str">
        <f ca="1">IFERROR(__xludf.DUMMYFUNCTION("""COMPUTED_VALUE""")," NY 14226")</f>
        <v xml:space="preserve"> NY 14226</v>
      </c>
      <c r="M637" s="2" t="str">
        <f ca="1">IFERROR(__xludf.DUMMYFUNCTION("""COMPUTED_VALUE""")," USA")</f>
        <v xml:space="preserve"> USA</v>
      </c>
      <c r="P637" s="60"/>
    </row>
    <row r="638" spans="1:16">
      <c r="A638" s="65">
        <v>637</v>
      </c>
      <c r="B638" s="80" t="s">
        <v>3938</v>
      </c>
      <c r="C638" s="65" t="s">
        <v>588</v>
      </c>
      <c r="D638" s="93" t="s">
        <v>3939</v>
      </c>
      <c r="E638" s="48" t="str">
        <f t="shared" si="0"/>
        <v>Harbor City</v>
      </c>
      <c r="F638" s="83" t="str">
        <f t="shared" si="1"/>
        <v>Rolling Hills Prep (San Pedro),CA</v>
      </c>
      <c r="G638" s="65" t="s">
        <v>3941</v>
      </c>
      <c r="H638" s="65">
        <v>33.779177799999999</v>
      </c>
      <c r="I638" s="65">
        <v>-118.30150449999999</v>
      </c>
      <c r="J638" s="60" t="str">
        <f ca="1">IFERROR(__xludf.DUMMYFUNCTION("SPLIT(G638,"","")"),"1500 Palos Verdes Dr N")</f>
        <v>1500 Palos Verdes Dr N</v>
      </c>
      <c r="K638" s="2" t="str">
        <f ca="1">IFERROR(__xludf.DUMMYFUNCTION("""COMPUTED_VALUE""")," Harbor City")</f>
        <v xml:space="preserve"> Harbor City</v>
      </c>
      <c r="L638" s="2" t="str">
        <f ca="1">IFERROR(__xludf.DUMMYFUNCTION("""COMPUTED_VALUE""")," CA 90710")</f>
        <v xml:space="preserve"> CA 90710</v>
      </c>
      <c r="M638" s="2" t="str">
        <f ca="1">IFERROR(__xludf.DUMMYFUNCTION("""COMPUTED_VALUE""")," USA")</f>
        <v xml:space="preserve"> USA</v>
      </c>
      <c r="P638" s="60"/>
    </row>
    <row r="639" spans="1:16">
      <c r="A639" s="60">
        <v>638</v>
      </c>
      <c r="B639" s="79" t="s">
        <v>3944</v>
      </c>
      <c r="C639" s="60" t="s">
        <v>624</v>
      </c>
      <c r="D639" s="93" t="s">
        <v>3945</v>
      </c>
      <c r="E639" s="48" t="str">
        <f t="shared" si="0"/>
        <v>Kenner</v>
      </c>
      <c r="F639" s="83" t="str">
        <f t="shared" si="1"/>
        <v>Bonnabel (Kenner),LA</v>
      </c>
      <c r="G639" s="60" t="s">
        <v>3946</v>
      </c>
      <c r="H639" s="60">
        <v>30.011090100000001</v>
      </c>
      <c r="I639" s="60">
        <v>-90.227252899999996</v>
      </c>
      <c r="J639" s="60" t="str">
        <f ca="1">IFERROR(__xludf.DUMMYFUNCTION("SPLIT(G639,"","")"),"2801 Bruin Dr")</f>
        <v>2801 Bruin Dr</v>
      </c>
      <c r="K639" s="2" t="str">
        <f ca="1">IFERROR(__xludf.DUMMYFUNCTION("""COMPUTED_VALUE""")," Kenner")</f>
        <v xml:space="preserve"> Kenner</v>
      </c>
      <c r="L639" s="2" t="str">
        <f ca="1">IFERROR(__xludf.DUMMYFUNCTION("""COMPUTED_VALUE""")," LA 70065")</f>
        <v xml:space="preserve"> LA 70065</v>
      </c>
      <c r="M639" s="2" t="str">
        <f ca="1">IFERROR(__xludf.DUMMYFUNCTION("""COMPUTED_VALUE""")," USA")</f>
        <v xml:space="preserve"> USA</v>
      </c>
      <c r="P639" s="60"/>
    </row>
    <row r="640" spans="1:16">
      <c r="A640" s="65">
        <v>639</v>
      </c>
      <c r="B640" s="80" t="s">
        <v>3948</v>
      </c>
      <c r="C640" s="65" t="s">
        <v>588</v>
      </c>
      <c r="D640" s="93" t="s">
        <v>3950</v>
      </c>
      <c r="E640" s="48" t="str">
        <f t="shared" si="0"/>
        <v>San Gabriel</v>
      </c>
      <c r="F640" s="83" t="str">
        <f t="shared" si="1"/>
        <v>San Gabriel Academy (San Gabriel),CA</v>
      </c>
      <c r="G640" s="65" t="s">
        <v>3951</v>
      </c>
      <c r="H640" s="65">
        <v>34.099430599999998</v>
      </c>
      <c r="I640" s="65">
        <v>-118.0764427</v>
      </c>
      <c r="J640" s="60" t="str">
        <f ca="1">IFERROR(__xludf.DUMMYFUNCTION("SPLIT(G640,"","")"),"8827 E Broadway")</f>
        <v>8827 E Broadway</v>
      </c>
      <c r="K640" s="2" t="str">
        <f ca="1">IFERROR(__xludf.DUMMYFUNCTION("""COMPUTED_VALUE""")," San Gabriel")</f>
        <v xml:space="preserve"> San Gabriel</v>
      </c>
      <c r="L640" s="2" t="str">
        <f ca="1">IFERROR(__xludf.DUMMYFUNCTION("""COMPUTED_VALUE""")," CA 91776")</f>
        <v xml:space="preserve"> CA 91776</v>
      </c>
      <c r="M640" s="2" t="str">
        <f ca="1">IFERROR(__xludf.DUMMYFUNCTION("""COMPUTED_VALUE""")," USA")</f>
        <v xml:space="preserve"> USA</v>
      </c>
      <c r="P640" s="60"/>
    </row>
    <row r="641" spans="1:16">
      <c r="A641" s="60">
        <v>640</v>
      </c>
      <c r="B641" s="79" t="s">
        <v>3953</v>
      </c>
      <c r="C641" s="60" t="s">
        <v>71</v>
      </c>
      <c r="D641" s="93" t="s">
        <v>1152</v>
      </c>
      <c r="E641" s="48" t="str">
        <f t="shared" si="0"/>
        <v>Phoenix</v>
      </c>
      <c r="F641" s="83" t="str">
        <f t="shared" si="1"/>
        <v>St. Mary's (Phoenix),AZ</v>
      </c>
      <c r="G641" s="60" t="s">
        <v>3955</v>
      </c>
      <c r="H641" s="60">
        <v>33.474949799999997</v>
      </c>
      <c r="I641" s="60">
        <v>-112.06865860000001</v>
      </c>
      <c r="J641" s="60" t="str">
        <f ca="1">IFERROR(__xludf.DUMMYFUNCTION("SPLIT(G641,"","")"),"2525 N 3rd St")</f>
        <v>2525 N 3rd St</v>
      </c>
      <c r="K641" s="2" t="str">
        <f ca="1">IFERROR(__xludf.DUMMYFUNCTION("""COMPUTED_VALUE""")," Phoenix")</f>
        <v xml:space="preserve"> Phoenix</v>
      </c>
      <c r="L641" s="2" t="str">
        <f ca="1">IFERROR(__xludf.DUMMYFUNCTION("""COMPUTED_VALUE""")," AZ 85004")</f>
        <v xml:space="preserve"> AZ 85004</v>
      </c>
      <c r="M641" s="2" t="str">
        <f ca="1">IFERROR(__xludf.DUMMYFUNCTION("""COMPUTED_VALUE""")," USA")</f>
        <v xml:space="preserve"> USA</v>
      </c>
      <c r="P641" s="60"/>
    </row>
    <row r="642" spans="1:16">
      <c r="A642" s="65">
        <v>641</v>
      </c>
      <c r="B642" s="80" t="s">
        <v>3958</v>
      </c>
      <c r="C642" s="65" t="s">
        <v>1370</v>
      </c>
      <c r="D642" s="93" t="s">
        <v>3959</v>
      </c>
      <c r="E642" s="48" t="str">
        <f t="shared" si="0"/>
        <v>Sioux Falls</v>
      </c>
      <c r="F642" s="83" t="str">
        <f t="shared" si="1"/>
        <v>Sioux Falls Christian (Sioux Falls),SD</v>
      </c>
      <c r="G642" s="65" t="s">
        <v>3960</v>
      </c>
      <c r="H642" s="65">
        <v>43.488045700000001</v>
      </c>
      <c r="I642" s="65">
        <v>-96.699751999999989</v>
      </c>
      <c r="J642" s="60" t="str">
        <f ca="1">IFERROR(__xludf.DUMMYFUNCTION("SPLIT(G642,"","")"),"6120 S Charger Cir")</f>
        <v>6120 S Charger Cir</v>
      </c>
      <c r="K642" s="2" t="str">
        <f ca="1">IFERROR(__xludf.DUMMYFUNCTION("""COMPUTED_VALUE""")," Sioux Falls")</f>
        <v xml:space="preserve"> Sioux Falls</v>
      </c>
      <c r="L642" s="2" t="str">
        <f ca="1">IFERROR(__xludf.DUMMYFUNCTION("""COMPUTED_VALUE""")," SD 57108")</f>
        <v xml:space="preserve"> SD 57108</v>
      </c>
      <c r="M642" s="2" t="str">
        <f ca="1">IFERROR(__xludf.DUMMYFUNCTION("""COMPUTED_VALUE""")," USA")</f>
        <v xml:space="preserve"> USA</v>
      </c>
      <c r="P642" s="60"/>
    </row>
    <row r="643" spans="1:16">
      <c r="A643" s="60">
        <v>642</v>
      </c>
      <c r="B643" s="79" t="s">
        <v>3963</v>
      </c>
      <c r="C643" s="60" t="s">
        <v>71</v>
      </c>
      <c r="D643" s="93" t="s">
        <v>1152</v>
      </c>
      <c r="E643" s="48" t="str">
        <f t="shared" si="0"/>
        <v>Phoenix</v>
      </c>
      <c r="F643" s="83" t="str">
        <f t="shared" si="1"/>
        <v>Sunnyslope (Phoenix),AZ</v>
      </c>
      <c r="G643" s="60" t="s">
        <v>3965</v>
      </c>
      <c r="H643" s="60">
        <v>33.565874800000003</v>
      </c>
      <c r="I643" s="60">
        <v>-112.0651494</v>
      </c>
      <c r="J643" s="60" t="str">
        <f ca="1">IFERROR(__xludf.DUMMYFUNCTION("SPLIT(G643,"","")"),"8841 N 7th St")</f>
        <v>8841 N 7th St</v>
      </c>
      <c r="K643" s="2" t="str">
        <f ca="1">IFERROR(__xludf.DUMMYFUNCTION("""COMPUTED_VALUE""")," Phoenix")</f>
        <v xml:space="preserve"> Phoenix</v>
      </c>
      <c r="L643" s="2" t="str">
        <f ca="1">IFERROR(__xludf.DUMMYFUNCTION("""COMPUTED_VALUE""")," AZ 85020")</f>
        <v xml:space="preserve"> AZ 85020</v>
      </c>
      <c r="M643" s="2" t="str">
        <f ca="1">IFERROR(__xludf.DUMMYFUNCTION("""COMPUTED_VALUE""")," USA")</f>
        <v xml:space="preserve"> USA</v>
      </c>
      <c r="P643" s="60"/>
    </row>
    <row r="644" spans="1:16">
      <c r="A644" s="65">
        <v>643</v>
      </c>
      <c r="B644" s="80" t="s">
        <v>3969</v>
      </c>
      <c r="C644" s="65" t="s">
        <v>897</v>
      </c>
      <c r="D644" s="93" t="s">
        <v>899</v>
      </c>
      <c r="E644" s="48" t="str">
        <f t="shared" si="0"/>
        <v>St. Louis</v>
      </c>
      <c r="F644" s="83" t="str">
        <f t="shared" si="1"/>
        <v>St. Louis Christian Academy (St. Louis),MO</v>
      </c>
      <c r="G644" s="65" t="s">
        <v>3972</v>
      </c>
      <c r="H644" s="65">
        <v>38.6166889</v>
      </c>
      <c r="I644" s="65">
        <v>-90.231956499999995</v>
      </c>
      <c r="J644" s="60" t="str">
        <f ca="1">IFERROR(__xludf.DUMMYFUNCTION("SPLIT(G644,"","")"),"3145 Lafayette Ave")</f>
        <v>3145 Lafayette Ave</v>
      </c>
      <c r="K644" s="2" t="str">
        <f ca="1">IFERROR(__xludf.DUMMYFUNCTION("""COMPUTED_VALUE""")," St. Louis")</f>
        <v xml:space="preserve"> St. Louis</v>
      </c>
      <c r="L644" s="2" t="str">
        <f ca="1">IFERROR(__xludf.DUMMYFUNCTION("""COMPUTED_VALUE""")," MO 63104")</f>
        <v xml:space="preserve"> MO 63104</v>
      </c>
      <c r="M644" s="2" t="str">
        <f ca="1">IFERROR(__xludf.DUMMYFUNCTION("""COMPUTED_VALUE""")," USA")</f>
        <v xml:space="preserve"> USA</v>
      </c>
      <c r="P644" s="60"/>
    </row>
    <row r="645" spans="1:16">
      <c r="A645" s="60">
        <v>644</v>
      </c>
      <c r="B645" s="79" t="s">
        <v>3976</v>
      </c>
      <c r="C645" s="60" t="s">
        <v>796</v>
      </c>
      <c r="D645" s="93" t="s">
        <v>3978</v>
      </c>
      <c r="E645" s="48" t="str">
        <f t="shared" si="0"/>
        <v>Hesston</v>
      </c>
      <c r="F645" s="83" t="str">
        <f t="shared" si="1"/>
        <v>Hesston,KS</v>
      </c>
      <c r="G645" s="60" t="s">
        <v>3980</v>
      </c>
      <c r="H645" s="60">
        <v>38.1383437</v>
      </c>
      <c r="I645" s="60">
        <v>-97.431426699999989</v>
      </c>
      <c r="J645" s="60" t="str">
        <f ca="1">IFERROR(__xludf.DUMMYFUNCTION("SPLIT(G645,"","")"),"100 N Main St")</f>
        <v>100 N Main St</v>
      </c>
      <c r="K645" s="2" t="str">
        <f ca="1">IFERROR(__xludf.DUMMYFUNCTION("""COMPUTED_VALUE""")," Hesston")</f>
        <v xml:space="preserve"> Hesston</v>
      </c>
      <c r="L645" s="2" t="str">
        <f ca="1">IFERROR(__xludf.DUMMYFUNCTION("""COMPUTED_VALUE""")," KS 67062")</f>
        <v xml:space="preserve"> KS 67062</v>
      </c>
      <c r="M645" s="2" t="str">
        <f ca="1">IFERROR(__xludf.DUMMYFUNCTION("""COMPUTED_VALUE""")," USA")</f>
        <v xml:space="preserve"> USA</v>
      </c>
      <c r="P645" s="60"/>
    </row>
    <row r="646" spans="1:16">
      <c r="A646" s="97">
        <v>645</v>
      </c>
      <c r="B646" s="99" t="s">
        <v>3983</v>
      </c>
      <c r="C646" s="97" t="s">
        <v>598</v>
      </c>
      <c r="D646" s="93" t="s">
        <v>1410</v>
      </c>
      <c r="E646" s="48" t="str">
        <f t="shared" si="0"/>
        <v>Canton</v>
      </c>
      <c r="F646" s="83" t="str">
        <f t="shared" si="1"/>
        <v>Cherokee (Canton),GA</v>
      </c>
      <c r="G646" s="97" t="s">
        <v>3984</v>
      </c>
      <c r="H646" s="97">
        <v>34.2367621</v>
      </c>
      <c r="I646" s="97">
        <v>-84.490762099999998</v>
      </c>
      <c r="J646" s="60" t="str">
        <f ca="1">IFERROR(__xludf.DUMMYFUNCTION("SPLIT(G646,"","")"),"101 E Main St")</f>
        <v>101 E Main St</v>
      </c>
      <c r="K646" s="2" t="str">
        <f ca="1">IFERROR(__xludf.DUMMYFUNCTION("""COMPUTED_VALUE""")," Canton")</f>
        <v xml:space="preserve"> Canton</v>
      </c>
      <c r="L646" s="2" t="str">
        <f ca="1">IFERROR(__xludf.DUMMYFUNCTION("""COMPUTED_VALUE""")," GA 30114")</f>
        <v xml:space="preserve"> GA 30114</v>
      </c>
      <c r="M646" s="2" t="str">
        <f ca="1">IFERROR(__xludf.DUMMYFUNCTION("""COMPUTED_VALUE""")," USA")</f>
        <v xml:space="preserve"> USA</v>
      </c>
      <c r="P646" s="60"/>
    </row>
    <row r="647" spans="1:16">
      <c r="A647" s="60">
        <v>646</v>
      </c>
      <c r="B647" s="79" t="s">
        <v>3989</v>
      </c>
      <c r="C647" s="60" t="s">
        <v>590</v>
      </c>
      <c r="D647" s="93" t="s">
        <v>3347</v>
      </c>
      <c r="E647" s="48" t="str">
        <f t="shared" si="0"/>
        <v>Potomac</v>
      </c>
      <c r="F647" s="83" t="str">
        <f t="shared" si="1"/>
        <v>Bullis (Potomac),MD</v>
      </c>
      <c r="G647" s="60" t="s">
        <v>3991</v>
      </c>
      <c r="H647" s="60">
        <v>39.0289815</v>
      </c>
      <c r="I647" s="60">
        <v>-77.198118399999998</v>
      </c>
      <c r="J647" s="60" t="str">
        <f ca="1">IFERROR(__xludf.DUMMYFUNCTION("SPLIT(G647,"","")"),"10601 Falls Rd")</f>
        <v>10601 Falls Rd</v>
      </c>
      <c r="K647" s="2" t="str">
        <f ca="1">IFERROR(__xludf.DUMMYFUNCTION("""COMPUTED_VALUE""")," Potomac")</f>
        <v xml:space="preserve"> Potomac</v>
      </c>
      <c r="L647" s="2" t="str">
        <f ca="1">IFERROR(__xludf.DUMMYFUNCTION("""COMPUTED_VALUE""")," MD 20854")</f>
        <v xml:space="preserve"> MD 20854</v>
      </c>
      <c r="M647" s="2" t="str">
        <f ca="1">IFERROR(__xludf.DUMMYFUNCTION("""COMPUTED_VALUE""")," USA")</f>
        <v xml:space="preserve"> USA</v>
      </c>
      <c r="P647" s="60"/>
    </row>
    <row r="648" spans="1:16">
      <c r="A648" s="65">
        <v>647</v>
      </c>
      <c r="B648" s="80" t="s">
        <v>3994</v>
      </c>
      <c r="C648" s="65" t="s">
        <v>608</v>
      </c>
      <c r="D648" s="93" t="s">
        <v>3996</v>
      </c>
      <c r="E648" s="48" t="str">
        <f t="shared" si="0"/>
        <v>Prior Lake</v>
      </c>
      <c r="F648" s="83" t="str">
        <f t="shared" si="1"/>
        <v>Prior Lake,MN</v>
      </c>
      <c r="G648" s="65" t="s">
        <v>3997</v>
      </c>
      <c r="H648" s="65">
        <v>44.713296900000003</v>
      </c>
      <c r="I648" s="65">
        <v>-93.422727399999999</v>
      </c>
      <c r="J648" s="60" t="str">
        <f ca="1">IFERROR(__xludf.DUMMYFUNCTION("SPLIT(G648,"","")"),"16268 Eagle Creek Ave SE")</f>
        <v>16268 Eagle Creek Ave SE</v>
      </c>
      <c r="K648" s="2" t="str">
        <f ca="1">IFERROR(__xludf.DUMMYFUNCTION("""COMPUTED_VALUE""")," Prior Lake")</f>
        <v xml:space="preserve"> Prior Lake</v>
      </c>
      <c r="L648" s="2" t="str">
        <f ca="1">IFERROR(__xludf.DUMMYFUNCTION("""COMPUTED_VALUE""")," MN 55372")</f>
        <v xml:space="preserve"> MN 55372</v>
      </c>
      <c r="M648" s="2" t="str">
        <f ca="1">IFERROR(__xludf.DUMMYFUNCTION("""COMPUTED_VALUE""")," USA")</f>
        <v xml:space="preserve"> USA</v>
      </c>
      <c r="P648" s="60"/>
    </row>
    <row r="649" spans="1:16">
      <c r="A649" s="60">
        <v>648</v>
      </c>
      <c r="B649" s="79" t="s">
        <v>233</v>
      </c>
      <c r="C649" s="60" t="s">
        <v>598</v>
      </c>
      <c r="D649" s="93" t="s">
        <v>4001</v>
      </c>
      <c r="E649" s="48" t="str">
        <f t="shared" si="0"/>
        <v>Swainsboro</v>
      </c>
      <c r="F649" s="83" t="str">
        <f t="shared" si="1"/>
        <v>Swainsboro,GA</v>
      </c>
      <c r="G649" s="60" t="s">
        <v>4003</v>
      </c>
      <c r="H649" s="60">
        <v>32.597385600000003</v>
      </c>
      <c r="I649" s="60">
        <v>-82.333737599999992</v>
      </c>
      <c r="J649" s="60" t="str">
        <f ca="1">IFERROR(__xludf.DUMMYFUNCTION("SPLIT(G649,"","")"),"101 S Main St")</f>
        <v>101 S Main St</v>
      </c>
      <c r="K649" s="2" t="str">
        <f ca="1">IFERROR(__xludf.DUMMYFUNCTION("""COMPUTED_VALUE""")," Swainsboro")</f>
        <v xml:space="preserve"> Swainsboro</v>
      </c>
      <c r="L649" s="2" t="str">
        <f ca="1">IFERROR(__xludf.DUMMYFUNCTION("""COMPUTED_VALUE""")," GA 30401")</f>
        <v xml:space="preserve"> GA 30401</v>
      </c>
      <c r="M649" s="2" t="str">
        <f ca="1">IFERROR(__xludf.DUMMYFUNCTION("""COMPUTED_VALUE""")," USA")</f>
        <v xml:space="preserve"> USA</v>
      </c>
      <c r="P649" s="60"/>
    </row>
    <row r="650" spans="1:16">
      <c r="A650" s="65">
        <v>649</v>
      </c>
      <c r="B650" s="80" t="s">
        <v>4006</v>
      </c>
      <c r="C650" s="65" t="s">
        <v>595</v>
      </c>
      <c r="D650" s="93" t="s">
        <v>3112</v>
      </c>
      <c r="E650" s="48" t="str">
        <f t="shared" si="0"/>
        <v>Amarillo</v>
      </c>
      <c r="F650" s="83" t="str">
        <f t="shared" si="1"/>
        <v>Tascosa (Amarillo),TX</v>
      </c>
      <c r="G650" s="65" t="s">
        <v>4009</v>
      </c>
      <c r="H650" s="65">
        <v>35.193667300000001</v>
      </c>
      <c r="I650" s="65">
        <v>-101.88043949999999</v>
      </c>
      <c r="J650" s="60" t="str">
        <f ca="1">IFERROR(__xludf.DUMMYFUNCTION("SPLIT(G650,"","")"),"3921 Westlawn Ave")</f>
        <v>3921 Westlawn Ave</v>
      </c>
      <c r="K650" s="2" t="str">
        <f ca="1">IFERROR(__xludf.DUMMYFUNCTION("""COMPUTED_VALUE""")," Amarillo")</f>
        <v xml:space="preserve"> Amarillo</v>
      </c>
      <c r="L650" s="2" t="str">
        <f ca="1">IFERROR(__xludf.DUMMYFUNCTION("""COMPUTED_VALUE""")," TX 79102")</f>
        <v xml:space="preserve"> TX 79102</v>
      </c>
      <c r="M650" s="2" t="str">
        <f ca="1">IFERROR(__xludf.DUMMYFUNCTION("""COMPUTED_VALUE""")," USA")</f>
        <v xml:space="preserve"> USA</v>
      </c>
      <c r="P650" s="60"/>
    </row>
    <row r="651" spans="1:16">
      <c r="A651" s="60">
        <v>650</v>
      </c>
      <c r="B651" s="79" t="s">
        <v>4012</v>
      </c>
      <c r="C651" s="60" t="s">
        <v>618</v>
      </c>
      <c r="D651" s="93" t="s">
        <v>680</v>
      </c>
      <c r="E651" s="48" t="str">
        <f t="shared" si="0"/>
        <v>Indianapolis</v>
      </c>
      <c r="F651" s="83" t="str">
        <f t="shared" si="1"/>
        <v>Pike (Indianapolis),IN</v>
      </c>
      <c r="G651" s="60" t="s">
        <v>4013</v>
      </c>
      <c r="H651" s="60">
        <v>39.860038199999998</v>
      </c>
      <c r="I651" s="60">
        <v>-86.276801599999999</v>
      </c>
      <c r="J651" s="60" t="str">
        <f ca="1">IFERROR(__xludf.DUMMYFUNCTION("SPLIT(G651,"","")"),"I-465")</f>
        <v>I-465</v>
      </c>
      <c r="K651" s="2" t="str">
        <f ca="1">IFERROR(__xludf.DUMMYFUNCTION("""COMPUTED_VALUE""")," Indianapolis")</f>
        <v xml:space="preserve"> Indianapolis</v>
      </c>
      <c r="L651" s="2" t="str">
        <f ca="1">IFERROR(__xludf.DUMMYFUNCTION("""COMPUTED_VALUE""")," IN 46254")</f>
        <v xml:space="preserve"> IN 46254</v>
      </c>
      <c r="M651" s="2" t="str">
        <f ca="1">IFERROR(__xludf.DUMMYFUNCTION("""COMPUTED_VALUE""")," USA")</f>
        <v xml:space="preserve"> USA</v>
      </c>
      <c r="P651" s="60"/>
    </row>
    <row r="652" spans="1:16">
      <c r="A652" s="60">
        <v>651</v>
      </c>
      <c r="B652" s="79" t="s">
        <v>4018</v>
      </c>
      <c r="C652" s="60" t="s">
        <v>606</v>
      </c>
      <c r="D652" s="93" t="s">
        <v>4019</v>
      </c>
      <c r="E652" s="48" t="str">
        <f t="shared" si="0"/>
        <v>West Columbia</v>
      </c>
      <c r="F652" s="83" t="str">
        <f t="shared" si="1"/>
        <v>Gray Collegiate Academy (West Columbia),SC</v>
      </c>
      <c r="G652" s="60" t="s">
        <v>4022</v>
      </c>
      <c r="H652" s="60">
        <v>34.004982300000002</v>
      </c>
      <c r="I652" s="60">
        <v>-81.141130199999992</v>
      </c>
      <c r="J652" s="60" t="str">
        <f ca="1">IFERROR(__xludf.DUMMYFUNCTION("SPLIT(G652,"","")"),"3833 Leaphart Rd")</f>
        <v>3833 Leaphart Rd</v>
      </c>
      <c r="K652" s="2" t="str">
        <f ca="1">IFERROR(__xludf.DUMMYFUNCTION("""COMPUTED_VALUE""")," West Columbia")</f>
        <v xml:space="preserve"> West Columbia</v>
      </c>
      <c r="L652" s="2" t="str">
        <f ca="1">IFERROR(__xludf.DUMMYFUNCTION("""COMPUTED_VALUE""")," SC 29169")</f>
        <v xml:space="preserve"> SC 29169</v>
      </c>
      <c r="M652" s="2" t="str">
        <f ca="1">IFERROR(__xludf.DUMMYFUNCTION("""COMPUTED_VALUE""")," USA")</f>
        <v xml:space="preserve"> USA</v>
      </c>
      <c r="P652" s="60"/>
    </row>
    <row r="653" spans="1:16">
      <c r="A653" s="65">
        <v>652</v>
      </c>
      <c r="B653" s="80" t="s">
        <v>4025</v>
      </c>
      <c r="C653" s="65" t="s">
        <v>598</v>
      </c>
      <c r="D653" s="93" t="s">
        <v>1281</v>
      </c>
      <c r="E653" s="48" t="str">
        <f t="shared" si="0"/>
        <v>Mableton</v>
      </c>
      <c r="F653" s="83" t="str">
        <f t="shared" si="1"/>
        <v>Pebblebrook (Mableton),GA</v>
      </c>
      <c r="G653" s="65" t="s">
        <v>4027</v>
      </c>
      <c r="H653" s="65">
        <v>33.806514700000001</v>
      </c>
      <c r="I653" s="65">
        <v>-84.581988600000003</v>
      </c>
      <c r="J653" s="60" t="str">
        <f ca="1">IFERROR(__xludf.DUMMYFUNCTION("SPLIT(G653,"","")"),"991 Old Alabama Rd SW")</f>
        <v>991 Old Alabama Rd SW</v>
      </c>
      <c r="K653" s="2" t="str">
        <f ca="1">IFERROR(__xludf.DUMMYFUNCTION("""COMPUTED_VALUE""")," Mableton")</f>
        <v xml:space="preserve"> Mableton</v>
      </c>
      <c r="L653" s="2" t="str">
        <f ca="1">IFERROR(__xludf.DUMMYFUNCTION("""COMPUTED_VALUE""")," GA 30126")</f>
        <v xml:space="preserve"> GA 30126</v>
      </c>
      <c r="M653" s="2" t="str">
        <f ca="1">IFERROR(__xludf.DUMMYFUNCTION("""COMPUTED_VALUE""")," USA")</f>
        <v xml:space="preserve"> USA</v>
      </c>
      <c r="P653" s="60"/>
    </row>
    <row r="654" spans="1:16">
      <c r="A654" s="60">
        <v>653</v>
      </c>
      <c r="B654" s="79" t="s">
        <v>4031</v>
      </c>
      <c r="C654" s="60" t="s">
        <v>595</v>
      </c>
      <c r="D654" s="93" t="s">
        <v>4032</v>
      </c>
      <c r="E654" s="48" t="str">
        <f t="shared" si="0"/>
        <v>Sienna Plantation</v>
      </c>
      <c r="F654" s="83" t="str">
        <f t="shared" si="1"/>
        <v>Ridge Point (Missouri City),TX</v>
      </c>
      <c r="G654" s="60" t="s">
        <v>4035</v>
      </c>
      <c r="H654" s="60">
        <v>29.484340599999999</v>
      </c>
      <c r="I654" s="60">
        <v>-95.513913599999995</v>
      </c>
      <c r="J654" s="60" t="str">
        <f ca="1">IFERROR(__xludf.DUMMYFUNCTION("SPLIT(G654,"","")"),"500 Waters Lake Blvd")</f>
        <v>500 Waters Lake Blvd</v>
      </c>
      <c r="K654" s="2" t="str">
        <f ca="1">IFERROR(__xludf.DUMMYFUNCTION("""COMPUTED_VALUE""")," Sienna Plantation")</f>
        <v xml:space="preserve"> Sienna Plantation</v>
      </c>
      <c r="L654" s="2" t="str">
        <f ca="1">IFERROR(__xludf.DUMMYFUNCTION("""COMPUTED_VALUE""")," TX 77459")</f>
        <v xml:space="preserve"> TX 77459</v>
      </c>
      <c r="M654" s="2" t="str">
        <f ca="1">IFERROR(__xludf.DUMMYFUNCTION("""COMPUTED_VALUE""")," USA")</f>
        <v xml:space="preserve"> USA</v>
      </c>
      <c r="P654" s="60"/>
    </row>
    <row r="655" spans="1:16">
      <c r="A655" s="65">
        <v>654</v>
      </c>
      <c r="B655" s="80" t="s">
        <v>4039</v>
      </c>
      <c r="C655" s="65" t="s">
        <v>588</v>
      </c>
      <c r="D655" s="93" t="s">
        <v>635</v>
      </c>
      <c r="E655" s="48" t="str">
        <f t="shared" si="0"/>
        <v>Los Angeles</v>
      </c>
      <c r="F655" s="83" t="str">
        <f t="shared" si="1"/>
        <v>Brentwood School (Los Angeles),CA</v>
      </c>
      <c r="G655" s="65" t="s">
        <v>4041</v>
      </c>
      <c r="H655" s="65">
        <v>34.067168000000002</v>
      </c>
      <c r="I655" s="65">
        <v>-118.468795</v>
      </c>
      <c r="J655" s="60" t="str">
        <f ca="1">IFERROR(__xludf.DUMMYFUNCTION("SPLIT(G655,"","")"),"100 S Barrington Pl")</f>
        <v>100 S Barrington Pl</v>
      </c>
      <c r="K655" s="2" t="str">
        <f ca="1">IFERROR(__xludf.DUMMYFUNCTION("""COMPUTED_VALUE""")," Los Angeles")</f>
        <v xml:space="preserve"> Los Angeles</v>
      </c>
      <c r="L655" s="2" t="str">
        <f ca="1">IFERROR(__xludf.DUMMYFUNCTION("""COMPUTED_VALUE""")," CA 90049")</f>
        <v xml:space="preserve"> CA 90049</v>
      </c>
      <c r="M655" s="2" t="str">
        <f ca="1">IFERROR(__xludf.DUMMYFUNCTION("""COMPUTED_VALUE""")," USA")</f>
        <v xml:space="preserve"> USA</v>
      </c>
      <c r="P655" s="60"/>
    </row>
    <row r="656" spans="1:16">
      <c r="A656" s="60">
        <v>655</v>
      </c>
      <c r="B656" s="79" t="s">
        <v>4044</v>
      </c>
      <c r="C656" s="60" t="s">
        <v>588</v>
      </c>
      <c r="D656" s="93" t="s">
        <v>4046</v>
      </c>
      <c r="E656" s="48" t="str">
        <f t="shared" si="0"/>
        <v>Poway</v>
      </c>
      <c r="F656" s="83" t="str">
        <f t="shared" si="1"/>
        <v>Poway,CA</v>
      </c>
      <c r="G656" s="60" t="s">
        <v>4047</v>
      </c>
      <c r="H656" s="60">
        <v>32.962823200000003</v>
      </c>
      <c r="I656" s="60">
        <v>-117.0358646</v>
      </c>
      <c r="J656" s="60" t="str">
        <f ca="1">IFERROR(__xludf.DUMMYFUNCTION("SPLIT(G656,"","")"),"13608 Putney Rd")</f>
        <v>13608 Putney Rd</v>
      </c>
      <c r="K656" s="2" t="str">
        <f ca="1">IFERROR(__xludf.DUMMYFUNCTION("""COMPUTED_VALUE""")," Poway")</f>
        <v xml:space="preserve"> Poway</v>
      </c>
      <c r="L656" s="2" t="str">
        <f ca="1">IFERROR(__xludf.DUMMYFUNCTION("""COMPUTED_VALUE""")," CA 92064")</f>
        <v xml:space="preserve"> CA 92064</v>
      </c>
      <c r="M656" s="2" t="str">
        <f ca="1">IFERROR(__xludf.DUMMYFUNCTION("""COMPUTED_VALUE""")," USA")</f>
        <v xml:space="preserve"> USA</v>
      </c>
      <c r="P656" s="60"/>
    </row>
    <row r="657" spans="1:16">
      <c r="A657" s="65">
        <v>656</v>
      </c>
      <c r="B657" s="80" t="s">
        <v>279</v>
      </c>
      <c r="C657" s="65" t="s">
        <v>69</v>
      </c>
      <c r="D657" s="93" t="s">
        <v>4052</v>
      </c>
      <c r="E657" s="48" t="str">
        <f t="shared" si="0"/>
        <v>Oxford</v>
      </c>
      <c r="F657" s="83" t="str">
        <f t="shared" si="1"/>
        <v>Oxford,AL</v>
      </c>
      <c r="G657" s="65" t="s">
        <v>4054</v>
      </c>
      <c r="H657" s="65">
        <v>33.6142714</v>
      </c>
      <c r="I657" s="65">
        <v>-85.834964799999995</v>
      </c>
      <c r="J657" s="60" t="str">
        <f ca="1">IFERROR(__xludf.DUMMYFUNCTION("SPLIT(G657,"","")"),"2 Snow St")</f>
        <v>2 Snow St</v>
      </c>
      <c r="K657" s="2" t="str">
        <f ca="1">IFERROR(__xludf.DUMMYFUNCTION("""COMPUTED_VALUE""")," Oxford")</f>
        <v xml:space="preserve"> Oxford</v>
      </c>
      <c r="L657" s="2" t="str">
        <f ca="1">IFERROR(__xludf.DUMMYFUNCTION("""COMPUTED_VALUE""")," AL 36203")</f>
        <v xml:space="preserve"> AL 36203</v>
      </c>
      <c r="M657" s="2" t="str">
        <f ca="1">IFERROR(__xludf.DUMMYFUNCTION("""COMPUTED_VALUE""")," USA")</f>
        <v xml:space="preserve"> USA</v>
      </c>
      <c r="P657" s="60"/>
    </row>
    <row r="658" spans="1:16">
      <c r="A658" s="60">
        <v>657</v>
      </c>
      <c r="B658" s="79" t="s">
        <v>4057</v>
      </c>
      <c r="C658" s="60" t="s">
        <v>1370</v>
      </c>
      <c r="D658" s="93" t="s">
        <v>4058</v>
      </c>
      <c r="E658" s="48" t="str">
        <f t="shared" si="0"/>
        <v>Yankton</v>
      </c>
      <c r="F658" s="83" t="str">
        <f t="shared" si="1"/>
        <v>Yankton,SD</v>
      </c>
      <c r="G658" s="60" t="s">
        <v>4060</v>
      </c>
      <c r="H658" s="60">
        <v>42.871108799999988</v>
      </c>
      <c r="I658" s="60">
        <v>-97.397281299999989</v>
      </c>
      <c r="J658" s="60" t="str">
        <f ca="1">IFERROR(__xludf.DUMMYFUNCTION("SPLIT(G658,"","")"),"333 Broadway Ave")</f>
        <v>333 Broadway Ave</v>
      </c>
      <c r="K658" s="2" t="str">
        <f ca="1">IFERROR(__xludf.DUMMYFUNCTION("""COMPUTED_VALUE""")," Yankton")</f>
        <v xml:space="preserve"> Yankton</v>
      </c>
      <c r="L658" s="2" t="str">
        <f ca="1">IFERROR(__xludf.DUMMYFUNCTION("""COMPUTED_VALUE""")," SD 57078")</f>
        <v xml:space="preserve"> SD 57078</v>
      </c>
      <c r="M658" s="2" t="str">
        <f ca="1">IFERROR(__xludf.DUMMYFUNCTION("""COMPUTED_VALUE""")," USA")</f>
        <v xml:space="preserve"> USA</v>
      </c>
      <c r="P658" s="60"/>
    </row>
    <row r="659" spans="1:16">
      <c r="A659" s="65">
        <v>658</v>
      </c>
      <c r="B659" s="80" t="s">
        <v>4063</v>
      </c>
      <c r="C659" s="65" t="s">
        <v>675</v>
      </c>
      <c r="D659" s="93" t="s">
        <v>705</v>
      </c>
      <c r="E659" s="48" t="str">
        <f t="shared" si="0"/>
        <v>Philadelphia</v>
      </c>
      <c r="F659" s="83" t="str">
        <f t="shared" si="1"/>
        <v>Imhotep Charter (Philadelphia),PA</v>
      </c>
      <c r="G659" s="65" t="s">
        <v>4066</v>
      </c>
      <c r="H659" s="65">
        <v>40.0492457</v>
      </c>
      <c r="I659" s="65">
        <v>-75.154720499999996</v>
      </c>
      <c r="J659" s="60" t="str">
        <f ca="1">IFERROR(__xludf.DUMMYFUNCTION("SPLIT(G659,"","")"),"6201 N 21st St")</f>
        <v>6201 N 21st St</v>
      </c>
      <c r="K659" s="2" t="str">
        <f ca="1">IFERROR(__xludf.DUMMYFUNCTION("""COMPUTED_VALUE""")," Philadelphia")</f>
        <v xml:space="preserve"> Philadelphia</v>
      </c>
      <c r="L659" s="2" t="str">
        <f ca="1">IFERROR(__xludf.DUMMYFUNCTION("""COMPUTED_VALUE""")," PA 19138")</f>
        <v xml:space="preserve"> PA 19138</v>
      </c>
      <c r="M659" s="2" t="str">
        <f ca="1">IFERROR(__xludf.DUMMYFUNCTION("""COMPUTED_VALUE""")," USA")</f>
        <v xml:space="preserve"> USA</v>
      </c>
      <c r="P659" s="60"/>
    </row>
    <row r="660" spans="1:16">
      <c r="A660" s="60">
        <v>659</v>
      </c>
      <c r="B660" s="79" t="s">
        <v>4069</v>
      </c>
      <c r="C660" s="60" t="s">
        <v>588</v>
      </c>
      <c r="D660" s="93" t="s">
        <v>666</v>
      </c>
      <c r="E660" s="48" t="str">
        <f t="shared" si="0"/>
        <v>Lakewood</v>
      </c>
      <c r="F660" s="83" t="str">
        <f t="shared" si="1"/>
        <v>Mayfair (Lakewood),CA</v>
      </c>
      <c r="G660" s="60" t="s">
        <v>4071</v>
      </c>
      <c r="H660" s="60">
        <v>33.8642222</v>
      </c>
      <c r="I660" s="60">
        <v>-118.1161944</v>
      </c>
      <c r="J660" s="60" t="str">
        <f ca="1">IFERROR(__xludf.DUMMYFUNCTION("SPLIT(G660,"","")"),"6000 Woodruff Ave")</f>
        <v>6000 Woodruff Ave</v>
      </c>
      <c r="K660" s="2" t="str">
        <f ca="1">IFERROR(__xludf.DUMMYFUNCTION("""COMPUTED_VALUE""")," Lakewood")</f>
        <v xml:space="preserve"> Lakewood</v>
      </c>
      <c r="L660" s="2" t="str">
        <f ca="1">IFERROR(__xludf.DUMMYFUNCTION("""COMPUTED_VALUE""")," CA 90713")</f>
        <v xml:space="preserve"> CA 90713</v>
      </c>
      <c r="M660" s="2" t="str">
        <f ca="1">IFERROR(__xludf.DUMMYFUNCTION("""COMPUTED_VALUE""")," USA")</f>
        <v xml:space="preserve"> USA</v>
      </c>
      <c r="P660" s="60"/>
    </row>
    <row r="661" spans="1:16">
      <c r="A661" s="65">
        <v>660</v>
      </c>
      <c r="B661" s="80" t="s">
        <v>4073</v>
      </c>
      <c r="C661" s="65" t="s">
        <v>595</v>
      </c>
      <c r="D661" s="93" t="s">
        <v>4074</v>
      </c>
      <c r="E661" s="48" t="str">
        <f t="shared" si="0"/>
        <v>The Woodlands</v>
      </c>
      <c r="F661" s="83" t="str">
        <f t="shared" si="1"/>
        <v>The Woodlands Christian Academy (The Woodlands),TX</v>
      </c>
      <c r="G661" s="65" t="s">
        <v>4076</v>
      </c>
      <c r="H661" s="65">
        <v>30.205293999999991</v>
      </c>
      <c r="I661" s="65">
        <v>-95.487702999999996</v>
      </c>
      <c r="J661" s="60" t="str">
        <f ca="1">IFERROR(__xludf.DUMMYFUNCTION("SPLIT(G661,"","")"),"5800 Academy Way")</f>
        <v>5800 Academy Way</v>
      </c>
      <c r="K661" s="2" t="str">
        <f ca="1">IFERROR(__xludf.DUMMYFUNCTION("""COMPUTED_VALUE""")," The Woodlands")</f>
        <v xml:space="preserve"> The Woodlands</v>
      </c>
      <c r="L661" s="2" t="str">
        <f ca="1">IFERROR(__xludf.DUMMYFUNCTION("""COMPUTED_VALUE""")," TX 77384")</f>
        <v xml:space="preserve"> TX 77384</v>
      </c>
      <c r="M661" s="2" t="str">
        <f ca="1">IFERROR(__xludf.DUMMYFUNCTION("""COMPUTED_VALUE""")," USA")</f>
        <v xml:space="preserve"> USA</v>
      </c>
      <c r="P661" s="60"/>
    </row>
    <row r="662" spans="1:16">
      <c r="A662" s="60">
        <v>661</v>
      </c>
      <c r="B662" s="79" t="s">
        <v>4081</v>
      </c>
      <c r="C662" s="60" t="s">
        <v>179</v>
      </c>
      <c r="D662" s="93" t="s">
        <v>4082</v>
      </c>
      <c r="E662" s="48" t="str">
        <f t="shared" si="0"/>
        <v>Kinston</v>
      </c>
      <c r="F662" s="83" t="str">
        <f t="shared" si="1"/>
        <v>Kinston,NC</v>
      </c>
      <c r="G662" s="60" t="s">
        <v>4083</v>
      </c>
      <c r="H662" s="60">
        <v>35.262663500000002</v>
      </c>
      <c r="I662" s="60">
        <v>-77.581635300000002</v>
      </c>
      <c r="J662" s="60" t="str">
        <f ca="1">IFERROR(__xludf.DUMMYFUNCTION("SPLIT(G662,"","")"),"2645 US Hwy 258")</f>
        <v>2645 US Hwy 258</v>
      </c>
      <c r="K662" s="2" t="str">
        <f ca="1">IFERROR(__xludf.DUMMYFUNCTION("""COMPUTED_VALUE""")," North St")</f>
        <v xml:space="preserve"> North St</v>
      </c>
      <c r="L662" s="2" t="str">
        <f ca="1">IFERROR(__xludf.DUMMYFUNCTION("""COMPUTED_VALUE""")," Kinston")</f>
        <v xml:space="preserve"> Kinston</v>
      </c>
      <c r="M662" s="2" t="str">
        <f ca="1">IFERROR(__xludf.DUMMYFUNCTION("""COMPUTED_VALUE""")," NC 28501")</f>
        <v xml:space="preserve"> NC 28501</v>
      </c>
      <c r="N662" s="2" t="str">
        <f ca="1">IFERROR(__xludf.DUMMYFUNCTION("""COMPUTED_VALUE""")," USA")</f>
        <v xml:space="preserve"> USA</v>
      </c>
      <c r="P662" s="60"/>
    </row>
    <row r="663" spans="1:16">
      <c r="A663" s="65">
        <v>662</v>
      </c>
      <c r="B663" s="80" t="s">
        <v>4087</v>
      </c>
      <c r="C663" s="65" t="s">
        <v>618</v>
      </c>
      <c r="D663" s="93" t="s">
        <v>4089</v>
      </c>
      <c r="E663" s="48" t="str">
        <f t="shared" si="0"/>
        <v>Gary</v>
      </c>
      <c r="F663" s="83" t="str">
        <f t="shared" si="1"/>
        <v>21st Century Charter (Gary),IN</v>
      </c>
      <c r="G663" s="65" t="s">
        <v>4090</v>
      </c>
      <c r="H663" s="65">
        <v>41.600653999999999</v>
      </c>
      <c r="I663" s="65">
        <v>-87.338798999999995</v>
      </c>
      <c r="J663" s="60" t="str">
        <f ca="1">IFERROR(__xludf.DUMMYFUNCTION("SPLIT(G663,"","")"),"556 Washington St")</f>
        <v>556 Washington St</v>
      </c>
      <c r="K663" s="2" t="str">
        <f ca="1">IFERROR(__xludf.DUMMYFUNCTION("""COMPUTED_VALUE""")," Gary")</f>
        <v xml:space="preserve"> Gary</v>
      </c>
      <c r="L663" s="2" t="str">
        <f ca="1">IFERROR(__xludf.DUMMYFUNCTION("""COMPUTED_VALUE""")," IN 46402")</f>
        <v xml:space="preserve"> IN 46402</v>
      </c>
      <c r="M663" s="2" t="str">
        <f ca="1">IFERROR(__xludf.DUMMYFUNCTION("""COMPUTED_VALUE""")," USA")</f>
        <v xml:space="preserve"> USA</v>
      </c>
      <c r="P663" s="60"/>
    </row>
    <row r="664" spans="1:16">
      <c r="A664" s="60">
        <v>663</v>
      </c>
      <c r="B664" s="79" t="s">
        <v>4095</v>
      </c>
      <c r="C664" s="60" t="s">
        <v>179</v>
      </c>
      <c r="D664" s="93" t="s">
        <v>1921</v>
      </c>
      <c r="E664" s="48" t="str">
        <f t="shared" si="0"/>
        <v>Greensboro</v>
      </c>
      <c r="F664" s="83" t="str">
        <f t="shared" si="1"/>
        <v>Ben L. Smith (Greensboro),NC</v>
      </c>
      <c r="G664" s="60" t="s">
        <v>4097</v>
      </c>
      <c r="H664" s="60">
        <v>36.0346689</v>
      </c>
      <c r="I664" s="60">
        <v>-79.847258199999999</v>
      </c>
      <c r="J664" s="60" t="str">
        <f ca="1">IFERROR(__xludf.DUMMYFUNCTION("SPLIT(G664,"","")"),"2407 S Holden Rd")</f>
        <v>2407 S Holden Rd</v>
      </c>
      <c r="K664" s="2" t="str">
        <f ca="1">IFERROR(__xludf.DUMMYFUNCTION("""COMPUTED_VALUE""")," Greensboro")</f>
        <v xml:space="preserve"> Greensboro</v>
      </c>
      <c r="L664" s="2" t="str">
        <f ca="1">IFERROR(__xludf.DUMMYFUNCTION("""COMPUTED_VALUE""")," NC 27407")</f>
        <v xml:space="preserve"> NC 27407</v>
      </c>
      <c r="M664" s="2" t="str">
        <f ca="1">IFERROR(__xludf.DUMMYFUNCTION("""COMPUTED_VALUE""")," USA")</f>
        <v xml:space="preserve"> USA</v>
      </c>
      <c r="P664" s="60"/>
    </row>
    <row r="665" spans="1:16">
      <c r="A665" s="65">
        <v>664</v>
      </c>
      <c r="B665" s="80" t="s">
        <v>4102</v>
      </c>
      <c r="C665" s="65" t="s">
        <v>588</v>
      </c>
      <c r="D665" s="93" t="s">
        <v>1314</v>
      </c>
      <c r="E665" s="48" t="str">
        <f t="shared" si="0"/>
        <v>Fresno</v>
      </c>
      <c r="F665" s="83" t="str">
        <f t="shared" si="1"/>
        <v>Clovis North (Fresno),CA</v>
      </c>
      <c r="G665" s="65" t="s">
        <v>4104</v>
      </c>
      <c r="H665" s="65">
        <v>36.889718799999997</v>
      </c>
      <c r="I665" s="65">
        <v>-119.7334187</v>
      </c>
      <c r="J665" s="60" t="str">
        <f ca="1">IFERROR(__xludf.DUMMYFUNCTION("SPLIT(G665,"","")"),"2770 E International Ave")</f>
        <v>2770 E International Ave</v>
      </c>
      <c r="K665" s="2" t="str">
        <f ca="1">IFERROR(__xludf.DUMMYFUNCTION("""COMPUTED_VALUE""")," Fresno")</f>
        <v xml:space="preserve"> Fresno</v>
      </c>
      <c r="L665" s="2" t="str">
        <f ca="1">IFERROR(__xludf.DUMMYFUNCTION("""COMPUTED_VALUE""")," CA 93730")</f>
        <v xml:space="preserve"> CA 93730</v>
      </c>
      <c r="M665" s="2" t="str">
        <f ca="1">IFERROR(__xludf.DUMMYFUNCTION("""COMPUTED_VALUE""")," USA")</f>
        <v xml:space="preserve"> USA</v>
      </c>
      <c r="P665" s="60"/>
    </row>
    <row r="666" spans="1:16">
      <c r="A666" s="60">
        <v>665</v>
      </c>
      <c r="B666" s="79" t="s">
        <v>4110</v>
      </c>
      <c r="C666" s="60" t="s">
        <v>1050</v>
      </c>
      <c r="D666" s="93" t="s">
        <v>4111</v>
      </c>
      <c r="E666" s="48" t="str">
        <f t="shared" si="0"/>
        <v>Chapmanville</v>
      </c>
      <c r="F666" s="83" t="str">
        <f t="shared" si="1"/>
        <v>Chapmanville Regional (Chapmanville),WV</v>
      </c>
      <c r="G666" s="60" t="s">
        <v>4113</v>
      </c>
      <c r="H666" s="60">
        <v>37.977277999999998</v>
      </c>
      <c r="I666" s="60">
        <v>-82.026500799999994</v>
      </c>
      <c r="J666" s="60" t="str">
        <f ca="1">IFERROR(__xludf.DUMMYFUNCTION("SPLIT(G666,"","")"),"506 Crawley Creek Rd")</f>
        <v>506 Crawley Creek Rd</v>
      </c>
      <c r="K666" s="2" t="str">
        <f ca="1">IFERROR(__xludf.DUMMYFUNCTION("""COMPUTED_VALUE""")," Chapmanville")</f>
        <v xml:space="preserve"> Chapmanville</v>
      </c>
      <c r="L666" s="2" t="str">
        <f ca="1">IFERROR(__xludf.DUMMYFUNCTION("""COMPUTED_VALUE""")," WV 25508")</f>
        <v xml:space="preserve"> WV 25508</v>
      </c>
      <c r="M666" s="2" t="str">
        <f ca="1">IFERROR(__xludf.DUMMYFUNCTION("""COMPUTED_VALUE""")," USA")</f>
        <v xml:space="preserve"> USA</v>
      </c>
      <c r="P666" s="60"/>
    </row>
    <row r="667" spans="1:16">
      <c r="A667" s="65">
        <v>666</v>
      </c>
      <c r="B667" s="80" t="s">
        <v>4117</v>
      </c>
      <c r="C667" s="65" t="s">
        <v>174</v>
      </c>
      <c r="D667" s="93" t="s">
        <v>4118</v>
      </c>
      <c r="E667" s="48" t="str">
        <f t="shared" si="0"/>
        <v>Kettering</v>
      </c>
      <c r="F667" s="83" t="str">
        <f t="shared" si="1"/>
        <v>Archbishop Alter (Kettering),OH</v>
      </c>
      <c r="G667" s="65" t="s">
        <v>4119</v>
      </c>
      <c r="H667" s="65">
        <v>39.679963499999999</v>
      </c>
      <c r="I667" s="65">
        <v>-84.151675299999994</v>
      </c>
      <c r="J667" s="60" t="str">
        <f ca="1">IFERROR(__xludf.DUMMYFUNCTION("SPLIT(G667,"","")"),"940 E David Rd")</f>
        <v>940 E David Rd</v>
      </c>
      <c r="K667" s="2" t="str">
        <f ca="1">IFERROR(__xludf.DUMMYFUNCTION("""COMPUTED_VALUE""")," Kettering")</f>
        <v xml:space="preserve"> Kettering</v>
      </c>
      <c r="L667" s="2" t="str">
        <f ca="1">IFERROR(__xludf.DUMMYFUNCTION("""COMPUTED_VALUE""")," OH 45429")</f>
        <v xml:space="preserve"> OH 45429</v>
      </c>
      <c r="M667" s="2" t="str">
        <f ca="1">IFERROR(__xludf.DUMMYFUNCTION("""COMPUTED_VALUE""")," USA")</f>
        <v xml:space="preserve"> USA</v>
      </c>
      <c r="P667" s="60"/>
    </row>
    <row r="668" spans="1:16">
      <c r="A668" s="60">
        <v>667</v>
      </c>
      <c r="B668" s="79" t="s">
        <v>4123</v>
      </c>
      <c r="C668" s="60" t="s">
        <v>98</v>
      </c>
      <c r="D668" s="93" t="s">
        <v>2695</v>
      </c>
      <c r="E668" s="48" t="str">
        <f t="shared" si="0"/>
        <v>Honolulu</v>
      </c>
      <c r="F668" s="83" t="str">
        <f t="shared" si="1"/>
        <v>Kamehameha Kapalama (Honolulu),HI</v>
      </c>
      <c r="G668" s="60" t="s">
        <v>4126</v>
      </c>
      <c r="H668" s="60">
        <v>21.341039599999998</v>
      </c>
      <c r="I668" s="60">
        <v>-157.85553479999999</v>
      </c>
      <c r="J668" s="60" t="str">
        <f ca="1">IFERROR(__xludf.DUMMYFUNCTION("SPLIT(G668,"","")"),"210 Konia Cir")</f>
        <v>210 Konia Cir</v>
      </c>
      <c r="K668" s="2" t="str">
        <f ca="1">IFERROR(__xludf.DUMMYFUNCTION("""COMPUTED_VALUE""")," Honolulu")</f>
        <v xml:space="preserve"> Honolulu</v>
      </c>
      <c r="L668" s="2" t="str">
        <f ca="1">IFERROR(__xludf.DUMMYFUNCTION("""COMPUTED_VALUE""")," HI 96817")</f>
        <v xml:space="preserve"> HI 96817</v>
      </c>
      <c r="M668" s="2" t="str">
        <f ca="1">IFERROR(__xludf.DUMMYFUNCTION("""COMPUTED_VALUE""")," USA")</f>
        <v xml:space="preserve"> USA</v>
      </c>
      <c r="P668" s="60"/>
    </row>
    <row r="669" spans="1:16">
      <c r="A669" s="65">
        <v>668</v>
      </c>
      <c r="B669" s="80" t="s">
        <v>4131</v>
      </c>
      <c r="C669" s="65" t="s">
        <v>588</v>
      </c>
      <c r="D669" s="93" t="s">
        <v>4132</v>
      </c>
      <c r="E669" s="48" t="str">
        <f t="shared" si="0"/>
        <v>El Sobrante</v>
      </c>
      <c r="F669" s="83" t="str">
        <f t="shared" si="1"/>
        <v>De Anza (El Sobrante),CA</v>
      </c>
      <c r="G669" s="65" t="s">
        <v>4134</v>
      </c>
      <c r="H669" s="65">
        <v>37.968633500000003</v>
      </c>
      <c r="I669" s="65">
        <v>-122.28681709999999</v>
      </c>
      <c r="J669" s="60" t="str">
        <f ca="1">IFERROR(__xludf.DUMMYFUNCTION("SPLIT(G669,"","")"),"De Anza High School")</f>
        <v>De Anza High School</v>
      </c>
      <c r="K669" s="2" t="str">
        <f ca="1">IFERROR(__xludf.DUMMYFUNCTION("""COMPUTED_VALUE""")," 5000 Valley View Rd")</f>
        <v xml:space="preserve"> 5000 Valley View Rd</v>
      </c>
      <c r="L669" s="2" t="str">
        <f ca="1">IFERROR(__xludf.DUMMYFUNCTION("""COMPUTED_VALUE""")," El Sobrante")</f>
        <v xml:space="preserve"> El Sobrante</v>
      </c>
      <c r="M669" s="2" t="str">
        <f ca="1">IFERROR(__xludf.DUMMYFUNCTION("""COMPUTED_VALUE""")," CA 94803")</f>
        <v xml:space="preserve"> CA 94803</v>
      </c>
      <c r="N669" s="2" t="str">
        <f ca="1">IFERROR(__xludf.DUMMYFUNCTION("""COMPUTED_VALUE""")," USA")</f>
        <v xml:space="preserve"> USA</v>
      </c>
      <c r="P669" s="60"/>
    </row>
    <row r="670" spans="1:16">
      <c r="A670" s="60">
        <v>669</v>
      </c>
      <c r="B670" s="79" t="s">
        <v>514</v>
      </c>
      <c r="C670" s="60" t="s">
        <v>588</v>
      </c>
      <c r="D670" s="93" t="s">
        <v>4137</v>
      </c>
      <c r="E670" s="48" t="str">
        <f t="shared" si="0"/>
        <v>Carlsbad</v>
      </c>
      <c r="F670" s="83" t="str">
        <f t="shared" si="1"/>
        <v>Carlsbad,CA</v>
      </c>
      <c r="G670" s="60" t="s">
        <v>4138</v>
      </c>
      <c r="H670" s="60">
        <v>33.158093299999997</v>
      </c>
      <c r="I670" s="60">
        <v>-117.35059390000001</v>
      </c>
      <c r="J670" s="60" t="str">
        <f ca="1">IFERROR(__xludf.DUMMYFUNCTION("SPLIT(G670,"","")"),"3016 Carlsbad Blvd")</f>
        <v>3016 Carlsbad Blvd</v>
      </c>
      <c r="K670" s="2" t="str">
        <f ca="1">IFERROR(__xludf.DUMMYFUNCTION("""COMPUTED_VALUE""")," Carlsbad")</f>
        <v xml:space="preserve"> Carlsbad</v>
      </c>
      <c r="L670" s="2" t="str">
        <f ca="1">IFERROR(__xludf.DUMMYFUNCTION("""COMPUTED_VALUE""")," CA 92008")</f>
        <v xml:space="preserve"> CA 92008</v>
      </c>
      <c r="M670" s="2" t="str">
        <f ca="1">IFERROR(__xludf.DUMMYFUNCTION("""COMPUTED_VALUE""")," USA")</f>
        <v xml:space="preserve"> USA</v>
      </c>
      <c r="P670" s="60"/>
    </row>
    <row r="671" spans="1:16">
      <c r="A671" s="65">
        <v>670</v>
      </c>
      <c r="B671" s="80" t="s">
        <v>831</v>
      </c>
      <c r="C671" s="65" t="s">
        <v>624</v>
      </c>
      <c r="D671" s="93" t="s">
        <v>810</v>
      </c>
      <c r="E671" s="48" t="str">
        <f t="shared" si="0"/>
        <v>Alexandria</v>
      </c>
      <c r="F671" s="83" t="str">
        <f t="shared" si="1"/>
        <v>Alexandria,LA</v>
      </c>
      <c r="G671" s="65" t="s">
        <v>4143</v>
      </c>
      <c r="H671" s="65">
        <v>31.311293599999999</v>
      </c>
      <c r="I671" s="65">
        <v>-92.445137099999997</v>
      </c>
      <c r="J671" s="60" t="str">
        <f ca="1">IFERROR(__xludf.DUMMYFUNCTION("SPLIT(G671,"","")"),"934 3rd St")</f>
        <v>934 3rd St</v>
      </c>
      <c r="K671" s="2" t="str">
        <f ca="1">IFERROR(__xludf.DUMMYFUNCTION("""COMPUTED_VALUE""")," Alexandria")</f>
        <v xml:space="preserve"> Alexandria</v>
      </c>
      <c r="L671" s="2" t="str">
        <f ca="1">IFERROR(__xludf.DUMMYFUNCTION("""COMPUTED_VALUE""")," LA 71301")</f>
        <v xml:space="preserve"> LA 71301</v>
      </c>
      <c r="M671" s="2" t="str">
        <f ca="1">IFERROR(__xludf.DUMMYFUNCTION("""COMPUTED_VALUE""")," USA")</f>
        <v xml:space="preserve"> USA</v>
      </c>
      <c r="P671" s="60"/>
    </row>
    <row r="672" spans="1:16">
      <c r="A672" s="60">
        <v>671</v>
      </c>
      <c r="B672" s="79" t="s">
        <v>4151</v>
      </c>
      <c r="C672" s="60" t="s">
        <v>975</v>
      </c>
      <c r="D672" s="93" t="s">
        <v>4152</v>
      </c>
      <c r="E672" s="48" t="str">
        <f t="shared" si="0"/>
        <v>Clovis</v>
      </c>
      <c r="F672" s="83" t="str">
        <f t="shared" si="1"/>
        <v>Clovis,NM</v>
      </c>
      <c r="G672" s="60" t="s">
        <v>4153</v>
      </c>
      <c r="H672" s="60">
        <v>34.404798700000001</v>
      </c>
      <c r="I672" s="60">
        <v>-103.2052272</v>
      </c>
      <c r="J672" s="60" t="str">
        <f ca="1">IFERROR(__xludf.DUMMYFUNCTION("SPLIT(G672,"","")"),"100-160 E 7th St")</f>
        <v>100-160 E 7th St</v>
      </c>
      <c r="K672" s="2" t="str">
        <f ca="1">IFERROR(__xludf.DUMMYFUNCTION("""COMPUTED_VALUE""")," Clovis")</f>
        <v xml:space="preserve"> Clovis</v>
      </c>
      <c r="L672" s="2" t="str">
        <f ca="1">IFERROR(__xludf.DUMMYFUNCTION("""COMPUTED_VALUE""")," NM 88101")</f>
        <v xml:space="preserve"> NM 88101</v>
      </c>
      <c r="M672" s="2" t="str">
        <f ca="1">IFERROR(__xludf.DUMMYFUNCTION("""COMPUTED_VALUE""")," USA")</f>
        <v xml:space="preserve"> USA</v>
      </c>
      <c r="P672" s="60"/>
    </row>
    <row r="673" spans="1:16">
      <c r="A673" s="65">
        <v>672</v>
      </c>
      <c r="B673" s="80" t="s">
        <v>4156</v>
      </c>
      <c r="C673" s="65" t="s">
        <v>136</v>
      </c>
      <c r="D673" s="93" t="s">
        <v>918</v>
      </c>
      <c r="E673" s="48" t="str">
        <f t="shared" si="0"/>
        <v>Fort Lauderdale</v>
      </c>
      <c r="F673" s="83" t="str">
        <f t="shared" si="1"/>
        <v>Pine Crest (Fort Lauderdale),FL</v>
      </c>
      <c r="G673" s="65" t="s">
        <v>4159</v>
      </c>
      <c r="H673" s="65">
        <v>26.2041076</v>
      </c>
      <c r="I673" s="65">
        <v>-80.125843099999997</v>
      </c>
      <c r="J673" s="60" t="str">
        <f ca="1">IFERROR(__xludf.DUMMYFUNCTION("SPLIT(G673,"","")"),"1525 NE 62nd St")</f>
        <v>1525 NE 62nd St</v>
      </c>
      <c r="K673" s="2" t="str">
        <f ca="1">IFERROR(__xludf.DUMMYFUNCTION("""COMPUTED_VALUE""")," Fort Lauderdale")</f>
        <v xml:space="preserve"> Fort Lauderdale</v>
      </c>
      <c r="L673" s="2" t="str">
        <f ca="1">IFERROR(__xludf.DUMMYFUNCTION("""COMPUTED_VALUE""")," FL 33334")</f>
        <v xml:space="preserve"> FL 33334</v>
      </c>
      <c r="M673" s="2" t="str">
        <f ca="1">IFERROR(__xludf.DUMMYFUNCTION("""COMPUTED_VALUE""")," USA")</f>
        <v xml:space="preserve"> USA</v>
      </c>
      <c r="P673" s="60"/>
    </row>
    <row r="674" spans="1:16">
      <c r="A674" s="60">
        <v>673</v>
      </c>
      <c r="B674" s="79" t="s">
        <v>4163</v>
      </c>
      <c r="C674" s="60" t="s">
        <v>1050</v>
      </c>
      <c r="D674" s="93" t="s">
        <v>3781</v>
      </c>
      <c r="E674" s="48" t="str">
        <f t="shared" si="0"/>
        <v>Charleston</v>
      </c>
      <c r="F674" s="83" t="str">
        <f t="shared" si="1"/>
        <v>George Washington (Charleston),WV</v>
      </c>
      <c r="G674" s="60" t="s">
        <v>4164</v>
      </c>
      <c r="H674" s="60">
        <v>38.3336446</v>
      </c>
      <c r="I674" s="60">
        <v>-81.656502099999997</v>
      </c>
      <c r="J674" s="60" t="str">
        <f ca="1">IFERROR(__xludf.DUMMYFUNCTION("SPLIT(G674,"","")"),"15 Tennis Club Rd")</f>
        <v>15 Tennis Club Rd</v>
      </c>
      <c r="K674" s="2" t="str">
        <f ca="1">IFERROR(__xludf.DUMMYFUNCTION("""COMPUTED_VALUE""")," Charleston")</f>
        <v xml:space="preserve"> Charleston</v>
      </c>
      <c r="L674" s="2" t="str">
        <f ca="1">IFERROR(__xludf.DUMMYFUNCTION("""COMPUTED_VALUE""")," WV 25314")</f>
        <v xml:space="preserve"> WV 25314</v>
      </c>
      <c r="M674" s="2" t="str">
        <f ca="1">IFERROR(__xludf.DUMMYFUNCTION("""COMPUTED_VALUE""")," USA")</f>
        <v xml:space="preserve"> USA</v>
      </c>
      <c r="P674" s="60"/>
    </row>
    <row r="675" spans="1:16">
      <c r="A675" s="65">
        <v>674</v>
      </c>
      <c r="B675" s="80" t="s">
        <v>4167</v>
      </c>
      <c r="C675" s="65" t="s">
        <v>595</v>
      </c>
      <c r="D675" s="93" t="s">
        <v>4169</v>
      </c>
      <c r="E675" s="48" t="str">
        <f t="shared" si="0"/>
        <v>Irving</v>
      </c>
      <c r="F675" s="83" t="str">
        <f t="shared" si="1"/>
        <v>MacArthur (Irving),TX</v>
      </c>
      <c r="G675" s="65" t="s">
        <v>4170</v>
      </c>
      <c r="H675" s="65">
        <v>32.882188800000009</v>
      </c>
      <c r="I675" s="65">
        <v>-96.965536899999989</v>
      </c>
      <c r="J675" s="60" t="str">
        <f ca="1">IFERROR(__xludf.DUMMYFUNCTION("SPLIT(G675,"","")"),"5321 N MacArthur Blvd")</f>
        <v>5321 N MacArthur Blvd</v>
      </c>
      <c r="K675" s="2" t="str">
        <f ca="1">IFERROR(__xludf.DUMMYFUNCTION("""COMPUTED_VALUE""")," Irving")</f>
        <v xml:space="preserve"> Irving</v>
      </c>
      <c r="L675" s="2" t="str">
        <f ca="1">IFERROR(__xludf.DUMMYFUNCTION("""COMPUTED_VALUE""")," TX 75038")</f>
        <v xml:space="preserve"> TX 75038</v>
      </c>
      <c r="M675" s="2" t="str">
        <f ca="1">IFERROR(__xludf.DUMMYFUNCTION("""COMPUTED_VALUE""")," USA")</f>
        <v xml:space="preserve"> USA</v>
      </c>
      <c r="P675" s="60"/>
    </row>
    <row r="676" spans="1:16">
      <c r="A676" s="97">
        <v>675</v>
      </c>
      <c r="B676" s="99" t="s">
        <v>4176</v>
      </c>
      <c r="C676" s="97" t="s">
        <v>174</v>
      </c>
      <c r="D676" s="93" t="s">
        <v>3800</v>
      </c>
      <c r="E676" s="48" t="str">
        <f t="shared" si="0"/>
        <v>Pickerington</v>
      </c>
      <c r="F676" s="83" t="str">
        <f t="shared" si="1"/>
        <v>Pickerington Central (Pickerington),OH</v>
      </c>
      <c r="G676" s="97" t="s">
        <v>4177</v>
      </c>
      <c r="H676" s="97">
        <v>39.876572199999998</v>
      </c>
      <c r="I676" s="97">
        <v>-82.755600000000001</v>
      </c>
      <c r="J676" s="60" t="str">
        <f ca="1">IFERROR(__xludf.DUMMYFUNCTION("SPLIT(G676,"","")"),"300 Opportunity Way")</f>
        <v>300 Opportunity Way</v>
      </c>
      <c r="K676" s="2" t="str">
        <f ca="1">IFERROR(__xludf.DUMMYFUNCTION("""COMPUTED_VALUE""")," Pickerington")</f>
        <v xml:space="preserve"> Pickerington</v>
      </c>
      <c r="L676" s="2" t="str">
        <f ca="1">IFERROR(__xludf.DUMMYFUNCTION("""COMPUTED_VALUE""")," OH 43147")</f>
        <v xml:space="preserve"> OH 43147</v>
      </c>
      <c r="M676" s="2" t="str">
        <f ca="1">IFERROR(__xludf.DUMMYFUNCTION("""COMPUTED_VALUE""")," USA")</f>
        <v xml:space="preserve"> USA</v>
      </c>
      <c r="P676" s="60"/>
    </row>
    <row r="677" spans="1:16">
      <c r="A677" s="60">
        <v>676</v>
      </c>
      <c r="B677" s="79" t="s">
        <v>3744</v>
      </c>
      <c r="C677" s="60" t="s">
        <v>97</v>
      </c>
      <c r="D677" s="93" t="s">
        <v>4182</v>
      </c>
      <c r="E677" s="48" t="str">
        <f t="shared" si="0"/>
        <v>Dover</v>
      </c>
      <c r="F677" s="83" t="str">
        <f t="shared" si="1"/>
        <v>Dover,DE</v>
      </c>
      <c r="G677" s="60" t="s">
        <v>4183</v>
      </c>
      <c r="H677" s="60">
        <v>39.158168000000003</v>
      </c>
      <c r="I677" s="60">
        <v>-75.524368199999998</v>
      </c>
      <c r="J677" s="60" t="str">
        <f ca="1">IFERROR(__xludf.DUMMYFUNCTION("SPLIT(G677,"","")"),"201 S State St")</f>
        <v>201 S State St</v>
      </c>
      <c r="K677" s="2" t="str">
        <f ca="1">IFERROR(__xludf.DUMMYFUNCTION("""COMPUTED_VALUE""")," Dover")</f>
        <v xml:space="preserve"> Dover</v>
      </c>
      <c r="L677" s="2" t="str">
        <f ca="1">IFERROR(__xludf.DUMMYFUNCTION("""COMPUTED_VALUE""")," DE 19904")</f>
        <v xml:space="preserve"> DE 19904</v>
      </c>
      <c r="M677" s="2" t="str">
        <f ca="1">IFERROR(__xludf.DUMMYFUNCTION("""COMPUTED_VALUE""")," USA")</f>
        <v xml:space="preserve"> USA</v>
      </c>
      <c r="P677" s="60"/>
    </row>
    <row r="678" spans="1:16">
      <c r="A678" s="65">
        <v>677</v>
      </c>
      <c r="B678" s="80" t="s">
        <v>4188</v>
      </c>
      <c r="C678" s="65" t="s">
        <v>598</v>
      </c>
      <c r="D678" s="93" t="s">
        <v>4189</v>
      </c>
      <c r="E678" s="48" t="str">
        <f t="shared" si="0"/>
        <v>Covington</v>
      </c>
      <c r="F678" s="83" t="str">
        <f t="shared" si="1"/>
        <v>Newton (Covington),GA</v>
      </c>
      <c r="G678" s="65" t="s">
        <v>4192</v>
      </c>
      <c r="H678" s="65">
        <v>33.596781499999999</v>
      </c>
      <c r="I678" s="65">
        <v>-83.860182699999996</v>
      </c>
      <c r="J678" s="60" t="str">
        <f ca="1">IFERROR(__xludf.DUMMYFUNCTION("SPLIT(G678,"","")"),"1106 Monticello St SW")</f>
        <v>1106 Monticello St SW</v>
      </c>
      <c r="K678" s="2" t="str">
        <f ca="1">IFERROR(__xludf.DUMMYFUNCTION("""COMPUTED_VALUE""")," Covington")</f>
        <v xml:space="preserve"> Covington</v>
      </c>
      <c r="L678" s="2" t="str">
        <f ca="1">IFERROR(__xludf.DUMMYFUNCTION("""COMPUTED_VALUE""")," GA 30014")</f>
        <v xml:space="preserve"> GA 30014</v>
      </c>
      <c r="M678" s="2" t="str">
        <f ca="1">IFERROR(__xludf.DUMMYFUNCTION("""COMPUTED_VALUE""")," USA")</f>
        <v xml:space="preserve"> USA</v>
      </c>
      <c r="P678" s="60"/>
    </row>
    <row r="679" spans="1:16">
      <c r="A679" s="60">
        <v>678</v>
      </c>
      <c r="B679" s="79" t="s">
        <v>4194</v>
      </c>
      <c r="C679" s="60" t="s">
        <v>608</v>
      </c>
      <c r="D679" s="93" t="s">
        <v>4197</v>
      </c>
      <c r="E679" s="48" t="str">
        <f t="shared" si="0"/>
        <v>Perham</v>
      </c>
      <c r="F679" s="83" t="str">
        <f t="shared" si="1"/>
        <v>Perham,MN</v>
      </c>
      <c r="G679" s="60" t="s">
        <v>4198</v>
      </c>
      <c r="H679" s="60">
        <v>46.595343700000001</v>
      </c>
      <c r="I679" s="60">
        <v>-95.573008799999997</v>
      </c>
      <c r="J679" s="60" t="str">
        <f ca="1">IFERROR(__xludf.DUMMYFUNCTION("SPLIT(G679,"","")"),"200 2nd Ave NW")</f>
        <v>200 2nd Ave NW</v>
      </c>
      <c r="K679" s="2" t="str">
        <f ca="1">IFERROR(__xludf.DUMMYFUNCTION("""COMPUTED_VALUE""")," Perham")</f>
        <v xml:space="preserve"> Perham</v>
      </c>
      <c r="L679" s="2" t="str">
        <f ca="1">IFERROR(__xludf.DUMMYFUNCTION("""COMPUTED_VALUE""")," MN 56573")</f>
        <v xml:space="preserve"> MN 56573</v>
      </c>
      <c r="M679" s="2" t="str">
        <f ca="1">IFERROR(__xludf.DUMMYFUNCTION("""COMPUTED_VALUE""")," USA")</f>
        <v xml:space="preserve"> USA</v>
      </c>
      <c r="P679" s="60"/>
    </row>
    <row r="680" spans="1:16">
      <c r="A680" s="65">
        <v>679</v>
      </c>
      <c r="B680" s="80" t="s">
        <v>4203</v>
      </c>
      <c r="C680" s="65" t="s">
        <v>183</v>
      </c>
      <c r="D680" s="93" t="s">
        <v>1599</v>
      </c>
      <c r="E680" s="48" t="str">
        <f t="shared" si="0"/>
        <v>Buffalo</v>
      </c>
      <c r="F680" s="83" t="str">
        <f t="shared" si="1"/>
        <v>St. Joseph's Collegiate Institute (Buffalo),NY</v>
      </c>
      <c r="G680" s="65" t="s">
        <v>4204</v>
      </c>
      <c r="H680" s="65">
        <v>42.9588927</v>
      </c>
      <c r="I680" s="65">
        <v>-78.84931619999999</v>
      </c>
      <c r="J680" s="60" t="str">
        <f ca="1">IFERROR(__xludf.DUMMYFUNCTION("SPLIT(G680,"","")"),"845 Kenmore Ave")</f>
        <v>845 Kenmore Ave</v>
      </c>
      <c r="K680" s="2" t="str">
        <f ca="1">IFERROR(__xludf.DUMMYFUNCTION("""COMPUTED_VALUE""")," Buffalo")</f>
        <v xml:space="preserve"> Buffalo</v>
      </c>
      <c r="L680" s="2" t="str">
        <f ca="1">IFERROR(__xludf.DUMMYFUNCTION("""COMPUTED_VALUE""")," NY 14223")</f>
        <v xml:space="preserve"> NY 14223</v>
      </c>
      <c r="M680" s="2" t="str">
        <f ca="1">IFERROR(__xludf.DUMMYFUNCTION("""COMPUTED_VALUE""")," USA")</f>
        <v xml:space="preserve"> USA</v>
      </c>
      <c r="P680" s="60"/>
    </row>
    <row r="681" spans="1:16">
      <c r="A681" s="60">
        <v>680</v>
      </c>
      <c r="B681" s="79" t="s">
        <v>4208</v>
      </c>
      <c r="C681" s="60" t="s">
        <v>598</v>
      </c>
      <c r="D681" s="93" t="s">
        <v>4209</v>
      </c>
      <c r="E681" s="48" t="str">
        <f t="shared" si="0"/>
        <v>Fairburn</v>
      </c>
      <c r="F681" s="83" t="str">
        <f t="shared" si="1"/>
        <v>Langston Hughes (Fairburn),GA</v>
      </c>
      <c r="G681" s="60" t="s">
        <v>4210</v>
      </c>
      <c r="H681" s="60">
        <v>33.616266199999998</v>
      </c>
      <c r="I681" s="60">
        <v>-84.633766899999998</v>
      </c>
      <c r="J681" s="60" t="str">
        <f ca="1">IFERROR(__xludf.DUMMYFUNCTION("SPLIT(G681,"","")"),"Unnamed Road")</f>
        <v>Unnamed Road</v>
      </c>
      <c r="K681" s="2" t="str">
        <f ca="1">IFERROR(__xludf.DUMMYFUNCTION("""COMPUTED_VALUE""")," Fairburn")</f>
        <v xml:space="preserve"> Fairburn</v>
      </c>
      <c r="L681" s="2" t="str">
        <f ca="1">IFERROR(__xludf.DUMMYFUNCTION("""COMPUTED_VALUE""")," GA 30213")</f>
        <v xml:space="preserve"> GA 30213</v>
      </c>
      <c r="M681" s="2" t="str">
        <f ca="1">IFERROR(__xludf.DUMMYFUNCTION("""COMPUTED_VALUE""")," USA")</f>
        <v xml:space="preserve"> USA</v>
      </c>
      <c r="P681" s="60"/>
    </row>
    <row r="682" spans="1:16">
      <c r="A682" s="65">
        <v>681</v>
      </c>
      <c r="B682" s="80" t="s">
        <v>4213</v>
      </c>
      <c r="C682" s="65" t="s">
        <v>675</v>
      </c>
      <c r="D682" s="93" t="s">
        <v>1088</v>
      </c>
      <c r="E682" s="48" t="str">
        <f t="shared" si="0"/>
        <v>Springfield</v>
      </c>
      <c r="F682" s="83" t="str">
        <f t="shared" si="1"/>
        <v>Cardinal O'Hara (Springfield),PA</v>
      </c>
      <c r="G682" s="65" t="s">
        <v>4216</v>
      </c>
      <c r="H682" s="65">
        <v>39.947591500000001</v>
      </c>
      <c r="I682" s="65">
        <v>-75.348240399999995</v>
      </c>
      <c r="J682" s="60" t="str">
        <f ca="1">IFERROR(__xludf.DUMMYFUNCTION("SPLIT(G682,"","")"),"801-899 Coppock Ln")</f>
        <v>801-899 Coppock Ln</v>
      </c>
      <c r="K682" s="2" t="str">
        <f ca="1">IFERROR(__xludf.DUMMYFUNCTION("""COMPUTED_VALUE""")," Springfield")</f>
        <v xml:space="preserve"> Springfield</v>
      </c>
      <c r="L682" s="2" t="str">
        <f ca="1">IFERROR(__xludf.DUMMYFUNCTION("""COMPUTED_VALUE""")," PA 19064")</f>
        <v xml:space="preserve"> PA 19064</v>
      </c>
      <c r="M682" s="2" t="str">
        <f ca="1">IFERROR(__xludf.DUMMYFUNCTION("""COMPUTED_VALUE""")," USA")</f>
        <v xml:space="preserve"> USA</v>
      </c>
      <c r="P682" s="60"/>
    </row>
    <row r="683" spans="1:16">
      <c r="A683" s="60">
        <v>682</v>
      </c>
      <c r="B683" s="79" t="s">
        <v>4220</v>
      </c>
      <c r="C683" s="60" t="s">
        <v>70</v>
      </c>
      <c r="D683" s="93" t="s">
        <v>4221</v>
      </c>
      <c r="E683" s="48" t="str">
        <f t="shared" si="0"/>
        <v>Palmer</v>
      </c>
      <c r="F683" s="83" t="str">
        <f t="shared" si="1"/>
        <v>Colony (Palmer),AK</v>
      </c>
      <c r="G683" s="60" t="s">
        <v>4222</v>
      </c>
      <c r="H683" s="60">
        <v>61.602872100000013</v>
      </c>
      <c r="I683" s="60">
        <v>-149.11275760000001</v>
      </c>
      <c r="J683" s="60" t="str">
        <f ca="1">IFERROR(__xludf.DUMMYFUNCTION("SPLIT(G683,"","")"),"420 S Colony Way")</f>
        <v>420 S Colony Way</v>
      </c>
      <c r="K683" s="2" t="str">
        <f ca="1">IFERROR(__xludf.DUMMYFUNCTION("""COMPUTED_VALUE""")," Palmer")</f>
        <v xml:space="preserve"> Palmer</v>
      </c>
      <c r="L683" s="2" t="str">
        <f ca="1">IFERROR(__xludf.DUMMYFUNCTION("""COMPUTED_VALUE""")," AK 99645")</f>
        <v xml:space="preserve"> AK 99645</v>
      </c>
      <c r="M683" s="2" t="str">
        <f ca="1">IFERROR(__xludf.DUMMYFUNCTION("""COMPUTED_VALUE""")," USA")</f>
        <v xml:space="preserve"> USA</v>
      </c>
      <c r="P683" s="60"/>
    </row>
    <row r="684" spans="1:16">
      <c r="A684" s="65">
        <v>683</v>
      </c>
      <c r="B684" s="80" t="s">
        <v>4226</v>
      </c>
      <c r="C684" s="65" t="s">
        <v>675</v>
      </c>
      <c r="D684" s="93" t="s">
        <v>705</v>
      </c>
      <c r="E684" s="48" t="str">
        <f t="shared" si="0"/>
        <v>Philadelphia</v>
      </c>
      <c r="F684" s="83" t="str">
        <f t="shared" si="1"/>
        <v>Archbishop Ryan (Philadelphia),PA</v>
      </c>
      <c r="G684" s="65" t="s">
        <v>4229</v>
      </c>
      <c r="H684" s="65">
        <v>40.085168299999999</v>
      </c>
      <c r="I684" s="65">
        <v>-74.986532400000002</v>
      </c>
      <c r="J684" s="60" t="str">
        <f ca="1">IFERROR(__xludf.DUMMYFUNCTION("SPLIT(G684,"","")"),"11201 Academy Rd")</f>
        <v>11201 Academy Rd</v>
      </c>
      <c r="K684" s="2" t="str">
        <f ca="1">IFERROR(__xludf.DUMMYFUNCTION("""COMPUTED_VALUE""")," Philadelphia")</f>
        <v xml:space="preserve"> Philadelphia</v>
      </c>
      <c r="L684" s="2" t="str">
        <f ca="1">IFERROR(__xludf.DUMMYFUNCTION("""COMPUTED_VALUE""")," PA 19154")</f>
        <v xml:space="preserve"> PA 19154</v>
      </c>
      <c r="M684" s="2" t="str">
        <f ca="1">IFERROR(__xludf.DUMMYFUNCTION("""COMPUTED_VALUE""")," USA")</f>
        <v xml:space="preserve"> USA</v>
      </c>
      <c r="P684" s="60"/>
    </row>
    <row r="685" spans="1:16">
      <c r="A685" s="60">
        <v>684</v>
      </c>
      <c r="B685" s="79" t="s">
        <v>4232</v>
      </c>
      <c r="C685" s="60" t="s">
        <v>765</v>
      </c>
      <c r="D685" s="93" t="s">
        <v>4233</v>
      </c>
      <c r="E685" s="48" t="str">
        <f t="shared" si="0"/>
        <v>Woods Cross</v>
      </c>
      <c r="F685" s="83" t="str">
        <f t="shared" si="1"/>
        <v>Woods Cross,UT</v>
      </c>
      <c r="G685" s="60" t="s">
        <v>4235</v>
      </c>
      <c r="H685" s="60">
        <v>40.871611899999998</v>
      </c>
      <c r="I685" s="60">
        <v>-111.89216</v>
      </c>
      <c r="J685" s="60" t="str">
        <f ca="1">IFERROR(__xludf.DUMMYFUNCTION("SPLIT(G685,"","")"),"1868 500 W")</f>
        <v>1868 500 W</v>
      </c>
      <c r="K685" s="2" t="str">
        <f ca="1">IFERROR(__xludf.DUMMYFUNCTION("""COMPUTED_VALUE""")," Woods Cross")</f>
        <v xml:space="preserve"> Woods Cross</v>
      </c>
      <c r="L685" s="2" t="str">
        <f ca="1">IFERROR(__xludf.DUMMYFUNCTION("""COMPUTED_VALUE""")," UT 84010")</f>
        <v xml:space="preserve"> UT 84010</v>
      </c>
      <c r="M685" s="2" t="str">
        <f ca="1">IFERROR(__xludf.DUMMYFUNCTION("""COMPUTED_VALUE""")," USA")</f>
        <v xml:space="preserve"> USA</v>
      </c>
      <c r="P685" s="60"/>
    </row>
    <row r="686" spans="1:16">
      <c r="A686" s="65">
        <v>685</v>
      </c>
      <c r="B686" s="80" t="s">
        <v>4238</v>
      </c>
      <c r="C686" s="65" t="s">
        <v>675</v>
      </c>
      <c r="D686" s="93" t="s">
        <v>4239</v>
      </c>
      <c r="E686" s="48" t="str">
        <f t="shared" si="0"/>
        <v>Wyncote</v>
      </c>
      <c r="F686" s="83" t="str">
        <f t="shared" si="1"/>
        <v>Bishop McDevitt (Wyncote),PA</v>
      </c>
      <c r="G686" s="65" t="s">
        <v>4242</v>
      </c>
      <c r="H686" s="65">
        <v>40.094099999999997</v>
      </c>
      <c r="I686" s="65">
        <v>-75.15558209999999</v>
      </c>
      <c r="J686" s="60" t="str">
        <f ca="1">IFERROR(__xludf.DUMMYFUNCTION("SPLIT(G686,"","")"),"125 Royal Ave")</f>
        <v>125 Royal Ave</v>
      </c>
      <c r="K686" s="2" t="str">
        <f ca="1">IFERROR(__xludf.DUMMYFUNCTION("""COMPUTED_VALUE""")," Wyncote")</f>
        <v xml:space="preserve"> Wyncote</v>
      </c>
      <c r="L686" s="2" t="str">
        <f ca="1">IFERROR(__xludf.DUMMYFUNCTION("""COMPUTED_VALUE""")," PA 19095")</f>
        <v xml:space="preserve"> PA 19095</v>
      </c>
      <c r="M686" s="2" t="str">
        <f ca="1">IFERROR(__xludf.DUMMYFUNCTION("""COMPUTED_VALUE""")," USA")</f>
        <v xml:space="preserve"> USA</v>
      </c>
      <c r="P686" s="60"/>
    </row>
    <row r="687" spans="1:16">
      <c r="A687" s="60">
        <v>686</v>
      </c>
      <c r="B687" s="79" t="s">
        <v>4245</v>
      </c>
      <c r="C687" s="60" t="s">
        <v>71</v>
      </c>
      <c r="D687" s="93" t="s">
        <v>1152</v>
      </c>
      <c r="E687" s="48" t="str">
        <f t="shared" si="0"/>
        <v>Phoenix</v>
      </c>
      <c r="F687" s="83" t="str">
        <f t="shared" si="1"/>
        <v>Brophy College Prep (Phoenix),AZ</v>
      </c>
      <c r="G687" s="60" t="s">
        <v>4248</v>
      </c>
      <c r="H687" s="60">
        <v>33.504929199999999</v>
      </c>
      <c r="I687" s="60">
        <v>-112.07193789999999</v>
      </c>
      <c r="J687" s="60" t="str">
        <f ca="1">IFERROR(__xludf.DUMMYFUNCTION("SPLIT(G687,"","")"),"4701 N Central Ave")</f>
        <v>4701 N Central Ave</v>
      </c>
      <c r="K687" s="2" t="str">
        <f ca="1">IFERROR(__xludf.DUMMYFUNCTION("""COMPUTED_VALUE""")," Phoenix")</f>
        <v xml:space="preserve"> Phoenix</v>
      </c>
      <c r="L687" s="2" t="str">
        <f ca="1">IFERROR(__xludf.DUMMYFUNCTION("""COMPUTED_VALUE""")," AZ 85012")</f>
        <v xml:space="preserve"> AZ 85012</v>
      </c>
      <c r="M687" s="2" t="str">
        <f ca="1">IFERROR(__xludf.DUMMYFUNCTION("""COMPUTED_VALUE""")," USA")</f>
        <v xml:space="preserve"> USA</v>
      </c>
      <c r="P687" s="60"/>
    </row>
    <row r="688" spans="1:16">
      <c r="A688" s="65">
        <v>687</v>
      </c>
      <c r="B688" s="80" t="s">
        <v>3697</v>
      </c>
      <c r="C688" s="65" t="s">
        <v>693</v>
      </c>
      <c r="D688" s="93" t="s">
        <v>4253</v>
      </c>
      <c r="E688" s="48" t="str">
        <f t="shared" si="0"/>
        <v>Clinton</v>
      </c>
      <c r="F688" s="83" t="str">
        <f t="shared" si="1"/>
        <v>Clinton,MS</v>
      </c>
      <c r="G688" s="65" t="s">
        <v>4254</v>
      </c>
      <c r="H688" s="65">
        <v>32.341534199999998</v>
      </c>
      <c r="I688" s="65">
        <v>-90.321758500000001</v>
      </c>
      <c r="J688" s="60" t="str">
        <f ca="1">IFERROR(__xludf.DUMMYFUNCTION("SPLIT(G688,"","")"),"606-608 Dunton Rd")</f>
        <v>606-608 Dunton Rd</v>
      </c>
      <c r="K688" s="2" t="str">
        <f ca="1">IFERROR(__xludf.DUMMYFUNCTION("""COMPUTED_VALUE""")," Clinton")</f>
        <v xml:space="preserve"> Clinton</v>
      </c>
      <c r="L688" s="2" t="str">
        <f ca="1">IFERROR(__xludf.DUMMYFUNCTION("""COMPUTED_VALUE""")," MS 39056")</f>
        <v xml:space="preserve"> MS 39056</v>
      </c>
      <c r="M688" s="2" t="str">
        <f ca="1">IFERROR(__xludf.DUMMYFUNCTION("""COMPUTED_VALUE""")," USA")</f>
        <v xml:space="preserve"> USA</v>
      </c>
      <c r="P688" s="60"/>
    </row>
    <row r="689" spans="1:16">
      <c r="A689" s="60">
        <v>688</v>
      </c>
      <c r="B689" s="79" t="s">
        <v>4259</v>
      </c>
      <c r="C689" s="60" t="s">
        <v>675</v>
      </c>
      <c r="D689" s="93" t="s">
        <v>4260</v>
      </c>
      <c r="E689" s="48" t="str">
        <f t="shared" si="0"/>
        <v>Allentown</v>
      </c>
      <c r="F689" s="83" t="str">
        <f t="shared" si="1"/>
        <v>William Allen (Allentown),PA</v>
      </c>
      <c r="G689" s="60" t="s">
        <v>4263</v>
      </c>
      <c r="H689" s="60">
        <v>40.598500299999998</v>
      </c>
      <c r="I689" s="60">
        <v>-75.493819899999991</v>
      </c>
      <c r="J689" s="60" t="str">
        <f ca="1">IFERROR(__xludf.DUMMYFUNCTION("SPLIT(G689,"","")"),"106 N 17th St")</f>
        <v>106 N 17th St</v>
      </c>
      <c r="K689" s="2" t="str">
        <f ca="1">IFERROR(__xludf.DUMMYFUNCTION("""COMPUTED_VALUE""")," Allentown")</f>
        <v xml:space="preserve"> Allentown</v>
      </c>
      <c r="L689" s="2" t="str">
        <f ca="1">IFERROR(__xludf.DUMMYFUNCTION("""COMPUTED_VALUE""")," PA 18102")</f>
        <v xml:space="preserve"> PA 18102</v>
      </c>
      <c r="M689" s="2" t="str">
        <f ca="1">IFERROR(__xludf.DUMMYFUNCTION("""COMPUTED_VALUE""")," USA")</f>
        <v xml:space="preserve"> USA</v>
      </c>
      <c r="P689" s="60"/>
    </row>
    <row r="690" spans="1:16">
      <c r="A690" s="65">
        <v>689</v>
      </c>
      <c r="B690" s="80" t="s">
        <v>4268</v>
      </c>
      <c r="C690" s="65" t="s">
        <v>606</v>
      </c>
      <c r="D690" s="93" t="s">
        <v>4269</v>
      </c>
      <c r="E690" s="48" t="str">
        <f t="shared" si="0"/>
        <v>Mauldin</v>
      </c>
      <c r="F690" s="83" t="str">
        <f t="shared" si="1"/>
        <v>Mauldin,SC</v>
      </c>
      <c r="G690" s="65" t="s">
        <v>4270</v>
      </c>
      <c r="H690" s="65">
        <v>34.778730000000003</v>
      </c>
      <c r="I690" s="65">
        <v>-82.310119</v>
      </c>
      <c r="J690" s="60" t="str">
        <f ca="1">IFERROR(__xludf.DUMMYFUNCTION("SPLIT(G690,"","")"),"29 W Butler Rd")</f>
        <v>29 W Butler Rd</v>
      </c>
      <c r="K690" s="2" t="str">
        <f ca="1">IFERROR(__xludf.DUMMYFUNCTION("""COMPUTED_VALUE""")," Mauldin")</f>
        <v xml:space="preserve"> Mauldin</v>
      </c>
      <c r="L690" s="2" t="str">
        <f ca="1">IFERROR(__xludf.DUMMYFUNCTION("""COMPUTED_VALUE""")," SC 29662")</f>
        <v xml:space="preserve"> SC 29662</v>
      </c>
      <c r="M690" s="2" t="str">
        <f ca="1">IFERROR(__xludf.DUMMYFUNCTION("""COMPUTED_VALUE""")," USA")</f>
        <v xml:space="preserve"> USA</v>
      </c>
      <c r="P690" s="60"/>
    </row>
    <row r="691" spans="1:16">
      <c r="A691" s="60">
        <v>690</v>
      </c>
      <c r="B691" s="79" t="s">
        <v>4273</v>
      </c>
      <c r="C691" s="60" t="s">
        <v>588</v>
      </c>
      <c r="D691" s="93" t="s">
        <v>3227</v>
      </c>
      <c r="E691" s="48" t="str">
        <f t="shared" si="0"/>
        <v>Rocklin</v>
      </c>
      <c r="F691" s="83" t="str">
        <f t="shared" si="1"/>
        <v>Rocklin,CA</v>
      </c>
      <c r="G691" s="60" t="s">
        <v>4276</v>
      </c>
      <c r="H691" s="60">
        <v>38.790733899999999</v>
      </c>
      <c r="I691" s="60">
        <v>-121.2357828</v>
      </c>
      <c r="J691" s="60" t="str">
        <f ca="1">IFERROR(__xludf.DUMMYFUNCTION("SPLIT(G691,"","")"),"POBOX1655")</f>
        <v>POBOX1655</v>
      </c>
      <c r="K691" s="2" t="str">
        <f ca="1">IFERROR(__xludf.DUMMYFUNCTION("""COMPUTED_VALUE""")," Rocklin")</f>
        <v xml:space="preserve"> Rocklin</v>
      </c>
      <c r="L691" s="2" t="str">
        <f ca="1">IFERROR(__xludf.DUMMYFUNCTION("""COMPUTED_VALUE""")," CA 95677")</f>
        <v xml:space="preserve"> CA 95677</v>
      </c>
      <c r="M691" s="2" t="str">
        <f ca="1">IFERROR(__xludf.DUMMYFUNCTION("""COMPUTED_VALUE""")," USA")</f>
        <v xml:space="preserve"> USA</v>
      </c>
      <c r="P691" s="60"/>
    </row>
    <row r="692" spans="1:16">
      <c r="A692" s="65">
        <v>691</v>
      </c>
      <c r="B692" s="80" t="s">
        <v>4281</v>
      </c>
      <c r="C692" s="65" t="s">
        <v>595</v>
      </c>
      <c r="D692" s="93" t="s">
        <v>4282</v>
      </c>
      <c r="E692" s="48" t="str">
        <f t="shared" si="0"/>
        <v>Bellaire</v>
      </c>
      <c r="F692" s="83" t="str">
        <f t="shared" si="1"/>
        <v>Bellaire,TX</v>
      </c>
      <c r="G692" s="65" t="s">
        <v>4285</v>
      </c>
      <c r="H692" s="65">
        <v>29.705785800000001</v>
      </c>
      <c r="I692" s="65">
        <v>-95.458829899999998</v>
      </c>
      <c r="J692" s="60" t="str">
        <f ca="1">IFERROR(__xludf.DUMMYFUNCTION("SPLIT(G692,"","")"),"St. Hope Foundation 6800 West Loop South")</f>
        <v>St. Hope Foundation 6800 West Loop South</v>
      </c>
      <c r="K692" s="2" t="str">
        <f ca="1">IFERROR(__xludf.DUMMYFUNCTION("""COMPUTED_VALUE""")," Suite 580")</f>
        <v xml:space="preserve"> Suite 580</v>
      </c>
      <c r="L692" s="2" t="str">
        <f ca="1">IFERROR(__xludf.DUMMYFUNCTION("""COMPUTED_VALUE""")," Bellaire")</f>
        <v xml:space="preserve"> Bellaire</v>
      </c>
      <c r="M692" s="2" t="str">
        <f ca="1">IFERROR(__xludf.DUMMYFUNCTION("""COMPUTED_VALUE""")," TX 77401")</f>
        <v xml:space="preserve"> TX 77401</v>
      </c>
      <c r="N692" s="2" t="str">
        <f ca="1">IFERROR(__xludf.DUMMYFUNCTION("""COMPUTED_VALUE""")," USA")</f>
        <v xml:space="preserve"> USA</v>
      </c>
      <c r="P692" s="60"/>
    </row>
    <row r="693" spans="1:16">
      <c r="A693" s="60">
        <v>692</v>
      </c>
      <c r="B693" s="79" t="s">
        <v>4288</v>
      </c>
      <c r="C693" s="60" t="s">
        <v>598</v>
      </c>
      <c r="D693" s="93" t="s">
        <v>1410</v>
      </c>
      <c r="E693" s="48" t="str">
        <f t="shared" si="0"/>
        <v>Canton</v>
      </c>
      <c r="F693" s="83" t="str">
        <f t="shared" si="1"/>
        <v>Sequoyah (Canton),GA</v>
      </c>
      <c r="G693" s="60" t="s">
        <v>4290</v>
      </c>
      <c r="H693" s="60">
        <v>34.171725000000002</v>
      </c>
      <c r="I693" s="60">
        <v>-84.429712899999998</v>
      </c>
      <c r="J693" s="60" t="str">
        <f ca="1">IFERROR(__xludf.DUMMYFUNCTION("SPLIT(G693,"","")"),"4485 Hickory Rd")</f>
        <v>4485 Hickory Rd</v>
      </c>
      <c r="K693" s="2" t="str">
        <f ca="1">IFERROR(__xludf.DUMMYFUNCTION("""COMPUTED_VALUE""")," Canton")</f>
        <v xml:space="preserve"> Canton</v>
      </c>
      <c r="L693" s="2" t="str">
        <f ca="1">IFERROR(__xludf.DUMMYFUNCTION("""COMPUTED_VALUE""")," GA 30115")</f>
        <v xml:space="preserve"> GA 30115</v>
      </c>
      <c r="M693" s="2" t="str">
        <f ca="1">IFERROR(__xludf.DUMMYFUNCTION("""COMPUTED_VALUE""")," USA")</f>
        <v xml:space="preserve"> USA</v>
      </c>
      <c r="P693" s="60"/>
    </row>
    <row r="694" spans="1:16">
      <c r="A694" s="65">
        <v>693</v>
      </c>
      <c r="B694" s="80" t="s">
        <v>4294</v>
      </c>
      <c r="C694" s="65" t="s">
        <v>179</v>
      </c>
      <c r="D694" s="93" t="s">
        <v>2910</v>
      </c>
      <c r="E694" s="48" t="str">
        <f t="shared" si="0"/>
        <v>Charlotte</v>
      </c>
      <c r="F694" s="83" t="str">
        <f t="shared" si="1"/>
        <v>Liberty Heights (Charlotte),NC</v>
      </c>
      <c r="G694" s="65" t="s">
        <v>4297</v>
      </c>
      <c r="H694" s="65">
        <v>35.052115000000001</v>
      </c>
      <c r="I694" s="65">
        <v>-80.834766000000002</v>
      </c>
      <c r="J694" s="60" t="str">
        <f ca="1">IFERROR(__xludf.DUMMYFUNCTION("SPLIT(G694,"","")"),"10718 Lederer Ave")</f>
        <v>10718 Lederer Ave</v>
      </c>
      <c r="K694" s="2" t="str">
        <f ca="1">IFERROR(__xludf.DUMMYFUNCTION("""COMPUTED_VALUE""")," Charlotte")</f>
        <v xml:space="preserve"> Charlotte</v>
      </c>
      <c r="L694" s="2" t="str">
        <f ca="1">IFERROR(__xludf.DUMMYFUNCTION("""COMPUTED_VALUE""")," NC 28277")</f>
        <v xml:space="preserve"> NC 28277</v>
      </c>
      <c r="M694" s="2" t="str">
        <f ca="1">IFERROR(__xludf.DUMMYFUNCTION("""COMPUTED_VALUE""")," USA")</f>
        <v xml:space="preserve"> USA</v>
      </c>
      <c r="P694" s="60"/>
    </row>
    <row r="695" spans="1:16">
      <c r="A695" s="60">
        <v>694</v>
      </c>
      <c r="B695" s="79" t="s">
        <v>4301</v>
      </c>
      <c r="C695" s="60" t="s">
        <v>608</v>
      </c>
      <c r="D695" s="93" t="s">
        <v>4302</v>
      </c>
      <c r="E695" s="48" t="str">
        <f t="shared" si="0"/>
        <v>Woodbury</v>
      </c>
      <c r="F695" s="83" t="str">
        <f t="shared" si="1"/>
        <v>East Ridge (Woodbury),MN</v>
      </c>
      <c r="G695" s="60" t="s">
        <v>4303</v>
      </c>
      <c r="H695" s="60">
        <v>44.886081999999988</v>
      </c>
      <c r="I695" s="60">
        <v>-92.932283100000006</v>
      </c>
      <c r="J695" s="60" t="str">
        <f ca="1">IFERROR(__xludf.DUMMYFUNCTION("SPLIT(G695,"","")"),"4200 Pioneer Dr")</f>
        <v>4200 Pioneer Dr</v>
      </c>
      <c r="K695" s="2" t="str">
        <f ca="1">IFERROR(__xludf.DUMMYFUNCTION("""COMPUTED_VALUE""")," Woodbury")</f>
        <v xml:space="preserve"> Woodbury</v>
      </c>
      <c r="L695" s="2" t="str">
        <f ca="1">IFERROR(__xludf.DUMMYFUNCTION("""COMPUTED_VALUE""")," MN 55129")</f>
        <v xml:space="preserve"> MN 55129</v>
      </c>
      <c r="M695" s="2" t="str">
        <f ca="1">IFERROR(__xludf.DUMMYFUNCTION("""COMPUTED_VALUE""")," USA")</f>
        <v xml:space="preserve"> USA</v>
      </c>
      <c r="P695" s="60"/>
    </row>
    <row r="696" spans="1:16">
      <c r="A696" s="65">
        <v>695</v>
      </c>
      <c r="B696" s="80" t="s">
        <v>4306</v>
      </c>
      <c r="C696" s="65" t="s">
        <v>675</v>
      </c>
      <c r="D696" s="93" t="s">
        <v>4307</v>
      </c>
      <c r="E696" s="48" t="str">
        <f t="shared" si="0"/>
        <v>New Oxford</v>
      </c>
      <c r="F696" s="83" t="str">
        <f t="shared" si="1"/>
        <v>New Oxford,PA</v>
      </c>
      <c r="G696" s="65" t="s">
        <v>4309</v>
      </c>
      <c r="H696" s="65">
        <v>39.863708600000002</v>
      </c>
      <c r="I696" s="65">
        <v>-77.055814299999994</v>
      </c>
      <c r="J696" s="60" t="str">
        <f ca="1">IFERROR(__xludf.DUMMYFUNCTION("SPLIT(G696,"","")"),"8 Hanover St")</f>
        <v>8 Hanover St</v>
      </c>
      <c r="K696" s="2" t="str">
        <f ca="1">IFERROR(__xludf.DUMMYFUNCTION("""COMPUTED_VALUE""")," New Oxford")</f>
        <v xml:space="preserve"> New Oxford</v>
      </c>
      <c r="L696" s="2" t="str">
        <f ca="1">IFERROR(__xludf.DUMMYFUNCTION("""COMPUTED_VALUE""")," PA 17350")</f>
        <v xml:space="preserve"> PA 17350</v>
      </c>
      <c r="M696" s="2" t="str">
        <f ca="1">IFERROR(__xludf.DUMMYFUNCTION("""COMPUTED_VALUE""")," USA")</f>
        <v xml:space="preserve"> USA</v>
      </c>
      <c r="P696" s="60"/>
    </row>
    <row r="697" spans="1:16">
      <c r="A697" s="60">
        <v>696</v>
      </c>
      <c r="B697" s="79" t="s">
        <v>4311</v>
      </c>
      <c r="C697" s="60" t="s">
        <v>183</v>
      </c>
      <c r="D697" s="93" t="s">
        <v>4313</v>
      </c>
      <c r="E697" s="48" t="str">
        <f t="shared" si="0"/>
        <v>Flushing</v>
      </c>
      <c r="F697" s="83" t="str">
        <f t="shared" si="1"/>
        <v>St. Francis Prep (Fresh Meadows),NY</v>
      </c>
      <c r="G697" s="60" t="s">
        <v>4315</v>
      </c>
      <c r="H697" s="60">
        <v>40.742406000000003</v>
      </c>
      <c r="I697" s="60">
        <v>-73.776160000000004</v>
      </c>
      <c r="J697" s="60" t="str">
        <f ca="1">IFERROR(__xludf.DUMMYFUNCTION("SPLIT(G697,"","")"),"61-00 Francis Lewis Blvd")</f>
        <v>61-00 Francis Lewis Blvd</v>
      </c>
      <c r="K697" s="2" t="str">
        <f ca="1">IFERROR(__xludf.DUMMYFUNCTION("""COMPUTED_VALUE""")," Flushing")</f>
        <v xml:space="preserve"> Flushing</v>
      </c>
      <c r="L697" s="2" t="str">
        <f ca="1">IFERROR(__xludf.DUMMYFUNCTION("""COMPUTED_VALUE""")," NY 11365")</f>
        <v xml:space="preserve"> NY 11365</v>
      </c>
      <c r="M697" s="2" t="str">
        <f ca="1">IFERROR(__xludf.DUMMYFUNCTION("""COMPUTED_VALUE""")," USA")</f>
        <v xml:space="preserve"> USA</v>
      </c>
      <c r="P697" s="60"/>
    </row>
    <row r="698" spans="1:16">
      <c r="A698" s="65">
        <v>697</v>
      </c>
      <c r="B698" s="80" t="s">
        <v>4320</v>
      </c>
      <c r="C698" s="65" t="s">
        <v>595</v>
      </c>
      <c r="D698" s="93" t="s">
        <v>961</v>
      </c>
      <c r="E698" s="48" t="str">
        <f t="shared" si="0"/>
        <v>Dallas</v>
      </c>
      <c r="F698" s="83" t="str">
        <f t="shared" si="1"/>
        <v>Carter (Dallas),TX</v>
      </c>
      <c r="G698" s="65" t="s">
        <v>4321</v>
      </c>
      <c r="H698" s="65">
        <v>32.868962099999997</v>
      </c>
      <c r="I698" s="65">
        <v>-96.768361900000002</v>
      </c>
      <c r="J698" s="60" t="str">
        <f ca="1">IFERROR(__xludf.DUMMYFUNCTION("SPLIT(G698,"","")"),"8180 Park Ln #345")</f>
        <v>8180 Park Ln #345</v>
      </c>
      <c r="K698" s="2" t="str">
        <f ca="1">IFERROR(__xludf.DUMMYFUNCTION("""COMPUTED_VALUE""")," Dallas")</f>
        <v xml:space="preserve"> Dallas</v>
      </c>
      <c r="L698" s="2" t="str">
        <f ca="1">IFERROR(__xludf.DUMMYFUNCTION("""COMPUTED_VALUE""")," TX 75231")</f>
        <v xml:space="preserve"> TX 75231</v>
      </c>
      <c r="M698" s="2" t="str">
        <f ca="1">IFERROR(__xludf.DUMMYFUNCTION("""COMPUTED_VALUE""")," USA")</f>
        <v xml:space="preserve"> USA</v>
      </c>
      <c r="P698" s="60"/>
    </row>
    <row r="699" spans="1:16">
      <c r="A699" s="60">
        <v>698</v>
      </c>
      <c r="B699" s="79" t="s">
        <v>4328</v>
      </c>
      <c r="C699" s="60" t="s">
        <v>770</v>
      </c>
      <c r="D699" s="93" t="s">
        <v>875</v>
      </c>
      <c r="E699" s="48" t="str">
        <f t="shared" si="0"/>
        <v>Memphis</v>
      </c>
      <c r="F699" s="83" t="str">
        <f t="shared" si="1"/>
        <v>Washington (Memphis),TN</v>
      </c>
      <c r="G699" s="60" t="s">
        <v>4329</v>
      </c>
      <c r="H699" s="60">
        <v>35.142843300000003</v>
      </c>
      <c r="I699" s="60">
        <v>-90.016789399999993</v>
      </c>
      <c r="J699" s="60" t="str">
        <f ca="1">IFERROR(__xludf.DUMMYFUNCTION("SPLIT(G699,"","")"),"1303 Washington Ave")</f>
        <v>1303 Washington Ave</v>
      </c>
      <c r="K699" s="2" t="str">
        <f ca="1">IFERROR(__xludf.DUMMYFUNCTION("""COMPUTED_VALUE""")," Memphis")</f>
        <v xml:space="preserve"> Memphis</v>
      </c>
      <c r="L699" s="2" t="str">
        <f ca="1">IFERROR(__xludf.DUMMYFUNCTION("""COMPUTED_VALUE""")," TN 38104")</f>
        <v xml:space="preserve"> TN 38104</v>
      </c>
      <c r="M699" s="2" t="str">
        <f ca="1">IFERROR(__xludf.DUMMYFUNCTION("""COMPUTED_VALUE""")," USA")</f>
        <v xml:space="preserve"> USA</v>
      </c>
      <c r="P699" s="60"/>
    </row>
    <row r="700" spans="1:16">
      <c r="A700" s="65">
        <v>699</v>
      </c>
      <c r="B700" s="80" t="s">
        <v>4333</v>
      </c>
      <c r="C700" s="65" t="s">
        <v>174</v>
      </c>
      <c r="D700" s="93" t="s">
        <v>701</v>
      </c>
      <c r="E700" s="48" t="str">
        <f t="shared" si="0"/>
        <v>Cincinnati</v>
      </c>
      <c r="F700" s="83" t="str">
        <f t="shared" si="1"/>
        <v>Deer Park (Cincinnati),OH</v>
      </c>
      <c r="G700" s="65" t="s">
        <v>4335</v>
      </c>
      <c r="H700" s="65">
        <v>39.205336600000003</v>
      </c>
      <c r="I700" s="65">
        <v>-84.394662699999998</v>
      </c>
      <c r="J700" s="60" t="str">
        <f ca="1">IFERROR(__xludf.DUMMYFUNCTION("SPLIT(G700,"","")"),"4244 Matson Ave")</f>
        <v>4244 Matson Ave</v>
      </c>
      <c r="K700" s="2" t="str">
        <f ca="1">IFERROR(__xludf.DUMMYFUNCTION("""COMPUTED_VALUE""")," Cincinnati")</f>
        <v xml:space="preserve"> Cincinnati</v>
      </c>
      <c r="L700" s="2" t="str">
        <f ca="1">IFERROR(__xludf.DUMMYFUNCTION("""COMPUTED_VALUE""")," OH 45236")</f>
        <v xml:space="preserve"> OH 45236</v>
      </c>
      <c r="M700" s="2" t="str">
        <f ca="1">IFERROR(__xludf.DUMMYFUNCTION("""COMPUTED_VALUE""")," USA")</f>
        <v xml:space="preserve"> USA</v>
      </c>
      <c r="P700" s="60"/>
    </row>
    <row r="701" spans="1:16">
      <c r="A701" s="97">
        <v>700</v>
      </c>
      <c r="B701" s="99" t="s">
        <v>4337</v>
      </c>
      <c r="C701" s="97" t="s">
        <v>940</v>
      </c>
      <c r="D701" s="93" t="s">
        <v>4339</v>
      </c>
      <c r="E701" s="48" t="str">
        <f t="shared" si="0"/>
        <v>Hastings</v>
      </c>
      <c r="F701" s="83" t="str">
        <f t="shared" si="1"/>
        <v>Adams Central (Hastings),NE</v>
      </c>
      <c r="G701" s="97" t="s">
        <v>4340</v>
      </c>
      <c r="H701" s="97">
        <v>40.570188899999998</v>
      </c>
      <c r="I701" s="97">
        <v>-98.455538300000001</v>
      </c>
      <c r="J701" s="60" t="str">
        <f ca="1">IFERROR(__xludf.DUMMYFUNCTION("SPLIT(G701,"","")"),"5510 Co Rd 73")</f>
        <v>5510 Co Rd 73</v>
      </c>
      <c r="K701" s="2" t="str">
        <f ca="1">IFERROR(__xludf.DUMMYFUNCTION("""COMPUTED_VALUE""")," Hastings")</f>
        <v xml:space="preserve"> Hastings</v>
      </c>
      <c r="L701" s="2" t="str">
        <f ca="1">IFERROR(__xludf.DUMMYFUNCTION("""COMPUTED_VALUE""")," NE 68901")</f>
        <v xml:space="preserve"> NE 68901</v>
      </c>
      <c r="M701" s="2" t="str">
        <f ca="1">IFERROR(__xludf.DUMMYFUNCTION("""COMPUTED_VALUE""")," USA")</f>
        <v xml:space="preserve"> USA</v>
      </c>
      <c r="P701" s="60"/>
    </row>
    <row r="702" spans="1:16">
      <c r="A702" s="60">
        <v>701</v>
      </c>
      <c r="B702" s="79" t="s">
        <v>499</v>
      </c>
      <c r="C702" s="60" t="s">
        <v>174</v>
      </c>
      <c r="D702" s="93" t="s">
        <v>738</v>
      </c>
      <c r="E702" s="48" t="str">
        <f t="shared" si="0"/>
        <v>Newark</v>
      </c>
      <c r="F702" s="83" t="str">
        <f t="shared" si="1"/>
        <v>Newark,OH</v>
      </c>
      <c r="G702" s="60" t="s">
        <v>4342</v>
      </c>
      <c r="H702" s="60">
        <v>40.058120500000001</v>
      </c>
      <c r="I702" s="60">
        <v>-82.4012642</v>
      </c>
      <c r="J702" s="60" t="str">
        <f ca="1">IFERROR(__xludf.DUMMYFUNCTION("SPLIT(G702,"","")"),"20 S 2nd St")</f>
        <v>20 S 2nd St</v>
      </c>
      <c r="K702" s="2" t="str">
        <f ca="1">IFERROR(__xludf.DUMMYFUNCTION("""COMPUTED_VALUE""")," Newark")</f>
        <v xml:space="preserve"> Newark</v>
      </c>
      <c r="L702" s="2" t="str">
        <f ca="1">IFERROR(__xludf.DUMMYFUNCTION("""COMPUTED_VALUE""")," OH 43055")</f>
        <v xml:space="preserve"> OH 43055</v>
      </c>
      <c r="M702" s="2" t="str">
        <f ca="1">IFERROR(__xludf.DUMMYFUNCTION("""COMPUTED_VALUE""")," USA")</f>
        <v xml:space="preserve"> USA</v>
      </c>
      <c r="P702" s="60"/>
    </row>
    <row r="703" spans="1:16">
      <c r="A703" s="65">
        <v>702</v>
      </c>
      <c r="B703" s="80" t="s">
        <v>4346</v>
      </c>
      <c r="C703" s="65" t="s">
        <v>598</v>
      </c>
      <c r="D703" s="93" t="s">
        <v>4347</v>
      </c>
      <c r="E703" s="48" t="str">
        <f t="shared" si="0"/>
        <v>Americus</v>
      </c>
      <c r="F703" s="83" t="str">
        <f t="shared" si="1"/>
        <v>Americus-Sumter (Americus),GA</v>
      </c>
      <c r="G703" s="65" t="s">
        <v>4348</v>
      </c>
      <c r="H703" s="65">
        <v>32.072386100000003</v>
      </c>
      <c r="I703" s="65">
        <v>-84.232687599999991</v>
      </c>
      <c r="J703" s="60" t="str">
        <f ca="1">IFERROR(__xludf.DUMMYFUNCTION("SPLIT(G703,"","")"),"Municipal Building City of Americus")</f>
        <v>Municipal Building City of Americus</v>
      </c>
      <c r="K703" s="2" t="str">
        <f ca="1">IFERROR(__xludf.DUMMYFUNCTION("""COMPUTED_VALUE""")," 101 W Lamar St")</f>
        <v xml:space="preserve"> 101 W Lamar St</v>
      </c>
      <c r="L703" s="2" t="str">
        <f ca="1">IFERROR(__xludf.DUMMYFUNCTION("""COMPUTED_VALUE""")," Americus")</f>
        <v xml:space="preserve"> Americus</v>
      </c>
      <c r="M703" s="2" t="str">
        <f ca="1">IFERROR(__xludf.DUMMYFUNCTION("""COMPUTED_VALUE""")," GA 31709")</f>
        <v xml:space="preserve"> GA 31709</v>
      </c>
      <c r="N703" s="2" t="str">
        <f ca="1">IFERROR(__xludf.DUMMYFUNCTION("""COMPUTED_VALUE""")," USA")</f>
        <v xml:space="preserve"> USA</v>
      </c>
      <c r="P703" s="60"/>
    </row>
    <row r="704" spans="1:16">
      <c r="A704" s="60">
        <v>703</v>
      </c>
      <c r="B704" s="79" t="s">
        <v>4352</v>
      </c>
      <c r="C704" s="60" t="s">
        <v>588</v>
      </c>
      <c r="D704" s="93" t="s">
        <v>4354</v>
      </c>
      <c r="E704" s="48" t="str">
        <f t="shared" si="0"/>
        <v>Alameda</v>
      </c>
      <c r="F704" s="83" t="str">
        <f t="shared" si="1"/>
        <v>St. Joseph Notre Dame (Alameda),CA</v>
      </c>
      <c r="G704" s="60" t="s">
        <v>4355</v>
      </c>
      <c r="H704" s="60">
        <v>37.765495799999997</v>
      </c>
      <c r="I704" s="60">
        <v>-122.25544669999999</v>
      </c>
      <c r="J704" s="60" t="str">
        <f ca="1">IFERROR(__xludf.DUMMYFUNCTION("SPLIT(G704,"","")"),"1011 Chestnut St")</f>
        <v>1011 Chestnut St</v>
      </c>
      <c r="K704" s="2" t="str">
        <f ca="1">IFERROR(__xludf.DUMMYFUNCTION("""COMPUTED_VALUE""")," Alameda")</f>
        <v xml:space="preserve"> Alameda</v>
      </c>
      <c r="L704" s="2" t="str">
        <f ca="1">IFERROR(__xludf.DUMMYFUNCTION("""COMPUTED_VALUE""")," CA 94501")</f>
        <v xml:space="preserve"> CA 94501</v>
      </c>
      <c r="M704" s="2" t="str">
        <f ca="1">IFERROR(__xludf.DUMMYFUNCTION("""COMPUTED_VALUE""")," USA")</f>
        <v xml:space="preserve"> USA</v>
      </c>
      <c r="P704" s="60"/>
    </row>
    <row r="705" spans="1:16">
      <c r="A705" s="65">
        <v>704</v>
      </c>
      <c r="B705" s="80" t="s">
        <v>3658</v>
      </c>
      <c r="C705" s="65" t="s">
        <v>901</v>
      </c>
      <c r="D705" s="93" t="s">
        <v>4359</v>
      </c>
      <c r="E705" s="48" t="str">
        <f t="shared" si="0"/>
        <v>Bryant</v>
      </c>
      <c r="F705" s="83" t="str">
        <f t="shared" si="1"/>
        <v>Bryant,AR</v>
      </c>
      <c r="G705" s="65" t="s">
        <v>4360</v>
      </c>
      <c r="H705" s="65">
        <v>34.595926499999997</v>
      </c>
      <c r="I705" s="65">
        <v>-92.489046899999991</v>
      </c>
      <c r="J705" s="60" t="str">
        <f ca="1">IFERROR(__xludf.DUMMYFUNCTION("SPLIT(G705,"","")"),"200 N Reynolds Rd")</f>
        <v>200 N Reynolds Rd</v>
      </c>
      <c r="K705" s="2" t="str">
        <f ca="1">IFERROR(__xludf.DUMMYFUNCTION("""COMPUTED_VALUE""")," Bryant")</f>
        <v xml:space="preserve"> Bryant</v>
      </c>
      <c r="L705" s="2" t="str">
        <f ca="1">IFERROR(__xludf.DUMMYFUNCTION("""COMPUTED_VALUE""")," AR 72022")</f>
        <v xml:space="preserve"> AR 72022</v>
      </c>
      <c r="M705" s="2" t="str">
        <f ca="1">IFERROR(__xludf.DUMMYFUNCTION("""COMPUTED_VALUE""")," USA")</f>
        <v xml:space="preserve"> USA</v>
      </c>
      <c r="P705" s="60"/>
    </row>
    <row r="706" spans="1:16">
      <c r="A706" s="60">
        <v>705</v>
      </c>
      <c r="B706" s="79" t="s">
        <v>4364</v>
      </c>
      <c r="C706" s="60" t="s">
        <v>588</v>
      </c>
      <c r="D706" s="93" t="s">
        <v>4365</v>
      </c>
      <c r="E706" s="48" t="str">
        <f t="shared" si="0"/>
        <v>Santa Monica</v>
      </c>
      <c r="F706" s="83" t="str">
        <f t="shared" si="1"/>
        <v>Palisades (Pacific Palisades),CA</v>
      </c>
      <c r="G706" s="60" t="s">
        <v>4367</v>
      </c>
      <c r="H706" s="60">
        <v>34.035633100000013</v>
      </c>
      <c r="I706" s="60">
        <v>-118.5155901</v>
      </c>
      <c r="J706" s="60" t="str">
        <f ca="1">IFERROR(__xludf.DUMMYFUNCTION("SPLIT(G706,"","")"),"520 Latimer Rd")</f>
        <v>520 Latimer Rd</v>
      </c>
      <c r="K706" s="2" t="str">
        <f ca="1">IFERROR(__xludf.DUMMYFUNCTION("""COMPUTED_VALUE""")," Santa Monica")</f>
        <v xml:space="preserve"> Santa Monica</v>
      </c>
      <c r="L706" s="2" t="str">
        <f ca="1">IFERROR(__xludf.DUMMYFUNCTION("""COMPUTED_VALUE""")," CA 90402")</f>
        <v xml:space="preserve"> CA 90402</v>
      </c>
      <c r="M706" s="2" t="str">
        <f ca="1">IFERROR(__xludf.DUMMYFUNCTION("""COMPUTED_VALUE""")," USA")</f>
        <v xml:space="preserve"> USA</v>
      </c>
      <c r="P706" s="60"/>
    </row>
    <row r="707" spans="1:16">
      <c r="A707" s="65">
        <v>706</v>
      </c>
      <c r="B707" s="80" t="s">
        <v>4370</v>
      </c>
      <c r="C707" s="65" t="s">
        <v>608</v>
      </c>
      <c r="D707" s="93" t="s">
        <v>4371</v>
      </c>
      <c r="E707" s="48" t="str">
        <f t="shared" si="0"/>
        <v>Waseca</v>
      </c>
      <c r="F707" s="83" t="str">
        <f t="shared" si="1"/>
        <v>Waseca,MN</v>
      </c>
      <c r="G707" s="65" t="s">
        <v>4372</v>
      </c>
      <c r="H707" s="65">
        <v>44.077041100000002</v>
      </c>
      <c r="I707" s="65">
        <v>-93.508384299999989</v>
      </c>
      <c r="J707" s="60" t="str">
        <f ca="1">IFERROR(__xludf.DUMMYFUNCTION("SPLIT(G707,"","")"),"110 S State St")</f>
        <v>110 S State St</v>
      </c>
      <c r="K707" s="2" t="str">
        <f ca="1">IFERROR(__xludf.DUMMYFUNCTION("""COMPUTED_VALUE""")," Waseca")</f>
        <v xml:space="preserve"> Waseca</v>
      </c>
      <c r="L707" s="2" t="str">
        <f ca="1">IFERROR(__xludf.DUMMYFUNCTION("""COMPUTED_VALUE""")," MN 56093")</f>
        <v xml:space="preserve"> MN 56093</v>
      </c>
      <c r="M707" s="2" t="str">
        <f ca="1">IFERROR(__xludf.DUMMYFUNCTION("""COMPUTED_VALUE""")," USA")</f>
        <v xml:space="preserve"> USA</v>
      </c>
      <c r="P707" s="60"/>
    </row>
    <row r="708" spans="1:16">
      <c r="A708" s="60">
        <v>707</v>
      </c>
      <c r="B708" s="79" t="s">
        <v>4376</v>
      </c>
      <c r="C708" s="60" t="s">
        <v>737</v>
      </c>
      <c r="D708" s="93" t="s">
        <v>4377</v>
      </c>
      <c r="E708" s="48" t="str">
        <f t="shared" si="0"/>
        <v>Ramsey</v>
      </c>
      <c r="F708" s="83" t="str">
        <f t="shared" si="1"/>
        <v>Don Bosco Prep (Ramsey),NJ</v>
      </c>
      <c r="G708" s="60" t="s">
        <v>4378</v>
      </c>
      <c r="H708" s="60">
        <v>41.0726206</v>
      </c>
      <c r="I708" s="60">
        <v>-74.136074800000003</v>
      </c>
      <c r="J708" s="60" t="str">
        <f ca="1">IFERROR(__xludf.DUMMYFUNCTION("SPLIT(G708,"","")"),"492 Franklin Turnpike")</f>
        <v>492 Franklin Turnpike</v>
      </c>
      <c r="K708" s="2" t="str">
        <f ca="1">IFERROR(__xludf.DUMMYFUNCTION("""COMPUTED_VALUE""")," Ramsey")</f>
        <v xml:space="preserve"> Ramsey</v>
      </c>
      <c r="L708" s="2" t="str">
        <f ca="1">IFERROR(__xludf.DUMMYFUNCTION("""COMPUTED_VALUE""")," NJ 07446")</f>
        <v xml:space="preserve"> NJ 07446</v>
      </c>
      <c r="M708" s="2" t="str">
        <f ca="1">IFERROR(__xludf.DUMMYFUNCTION("""COMPUTED_VALUE""")," USA")</f>
        <v xml:space="preserve"> USA</v>
      </c>
      <c r="P708" s="60"/>
    </row>
    <row r="709" spans="1:16">
      <c r="A709" s="65">
        <v>708</v>
      </c>
      <c r="B709" s="80" t="s">
        <v>4382</v>
      </c>
      <c r="C709" s="65" t="s">
        <v>975</v>
      </c>
      <c r="D709" s="93" t="s">
        <v>1913</v>
      </c>
      <c r="E709" s="48" t="str">
        <f t="shared" si="0"/>
        <v>Albuquerque</v>
      </c>
      <c r="F709" s="83" t="str">
        <f t="shared" si="1"/>
        <v>Eldorado (Albuquerque),NM</v>
      </c>
      <c r="G709" s="65" t="s">
        <v>4384</v>
      </c>
      <c r="H709" s="65">
        <v>35.128238000000003</v>
      </c>
      <c r="I709" s="65">
        <v>-106.513188</v>
      </c>
      <c r="J709" s="60" t="str">
        <f ca="1">IFERROR(__xludf.DUMMYFUNCTION("SPLIT(G709,"","")"),"11300 Montgomery Blvd NE")</f>
        <v>11300 Montgomery Blvd NE</v>
      </c>
      <c r="K709" s="2" t="str">
        <f ca="1">IFERROR(__xludf.DUMMYFUNCTION("""COMPUTED_VALUE""")," Albuquerque")</f>
        <v xml:space="preserve"> Albuquerque</v>
      </c>
      <c r="L709" s="2" t="str">
        <f ca="1">IFERROR(__xludf.DUMMYFUNCTION("""COMPUTED_VALUE""")," NM 87111")</f>
        <v xml:space="preserve"> NM 87111</v>
      </c>
      <c r="M709" s="2" t="str">
        <f ca="1">IFERROR(__xludf.DUMMYFUNCTION("""COMPUTED_VALUE""")," USA")</f>
        <v xml:space="preserve"> USA</v>
      </c>
      <c r="P709" s="60"/>
    </row>
    <row r="710" spans="1:16">
      <c r="A710" s="60">
        <v>709</v>
      </c>
      <c r="B710" s="79" t="s">
        <v>4388</v>
      </c>
      <c r="C710" s="60" t="s">
        <v>588</v>
      </c>
      <c r="D710" s="93" t="s">
        <v>733</v>
      </c>
      <c r="E710" s="48" t="str">
        <f t="shared" si="0"/>
        <v>Temecula</v>
      </c>
      <c r="F710" s="83" t="str">
        <f t="shared" si="1"/>
        <v>Great Oak (Temecula),CA</v>
      </c>
      <c r="G710" s="60" t="s">
        <v>4389</v>
      </c>
      <c r="H710" s="60">
        <v>33.452800400000001</v>
      </c>
      <c r="I710" s="60">
        <v>-117.0923252</v>
      </c>
      <c r="J710" s="60" t="str">
        <f ca="1">IFERROR(__xludf.DUMMYFUNCTION("SPLIT(G710,"","")"),"32555 Deer Hollow Way")</f>
        <v>32555 Deer Hollow Way</v>
      </c>
      <c r="K710" s="2" t="str">
        <f ca="1">IFERROR(__xludf.DUMMYFUNCTION("""COMPUTED_VALUE""")," Temecula")</f>
        <v xml:space="preserve"> Temecula</v>
      </c>
      <c r="L710" s="2" t="str">
        <f ca="1">IFERROR(__xludf.DUMMYFUNCTION("""COMPUTED_VALUE""")," CA 92592")</f>
        <v xml:space="preserve"> CA 92592</v>
      </c>
      <c r="M710" s="2" t="str">
        <f ca="1">IFERROR(__xludf.DUMMYFUNCTION("""COMPUTED_VALUE""")," USA")</f>
        <v xml:space="preserve"> USA</v>
      </c>
      <c r="P710" s="60"/>
    </row>
    <row r="711" spans="1:16">
      <c r="A711" s="65">
        <v>710</v>
      </c>
      <c r="B711" s="80" t="s">
        <v>4393</v>
      </c>
      <c r="C711" s="65" t="s">
        <v>179</v>
      </c>
      <c r="D711" s="93" t="s">
        <v>2910</v>
      </c>
      <c r="E711" s="48" t="str">
        <f t="shared" si="0"/>
        <v>Charlotte</v>
      </c>
      <c r="F711" s="83" t="str">
        <f t="shared" si="1"/>
        <v>Zebulon B. Vance (Charlotte),NC</v>
      </c>
      <c r="G711" s="65" t="s">
        <v>4397</v>
      </c>
      <c r="H711" s="65">
        <v>35.300875900000001</v>
      </c>
      <c r="I711" s="65">
        <v>-80.768526499999993</v>
      </c>
      <c r="J711" s="60" t="str">
        <f ca="1">IFERROR(__xludf.DUMMYFUNCTION("SPLIT(G711,"","")"),"7600 IBM Dr")</f>
        <v>7600 IBM Dr</v>
      </c>
      <c r="K711" s="2" t="str">
        <f ca="1">IFERROR(__xludf.DUMMYFUNCTION("""COMPUTED_VALUE""")," Charlotte")</f>
        <v xml:space="preserve"> Charlotte</v>
      </c>
      <c r="L711" s="2" t="str">
        <f ca="1">IFERROR(__xludf.DUMMYFUNCTION("""COMPUTED_VALUE""")," NC 28262")</f>
        <v xml:space="preserve"> NC 28262</v>
      </c>
      <c r="M711" s="2" t="str">
        <f ca="1">IFERROR(__xludf.DUMMYFUNCTION("""COMPUTED_VALUE""")," USA")</f>
        <v xml:space="preserve"> USA</v>
      </c>
      <c r="P711" s="60"/>
    </row>
    <row r="712" spans="1:16">
      <c r="A712" s="60">
        <v>711</v>
      </c>
      <c r="B712" s="79" t="s">
        <v>998</v>
      </c>
      <c r="C712" s="60" t="s">
        <v>595</v>
      </c>
      <c r="D712" s="93" t="s">
        <v>1006</v>
      </c>
      <c r="E712" s="48" t="str">
        <f t="shared" si="0"/>
        <v>Pearland</v>
      </c>
      <c r="F712" s="83" t="str">
        <f t="shared" si="1"/>
        <v>Pearland,TX</v>
      </c>
      <c r="G712" s="60" t="s">
        <v>4402</v>
      </c>
      <c r="H712" s="60">
        <v>29.563566600000001</v>
      </c>
      <c r="I712" s="60">
        <v>-95.286047400000001</v>
      </c>
      <c r="J712" s="60" t="str">
        <f ca="1">IFERROR(__xludf.DUMMYFUNCTION("SPLIT(G712,"","")"),"9707 E Broadway St")</f>
        <v>9707 E Broadway St</v>
      </c>
      <c r="K712" s="2" t="str">
        <f ca="1">IFERROR(__xludf.DUMMYFUNCTION("""COMPUTED_VALUE""")," Pearland")</f>
        <v xml:space="preserve"> Pearland</v>
      </c>
      <c r="L712" s="2" t="str">
        <f ca="1">IFERROR(__xludf.DUMMYFUNCTION("""COMPUTED_VALUE""")," TX 77584")</f>
        <v xml:space="preserve"> TX 77584</v>
      </c>
      <c r="M712" s="2" t="str">
        <f ca="1">IFERROR(__xludf.DUMMYFUNCTION("""COMPUTED_VALUE""")," USA")</f>
        <v xml:space="preserve"> USA</v>
      </c>
      <c r="P712" s="60"/>
    </row>
    <row r="713" spans="1:16">
      <c r="A713" s="65">
        <v>712</v>
      </c>
      <c r="B713" s="80" t="s">
        <v>4406</v>
      </c>
      <c r="C713" s="65" t="s">
        <v>682</v>
      </c>
      <c r="D713" s="93" t="s">
        <v>4408</v>
      </c>
      <c r="E713" s="48" t="str">
        <f t="shared" si="0"/>
        <v>Sheboygan</v>
      </c>
      <c r="F713" s="83" t="str">
        <f t="shared" si="1"/>
        <v>Sheboygan Area Lutheran (Sheboygan),WI</v>
      </c>
      <c r="G713" s="65" t="s">
        <v>4409</v>
      </c>
      <c r="H713" s="65">
        <v>43.7374279</v>
      </c>
      <c r="I713" s="65">
        <v>-87.75088070000001</v>
      </c>
      <c r="J713" s="60" t="str">
        <f ca="1">IFERROR(__xludf.DUMMYFUNCTION("SPLIT(G713,"","")"),"3323 University Dr")</f>
        <v>3323 University Dr</v>
      </c>
      <c r="K713" s="2" t="str">
        <f ca="1">IFERROR(__xludf.DUMMYFUNCTION("""COMPUTED_VALUE""")," Sheboygan")</f>
        <v xml:space="preserve"> Sheboygan</v>
      </c>
      <c r="L713" s="2" t="str">
        <f ca="1">IFERROR(__xludf.DUMMYFUNCTION("""COMPUTED_VALUE""")," WI 53081")</f>
        <v xml:space="preserve"> WI 53081</v>
      </c>
      <c r="M713" s="2" t="str">
        <f ca="1">IFERROR(__xludf.DUMMYFUNCTION("""COMPUTED_VALUE""")," USA")</f>
        <v xml:space="preserve"> USA</v>
      </c>
      <c r="P713" s="60"/>
    </row>
    <row r="714" spans="1:16">
      <c r="A714" s="60">
        <v>713</v>
      </c>
      <c r="B714" s="79" t="s">
        <v>4413</v>
      </c>
      <c r="C714" s="60" t="s">
        <v>602</v>
      </c>
      <c r="D714" s="93" t="s">
        <v>4414</v>
      </c>
      <c r="E714" s="48" t="str">
        <f t="shared" si="0"/>
        <v>Warrenton</v>
      </c>
      <c r="F714" s="83" t="str">
        <f t="shared" si="1"/>
        <v>Highland (Warrenton),VA</v>
      </c>
      <c r="G714" s="60" t="s">
        <v>4416</v>
      </c>
      <c r="H714" s="60">
        <v>38.734619899999998</v>
      </c>
      <c r="I714" s="60">
        <v>-77.801951199999991</v>
      </c>
      <c r="J714" s="60" t="str">
        <f ca="1">IFERROR(__xludf.DUMMYFUNCTION("SPLIT(G714,"","")"),"597 Broadview Ave")</f>
        <v>597 Broadview Ave</v>
      </c>
      <c r="K714" s="2" t="str">
        <f ca="1">IFERROR(__xludf.DUMMYFUNCTION("""COMPUTED_VALUE""")," Warrenton")</f>
        <v xml:space="preserve"> Warrenton</v>
      </c>
      <c r="L714" s="2" t="str">
        <f ca="1">IFERROR(__xludf.DUMMYFUNCTION("""COMPUTED_VALUE""")," VA 20186")</f>
        <v xml:space="preserve"> VA 20186</v>
      </c>
      <c r="M714" s="2" t="str">
        <f ca="1">IFERROR(__xludf.DUMMYFUNCTION("""COMPUTED_VALUE""")," USA")</f>
        <v xml:space="preserve"> USA</v>
      </c>
      <c r="P714" s="60"/>
    </row>
    <row r="715" spans="1:16">
      <c r="A715" s="65">
        <v>714</v>
      </c>
      <c r="B715" s="80" t="s">
        <v>4419</v>
      </c>
      <c r="C715" s="65" t="s">
        <v>770</v>
      </c>
      <c r="D715" s="93" t="s">
        <v>4420</v>
      </c>
      <c r="E715" s="48" t="str">
        <f t="shared" si="0"/>
        <v>Maryville</v>
      </c>
      <c r="F715" s="83" t="str">
        <f t="shared" si="1"/>
        <v>Maryville,TN</v>
      </c>
      <c r="G715" s="65" t="s">
        <v>4421</v>
      </c>
      <c r="H715" s="65">
        <v>35.756471900000001</v>
      </c>
      <c r="I715" s="65">
        <v>-83.970459300000002</v>
      </c>
      <c r="J715" s="60" t="str">
        <f ca="1">IFERROR(__xludf.DUMMYFUNCTION("SPLIT(G715,"","")"),"202 E Broadway Ave")</f>
        <v>202 E Broadway Ave</v>
      </c>
      <c r="K715" s="2" t="str">
        <f ca="1">IFERROR(__xludf.DUMMYFUNCTION("""COMPUTED_VALUE""")," Maryville")</f>
        <v xml:space="preserve"> Maryville</v>
      </c>
      <c r="L715" s="2" t="str">
        <f ca="1">IFERROR(__xludf.DUMMYFUNCTION("""COMPUTED_VALUE""")," TN 37804")</f>
        <v xml:space="preserve"> TN 37804</v>
      </c>
      <c r="M715" s="2" t="str">
        <f ca="1">IFERROR(__xludf.DUMMYFUNCTION("""COMPUTED_VALUE""")," USA")</f>
        <v xml:space="preserve"> USA</v>
      </c>
      <c r="P715" s="60"/>
    </row>
    <row r="716" spans="1:16">
      <c r="A716" s="60">
        <v>715</v>
      </c>
      <c r="B716" s="79" t="s">
        <v>4424</v>
      </c>
      <c r="C716" s="60" t="s">
        <v>136</v>
      </c>
      <c r="D716" s="93" t="s">
        <v>4426</v>
      </c>
      <c r="E716" s="48" t="str">
        <f t="shared" si="0"/>
        <v>Sebring</v>
      </c>
      <c r="F716" s="83" t="str">
        <f t="shared" si="1"/>
        <v>Sebring,FL</v>
      </c>
      <c r="G716" s="60" t="s">
        <v>4427</v>
      </c>
      <c r="H716" s="60">
        <v>27.495591999999998</v>
      </c>
      <c r="I716" s="60">
        <v>-81.440906999999996</v>
      </c>
      <c r="J716" s="60" t="str">
        <f ca="1">IFERROR(__xludf.DUMMYFUNCTION("SPLIT(G716,"","")"),"107 S Commerce Ave")</f>
        <v>107 S Commerce Ave</v>
      </c>
      <c r="K716" s="2" t="str">
        <f ca="1">IFERROR(__xludf.DUMMYFUNCTION("""COMPUTED_VALUE""")," Sebring")</f>
        <v xml:space="preserve"> Sebring</v>
      </c>
      <c r="L716" s="2" t="str">
        <f ca="1">IFERROR(__xludf.DUMMYFUNCTION("""COMPUTED_VALUE""")," FL 33870")</f>
        <v xml:space="preserve"> FL 33870</v>
      </c>
      <c r="M716" s="2" t="str">
        <f ca="1">IFERROR(__xludf.DUMMYFUNCTION("""COMPUTED_VALUE""")," USA")</f>
        <v xml:space="preserve"> USA</v>
      </c>
      <c r="P716" s="60"/>
    </row>
    <row r="717" spans="1:16">
      <c r="A717" s="65">
        <v>716</v>
      </c>
      <c r="B717" s="80" t="s">
        <v>4429</v>
      </c>
      <c r="C717" s="65" t="s">
        <v>595</v>
      </c>
      <c r="D717" s="93" t="s">
        <v>1063</v>
      </c>
      <c r="E717" s="48" t="str">
        <f t="shared" si="0"/>
        <v>Austin</v>
      </c>
      <c r="F717" s="83" t="str">
        <f t="shared" si="1"/>
        <v>Anderson (Austin),TX</v>
      </c>
      <c r="G717" s="65" t="s">
        <v>4430</v>
      </c>
      <c r="H717" s="65">
        <v>30.375657</v>
      </c>
      <c r="I717" s="65">
        <v>-97.752789899999996</v>
      </c>
      <c r="J717" s="60" t="str">
        <f ca="1">IFERROR(__xludf.DUMMYFUNCTION("SPLIT(G717,"","")"),"8403 Mesa Dr")</f>
        <v>8403 Mesa Dr</v>
      </c>
      <c r="K717" s="2" t="str">
        <f ca="1">IFERROR(__xludf.DUMMYFUNCTION("""COMPUTED_VALUE""")," Austin")</f>
        <v xml:space="preserve"> Austin</v>
      </c>
      <c r="L717" s="2" t="str">
        <f ca="1">IFERROR(__xludf.DUMMYFUNCTION("""COMPUTED_VALUE""")," TX 78759")</f>
        <v xml:space="preserve"> TX 78759</v>
      </c>
      <c r="M717" s="2" t="str">
        <f ca="1">IFERROR(__xludf.DUMMYFUNCTION("""COMPUTED_VALUE""")," USA")</f>
        <v xml:space="preserve"> USA</v>
      </c>
      <c r="P717" s="60"/>
    </row>
    <row r="718" spans="1:16">
      <c r="A718" s="60">
        <v>717</v>
      </c>
      <c r="B718" s="79" t="s">
        <v>293</v>
      </c>
      <c r="C718" s="60" t="s">
        <v>595</v>
      </c>
      <c r="D718" s="93" t="s">
        <v>4432</v>
      </c>
      <c r="E718" s="48" t="str">
        <f t="shared" si="0"/>
        <v>McKinney</v>
      </c>
      <c r="F718" s="83" t="str">
        <f t="shared" si="1"/>
        <v>McKinney,TX</v>
      </c>
      <c r="G718" s="60" t="s">
        <v>4434</v>
      </c>
      <c r="H718" s="60">
        <v>33.198338800000002</v>
      </c>
      <c r="I718" s="60">
        <v>-96.638934199999994</v>
      </c>
      <c r="J718" s="60" t="str">
        <f ca="1">IFERROR(__xludf.DUMMYFUNCTION("SPLIT(G718,"","")"),"102 N Central Expy")</f>
        <v>102 N Central Expy</v>
      </c>
      <c r="K718" s="2" t="str">
        <f ca="1">IFERROR(__xludf.DUMMYFUNCTION("""COMPUTED_VALUE""")," McKinney")</f>
        <v xml:space="preserve"> McKinney</v>
      </c>
      <c r="L718" s="2" t="str">
        <f ca="1">IFERROR(__xludf.DUMMYFUNCTION("""COMPUTED_VALUE""")," TX 75070")</f>
        <v xml:space="preserve"> TX 75070</v>
      </c>
      <c r="M718" s="2" t="str">
        <f ca="1">IFERROR(__xludf.DUMMYFUNCTION("""COMPUTED_VALUE""")," USA")</f>
        <v xml:space="preserve"> USA</v>
      </c>
      <c r="P718" s="60"/>
    </row>
    <row r="719" spans="1:16">
      <c r="A719" s="65">
        <v>718</v>
      </c>
      <c r="B719" s="80" t="s">
        <v>4435</v>
      </c>
      <c r="C719" s="65" t="s">
        <v>595</v>
      </c>
      <c r="D719" s="93" t="s">
        <v>4437</v>
      </c>
      <c r="E719" s="48" t="str">
        <f t="shared" si="0"/>
        <v>La Marque</v>
      </c>
      <c r="F719" s="83" t="str">
        <f t="shared" si="1"/>
        <v>La Marque,TX</v>
      </c>
      <c r="G719" s="65" t="s">
        <v>4438</v>
      </c>
      <c r="H719" s="65">
        <v>29.3685674</v>
      </c>
      <c r="I719" s="65">
        <v>-94.9713134</v>
      </c>
      <c r="J719" s="60" t="str">
        <f ca="1">IFERROR(__xludf.DUMMYFUNCTION("SPLIT(G719,"","")"),"1111 Bayou Rd")</f>
        <v>1111 Bayou Rd</v>
      </c>
      <c r="K719" s="2" t="str">
        <f ca="1">IFERROR(__xludf.DUMMYFUNCTION("""COMPUTED_VALUE""")," La Marque")</f>
        <v xml:space="preserve"> La Marque</v>
      </c>
      <c r="L719" s="2" t="str">
        <f ca="1">IFERROR(__xludf.DUMMYFUNCTION("""COMPUTED_VALUE""")," TX 77568")</f>
        <v xml:space="preserve"> TX 77568</v>
      </c>
      <c r="M719" s="2" t="str">
        <f ca="1">IFERROR(__xludf.DUMMYFUNCTION("""COMPUTED_VALUE""")," USA")</f>
        <v xml:space="preserve"> USA</v>
      </c>
      <c r="P719" s="60"/>
    </row>
    <row r="720" spans="1:16">
      <c r="A720" s="60">
        <v>719</v>
      </c>
      <c r="B720" s="79" t="s">
        <v>4441</v>
      </c>
      <c r="C720" s="60" t="s">
        <v>588</v>
      </c>
      <c r="D720" s="93" t="s">
        <v>4442</v>
      </c>
      <c r="E720" s="48" t="str">
        <f t="shared" si="0"/>
        <v>Gardena</v>
      </c>
      <c r="F720" s="83" t="str">
        <f t="shared" si="1"/>
        <v>Gardena,CA</v>
      </c>
      <c r="G720" s="60" t="s">
        <v>4443</v>
      </c>
      <c r="H720" s="60">
        <v>33.888348700000002</v>
      </c>
      <c r="I720" s="60">
        <v>-118.3089624</v>
      </c>
      <c r="J720" s="60" t="str">
        <f ca="1">IFERROR(__xludf.DUMMYFUNCTION("SPLIT(G720,"","")"),"Redondo Beach Bl &amp; Western Ave")</f>
        <v>Redondo Beach Bl &amp; Western Ave</v>
      </c>
      <c r="K720" s="2" t="str">
        <f ca="1">IFERROR(__xludf.DUMMYFUNCTION("""COMPUTED_VALUE""")," Gardena")</f>
        <v xml:space="preserve"> Gardena</v>
      </c>
      <c r="L720" s="2" t="str">
        <f ca="1">IFERROR(__xludf.DUMMYFUNCTION("""COMPUTED_VALUE""")," CA 90247")</f>
        <v xml:space="preserve"> CA 90247</v>
      </c>
      <c r="M720" s="2" t="str">
        <f ca="1">IFERROR(__xludf.DUMMYFUNCTION("""COMPUTED_VALUE""")," USA")</f>
        <v xml:space="preserve"> USA</v>
      </c>
      <c r="P720" s="60"/>
    </row>
    <row r="721" spans="1:16">
      <c r="A721" s="65">
        <v>720</v>
      </c>
      <c r="B721" s="80" t="s">
        <v>4447</v>
      </c>
      <c r="C721" s="65" t="s">
        <v>595</v>
      </c>
      <c r="D721" s="93" t="s">
        <v>4448</v>
      </c>
      <c r="E721" s="48" t="str">
        <f t="shared" si="0"/>
        <v>Shallowater</v>
      </c>
      <c r="F721" s="83" t="str">
        <f t="shared" si="1"/>
        <v>Shallowater,TX</v>
      </c>
      <c r="G721" s="65" t="s">
        <v>4450</v>
      </c>
      <c r="H721" s="65">
        <v>33.688972800000009</v>
      </c>
      <c r="I721" s="65">
        <v>-101.9982275</v>
      </c>
      <c r="J721" s="60" t="str">
        <f ca="1">IFERROR(__xludf.DUMMYFUNCTION("SPLIT(G721,"","")"),"707 Avenue G")</f>
        <v>707 Avenue G</v>
      </c>
      <c r="K721" s="2" t="str">
        <f ca="1">IFERROR(__xludf.DUMMYFUNCTION("""COMPUTED_VALUE""")," Shallowater")</f>
        <v xml:space="preserve"> Shallowater</v>
      </c>
      <c r="L721" s="2" t="str">
        <f ca="1">IFERROR(__xludf.DUMMYFUNCTION("""COMPUTED_VALUE""")," TX 79363")</f>
        <v xml:space="preserve"> TX 79363</v>
      </c>
      <c r="M721" s="2" t="str">
        <f ca="1">IFERROR(__xludf.DUMMYFUNCTION("""COMPUTED_VALUE""")," USA")</f>
        <v xml:space="preserve"> USA</v>
      </c>
      <c r="P721" s="60"/>
    </row>
    <row r="722" spans="1:16">
      <c r="A722" s="60">
        <v>721</v>
      </c>
      <c r="B722" s="79" t="s">
        <v>4455</v>
      </c>
      <c r="C722" s="60" t="s">
        <v>602</v>
      </c>
      <c r="D722" s="93" t="s">
        <v>696</v>
      </c>
      <c r="E722" s="48" t="str">
        <f t="shared" si="0"/>
        <v>Richmond</v>
      </c>
      <c r="F722" s="83" t="str">
        <f t="shared" si="1"/>
        <v>Trinity Episcopal (Richmond),VA</v>
      </c>
      <c r="G722" s="60" t="s">
        <v>4456</v>
      </c>
      <c r="H722" s="60">
        <v>37.550326699999999</v>
      </c>
      <c r="I722" s="60">
        <v>-77.595342299999999</v>
      </c>
      <c r="J722" s="60" t="str">
        <f ca="1">IFERROR(__xludf.DUMMYFUNCTION("SPLIT(G722,"","")"),"3850 Pittaway Dr")</f>
        <v>3850 Pittaway Dr</v>
      </c>
      <c r="K722" s="2" t="str">
        <f ca="1">IFERROR(__xludf.DUMMYFUNCTION("""COMPUTED_VALUE""")," Richmond")</f>
        <v xml:space="preserve"> Richmond</v>
      </c>
      <c r="L722" s="2" t="str">
        <f ca="1">IFERROR(__xludf.DUMMYFUNCTION("""COMPUTED_VALUE""")," VA 23235")</f>
        <v xml:space="preserve"> VA 23235</v>
      </c>
      <c r="M722" s="2" t="str">
        <f ca="1">IFERROR(__xludf.DUMMYFUNCTION("""COMPUTED_VALUE""")," USA")</f>
        <v xml:space="preserve"> USA</v>
      </c>
      <c r="P722" s="60"/>
    </row>
    <row r="723" spans="1:16">
      <c r="A723" s="65">
        <v>722</v>
      </c>
      <c r="B723" s="80" t="s">
        <v>4460</v>
      </c>
      <c r="C723" s="65" t="s">
        <v>595</v>
      </c>
      <c r="D723" s="93" t="s">
        <v>4461</v>
      </c>
      <c r="E723" s="48" t="str">
        <f t="shared" si="0"/>
        <v>Weatherford</v>
      </c>
      <c r="F723" s="83" t="str">
        <f t="shared" si="1"/>
        <v>Peaster,TX</v>
      </c>
      <c r="G723" s="65" t="s">
        <v>4464</v>
      </c>
      <c r="H723" s="65">
        <v>32.8720699</v>
      </c>
      <c r="I723" s="65">
        <v>-97.866701599999999</v>
      </c>
      <c r="J723" s="60" t="str">
        <f ca="1">IFERROR(__xludf.DUMMYFUNCTION("SPLIT(G723,"","")"),"8776 FM 920")</f>
        <v>8776 FM 920</v>
      </c>
      <c r="K723" s="2" t="str">
        <f ca="1">IFERROR(__xludf.DUMMYFUNCTION("""COMPUTED_VALUE""")," Weatherford")</f>
        <v xml:space="preserve"> Weatherford</v>
      </c>
      <c r="L723" s="2" t="str">
        <f ca="1">IFERROR(__xludf.DUMMYFUNCTION("""COMPUTED_VALUE""")," TX 76088")</f>
        <v xml:space="preserve"> TX 76088</v>
      </c>
      <c r="M723" s="2" t="str">
        <f ca="1">IFERROR(__xludf.DUMMYFUNCTION("""COMPUTED_VALUE""")," USA")</f>
        <v xml:space="preserve"> USA</v>
      </c>
      <c r="P723" s="60"/>
    </row>
    <row r="724" spans="1:16">
      <c r="A724" s="60">
        <v>723</v>
      </c>
      <c r="B724" s="79" t="s">
        <v>4466</v>
      </c>
      <c r="C724" s="60" t="s">
        <v>770</v>
      </c>
      <c r="D724" s="93" t="s">
        <v>875</v>
      </c>
      <c r="E724" s="48" t="str">
        <f t="shared" si="0"/>
        <v>Memphis</v>
      </c>
      <c r="F724" s="83" t="str">
        <f t="shared" si="1"/>
        <v>Lausanne Collegiate (Memphis),TN</v>
      </c>
      <c r="G724" s="60" t="s">
        <v>4469</v>
      </c>
      <c r="H724" s="60">
        <v>35.111646899999997</v>
      </c>
      <c r="I724" s="60">
        <v>-89.85240189999999</v>
      </c>
      <c r="J724" s="60" t="str">
        <f ca="1">IFERROR(__xludf.DUMMYFUNCTION("SPLIT(G724,"","")"),"1381 W Massey Rd")</f>
        <v>1381 W Massey Rd</v>
      </c>
      <c r="K724" s="2" t="str">
        <f ca="1">IFERROR(__xludf.DUMMYFUNCTION("""COMPUTED_VALUE""")," Memphis")</f>
        <v xml:space="preserve"> Memphis</v>
      </c>
      <c r="L724" s="2" t="str">
        <f ca="1">IFERROR(__xludf.DUMMYFUNCTION("""COMPUTED_VALUE""")," TN 38120")</f>
        <v xml:space="preserve"> TN 38120</v>
      </c>
      <c r="M724" s="2" t="str">
        <f ca="1">IFERROR(__xludf.DUMMYFUNCTION("""COMPUTED_VALUE""")," USA")</f>
        <v xml:space="preserve"> USA</v>
      </c>
      <c r="P724" s="60"/>
    </row>
    <row r="725" spans="1:16">
      <c r="A725" s="65">
        <v>724</v>
      </c>
      <c r="B725" s="80" t="s">
        <v>4474</v>
      </c>
      <c r="C725" s="65" t="s">
        <v>901</v>
      </c>
      <c r="D725" s="93" t="s">
        <v>4475</v>
      </c>
      <c r="E725" s="48" t="str">
        <f t="shared" si="0"/>
        <v>Sherwood</v>
      </c>
      <c r="F725" s="83" t="str">
        <f t="shared" si="1"/>
        <v>Sylvan Hills (Sherwood),AR</v>
      </c>
      <c r="G725" s="65" t="s">
        <v>4476</v>
      </c>
      <c r="H725" s="65">
        <v>34.848710599999997</v>
      </c>
      <c r="I725" s="65">
        <v>-92.235525699999997</v>
      </c>
      <c r="J725" s="60" t="str">
        <f ca="1">IFERROR(__xludf.DUMMYFUNCTION("SPLIT(G725,"","")"),"405 Dee Jay Hudson Dr")</f>
        <v>405 Dee Jay Hudson Dr</v>
      </c>
      <c r="K725" s="2" t="str">
        <f ca="1">IFERROR(__xludf.DUMMYFUNCTION("""COMPUTED_VALUE""")," Sherwood")</f>
        <v xml:space="preserve"> Sherwood</v>
      </c>
      <c r="L725" s="2" t="str">
        <f ca="1">IFERROR(__xludf.DUMMYFUNCTION("""COMPUTED_VALUE""")," AR 72120")</f>
        <v xml:space="preserve"> AR 72120</v>
      </c>
      <c r="M725" s="2" t="str">
        <f ca="1">IFERROR(__xludf.DUMMYFUNCTION("""COMPUTED_VALUE""")," USA")</f>
        <v xml:space="preserve"> USA</v>
      </c>
      <c r="P725" s="60"/>
    </row>
    <row r="726" spans="1:16">
      <c r="A726" s="97">
        <v>725</v>
      </c>
      <c r="B726" s="99" t="s">
        <v>4480</v>
      </c>
      <c r="C726" s="97" t="s">
        <v>590</v>
      </c>
      <c r="D726" s="93" t="s">
        <v>4481</v>
      </c>
      <c r="E726" s="48" t="str">
        <f t="shared" si="0"/>
        <v>Owings Mills</v>
      </c>
      <c r="F726" s="83" t="str">
        <f t="shared" si="1"/>
        <v>New Town (Owings Mills),MD</v>
      </c>
      <c r="G726" s="97" t="s">
        <v>4483</v>
      </c>
      <c r="H726" s="97">
        <v>39.406483700000003</v>
      </c>
      <c r="I726" s="97">
        <v>-76.808590299999992</v>
      </c>
      <c r="J726" s="60" t="str">
        <f ca="1">IFERROR(__xludf.DUMMYFUNCTION("SPLIT(G726,"","")"),"9704 Middle Mill Dr")</f>
        <v>9704 Middle Mill Dr</v>
      </c>
      <c r="K726" s="2" t="str">
        <f ca="1">IFERROR(__xludf.DUMMYFUNCTION("""COMPUTED_VALUE""")," Owings Mills")</f>
        <v xml:space="preserve"> Owings Mills</v>
      </c>
      <c r="L726" s="2" t="str">
        <f ca="1">IFERROR(__xludf.DUMMYFUNCTION("""COMPUTED_VALUE""")," MD 21117")</f>
        <v xml:space="preserve"> MD 21117</v>
      </c>
      <c r="M726" s="2" t="str">
        <f ca="1">IFERROR(__xludf.DUMMYFUNCTION("""COMPUTED_VALUE""")," USA")</f>
        <v xml:space="preserve"> USA</v>
      </c>
      <c r="P726" s="60"/>
    </row>
    <row r="727" spans="1:16">
      <c r="A727" s="60">
        <v>726</v>
      </c>
      <c r="B727" s="79" t="s">
        <v>4490</v>
      </c>
      <c r="C727" s="60" t="s">
        <v>897</v>
      </c>
      <c r="D727" s="93" t="s">
        <v>899</v>
      </c>
      <c r="E727" s="48" t="str">
        <f t="shared" si="0"/>
        <v>St. Louis</v>
      </c>
      <c r="F727" s="83" t="str">
        <f t="shared" si="1"/>
        <v>Trinity Catholic (St. Louis),MO</v>
      </c>
      <c r="G727" s="60" t="s">
        <v>4493</v>
      </c>
      <c r="H727" s="60">
        <v>38.784734</v>
      </c>
      <c r="I727" s="60">
        <v>-90.223183999999989</v>
      </c>
      <c r="J727" s="60" t="str">
        <f ca="1">IFERROR(__xludf.DUMMYFUNCTION("SPLIT(G727,"","")"),"1720 Redman Ave")</f>
        <v>1720 Redman Ave</v>
      </c>
      <c r="K727" s="2" t="str">
        <f ca="1">IFERROR(__xludf.DUMMYFUNCTION("""COMPUTED_VALUE""")," St. Louis")</f>
        <v xml:space="preserve"> St. Louis</v>
      </c>
      <c r="L727" s="2" t="str">
        <f ca="1">IFERROR(__xludf.DUMMYFUNCTION("""COMPUTED_VALUE""")," MO 63138")</f>
        <v xml:space="preserve"> MO 63138</v>
      </c>
      <c r="M727" s="2" t="str">
        <f ca="1">IFERROR(__xludf.DUMMYFUNCTION("""COMPUTED_VALUE""")," USA")</f>
        <v xml:space="preserve"> USA</v>
      </c>
      <c r="P727" s="60"/>
    </row>
    <row r="728" spans="1:16">
      <c r="A728" s="65">
        <v>727</v>
      </c>
      <c r="B728" s="80" t="s">
        <v>4497</v>
      </c>
      <c r="C728" s="65" t="s">
        <v>604</v>
      </c>
      <c r="D728" s="93" t="s">
        <v>1732</v>
      </c>
      <c r="E728" s="48" t="str">
        <f t="shared" si="0"/>
        <v>Oak Park</v>
      </c>
      <c r="F728" s="83" t="str">
        <f t="shared" si="1"/>
        <v>Fenwick (Oak Park),IL</v>
      </c>
      <c r="G728" s="65" t="s">
        <v>4500</v>
      </c>
      <c r="H728" s="65">
        <v>41.881469299999999</v>
      </c>
      <c r="I728" s="65">
        <v>-87.788786599999995</v>
      </c>
      <c r="J728" s="60" t="str">
        <f ca="1">IFERROR(__xludf.DUMMYFUNCTION("SPLIT(G728,"","")"),"524 Washington Blvd")</f>
        <v>524 Washington Blvd</v>
      </c>
      <c r="K728" s="2" t="str">
        <f ca="1">IFERROR(__xludf.DUMMYFUNCTION("""COMPUTED_VALUE""")," Oak Park")</f>
        <v xml:space="preserve"> Oak Park</v>
      </c>
      <c r="L728" s="2" t="str">
        <f ca="1">IFERROR(__xludf.DUMMYFUNCTION("""COMPUTED_VALUE""")," IL 60302")</f>
        <v xml:space="preserve"> IL 60302</v>
      </c>
      <c r="M728" s="2" t="str">
        <f ca="1">IFERROR(__xludf.DUMMYFUNCTION("""COMPUTED_VALUE""")," USA")</f>
        <v xml:space="preserve"> USA</v>
      </c>
      <c r="P728" s="60"/>
    </row>
    <row r="729" spans="1:16">
      <c r="A729" s="60">
        <v>728</v>
      </c>
      <c r="B729" s="79" t="s">
        <v>4504</v>
      </c>
      <c r="C729" s="60" t="s">
        <v>1055</v>
      </c>
      <c r="D729" s="93" t="s">
        <v>1420</v>
      </c>
      <c r="E729" s="48" t="str">
        <f t="shared" si="0"/>
        <v>Tulsa</v>
      </c>
      <c r="F729" s="83" t="str">
        <f t="shared" si="1"/>
        <v>Webster (Tulsa),OK</v>
      </c>
      <c r="G729" s="60" t="s">
        <v>4506</v>
      </c>
      <c r="H729" s="60">
        <v>36.105756599999999</v>
      </c>
      <c r="I729" s="60">
        <v>-96.015424999999993</v>
      </c>
      <c r="J729" s="60" t="str">
        <f ca="1">IFERROR(__xludf.DUMMYFUNCTION("SPLIT(G729,"","")"),"1919 W 40th St")</f>
        <v>1919 W 40th St</v>
      </c>
      <c r="K729" s="2" t="str">
        <f ca="1">IFERROR(__xludf.DUMMYFUNCTION("""COMPUTED_VALUE""")," Tulsa")</f>
        <v xml:space="preserve"> Tulsa</v>
      </c>
      <c r="L729" s="2" t="str">
        <f ca="1">IFERROR(__xludf.DUMMYFUNCTION("""COMPUTED_VALUE""")," OK 74107")</f>
        <v xml:space="preserve"> OK 74107</v>
      </c>
      <c r="M729" s="2" t="str">
        <f ca="1">IFERROR(__xludf.DUMMYFUNCTION("""COMPUTED_VALUE""")," USA")</f>
        <v xml:space="preserve"> USA</v>
      </c>
      <c r="P729" s="60"/>
    </row>
    <row r="730" spans="1:16">
      <c r="A730" s="65">
        <v>729</v>
      </c>
      <c r="B730" s="80" t="s">
        <v>4511</v>
      </c>
      <c r="C730" s="65" t="s">
        <v>595</v>
      </c>
      <c r="D730" s="93" t="s">
        <v>4513</v>
      </c>
      <c r="E730" s="48" t="str">
        <f t="shared" si="0"/>
        <v>Pflugerville</v>
      </c>
      <c r="F730" s="83" t="str">
        <f t="shared" si="1"/>
        <v>Hendrickson (Pflugerville),TX</v>
      </c>
      <c r="G730" s="65" t="s">
        <v>4516</v>
      </c>
      <c r="H730" s="65">
        <v>30.464621399999999</v>
      </c>
      <c r="I730" s="65">
        <v>-97.588229800000008</v>
      </c>
      <c r="J730" s="60" t="str">
        <f ca="1">IFERROR(__xludf.DUMMYFUNCTION("SPLIT(G730,"","")"),"19201 Colorado Sand Dr")</f>
        <v>19201 Colorado Sand Dr</v>
      </c>
      <c r="K730" s="2" t="str">
        <f ca="1">IFERROR(__xludf.DUMMYFUNCTION("""COMPUTED_VALUE""")," Pflugerville")</f>
        <v xml:space="preserve"> Pflugerville</v>
      </c>
      <c r="L730" s="2" t="str">
        <f ca="1">IFERROR(__xludf.DUMMYFUNCTION("""COMPUTED_VALUE""")," TX 78660")</f>
        <v xml:space="preserve"> TX 78660</v>
      </c>
      <c r="M730" s="2" t="str">
        <f ca="1">IFERROR(__xludf.DUMMYFUNCTION("""COMPUTED_VALUE""")," USA")</f>
        <v xml:space="preserve"> USA</v>
      </c>
      <c r="P730" s="60"/>
    </row>
    <row r="731" spans="1:16">
      <c r="A731" s="60">
        <v>730</v>
      </c>
      <c r="B731" s="79" t="s">
        <v>4520</v>
      </c>
      <c r="C731" s="60" t="s">
        <v>588</v>
      </c>
      <c r="D731" s="93" t="s">
        <v>4521</v>
      </c>
      <c r="E731" s="48" t="str">
        <f t="shared" si="0"/>
        <v>Palo Alto</v>
      </c>
      <c r="F731" s="83" t="str">
        <f t="shared" si="1"/>
        <v>Palo Alto,CA</v>
      </c>
      <c r="G731" s="60" t="s">
        <v>4522</v>
      </c>
      <c r="H731" s="60">
        <v>37.441883400000002</v>
      </c>
      <c r="I731" s="60">
        <v>-122.14301949999999</v>
      </c>
      <c r="J731" s="60" t="str">
        <f ca="1">IFERROR(__xludf.DUMMYFUNCTION("SPLIT(G731,"","")"),"668 Coleridge Ave")</f>
        <v>668 Coleridge Ave</v>
      </c>
      <c r="K731" s="2" t="str">
        <f ca="1">IFERROR(__xludf.DUMMYFUNCTION("""COMPUTED_VALUE""")," Palo Alto")</f>
        <v xml:space="preserve"> Palo Alto</v>
      </c>
      <c r="L731" s="2" t="str">
        <f ca="1">IFERROR(__xludf.DUMMYFUNCTION("""COMPUTED_VALUE""")," CA 94301")</f>
        <v xml:space="preserve"> CA 94301</v>
      </c>
      <c r="M731" s="2" t="str">
        <f ca="1">IFERROR(__xludf.DUMMYFUNCTION("""COMPUTED_VALUE""")," USA")</f>
        <v xml:space="preserve"> USA</v>
      </c>
      <c r="P731" s="60"/>
    </row>
    <row r="732" spans="1:16">
      <c r="A732" s="65">
        <v>731</v>
      </c>
      <c r="B732" s="80" t="s">
        <v>280</v>
      </c>
      <c r="C732" s="65" t="s">
        <v>737</v>
      </c>
      <c r="D732" s="93" t="s">
        <v>4377</v>
      </c>
      <c r="E732" s="48" t="str">
        <f t="shared" si="0"/>
        <v>Ramsey</v>
      </c>
      <c r="F732" s="83" t="str">
        <f t="shared" si="1"/>
        <v>Ramsey,NJ</v>
      </c>
      <c r="G732" s="65" t="s">
        <v>4528</v>
      </c>
      <c r="H732" s="65">
        <v>41.057318799999997</v>
      </c>
      <c r="I732" s="65">
        <v>-74.140977100000001</v>
      </c>
      <c r="J732" s="60" t="str">
        <f ca="1">IFERROR(__xludf.DUMMYFUNCTION("SPLIT(G732,"","")"),"32-38 E Main St")</f>
        <v>32-38 E Main St</v>
      </c>
      <c r="K732" s="2" t="str">
        <f ca="1">IFERROR(__xludf.DUMMYFUNCTION("""COMPUTED_VALUE""")," Ramsey")</f>
        <v xml:space="preserve"> Ramsey</v>
      </c>
      <c r="L732" s="2" t="str">
        <f ca="1">IFERROR(__xludf.DUMMYFUNCTION("""COMPUTED_VALUE""")," NJ 07446")</f>
        <v xml:space="preserve"> NJ 07446</v>
      </c>
      <c r="M732" s="2" t="str">
        <f ca="1">IFERROR(__xludf.DUMMYFUNCTION("""COMPUTED_VALUE""")," USA")</f>
        <v xml:space="preserve"> USA</v>
      </c>
      <c r="P732" s="60"/>
    </row>
    <row r="733" spans="1:16">
      <c r="A733" s="60">
        <v>732</v>
      </c>
      <c r="B733" s="79" t="s">
        <v>4531</v>
      </c>
      <c r="C733" s="60" t="s">
        <v>191</v>
      </c>
      <c r="D733" s="93" t="s">
        <v>2789</v>
      </c>
      <c r="E733" s="48" t="str">
        <f t="shared" si="0"/>
        <v>Detroit</v>
      </c>
      <c r="F733" s="83" t="str">
        <f t="shared" si="1"/>
        <v>University of Detroit Jesuit (Detroit),MI</v>
      </c>
      <c r="G733" s="60" t="s">
        <v>4532</v>
      </c>
      <c r="H733" s="60">
        <v>42.4328979</v>
      </c>
      <c r="I733" s="60">
        <v>-83.153677000000002</v>
      </c>
      <c r="J733" s="60" t="str">
        <f ca="1">IFERROR(__xludf.DUMMYFUNCTION("SPLIT(G733,"","")"),"8400 N Cambridge Ave")</f>
        <v>8400 N Cambridge Ave</v>
      </c>
      <c r="K733" s="2" t="str">
        <f ca="1">IFERROR(__xludf.DUMMYFUNCTION("""COMPUTED_VALUE""")," Detroit")</f>
        <v xml:space="preserve"> Detroit</v>
      </c>
      <c r="L733" s="2" t="str">
        <f ca="1">IFERROR(__xludf.DUMMYFUNCTION("""COMPUTED_VALUE""")," MI 48221")</f>
        <v xml:space="preserve"> MI 48221</v>
      </c>
      <c r="M733" s="2" t="str">
        <f ca="1">IFERROR(__xludf.DUMMYFUNCTION("""COMPUTED_VALUE""")," USA")</f>
        <v xml:space="preserve"> USA</v>
      </c>
      <c r="P733" s="60"/>
    </row>
    <row r="734" spans="1:16">
      <c r="A734" s="65">
        <v>733</v>
      </c>
      <c r="B734" s="80" t="s">
        <v>4535</v>
      </c>
      <c r="C734" s="65" t="s">
        <v>765</v>
      </c>
      <c r="D734" s="93" t="s">
        <v>4536</v>
      </c>
      <c r="E734" s="48" t="str">
        <f t="shared" si="0"/>
        <v>Highland</v>
      </c>
      <c r="F734" s="83" t="str">
        <f t="shared" si="1"/>
        <v>Lone Peak (Highland),UT</v>
      </c>
      <c r="G734" s="65" t="s">
        <v>4538</v>
      </c>
      <c r="H734" s="65">
        <v>40.418026500000003</v>
      </c>
      <c r="I734" s="65">
        <v>-111.7750257</v>
      </c>
      <c r="J734" s="60" t="str">
        <f ca="1">IFERROR(__xludf.DUMMYFUNCTION("SPLIT(G734,"","")"),"10189 N 4800 W")</f>
        <v>10189 N 4800 W</v>
      </c>
      <c r="K734" s="2" t="str">
        <f ca="1">IFERROR(__xludf.DUMMYFUNCTION("""COMPUTED_VALUE""")," Highland")</f>
        <v xml:space="preserve"> Highland</v>
      </c>
      <c r="L734" s="2" t="str">
        <f ca="1">IFERROR(__xludf.DUMMYFUNCTION("""COMPUTED_VALUE""")," UT 84003")</f>
        <v xml:space="preserve"> UT 84003</v>
      </c>
      <c r="M734" s="2" t="str">
        <f ca="1">IFERROR(__xludf.DUMMYFUNCTION("""COMPUTED_VALUE""")," USA")</f>
        <v xml:space="preserve"> USA</v>
      </c>
      <c r="P734" s="60"/>
    </row>
    <row r="735" spans="1:16">
      <c r="A735" s="60">
        <v>734</v>
      </c>
      <c r="B735" s="79" t="s">
        <v>4541</v>
      </c>
      <c r="C735" s="60" t="s">
        <v>975</v>
      </c>
      <c r="D735" s="93" t="s">
        <v>4543</v>
      </c>
      <c r="E735" s="48" t="str">
        <f t="shared" si="0"/>
        <v>Pecos</v>
      </c>
      <c r="F735" s="83" t="str">
        <f t="shared" si="1"/>
        <v>Pecos,NM</v>
      </c>
      <c r="G735" s="60" t="s">
        <v>4545</v>
      </c>
      <c r="H735" s="60">
        <v>35.574203099999998</v>
      </c>
      <c r="I735" s="60">
        <v>-105.675016</v>
      </c>
      <c r="J735" s="60" t="str">
        <f ca="1">IFERROR(__xludf.DUMMYFUNCTION("SPLIT(G735,"","")"),"8 S Main St")</f>
        <v>8 S Main St</v>
      </c>
      <c r="K735" s="2" t="str">
        <f ca="1">IFERROR(__xludf.DUMMYFUNCTION("""COMPUTED_VALUE""")," Pecos")</f>
        <v xml:space="preserve"> Pecos</v>
      </c>
      <c r="L735" s="2" t="str">
        <f ca="1">IFERROR(__xludf.DUMMYFUNCTION("""COMPUTED_VALUE""")," NM 87552")</f>
        <v xml:space="preserve"> NM 87552</v>
      </c>
      <c r="M735" s="2" t="str">
        <f ca="1">IFERROR(__xludf.DUMMYFUNCTION("""COMPUTED_VALUE""")," USA")</f>
        <v xml:space="preserve"> USA</v>
      </c>
      <c r="P735" s="60"/>
    </row>
    <row r="736" spans="1:16">
      <c r="A736" s="65">
        <v>735</v>
      </c>
      <c r="B736" s="80" t="s">
        <v>4549</v>
      </c>
      <c r="C736" s="65" t="s">
        <v>682</v>
      </c>
      <c r="D736" s="93" t="s">
        <v>4550</v>
      </c>
      <c r="E736" s="48" t="str">
        <f t="shared" si="0"/>
        <v>Wisconsin Dells</v>
      </c>
      <c r="F736" s="83" t="str">
        <f t="shared" si="1"/>
        <v>Wisconsin Dells,WI</v>
      </c>
      <c r="G736" s="65" t="s">
        <v>4552</v>
      </c>
      <c r="H736" s="65">
        <v>43.627479399999999</v>
      </c>
      <c r="I736" s="65">
        <v>-89.770957899999999</v>
      </c>
      <c r="J736" s="60" t="str">
        <f ca="1">IFERROR(__xludf.DUMMYFUNCTION("SPLIT(G736,"","")"),"452 Broadway")</f>
        <v>452 Broadway</v>
      </c>
      <c r="K736" s="2" t="str">
        <f ca="1">IFERROR(__xludf.DUMMYFUNCTION("""COMPUTED_VALUE""")," Wisconsin Dells")</f>
        <v xml:space="preserve"> Wisconsin Dells</v>
      </c>
      <c r="L736" s="2" t="str">
        <f ca="1">IFERROR(__xludf.DUMMYFUNCTION("""COMPUTED_VALUE""")," WI 53965")</f>
        <v xml:space="preserve"> WI 53965</v>
      </c>
      <c r="M736" s="2" t="str">
        <f ca="1">IFERROR(__xludf.DUMMYFUNCTION("""COMPUTED_VALUE""")," USA")</f>
        <v xml:space="preserve"> USA</v>
      </c>
      <c r="P736" s="60"/>
    </row>
    <row r="737" spans="1:16">
      <c r="A737" s="60">
        <v>736</v>
      </c>
      <c r="B737" s="79" t="s">
        <v>4557</v>
      </c>
      <c r="C737" s="60" t="s">
        <v>588</v>
      </c>
      <c r="D737" s="93" t="s">
        <v>4558</v>
      </c>
      <c r="E737" s="48" t="str">
        <f t="shared" si="0"/>
        <v>Salida</v>
      </c>
      <c r="F737" s="83" t="str">
        <f t="shared" si="1"/>
        <v>Modesto Christian (Modesto),CA</v>
      </c>
      <c r="G737" s="60" t="s">
        <v>4559</v>
      </c>
      <c r="H737" s="60">
        <v>37.723060699999998</v>
      </c>
      <c r="I737" s="60">
        <v>-121.0798183</v>
      </c>
      <c r="J737" s="60" t="str">
        <f ca="1">IFERROR(__xludf.DUMMYFUNCTION("SPLIT(G737,"","")"),"5901 Sisk Rd")</f>
        <v>5901 Sisk Rd</v>
      </c>
      <c r="K737" s="2" t="str">
        <f ca="1">IFERROR(__xludf.DUMMYFUNCTION("""COMPUTED_VALUE""")," Salida")</f>
        <v xml:space="preserve"> Salida</v>
      </c>
      <c r="L737" s="2" t="str">
        <f ca="1">IFERROR(__xludf.DUMMYFUNCTION("""COMPUTED_VALUE""")," CA 95368")</f>
        <v xml:space="preserve"> CA 95368</v>
      </c>
      <c r="M737" s="2" t="str">
        <f ca="1">IFERROR(__xludf.DUMMYFUNCTION("""COMPUTED_VALUE""")," USA")</f>
        <v xml:space="preserve"> USA</v>
      </c>
      <c r="P737" s="60"/>
    </row>
    <row r="738" spans="1:16">
      <c r="A738" s="65">
        <v>737</v>
      </c>
      <c r="B738" s="80" t="s">
        <v>4564</v>
      </c>
      <c r="C738" s="65" t="s">
        <v>618</v>
      </c>
      <c r="D738" s="93" t="s">
        <v>4565</v>
      </c>
      <c r="E738" s="48" t="str">
        <f t="shared" si="0"/>
        <v>Fishers</v>
      </c>
      <c r="F738" s="83" t="str">
        <f t="shared" si="1"/>
        <v>Fishers,IN</v>
      </c>
      <c r="G738" s="65" t="s">
        <v>4567</v>
      </c>
      <c r="H738" s="65">
        <v>39.956754799999999</v>
      </c>
      <c r="I738" s="65">
        <v>-86.013350000000003</v>
      </c>
      <c r="J738" s="60" t="str">
        <f ca="1">IFERROR(__xludf.DUMMYFUNCTION("SPLIT(G738,"","")"),"8787 E 116th St")</f>
        <v>8787 E 116th St</v>
      </c>
      <c r="K738" s="2" t="str">
        <f ca="1">IFERROR(__xludf.DUMMYFUNCTION("""COMPUTED_VALUE""")," Fishers")</f>
        <v xml:space="preserve"> Fishers</v>
      </c>
      <c r="L738" s="2" t="str">
        <f ca="1">IFERROR(__xludf.DUMMYFUNCTION("""COMPUTED_VALUE""")," IN 46038")</f>
        <v xml:space="preserve"> IN 46038</v>
      </c>
      <c r="M738" s="2" t="str">
        <f ca="1">IFERROR(__xludf.DUMMYFUNCTION("""COMPUTED_VALUE""")," USA")</f>
        <v xml:space="preserve"> USA</v>
      </c>
      <c r="P738" s="60"/>
    </row>
    <row r="739" spans="1:16">
      <c r="A739" s="60">
        <v>738</v>
      </c>
      <c r="B739" s="79" t="s">
        <v>4570</v>
      </c>
      <c r="C739" s="60" t="s">
        <v>598</v>
      </c>
      <c r="D739" s="93" t="s">
        <v>4571</v>
      </c>
      <c r="E739" s="48" t="str">
        <f t="shared" si="0"/>
        <v>Sharpsburg</v>
      </c>
      <c r="F739" s="83" t="str">
        <f t="shared" si="1"/>
        <v>East Coweta (Sharpsburg),GA</v>
      </c>
      <c r="G739" s="60" t="s">
        <v>4573</v>
      </c>
      <c r="H739" s="60">
        <v>33.339284200000002</v>
      </c>
      <c r="I739" s="60">
        <v>-84.648541699999996</v>
      </c>
      <c r="J739" s="60" t="str">
        <f ca="1">IFERROR(__xludf.DUMMYFUNCTION("SPLIT(G739,"","")"),"102 Main St")</f>
        <v>102 Main St</v>
      </c>
      <c r="K739" s="2" t="str">
        <f ca="1">IFERROR(__xludf.DUMMYFUNCTION("""COMPUTED_VALUE""")," Sharpsburg")</f>
        <v xml:space="preserve"> Sharpsburg</v>
      </c>
      <c r="L739" s="2" t="str">
        <f ca="1">IFERROR(__xludf.DUMMYFUNCTION("""COMPUTED_VALUE""")," GA 30277")</f>
        <v xml:space="preserve"> GA 30277</v>
      </c>
      <c r="M739" s="2" t="str">
        <f ca="1">IFERROR(__xludf.DUMMYFUNCTION("""COMPUTED_VALUE""")," USA")</f>
        <v xml:space="preserve"> USA</v>
      </c>
      <c r="P739" s="60"/>
    </row>
    <row r="740" spans="1:16">
      <c r="A740" s="65">
        <v>739</v>
      </c>
      <c r="B740" s="80" t="s">
        <v>4576</v>
      </c>
      <c r="C740" s="65" t="s">
        <v>1331</v>
      </c>
      <c r="D740" s="93" t="s">
        <v>4579</v>
      </c>
      <c r="E740" s="48" t="str">
        <f t="shared" si="0"/>
        <v>Post Falls</v>
      </c>
      <c r="F740" s="83" t="str">
        <f t="shared" si="1"/>
        <v>Post Falls,ID</v>
      </c>
      <c r="G740" s="65" t="s">
        <v>4580</v>
      </c>
      <c r="H740" s="65">
        <v>47.717957800000001</v>
      </c>
      <c r="I740" s="65">
        <v>-116.9515856</v>
      </c>
      <c r="J740" s="60" t="str">
        <f ca="1">IFERROR(__xludf.DUMMYFUNCTION("SPLIT(G740,"","")"),"North 900 Suite #9")</f>
        <v>North 900 Suite #9</v>
      </c>
      <c r="K740" s="2" t="str">
        <f ca="1">IFERROR(__xludf.DUMMYFUNCTION("""COMPUTED_VALUE""")," Post Falls")</f>
        <v xml:space="preserve"> Post Falls</v>
      </c>
      <c r="L740" s="2" t="str">
        <f ca="1">IFERROR(__xludf.DUMMYFUNCTION("""COMPUTED_VALUE""")," ID 83854")</f>
        <v xml:space="preserve"> ID 83854</v>
      </c>
      <c r="M740" s="2" t="str">
        <f ca="1">IFERROR(__xludf.DUMMYFUNCTION("""COMPUTED_VALUE""")," USA")</f>
        <v xml:space="preserve"> USA</v>
      </c>
      <c r="P740" s="60"/>
    </row>
    <row r="741" spans="1:16">
      <c r="A741" s="60">
        <v>740</v>
      </c>
      <c r="B741" s="79" t="s">
        <v>4583</v>
      </c>
      <c r="C741" s="60" t="s">
        <v>183</v>
      </c>
      <c r="D741" s="93" t="s">
        <v>1213</v>
      </c>
      <c r="E741" s="48" t="str">
        <f t="shared" si="0"/>
        <v>The Bronx</v>
      </c>
      <c r="F741" s="83" t="str">
        <f t="shared" si="1"/>
        <v>Cardinal Hayes (Bronx),NY</v>
      </c>
      <c r="G741" s="60" t="s">
        <v>4585</v>
      </c>
      <c r="H741" s="60">
        <v>40.820711600000003</v>
      </c>
      <c r="I741" s="60">
        <v>-73.92537449999999</v>
      </c>
      <c r="J741" s="60" t="str">
        <f ca="1">IFERROR(__xludf.DUMMYFUNCTION("SPLIT(G741,"","")"),"650 Grand Concourse")</f>
        <v>650 Grand Concourse</v>
      </c>
      <c r="K741" s="2" t="str">
        <f ca="1">IFERROR(__xludf.DUMMYFUNCTION("""COMPUTED_VALUE""")," The Bronx")</f>
        <v xml:space="preserve"> The Bronx</v>
      </c>
      <c r="L741" s="2" t="str">
        <f ca="1">IFERROR(__xludf.DUMMYFUNCTION("""COMPUTED_VALUE""")," NY 10451")</f>
        <v xml:space="preserve"> NY 10451</v>
      </c>
      <c r="M741" s="2" t="str">
        <f ca="1">IFERROR(__xludf.DUMMYFUNCTION("""COMPUTED_VALUE""")," USA")</f>
        <v xml:space="preserve"> USA</v>
      </c>
      <c r="P741" s="60"/>
    </row>
    <row r="742" spans="1:16">
      <c r="A742" s="65">
        <v>741</v>
      </c>
      <c r="B742" s="80" t="s">
        <v>4588</v>
      </c>
      <c r="C742" s="65" t="s">
        <v>693</v>
      </c>
      <c r="D742" s="93" t="s">
        <v>713</v>
      </c>
      <c r="E742" s="48" t="str">
        <f t="shared" si="0"/>
        <v>Jackson</v>
      </c>
      <c r="F742" s="83" t="str">
        <f t="shared" si="1"/>
        <v>Murrah (Jackson),MS</v>
      </c>
      <c r="G742" s="65" t="s">
        <v>4589</v>
      </c>
      <c r="H742" s="65">
        <v>32.325619699999997</v>
      </c>
      <c r="I742" s="65">
        <v>-90.169043500000001</v>
      </c>
      <c r="J742" s="60" t="str">
        <f ca="1">IFERROR(__xludf.DUMMYFUNCTION("SPLIT(G742,"","")"),"1400 Murrah Dr")</f>
        <v>1400 Murrah Dr</v>
      </c>
      <c r="K742" s="2" t="str">
        <f ca="1">IFERROR(__xludf.DUMMYFUNCTION("""COMPUTED_VALUE""")," Jackson")</f>
        <v xml:space="preserve"> Jackson</v>
      </c>
      <c r="L742" s="2" t="str">
        <f ca="1">IFERROR(__xludf.DUMMYFUNCTION("""COMPUTED_VALUE""")," MS 39216")</f>
        <v xml:space="preserve"> MS 39216</v>
      </c>
      <c r="M742" s="2" t="str">
        <f ca="1">IFERROR(__xludf.DUMMYFUNCTION("""COMPUTED_VALUE""")," USA")</f>
        <v xml:space="preserve"> USA</v>
      </c>
      <c r="P742" s="60"/>
    </row>
    <row r="743" spans="1:16">
      <c r="A743" s="60">
        <v>742</v>
      </c>
      <c r="B743" s="79" t="s">
        <v>4591</v>
      </c>
      <c r="C743" s="60" t="s">
        <v>675</v>
      </c>
      <c r="D743" s="93" t="s">
        <v>4594</v>
      </c>
      <c r="E743" s="48" t="str">
        <f t="shared" si="0"/>
        <v>Montoursville</v>
      </c>
      <c r="F743" s="83" t="str">
        <f t="shared" si="1"/>
        <v>Loyalsock Township (Williamsport),PA</v>
      </c>
      <c r="G743" s="60" t="s">
        <v>4595</v>
      </c>
      <c r="H743" s="60">
        <v>41.247770799999998</v>
      </c>
      <c r="I743" s="60">
        <v>-76.954178799999994</v>
      </c>
      <c r="J743" s="60" t="str">
        <f ca="1">IFERROR(__xludf.DUMMYFUNCTION("SPLIT(G743,"","")"),"2501 E 3rd St")</f>
        <v>2501 E 3rd St</v>
      </c>
      <c r="K743" s="2" t="str">
        <f ca="1">IFERROR(__xludf.DUMMYFUNCTION("""COMPUTED_VALUE""")," Montoursville")</f>
        <v xml:space="preserve"> Montoursville</v>
      </c>
      <c r="L743" s="2" t="str">
        <f ca="1">IFERROR(__xludf.DUMMYFUNCTION("""COMPUTED_VALUE""")," PA 17754")</f>
        <v xml:space="preserve"> PA 17754</v>
      </c>
      <c r="M743" s="2" t="str">
        <f ca="1">IFERROR(__xludf.DUMMYFUNCTION("""COMPUTED_VALUE""")," USA")</f>
        <v xml:space="preserve"> USA</v>
      </c>
      <c r="P743" s="60"/>
    </row>
    <row r="744" spans="1:16">
      <c r="A744" s="65">
        <v>743</v>
      </c>
      <c r="B744" s="80" t="s">
        <v>4600</v>
      </c>
      <c r="C744" s="65" t="s">
        <v>588</v>
      </c>
      <c r="D744" s="93" t="s">
        <v>2406</v>
      </c>
      <c r="E744" s="48" t="str">
        <f t="shared" si="0"/>
        <v>Stockton</v>
      </c>
      <c r="F744" s="83" t="str">
        <f t="shared" si="1"/>
        <v>St. Mary's (Stockton),CA</v>
      </c>
      <c r="G744" s="65" t="s">
        <v>4602</v>
      </c>
      <c r="H744" s="65">
        <v>37.951364900000002</v>
      </c>
      <c r="I744" s="65">
        <v>-121.2873417</v>
      </c>
      <c r="J744" s="60" t="str">
        <f ca="1">IFERROR(__xludf.DUMMYFUNCTION("SPLIT(G744,"","")"),"203 Washington St")</f>
        <v>203 Washington St</v>
      </c>
      <c r="K744" s="2" t="str">
        <f ca="1">IFERROR(__xludf.DUMMYFUNCTION("""COMPUTED_VALUE""")," Stockton")</f>
        <v xml:space="preserve"> Stockton</v>
      </c>
      <c r="L744" s="2" t="str">
        <f ca="1">IFERROR(__xludf.DUMMYFUNCTION("""COMPUTED_VALUE""")," CA 95202")</f>
        <v xml:space="preserve"> CA 95202</v>
      </c>
      <c r="M744" s="2" t="str">
        <f ca="1">IFERROR(__xludf.DUMMYFUNCTION("""COMPUTED_VALUE""")," USA")</f>
        <v xml:space="preserve"> USA</v>
      </c>
      <c r="P744" s="60"/>
    </row>
    <row r="745" spans="1:16">
      <c r="A745" s="60">
        <v>744</v>
      </c>
      <c r="B745" s="79" t="s">
        <v>4604</v>
      </c>
      <c r="C745" s="60" t="s">
        <v>588</v>
      </c>
      <c r="D745" s="93" t="s">
        <v>3701</v>
      </c>
      <c r="E745" s="48" t="str">
        <f t="shared" si="0"/>
        <v>San Ramon</v>
      </c>
      <c r="F745" s="83" t="str">
        <f t="shared" si="1"/>
        <v>San Ramon Valley (Danville),CA</v>
      </c>
      <c r="G745" s="60" t="s">
        <v>4606</v>
      </c>
      <c r="H745" s="60">
        <v>37.789202299999999</v>
      </c>
      <c r="I745" s="60">
        <v>-121.92455560000001</v>
      </c>
      <c r="J745" s="60" t="str">
        <f ca="1">IFERROR(__xludf.DUMMYFUNCTION("SPLIT(G745,"","")"),"216 Plumpointe Ln")</f>
        <v>216 Plumpointe Ln</v>
      </c>
      <c r="K745" s="2" t="str">
        <f ca="1">IFERROR(__xludf.DUMMYFUNCTION("""COMPUTED_VALUE""")," San Ramon")</f>
        <v xml:space="preserve"> San Ramon</v>
      </c>
      <c r="L745" s="2" t="str">
        <f ca="1">IFERROR(__xludf.DUMMYFUNCTION("""COMPUTED_VALUE""")," CA 94582")</f>
        <v xml:space="preserve"> CA 94582</v>
      </c>
      <c r="M745" s="2" t="str">
        <f ca="1">IFERROR(__xludf.DUMMYFUNCTION("""COMPUTED_VALUE""")," USA")</f>
        <v xml:space="preserve"> USA</v>
      </c>
      <c r="P745" s="60"/>
    </row>
    <row r="746" spans="1:16">
      <c r="A746" s="65">
        <v>745</v>
      </c>
      <c r="B746" s="80" t="s">
        <v>4611</v>
      </c>
      <c r="C746" s="65" t="s">
        <v>602</v>
      </c>
      <c r="D746" s="93" t="s">
        <v>3591</v>
      </c>
      <c r="E746" s="48" t="str">
        <f t="shared" si="0"/>
        <v>Roanoke</v>
      </c>
      <c r="F746" s="83" t="str">
        <f t="shared" si="1"/>
        <v>Patrick Henry (Roanoke),VA</v>
      </c>
      <c r="G746" s="65" t="s">
        <v>4614</v>
      </c>
      <c r="H746" s="65">
        <v>37.255990099999998</v>
      </c>
      <c r="I746" s="65">
        <v>-79.983608500000003</v>
      </c>
      <c r="J746" s="60" t="str">
        <f ca="1">IFERROR(__xludf.DUMMYFUNCTION("SPLIT(G746,"","")"),"2202 Grandin Rd SW")</f>
        <v>2202 Grandin Rd SW</v>
      </c>
      <c r="K746" s="2" t="str">
        <f ca="1">IFERROR(__xludf.DUMMYFUNCTION("""COMPUTED_VALUE""")," Roanoke")</f>
        <v xml:space="preserve"> Roanoke</v>
      </c>
      <c r="L746" s="2" t="str">
        <f ca="1">IFERROR(__xludf.DUMMYFUNCTION("""COMPUTED_VALUE""")," VA 24015")</f>
        <v xml:space="preserve"> VA 24015</v>
      </c>
      <c r="M746" s="2" t="str">
        <f ca="1">IFERROR(__xludf.DUMMYFUNCTION("""COMPUTED_VALUE""")," USA")</f>
        <v xml:space="preserve"> USA</v>
      </c>
      <c r="P746" s="60"/>
    </row>
    <row r="747" spans="1:16">
      <c r="A747" s="60">
        <v>746</v>
      </c>
      <c r="B747" s="79" t="s">
        <v>4618</v>
      </c>
      <c r="C747" s="60" t="s">
        <v>136</v>
      </c>
      <c r="D747" s="93" t="s">
        <v>4619</v>
      </c>
      <c r="E747" s="48" t="str">
        <f t="shared" si="0"/>
        <v>Gainesville</v>
      </c>
      <c r="F747" s="83" t="str">
        <f t="shared" si="1"/>
        <v>The Rock (Gainesville),FL</v>
      </c>
      <c r="G747" s="60" t="s">
        <v>4622</v>
      </c>
      <c r="H747" s="60">
        <v>29.6310571</v>
      </c>
      <c r="I747" s="60">
        <v>-82.446628399999994</v>
      </c>
      <c r="J747" s="60" t="str">
        <f ca="1">IFERROR(__xludf.DUMMYFUNCTION("SPLIT(G747,"","")"),"9818 SW 24th Ave")</f>
        <v>9818 SW 24th Ave</v>
      </c>
      <c r="K747" s="2" t="str">
        <f ca="1">IFERROR(__xludf.DUMMYFUNCTION("""COMPUTED_VALUE""")," Gainesville")</f>
        <v xml:space="preserve"> Gainesville</v>
      </c>
      <c r="L747" s="2" t="str">
        <f ca="1">IFERROR(__xludf.DUMMYFUNCTION("""COMPUTED_VALUE""")," FL 32607")</f>
        <v xml:space="preserve"> FL 32607</v>
      </c>
      <c r="M747" s="2" t="str">
        <f ca="1">IFERROR(__xludf.DUMMYFUNCTION("""COMPUTED_VALUE""")," USA")</f>
        <v xml:space="preserve"> USA</v>
      </c>
      <c r="P747" s="60"/>
    </row>
    <row r="748" spans="1:16">
      <c r="A748" s="65">
        <v>747</v>
      </c>
      <c r="B748" s="80" t="s">
        <v>4625</v>
      </c>
      <c r="C748" s="65" t="s">
        <v>598</v>
      </c>
      <c r="D748" s="93" t="s">
        <v>4626</v>
      </c>
      <c r="E748" s="48" t="str">
        <f t="shared" si="0"/>
        <v>Lawrenceville</v>
      </c>
      <c r="F748" s="83" t="str">
        <f t="shared" si="1"/>
        <v>Archer (Lawrenceville),GA</v>
      </c>
      <c r="G748" s="65" t="s">
        <v>4628</v>
      </c>
      <c r="H748" s="65">
        <v>33.9637715</v>
      </c>
      <c r="I748" s="65">
        <v>-84.012724800000001</v>
      </c>
      <c r="J748" s="60" t="str">
        <f ca="1">IFERROR(__xludf.DUMMYFUNCTION("SPLIT(G748,"","")"),"601 Professional Dr")</f>
        <v>601 Professional Dr</v>
      </c>
      <c r="K748" s="2" t="str">
        <f ca="1">IFERROR(__xludf.DUMMYFUNCTION("""COMPUTED_VALUE""")," Lawrenceville")</f>
        <v xml:space="preserve"> Lawrenceville</v>
      </c>
      <c r="L748" s="2" t="str">
        <f ca="1">IFERROR(__xludf.DUMMYFUNCTION("""COMPUTED_VALUE""")," GA 30046")</f>
        <v xml:space="preserve"> GA 30046</v>
      </c>
      <c r="M748" s="2" t="str">
        <f ca="1">IFERROR(__xludf.DUMMYFUNCTION("""COMPUTED_VALUE""")," USA")</f>
        <v xml:space="preserve"> USA</v>
      </c>
      <c r="P748" s="60"/>
    </row>
    <row r="749" spans="1:16">
      <c r="A749" s="60">
        <v>748</v>
      </c>
      <c r="B749" s="79" t="s">
        <v>486</v>
      </c>
      <c r="C749" s="60" t="s">
        <v>588</v>
      </c>
      <c r="D749" s="93" t="s">
        <v>4631</v>
      </c>
      <c r="E749" s="48" t="str">
        <f t="shared" si="0"/>
        <v>Pasadena</v>
      </c>
      <c r="F749" s="83" t="str">
        <f t="shared" si="1"/>
        <v>Pasadena,CA</v>
      </c>
      <c r="G749" s="60" t="s">
        <v>4633</v>
      </c>
      <c r="H749" s="60">
        <v>34.147784899999998</v>
      </c>
      <c r="I749" s="60">
        <v>-118.1445155</v>
      </c>
      <c r="J749" s="60" t="str">
        <f ca="1">IFERROR(__xludf.DUMMYFUNCTION("SPLIT(G749,"","")"),"279 E Holly St")</f>
        <v>279 E Holly St</v>
      </c>
      <c r="K749" s="2" t="str">
        <f ca="1">IFERROR(__xludf.DUMMYFUNCTION("""COMPUTED_VALUE""")," Pasadena")</f>
        <v xml:space="preserve"> Pasadena</v>
      </c>
      <c r="L749" s="2" t="str">
        <f ca="1">IFERROR(__xludf.DUMMYFUNCTION("""COMPUTED_VALUE""")," CA 91101")</f>
        <v xml:space="preserve"> CA 91101</v>
      </c>
      <c r="M749" s="2" t="str">
        <f ca="1">IFERROR(__xludf.DUMMYFUNCTION("""COMPUTED_VALUE""")," USA")</f>
        <v xml:space="preserve"> USA</v>
      </c>
      <c r="P749" s="60"/>
    </row>
    <row r="750" spans="1:16">
      <c r="A750" s="65">
        <v>749</v>
      </c>
      <c r="B750" s="80" t="s">
        <v>4635</v>
      </c>
      <c r="C750" s="65" t="s">
        <v>595</v>
      </c>
      <c r="D750" s="93" t="s">
        <v>4637</v>
      </c>
      <c r="E750" s="48" t="str">
        <f t="shared" si="0"/>
        <v>Manor</v>
      </c>
      <c r="F750" s="83" t="str">
        <f t="shared" si="1"/>
        <v>Manor,TX</v>
      </c>
      <c r="G750" s="65" t="s">
        <v>4638</v>
      </c>
      <c r="H750" s="65">
        <v>30.340762900000001</v>
      </c>
      <c r="I750" s="65">
        <v>-97.556945599999992</v>
      </c>
      <c r="J750" s="60" t="str">
        <f ca="1">IFERROR(__xludf.DUMMYFUNCTION("SPLIT(G750,"","")"),"116 TX-212 Loop")</f>
        <v>116 TX-212 Loop</v>
      </c>
      <c r="K750" s="2" t="str">
        <f ca="1">IFERROR(__xludf.DUMMYFUNCTION("""COMPUTED_VALUE""")," Manor")</f>
        <v xml:space="preserve"> Manor</v>
      </c>
      <c r="L750" s="2" t="str">
        <f ca="1">IFERROR(__xludf.DUMMYFUNCTION("""COMPUTED_VALUE""")," TX 78653")</f>
        <v xml:space="preserve"> TX 78653</v>
      </c>
      <c r="M750" s="2" t="str">
        <f ca="1">IFERROR(__xludf.DUMMYFUNCTION("""COMPUTED_VALUE""")," USA")</f>
        <v xml:space="preserve"> USA</v>
      </c>
      <c r="P750" s="60"/>
    </row>
    <row r="751" spans="1:16">
      <c r="A751" s="60">
        <v>750</v>
      </c>
      <c r="B751" s="79" t="s">
        <v>4643</v>
      </c>
      <c r="D751" s="93" t="s">
        <v>4644</v>
      </c>
      <c r="E751" s="48" t="str">
        <f t="shared" si="0"/>
        <v>Pittsboro</v>
      </c>
      <c r="F751" s="83" t="str">
        <f t="shared" si="1"/>
        <v>Northwood (Pittsboro),</v>
      </c>
      <c r="G751" s="50" t="s">
        <v>4645</v>
      </c>
      <c r="H751" s="84">
        <v>35.756873800000001</v>
      </c>
      <c r="I751" s="84">
        <v>-79.173891099999992</v>
      </c>
      <c r="J751" s="60" t="str">
        <f ca="1">IFERROR(__xludf.DUMMYFUNCTION("SPLIT(G751,"","")"),"310 Northwood High School Rd")</f>
        <v>310 Northwood High School Rd</v>
      </c>
      <c r="K751" s="2" t="str">
        <f ca="1">IFERROR(__xludf.DUMMYFUNCTION("""COMPUTED_VALUE""")," Pittsboro")</f>
        <v xml:space="preserve"> Pittsboro</v>
      </c>
      <c r="L751" s="2" t="str">
        <f ca="1">IFERROR(__xludf.DUMMYFUNCTION("""COMPUTED_VALUE""")," NC 27312")</f>
        <v xml:space="preserve"> NC 27312</v>
      </c>
      <c r="M751" s="2" t="str">
        <f ca="1">IFERROR(__xludf.DUMMYFUNCTION("""COMPUTED_VALUE""")," USA")</f>
        <v xml:space="preserve"> USA</v>
      </c>
      <c r="P751" s="60"/>
    </row>
    <row r="752" spans="1:16">
      <c r="A752" s="60">
        <v>751</v>
      </c>
      <c r="B752" s="79" t="s">
        <v>4647</v>
      </c>
      <c r="C752" s="60" t="s">
        <v>770</v>
      </c>
      <c r="D752" s="93" t="s">
        <v>713</v>
      </c>
      <c r="E752" s="48" t="str">
        <f t="shared" si="0"/>
        <v>Jackson</v>
      </c>
      <c r="F752" s="83" t="str">
        <f t="shared" si="1"/>
        <v>Jackson South Side (Jackson),TN</v>
      </c>
      <c r="G752" s="60" t="s">
        <v>4650</v>
      </c>
      <c r="H752" s="60">
        <v>35.569032200000002</v>
      </c>
      <c r="I752" s="60">
        <v>-88.81324339999999</v>
      </c>
      <c r="J752" s="60" t="str">
        <f ca="1">IFERROR(__xludf.DUMMYFUNCTION("SPLIT(G752,"","")"),"84 Harts Bridge Rd")</f>
        <v>84 Harts Bridge Rd</v>
      </c>
      <c r="K752" s="2" t="str">
        <f ca="1">IFERROR(__xludf.DUMMYFUNCTION("""COMPUTED_VALUE""")," Jackson")</f>
        <v xml:space="preserve"> Jackson</v>
      </c>
      <c r="L752" s="2" t="str">
        <f ca="1">IFERROR(__xludf.DUMMYFUNCTION("""COMPUTED_VALUE""")," TN 38301")</f>
        <v xml:space="preserve"> TN 38301</v>
      </c>
      <c r="M752" s="2" t="str">
        <f ca="1">IFERROR(__xludf.DUMMYFUNCTION("""COMPUTED_VALUE""")," USA")</f>
        <v xml:space="preserve"> USA</v>
      </c>
      <c r="P752" s="60"/>
    </row>
    <row r="753" spans="1:16">
      <c r="A753" s="65">
        <v>752</v>
      </c>
      <c r="B753" s="80" t="s">
        <v>4652</v>
      </c>
      <c r="C753" s="65" t="s">
        <v>618</v>
      </c>
      <c r="D753" s="93" t="s">
        <v>4653</v>
      </c>
      <c r="E753" s="48" t="str">
        <f t="shared" si="0"/>
        <v>Plainfield</v>
      </c>
      <c r="F753" s="83" t="str">
        <f t="shared" si="1"/>
        <v>Plainfield,IN</v>
      </c>
      <c r="G753" s="65" t="s">
        <v>4655</v>
      </c>
      <c r="H753" s="65">
        <v>39.704212299999988</v>
      </c>
      <c r="I753" s="65">
        <v>-86.39943869999999</v>
      </c>
      <c r="J753" s="60" t="str">
        <f ca="1">IFERROR(__xludf.DUMMYFUNCTION("SPLIT(G753,"","")"),"174 S Avon Ave")</f>
        <v>174 S Avon Ave</v>
      </c>
      <c r="K753" s="2" t="str">
        <f ca="1">IFERROR(__xludf.DUMMYFUNCTION("""COMPUTED_VALUE""")," Plainfield")</f>
        <v xml:space="preserve"> Plainfield</v>
      </c>
      <c r="L753" s="2" t="str">
        <f ca="1">IFERROR(__xludf.DUMMYFUNCTION("""COMPUTED_VALUE""")," IN 46168")</f>
        <v xml:space="preserve"> IN 46168</v>
      </c>
      <c r="M753" s="2" t="str">
        <f ca="1">IFERROR(__xludf.DUMMYFUNCTION("""COMPUTED_VALUE""")," USA")</f>
        <v xml:space="preserve"> USA</v>
      </c>
      <c r="P753" s="60"/>
    </row>
    <row r="754" spans="1:16">
      <c r="A754" s="60">
        <v>753</v>
      </c>
      <c r="B754" s="79" t="s">
        <v>4658</v>
      </c>
      <c r="C754" s="60" t="s">
        <v>183</v>
      </c>
      <c r="D754" s="93" t="s">
        <v>1213</v>
      </c>
      <c r="E754" s="48" t="str">
        <f t="shared" si="0"/>
        <v>The Bronx</v>
      </c>
      <c r="F754" s="83" t="str">
        <f t="shared" si="1"/>
        <v>St. Raymond Boys (Bronx),NY</v>
      </c>
      <c r="G754" s="60" t="s">
        <v>4659</v>
      </c>
      <c r="H754" s="60">
        <v>40.838209599999999</v>
      </c>
      <c r="I754" s="60">
        <v>-73.853871699999999</v>
      </c>
      <c r="J754" s="60" t="str">
        <f ca="1">IFERROR(__xludf.DUMMYFUNCTION("SPLIT(G754,"","")"),"2155 St Raymond Ave")</f>
        <v>2155 St Raymond Ave</v>
      </c>
      <c r="K754" s="2" t="str">
        <f ca="1">IFERROR(__xludf.DUMMYFUNCTION("""COMPUTED_VALUE""")," The Bronx")</f>
        <v xml:space="preserve"> The Bronx</v>
      </c>
      <c r="L754" s="2" t="str">
        <f ca="1">IFERROR(__xludf.DUMMYFUNCTION("""COMPUTED_VALUE""")," NY 10462")</f>
        <v xml:space="preserve"> NY 10462</v>
      </c>
      <c r="M754" s="2" t="str">
        <f ca="1">IFERROR(__xludf.DUMMYFUNCTION("""COMPUTED_VALUE""")," USA")</f>
        <v xml:space="preserve"> USA</v>
      </c>
      <c r="P754" s="60"/>
    </row>
    <row r="755" spans="1:16">
      <c r="A755" s="65">
        <v>754</v>
      </c>
      <c r="B755" s="80" t="s">
        <v>4663</v>
      </c>
      <c r="C755" s="65" t="s">
        <v>595</v>
      </c>
      <c r="D755" s="93" t="s">
        <v>961</v>
      </c>
      <c r="E755" s="48" t="str">
        <f t="shared" si="0"/>
        <v>Dallas</v>
      </c>
      <c r="F755" s="83" t="str">
        <f t="shared" si="1"/>
        <v>Kimball (Dallas),TX</v>
      </c>
      <c r="G755" s="65" t="s">
        <v>4665</v>
      </c>
      <c r="H755" s="65">
        <v>32.698770799999998</v>
      </c>
      <c r="I755" s="65">
        <v>-96.876619699999992</v>
      </c>
      <c r="J755" s="60" t="str">
        <f ca="1">IFERROR(__xludf.DUMMYFUNCTION("SPLIT(G755,"","")"),"3701 Boulder Dr")</f>
        <v>3701 Boulder Dr</v>
      </c>
      <c r="K755" s="2" t="str">
        <f ca="1">IFERROR(__xludf.DUMMYFUNCTION("""COMPUTED_VALUE""")," Dallas")</f>
        <v xml:space="preserve"> Dallas</v>
      </c>
      <c r="L755" s="2" t="str">
        <f ca="1">IFERROR(__xludf.DUMMYFUNCTION("""COMPUTED_VALUE""")," TX 75233")</f>
        <v xml:space="preserve"> TX 75233</v>
      </c>
      <c r="M755" s="2" t="str">
        <f ca="1">IFERROR(__xludf.DUMMYFUNCTION("""COMPUTED_VALUE""")," USA")</f>
        <v xml:space="preserve"> USA</v>
      </c>
      <c r="P755" s="60"/>
    </row>
    <row r="756" spans="1:16">
      <c r="A756" s="60">
        <v>755</v>
      </c>
      <c r="B756" s="79" t="s">
        <v>4668</v>
      </c>
      <c r="C756" s="60" t="s">
        <v>590</v>
      </c>
      <c r="D756" s="93" t="s">
        <v>4670</v>
      </c>
      <c r="E756" s="48" t="str">
        <f t="shared" si="0"/>
        <v>Greenbelt</v>
      </c>
      <c r="F756" s="83" t="str">
        <f t="shared" si="1"/>
        <v>Eleanor Roosevelt (Greenbelt),MD</v>
      </c>
      <c r="G756" s="60" t="s">
        <v>4671</v>
      </c>
      <c r="H756" s="60">
        <v>38.994039000000001</v>
      </c>
      <c r="I756" s="60">
        <v>-76.869449599999996</v>
      </c>
      <c r="J756" s="60" t="str">
        <f ca="1">IFERROR(__xludf.DUMMYFUNCTION("SPLIT(G756,"","")"),"7601 Hanover Pkwy")</f>
        <v>7601 Hanover Pkwy</v>
      </c>
      <c r="K756" s="2" t="str">
        <f ca="1">IFERROR(__xludf.DUMMYFUNCTION("""COMPUTED_VALUE""")," Greenbelt")</f>
        <v xml:space="preserve"> Greenbelt</v>
      </c>
      <c r="L756" s="2" t="str">
        <f ca="1">IFERROR(__xludf.DUMMYFUNCTION("""COMPUTED_VALUE""")," MD 20770")</f>
        <v xml:space="preserve"> MD 20770</v>
      </c>
      <c r="M756" s="2" t="str">
        <f ca="1">IFERROR(__xludf.DUMMYFUNCTION("""COMPUTED_VALUE""")," USA")</f>
        <v xml:space="preserve"> USA</v>
      </c>
      <c r="P756" s="60"/>
    </row>
    <row r="757" spans="1:16">
      <c r="A757" s="65">
        <v>756</v>
      </c>
      <c r="B757" s="80" t="s">
        <v>4674</v>
      </c>
      <c r="C757" s="65" t="s">
        <v>590</v>
      </c>
      <c r="D757" s="93" t="s">
        <v>1522</v>
      </c>
      <c r="E757" s="48" t="str">
        <f t="shared" si="0"/>
        <v>Upper Marlboro</v>
      </c>
      <c r="F757" s="83" t="str">
        <f t="shared" si="1"/>
        <v>Wise (Upper Marlboro),MD</v>
      </c>
      <c r="G757" s="65" t="s">
        <v>4676</v>
      </c>
      <c r="H757" s="65">
        <v>38.833722100000003</v>
      </c>
      <c r="I757" s="65">
        <v>-76.788639599999996</v>
      </c>
      <c r="J757" s="60" t="str">
        <f ca="1">IFERROR(__xludf.DUMMYFUNCTION("SPLIT(G757,"","")"),"12650 Brooke Ln")</f>
        <v>12650 Brooke Ln</v>
      </c>
      <c r="K757" s="2" t="str">
        <f ca="1">IFERROR(__xludf.DUMMYFUNCTION("""COMPUTED_VALUE""")," Upper Marlboro")</f>
        <v xml:space="preserve"> Upper Marlboro</v>
      </c>
      <c r="L757" s="2" t="str">
        <f ca="1">IFERROR(__xludf.DUMMYFUNCTION("""COMPUTED_VALUE""")," MD 20772")</f>
        <v xml:space="preserve"> MD 20772</v>
      </c>
      <c r="M757" s="2" t="str">
        <f ca="1">IFERROR(__xludf.DUMMYFUNCTION("""COMPUTED_VALUE""")," USA")</f>
        <v xml:space="preserve"> USA</v>
      </c>
      <c r="P757" s="60"/>
    </row>
    <row r="758" spans="1:16">
      <c r="A758" s="60">
        <v>757</v>
      </c>
      <c r="B758" s="79" t="s">
        <v>4678</v>
      </c>
      <c r="C758" s="60" t="s">
        <v>590</v>
      </c>
      <c r="D758" s="93" t="s">
        <v>1522</v>
      </c>
      <c r="E758" s="48" t="str">
        <f t="shared" si="0"/>
        <v>Upper Marlboro</v>
      </c>
      <c r="F758" s="83" t="str">
        <f t="shared" si="1"/>
        <v>Douglass (Upper Marlboro),MD</v>
      </c>
      <c r="G758" s="60" t="s">
        <v>4680</v>
      </c>
      <c r="H758" s="60">
        <v>38.781532499999997</v>
      </c>
      <c r="I758" s="60">
        <v>-76.781630199999995</v>
      </c>
      <c r="J758" s="60" t="str">
        <f ca="1">IFERROR(__xludf.DUMMYFUNCTION("SPLIT(G758,"","")"),"8000 Croom Rd")</f>
        <v>8000 Croom Rd</v>
      </c>
      <c r="K758" s="2" t="str">
        <f ca="1">IFERROR(__xludf.DUMMYFUNCTION("""COMPUTED_VALUE""")," Upper Marlboro")</f>
        <v xml:space="preserve"> Upper Marlboro</v>
      </c>
      <c r="L758" s="2" t="str">
        <f ca="1">IFERROR(__xludf.DUMMYFUNCTION("""COMPUTED_VALUE""")," MD 20772")</f>
        <v xml:space="preserve"> MD 20772</v>
      </c>
      <c r="M758" s="2" t="str">
        <f ca="1">IFERROR(__xludf.DUMMYFUNCTION("""COMPUTED_VALUE""")," USA")</f>
        <v xml:space="preserve"> USA</v>
      </c>
      <c r="P758" s="60"/>
    </row>
    <row r="759" spans="1:16">
      <c r="A759" s="65">
        <v>758</v>
      </c>
      <c r="B759" s="80" t="s">
        <v>4683</v>
      </c>
      <c r="C759" s="65" t="s">
        <v>604</v>
      </c>
      <c r="D759" s="93" t="s">
        <v>1088</v>
      </c>
      <c r="E759" s="48" t="str">
        <f t="shared" si="0"/>
        <v>Springfield</v>
      </c>
      <c r="F759" s="83" t="str">
        <f t="shared" si="1"/>
        <v>Lanphier (Springfield),IL</v>
      </c>
      <c r="G759" s="65" t="s">
        <v>4684</v>
      </c>
      <c r="H759" s="65">
        <v>39.817779199999997</v>
      </c>
      <c r="I759" s="65">
        <v>-89.639634299999997</v>
      </c>
      <c r="J759" s="60" t="str">
        <f ca="1">IFERROR(__xludf.DUMMYFUNCTION("SPLIT(G759,"","")"),"1300 N 11th St")</f>
        <v>1300 N 11th St</v>
      </c>
      <c r="K759" s="2" t="str">
        <f ca="1">IFERROR(__xludf.DUMMYFUNCTION("""COMPUTED_VALUE""")," Springfield")</f>
        <v xml:space="preserve"> Springfield</v>
      </c>
      <c r="L759" s="2" t="str">
        <f ca="1">IFERROR(__xludf.DUMMYFUNCTION("""COMPUTED_VALUE""")," IL 62702")</f>
        <v xml:space="preserve"> IL 62702</v>
      </c>
      <c r="M759" s="2" t="str">
        <f ca="1">IFERROR(__xludf.DUMMYFUNCTION("""COMPUTED_VALUE""")," USA")</f>
        <v xml:space="preserve"> USA</v>
      </c>
      <c r="P759" s="60"/>
    </row>
    <row r="760" spans="1:16">
      <c r="A760" s="60">
        <v>759</v>
      </c>
      <c r="B760" s="79" t="s">
        <v>4686</v>
      </c>
      <c r="C760" s="60" t="s">
        <v>183</v>
      </c>
      <c r="D760" s="93" t="s">
        <v>4687</v>
      </c>
      <c r="E760" s="48" t="str">
        <f t="shared" si="0"/>
        <v>Victor</v>
      </c>
      <c r="F760" s="83" t="str">
        <f t="shared" si="1"/>
        <v>Victor,NY</v>
      </c>
      <c r="G760" s="60" t="s">
        <v>4690</v>
      </c>
      <c r="H760" s="60">
        <v>42.982563300000002</v>
      </c>
      <c r="I760" s="60">
        <v>-77.408879400000004</v>
      </c>
      <c r="J760" s="60" t="str">
        <f ca="1">IFERROR(__xludf.DUMMYFUNCTION("SPLIT(G760,"","")"),"23 E Main St")</f>
        <v>23 E Main St</v>
      </c>
      <c r="K760" s="2" t="str">
        <f ca="1">IFERROR(__xludf.DUMMYFUNCTION("""COMPUTED_VALUE""")," Victor")</f>
        <v xml:space="preserve"> Victor</v>
      </c>
      <c r="L760" s="2" t="str">
        <f ca="1">IFERROR(__xludf.DUMMYFUNCTION("""COMPUTED_VALUE""")," NY 14564")</f>
        <v xml:space="preserve"> NY 14564</v>
      </c>
      <c r="M760" s="2" t="str">
        <f ca="1">IFERROR(__xludf.DUMMYFUNCTION("""COMPUTED_VALUE""")," USA")</f>
        <v xml:space="preserve"> USA</v>
      </c>
      <c r="P760" s="60"/>
    </row>
    <row r="761" spans="1:16">
      <c r="A761" s="65">
        <v>760</v>
      </c>
      <c r="B761" s="80" t="s">
        <v>4693</v>
      </c>
      <c r="C761" s="65" t="s">
        <v>897</v>
      </c>
      <c r="D761" s="93" t="s">
        <v>4694</v>
      </c>
      <c r="E761" s="48" t="str">
        <f t="shared" si="0"/>
        <v>Florissant</v>
      </c>
      <c r="F761" s="83" t="str">
        <f t="shared" si="1"/>
        <v>McCluer (Florissant),MO</v>
      </c>
      <c r="G761" s="65" t="s">
        <v>4695</v>
      </c>
      <c r="H761" s="65">
        <v>38.771901300000003</v>
      </c>
      <c r="I761" s="65">
        <v>-90.310834299999996</v>
      </c>
      <c r="J761" s="60" t="str">
        <f ca="1">IFERROR(__xludf.DUMMYFUNCTION("SPLIT(G761,"","")"),"1896 S New Florissant Rd")</f>
        <v>1896 S New Florissant Rd</v>
      </c>
      <c r="K761" s="2" t="str">
        <f ca="1">IFERROR(__xludf.DUMMYFUNCTION("""COMPUTED_VALUE""")," Florissant")</f>
        <v xml:space="preserve"> Florissant</v>
      </c>
      <c r="L761" s="2" t="str">
        <f ca="1">IFERROR(__xludf.DUMMYFUNCTION("""COMPUTED_VALUE""")," MO 63031")</f>
        <v xml:space="preserve"> MO 63031</v>
      </c>
      <c r="M761" s="2" t="str">
        <f ca="1">IFERROR(__xludf.DUMMYFUNCTION("""COMPUTED_VALUE""")," USA")</f>
        <v xml:space="preserve"> USA</v>
      </c>
      <c r="P761" s="60"/>
    </row>
    <row r="762" spans="1:16">
      <c r="A762" s="60">
        <v>761</v>
      </c>
      <c r="B762" s="79" t="s">
        <v>4700</v>
      </c>
      <c r="C762" s="60" t="s">
        <v>745</v>
      </c>
      <c r="D762" s="93" t="s">
        <v>905</v>
      </c>
      <c r="E762" s="48" t="str">
        <f t="shared" si="0"/>
        <v>Seattle</v>
      </c>
      <c r="F762" s="83" t="str">
        <f t="shared" si="1"/>
        <v>Seattle Academy (Seattle),WA</v>
      </c>
      <c r="G762" s="60" t="s">
        <v>4702</v>
      </c>
      <c r="H762" s="60">
        <v>47.611882000000001</v>
      </c>
      <c r="I762" s="60">
        <v>-122.31629700000001</v>
      </c>
      <c r="J762" s="60" t="str">
        <f ca="1">IFERROR(__xludf.DUMMYFUNCTION("SPLIT(G762,"","")"),"1201 E Union St")</f>
        <v>1201 E Union St</v>
      </c>
      <c r="K762" s="2" t="str">
        <f ca="1">IFERROR(__xludf.DUMMYFUNCTION("""COMPUTED_VALUE""")," Seattle")</f>
        <v xml:space="preserve"> Seattle</v>
      </c>
      <c r="L762" s="2" t="str">
        <f ca="1">IFERROR(__xludf.DUMMYFUNCTION("""COMPUTED_VALUE""")," WA 98122")</f>
        <v xml:space="preserve"> WA 98122</v>
      </c>
      <c r="M762" s="2" t="str">
        <f ca="1">IFERROR(__xludf.DUMMYFUNCTION("""COMPUTED_VALUE""")," USA")</f>
        <v xml:space="preserve"> USA</v>
      </c>
      <c r="P762" s="60"/>
    </row>
    <row r="763" spans="1:16">
      <c r="A763" s="65">
        <v>762</v>
      </c>
      <c r="B763" s="80" t="s">
        <v>337</v>
      </c>
      <c r="C763" s="65" t="s">
        <v>796</v>
      </c>
      <c r="D763" s="93" t="s">
        <v>4705</v>
      </c>
      <c r="E763" s="48" t="str">
        <f t="shared" si="0"/>
        <v>Augusta</v>
      </c>
      <c r="F763" s="83" t="str">
        <f t="shared" si="1"/>
        <v>Augusta,KS</v>
      </c>
      <c r="G763" s="65" t="s">
        <v>4706</v>
      </c>
      <c r="H763" s="65">
        <v>37.686684399999997</v>
      </c>
      <c r="I763" s="65">
        <v>-96.976702299999999</v>
      </c>
      <c r="J763" s="60" t="str">
        <f ca="1">IFERROR(__xludf.DUMMYFUNCTION("SPLIT(G763,"","")"),"1201 Osage St")</f>
        <v>1201 Osage St</v>
      </c>
      <c r="K763" s="2" t="str">
        <f ca="1">IFERROR(__xludf.DUMMYFUNCTION("""COMPUTED_VALUE""")," Augusta")</f>
        <v xml:space="preserve"> Augusta</v>
      </c>
      <c r="L763" s="2" t="str">
        <f ca="1">IFERROR(__xludf.DUMMYFUNCTION("""COMPUTED_VALUE""")," KS 67010")</f>
        <v xml:space="preserve"> KS 67010</v>
      </c>
      <c r="M763" s="2" t="str">
        <f ca="1">IFERROR(__xludf.DUMMYFUNCTION("""COMPUTED_VALUE""")," USA")</f>
        <v xml:space="preserve"> USA</v>
      </c>
      <c r="P763" s="60"/>
    </row>
    <row r="764" spans="1:16">
      <c r="A764" s="60">
        <v>763</v>
      </c>
      <c r="B764" s="79" t="s">
        <v>4708</v>
      </c>
      <c r="C764" s="60" t="s">
        <v>675</v>
      </c>
      <c r="D764" s="93" t="s">
        <v>4709</v>
      </c>
      <c r="E764" s="48" t="str">
        <f t="shared" si="0"/>
        <v>Coatesville</v>
      </c>
      <c r="F764" s="83" t="str">
        <f t="shared" si="1"/>
        <v>Coatesville,PA</v>
      </c>
      <c r="G764" s="60" t="s">
        <v>4712</v>
      </c>
      <c r="H764" s="60">
        <v>39.983161600000003</v>
      </c>
      <c r="I764" s="60">
        <v>-75.823835500000001</v>
      </c>
      <c r="J764" s="60" t="str">
        <f ca="1">IFERROR(__xludf.DUMMYFUNCTION("SPLIT(G764,"","")"),"107 Lincoln Hwy E")</f>
        <v>107 Lincoln Hwy E</v>
      </c>
      <c r="K764" s="2" t="str">
        <f ca="1">IFERROR(__xludf.DUMMYFUNCTION("""COMPUTED_VALUE""")," Coatesville")</f>
        <v xml:space="preserve"> Coatesville</v>
      </c>
      <c r="L764" s="2" t="str">
        <f ca="1">IFERROR(__xludf.DUMMYFUNCTION("""COMPUTED_VALUE""")," PA 19320")</f>
        <v xml:space="preserve"> PA 19320</v>
      </c>
      <c r="M764" s="2" t="str">
        <f ca="1">IFERROR(__xludf.DUMMYFUNCTION("""COMPUTED_VALUE""")," USA")</f>
        <v xml:space="preserve"> USA</v>
      </c>
      <c r="P764" s="60"/>
    </row>
    <row r="765" spans="1:16">
      <c r="A765" s="65">
        <v>764</v>
      </c>
      <c r="B765" s="80" t="s">
        <v>4715</v>
      </c>
      <c r="C765" s="65" t="s">
        <v>604</v>
      </c>
      <c r="D765" s="93" t="s">
        <v>4716</v>
      </c>
      <c r="E765" s="48" t="str">
        <f t="shared" si="0"/>
        <v>Normal</v>
      </c>
      <c r="F765" s="83" t="str">
        <f t="shared" si="1"/>
        <v>Normal University (Normal),IL</v>
      </c>
      <c r="G765" s="65" t="s">
        <v>4719</v>
      </c>
      <c r="H765" s="65">
        <v>40.508583399999999</v>
      </c>
      <c r="I765" s="65">
        <v>-88.991246799999999</v>
      </c>
      <c r="J765" s="60" t="str">
        <f ca="1">IFERROR(__xludf.DUMMYFUNCTION("SPLIT(G765,"","")"),"Fell Hall")</f>
        <v>Fell Hall</v>
      </c>
      <c r="K765" s="2" t="str">
        <f ca="1">IFERROR(__xludf.DUMMYFUNCTION("""COMPUTED_VALUE""")," S University St")</f>
        <v xml:space="preserve"> S University St</v>
      </c>
      <c r="L765" s="2" t="str">
        <f ca="1">IFERROR(__xludf.DUMMYFUNCTION("""COMPUTED_VALUE""")," Normal")</f>
        <v xml:space="preserve"> Normal</v>
      </c>
      <c r="M765" s="2" t="str">
        <f ca="1">IFERROR(__xludf.DUMMYFUNCTION("""COMPUTED_VALUE""")," IL 61761")</f>
        <v xml:space="preserve"> IL 61761</v>
      </c>
      <c r="N765" s="2" t="str">
        <f ca="1">IFERROR(__xludf.DUMMYFUNCTION("""COMPUTED_VALUE""")," USA")</f>
        <v xml:space="preserve"> USA</v>
      </c>
      <c r="P765" s="60"/>
    </row>
    <row r="766" spans="1:16">
      <c r="A766" s="60">
        <v>765</v>
      </c>
      <c r="B766" s="79" t="s">
        <v>4725</v>
      </c>
      <c r="C766" s="60" t="s">
        <v>1273</v>
      </c>
      <c r="D766" s="93" t="s">
        <v>4726</v>
      </c>
      <c r="E766" s="48" t="str">
        <f t="shared" si="0"/>
        <v>Dubuque</v>
      </c>
      <c r="F766" s="83" t="str">
        <f t="shared" si="1"/>
        <v>Dubuque Senior (Dubuque),IA</v>
      </c>
      <c r="G766" s="60" t="s">
        <v>4727</v>
      </c>
      <c r="H766" s="60">
        <v>42.5056102</v>
      </c>
      <c r="I766" s="60">
        <v>-90.694005500000003</v>
      </c>
      <c r="J766" s="60" t="str">
        <f ca="1">IFERROR(__xludf.DUMMYFUNCTION("SPLIT(G766,"","")"),"1800 Clarke Dr")</f>
        <v>1800 Clarke Dr</v>
      </c>
      <c r="K766" s="2" t="str">
        <f ca="1">IFERROR(__xludf.DUMMYFUNCTION("""COMPUTED_VALUE""")," Dubuque")</f>
        <v xml:space="preserve"> Dubuque</v>
      </c>
      <c r="L766" s="2" t="str">
        <f ca="1">IFERROR(__xludf.DUMMYFUNCTION("""COMPUTED_VALUE""")," IA 52001")</f>
        <v xml:space="preserve"> IA 52001</v>
      </c>
      <c r="M766" s="2" t="str">
        <f ca="1">IFERROR(__xludf.DUMMYFUNCTION("""COMPUTED_VALUE""")," USA")</f>
        <v xml:space="preserve"> USA</v>
      </c>
      <c r="P766" s="60"/>
    </row>
    <row r="767" spans="1:16">
      <c r="A767" s="65">
        <v>766</v>
      </c>
      <c r="B767" s="80" t="s">
        <v>4730</v>
      </c>
      <c r="C767" s="65" t="s">
        <v>595</v>
      </c>
      <c r="D767" s="93" t="s">
        <v>3416</v>
      </c>
      <c r="E767" s="48" t="str">
        <f t="shared" si="0"/>
        <v>Frisco</v>
      </c>
      <c r="F767" s="83" t="str">
        <f t="shared" si="1"/>
        <v>Memorial (Frisco),TX</v>
      </c>
      <c r="G767" s="65" t="s">
        <v>4732</v>
      </c>
      <c r="H767" s="65">
        <v>33.132641300000003</v>
      </c>
      <c r="I767" s="65">
        <v>-96.816546399999993</v>
      </c>
      <c r="J767" s="60" t="str">
        <f ca="1">IFERROR(__xludf.DUMMYFUNCTION("SPLIT(G767,"","")"),"6440 Memorial Dr")</f>
        <v>6440 Memorial Dr</v>
      </c>
      <c r="K767" s="2" t="str">
        <f ca="1">IFERROR(__xludf.DUMMYFUNCTION("""COMPUTED_VALUE""")," Frisco")</f>
        <v xml:space="preserve"> Frisco</v>
      </c>
      <c r="L767" s="2" t="str">
        <f ca="1">IFERROR(__xludf.DUMMYFUNCTION("""COMPUTED_VALUE""")," TX 75034")</f>
        <v xml:space="preserve"> TX 75034</v>
      </c>
      <c r="M767" s="2" t="str">
        <f ca="1">IFERROR(__xludf.DUMMYFUNCTION("""COMPUTED_VALUE""")," USA")</f>
        <v xml:space="preserve"> USA</v>
      </c>
      <c r="P767" s="60"/>
    </row>
    <row r="768" spans="1:16">
      <c r="A768" s="60">
        <v>767</v>
      </c>
      <c r="B768" s="79" t="s">
        <v>4734</v>
      </c>
      <c r="C768" s="60" t="s">
        <v>770</v>
      </c>
      <c r="D768" s="93" t="s">
        <v>4736</v>
      </c>
      <c r="E768" s="48" t="str">
        <f t="shared" si="0"/>
        <v>Bartlett</v>
      </c>
      <c r="F768" s="83" t="str">
        <f t="shared" si="1"/>
        <v>Bartlett,TN</v>
      </c>
      <c r="G768" s="60" t="s">
        <v>4737</v>
      </c>
      <c r="H768" s="60">
        <v>35.204532800000003</v>
      </c>
      <c r="I768" s="60">
        <v>-89.873975299999998</v>
      </c>
      <c r="J768" s="60" t="str">
        <f ca="1">IFERROR(__xludf.DUMMYFUNCTION("SPLIT(G768,"","")"),"5680 TN-15")</f>
        <v>5680 TN-15</v>
      </c>
      <c r="K768" s="2" t="str">
        <f ca="1">IFERROR(__xludf.DUMMYFUNCTION("""COMPUTED_VALUE""")," Bartlett")</f>
        <v xml:space="preserve"> Bartlett</v>
      </c>
      <c r="L768" s="2" t="str">
        <f ca="1">IFERROR(__xludf.DUMMYFUNCTION("""COMPUTED_VALUE""")," TN 38134")</f>
        <v xml:space="preserve"> TN 38134</v>
      </c>
      <c r="M768" s="2" t="str">
        <f ca="1">IFERROR(__xludf.DUMMYFUNCTION("""COMPUTED_VALUE""")," USA")</f>
        <v xml:space="preserve"> USA</v>
      </c>
      <c r="P768" s="60"/>
    </row>
    <row r="769" spans="1:16">
      <c r="A769" s="65">
        <v>768</v>
      </c>
      <c r="B769" s="80" t="s">
        <v>4739</v>
      </c>
      <c r="C769" s="65" t="s">
        <v>1094</v>
      </c>
      <c r="D769" s="93" t="s">
        <v>2462</v>
      </c>
      <c r="E769" s="48" t="str">
        <f t="shared" si="0"/>
        <v>Auburn</v>
      </c>
      <c r="F769" s="83" t="str">
        <f t="shared" si="1"/>
        <v>Edward Little (Auburn),ME</v>
      </c>
      <c r="G769" s="65" t="s">
        <v>4740</v>
      </c>
      <c r="H769" s="65">
        <v>44.093423299999998</v>
      </c>
      <c r="I769" s="65">
        <v>-70.234833999999992</v>
      </c>
      <c r="J769" s="60" t="str">
        <f ca="1">IFERROR(__xludf.DUMMYFUNCTION("SPLIT(G769,"","")"),"77 Harris St")</f>
        <v>77 Harris St</v>
      </c>
      <c r="K769" s="2" t="str">
        <f ca="1">IFERROR(__xludf.DUMMYFUNCTION("""COMPUTED_VALUE""")," Auburn")</f>
        <v xml:space="preserve"> Auburn</v>
      </c>
      <c r="L769" s="2" t="str">
        <f ca="1">IFERROR(__xludf.DUMMYFUNCTION("""COMPUTED_VALUE""")," ME 04210")</f>
        <v xml:space="preserve"> ME 04210</v>
      </c>
      <c r="M769" s="2" t="str">
        <f ca="1">IFERROR(__xludf.DUMMYFUNCTION("""COMPUTED_VALUE""")," USA")</f>
        <v xml:space="preserve"> USA</v>
      </c>
      <c r="P769" s="60"/>
    </row>
    <row r="770" spans="1:16">
      <c r="A770" s="60">
        <v>769</v>
      </c>
      <c r="B770" s="79" t="s">
        <v>4744</v>
      </c>
      <c r="C770" s="60" t="s">
        <v>1322</v>
      </c>
      <c r="D770" s="93" t="s">
        <v>4745</v>
      </c>
      <c r="E770" s="48" t="str">
        <f t="shared" si="0"/>
        <v>Greenwood Village</v>
      </c>
      <c r="F770" s="83" t="str">
        <f t="shared" si="1"/>
        <v>Cherry Creek (Greenwood Village),CO</v>
      </c>
      <c r="G770" s="60" t="s">
        <v>4746</v>
      </c>
      <c r="H770" s="60">
        <v>39.630212299999997</v>
      </c>
      <c r="I770" s="60">
        <v>-104.88011040000001</v>
      </c>
      <c r="J770" s="60" t="str">
        <f ca="1">IFERROR(__xludf.DUMMYFUNCTION("SPLIT(G770,"","")"),"9300 E Union Ave")</f>
        <v>9300 E Union Ave</v>
      </c>
      <c r="K770" s="2" t="str">
        <f ca="1">IFERROR(__xludf.DUMMYFUNCTION("""COMPUTED_VALUE""")," Greenwood Village")</f>
        <v xml:space="preserve"> Greenwood Village</v>
      </c>
      <c r="L770" s="2" t="str">
        <f ca="1">IFERROR(__xludf.DUMMYFUNCTION("""COMPUTED_VALUE""")," CO 80111")</f>
        <v xml:space="preserve"> CO 80111</v>
      </c>
      <c r="M770" s="2" t="str">
        <f ca="1">IFERROR(__xludf.DUMMYFUNCTION("""COMPUTED_VALUE""")," USA")</f>
        <v xml:space="preserve"> USA</v>
      </c>
      <c r="P770" s="60"/>
    </row>
    <row r="771" spans="1:16">
      <c r="A771" s="65">
        <v>770</v>
      </c>
      <c r="B771" s="80" t="s">
        <v>4748</v>
      </c>
      <c r="C771" s="65" t="s">
        <v>693</v>
      </c>
      <c r="D771" s="93" t="s">
        <v>3118</v>
      </c>
      <c r="E771" s="48" t="str">
        <f t="shared" si="0"/>
        <v>Gulfport</v>
      </c>
      <c r="F771" s="83" t="str">
        <f t="shared" si="1"/>
        <v>Gulfport,MS</v>
      </c>
      <c r="G771" s="65" t="s">
        <v>4749</v>
      </c>
      <c r="H771" s="65">
        <v>30.3674198</v>
      </c>
      <c r="I771" s="65">
        <v>-89.0928155</v>
      </c>
      <c r="J771" s="60" t="str">
        <f ca="1">IFERROR(__xludf.DUMMYFUNCTION("SPLIT(G771,"","")"),"3210 16th St")</f>
        <v>3210 16th St</v>
      </c>
      <c r="K771" s="2" t="str">
        <f ca="1">IFERROR(__xludf.DUMMYFUNCTION("""COMPUTED_VALUE""")," Gulfport")</f>
        <v xml:space="preserve"> Gulfport</v>
      </c>
      <c r="L771" s="2" t="str">
        <f ca="1">IFERROR(__xludf.DUMMYFUNCTION("""COMPUTED_VALUE""")," MS 39501")</f>
        <v xml:space="preserve"> MS 39501</v>
      </c>
      <c r="M771" s="2" t="str">
        <f ca="1">IFERROR(__xludf.DUMMYFUNCTION("""COMPUTED_VALUE""")," USA")</f>
        <v xml:space="preserve"> USA</v>
      </c>
      <c r="P771" s="60"/>
    </row>
    <row r="772" spans="1:16">
      <c r="A772" s="60">
        <v>771</v>
      </c>
      <c r="B772" s="79" t="s">
        <v>4752</v>
      </c>
      <c r="C772" s="60" t="s">
        <v>183</v>
      </c>
      <c r="D772" s="93" t="s">
        <v>4753</v>
      </c>
      <c r="E772" s="48" t="str">
        <f t="shared" si="0"/>
        <v>Rochester</v>
      </c>
      <c r="F772" s="83" t="str">
        <f t="shared" si="1"/>
        <v>University Prep (Rochester),NY</v>
      </c>
      <c r="G772" s="60" t="s">
        <v>4754</v>
      </c>
      <c r="H772" s="60">
        <v>43.189365000000002</v>
      </c>
      <c r="I772" s="60">
        <v>-77.629279999999994</v>
      </c>
      <c r="J772" s="60" t="str">
        <f ca="1">IFERROR(__xludf.DUMMYFUNCTION("SPLIT(G772,"","")"),"1290 Lake Ave")</f>
        <v>1290 Lake Ave</v>
      </c>
      <c r="K772" s="2" t="str">
        <f ca="1">IFERROR(__xludf.DUMMYFUNCTION("""COMPUTED_VALUE""")," Rochester")</f>
        <v xml:space="preserve"> Rochester</v>
      </c>
      <c r="L772" s="2" t="str">
        <f ca="1">IFERROR(__xludf.DUMMYFUNCTION("""COMPUTED_VALUE""")," NY 14613")</f>
        <v xml:space="preserve"> NY 14613</v>
      </c>
      <c r="M772" s="2" t="str">
        <f ca="1">IFERROR(__xludf.DUMMYFUNCTION("""COMPUTED_VALUE""")," USA")</f>
        <v xml:space="preserve"> USA</v>
      </c>
      <c r="P772" s="60"/>
    </row>
    <row r="773" spans="1:16">
      <c r="A773" s="65">
        <v>772</v>
      </c>
      <c r="B773" s="80" t="s">
        <v>4757</v>
      </c>
      <c r="C773" s="65" t="s">
        <v>737</v>
      </c>
      <c r="D773" s="93" t="s">
        <v>4759</v>
      </c>
      <c r="E773" s="48" t="str">
        <f t="shared" si="0"/>
        <v>Warren</v>
      </c>
      <c r="F773" s="83" t="str">
        <f t="shared" si="1"/>
        <v>Watchung Hills Regional (Warren),NJ</v>
      </c>
      <c r="G773" s="65" t="s">
        <v>4760</v>
      </c>
      <c r="H773" s="65">
        <v>40.637482299999988</v>
      </c>
      <c r="I773" s="65">
        <v>-74.487730599999992</v>
      </c>
      <c r="J773" s="60" t="str">
        <f ca="1">IFERROR(__xludf.DUMMYFUNCTION("SPLIT(G773,"","")"),"84 Old Stirling Rd")</f>
        <v>84 Old Stirling Rd</v>
      </c>
      <c r="K773" s="2" t="str">
        <f ca="1">IFERROR(__xludf.DUMMYFUNCTION("""COMPUTED_VALUE""")," Warren")</f>
        <v xml:space="preserve"> Warren</v>
      </c>
      <c r="L773" s="2" t="str">
        <f ca="1">IFERROR(__xludf.DUMMYFUNCTION("""COMPUTED_VALUE""")," NJ 07059")</f>
        <v xml:space="preserve"> NJ 07059</v>
      </c>
      <c r="M773" s="2" t="str">
        <f ca="1">IFERROR(__xludf.DUMMYFUNCTION("""COMPUTED_VALUE""")," USA")</f>
        <v xml:space="preserve"> USA</v>
      </c>
      <c r="P773" s="60"/>
    </row>
    <row r="774" spans="1:16">
      <c r="A774" s="60">
        <v>773</v>
      </c>
      <c r="B774" s="79" t="s">
        <v>4763</v>
      </c>
      <c r="C774" s="60" t="s">
        <v>191</v>
      </c>
      <c r="D774" s="93" t="s">
        <v>1403</v>
      </c>
      <c r="E774" s="48" t="str">
        <f t="shared" si="0"/>
        <v>Hudsonville</v>
      </c>
      <c r="F774" s="83" t="str">
        <f t="shared" si="1"/>
        <v>Unity Christian (Hudsonville),MI</v>
      </c>
      <c r="G774" s="60" t="s">
        <v>4765</v>
      </c>
      <c r="H774" s="60">
        <v>42.876815699999987</v>
      </c>
      <c r="I774" s="60">
        <v>-85.8996353</v>
      </c>
      <c r="J774" s="60" t="str">
        <f ca="1">IFERROR(__xludf.DUMMYFUNCTION("SPLIT(G774,"","")"),"5978 48th Ave")</f>
        <v>5978 48th Ave</v>
      </c>
      <c r="K774" s="2" t="str">
        <f ca="1">IFERROR(__xludf.DUMMYFUNCTION("""COMPUTED_VALUE""")," Hudsonville")</f>
        <v xml:space="preserve"> Hudsonville</v>
      </c>
      <c r="L774" s="2" t="str">
        <f ca="1">IFERROR(__xludf.DUMMYFUNCTION("""COMPUTED_VALUE""")," MI 49426")</f>
        <v xml:space="preserve"> MI 49426</v>
      </c>
      <c r="M774" s="2" t="str">
        <f ca="1">IFERROR(__xludf.DUMMYFUNCTION("""COMPUTED_VALUE""")," USA")</f>
        <v xml:space="preserve"> USA</v>
      </c>
      <c r="P774" s="60"/>
    </row>
    <row r="775" spans="1:16">
      <c r="A775" s="65">
        <v>774</v>
      </c>
      <c r="B775" s="80" t="s">
        <v>1073</v>
      </c>
      <c r="C775" s="65" t="s">
        <v>745</v>
      </c>
      <c r="D775" s="93" t="s">
        <v>1148</v>
      </c>
      <c r="E775" s="48" t="str">
        <f t="shared" si="0"/>
        <v>Odessa</v>
      </c>
      <c r="F775" s="83" t="str">
        <f t="shared" si="1"/>
        <v>Odessa,WA</v>
      </c>
      <c r="G775" s="65" t="s">
        <v>4767</v>
      </c>
      <c r="H775" s="65">
        <v>47.333202300000004</v>
      </c>
      <c r="I775" s="65">
        <v>-118.6908273</v>
      </c>
      <c r="J775" s="60" t="str">
        <f ca="1">IFERROR(__xludf.DUMMYFUNCTION("SPLIT(G775,"","")"),"1 W 1st Ave")</f>
        <v>1 W 1st Ave</v>
      </c>
      <c r="K775" s="2" t="str">
        <f ca="1">IFERROR(__xludf.DUMMYFUNCTION("""COMPUTED_VALUE""")," Odessa")</f>
        <v xml:space="preserve"> Odessa</v>
      </c>
      <c r="L775" s="2" t="str">
        <f ca="1">IFERROR(__xludf.DUMMYFUNCTION("""COMPUTED_VALUE""")," WA 99159")</f>
        <v xml:space="preserve"> WA 99159</v>
      </c>
      <c r="M775" s="2" t="str">
        <f ca="1">IFERROR(__xludf.DUMMYFUNCTION("""COMPUTED_VALUE""")," USA")</f>
        <v xml:space="preserve"> USA</v>
      </c>
      <c r="P775" s="60"/>
    </row>
    <row r="776" spans="1:16">
      <c r="A776" s="60">
        <v>775</v>
      </c>
      <c r="B776" s="79" t="s">
        <v>4770</v>
      </c>
      <c r="C776" s="60" t="s">
        <v>588</v>
      </c>
      <c r="D776" s="93" t="s">
        <v>635</v>
      </c>
      <c r="E776" s="48" t="str">
        <f t="shared" si="0"/>
        <v>Los Angeles</v>
      </c>
      <c r="F776" s="83" t="str">
        <f t="shared" si="1"/>
        <v>Loyola (Los Angeles),CA</v>
      </c>
      <c r="G776" s="60" t="s">
        <v>4771</v>
      </c>
      <c r="H776" s="60">
        <v>34.048889000000003</v>
      </c>
      <c r="I776" s="60">
        <v>-118.27109849999999</v>
      </c>
      <c r="J776" s="60" t="str">
        <f ca="1">IFERROR(__xludf.DUMMYFUNCTION("SPLIT(G776,"","")"),"919 Albany St")</f>
        <v>919 Albany St</v>
      </c>
      <c r="K776" s="2" t="str">
        <f ca="1">IFERROR(__xludf.DUMMYFUNCTION("""COMPUTED_VALUE""")," Los Angeles")</f>
        <v xml:space="preserve"> Los Angeles</v>
      </c>
      <c r="L776" s="2" t="str">
        <f ca="1">IFERROR(__xludf.DUMMYFUNCTION("""COMPUTED_VALUE""")," CA 90015")</f>
        <v xml:space="preserve"> CA 90015</v>
      </c>
      <c r="M776" s="2" t="str">
        <f ca="1">IFERROR(__xludf.DUMMYFUNCTION("""COMPUTED_VALUE""")," USA")</f>
        <v xml:space="preserve"> USA</v>
      </c>
      <c r="P776" s="60"/>
    </row>
    <row r="777" spans="1:16">
      <c r="A777" s="60">
        <v>776</v>
      </c>
      <c r="B777" s="79" t="s">
        <v>4775</v>
      </c>
      <c r="C777" s="60" t="s">
        <v>191</v>
      </c>
      <c r="D777" s="93" t="s">
        <v>4776</v>
      </c>
      <c r="E777" s="48" t="str">
        <f t="shared" si="0"/>
        <v>Howell</v>
      </c>
      <c r="F777" s="83" t="str">
        <f t="shared" si="1"/>
        <v>Howell,MI</v>
      </c>
      <c r="G777" s="60" t="s">
        <v>4777</v>
      </c>
      <c r="H777" s="60">
        <v>42.607255199999997</v>
      </c>
      <c r="I777" s="60">
        <v>-83.929395200000002</v>
      </c>
      <c r="J777" s="60" t="str">
        <f ca="1">IFERROR(__xludf.DUMMYFUNCTION("SPLIT(G777,"","")"),"102 E Grand River Ave")</f>
        <v>102 E Grand River Ave</v>
      </c>
      <c r="K777" s="2" t="str">
        <f ca="1">IFERROR(__xludf.DUMMYFUNCTION("""COMPUTED_VALUE""")," Howell")</f>
        <v xml:space="preserve"> Howell</v>
      </c>
      <c r="L777" s="2" t="str">
        <f ca="1">IFERROR(__xludf.DUMMYFUNCTION("""COMPUTED_VALUE""")," MI 48843")</f>
        <v xml:space="preserve"> MI 48843</v>
      </c>
      <c r="M777" s="2" t="str">
        <f ca="1">IFERROR(__xludf.DUMMYFUNCTION("""COMPUTED_VALUE""")," USA")</f>
        <v xml:space="preserve"> USA</v>
      </c>
      <c r="P777" s="60"/>
    </row>
    <row r="778" spans="1:16">
      <c r="A778" s="65">
        <v>777</v>
      </c>
      <c r="B778" s="80" t="s">
        <v>4779</v>
      </c>
      <c r="C778" s="65" t="s">
        <v>604</v>
      </c>
      <c r="D778" s="93" t="s">
        <v>2239</v>
      </c>
      <c r="E778" s="48" t="str">
        <f t="shared" si="0"/>
        <v>Aurora</v>
      </c>
      <c r="F778" s="83" t="str">
        <f t="shared" si="1"/>
        <v>Waubonsie Valley (Aurora),IL</v>
      </c>
      <c r="G778" s="65" t="s">
        <v>4782</v>
      </c>
      <c r="H778" s="65">
        <v>41.739981499999999</v>
      </c>
      <c r="I778" s="65">
        <v>-88.25239599999999</v>
      </c>
      <c r="J778" s="60" t="str">
        <f ca="1">IFERROR(__xludf.DUMMYFUNCTION("SPLIT(G778,"","")"),"2590 Ogden Ave")</f>
        <v>2590 Ogden Ave</v>
      </c>
      <c r="K778" s="2" t="str">
        <f ca="1">IFERROR(__xludf.DUMMYFUNCTION("""COMPUTED_VALUE""")," Aurora")</f>
        <v xml:space="preserve"> Aurora</v>
      </c>
      <c r="L778" s="2" t="str">
        <f ca="1">IFERROR(__xludf.DUMMYFUNCTION("""COMPUTED_VALUE""")," IL 60504")</f>
        <v xml:space="preserve"> IL 60504</v>
      </c>
      <c r="M778" s="2" t="str">
        <f ca="1">IFERROR(__xludf.DUMMYFUNCTION("""COMPUTED_VALUE""")," USA")</f>
        <v xml:space="preserve"> USA</v>
      </c>
      <c r="P778" s="60"/>
    </row>
    <row r="779" spans="1:16">
      <c r="A779" s="60">
        <v>778</v>
      </c>
      <c r="B779" s="79" t="s">
        <v>1743</v>
      </c>
      <c r="C779" s="60" t="s">
        <v>69</v>
      </c>
      <c r="D779" s="93" t="s">
        <v>4787</v>
      </c>
      <c r="E779" s="48" t="str">
        <f t="shared" si="0"/>
        <v>Fairhope</v>
      </c>
      <c r="F779" s="83" t="str">
        <f t="shared" si="1"/>
        <v>Fairhope,AL</v>
      </c>
      <c r="G779" s="60" t="s">
        <v>4788</v>
      </c>
      <c r="H779" s="60">
        <v>30.522971900000002</v>
      </c>
      <c r="I779" s="60">
        <v>-87.903326100000001</v>
      </c>
      <c r="J779" s="60" t="str">
        <f ca="1">IFERROR(__xludf.DUMMYFUNCTION("SPLIT(G779,"","")"),"384 Fairhope Ave")</f>
        <v>384 Fairhope Ave</v>
      </c>
      <c r="K779" s="2" t="str">
        <f ca="1">IFERROR(__xludf.DUMMYFUNCTION("""COMPUTED_VALUE""")," Fairhope")</f>
        <v xml:space="preserve"> Fairhope</v>
      </c>
      <c r="L779" s="2" t="str">
        <f ca="1">IFERROR(__xludf.DUMMYFUNCTION("""COMPUTED_VALUE""")," AL 36532")</f>
        <v xml:space="preserve"> AL 36532</v>
      </c>
      <c r="M779" s="2" t="str">
        <f ca="1">IFERROR(__xludf.DUMMYFUNCTION("""COMPUTED_VALUE""")," USA")</f>
        <v xml:space="preserve"> USA</v>
      </c>
      <c r="P779" s="60"/>
    </row>
    <row r="780" spans="1:16">
      <c r="A780" s="65">
        <v>779</v>
      </c>
      <c r="B780" s="80" t="s">
        <v>4792</v>
      </c>
      <c r="C780" s="65" t="s">
        <v>136</v>
      </c>
      <c r="D780" s="93" t="s">
        <v>4793</v>
      </c>
      <c r="E780" s="48" t="str">
        <f t="shared" si="0"/>
        <v>Sarasota</v>
      </c>
      <c r="F780" s="83" t="str">
        <f t="shared" si="1"/>
        <v>Riverview Sarasota (Sarasota),FL</v>
      </c>
      <c r="G780" s="65" t="s">
        <v>4794</v>
      </c>
      <c r="H780" s="65">
        <v>27.282343999999998</v>
      </c>
      <c r="I780" s="65">
        <v>-82.518386899999996</v>
      </c>
      <c r="J780" s="60" t="str">
        <f ca="1">IFERROR(__xludf.DUMMYFUNCTION("SPLIT(G780,"","")"),"1 Ram Way")</f>
        <v>1 Ram Way</v>
      </c>
      <c r="K780" s="2" t="str">
        <f ca="1">IFERROR(__xludf.DUMMYFUNCTION("""COMPUTED_VALUE""")," Sarasota")</f>
        <v xml:space="preserve"> Sarasota</v>
      </c>
      <c r="L780" s="2" t="str">
        <f ca="1">IFERROR(__xludf.DUMMYFUNCTION("""COMPUTED_VALUE""")," FL 34231")</f>
        <v xml:space="preserve"> FL 34231</v>
      </c>
      <c r="M780" s="2" t="str">
        <f ca="1">IFERROR(__xludf.DUMMYFUNCTION("""COMPUTED_VALUE""")," USA")</f>
        <v xml:space="preserve"> USA</v>
      </c>
      <c r="P780" s="60"/>
    </row>
    <row r="781" spans="1:16">
      <c r="A781" s="60">
        <v>780</v>
      </c>
      <c r="B781" s="79" t="s">
        <v>4799</v>
      </c>
      <c r="C781" s="60" t="s">
        <v>618</v>
      </c>
      <c r="D781" s="93" t="s">
        <v>1757</v>
      </c>
      <c r="E781" s="48" t="str">
        <f t="shared" si="0"/>
        <v>Fort Wayne</v>
      </c>
      <c r="F781" s="83" t="str">
        <f t="shared" si="1"/>
        <v>Homestead (Fort Wayne),IN</v>
      </c>
      <c r="G781" s="60" t="s">
        <v>4801</v>
      </c>
      <c r="H781" s="60">
        <v>41.043321900000002</v>
      </c>
      <c r="I781" s="60">
        <v>-85.286255699999998</v>
      </c>
      <c r="J781" s="60" t="str">
        <f ca="1">IFERROR(__xludf.DUMMYFUNCTION("SPLIT(G781,"","")"),"4310 Homestead Rd")</f>
        <v>4310 Homestead Rd</v>
      </c>
      <c r="K781" s="2" t="str">
        <f ca="1">IFERROR(__xludf.DUMMYFUNCTION("""COMPUTED_VALUE""")," Fort Wayne")</f>
        <v xml:space="preserve"> Fort Wayne</v>
      </c>
      <c r="L781" s="2" t="str">
        <f ca="1">IFERROR(__xludf.DUMMYFUNCTION("""COMPUTED_VALUE""")," IN 46814")</f>
        <v xml:space="preserve"> IN 46814</v>
      </c>
      <c r="M781" s="2" t="str">
        <f ca="1">IFERROR(__xludf.DUMMYFUNCTION("""COMPUTED_VALUE""")," USA")</f>
        <v xml:space="preserve"> USA</v>
      </c>
      <c r="P781" s="60"/>
    </row>
    <row r="782" spans="1:16">
      <c r="A782" s="65">
        <v>781</v>
      </c>
      <c r="B782" s="80" t="s">
        <v>4805</v>
      </c>
      <c r="C782" s="65" t="s">
        <v>136</v>
      </c>
      <c r="D782" s="93" t="s">
        <v>3400</v>
      </c>
      <c r="E782" s="48" t="str">
        <f t="shared" si="0"/>
        <v>Windermere</v>
      </c>
      <c r="F782" s="83" t="str">
        <f t="shared" si="1"/>
        <v>Windermere Prep (Windermere),FL</v>
      </c>
      <c r="G782" s="65" t="s">
        <v>4807</v>
      </c>
      <c r="H782" s="65">
        <v>28.475368100000001</v>
      </c>
      <c r="I782" s="65">
        <v>-81.569881299999992</v>
      </c>
      <c r="J782" s="60" t="str">
        <f ca="1">IFERROR(__xludf.DUMMYFUNCTION("SPLIT(G782,"","")"),"6180 Winter Garden Vineland Rd")</f>
        <v>6180 Winter Garden Vineland Rd</v>
      </c>
      <c r="K782" s="2" t="str">
        <f ca="1">IFERROR(__xludf.DUMMYFUNCTION("""COMPUTED_VALUE""")," Windermere")</f>
        <v xml:space="preserve"> Windermere</v>
      </c>
      <c r="L782" s="2" t="str">
        <f ca="1">IFERROR(__xludf.DUMMYFUNCTION("""COMPUTED_VALUE""")," FL 34786")</f>
        <v xml:space="preserve"> FL 34786</v>
      </c>
      <c r="M782" s="2" t="str">
        <f ca="1">IFERROR(__xludf.DUMMYFUNCTION("""COMPUTED_VALUE""")," USA")</f>
        <v xml:space="preserve"> USA</v>
      </c>
      <c r="P782" s="60"/>
    </row>
    <row r="783" spans="1:16">
      <c r="A783" s="60">
        <v>782</v>
      </c>
      <c r="B783" s="79" t="s">
        <v>4811</v>
      </c>
      <c r="C783" s="60" t="s">
        <v>595</v>
      </c>
      <c r="D783" s="93" t="s">
        <v>961</v>
      </c>
      <c r="E783" s="48" t="str">
        <f t="shared" si="0"/>
        <v>Dallas</v>
      </c>
      <c r="F783" s="83" t="str">
        <f t="shared" si="1"/>
        <v>Oak Cliff Faith Family Academy (Dallas),TX</v>
      </c>
      <c r="G783" s="60" t="s">
        <v>4813</v>
      </c>
      <c r="H783" s="60">
        <v>32.703853700000003</v>
      </c>
      <c r="I783" s="60">
        <v>-96.827183099999999</v>
      </c>
      <c r="J783" s="60" t="str">
        <f ca="1">IFERROR(__xludf.DUMMYFUNCTION("SPLIT(G783,"","")"),"300 W Kiest Blvd")</f>
        <v>300 W Kiest Blvd</v>
      </c>
      <c r="K783" s="2" t="str">
        <f ca="1">IFERROR(__xludf.DUMMYFUNCTION("""COMPUTED_VALUE""")," Dallas")</f>
        <v xml:space="preserve"> Dallas</v>
      </c>
      <c r="L783" s="2" t="str">
        <f ca="1">IFERROR(__xludf.DUMMYFUNCTION("""COMPUTED_VALUE""")," TX 75224")</f>
        <v xml:space="preserve"> TX 75224</v>
      </c>
      <c r="M783" s="2" t="str">
        <f ca="1">IFERROR(__xludf.DUMMYFUNCTION("""COMPUTED_VALUE""")," USA")</f>
        <v xml:space="preserve"> USA</v>
      </c>
      <c r="P783" s="60"/>
    </row>
    <row r="784" spans="1:16">
      <c r="A784" s="65">
        <v>783</v>
      </c>
      <c r="B784" s="80" t="s">
        <v>4817</v>
      </c>
      <c r="C784" s="65" t="s">
        <v>183</v>
      </c>
      <c r="D784" s="93" t="s">
        <v>4818</v>
      </c>
      <c r="E784" s="48" t="str">
        <f t="shared" si="0"/>
        <v>Amityville</v>
      </c>
      <c r="F784" s="83" t="str">
        <f t="shared" si="1"/>
        <v>Amityville Memorial (Amityville),NY</v>
      </c>
      <c r="G784" s="65" t="s">
        <v>4821</v>
      </c>
      <c r="H784" s="65">
        <v>40.670596199999999</v>
      </c>
      <c r="I784" s="65">
        <v>-73.411940099999995</v>
      </c>
      <c r="J784" s="60" t="str">
        <f ca="1">IFERROR(__xludf.DUMMYFUNCTION("SPLIT(G784,"","")"),"250 Merrick Rd")</f>
        <v>250 Merrick Rd</v>
      </c>
      <c r="K784" s="2" t="str">
        <f ca="1">IFERROR(__xludf.DUMMYFUNCTION("""COMPUTED_VALUE""")," Amityville")</f>
        <v xml:space="preserve"> Amityville</v>
      </c>
      <c r="L784" s="2" t="str">
        <f ca="1">IFERROR(__xludf.DUMMYFUNCTION("""COMPUTED_VALUE""")," NY 11701")</f>
        <v xml:space="preserve"> NY 11701</v>
      </c>
      <c r="M784" s="2" t="str">
        <f ca="1">IFERROR(__xludf.DUMMYFUNCTION("""COMPUTED_VALUE""")," USA")</f>
        <v xml:space="preserve"> USA</v>
      </c>
      <c r="P784" s="60"/>
    </row>
    <row r="785" spans="1:16">
      <c r="A785" s="60">
        <v>784</v>
      </c>
      <c r="B785" s="79" t="s">
        <v>4823</v>
      </c>
      <c r="C785" s="60" t="s">
        <v>737</v>
      </c>
      <c r="D785" s="93" t="s">
        <v>3124</v>
      </c>
      <c r="E785" s="48" t="str">
        <f t="shared" si="0"/>
        <v>Montvale</v>
      </c>
      <c r="F785" s="83" t="str">
        <f t="shared" si="1"/>
        <v>Pascack Hills (Montvale),NJ</v>
      </c>
      <c r="G785" s="60" t="s">
        <v>4825</v>
      </c>
      <c r="H785" s="60">
        <v>41.049545600000002</v>
      </c>
      <c r="I785" s="60">
        <v>-74.049591699999993</v>
      </c>
      <c r="J785" s="60" t="str">
        <f ca="1">IFERROR(__xludf.DUMMYFUNCTION("SPLIT(G785,"","")"),"225 W Grand Ave")</f>
        <v>225 W Grand Ave</v>
      </c>
      <c r="K785" s="2" t="str">
        <f ca="1">IFERROR(__xludf.DUMMYFUNCTION("""COMPUTED_VALUE""")," Montvale")</f>
        <v xml:space="preserve"> Montvale</v>
      </c>
      <c r="L785" s="2" t="str">
        <f ca="1">IFERROR(__xludf.DUMMYFUNCTION("""COMPUTED_VALUE""")," NJ 07645")</f>
        <v xml:space="preserve"> NJ 07645</v>
      </c>
      <c r="M785" s="2" t="str">
        <f ca="1">IFERROR(__xludf.DUMMYFUNCTION("""COMPUTED_VALUE""")," USA")</f>
        <v xml:space="preserve"> USA</v>
      </c>
      <c r="P785" s="60"/>
    </row>
    <row r="786" spans="1:16">
      <c r="A786" s="65">
        <v>785</v>
      </c>
      <c r="B786" s="80" t="s">
        <v>299</v>
      </c>
      <c r="C786" s="65" t="s">
        <v>618</v>
      </c>
      <c r="D786" s="93" t="s">
        <v>4830</v>
      </c>
      <c r="E786" s="48" t="str">
        <f t="shared" si="0"/>
        <v>Jeffersonville</v>
      </c>
      <c r="F786" s="83" t="str">
        <f t="shared" si="1"/>
        <v>Jeffersonville,IN</v>
      </c>
      <c r="G786" s="65" t="s">
        <v>4831</v>
      </c>
      <c r="H786" s="65">
        <v>38.2775702</v>
      </c>
      <c r="I786" s="65">
        <v>-85.7371847</v>
      </c>
      <c r="J786" s="60" t="str">
        <f ca="1">IFERROR(__xludf.DUMMYFUNCTION("SPLIT(G786,"","")"),"501 E Court Ave")</f>
        <v>501 E Court Ave</v>
      </c>
      <c r="K786" s="2" t="str">
        <f ca="1">IFERROR(__xludf.DUMMYFUNCTION("""COMPUTED_VALUE""")," Jeffersonville")</f>
        <v xml:space="preserve"> Jeffersonville</v>
      </c>
      <c r="L786" s="2" t="str">
        <f ca="1">IFERROR(__xludf.DUMMYFUNCTION("""COMPUTED_VALUE""")," IN 47130")</f>
        <v xml:space="preserve"> IN 47130</v>
      </c>
      <c r="M786" s="2" t="str">
        <f ca="1">IFERROR(__xludf.DUMMYFUNCTION("""COMPUTED_VALUE""")," USA")</f>
        <v xml:space="preserve"> USA</v>
      </c>
      <c r="P786" s="60"/>
    </row>
    <row r="787" spans="1:16">
      <c r="A787" s="60">
        <v>786</v>
      </c>
      <c r="B787" s="79" t="s">
        <v>4836</v>
      </c>
      <c r="C787" s="60" t="s">
        <v>1067</v>
      </c>
      <c r="D787" s="93" t="s">
        <v>731</v>
      </c>
      <c r="E787" s="48" t="str">
        <f t="shared" si="0"/>
        <v>Concord</v>
      </c>
      <c r="F787" s="83" t="str">
        <f t="shared" si="1"/>
        <v>Concord Academy (Concord),PS</v>
      </c>
      <c r="G787" s="60" t="s">
        <v>4839</v>
      </c>
      <c r="H787" s="60">
        <v>42.4592867</v>
      </c>
      <c r="I787" s="60">
        <v>-71.354640200000006</v>
      </c>
      <c r="J787" s="60" t="str">
        <f ca="1">IFERROR(__xludf.DUMMYFUNCTION("SPLIT(G787,"","")"),"166 Main St")</f>
        <v>166 Main St</v>
      </c>
      <c r="K787" s="2" t="str">
        <f ca="1">IFERROR(__xludf.DUMMYFUNCTION("""COMPUTED_VALUE""")," Concord")</f>
        <v xml:space="preserve"> Concord</v>
      </c>
      <c r="L787" s="2" t="str">
        <f ca="1">IFERROR(__xludf.DUMMYFUNCTION("""COMPUTED_VALUE""")," MA 01742")</f>
        <v xml:space="preserve"> MA 01742</v>
      </c>
      <c r="M787" s="2" t="str">
        <f ca="1">IFERROR(__xludf.DUMMYFUNCTION("""COMPUTED_VALUE""")," USA")</f>
        <v xml:space="preserve"> USA</v>
      </c>
      <c r="P787" s="60"/>
    </row>
    <row r="788" spans="1:16">
      <c r="A788" s="65">
        <v>787</v>
      </c>
      <c r="B788" s="80" t="s">
        <v>4847</v>
      </c>
      <c r="C788" s="65" t="s">
        <v>136</v>
      </c>
      <c r="D788" s="93" t="s">
        <v>4848</v>
      </c>
      <c r="E788" s="48" t="str">
        <f t="shared" si="0"/>
        <v>Naples</v>
      </c>
      <c r="F788" s="83" t="str">
        <f t="shared" si="1"/>
        <v>Community School of Naples (Naples),FL</v>
      </c>
      <c r="G788" s="65" t="s">
        <v>4850</v>
      </c>
      <c r="H788" s="65">
        <v>26.215391</v>
      </c>
      <c r="I788" s="65">
        <v>-81.754464799999994</v>
      </c>
      <c r="J788" s="60" t="str">
        <f ca="1">IFERROR(__xludf.DUMMYFUNCTION("SPLIT(G788,"","")"),"13275 Livingston Rd")</f>
        <v>13275 Livingston Rd</v>
      </c>
      <c r="K788" s="2" t="str">
        <f ca="1">IFERROR(__xludf.DUMMYFUNCTION("""COMPUTED_VALUE""")," Naples")</f>
        <v xml:space="preserve"> Naples</v>
      </c>
      <c r="L788" s="2" t="str">
        <f ca="1">IFERROR(__xludf.DUMMYFUNCTION("""COMPUTED_VALUE""")," FL 34109")</f>
        <v xml:space="preserve"> FL 34109</v>
      </c>
      <c r="M788" s="2" t="str">
        <f ca="1">IFERROR(__xludf.DUMMYFUNCTION("""COMPUTED_VALUE""")," USA")</f>
        <v xml:space="preserve"> USA</v>
      </c>
      <c r="P788" s="60"/>
    </row>
    <row r="789" spans="1:16">
      <c r="A789" s="60">
        <v>788</v>
      </c>
      <c r="B789" s="79" t="s">
        <v>4855</v>
      </c>
      <c r="C789" s="60" t="s">
        <v>796</v>
      </c>
      <c r="D789" s="93" t="s">
        <v>4857</v>
      </c>
      <c r="E789" s="48" t="str">
        <f t="shared" si="0"/>
        <v>Haven</v>
      </c>
      <c r="F789" s="83" t="str">
        <f t="shared" si="1"/>
        <v>Haven,KS</v>
      </c>
      <c r="G789" s="60" t="s">
        <v>4859</v>
      </c>
      <c r="H789" s="60">
        <v>37.898900300000001</v>
      </c>
      <c r="I789" s="60">
        <v>-97.7828272</v>
      </c>
      <c r="J789" s="60" t="str">
        <f ca="1">IFERROR(__xludf.DUMMYFUNCTION("SPLIT(G789,"","")"),"209 S Kansas Ave")</f>
        <v>209 S Kansas Ave</v>
      </c>
      <c r="K789" s="2" t="str">
        <f ca="1">IFERROR(__xludf.DUMMYFUNCTION("""COMPUTED_VALUE""")," Haven")</f>
        <v xml:space="preserve"> Haven</v>
      </c>
      <c r="L789" s="2" t="str">
        <f ca="1">IFERROR(__xludf.DUMMYFUNCTION("""COMPUTED_VALUE""")," KS 67543")</f>
        <v xml:space="preserve"> KS 67543</v>
      </c>
      <c r="M789" s="2" t="str">
        <f ca="1">IFERROR(__xludf.DUMMYFUNCTION("""COMPUTED_VALUE""")," USA")</f>
        <v xml:space="preserve"> USA</v>
      </c>
      <c r="P789" s="60"/>
    </row>
    <row r="790" spans="1:16">
      <c r="A790" s="65">
        <v>789</v>
      </c>
      <c r="B790" s="80" t="s">
        <v>4862</v>
      </c>
      <c r="C790" s="65" t="s">
        <v>693</v>
      </c>
      <c r="D790" s="93" t="s">
        <v>774</v>
      </c>
      <c r="E790" s="48" t="str">
        <f t="shared" si="0"/>
        <v>Camden</v>
      </c>
      <c r="F790" s="83" t="str">
        <f t="shared" si="1"/>
        <v>Velma Jackson (Camden),MS</v>
      </c>
      <c r="G790" s="65" t="s">
        <v>4863</v>
      </c>
      <c r="H790" s="65">
        <v>32.775580099999999</v>
      </c>
      <c r="I790" s="65">
        <v>-89.867173399999999</v>
      </c>
      <c r="J790" s="60" t="str">
        <f ca="1">IFERROR(__xludf.DUMMYFUNCTION("SPLIT(G790,"","")"),"2000 Loring Rd Exd")</f>
        <v>2000 Loring Rd Exd</v>
      </c>
      <c r="K790" s="2" t="str">
        <f ca="1">IFERROR(__xludf.DUMMYFUNCTION("""COMPUTED_VALUE""")," Camden")</f>
        <v xml:space="preserve"> Camden</v>
      </c>
      <c r="L790" s="2" t="str">
        <f ca="1">IFERROR(__xludf.DUMMYFUNCTION("""COMPUTED_VALUE""")," MS 39045")</f>
        <v xml:space="preserve"> MS 39045</v>
      </c>
      <c r="M790" s="2" t="str">
        <f ca="1">IFERROR(__xludf.DUMMYFUNCTION("""COMPUTED_VALUE""")," USA")</f>
        <v xml:space="preserve"> USA</v>
      </c>
      <c r="P790" s="60"/>
    </row>
    <row r="791" spans="1:16">
      <c r="A791" s="60">
        <v>790</v>
      </c>
      <c r="B791" s="79" t="s">
        <v>4868</v>
      </c>
      <c r="C791" s="60" t="s">
        <v>179</v>
      </c>
      <c r="D791" s="93" t="s">
        <v>4869</v>
      </c>
      <c r="E791" s="48" t="str">
        <f t="shared" si="0"/>
        <v>Southern Pines</v>
      </c>
      <c r="F791" s="83" t="str">
        <f t="shared" si="1"/>
        <v>Pinecrest (Southern Pines),NC</v>
      </c>
      <c r="G791" s="60" t="s">
        <v>4870</v>
      </c>
      <c r="H791" s="60">
        <v>35.1784915</v>
      </c>
      <c r="I791" s="60">
        <v>-79.431356699999995</v>
      </c>
      <c r="J791" s="60" t="str">
        <f ca="1">IFERROR(__xludf.DUMMYFUNCTION("SPLIT(G791,"","")"),"44 Pinecrest Plaza")</f>
        <v>44 Pinecrest Plaza</v>
      </c>
      <c r="K791" s="2" t="str">
        <f ca="1">IFERROR(__xludf.DUMMYFUNCTION("""COMPUTED_VALUE""")," Southern Pines")</f>
        <v xml:space="preserve"> Southern Pines</v>
      </c>
      <c r="L791" s="2" t="str">
        <f ca="1">IFERROR(__xludf.DUMMYFUNCTION("""COMPUTED_VALUE""")," NC 28387")</f>
        <v xml:space="preserve"> NC 28387</v>
      </c>
      <c r="M791" s="2" t="str">
        <f ca="1">IFERROR(__xludf.DUMMYFUNCTION("""COMPUTED_VALUE""")," USA")</f>
        <v xml:space="preserve"> USA</v>
      </c>
      <c r="P791" s="60"/>
    </row>
    <row r="792" spans="1:16">
      <c r="A792" s="65">
        <v>791</v>
      </c>
      <c r="B792" s="80" t="s">
        <v>4875</v>
      </c>
      <c r="C792" s="65" t="s">
        <v>179</v>
      </c>
      <c r="D792" s="93" t="s">
        <v>1412</v>
      </c>
      <c r="E792" s="48" t="str">
        <f t="shared" si="0"/>
        <v>Fayetteville</v>
      </c>
      <c r="F792" s="83" t="str">
        <f t="shared" si="1"/>
        <v>Village Christian Academy (Fayetteville),NC</v>
      </c>
      <c r="G792" s="65" t="s">
        <v>4878</v>
      </c>
      <c r="H792" s="65">
        <v>35.049328899999999</v>
      </c>
      <c r="I792" s="65">
        <v>-78.940716600000002</v>
      </c>
      <c r="J792" s="60" t="str">
        <f ca="1">IFERROR(__xludf.DUMMYFUNCTION("SPLIT(G792,"","")"),"906 S McPherson Church Rd")</f>
        <v>906 S McPherson Church Rd</v>
      </c>
      <c r="K792" s="2" t="str">
        <f ca="1">IFERROR(__xludf.DUMMYFUNCTION("""COMPUTED_VALUE""")," Fayetteville")</f>
        <v xml:space="preserve"> Fayetteville</v>
      </c>
      <c r="L792" s="2" t="str">
        <f ca="1">IFERROR(__xludf.DUMMYFUNCTION("""COMPUTED_VALUE""")," NC 28303")</f>
        <v xml:space="preserve"> NC 28303</v>
      </c>
      <c r="M792" s="2" t="str">
        <f ca="1">IFERROR(__xludf.DUMMYFUNCTION("""COMPUTED_VALUE""")," USA")</f>
        <v xml:space="preserve"> USA</v>
      </c>
      <c r="P792" s="60"/>
    </row>
    <row r="793" spans="1:16">
      <c r="A793" s="60">
        <v>792</v>
      </c>
      <c r="B793" s="118" t="s">
        <v>4880</v>
      </c>
      <c r="C793" s="60" t="s">
        <v>1322</v>
      </c>
      <c r="D793" s="50" t="s">
        <v>353</v>
      </c>
      <c r="E793" s="48" t="str">
        <f t="shared" si="0"/>
        <v>Aurora</v>
      </c>
      <c r="F793" s="83" t="str">
        <f t="shared" si="1"/>
        <v>Smoky Hill (Aurora),CO</v>
      </c>
      <c r="G793" s="60" t="s">
        <v>29493</v>
      </c>
      <c r="H793" s="60">
        <v>39.609183600000009</v>
      </c>
      <c r="I793" s="60">
        <v>-104.7488575</v>
      </c>
      <c r="J793" s="60" t="str">
        <f ca="1">IFERROR(__xludf.DUMMYFUNCTION("SPLIT(G793,"","")"),"Smoky Hill Rd &amp; S Kirk St")</f>
        <v>Smoky Hill Rd &amp; S Kirk St</v>
      </c>
      <c r="K793" s="2" t="str">
        <f ca="1">IFERROR(__xludf.DUMMYFUNCTION("""COMPUTED_VALUE""")," Colorado")</f>
        <v xml:space="preserve"> Colorado</v>
      </c>
      <c r="L793" s="2" t="str">
        <f ca="1">IFERROR(__xludf.DUMMYFUNCTION("""COMPUTED_VALUE""")," USA")</f>
        <v xml:space="preserve"> USA</v>
      </c>
      <c r="P793" s="60"/>
    </row>
    <row r="794" spans="1:16">
      <c r="A794" s="65">
        <v>793</v>
      </c>
      <c r="B794" s="80" t="s">
        <v>4885</v>
      </c>
      <c r="C794" s="65" t="s">
        <v>588</v>
      </c>
      <c r="D794" s="93" t="s">
        <v>4152</v>
      </c>
      <c r="E794" s="48" t="str">
        <f t="shared" si="0"/>
        <v>Clovis</v>
      </c>
      <c r="F794" s="83" t="str">
        <f t="shared" si="1"/>
        <v>Clovis East (Clovis),CA</v>
      </c>
      <c r="G794" s="65" t="s">
        <v>4887</v>
      </c>
      <c r="H794" s="65">
        <v>36.799465499999997</v>
      </c>
      <c r="I794" s="65">
        <v>-119.640017</v>
      </c>
      <c r="J794" s="60" t="str">
        <f ca="1">IFERROR(__xludf.DUMMYFUNCTION("SPLIT(G794,"","")"),"2940 Leonard Ave")</f>
        <v>2940 Leonard Ave</v>
      </c>
      <c r="K794" s="2" t="str">
        <f ca="1">IFERROR(__xludf.DUMMYFUNCTION("""COMPUTED_VALUE""")," Clovis")</f>
        <v xml:space="preserve"> Clovis</v>
      </c>
      <c r="L794" s="2" t="str">
        <f ca="1">IFERROR(__xludf.DUMMYFUNCTION("""COMPUTED_VALUE""")," CA 93619")</f>
        <v xml:space="preserve"> CA 93619</v>
      </c>
      <c r="M794" s="2" t="str">
        <f ca="1">IFERROR(__xludf.DUMMYFUNCTION("""COMPUTED_VALUE""")," USA")</f>
        <v xml:space="preserve"> USA</v>
      </c>
      <c r="P794" s="60"/>
    </row>
    <row r="795" spans="1:16">
      <c r="A795" s="60">
        <v>794</v>
      </c>
      <c r="B795" s="79" t="s">
        <v>4891</v>
      </c>
      <c r="C795" s="60" t="s">
        <v>588</v>
      </c>
      <c r="D795" s="93" t="s">
        <v>4892</v>
      </c>
      <c r="E795" s="48" t="str">
        <f t="shared" si="0"/>
        <v>Woodland Hills</v>
      </c>
      <c r="F795" s="83" t="str">
        <f t="shared" si="1"/>
        <v>Taft (Woodland Hills),CA</v>
      </c>
      <c r="G795" s="60" t="s">
        <v>4894</v>
      </c>
      <c r="H795" s="60">
        <v>34.169657000000001</v>
      </c>
      <c r="I795" s="60">
        <v>-118.5713076</v>
      </c>
      <c r="J795" s="60" t="str">
        <f ca="1">IFERROR(__xludf.DUMMYFUNCTION("SPLIT(G795,"","")"),"5461 Winnetka Ave")</f>
        <v>5461 Winnetka Ave</v>
      </c>
      <c r="K795" s="2" t="str">
        <f ca="1">IFERROR(__xludf.DUMMYFUNCTION("""COMPUTED_VALUE""")," Woodland Hills")</f>
        <v xml:space="preserve"> Woodland Hills</v>
      </c>
      <c r="L795" s="2" t="str">
        <f ca="1">IFERROR(__xludf.DUMMYFUNCTION("""COMPUTED_VALUE""")," CA 91364")</f>
        <v xml:space="preserve"> CA 91364</v>
      </c>
      <c r="M795" s="2" t="str">
        <f ca="1">IFERROR(__xludf.DUMMYFUNCTION("""COMPUTED_VALUE""")," USA")</f>
        <v xml:space="preserve"> USA</v>
      </c>
      <c r="P795" s="60"/>
    </row>
    <row r="796" spans="1:16">
      <c r="A796" s="65">
        <v>795</v>
      </c>
      <c r="B796" s="80" t="s">
        <v>4898</v>
      </c>
      <c r="C796" s="65" t="s">
        <v>604</v>
      </c>
      <c r="D796" s="93" t="s">
        <v>4899</v>
      </c>
      <c r="E796" s="48" t="str">
        <f t="shared" si="0"/>
        <v>Chatham</v>
      </c>
      <c r="F796" s="83" t="str">
        <f t="shared" si="1"/>
        <v>Glenwood (Chatham),IL</v>
      </c>
      <c r="G796" s="65" t="s">
        <v>4900</v>
      </c>
      <c r="H796" s="65">
        <v>39.689937399999998</v>
      </c>
      <c r="I796" s="65">
        <v>-89.689406599999998</v>
      </c>
      <c r="J796" s="60" t="str">
        <f ca="1">IFERROR(__xludf.DUMMYFUNCTION("SPLIT(G796,"","")"),"1501 Plummer Blvd")</f>
        <v>1501 Plummer Blvd</v>
      </c>
      <c r="K796" s="2" t="str">
        <f ca="1">IFERROR(__xludf.DUMMYFUNCTION("""COMPUTED_VALUE""")," Chatham")</f>
        <v xml:space="preserve"> Chatham</v>
      </c>
      <c r="L796" s="2" t="str">
        <f ca="1">IFERROR(__xludf.DUMMYFUNCTION("""COMPUTED_VALUE""")," IL 62629")</f>
        <v xml:space="preserve"> IL 62629</v>
      </c>
      <c r="M796" s="2" t="str">
        <f ca="1">IFERROR(__xludf.DUMMYFUNCTION("""COMPUTED_VALUE""")," USA")</f>
        <v xml:space="preserve"> USA</v>
      </c>
      <c r="P796" s="60"/>
    </row>
    <row r="797" spans="1:16">
      <c r="A797" s="60">
        <v>796</v>
      </c>
      <c r="B797" s="79" t="s">
        <v>4904</v>
      </c>
      <c r="C797" s="60" t="s">
        <v>1050</v>
      </c>
      <c r="D797" s="93" t="s">
        <v>4905</v>
      </c>
      <c r="E797" s="48" t="str">
        <f t="shared" si="0"/>
        <v>Bluefield</v>
      </c>
      <c r="F797" s="83" t="str">
        <f t="shared" si="1"/>
        <v>Bluefield,WV</v>
      </c>
      <c r="G797" s="60" t="s">
        <v>4906</v>
      </c>
      <c r="H797" s="60">
        <v>37.269839500000003</v>
      </c>
      <c r="I797" s="60">
        <v>-81.222319499999998</v>
      </c>
      <c r="J797" s="60" t="str">
        <f ca="1">IFERROR(__xludf.DUMMYFUNCTION("SPLIT(G797,"","")"),"538 Princeton Ave")</f>
        <v>538 Princeton Ave</v>
      </c>
      <c r="K797" s="2" t="str">
        <f ca="1">IFERROR(__xludf.DUMMYFUNCTION("""COMPUTED_VALUE""")," Bluefield")</f>
        <v xml:space="preserve"> Bluefield</v>
      </c>
      <c r="L797" s="2" t="str">
        <f ca="1">IFERROR(__xludf.DUMMYFUNCTION("""COMPUTED_VALUE""")," WV 24701")</f>
        <v xml:space="preserve"> WV 24701</v>
      </c>
      <c r="M797" s="2" t="str">
        <f ca="1">IFERROR(__xludf.DUMMYFUNCTION("""COMPUTED_VALUE""")," USA")</f>
        <v xml:space="preserve"> USA</v>
      </c>
      <c r="P797" s="60"/>
    </row>
    <row r="798" spans="1:16">
      <c r="A798" s="65">
        <v>797</v>
      </c>
      <c r="B798" s="80" t="s">
        <v>4910</v>
      </c>
      <c r="C798" s="65" t="s">
        <v>595</v>
      </c>
      <c r="D798" s="93" t="s">
        <v>878</v>
      </c>
      <c r="E798" s="48" t="str">
        <f t="shared" si="0"/>
        <v>San Antonio</v>
      </c>
      <c r="F798" s="83" t="str">
        <f t="shared" si="1"/>
        <v>Saint Mary's Hall (San Antonio),TX</v>
      </c>
      <c r="G798" s="65" t="s">
        <v>4911</v>
      </c>
      <c r="H798" s="65">
        <v>29.526233999999999</v>
      </c>
      <c r="I798" s="65">
        <v>-98.423809999999989</v>
      </c>
      <c r="J798" s="60" t="str">
        <f ca="1">IFERROR(__xludf.DUMMYFUNCTION("SPLIT(G798,"","")"),"3735 Twisted Oaks Dr")</f>
        <v>3735 Twisted Oaks Dr</v>
      </c>
      <c r="K798" s="2" t="str">
        <f ca="1">IFERROR(__xludf.DUMMYFUNCTION("""COMPUTED_VALUE""")," San Antonio")</f>
        <v xml:space="preserve"> San Antonio</v>
      </c>
      <c r="L798" s="2" t="str">
        <f ca="1">IFERROR(__xludf.DUMMYFUNCTION("""COMPUTED_VALUE""")," TX 78217")</f>
        <v xml:space="preserve"> TX 78217</v>
      </c>
      <c r="M798" s="2" t="str">
        <f ca="1">IFERROR(__xludf.DUMMYFUNCTION("""COMPUTED_VALUE""")," USA")</f>
        <v xml:space="preserve"> USA</v>
      </c>
      <c r="P798" s="60"/>
    </row>
    <row r="799" spans="1:16">
      <c r="A799" s="60">
        <v>798</v>
      </c>
      <c r="B799" s="79" t="s">
        <v>4914</v>
      </c>
      <c r="C799" s="60" t="s">
        <v>604</v>
      </c>
      <c r="D799" s="93" t="s">
        <v>841</v>
      </c>
      <c r="E799" s="48" t="str">
        <f t="shared" si="0"/>
        <v>Roselle</v>
      </c>
      <c r="F799" s="83" t="str">
        <f t="shared" si="1"/>
        <v>Lake Park (Roselle),IL</v>
      </c>
      <c r="G799" s="60" t="s">
        <v>4917</v>
      </c>
      <c r="H799" s="60">
        <v>41.973401500000001</v>
      </c>
      <c r="I799" s="60">
        <v>-88.053603699999996</v>
      </c>
      <c r="J799" s="60" t="str">
        <f ca="1">IFERROR(__xludf.DUMMYFUNCTION("SPLIT(G799,"","")"),"600 Medinah Rd")</f>
        <v>600 Medinah Rd</v>
      </c>
      <c r="K799" s="2" t="str">
        <f ca="1">IFERROR(__xludf.DUMMYFUNCTION("""COMPUTED_VALUE""")," Roselle")</f>
        <v xml:space="preserve"> Roselle</v>
      </c>
      <c r="L799" s="2" t="str">
        <f ca="1">IFERROR(__xludf.DUMMYFUNCTION("""COMPUTED_VALUE""")," IL 60172")</f>
        <v xml:space="preserve"> IL 60172</v>
      </c>
      <c r="M799" s="2" t="str">
        <f ca="1">IFERROR(__xludf.DUMMYFUNCTION("""COMPUTED_VALUE""")," USA")</f>
        <v xml:space="preserve"> USA</v>
      </c>
      <c r="P799" s="60"/>
    </row>
    <row r="800" spans="1:16">
      <c r="A800" s="97">
        <v>799</v>
      </c>
      <c r="B800" s="99" t="s">
        <v>4919</v>
      </c>
      <c r="C800" s="97" t="s">
        <v>682</v>
      </c>
      <c r="D800" s="93" t="s">
        <v>4921</v>
      </c>
      <c r="E800" s="48" t="str">
        <f t="shared" si="0"/>
        <v>Chippewa Falls</v>
      </c>
      <c r="F800" s="83" t="str">
        <f t="shared" si="1"/>
        <v>Chippewa Falls,WI</v>
      </c>
      <c r="G800" s="97" t="s">
        <v>4922</v>
      </c>
      <c r="H800" s="97">
        <v>44.936905400000001</v>
      </c>
      <c r="I800" s="97">
        <v>-91.392934799999992</v>
      </c>
      <c r="J800" s="60" t="str">
        <f ca="1">IFERROR(__xludf.DUMMYFUNCTION("SPLIT(G800,"","")"),"217 N Bridge St")</f>
        <v>217 N Bridge St</v>
      </c>
      <c r="K800" s="2" t="str">
        <f ca="1">IFERROR(__xludf.DUMMYFUNCTION("""COMPUTED_VALUE""")," Chippewa Falls")</f>
        <v xml:space="preserve"> Chippewa Falls</v>
      </c>
      <c r="L800" s="2" t="str">
        <f ca="1">IFERROR(__xludf.DUMMYFUNCTION("""COMPUTED_VALUE""")," WI 54729")</f>
        <v xml:space="preserve"> WI 54729</v>
      </c>
      <c r="M800" s="2" t="str">
        <f ca="1">IFERROR(__xludf.DUMMYFUNCTION("""COMPUTED_VALUE""")," USA")</f>
        <v xml:space="preserve"> USA</v>
      </c>
      <c r="P800" s="60"/>
    </row>
    <row r="801" spans="1:16">
      <c r="A801" s="60">
        <v>800</v>
      </c>
      <c r="B801" s="79" t="s">
        <v>4927</v>
      </c>
      <c r="C801" s="60" t="s">
        <v>595</v>
      </c>
      <c r="D801" s="93" t="s">
        <v>1448</v>
      </c>
      <c r="E801" s="48" t="str">
        <f t="shared" si="0"/>
        <v>Houston</v>
      </c>
      <c r="F801" s="83" t="str">
        <f t="shared" si="1"/>
        <v>Houston Christian (Houston),TX</v>
      </c>
      <c r="G801" s="60" t="s">
        <v>4928</v>
      </c>
      <c r="H801" s="60">
        <v>29.820749199999991</v>
      </c>
      <c r="I801" s="60">
        <v>-95.560691800000001</v>
      </c>
      <c r="J801" s="60" t="str">
        <f ca="1">IFERROR(__xludf.DUMMYFUNCTION("SPLIT(G801,"","")"),"2700 West Sam Houston Pkwy N")</f>
        <v>2700 West Sam Houston Pkwy N</v>
      </c>
      <c r="K801" s="2" t="str">
        <f ca="1">IFERROR(__xludf.DUMMYFUNCTION("""COMPUTED_VALUE""")," Houston")</f>
        <v xml:space="preserve"> Houston</v>
      </c>
      <c r="L801" s="2" t="str">
        <f ca="1">IFERROR(__xludf.DUMMYFUNCTION("""COMPUTED_VALUE""")," TX 77043")</f>
        <v xml:space="preserve"> TX 77043</v>
      </c>
      <c r="M801" s="2" t="str">
        <f ca="1">IFERROR(__xludf.DUMMYFUNCTION("""COMPUTED_VALUE""")," USA")</f>
        <v xml:space="preserve"> USA</v>
      </c>
      <c r="P801" s="60"/>
    </row>
    <row r="802" spans="1:16">
      <c r="A802" s="60">
        <v>801</v>
      </c>
      <c r="B802" s="79" t="s">
        <v>4933</v>
      </c>
      <c r="C802" s="60" t="s">
        <v>1296</v>
      </c>
      <c r="D802" s="93" t="s">
        <v>4934</v>
      </c>
      <c r="E802" s="48" t="str">
        <f t="shared" si="0"/>
        <v>Central Point</v>
      </c>
      <c r="F802" s="83" t="str">
        <f t="shared" si="1"/>
        <v>Crater (Central Point),OR</v>
      </c>
      <c r="G802" s="60" t="s">
        <v>4935</v>
      </c>
      <c r="H802" s="60">
        <v>42.389294799999988</v>
      </c>
      <c r="I802" s="60">
        <v>-122.92471070000001</v>
      </c>
      <c r="J802" s="60" t="str">
        <f ca="1">IFERROR(__xludf.DUMMYFUNCTION("SPLIT(G802,"","")"),"2002 Scenic Ave")</f>
        <v>2002 Scenic Ave</v>
      </c>
      <c r="K802" s="2" t="str">
        <f ca="1">IFERROR(__xludf.DUMMYFUNCTION("""COMPUTED_VALUE""")," Central Point")</f>
        <v xml:space="preserve"> Central Point</v>
      </c>
      <c r="L802" s="2" t="str">
        <f ca="1">IFERROR(__xludf.DUMMYFUNCTION("""COMPUTED_VALUE""")," OR 97502")</f>
        <v xml:space="preserve"> OR 97502</v>
      </c>
      <c r="M802" s="2" t="str">
        <f ca="1">IFERROR(__xludf.DUMMYFUNCTION("""COMPUTED_VALUE""")," USA")</f>
        <v xml:space="preserve"> USA</v>
      </c>
      <c r="P802" s="60"/>
    </row>
    <row r="803" spans="1:16">
      <c r="A803" s="65">
        <v>802</v>
      </c>
      <c r="B803" s="80" t="s">
        <v>4938</v>
      </c>
      <c r="C803" s="65" t="s">
        <v>598</v>
      </c>
      <c r="D803" s="93" t="s">
        <v>4939</v>
      </c>
      <c r="E803" s="48" t="str">
        <f t="shared" si="0"/>
        <v>Savannah</v>
      </c>
      <c r="F803" s="83" t="str">
        <f t="shared" si="1"/>
        <v>Windsor Forest (Savannah),GA</v>
      </c>
      <c r="G803" s="65" t="s">
        <v>4941</v>
      </c>
      <c r="H803" s="65">
        <v>31.973150100000002</v>
      </c>
      <c r="I803" s="65">
        <v>-81.147183599999991</v>
      </c>
      <c r="J803" s="60" t="str">
        <f ca="1">IFERROR(__xludf.DUMMYFUNCTION("SPLIT(G803,"","")"),"12442 Deerfield Rd")</f>
        <v>12442 Deerfield Rd</v>
      </c>
      <c r="K803" s="2" t="str">
        <f ca="1">IFERROR(__xludf.DUMMYFUNCTION("""COMPUTED_VALUE""")," Savannah")</f>
        <v xml:space="preserve"> Savannah</v>
      </c>
      <c r="L803" s="2" t="str">
        <f ca="1">IFERROR(__xludf.DUMMYFUNCTION("""COMPUTED_VALUE""")," GA 31419")</f>
        <v xml:space="preserve"> GA 31419</v>
      </c>
      <c r="M803" s="2" t="str">
        <f ca="1">IFERROR(__xludf.DUMMYFUNCTION("""COMPUTED_VALUE""")," USA")</f>
        <v xml:space="preserve"> USA</v>
      </c>
      <c r="P803" s="60"/>
    </row>
    <row r="804" spans="1:16">
      <c r="A804" s="60">
        <v>803</v>
      </c>
      <c r="B804" s="79" t="s">
        <v>4943</v>
      </c>
      <c r="C804" s="60" t="s">
        <v>588</v>
      </c>
      <c r="D804" s="93" t="s">
        <v>4944</v>
      </c>
      <c r="E804" s="48" t="str">
        <f t="shared" si="0"/>
        <v>Chula Vista</v>
      </c>
      <c r="F804" s="83" t="str">
        <f t="shared" si="1"/>
        <v>Mater Dei Catholic (Chula Vista),CA</v>
      </c>
      <c r="G804" s="60" t="s">
        <v>4946</v>
      </c>
      <c r="H804" s="60">
        <v>32.620458800000002</v>
      </c>
      <c r="I804" s="60">
        <v>-116.9763305</v>
      </c>
      <c r="J804" s="60" t="str">
        <f ca="1">IFERROR(__xludf.DUMMYFUNCTION("SPLIT(G804,"","")"),"1615 Mater Dei Dr")</f>
        <v>1615 Mater Dei Dr</v>
      </c>
      <c r="K804" s="2" t="str">
        <f ca="1">IFERROR(__xludf.DUMMYFUNCTION("""COMPUTED_VALUE""")," Chula Vista")</f>
        <v xml:space="preserve"> Chula Vista</v>
      </c>
      <c r="L804" s="2" t="str">
        <f ca="1">IFERROR(__xludf.DUMMYFUNCTION("""COMPUTED_VALUE""")," CA 91913")</f>
        <v xml:space="preserve"> CA 91913</v>
      </c>
      <c r="M804" s="2" t="str">
        <f ca="1">IFERROR(__xludf.DUMMYFUNCTION("""COMPUTED_VALUE""")," USA")</f>
        <v xml:space="preserve"> USA</v>
      </c>
      <c r="P804" s="60"/>
    </row>
    <row r="805" spans="1:16">
      <c r="A805" s="65">
        <v>804</v>
      </c>
      <c r="B805" s="80" t="s">
        <v>4949</v>
      </c>
      <c r="C805" s="65" t="s">
        <v>595</v>
      </c>
      <c r="D805" s="93" t="s">
        <v>4950</v>
      </c>
      <c r="E805" s="48" t="str">
        <f t="shared" si="0"/>
        <v>Tomball</v>
      </c>
      <c r="F805" s="83" t="str">
        <f t="shared" si="1"/>
        <v>Concordia Lutheran (Tomball),TX</v>
      </c>
      <c r="G805" s="65" t="s">
        <v>4951</v>
      </c>
      <c r="H805" s="65">
        <v>30.099874400000001</v>
      </c>
      <c r="I805" s="65">
        <v>-95.606239500000001</v>
      </c>
      <c r="J805" s="60" t="str">
        <f ca="1">IFERROR(__xludf.DUMMYFUNCTION("SPLIT(G805,"","")"),"700 E Main St")</f>
        <v>700 E Main St</v>
      </c>
      <c r="K805" s="2" t="str">
        <f ca="1">IFERROR(__xludf.DUMMYFUNCTION("""COMPUTED_VALUE""")," Tomball")</f>
        <v xml:space="preserve"> Tomball</v>
      </c>
      <c r="L805" s="2" t="str">
        <f ca="1">IFERROR(__xludf.DUMMYFUNCTION("""COMPUTED_VALUE""")," TX 77375")</f>
        <v xml:space="preserve"> TX 77375</v>
      </c>
      <c r="M805" s="2" t="str">
        <f ca="1">IFERROR(__xludf.DUMMYFUNCTION("""COMPUTED_VALUE""")," USA")</f>
        <v xml:space="preserve"> USA</v>
      </c>
      <c r="P805" s="60"/>
    </row>
    <row r="806" spans="1:16">
      <c r="A806" s="60">
        <v>805</v>
      </c>
      <c r="B806" s="79" t="s">
        <v>2137</v>
      </c>
      <c r="C806" s="60" t="s">
        <v>901</v>
      </c>
      <c r="D806" s="93" t="s">
        <v>4954</v>
      </c>
      <c r="E806" s="48" t="str">
        <f t="shared" si="0"/>
        <v>Russellville</v>
      </c>
      <c r="F806" s="83" t="str">
        <f t="shared" si="1"/>
        <v>Russellville,AR</v>
      </c>
      <c r="G806" s="60" t="s">
        <v>4956</v>
      </c>
      <c r="H806" s="60">
        <v>35.278417300000001</v>
      </c>
      <c r="I806" s="60">
        <v>-93.133785599999996</v>
      </c>
      <c r="J806" s="60" t="str">
        <f ca="1">IFERROR(__xludf.DUMMYFUNCTION("SPLIT(G806,"","")"),"102 W Main St")</f>
        <v>102 W Main St</v>
      </c>
      <c r="K806" s="2" t="str">
        <f ca="1">IFERROR(__xludf.DUMMYFUNCTION("""COMPUTED_VALUE""")," Russellville")</f>
        <v xml:space="preserve"> Russellville</v>
      </c>
      <c r="L806" s="2" t="str">
        <f ca="1">IFERROR(__xludf.DUMMYFUNCTION("""COMPUTED_VALUE""")," AR 72801")</f>
        <v xml:space="preserve"> AR 72801</v>
      </c>
      <c r="M806" s="2" t="str">
        <f ca="1">IFERROR(__xludf.DUMMYFUNCTION("""COMPUTED_VALUE""")," USA")</f>
        <v xml:space="preserve"> USA</v>
      </c>
      <c r="P806" s="60"/>
    </row>
    <row r="807" spans="1:16">
      <c r="A807" s="65">
        <v>806</v>
      </c>
      <c r="B807" s="80" t="s">
        <v>4959</v>
      </c>
      <c r="C807" s="65" t="s">
        <v>598</v>
      </c>
      <c r="D807" s="93" t="s">
        <v>4705</v>
      </c>
      <c r="E807" s="48" t="str">
        <f t="shared" si="0"/>
        <v>Augusta</v>
      </c>
      <c r="F807" s="83" t="str">
        <f t="shared" si="1"/>
        <v>Cross Creek (Augusta),GA</v>
      </c>
      <c r="G807" s="65" t="s">
        <v>4960</v>
      </c>
      <c r="H807" s="65">
        <v>33.355642600000003</v>
      </c>
      <c r="I807" s="65">
        <v>-82.000827600000008</v>
      </c>
      <c r="J807" s="60" t="str">
        <f ca="1">IFERROR(__xludf.DUMMYFUNCTION("SPLIT(G807,"","")"),"3855 Old Waynesboro Rd")</f>
        <v>3855 Old Waynesboro Rd</v>
      </c>
      <c r="K807" s="2" t="str">
        <f ca="1">IFERROR(__xludf.DUMMYFUNCTION("""COMPUTED_VALUE""")," Augusta")</f>
        <v xml:space="preserve"> Augusta</v>
      </c>
      <c r="L807" s="2" t="str">
        <f ca="1">IFERROR(__xludf.DUMMYFUNCTION("""COMPUTED_VALUE""")," GA 30906")</f>
        <v xml:space="preserve"> GA 30906</v>
      </c>
      <c r="M807" s="2" t="str">
        <f ca="1">IFERROR(__xludf.DUMMYFUNCTION("""COMPUTED_VALUE""")," USA")</f>
        <v xml:space="preserve"> USA</v>
      </c>
      <c r="P807" s="60"/>
    </row>
    <row r="808" spans="1:16">
      <c r="A808" s="60">
        <v>807</v>
      </c>
      <c r="B808" s="79" t="s">
        <v>4965</v>
      </c>
      <c r="C808" s="60" t="s">
        <v>606</v>
      </c>
      <c r="D808" s="93" t="s">
        <v>4966</v>
      </c>
      <c r="E808" s="48" t="str">
        <f t="shared" si="0"/>
        <v>Irmo</v>
      </c>
      <c r="F808" s="83" t="str">
        <f t="shared" si="1"/>
        <v>Irmo (Columbia),SC</v>
      </c>
      <c r="G808" s="60" t="s">
        <v>4968</v>
      </c>
      <c r="H808" s="60">
        <v>34.085982899999998</v>
      </c>
      <c r="I808" s="60">
        <v>-81.183151300000006</v>
      </c>
      <c r="J808" s="60" t="str">
        <f ca="1">IFERROR(__xludf.DUMMYFUNCTION("SPLIT(G808,"","")"),"1265 Lake Murray Blvd")</f>
        <v>1265 Lake Murray Blvd</v>
      </c>
      <c r="K808" s="2" t="str">
        <f ca="1">IFERROR(__xludf.DUMMYFUNCTION("""COMPUTED_VALUE""")," Irmo")</f>
        <v xml:space="preserve"> Irmo</v>
      </c>
      <c r="L808" s="2" t="str">
        <f ca="1">IFERROR(__xludf.DUMMYFUNCTION("""COMPUTED_VALUE""")," SC 29063")</f>
        <v xml:space="preserve"> SC 29063</v>
      </c>
      <c r="M808" s="2" t="str">
        <f ca="1">IFERROR(__xludf.DUMMYFUNCTION("""COMPUTED_VALUE""")," USA")</f>
        <v xml:space="preserve"> USA</v>
      </c>
      <c r="P808" s="60"/>
    </row>
    <row r="809" spans="1:16">
      <c r="A809" s="65">
        <v>808</v>
      </c>
      <c r="B809" s="80" t="s">
        <v>4971</v>
      </c>
      <c r="C809" s="65" t="s">
        <v>602</v>
      </c>
      <c r="D809" s="93" t="s">
        <v>4972</v>
      </c>
      <c r="E809" s="48" t="str">
        <f t="shared" si="0"/>
        <v>Gate City</v>
      </c>
      <c r="F809" s="83" t="str">
        <f t="shared" si="1"/>
        <v>Gate City,VA</v>
      </c>
      <c r="G809" s="65" t="s">
        <v>4974</v>
      </c>
      <c r="H809" s="65">
        <v>36.637877400000001</v>
      </c>
      <c r="I809" s="65">
        <v>-82.5809876</v>
      </c>
      <c r="J809" s="60" t="str">
        <f ca="1">IFERROR(__xludf.DUMMYFUNCTION("SPLIT(G809,"","")"),"242 W Jackson St")</f>
        <v>242 W Jackson St</v>
      </c>
      <c r="K809" s="2" t="str">
        <f ca="1">IFERROR(__xludf.DUMMYFUNCTION("""COMPUTED_VALUE""")," Gate City")</f>
        <v xml:space="preserve"> Gate City</v>
      </c>
      <c r="L809" s="2" t="str">
        <f ca="1">IFERROR(__xludf.DUMMYFUNCTION("""COMPUTED_VALUE""")," VA 24251")</f>
        <v xml:space="preserve"> VA 24251</v>
      </c>
      <c r="M809" s="2" t="str">
        <f ca="1">IFERROR(__xludf.DUMMYFUNCTION("""COMPUTED_VALUE""")," USA")</f>
        <v xml:space="preserve"> USA</v>
      </c>
      <c r="P809" s="60"/>
    </row>
    <row r="810" spans="1:16">
      <c r="A810" s="60">
        <v>809</v>
      </c>
      <c r="B810" s="79" t="s">
        <v>4976</v>
      </c>
      <c r="C810" s="60" t="s">
        <v>1055</v>
      </c>
      <c r="D810" s="93" t="s">
        <v>4978</v>
      </c>
      <c r="E810" s="48" t="str">
        <f t="shared" si="0"/>
        <v>Kingfisher</v>
      </c>
      <c r="F810" s="83" t="str">
        <f t="shared" si="1"/>
        <v>Kingfisher,OK</v>
      </c>
      <c r="G810" s="60" t="s">
        <v>4979</v>
      </c>
      <c r="H810" s="60">
        <v>35.861432000000001</v>
      </c>
      <c r="I810" s="60">
        <v>-97.931720299999995</v>
      </c>
      <c r="J810" s="60" t="str">
        <f ca="1">IFERROR(__xludf.DUMMYFUNCTION("SPLIT(G810,"","")"),"119 E Miles Ave")</f>
        <v>119 E Miles Ave</v>
      </c>
      <c r="K810" s="2" t="str">
        <f ca="1">IFERROR(__xludf.DUMMYFUNCTION("""COMPUTED_VALUE""")," Kingfisher")</f>
        <v xml:space="preserve"> Kingfisher</v>
      </c>
      <c r="L810" s="2" t="str">
        <f ca="1">IFERROR(__xludf.DUMMYFUNCTION("""COMPUTED_VALUE""")," OK 73750")</f>
        <v xml:space="preserve"> OK 73750</v>
      </c>
      <c r="M810" s="2" t="str">
        <f ca="1">IFERROR(__xludf.DUMMYFUNCTION("""COMPUTED_VALUE""")," USA")</f>
        <v xml:space="preserve"> USA</v>
      </c>
      <c r="P810" s="60"/>
    </row>
    <row r="811" spans="1:16">
      <c r="A811" s="65">
        <v>810</v>
      </c>
      <c r="B811" s="80" t="s">
        <v>4983</v>
      </c>
      <c r="C811" s="65" t="s">
        <v>618</v>
      </c>
      <c r="D811" s="93" t="s">
        <v>4984</v>
      </c>
      <c r="E811" s="48" t="str">
        <f t="shared" si="0"/>
        <v>Greensburg</v>
      </c>
      <c r="F811" s="83" t="str">
        <f t="shared" si="1"/>
        <v>Greensburg,IN</v>
      </c>
      <c r="G811" s="65" t="s">
        <v>4986</v>
      </c>
      <c r="H811" s="65">
        <v>39.337272200000001</v>
      </c>
      <c r="I811" s="65">
        <v>-85.483581000000001</v>
      </c>
      <c r="J811" s="60" t="str">
        <f ca="1">IFERROR(__xludf.DUMMYFUNCTION("SPLIT(G811,"","")"),"150 courthouse Square")</f>
        <v>150 courthouse Square</v>
      </c>
      <c r="K811" s="2" t="str">
        <f ca="1">IFERROR(__xludf.DUMMYFUNCTION("""COMPUTED_VALUE""")," Greensburg")</f>
        <v xml:space="preserve"> Greensburg</v>
      </c>
      <c r="L811" s="2" t="str">
        <f ca="1">IFERROR(__xludf.DUMMYFUNCTION("""COMPUTED_VALUE""")," IN 47240")</f>
        <v xml:space="preserve"> IN 47240</v>
      </c>
      <c r="M811" s="2" t="str">
        <f ca="1">IFERROR(__xludf.DUMMYFUNCTION("""COMPUTED_VALUE""")," USA")</f>
        <v xml:space="preserve"> USA</v>
      </c>
      <c r="P811" s="60"/>
    </row>
    <row r="812" spans="1:16">
      <c r="A812" s="60">
        <v>811</v>
      </c>
      <c r="B812" s="79" t="s">
        <v>4992</v>
      </c>
      <c r="C812" s="60" t="s">
        <v>1331</v>
      </c>
      <c r="D812" s="93" t="s">
        <v>4993</v>
      </c>
      <c r="E812" s="48" t="str">
        <f t="shared" si="0"/>
        <v>Preston</v>
      </c>
      <c r="F812" s="83" t="str">
        <f t="shared" si="1"/>
        <v>Preston,ID</v>
      </c>
      <c r="G812" s="60" t="s">
        <v>4995</v>
      </c>
      <c r="H812" s="60">
        <v>42.096313299999998</v>
      </c>
      <c r="I812" s="60">
        <v>-111.87661730000001</v>
      </c>
      <c r="J812" s="60" t="str">
        <f ca="1">IFERROR(__xludf.DUMMYFUNCTION("SPLIT(G812,"","")"),"2 N State St")</f>
        <v>2 N State St</v>
      </c>
      <c r="K812" s="2" t="str">
        <f ca="1">IFERROR(__xludf.DUMMYFUNCTION("""COMPUTED_VALUE""")," Preston")</f>
        <v xml:space="preserve"> Preston</v>
      </c>
      <c r="L812" s="2" t="str">
        <f ca="1">IFERROR(__xludf.DUMMYFUNCTION("""COMPUTED_VALUE""")," ID 83263")</f>
        <v xml:space="preserve"> ID 83263</v>
      </c>
      <c r="M812" s="2" t="str">
        <f ca="1">IFERROR(__xludf.DUMMYFUNCTION("""COMPUTED_VALUE""")," USA")</f>
        <v xml:space="preserve"> USA</v>
      </c>
      <c r="P812" s="60"/>
    </row>
    <row r="813" spans="1:16">
      <c r="A813" s="65">
        <v>812</v>
      </c>
      <c r="B813" s="80" t="s">
        <v>404</v>
      </c>
      <c r="C813" s="65" t="s">
        <v>136</v>
      </c>
      <c r="D813" s="93" t="s">
        <v>4999</v>
      </c>
      <c r="E813" s="48" t="str">
        <f t="shared" si="0"/>
        <v>Apopka</v>
      </c>
      <c r="F813" s="83" t="str">
        <f t="shared" si="1"/>
        <v>Apopka,FL</v>
      </c>
      <c r="G813" s="65" t="s">
        <v>5000</v>
      </c>
      <c r="H813" s="65">
        <v>28.6934076</v>
      </c>
      <c r="I813" s="65">
        <v>-81.5322149</v>
      </c>
      <c r="J813" s="60" t="str">
        <f ca="1">IFERROR(__xludf.DUMMYFUNCTION("SPLIT(G813,"","")"),"644 Lexington Pkwy")</f>
        <v>644 Lexington Pkwy</v>
      </c>
      <c r="K813" s="2" t="str">
        <f ca="1">IFERROR(__xludf.DUMMYFUNCTION("""COMPUTED_VALUE""")," Apopka")</f>
        <v xml:space="preserve"> Apopka</v>
      </c>
      <c r="L813" s="2" t="str">
        <f ca="1">IFERROR(__xludf.DUMMYFUNCTION("""COMPUTED_VALUE""")," FL 32712")</f>
        <v xml:space="preserve"> FL 32712</v>
      </c>
      <c r="M813" s="2" t="str">
        <f ca="1">IFERROR(__xludf.DUMMYFUNCTION("""COMPUTED_VALUE""")," USA")</f>
        <v xml:space="preserve"> USA</v>
      </c>
      <c r="P813" s="60"/>
    </row>
    <row r="814" spans="1:16">
      <c r="A814" s="60">
        <v>813</v>
      </c>
      <c r="B814" s="79" t="s">
        <v>5003</v>
      </c>
      <c r="C814" s="60" t="s">
        <v>593</v>
      </c>
      <c r="D814" s="93" t="s">
        <v>5004</v>
      </c>
      <c r="E814" s="48" t="str">
        <f t="shared" si="0"/>
        <v>Sparks</v>
      </c>
      <c r="F814" s="83" t="str">
        <f t="shared" si="1"/>
        <v>Spanish Springs (Sparks),NV</v>
      </c>
      <c r="G814" s="60" t="s">
        <v>5006</v>
      </c>
      <c r="H814" s="60">
        <v>39.534911200000003</v>
      </c>
      <c r="I814" s="60">
        <v>-119.7526886</v>
      </c>
      <c r="J814" s="60" t="str">
        <f ca="1">IFERROR(__xludf.DUMMYFUNCTION("SPLIT(G814,"","")"),"784 Victorian Ave")</f>
        <v>784 Victorian Ave</v>
      </c>
      <c r="K814" s="2" t="str">
        <f ca="1">IFERROR(__xludf.DUMMYFUNCTION("""COMPUTED_VALUE""")," Sparks")</f>
        <v xml:space="preserve"> Sparks</v>
      </c>
      <c r="L814" s="2" t="str">
        <f ca="1">IFERROR(__xludf.DUMMYFUNCTION("""COMPUTED_VALUE""")," NV 89431")</f>
        <v xml:space="preserve"> NV 89431</v>
      </c>
      <c r="M814" s="2" t="str">
        <f ca="1">IFERROR(__xludf.DUMMYFUNCTION("""COMPUTED_VALUE""")," USA")</f>
        <v xml:space="preserve"> USA</v>
      </c>
      <c r="P814" s="60"/>
    </row>
    <row r="815" spans="1:16">
      <c r="A815" s="65">
        <v>814</v>
      </c>
      <c r="B815" s="80" t="s">
        <v>5008</v>
      </c>
      <c r="C815" s="65" t="s">
        <v>897</v>
      </c>
      <c r="D815" s="93" t="s">
        <v>3094</v>
      </c>
      <c r="E815" s="48" t="str">
        <f t="shared" si="0"/>
        <v>Kansas City</v>
      </c>
      <c r="F815" s="83" t="str">
        <f t="shared" si="1"/>
        <v>Ruskin (Kansas City),MO</v>
      </c>
      <c r="G815" s="65" t="s">
        <v>5009</v>
      </c>
      <c r="H815" s="65">
        <v>38.922784700000001</v>
      </c>
      <c r="I815" s="65">
        <v>-94.51384259999999</v>
      </c>
      <c r="J815" s="60" t="str">
        <f ca="1">IFERROR(__xludf.DUMMYFUNCTION("SPLIT(G815,"","")"),"6603 E Red Bridge Rd")</f>
        <v>6603 E Red Bridge Rd</v>
      </c>
      <c r="K815" s="2" t="str">
        <f ca="1">IFERROR(__xludf.DUMMYFUNCTION("""COMPUTED_VALUE""")," Kansas City")</f>
        <v xml:space="preserve"> Kansas City</v>
      </c>
      <c r="L815" s="2" t="str">
        <f ca="1">IFERROR(__xludf.DUMMYFUNCTION("""COMPUTED_VALUE""")," MO 64134")</f>
        <v xml:space="preserve"> MO 64134</v>
      </c>
      <c r="M815" s="2" t="str">
        <f ca="1">IFERROR(__xludf.DUMMYFUNCTION("""COMPUTED_VALUE""")," USA")</f>
        <v xml:space="preserve"> USA</v>
      </c>
      <c r="P815" s="60"/>
    </row>
    <row r="816" spans="1:16">
      <c r="A816" s="60">
        <v>815</v>
      </c>
      <c r="B816" s="79" t="s">
        <v>5015</v>
      </c>
      <c r="C816" s="60" t="s">
        <v>1050</v>
      </c>
      <c r="D816" s="93" t="s">
        <v>5016</v>
      </c>
      <c r="E816" s="48" t="str">
        <f t="shared" si="0"/>
        <v>Ona</v>
      </c>
      <c r="F816" s="83" t="str">
        <f t="shared" si="1"/>
        <v>Cabell Midland (Ona),WV</v>
      </c>
      <c r="G816" s="60" t="s">
        <v>5019</v>
      </c>
      <c r="H816" s="60">
        <v>38.428628199999999</v>
      </c>
      <c r="I816" s="60">
        <v>-82.20818469999999</v>
      </c>
      <c r="J816" s="60" t="str">
        <f ca="1">IFERROR(__xludf.DUMMYFUNCTION("SPLIT(G816,"","")"),"2300 US-60")</f>
        <v>2300 US-60</v>
      </c>
      <c r="K816" s="2" t="str">
        <f ca="1">IFERROR(__xludf.DUMMYFUNCTION("""COMPUTED_VALUE""")," Ona")</f>
        <v xml:space="preserve"> Ona</v>
      </c>
      <c r="L816" s="2" t="str">
        <f ca="1">IFERROR(__xludf.DUMMYFUNCTION("""COMPUTED_VALUE""")," WV 25545")</f>
        <v xml:space="preserve"> WV 25545</v>
      </c>
      <c r="M816" s="2" t="str">
        <f ca="1">IFERROR(__xludf.DUMMYFUNCTION("""COMPUTED_VALUE""")," USA")</f>
        <v xml:space="preserve"> USA</v>
      </c>
      <c r="P816" s="60"/>
    </row>
    <row r="817" spans="1:16">
      <c r="A817" s="65">
        <v>816</v>
      </c>
      <c r="B817" s="80" t="s">
        <v>529</v>
      </c>
      <c r="C817" s="65" t="s">
        <v>618</v>
      </c>
      <c r="D817" s="93" t="s">
        <v>5022</v>
      </c>
      <c r="E817" s="48" t="str">
        <f t="shared" si="0"/>
        <v>Danville</v>
      </c>
      <c r="F817" s="83" t="str">
        <f t="shared" si="1"/>
        <v>Danville,IN</v>
      </c>
      <c r="G817" s="65" t="s">
        <v>5024</v>
      </c>
      <c r="H817" s="65">
        <v>39.760601299999998</v>
      </c>
      <c r="I817" s="65">
        <v>-86.526387900000003</v>
      </c>
      <c r="J817" s="60" t="str">
        <f ca="1">IFERROR(__xludf.DUMMYFUNCTION("SPLIT(G817,"","")"),"205 W Main St")</f>
        <v>205 W Main St</v>
      </c>
      <c r="K817" s="2" t="str">
        <f ca="1">IFERROR(__xludf.DUMMYFUNCTION("""COMPUTED_VALUE""")," Danville")</f>
        <v xml:space="preserve"> Danville</v>
      </c>
      <c r="L817" s="2" t="str">
        <f ca="1">IFERROR(__xludf.DUMMYFUNCTION("""COMPUTED_VALUE""")," IN 46122")</f>
        <v xml:space="preserve"> IN 46122</v>
      </c>
      <c r="M817" s="2" t="str">
        <f ca="1">IFERROR(__xludf.DUMMYFUNCTION("""COMPUTED_VALUE""")," USA")</f>
        <v xml:space="preserve"> USA</v>
      </c>
      <c r="P817" s="60"/>
    </row>
    <row r="818" spans="1:16">
      <c r="A818" s="60">
        <v>817</v>
      </c>
      <c r="B818" s="79" t="s">
        <v>5028</v>
      </c>
      <c r="C818" s="60" t="s">
        <v>940</v>
      </c>
      <c r="D818" s="93" t="s">
        <v>5029</v>
      </c>
      <c r="E818" s="48" t="str">
        <f t="shared" si="0"/>
        <v>Grand Island</v>
      </c>
      <c r="F818" s="83" t="str">
        <f t="shared" si="1"/>
        <v>Grand Island Central Catholic (Grand Island),NE</v>
      </c>
      <c r="G818" s="60" t="s">
        <v>5031</v>
      </c>
      <c r="H818" s="60">
        <v>40.930374999999998</v>
      </c>
      <c r="I818" s="60">
        <v>-98.364629999999991</v>
      </c>
      <c r="J818" s="60" t="str">
        <f ca="1">IFERROR(__xludf.DUMMYFUNCTION("SPLIT(G818,"","")"),"1200 N Ruby Ave")</f>
        <v>1200 N Ruby Ave</v>
      </c>
      <c r="K818" s="2" t="str">
        <f ca="1">IFERROR(__xludf.DUMMYFUNCTION("""COMPUTED_VALUE""")," Grand Island")</f>
        <v xml:space="preserve"> Grand Island</v>
      </c>
      <c r="L818" s="2" t="str">
        <f ca="1">IFERROR(__xludf.DUMMYFUNCTION("""COMPUTED_VALUE""")," NE 68803")</f>
        <v xml:space="preserve"> NE 68803</v>
      </c>
      <c r="M818" s="2" t="str">
        <f ca="1">IFERROR(__xludf.DUMMYFUNCTION("""COMPUTED_VALUE""")," USA")</f>
        <v xml:space="preserve"> USA</v>
      </c>
      <c r="P818" s="60"/>
    </row>
    <row r="819" spans="1:16">
      <c r="A819" s="65">
        <v>818</v>
      </c>
      <c r="B819" s="80" t="s">
        <v>5035</v>
      </c>
      <c r="C819" s="65" t="s">
        <v>179</v>
      </c>
      <c r="D819" s="93" t="s">
        <v>2910</v>
      </c>
      <c r="E819" s="48" t="str">
        <f t="shared" si="0"/>
        <v>Charlotte</v>
      </c>
      <c r="F819" s="83" t="str">
        <f t="shared" si="1"/>
        <v>Northside Christian Academy (Charlotte),NC</v>
      </c>
      <c r="G819" s="65" t="s">
        <v>5037</v>
      </c>
      <c r="H819" s="65">
        <v>35.284616999999997</v>
      </c>
      <c r="I819" s="65">
        <v>-80.783528099999998</v>
      </c>
      <c r="J819" s="60" t="str">
        <f ca="1">IFERROR(__xludf.DUMMYFUNCTION("SPLIT(G819,"","")"),"333 Jeremiah Blvd")</f>
        <v>333 Jeremiah Blvd</v>
      </c>
      <c r="K819" s="2" t="str">
        <f ca="1">IFERROR(__xludf.DUMMYFUNCTION("""COMPUTED_VALUE""")," Charlotte")</f>
        <v xml:space="preserve"> Charlotte</v>
      </c>
      <c r="L819" s="2" t="str">
        <f ca="1">IFERROR(__xludf.DUMMYFUNCTION("""COMPUTED_VALUE""")," NC 28262")</f>
        <v xml:space="preserve"> NC 28262</v>
      </c>
      <c r="M819" s="2" t="str">
        <f ca="1">IFERROR(__xludf.DUMMYFUNCTION("""COMPUTED_VALUE""")," USA")</f>
        <v xml:space="preserve"> USA</v>
      </c>
      <c r="P819" s="60"/>
    </row>
    <row r="820" spans="1:16">
      <c r="A820" s="60">
        <v>819</v>
      </c>
      <c r="B820" s="79" t="s">
        <v>5039</v>
      </c>
      <c r="C820" s="60" t="s">
        <v>136</v>
      </c>
      <c r="D820" s="93" t="s">
        <v>1122</v>
      </c>
      <c r="E820" s="48" t="str">
        <f t="shared" si="0"/>
        <v>Tallahassee</v>
      </c>
      <c r="F820" s="83" t="str">
        <f t="shared" si="1"/>
        <v>Florida State University High School (Tallahassee),FL</v>
      </c>
      <c r="G820" s="60" t="s">
        <v>5041</v>
      </c>
      <c r="H820" s="60">
        <v>30.384022999999999</v>
      </c>
      <c r="I820" s="60">
        <v>-84.222535999999991</v>
      </c>
      <c r="J820" s="60" t="str">
        <f ca="1">IFERROR(__xludf.DUMMYFUNCTION("SPLIT(G820,"","")"),"3000 School House Rd")</f>
        <v>3000 School House Rd</v>
      </c>
      <c r="K820" s="2" t="str">
        <f ca="1">IFERROR(__xludf.DUMMYFUNCTION("""COMPUTED_VALUE""")," Tallahassee")</f>
        <v xml:space="preserve"> Tallahassee</v>
      </c>
      <c r="L820" s="2" t="str">
        <f ca="1">IFERROR(__xludf.DUMMYFUNCTION("""COMPUTED_VALUE""")," FL 32311")</f>
        <v xml:space="preserve"> FL 32311</v>
      </c>
      <c r="M820" s="2" t="str">
        <f ca="1">IFERROR(__xludf.DUMMYFUNCTION("""COMPUTED_VALUE""")," USA")</f>
        <v xml:space="preserve"> USA</v>
      </c>
      <c r="P820" s="60"/>
    </row>
    <row r="821" spans="1:16">
      <c r="A821" s="65">
        <v>820</v>
      </c>
      <c r="B821" s="80" t="s">
        <v>5044</v>
      </c>
      <c r="C821" s="65" t="s">
        <v>682</v>
      </c>
      <c r="D821" s="93" t="s">
        <v>5045</v>
      </c>
      <c r="E821" s="48" t="str">
        <f t="shared" si="0"/>
        <v>Wauwatosa</v>
      </c>
      <c r="F821" s="83" t="str">
        <f t="shared" si="1"/>
        <v>Wauwatosa West (Wauwatosa),WI</v>
      </c>
      <c r="G821" s="65" t="s">
        <v>5046</v>
      </c>
      <c r="H821" s="65">
        <v>43.068360699999999</v>
      </c>
      <c r="I821" s="65">
        <v>-88.055452000000002</v>
      </c>
      <c r="J821" s="60" t="str">
        <f ca="1">IFERROR(__xludf.DUMMYFUNCTION("SPLIT(G821,"","")"),"Center &amp; N114")</f>
        <v>Center &amp; N114</v>
      </c>
      <c r="K821" s="2" t="str">
        <f ca="1">IFERROR(__xludf.DUMMYFUNCTION("""COMPUTED_VALUE""")," Wauwatosa")</f>
        <v xml:space="preserve"> Wauwatosa</v>
      </c>
      <c r="L821" s="2" t="str">
        <f ca="1">IFERROR(__xludf.DUMMYFUNCTION("""COMPUTED_VALUE""")," WI 53222")</f>
        <v xml:space="preserve"> WI 53222</v>
      </c>
      <c r="M821" s="2" t="str">
        <f ca="1">IFERROR(__xludf.DUMMYFUNCTION("""COMPUTED_VALUE""")," USA")</f>
        <v xml:space="preserve"> USA</v>
      </c>
      <c r="P821" s="60"/>
    </row>
    <row r="822" spans="1:16">
      <c r="A822" s="60">
        <v>821</v>
      </c>
      <c r="B822" s="79" t="s">
        <v>5051</v>
      </c>
      <c r="C822" s="60" t="s">
        <v>588</v>
      </c>
      <c r="D822" s="93" t="s">
        <v>1401</v>
      </c>
      <c r="E822" s="48" t="str">
        <f t="shared" si="0"/>
        <v>Riverside</v>
      </c>
      <c r="F822" s="83" t="str">
        <f t="shared" si="1"/>
        <v>Hillcrest (Riverside),CA</v>
      </c>
      <c r="G822" s="60" t="s">
        <v>5055</v>
      </c>
      <c r="H822" s="60">
        <v>33.889941999999998</v>
      </c>
      <c r="I822" s="60">
        <v>-117.4844324</v>
      </c>
      <c r="J822" s="60" t="str">
        <f ca="1">IFERROR(__xludf.DUMMYFUNCTION("SPLIT(G822,"","")"),"11800 Indiana Ave")</f>
        <v>11800 Indiana Ave</v>
      </c>
      <c r="K822" s="2" t="str">
        <f ca="1">IFERROR(__xludf.DUMMYFUNCTION("""COMPUTED_VALUE""")," Riverside")</f>
        <v xml:space="preserve"> Riverside</v>
      </c>
      <c r="L822" s="2" t="str">
        <f ca="1">IFERROR(__xludf.DUMMYFUNCTION("""COMPUTED_VALUE""")," CA 92503")</f>
        <v xml:space="preserve"> CA 92503</v>
      </c>
      <c r="M822" s="2" t="str">
        <f ca="1">IFERROR(__xludf.DUMMYFUNCTION("""COMPUTED_VALUE""")," USA")</f>
        <v xml:space="preserve"> USA</v>
      </c>
      <c r="P822" s="60"/>
    </row>
    <row r="823" spans="1:16">
      <c r="A823" s="65">
        <v>822</v>
      </c>
      <c r="B823" s="80" t="s">
        <v>5058</v>
      </c>
      <c r="C823" s="65" t="s">
        <v>97</v>
      </c>
      <c r="D823" s="93" t="s">
        <v>1148</v>
      </c>
      <c r="E823" s="48" t="str">
        <f t="shared" si="0"/>
        <v>Odessa</v>
      </c>
      <c r="F823" s="83" t="str">
        <f t="shared" si="1"/>
        <v>Appoquinimink (West Middletown),DE</v>
      </c>
      <c r="G823" s="65" t="s">
        <v>5060</v>
      </c>
      <c r="H823" s="65">
        <v>39.458180499999997</v>
      </c>
      <c r="I823" s="65">
        <v>-75.667355999999998</v>
      </c>
      <c r="J823" s="60" t="str">
        <f ca="1">IFERROR(__xludf.DUMMYFUNCTION("SPLIT(G823,"","")"),"631 Main St")</f>
        <v>631 Main St</v>
      </c>
      <c r="K823" s="2" t="str">
        <f ca="1">IFERROR(__xludf.DUMMYFUNCTION("""COMPUTED_VALUE""")," Odessa")</f>
        <v xml:space="preserve"> Odessa</v>
      </c>
      <c r="L823" s="2" t="str">
        <f ca="1">IFERROR(__xludf.DUMMYFUNCTION("""COMPUTED_VALUE""")," DE 19730")</f>
        <v xml:space="preserve"> DE 19730</v>
      </c>
      <c r="M823" s="2" t="str">
        <f ca="1">IFERROR(__xludf.DUMMYFUNCTION("""COMPUTED_VALUE""")," USA")</f>
        <v xml:space="preserve"> USA</v>
      </c>
      <c r="P823" s="60"/>
    </row>
    <row r="824" spans="1:16">
      <c r="A824" s="60">
        <v>823</v>
      </c>
      <c r="B824" s="79" t="s">
        <v>5064</v>
      </c>
      <c r="C824" s="60" t="s">
        <v>70</v>
      </c>
      <c r="D824" s="93" t="s">
        <v>3334</v>
      </c>
      <c r="E824" s="48" t="str">
        <f t="shared" si="0"/>
        <v>Anchorage</v>
      </c>
      <c r="F824" s="83" t="str">
        <f t="shared" si="1"/>
        <v>Dimond (Anchorage),AK</v>
      </c>
      <c r="G824" s="60" t="s">
        <v>5066</v>
      </c>
      <c r="H824" s="60">
        <v>61.144615999999999</v>
      </c>
      <c r="I824" s="60">
        <v>-149.8607532</v>
      </c>
      <c r="J824" s="60" t="str">
        <f ca="1">IFERROR(__xludf.DUMMYFUNCTION("SPLIT(G824,"","")"),"1113 E Dimond Blvd")</f>
        <v>1113 E Dimond Blvd</v>
      </c>
      <c r="K824" s="2" t="str">
        <f ca="1">IFERROR(__xludf.DUMMYFUNCTION("""COMPUTED_VALUE""")," Anchorage")</f>
        <v xml:space="preserve"> Anchorage</v>
      </c>
      <c r="L824" s="2" t="str">
        <f ca="1">IFERROR(__xludf.DUMMYFUNCTION("""COMPUTED_VALUE""")," AK 99515")</f>
        <v xml:space="preserve"> AK 99515</v>
      </c>
      <c r="M824" s="2" t="str">
        <f ca="1">IFERROR(__xludf.DUMMYFUNCTION("""COMPUTED_VALUE""")," USA")</f>
        <v xml:space="preserve"> USA</v>
      </c>
      <c r="P824" s="60"/>
    </row>
    <row r="825" spans="1:16">
      <c r="A825" s="65">
        <v>824</v>
      </c>
      <c r="B825" s="80" t="s">
        <v>5069</v>
      </c>
      <c r="C825" s="65" t="s">
        <v>183</v>
      </c>
      <c r="D825" s="93" t="s">
        <v>5070</v>
      </c>
      <c r="E825" s="48" t="str">
        <f t="shared" si="0"/>
        <v>Marcy</v>
      </c>
      <c r="F825" s="83" t="str">
        <f t="shared" si="1"/>
        <v>Whitesboro (Marcy),NY</v>
      </c>
      <c r="G825" s="65" t="s">
        <v>5071</v>
      </c>
      <c r="H825" s="65">
        <v>43.151343099999998</v>
      </c>
      <c r="I825" s="65">
        <v>-75.289290399999999</v>
      </c>
      <c r="J825" s="60" t="str">
        <f ca="1">IFERROR(__xludf.DUMMYFUNCTION("SPLIT(G825,"","")"),"6000 NY-291")</f>
        <v>6000 NY-291</v>
      </c>
      <c r="K825" s="2" t="str">
        <f ca="1">IFERROR(__xludf.DUMMYFUNCTION("""COMPUTED_VALUE""")," Marcy")</f>
        <v xml:space="preserve"> Marcy</v>
      </c>
      <c r="L825" s="2" t="str">
        <f ca="1">IFERROR(__xludf.DUMMYFUNCTION("""COMPUTED_VALUE""")," NY 13403")</f>
        <v xml:space="preserve"> NY 13403</v>
      </c>
      <c r="M825" s="2" t="str">
        <f ca="1">IFERROR(__xludf.DUMMYFUNCTION("""COMPUTED_VALUE""")," USA")</f>
        <v xml:space="preserve"> USA</v>
      </c>
      <c r="P825" s="60"/>
    </row>
    <row r="826" spans="1:16">
      <c r="A826" s="97">
        <v>825</v>
      </c>
      <c r="B826" s="99" t="s">
        <v>5074</v>
      </c>
      <c r="C826" s="97" t="s">
        <v>183</v>
      </c>
      <c r="D826" s="93" t="s">
        <v>5075</v>
      </c>
      <c r="E826" s="48" t="str">
        <f t="shared" si="0"/>
        <v>Suffern</v>
      </c>
      <c r="F826" s="83" t="str">
        <f t="shared" si="1"/>
        <v>Suffern,NY</v>
      </c>
      <c r="G826" s="97" t="s">
        <v>5076</v>
      </c>
      <c r="H826" s="97">
        <v>41.114817899999998</v>
      </c>
      <c r="I826" s="97">
        <v>-74.149588899999998</v>
      </c>
      <c r="J826" s="60" t="str">
        <f ca="1">IFERROR(__xludf.DUMMYFUNCTION("SPLIT(G826,"","")"),"139 Lafayette Avenue")</f>
        <v>139 Lafayette Avenue</v>
      </c>
      <c r="K826" s="2" t="str">
        <f ca="1">IFERROR(__xludf.DUMMYFUNCTION("""COMPUTED_VALUE""")," PO Box 177")</f>
        <v xml:space="preserve"> PO Box 177</v>
      </c>
      <c r="L826" s="2" t="str">
        <f ca="1">IFERROR(__xludf.DUMMYFUNCTION("""COMPUTED_VALUE""")," Suffern")</f>
        <v xml:space="preserve"> Suffern</v>
      </c>
      <c r="M826" s="2" t="str">
        <f ca="1">IFERROR(__xludf.DUMMYFUNCTION("""COMPUTED_VALUE""")," NY 10901")</f>
        <v xml:space="preserve"> NY 10901</v>
      </c>
      <c r="N826" s="2" t="str">
        <f ca="1">IFERROR(__xludf.DUMMYFUNCTION("""COMPUTED_VALUE""")," USA")</f>
        <v xml:space="preserve"> USA</v>
      </c>
      <c r="P826" s="60"/>
    </row>
    <row r="827" spans="1:16">
      <c r="A827" s="60">
        <v>826</v>
      </c>
      <c r="B827" s="79" t="s">
        <v>5078</v>
      </c>
      <c r="C827" s="60" t="s">
        <v>588</v>
      </c>
      <c r="D827" s="93" t="s">
        <v>5079</v>
      </c>
      <c r="E827" s="48" t="str">
        <f t="shared" si="0"/>
        <v>Palm Springs</v>
      </c>
      <c r="F827" s="83" t="str">
        <f t="shared" si="1"/>
        <v>Palm Springs,CA</v>
      </c>
      <c r="G827" s="60" t="s">
        <v>5081</v>
      </c>
      <c r="H827" s="60">
        <v>33.830296099999998</v>
      </c>
      <c r="I827" s="60">
        <v>-116.5452921</v>
      </c>
      <c r="J827" s="60" t="str">
        <f ca="1">IFERROR(__xludf.DUMMYFUNCTION("SPLIT(G827,"","")"),"201 E Alejo Rd")</f>
        <v>201 E Alejo Rd</v>
      </c>
      <c r="K827" s="2" t="str">
        <f ca="1">IFERROR(__xludf.DUMMYFUNCTION("""COMPUTED_VALUE""")," Palm Springs")</f>
        <v xml:space="preserve"> Palm Springs</v>
      </c>
      <c r="L827" s="2" t="str">
        <f ca="1">IFERROR(__xludf.DUMMYFUNCTION("""COMPUTED_VALUE""")," CA 92262")</f>
        <v xml:space="preserve"> CA 92262</v>
      </c>
      <c r="M827" s="2" t="str">
        <f ca="1">IFERROR(__xludf.DUMMYFUNCTION("""COMPUTED_VALUE""")," USA")</f>
        <v xml:space="preserve"> USA</v>
      </c>
      <c r="P827" s="60"/>
    </row>
    <row r="828" spans="1:16">
      <c r="A828" s="65">
        <v>827</v>
      </c>
      <c r="B828" s="80" t="s">
        <v>5084</v>
      </c>
      <c r="C828" s="65" t="s">
        <v>693</v>
      </c>
      <c r="D828" s="93" t="s">
        <v>3208</v>
      </c>
      <c r="E828" s="48" t="str">
        <f t="shared" si="0"/>
        <v>Hattiesburg</v>
      </c>
      <c r="F828" s="83" t="str">
        <f t="shared" si="1"/>
        <v>Hattiesburg,MS</v>
      </c>
      <c r="G828" s="65" t="s">
        <v>5086</v>
      </c>
      <c r="H828" s="65">
        <v>31.327118899999999</v>
      </c>
      <c r="I828" s="65">
        <v>-89.290339199999991</v>
      </c>
      <c r="J828" s="60" t="str">
        <f ca="1">IFERROR(__xludf.DUMMYFUNCTION("SPLIT(G828,"","")"),"101117 Hardy St")</f>
        <v>101117 Hardy St</v>
      </c>
      <c r="K828" s="2" t="str">
        <f ca="1">IFERROR(__xludf.DUMMYFUNCTION("""COMPUTED_VALUE""")," Hattiesburg")</f>
        <v xml:space="preserve"> Hattiesburg</v>
      </c>
      <c r="L828" s="2" t="str">
        <f ca="1">IFERROR(__xludf.DUMMYFUNCTION("""COMPUTED_VALUE""")," MS 39401")</f>
        <v xml:space="preserve"> MS 39401</v>
      </c>
      <c r="M828" s="2" t="str">
        <f ca="1">IFERROR(__xludf.DUMMYFUNCTION("""COMPUTED_VALUE""")," USA")</f>
        <v xml:space="preserve"> USA</v>
      </c>
      <c r="P828" s="60"/>
    </row>
    <row r="829" spans="1:16">
      <c r="A829" s="60">
        <v>828</v>
      </c>
      <c r="B829" s="79" t="s">
        <v>5089</v>
      </c>
      <c r="C829" s="60" t="s">
        <v>1055</v>
      </c>
      <c r="D829" s="93" t="s">
        <v>5090</v>
      </c>
      <c r="E829" s="48" t="str">
        <f t="shared" si="0"/>
        <v>Sand Springs</v>
      </c>
      <c r="F829" s="83" t="str">
        <f t="shared" si="1"/>
        <v>Page (Sand Springs),OK</v>
      </c>
      <c r="G829" s="60" t="s">
        <v>5091</v>
      </c>
      <c r="H829" s="60">
        <v>36.142100200000002</v>
      </c>
      <c r="I829" s="60">
        <v>-96.083406599999989</v>
      </c>
      <c r="J829" s="60" t="str">
        <f ca="1">IFERROR(__xludf.DUMMYFUNCTION("SPLIT(G829,"","")"),"1399 E Charles Page Blvd")</f>
        <v>1399 E Charles Page Blvd</v>
      </c>
      <c r="K829" s="2" t="str">
        <f ca="1">IFERROR(__xludf.DUMMYFUNCTION("""COMPUTED_VALUE""")," Sand Springs")</f>
        <v xml:space="preserve"> Sand Springs</v>
      </c>
      <c r="L829" s="2" t="str">
        <f ca="1">IFERROR(__xludf.DUMMYFUNCTION("""COMPUTED_VALUE""")," OK 74063")</f>
        <v xml:space="preserve"> OK 74063</v>
      </c>
      <c r="M829" s="2" t="str">
        <f ca="1">IFERROR(__xludf.DUMMYFUNCTION("""COMPUTED_VALUE""")," USA")</f>
        <v xml:space="preserve"> USA</v>
      </c>
      <c r="P829" s="60"/>
    </row>
    <row r="830" spans="1:16">
      <c r="A830" s="65">
        <v>829</v>
      </c>
      <c r="B830" s="80" t="s">
        <v>5094</v>
      </c>
      <c r="C830" s="65" t="s">
        <v>1210</v>
      </c>
      <c r="D830" s="93" t="s">
        <v>5095</v>
      </c>
      <c r="E830" s="48" t="str">
        <f t="shared" si="0"/>
        <v>St Johnsbury</v>
      </c>
      <c r="F830" s="83" t="str">
        <f t="shared" si="1"/>
        <v>St. Johnsbury Academy (St. Johnsbury),VT</v>
      </c>
      <c r="G830" s="65" t="s">
        <v>5097</v>
      </c>
      <c r="H830" s="65">
        <v>44.416193</v>
      </c>
      <c r="I830" s="65">
        <v>-72.019289000000001</v>
      </c>
      <c r="J830" s="60" t="str">
        <f ca="1">IFERROR(__xludf.DUMMYFUNCTION("SPLIT(G830,"","")"),"1000 Main St")</f>
        <v>1000 Main St</v>
      </c>
      <c r="K830" s="2" t="str">
        <f ca="1">IFERROR(__xludf.DUMMYFUNCTION("""COMPUTED_VALUE""")," St Johnsbury")</f>
        <v xml:space="preserve"> St Johnsbury</v>
      </c>
      <c r="L830" s="2" t="str">
        <f ca="1">IFERROR(__xludf.DUMMYFUNCTION("""COMPUTED_VALUE""")," VT 05819")</f>
        <v xml:space="preserve"> VT 05819</v>
      </c>
      <c r="M830" s="2" t="str">
        <f ca="1">IFERROR(__xludf.DUMMYFUNCTION("""COMPUTED_VALUE""")," USA")</f>
        <v xml:space="preserve"> USA</v>
      </c>
      <c r="P830" s="60"/>
    </row>
    <row r="831" spans="1:16">
      <c r="A831" s="60">
        <v>830</v>
      </c>
      <c r="B831" s="79" t="s">
        <v>5100</v>
      </c>
      <c r="C831" s="60" t="s">
        <v>940</v>
      </c>
      <c r="D831" s="93" t="s">
        <v>4339</v>
      </c>
      <c r="E831" s="48" t="str">
        <f t="shared" si="0"/>
        <v>Hastings</v>
      </c>
      <c r="F831" s="83" t="str">
        <f t="shared" si="1"/>
        <v>Hastings,NE</v>
      </c>
      <c r="G831" s="60" t="s">
        <v>5102</v>
      </c>
      <c r="H831" s="60">
        <v>40.586258299999997</v>
      </c>
      <c r="I831" s="60">
        <v>-98.38987259999999</v>
      </c>
      <c r="J831" s="60" t="str">
        <f ca="1">IFERROR(__xludf.DUMMYFUNCTION("SPLIT(G831,"","")"),"630 W 3rd St")</f>
        <v>630 W 3rd St</v>
      </c>
      <c r="K831" s="2" t="str">
        <f ca="1">IFERROR(__xludf.DUMMYFUNCTION("""COMPUTED_VALUE""")," Hastings")</f>
        <v xml:space="preserve"> Hastings</v>
      </c>
      <c r="L831" s="2" t="str">
        <f ca="1">IFERROR(__xludf.DUMMYFUNCTION("""COMPUTED_VALUE""")," NE 68901")</f>
        <v xml:space="preserve"> NE 68901</v>
      </c>
      <c r="M831" s="2" t="str">
        <f ca="1">IFERROR(__xludf.DUMMYFUNCTION("""COMPUTED_VALUE""")," USA")</f>
        <v xml:space="preserve"> USA</v>
      </c>
      <c r="P831" s="60"/>
    </row>
    <row r="832" spans="1:16">
      <c r="A832" s="65">
        <v>831</v>
      </c>
      <c r="B832" s="80" t="s">
        <v>5104</v>
      </c>
      <c r="C832" s="65" t="s">
        <v>675</v>
      </c>
      <c r="D832" s="93" t="s">
        <v>5105</v>
      </c>
      <c r="E832" s="48" t="str">
        <f t="shared" si="0"/>
        <v>Glen Mills</v>
      </c>
      <c r="F832" s="83" t="str">
        <f t="shared" si="1"/>
        <v>Garnet Valley (Glen Mills),PA</v>
      </c>
      <c r="G832" s="65" t="s">
        <v>5106</v>
      </c>
      <c r="H832" s="65">
        <v>39.862258199999999</v>
      </c>
      <c r="I832" s="65">
        <v>-75.504376100000016</v>
      </c>
      <c r="J832" s="60" t="str">
        <f ca="1">IFERROR(__xludf.DUMMYFUNCTION("SPLIT(G832,"","")"),"171 Bethel Rd")</f>
        <v>171 Bethel Rd</v>
      </c>
      <c r="K832" s="2" t="str">
        <f ca="1">IFERROR(__xludf.DUMMYFUNCTION("""COMPUTED_VALUE""")," Glen Mills")</f>
        <v xml:space="preserve"> Glen Mills</v>
      </c>
      <c r="L832" s="2" t="str">
        <f ca="1">IFERROR(__xludf.DUMMYFUNCTION("""COMPUTED_VALUE""")," PA 19342")</f>
        <v xml:space="preserve"> PA 19342</v>
      </c>
      <c r="M832" s="2" t="str">
        <f ca="1">IFERROR(__xludf.DUMMYFUNCTION("""COMPUTED_VALUE""")," USA")</f>
        <v xml:space="preserve"> USA</v>
      </c>
      <c r="P832" s="60"/>
    </row>
    <row r="833" spans="1:16">
      <c r="A833" s="60">
        <v>832</v>
      </c>
      <c r="B833" s="79" t="s">
        <v>5107</v>
      </c>
      <c r="C833" s="60" t="s">
        <v>608</v>
      </c>
      <c r="D833" s="93" t="s">
        <v>5108</v>
      </c>
      <c r="E833" s="48" t="str">
        <f t="shared" si="0"/>
        <v>Chaska</v>
      </c>
      <c r="F833" s="83" t="str">
        <f t="shared" si="1"/>
        <v>Chaska,MN</v>
      </c>
      <c r="G833" s="60" t="s">
        <v>5109</v>
      </c>
      <c r="H833" s="60">
        <v>44.7893446</v>
      </c>
      <c r="I833" s="60">
        <v>-93.60183889999999</v>
      </c>
      <c r="J833" s="60" t="str">
        <f ca="1">IFERROR(__xludf.DUMMYFUNCTION("SPLIT(G833,"","")"),"3230 Chaska Blvd")</f>
        <v>3230 Chaska Blvd</v>
      </c>
      <c r="K833" s="2" t="str">
        <f ca="1">IFERROR(__xludf.DUMMYFUNCTION("""COMPUTED_VALUE""")," Chaska")</f>
        <v xml:space="preserve"> Chaska</v>
      </c>
      <c r="L833" s="2" t="str">
        <f ca="1">IFERROR(__xludf.DUMMYFUNCTION("""COMPUTED_VALUE""")," MN 55318")</f>
        <v xml:space="preserve"> MN 55318</v>
      </c>
      <c r="M833" s="2" t="str">
        <f ca="1">IFERROR(__xludf.DUMMYFUNCTION("""COMPUTED_VALUE""")," USA")</f>
        <v xml:space="preserve"> USA</v>
      </c>
      <c r="P833" s="60"/>
    </row>
    <row r="834" spans="1:16">
      <c r="A834" s="65">
        <v>833</v>
      </c>
      <c r="B834" s="80" t="s">
        <v>5111</v>
      </c>
      <c r="C834" s="65" t="s">
        <v>136</v>
      </c>
      <c r="D834" s="93" t="s">
        <v>847</v>
      </c>
      <c r="E834" s="48" t="str">
        <f t="shared" si="0"/>
        <v>Tampa</v>
      </c>
      <c r="F834" s="83" t="str">
        <f t="shared" si="1"/>
        <v>Wharton (Tampa),FL</v>
      </c>
      <c r="G834" s="65" t="s">
        <v>5113</v>
      </c>
      <c r="H834" s="65">
        <v>28.158856499999999</v>
      </c>
      <c r="I834" s="65">
        <v>-82.354448399999995</v>
      </c>
      <c r="J834" s="60" t="str">
        <f ca="1">IFERROR(__xludf.DUMMYFUNCTION("SPLIT(G834,"","")"),"20150 Bruce B Downs Blvd")</f>
        <v>20150 Bruce B Downs Blvd</v>
      </c>
      <c r="K834" s="2" t="str">
        <f ca="1">IFERROR(__xludf.DUMMYFUNCTION("""COMPUTED_VALUE""")," Tampa")</f>
        <v xml:space="preserve"> Tampa</v>
      </c>
      <c r="L834" s="2" t="str">
        <f ca="1">IFERROR(__xludf.DUMMYFUNCTION("""COMPUTED_VALUE""")," FL 33647")</f>
        <v xml:space="preserve"> FL 33647</v>
      </c>
      <c r="M834" s="2" t="str">
        <f ca="1">IFERROR(__xludf.DUMMYFUNCTION("""COMPUTED_VALUE""")," USA")</f>
        <v xml:space="preserve"> USA</v>
      </c>
      <c r="P834" s="60"/>
    </row>
    <row r="835" spans="1:16">
      <c r="A835" s="60">
        <v>834</v>
      </c>
      <c r="B835" s="79" t="s">
        <v>5115</v>
      </c>
      <c r="C835" s="60" t="s">
        <v>183</v>
      </c>
      <c r="D835" s="93" t="s">
        <v>5116</v>
      </c>
      <c r="E835" s="48" t="str">
        <f t="shared" si="0"/>
        <v>Dix Hills</v>
      </c>
      <c r="F835" s="83" t="str">
        <f t="shared" si="1"/>
        <v>Upper Room Christian (Dix Hills),NY</v>
      </c>
      <c r="G835" s="60" t="s">
        <v>5118</v>
      </c>
      <c r="H835" s="60">
        <v>40.7838043</v>
      </c>
      <c r="I835" s="60">
        <v>-73.337227999999996</v>
      </c>
      <c r="J835" s="60" t="str">
        <f ca="1">IFERROR(__xludf.DUMMYFUNCTION("SPLIT(G835,"","")"),"722 Deer Park Ave")</f>
        <v>722 Deer Park Ave</v>
      </c>
      <c r="K835" s="2" t="str">
        <f ca="1">IFERROR(__xludf.DUMMYFUNCTION("""COMPUTED_VALUE""")," Dix Hills")</f>
        <v xml:space="preserve"> Dix Hills</v>
      </c>
      <c r="L835" s="2" t="str">
        <f ca="1">IFERROR(__xludf.DUMMYFUNCTION("""COMPUTED_VALUE""")," NY 11746")</f>
        <v xml:space="preserve"> NY 11746</v>
      </c>
      <c r="M835" s="2" t="str">
        <f ca="1">IFERROR(__xludf.DUMMYFUNCTION("""COMPUTED_VALUE""")," USA")</f>
        <v xml:space="preserve"> USA</v>
      </c>
      <c r="P835" s="60"/>
    </row>
    <row r="836" spans="1:16">
      <c r="A836" s="65">
        <v>835</v>
      </c>
      <c r="B836" s="80" t="s">
        <v>5121</v>
      </c>
      <c r="C836" s="65" t="s">
        <v>624</v>
      </c>
      <c r="D836" s="93" t="s">
        <v>5122</v>
      </c>
      <c r="E836" s="48" t="str">
        <f t="shared" si="0"/>
        <v>Brusly</v>
      </c>
      <c r="F836" s="83" t="str">
        <f t="shared" si="1"/>
        <v>Brusly,LA</v>
      </c>
      <c r="G836" s="65" t="s">
        <v>5123</v>
      </c>
      <c r="H836" s="65">
        <v>30.394358799999999</v>
      </c>
      <c r="I836" s="65">
        <v>-91.253719799999999</v>
      </c>
      <c r="J836" s="60" t="str">
        <f ca="1">IFERROR(__xludf.DUMMYFUNCTION("SPLIT(G836,"","")"),"1341 W Main St")</f>
        <v>1341 W Main St</v>
      </c>
      <c r="K836" s="2" t="str">
        <f ca="1">IFERROR(__xludf.DUMMYFUNCTION("""COMPUTED_VALUE""")," Brusly")</f>
        <v xml:space="preserve"> Brusly</v>
      </c>
      <c r="L836" s="2" t="str">
        <f ca="1">IFERROR(__xludf.DUMMYFUNCTION("""COMPUTED_VALUE""")," LA 70719")</f>
        <v xml:space="preserve"> LA 70719</v>
      </c>
      <c r="M836" s="2" t="str">
        <f ca="1">IFERROR(__xludf.DUMMYFUNCTION("""COMPUTED_VALUE""")," USA")</f>
        <v xml:space="preserve"> USA</v>
      </c>
      <c r="P836" s="60"/>
    </row>
    <row r="837" spans="1:16">
      <c r="A837" s="60">
        <v>836</v>
      </c>
      <c r="B837" s="79" t="s">
        <v>5127</v>
      </c>
      <c r="C837" s="60" t="s">
        <v>897</v>
      </c>
      <c r="D837" s="93" t="s">
        <v>3905</v>
      </c>
      <c r="E837" s="48" t="str">
        <f t="shared" si="0"/>
        <v>Jefferson City</v>
      </c>
      <c r="F837" s="83" t="str">
        <f t="shared" si="1"/>
        <v>Blair Oaks (Jefferson City),MO</v>
      </c>
      <c r="G837" s="60" t="s">
        <v>5129</v>
      </c>
      <c r="H837" s="60">
        <v>38.490633299999999</v>
      </c>
      <c r="I837" s="60">
        <v>-92.174046899999993</v>
      </c>
      <c r="J837" s="60" t="str">
        <f ca="1">IFERROR(__xludf.DUMMYFUNCTION("SPLIT(G837,"","")"),"1813 Rte M")</f>
        <v>1813 Rte M</v>
      </c>
      <c r="K837" s="2" t="str">
        <f ca="1">IFERROR(__xludf.DUMMYFUNCTION("""COMPUTED_VALUE""")," Jefferson City")</f>
        <v xml:space="preserve"> Jefferson City</v>
      </c>
      <c r="L837" s="2" t="str">
        <f ca="1">IFERROR(__xludf.DUMMYFUNCTION("""COMPUTED_VALUE""")," MO 65101")</f>
        <v xml:space="preserve"> MO 65101</v>
      </c>
      <c r="M837" s="2" t="str">
        <f ca="1">IFERROR(__xludf.DUMMYFUNCTION("""COMPUTED_VALUE""")," USA")</f>
        <v xml:space="preserve"> USA</v>
      </c>
      <c r="P837" s="60"/>
    </row>
    <row r="838" spans="1:16">
      <c r="A838" s="65">
        <v>837</v>
      </c>
      <c r="B838" s="80" t="s">
        <v>5131</v>
      </c>
      <c r="C838" s="65" t="s">
        <v>1055</v>
      </c>
      <c r="D838" s="93" t="s">
        <v>2377</v>
      </c>
      <c r="E838" s="48" t="str">
        <f t="shared" si="0"/>
        <v>Oklahoma City</v>
      </c>
      <c r="F838" s="83" t="str">
        <f t="shared" si="1"/>
        <v>Crossings Christian (Oklahoma City),OK</v>
      </c>
      <c r="G838" s="65" t="s">
        <v>5133</v>
      </c>
      <c r="H838" s="65">
        <v>35.6164506</v>
      </c>
      <c r="I838" s="65">
        <v>-97.582165899999993</v>
      </c>
      <c r="J838" s="60" t="str">
        <f ca="1">IFERROR(__xludf.DUMMYFUNCTION("SPLIT(G838,"","")"),"14400 Portland Ave")</f>
        <v>14400 Portland Ave</v>
      </c>
      <c r="K838" s="2" t="str">
        <f ca="1">IFERROR(__xludf.DUMMYFUNCTION("""COMPUTED_VALUE""")," Oklahoma City")</f>
        <v xml:space="preserve"> Oklahoma City</v>
      </c>
      <c r="L838" s="2" t="str">
        <f ca="1">IFERROR(__xludf.DUMMYFUNCTION("""COMPUTED_VALUE""")," OK 73134")</f>
        <v xml:space="preserve"> OK 73134</v>
      </c>
      <c r="M838" s="2" t="str">
        <f ca="1">IFERROR(__xludf.DUMMYFUNCTION("""COMPUTED_VALUE""")," USA")</f>
        <v xml:space="preserve"> USA</v>
      </c>
      <c r="P838" s="60"/>
    </row>
    <row r="839" spans="1:16">
      <c r="A839" s="60">
        <v>838</v>
      </c>
      <c r="B839" s="79" t="s">
        <v>5135</v>
      </c>
      <c r="C839" s="60" t="s">
        <v>183</v>
      </c>
      <c r="D839" s="93" t="s">
        <v>2936</v>
      </c>
      <c r="E839" s="48" t="str">
        <f t="shared" si="0"/>
        <v>Syracuse</v>
      </c>
      <c r="F839" s="83" t="str">
        <f t="shared" si="1"/>
        <v>Christian Brothers Academy (Syracuse),NY</v>
      </c>
      <c r="G839" s="60" t="s">
        <v>5137</v>
      </c>
      <c r="H839" s="60">
        <v>43.031976200000003</v>
      </c>
      <c r="I839" s="60">
        <v>-76.089507999999995</v>
      </c>
      <c r="J839" s="60" t="str">
        <f ca="1">IFERROR(__xludf.DUMMYFUNCTION("SPLIT(G839,"","")"),"6245 Randall Rd")</f>
        <v>6245 Randall Rd</v>
      </c>
      <c r="K839" s="2" t="str">
        <f ca="1">IFERROR(__xludf.DUMMYFUNCTION("""COMPUTED_VALUE""")," Syracuse")</f>
        <v xml:space="preserve"> Syracuse</v>
      </c>
      <c r="L839" s="2" t="str">
        <f ca="1">IFERROR(__xludf.DUMMYFUNCTION("""COMPUTED_VALUE""")," NY 13214")</f>
        <v xml:space="preserve"> NY 13214</v>
      </c>
      <c r="M839" s="2" t="str">
        <f ca="1">IFERROR(__xludf.DUMMYFUNCTION("""COMPUTED_VALUE""")," USA")</f>
        <v xml:space="preserve"> USA</v>
      </c>
      <c r="P839" s="60"/>
    </row>
    <row r="840" spans="1:16">
      <c r="A840" s="65">
        <v>839</v>
      </c>
      <c r="B840" s="80" t="s">
        <v>5140</v>
      </c>
      <c r="C840" s="65" t="s">
        <v>183</v>
      </c>
      <c r="D840" s="93" t="s">
        <v>5141</v>
      </c>
      <c r="E840" s="48" t="str">
        <f t="shared" si="0"/>
        <v>Binghamton</v>
      </c>
      <c r="F840" s="83" t="str">
        <f t="shared" si="1"/>
        <v>Seton Catholic Central (Binghamton),NY</v>
      </c>
      <c r="G840" s="65" t="s">
        <v>5142</v>
      </c>
      <c r="H840" s="65">
        <v>42.098511999999999</v>
      </c>
      <c r="I840" s="65">
        <v>-75.92850949999999</v>
      </c>
      <c r="J840" s="60" t="str">
        <f ca="1">IFERROR(__xludf.DUMMYFUNCTION("SPLIT(G840,"","")"),"70 Seminary Ave")</f>
        <v>70 Seminary Ave</v>
      </c>
      <c r="K840" s="2" t="str">
        <f ca="1">IFERROR(__xludf.DUMMYFUNCTION("""COMPUTED_VALUE""")," Binghamton")</f>
        <v xml:space="preserve"> Binghamton</v>
      </c>
      <c r="L840" s="2" t="str">
        <f ca="1">IFERROR(__xludf.DUMMYFUNCTION("""COMPUTED_VALUE""")," NY 13905")</f>
        <v xml:space="preserve"> NY 13905</v>
      </c>
      <c r="M840" s="2" t="str">
        <f ca="1">IFERROR(__xludf.DUMMYFUNCTION("""COMPUTED_VALUE""")," USA")</f>
        <v xml:space="preserve"> USA</v>
      </c>
      <c r="P840" s="60"/>
    </row>
    <row r="841" spans="1:16">
      <c r="A841" s="60">
        <v>840</v>
      </c>
      <c r="B841" s="79" t="s">
        <v>5145</v>
      </c>
      <c r="C841" s="60" t="s">
        <v>1322</v>
      </c>
      <c r="D841" s="93" t="s">
        <v>5147</v>
      </c>
      <c r="E841" s="48" t="str">
        <f t="shared" si="0"/>
        <v>Parker</v>
      </c>
      <c r="F841" s="83" t="str">
        <f t="shared" si="1"/>
        <v>Chaparral (Parker),CO</v>
      </c>
      <c r="G841" s="60" t="s">
        <v>5149</v>
      </c>
      <c r="H841" s="60">
        <v>39.540554299999997</v>
      </c>
      <c r="I841" s="60">
        <v>-104.8082399</v>
      </c>
      <c r="J841" s="60" t="str">
        <f ca="1">IFERROR(__xludf.DUMMYFUNCTION("SPLIT(G841,"","")"),"15655 Brookstone Dr")</f>
        <v>15655 Brookstone Dr</v>
      </c>
      <c r="K841" s="2" t="str">
        <f ca="1">IFERROR(__xludf.DUMMYFUNCTION("""COMPUTED_VALUE""")," Parker")</f>
        <v xml:space="preserve"> Parker</v>
      </c>
      <c r="L841" s="2" t="str">
        <f ca="1">IFERROR(__xludf.DUMMYFUNCTION("""COMPUTED_VALUE""")," CO 80134")</f>
        <v xml:space="preserve"> CO 80134</v>
      </c>
      <c r="M841" s="2" t="str">
        <f ca="1">IFERROR(__xludf.DUMMYFUNCTION("""COMPUTED_VALUE""")," USA")</f>
        <v xml:space="preserve"> USA</v>
      </c>
      <c r="P841" s="60"/>
    </row>
    <row r="842" spans="1:16">
      <c r="A842" s="65">
        <v>841</v>
      </c>
      <c r="B842" s="80" t="s">
        <v>5152</v>
      </c>
      <c r="C842" s="65" t="s">
        <v>618</v>
      </c>
      <c r="D842" s="93" t="s">
        <v>680</v>
      </c>
      <c r="E842" s="48" t="str">
        <f t="shared" si="0"/>
        <v>Indianapolis</v>
      </c>
      <c r="F842" s="83" t="str">
        <f t="shared" si="1"/>
        <v>Cathedral (Indianapolis),IN</v>
      </c>
      <c r="G842" s="65" t="s">
        <v>5153</v>
      </c>
      <c r="H842" s="65">
        <v>39.785380000000004</v>
      </c>
      <c r="I842" s="65">
        <v>-86.15656899999999</v>
      </c>
      <c r="J842" s="60" t="str">
        <f ca="1">IFERROR(__xludf.DUMMYFUNCTION("SPLIT(G842,"","")"),"1347 N Meridian St")</f>
        <v>1347 N Meridian St</v>
      </c>
      <c r="K842" s="2" t="str">
        <f ca="1">IFERROR(__xludf.DUMMYFUNCTION("""COMPUTED_VALUE""")," Indianapolis")</f>
        <v xml:space="preserve"> Indianapolis</v>
      </c>
      <c r="L842" s="2" t="str">
        <f ca="1">IFERROR(__xludf.DUMMYFUNCTION("""COMPUTED_VALUE""")," IN 46202")</f>
        <v xml:space="preserve"> IN 46202</v>
      </c>
      <c r="M842" s="2" t="str">
        <f ca="1">IFERROR(__xludf.DUMMYFUNCTION("""COMPUTED_VALUE""")," USA")</f>
        <v xml:space="preserve"> USA</v>
      </c>
      <c r="P842" s="60"/>
    </row>
    <row r="843" spans="1:16">
      <c r="A843" s="60">
        <v>842</v>
      </c>
      <c r="B843" s="79" t="s">
        <v>5154</v>
      </c>
      <c r="C843" s="60" t="s">
        <v>174</v>
      </c>
      <c r="D843" s="93" t="s">
        <v>5155</v>
      </c>
      <c r="E843" s="48" t="str">
        <f t="shared" si="0"/>
        <v>Columbus</v>
      </c>
      <c r="F843" s="83" t="str">
        <f t="shared" si="1"/>
        <v>Walnut Ridge (Columbus),OH</v>
      </c>
      <c r="G843" s="60" t="s">
        <v>5156</v>
      </c>
      <c r="H843" s="60">
        <v>39.943492800000001</v>
      </c>
      <c r="I843" s="60">
        <v>-82.865070799999998</v>
      </c>
      <c r="J843" s="60" t="str">
        <f ca="1">IFERROR(__xludf.DUMMYFUNCTION("SPLIT(G843,"","")"),"4841 E Livingston Ave")</f>
        <v>4841 E Livingston Ave</v>
      </c>
      <c r="K843" s="2" t="str">
        <f ca="1">IFERROR(__xludf.DUMMYFUNCTION("""COMPUTED_VALUE""")," Columbus")</f>
        <v xml:space="preserve"> Columbus</v>
      </c>
      <c r="L843" s="2" t="str">
        <f ca="1">IFERROR(__xludf.DUMMYFUNCTION("""COMPUTED_VALUE""")," OH 43227")</f>
        <v xml:space="preserve"> OH 43227</v>
      </c>
      <c r="M843" s="2" t="str">
        <f ca="1">IFERROR(__xludf.DUMMYFUNCTION("""COMPUTED_VALUE""")," USA")</f>
        <v xml:space="preserve"> USA</v>
      </c>
      <c r="P843" s="60"/>
    </row>
    <row r="844" spans="1:16">
      <c r="A844" s="65">
        <v>843</v>
      </c>
      <c r="B844" s="80" t="s">
        <v>5160</v>
      </c>
      <c r="C844" s="65" t="s">
        <v>1331</v>
      </c>
      <c r="D844" s="93" t="s">
        <v>5161</v>
      </c>
      <c r="E844" s="48" t="str">
        <f t="shared" si="0"/>
        <v>Ashton</v>
      </c>
      <c r="F844" s="83" t="str">
        <f t="shared" si="1"/>
        <v>North Fremont (Ashton),ID</v>
      </c>
      <c r="G844" s="65" t="s">
        <v>5164</v>
      </c>
      <c r="H844" s="65">
        <v>44.0725075</v>
      </c>
      <c r="I844" s="65">
        <v>-111.43956009999999</v>
      </c>
      <c r="J844" s="60" t="str">
        <f ca="1">IFERROR(__xludf.DUMMYFUNCTION("SPLIT(G844,"","")"),"3581 E 1300 N")</f>
        <v>3581 E 1300 N</v>
      </c>
      <c r="K844" s="2" t="str">
        <f ca="1">IFERROR(__xludf.DUMMYFUNCTION("""COMPUTED_VALUE""")," Ashton")</f>
        <v xml:space="preserve"> Ashton</v>
      </c>
      <c r="L844" s="2" t="str">
        <f ca="1">IFERROR(__xludf.DUMMYFUNCTION("""COMPUTED_VALUE""")," ID 83420")</f>
        <v xml:space="preserve"> ID 83420</v>
      </c>
      <c r="M844" s="2" t="str">
        <f ca="1">IFERROR(__xludf.DUMMYFUNCTION("""COMPUTED_VALUE""")," USA")</f>
        <v xml:space="preserve"> USA</v>
      </c>
      <c r="P844" s="60"/>
    </row>
    <row r="845" spans="1:16">
      <c r="A845" s="60">
        <v>844</v>
      </c>
      <c r="B845" s="79" t="s">
        <v>5167</v>
      </c>
      <c r="C845" s="60" t="s">
        <v>675</v>
      </c>
      <c r="D845" s="93" t="s">
        <v>1706</v>
      </c>
      <c r="E845" s="48" t="str">
        <f t="shared" si="0"/>
        <v>Midland</v>
      </c>
      <c r="F845" s="83" t="str">
        <f t="shared" si="1"/>
        <v>Lincoln Park Performing Arts (Midland),PA</v>
      </c>
      <c r="G845" s="60" t="s">
        <v>5168</v>
      </c>
      <c r="H845" s="60">
        <v>40.635692400000003</v>
      </c>
      <c r="I845" s="60">
        <v>-80.449775099999997</v>
      </c>
      <c r="J845" s="60" t="str">
        <f ca="1">IFERROR(__xludf.DUMMYFUNCTION("SPLIT(G845,"","")"),"1 Lincoln Park")</f>
        <v>1 Lincoln Park</v>
      </c>
      <c r="K845" s="2" t="str">
        <f ca="1">IFERROR(__xludf.DUMMYFUNCTION("""COMPUTED_VALUE""")," Midland")</f>
        <v xml:space="preserve"> Midland</v>
      </c>
      <c r="L845" s="2" t="str">
        <f ca="1">IFERROR(__xludf.DUMMYFUNCTION("""COMPUTED_VALUE""")," PA 15059")</f>
        <v xml:space="preserve"> PA 15059</v>
      </c>
      <c r="M845" s="2" t="str">
        <f ca="1">IFERROR(__xludf.DUMMYFUNCTION("""COMPUTED_VALUE""")," USA")</f>
        <v xml:space="preserve"> USA</v>
      </c>
      <c r="P845" s="60"/>
    </row>
    <row r="846" spans="1:16">
      <c r="A846" s="65">
        <v>845</v>
      </c>
      <c r="B846" s="80" t="s">
        <v>5172</v>
      </c>
      <c r="C846" s="65" t="s">
        <v>136</v>
      </c>
      <c r="D846" s="93" t="s">
        <v>5173</v>
      </c>
      <c r="E846" s="48" t="str">
        <f t="shared" si="0"/>
        <v>Stuart</v>
      </c>
      <c r="F846" s="83" t="str">
        <f t="shared" si="1"/>
        <v>Martin County (Stuart),FL</v>
      </c>
      <c r="G846" s="65" t="s">
        <v>5174</v>
      </c>
      <c r="H846" s="65">
        <v>27.197548000000001</v>
      </c>
      <c r="I846" s="65">
        <v>-80.252825700000002</v>
      </c>
      <c r="J846" s="60" t="str">
        <f ca="1">IFERROR(__xludf.DUMMYFUNCTION("SPLIT(G846,"","")"),"2 Florida A1A")</f>
        <v>2 Florida A1A</v>
      </c>
      <c r="K846" s="2" t="str">
        <f ca="1">IFERROR(__xludf.DUMMYFUNCTION("""COMPUTED_VALUE""")," Stuart")</f>
        <v xml:space="preserve"> Stuart</v>
      </c>
      <c r="L846" s="2" t="str">
        <f ca="1">IFERROR(__xludf.DUMMYFUNCTION("""COMPUTED_VALUE""")," FL 34994")</f>
        <v xml:space="preserve"> FL 34994</v>
      </c>
      <c r="M846" s="2" t="str">
        <f ca="1">IFERROR(__xludf.DUMMYFUNCTION("""COMPUTED_VALUE""")," USA")</f>
        <v xml:space="preserve"> USA</v>
      </c>
      <c r="P846" s="60"/>
    </row>
    <row r="847" spans="1:16">
      <c r="A847" s="60">
        <v>846</v>
      </c>
      <c r="B847" s="79" t="s">
        <v>5179</v>
      </c>
      <c r="C847" s="60" t="s">
        <v>675</v>
      </c>
      <c r="D847" s="93" t="s">
        <v>4239</v>
      </c>
      <c r="E847" s="48" t="str">
        <f t="shared" si="0"/>
        <v>Wyncote</v>
      </c>
      <c r="F847" s="83" t="str">
        <f t="shared" si="1"/>
        <v>Cheltenham (Wyncote),PA</v>
      </c>
      <c r="G847" s="60" t="s">
        <v>5181</v>
      </c>
      <c r="H847" s="60">
        <v>40.094554899999999</v>
      </c>
      <c r="I847" s="60">
        <v>-75.148786299999998</v>
      </c>
      <c r="J847" s="60" t="str">
        <f ca="1">IFERROR(__xludf.DUMMYFUNCTION("SPLIT(G847,"","")"),"416 Waverly Rd")</f>
        <v>416 Waverly Rd</v>
      </c>
      <c r="K847" s="2" t="str">
        <f ca="1">IFERROR(__xludf.DUMMYFUNCTION("""COMPUTED_VALUE""")," Wyncote")</f>
        <v xml:space="preserve"> Wyncote</v>
      </c>
      <c r="L847" s="2" t="str">
        <f ca="1">IFERROR(__xludf.DUMMYFUNCTION("""COMPUTED_VALUE""")," PA 19095")</f>
        <v xml:space="preserve"> PA 19095</v>
      </c>
      <c r="M847" s="2" t="str">
        <f ca="1">IFERROR(__xludf.DUMMYFUNCTION("""COMPUTED_VALUE""")," USA")</f>
        <v xml:space="preserve"> USA</v>
      </c>
      <c r="P847" s="60"/>
    </row>
    <row r="848" spans="1:16">
      <c r="A848" s="65">
        <v>847</v>
      </c>
      <c r="B848" s="80" t="s">
        <v>5183</v>
      </c>
      <c r="C848" s="65" t="s">
        <v>675</v>
      </c>
      <c r="D848" s="93" t="s">
        <v>5184</v>
      </c>
      <c r="E848" s="48" t="str">
        <f t="shared" si="0"/>
        <v>Hermitage</v>
      </c>
      <c r="F848" s="83" t="str">
        <f t="shared" si="1"/>
        <v>Hickory (Hermitage),PA</v>
      </c>
      <c r="G848" s="65" t="s">
        <v>5185</v>
      </c>
      <c r="H848" s="65">
        <v>41.242336399999999</v>
      </c>
      <c r="I848" s="65">
        <v>-80.448418399999994</v>
      </c>
      <c r="J848" s="60" t="str">
        <f ca="1">IFERROR(__xludf.DUMMYFUNCTION("SPLIT(G848,"","")"),"343 N Hermitage Rd")</f>
        <v>343 N Hermitage Rd</v>
      </c>
      <c r="K848" s="2" t="str">
        <f ca="1">IFERROR(__xludf.DUMMYFUNCTION("""COMPUTED_VALUE""")," Hermitage")</f>
        <v xml:space="preserve"> Hermitage</v>
      </c>
      <c r="L848" s="2" t="str">
        <f ca="1">IFERROR(__xludf.DUMMYFUNCTION("""COMPUTED_VALUE""")," PA 16148")</f>
        <v xml:space="preserve"> PA 16148</v>
      </c>
      <c r="M848" s="2" t="str">
        <f ca="1">IFERROR(__xludf.DUMMYFUNCTION("""COMPUTED_VALUE""")," USA")</f>
        <v xml:space="preserve"> USA</v>
      </c>
      <c r="P848" s="60"/>
    </row>
    <row r="849" spans="1:16">
      <c r="A849" s="60">
        <v>848</v>
      </c>
      <c r="B849" s="79" t="s">
        <v>3995</v>
      </c>
      <c r="C849" s="60" t="s">
        <v>901</v>
      </c>
      <c r="D849" s="93" t="s">
        <v>5189</v>
      </c>
      <c r="E849" s="48" t="str">
        <f t="shared" si="0"/>
        <v>Marion</v>
      </c>
      <c r="F849" s="83" t="str">
        <f t="shared" si="1"/>
        <v>Marion,AR</v>
      </c>
      <c r="G849" s="60" t="s">
        <v>5190</v>
      </c>
      <c r="H849" s="60">
        <v>35.214533600000003</v>
      </c>
      <c r="I849" s="60">
        <v>-90.196483499999999</v>
      </c>
      <c r="J849" s="60" t="str">
        <f ca="1">IFERROR(__xludf.DUMMYFUNCTION("SPLIT(G849,"","")"),"44 E Military Rd")</f>
        <v>44 E Military Rd</v>
      </c>
      <c r="K849" s="2" t="str">
        <f ca="1">IFERROR(__xludf.DUMMYFUNCTION("""COMPUTED_VALUE""")," Marion")</f>
        <v xml:space="preserve"> Marion</v>
      </c>
      <c r="L849" s="2" t="str">
        <f ca="1">IFERROR(__xludf.DUMMYFUNCTION("""COMPUTED_VALUE""")," AR 72364")</f>
        <v xml:space="preserve"> AR 72364</v>
      </c>
      <c r="M849" s="2" t="str">
        <f ca="1">IFERROR(__xludf.DUMMYFUNCTION("""COMPUTED_VALUE""")," USA")</f>
        <v xml:space="preserve"> USA</v>
      </c>
      <c r="P849" s="60"/>
    </row>
    <row r="850" spans="1:16">
      <c r="A850" s="65">
        <v>849</v>
      </c>
      <c r="B850" s="80" t="s">
        <v>5194</v>
      </c>
      <c r="C850" s="65" t="s">
        <v>737</v>
      </c>
      <c r="D850" s="93" t="s">
        <v>5195</v>
      </c>
      <c r="E850" s="48" t="str">
        <f t="shared" si="0"/>
        <v>West Orange</v>
      </c>
      <c r="F850" s="83" t="str">
        <f t="shared" si="1"/>
        <v>Seton Hall Prep (West Orange),NJ</v>
      </c>
      <c r="G850" s="65" t="s">
        <v>5198</v>
      </c>
      <c r="H850" s="65">
        <v>40.774804899999999</v>
      </c>
      <c r="I850" s="65">
        <v>-74.247429699999998</v>
      </c>
      <c r="J850" s="60" t="str">
        <f ca="1">IFERROR(__xludf.DUMMYFUNCTION("SPLIT(G850,"","")"),"120 Northfield Ave")</f>
        <v>120 Northfield Ave</v>
      </c>
      <c r="K850" s="2" t="str">
        <f ca="1">IFERROR(__xludf.DUMMYFUNCTION("""COMPUTED_VALUE""")," West Orange")</f>
        <v xml:space="preserve"> West Orange</v>
      </c>
      <c r="L850" s="2" t="str">
        <f ca="1">IFERROR(__xludf.DUMMYFUNCTION("""COMPUTED_VALUE""")," NJ 07052")</f>
        <v xml:space="preserve"> NJ 07052</v>
      </c>
      <c r="M850" s="2" t="str">
        <f ca="1">IFERROR(__xludf.DUMMYFUNCTION("""COMPUTED_VALUE""")," USA")</f>
        <v xml:space="preserve"> USA</v>
      </c>
      <c r="P850" s="60"/>
    </row>
    <row r="851" spans="1:16">
      <c r="A851" s="97">
        <v>850</v>
      </c>
      <c r="B851" s="99" t="s">
        <v>5201</v>
      </c>
      <c r="C851" s="97" t="s">
        <v>765</v>
      </c>
      <c r="D851" s="93" t="s">
        <v>5203</v>
      </c>
      <c r="E851" s="48" t="str">
        <f t="shared" si="0"/>
        <v>Draper</v>
      </c>
      <c r="F851" s="83" t="str">
        <f t="shared" si="1"/>
        <v>Corner Canyon (Draper),UT</v>
      </c>
      <c r="G851" s="97" t="s">
        <v>5206</v>
      </c>
      <c r="H851" s="97">
        <v>40.5066159</v>
      </c>
      <c r="I851" s="97">
        <v>-111.8477108</v>
      </c>
      <c r="J851" s="60" t="str">
        <f ca="1">IFERROR(__xludf.DUMMYFUNCTION("SPLIT(G851,"","")"),"13433 1300 E")</f>
        <v>13433 1300 E</v>
      </c>
      <c r="K851" s="2" t="str">
        <f ca="1">IFERROR(__xludf.DUMMYFUNCTION("""COMPUTED_VALUE""")," Draper")</f>
        <v xml:space="preserve"> Draper</v>
      </c>
      <c r="L851" s="2" t="str">
        <f ca="1">IFERROR(__xludf.DUMMYFUNCTION("""COMPUTED_VALUE""")," UT 84020")</f>
        <v xml:space="preserve"> UT 84020</v>
      </c>
      <c r="M851" s="2" t="str">
        <f ca="1">IFERROR(__xludf.DUMMYFUNCTION("""COMPUTED_VALUE""")," USA")</f>
        <v xml:space="preserve"> USA</v>
      </c>
      <c r="P851" s="60"/>
    </row>
    <row r="852" spans="1:16">
      <c r="A852" s="60">
        <v>851</v>
      </c>
      <c r="B852" s="79" t="s">
        <v>5209</v>
      </c>
      <c r="C852" s="60" t="s">
        <v>682</v>
      </c>
      <c r="D852" s="93" t="s">
        <v>5211</v>
      </c>
      <c r="E852" s="48" t="str">
        <f t="shared" si="0"/>
        <v>Stratford</v>
      </c>
      <c r="F852" s="83" t="str">
        <f t="shared" si="1"/>
        <v>Stratford,WI</v>
      </c>
      <c r="G852" s="60" t="s">
        <v>5212</v>
      </c>
      <c r="H852" s="60">
        <v>44.801076299999998</v>
      </c>
      <c r="I852" s="60">
        <v>-90.07929750000001</v>
      </c>
      <c r="J852" s="60" t="str">
        <f ca="1">IFERROR(__xludf.DUMMYFUNCTION("SPLIT(G852,"","")"),"118630 WI-153")</f>
        <v>118630 WI-153</v>
      </c>
      <c r="K852" s="2" t="str">
        <f ca="1">IFERROR(__xludf.DUMMYFUNCTION("""COMPUTED_VALUE""")," Stratford")</f>
        <v xml:space="preserve"> Stratford</v>
      </c>
      <c r="L852" s="2" t="str">
        <f ca="1">IFERROR(__xludf.DUMMYFUNCTION("""COMPUTED_VALUE""")," WI 54484")</f>
        <v xml:space="preserve"> WI 54484</v>
      </c>
      <c r="M852" s="2" t="str">
        <f ca="1">IFERROR(__xludf.DUMMYFUNCTION("""COMPUTED_VALUE""")," USA")</f>
        <v xml:space="preserve"> USA</v>
      </c>
      <c r="P852" s="60"/>
    </row>
    <row r="853" spans="1:16">
      <c r="A853" s="65">
        <v>852</v>
      </c>
      <c r="B853" s="80" t="s">
        <v>515</v>
      </c>
      <c r="C853" s="65" t="s">
        <v>595</v>
      </c>
      <c r="D853" s="93" t="s">
        <v>2881</v>
      </c>
      <c r="E853" s="48" t="str">
        <f t="shared" si="0"/>
        <v>Lewisville</v>
      </c>
      <c r="F853" s="83" t="str">
        <f t="shared" si="1"/>
        <v>The Colony,TX</v>
      </c>
      <c r="G853" s="65" t="s">
        <v>5216</v>
      </c>
      <c r="H853" s="65">
        <v>33.080608300000002</v>
      </c>
      <c r="I853" s="65">
        <v>-96.892830899999993</v>
      </c>
      <c r="J853" s="60" t="str">
        <f ca="1">IFERROR(__xludf.DUMMYFUNCTION("SPLIT(G853,"","")"),"4984 Main St")</f>
        <v>4984 Main St</v>
      </c>
      <c r="K853" s="2" t="str">
        <f ca="1">IFERROR(__xludf.DUMMYFUNCTION("""COMPUTED_VALUE""")," Lewisville")</f>
        <v xml:space="preserve"> Lewisville</v>
      </c>
      <c r="L853" s="2" t="str">
        <f ca="1">IFERROR(__xludf.DUMMYFUNCTION("""COMPUTED_VALUE""")," TX 75056")</f>
        <v xml:space="preserve"> TX 75056</v>
      </c>
      <c r="M853" s="2" t="str">
        <f ca="1">IFERROR(__xludf.DUMMYFUNCTION("""COMPUTED_VALUE""")," USA")</f>
        <v xml:space="preserve"> USA</v>
      </c>
      <c r="P853" s="60"/>
    </row>
    <row r="854" spans="1:16">
      <c r="A854" s="60">
        <v>853</v>
      </c>
      <c r="B854" s="79" t="s">
        <v>5219</v>
      </c>
      <c r="C854" s="60" t="s">
        <v>595</v>
      </c>
      <c r="D854" s="93" t="s">
        <v>5221</v>
      </c>
      <c r="E854" s="48" t="str">
        <f t="shared" si="0"/>
        <v>Little Elm</v>
      </c>
      <c r="F854" s="83" t="str">
        <f t="shared" si="1"/>
        <v>Braswell (Little Elm),TX</v>
      </c>
      <c r="G854" s="60" t="s">
        <v>5222</v>
      </c>
      <c r="H854" s="60">
        <v>33.219167400000003</v>
      </c>
      <c r="I854" s="60">
        <v>-96.924025499999999</v>
      </c>
      <c r="J854" s="60" t="str">
        <f ca="1">IFERROR(__xludf.DUMMYFUNCTION("SPLIT(G854,"","")"),"Braswell Dr")</f>
        <v>Braswell Dr</v>
      </c>
      <c r="K854" s="2" t="str">
        <f ca="1">IFERROR(__xludf.DUMMYFUNCTION("""COMPUTED_VALUE""")," Little Elm")</f>
        <v xml:space="preserve"> Little Elm</v>
      </c>
      <c r="L854" s="2" t="str">
        <f ca="1">IFERROR(__xludf.DUMMYFUNCTION("""COMPUTED_VALUE""")," TX 75068")</f>
        <v xml:space="preserve"> TX 75068</v>
      </c>
      <c r="M854" s="2" t="str">
        <f ca="1">IFERROR(__xludf.DUMMYFUNCTION("""COMPUTED_VALUE""")," USA")</f>
        <v xml:space="preserve"> USA</v>
      </c>
      <c r="P854" s="60"/>
    </row>
    <row r="855" spans="1:16">
      <c r="A855" s="65">
        <v>854</v>
      </c>
      <c r="B855" s="80" t="s">
        <v>5227</v>
      </c>
      <c r="C855" s="65" t="s">
        <v>136</v>
      </c>
      <c r="D855" s="93" t="s">
        <v>835</v>
      </c>
      <c r="E855" s="48" t="str">
        <f t="shared" si="0"/>
        <v>Orlando</v>
      </c>
      <c r="F855" s="83" t="str">
        <f t="shared" si="1"/>
        <v>Jones (Orlando),FL</v>
      </c>
      <c r="G855" s="65" t="s">
        <v>5229</v>
      </c>
      <c r="H855" s="65">
        <v>28.533227400000001</v>
      </c>
      <c r="I855" s="65">
        <v>-81.3996906</v>
      </c>
      <c r="J855" s="60" t="str">
        <f ca="1">IFERROR(__xludf.DUMMYFUNCTION("SPLIT(G855,"","")"),"801 Rio Grande Ave")</f>
        <v>801 Rio Grande Ave</v>
      </c>
      <c r="K855" s="2" t="str">
        <f ca="1">IFERROR(__xludf.DUMMYFUNCTION("""COMPUTED_VALUE""")," Orlando")</f>
        <v xml:space="preserve"> Orlando</v>
      </c>
      <c r="L855" s="2" t="str">
        <f ca="1">IFERROR(__xludf.DUMMYFUNCTION("""COMPUTED_VALUE""")," FL 32805")</f>
        <v xml:space="preserve"> FL 32805</v>
      </c>
      <c r="M855" s="2" t="str">
        <f ca="1">IFERROR(__xludf.DUMMYFUNCTION("""COMPUTED_VALUE""")," USA")</f>
        <v xml:space="preserve"> USA</v>
      </c>
      <c r="P855" s="60"/>
    </row>
    <row r="856" spans="1:16">
      <c r="A856" s="60">
        <v>855</v>
      </c>
      <c r="B856" s="79" t="s">
        <v>5231</v>
      </c>
      <c r="C856" s="60" t="s">
        <v>1055</v>
      </c>
      <c r="D856" s="93" t="s">
        <v>2377</v>
      </c>
      <c r="E856" s="48" t="str">
        <f t="shared" si="0"/>
        <v>Oklahoma City</v>
      </c>
      <c r="F856" s="83" t="str">
        <f t="shared" si="1"/>
        <v>Putnam City West (Oklahoma City),OK</v>
      </c>
      <c r="G856" s="60" t="s">
        <v>5233</v>
      </c>
      <c r="H856" s="60">
        <v>35.492110400000001</v>
      </c>
      <c r="I856" s="60">
        <v>-97.6617222</v>
      </c>
      <c r="J856" s="60" t="str">
        <f ca="1">IFERROR(__xludf.DUMMYFUNCTION("SPLIT(G856,"","")"),"8500 NW 23rd St")</f>
        <v>8500 NW 23rd St</v>
      </c>
      <c r="K856" s="2" t="str">
        <f ca="1">IFERROR(__xludf.DUMMYFUNCTION("""COMPUTED_VALUE""")," Oklahoma City")</f>
        <v xml:space="preserve"> Oklahoma City</v>
      </c>
      <c r="L856" s="2" t="str">
        <f ca="1">IFERROR(__xludf.DUMMYFUNCTION("""COMPUTED_VALUE""")," OK 73127")</f>
        <v xml:space="preserve"> OK 73127</v>
      </c>
      <c r="M856" s="2" t="str">
        <f ca="1">IFERROR(__xludf.DUMMYFUNCTION("""COMPUTED_VALUE""")," USA")</f>
        <v xml:space="preserve"> USA</v>
      </c>
      <c r="P856" s="60"/>
    </row>
    <row r="857" spans="1:16">
      <c r="A857" s="65">
        <v>856</v>
      </c>
      <c r="B857" s="80" t="s">
        <v>5236</v>
      </c>
      <c r="C857" s="65" t="s">
        <v>618</v>
      </c>
      <c r="D857" s="93" t="s">
        <v>680</v>
      </c>
      <c r="E857" s="48" t="str">
        <f t="shared" si="0"/>
        <v>Indianapolis</v>
      </c>
      <c r="F857" s="83" t="str">
        <f t="shared" si="1"/>
        <v>North Central (Indianapolis),IN</v>
      </c>
      <c r="G857" s="65" t="s">
        <v>5237</v>
      </c>
      <c r="H857" s="65">
        <v>39.910975100000002</v>
      </c>
      <c r="I857" s="65">
        <v>-86.130414899999991</v>
      </c>
      <c r="J857" s="60" t="str">
        <f ca="1">IFERROR(__xludf.DUMMYFUNCTION("SPLIT(G857,"","")"),"1801 E 86th St")</f>
        <v>1801 E 86th St</v>
      </c>
      <c r="K857" s="2" t="str">
        <f ca="1">IFERROR(__xludf.DUMMYFUNCTION("""COMPUTED_VALUE""")," Indianapolis")</f>
        <v xml:space="preserve"> Indianapolis</v>
      </c>
      <c r="L857" s="2" t="str">
        <f ca="1">IFERROR(__xludf.DUMMYFUNCTION("""COMPUTED_VALUE""")," IN 46240")</f>
        <v xml:space="preserve"> IN 46240</v>
      </c>
      <c r="M857" s="2" t="str">
        <f ca="1">IFERROR(__xludf.DUMMYFUNCTION("""COMPUTED_VALUE""")," USA")</f>
        <v xml:space="preserve"> USA</v>
      </c>
      <c r="P857" s="60"/>
    </row>
    <row r="858" spans="1:16">
      <c r="A858" s="60">
        <v>857</v>
      </c>
      <c r="B858" s="79" t="s">
        <v>5243</v>
      </c>
      <c r="C858" s="60" t="s">
        <v>604</v>
      </c>
      <c r="D858" s="93" t="s">
        <v>5245</v>
      </c>
      <c r="E858" s="48" t="str">
        <f t="shared" si="0"/>
        <v>Breese</v>
      </c>
      <c r="F858" s="83" t="str">
        <f t="shared" si="1"/>
        <v>Mater Dei (Breese),IL</v>
      </c>
      <c r="G858" s="60" t="s">
        <v>5247</v>
      </c>
      <c r="H858" s="60">
        <v>38.6159848</v>
      </c>
      <c r="I858" s="60">
        <v>-89.532762599999998</v>
      </c>
      <c r="J858" s="60" t="str">
        <f ca="1">IFERROR(__xludf.DUMMYFUNCTION("SPLIT(G858,"","")"),"900 Mater Dei Dr")</f>
        <v>900 Mater Dei Dr</v>
      </c>
      <c r="K858" s="2" t="str">
        <f ca="1">IFERROR(__xludf.DUMMYFUNCTION("""COMPUTED_VALUE""")," Breese")</f>
        <v xml:space="preserve"> Breese</v>
      </c>
      <c r="L858" s="2" t="str">
        <f ca="1">IFERROR(__xludf.DUMMYFUNCTION("""COMPUTED_VALUE""")," IL 62230")</f>
        <v xml:space="preserve"> IL 62230</v>
      </c>
      <c r="M858" s="2" t="str">
        <f ca="1">IFERROR(__xludf.DUMMYFUNCTION("""COMPUTED_VALUE""")," USA")</f>
        <v xml:space="preserve"> USA</v>
      </c>
      <c r="P858" s="60"/>
    </row>
    <row r="859" spans="1:16">
      <c r="A859" s="65">
        <v>858</v>
      </c>
      <c r="B859" s="80" t="s">
        <v>5249</v>
      </c>
      <c r="C859" s="65" t="s">
        <v>69</v>
      </c>
      <c r="D859" s="93" t="s">
        <v>1270</v>
      </c>
      <c r="E859" s="48" t="str">
        <f t="shared" si="0"/>
        <v>Madison</v>
      </c>
      <c r="F859" s="83" t="str">
        <f t="shared" si="1"/>
        <v>Bob Jones (Madison),AL</v>
      </c>
      <c r="G859" s="65" t="s">
        <v>5252</v>
      </c>
      <c r="H859" s="65">
        <v>34.719135000000009</v>
      </c>
      <c r="I859" s="65">
        <v>-86.7422009</v>
      </c>
      <c r="J859" s="60" t="str">
        <f ca="1">IFERROR(__xludf.DUMMYFUNCTION("SPLIT(G859,"","")"),"650 Hughes Rd")</f>
        <v>650 Hughes Rd</v>
      </c>
      <c r="K859" s="2" t="str">
        <f ca="1">IFERROR(__xludf.DUMMYFUNCTION("""COMPUTED_VALUE""")," Madison")</f>
        <v xml:space="preserve"> Madison</v>
      </c>
      <c r="L859" s="2" t="str">
        <f ca="1">IFERROR(__xludf.DUMMYFUNCTION("""COMPUTED_VALUE""")," AL 35758")</f>
        <v xml:space="preserve"> AL 35758</v>
      </c>
      <c r="M859" s="2" t="str">
        <f ca="1">IFERROR(__xludf.DUMMYFUNCTION("""COMPUTED_VALUE""")," USA")</f>
        <v xml:space="preserve"> USA</v>
      </c>
      <c r="P859" s="60"/>
    </row>
    <row r="860" spans="1:16">
      <c r="A860" s="60">
        <v>859</v>
      </c>
      <c r="B860" s="79" t="s">
        <v>5255</v>
      </c>
      <c r="C860" s="60" t="s">
        <v>595</v>
      </c>
      <c r="D860" s="93" t="s">
        <v>5256</v>
      </c>
      <c r="E860" s="48" t="str">
        <f t="shared" si="0"/>
        <v>Pampa</v>
      </c>
      <c r="F860" s="83" t="str">
        <f t="shared" si="1"/>
        <v>Pampa,TX</v>
      </c>
      <c r="G860" s="60" t="s">
        <v>5258</v>
      </c>
      <c r="H860" s="60">
        <v>35.536155899999997</v>
      </c>
      <c r="I860" s="60">
        <v>-100.9598709</v>
      </c>
      <c r="J860" s="60" t="str">
        <f ca="1">IFERROR(__xludf.DUMMYFUNCTION("SPLIT(G860,"","")"),"101 S Ballard St")</f>
        <v>101 S Ballard St</v>
      </c>
      <c r="K860" s="2" t="str">
        <f ca="1">IFERROR(__xludf.DUMMYFUNCTION("""COMPUTED_VALUE""")," Pampa")</f>
        <v xml:space="preserve"> Pampa</v>
      </c>
      <c r="L860" s="2" t="str">
        <f ca="1">IFERROR(__xludf.DUMMYFUNCTION("""COMPUTED_VALUE""")," TX 79065")</f>
        <v xml:space="preserve"> TX 79065</v>
      </c>
      <c r="M860" s="2" t="str">
        <f ca="1">IFERROR(__xludf.DUMMYFUNCTION("""COMPUTED_VALUE""")," USA")</f>
        <v xml:space="preserve"> USA</v>
      </c>
      <c r="P860" s="60"/>
    </row>
    <row r="861" spans="1:16">
      <c r="A861" s="65">
        <v>860</v>
      </c>
      <c r="B861" s="80" t="s">
        <v>5261</v>
      </c>
      <c r="C861" s="65" t="s">
        <v>604</v>
      </c>
      <c r="D861" s="93" t="s">
        <v>5262</v>
      </c>
      <c r="E861" s="48" t="str">
        <f t="shared" si="0"/>
        <v>Country Club Hills</v>
      </c>
      <c r="F861" s="83" t="str">
        <f t="shared" si="1"/>
        <v>Hillcrest (Country Club Hills),IL</v>
      </c>
      <c r="G861" s="65" t="s">
        <v>5263</v>
      </c>
      <c r="H861" s="65">
        <v>41.573352500000013</v>
      </c>
      <c r="I861" s="65">
        <v>-87.712181599999994</v>
      </c>
      <c r="J861" s="60" t="str">
        <f ca="1">IFERROR(__xludf.DUMMYFUNCTION("SPLIT(G861,"","")"),"17401 175th St")</f>
        <v>17401 175th St</v>
      </c>
      <c r="K861" s="2" t="str">
        <f ca="1">IFERROR(__xludf.DUMMYFUNCTION("""COMPUTED_VALUE""")," Country Club Hills")</f>
        <v xml:space="preserve"> Country Club Hills</v>
      </c>
      <c r="L861" s="2" t="str">
        <f ca="1">IFERROR(__xludf.DUMMYFUNCTION("""COMPUTED_VALUE""")," IL 60478")</f>
        <v xml:space="preserve"> IL 60478</v>
      </c>
      <c r="M861" s="2" t="str">
        <f ca="1">IFERROR(__xludf.DUMMYFUNCTION("""COMPUTED_VALUE""")," USA")</f>
        <v xml:space="preserve"> USA</v>
      </c>
      <c r="P861" s="60"/>
    </row>
    <row r="862" spans="1:16">
      <c r="A862" s="60">
        <v>861</v>
      </c>
      <c r="B862" s="79" t="s">
        <v>5267</v>
      </c>
      <c r="C862" s="60" t="s">
        <v>796</v>
      </c>
      <c r="D862" s="93" t="s">
        <v>5269</v>
      </c>
      <c r="E862" s="48" t="str">
        <f t="shared" si="0"/>
        <v>Lawrence</v>
      </c>
      <c r="F862" s="83" t="str">
        <f t="shared" si="1"/>
        <v>Lawrence,KS</v>
      </c>
      <c r="G862" s="60" t="s">
        <v>5271</v>
      </c>
      <c r="H862" s="60">
        <v>38.971668899999997</v>
      </c>
      <c r="I862" s="60">
        <v>-95.235250100000002</v>
      </c>
      <c r="J862" s="60" t="str">
        <f ca="1">IFERROR(__xludf.DUMMYFUNCTION("SPLIT(G862,"","")"),"636 Massachusetts St")</f>
        <v>636 Massachusetts St</v>
      </c>
      <c r="K862" s="2" t="str">
        <f ca="1">IFERROR(__xludf.DUMMYFUNCTION("""COMPUTED_VALUE""")," Lawrence")</f>
        <v xml:space="preserve"> Lawrence</v>
      </c>
      <c r="L862" s="2" t="str">
        <f ca="1">IFERROR(__xludf.DUMMYFUNCTION("""COMPUTED_VALUE""")," KS 66044")</f>
        <v xml:space="preserve"> KS 66044</v>
      </c>
      <c r="M862" s="2" t="str">
        <f ca="1">IFERROR(__xludf.DUMMYFUNCTION("""COMPUTED_VALUE""")," USA")</f>
        <v xml:space="preserve"> USA</v>
      </c>
      <c r="P862" s="60"/>
    </row>
    <row r="863" spans="1:16">
      <c r="A863" s="65">
        <v>862</v>
      </c>
      <c r="B863" s="80" t="s">
        <v>5276</v>
      </c>
      <c r="C863" s="65" t="s">
        <v>682</v>
      </c>
      <c r="D863" s="93" t="s">
        <v>5277</v>
      </c>
      <c r="E863" s="48" t="str">
        <f t="shared" si="0"/>
        <v>Milwaukee</v>
      </c>
      <c r="F863" s="83" t="str">
        <f t="shared" si="1"/>
        <v>Milwaukee King (Milwaukee),WI</v>
      </c>
      <c r="G863" s="65" t="s">
        <v>5279</v>
      </c>
      <c r="H863" s="65">
        <v>43.093505</v>
      </c>
      <c r="I863" s="65">
        <v>-87.933083999999994</v>
      </c>
      <c r="J863" s="60" t="str">
        <f ca="1">IFERROR(__xludf.DUMMYFUNCTION("SPLIT(G863,"","")"),"1801 W Olive St")</f>
        <v>1801 W Olive St</v>
      </c>
      <c r="K863" s="2" t="str">
        <f ca="1">IFERROR(__xludf.DUMMYFUNCTION("""COMPUTED_VALUE""")," Milwaukee")</f>
        <v xml:space="preserve"> Milwaukee</v>
      </c>
      <c r="L863" s="2" t="str">
        <f ca="1">IFERROR(__xludf.DUMMYFUNCTION("""COMPUTED_VALUE""")," WI 53209")</f>
        <v xml:space="preserve"> WI 53209</v>
      </c>
      <c r="M863" s="2" t="str">
        <f ca="1">IFERROR(__xludf.DUMMYFUNCTION("""COMPUTED_VALUE""")," USA")</f>
        <v xml:space="preserve"> USA</v>
      </c>
      <c r="P863" s="60"/>
    </row>
    <row r="864" spans="1:16">
      <c r="A864" s="60">
        <v>863</v>
      </c>
      <c r="B864" s="79" t="s">
        <v>5287</v>
      </c>
      <c r="C864" s="60" t="s">
        <v>588</v>
      </c>
      <c r="D864" s="93" t="s">
        <v>2708</v>
      </c>
      <c r="E864" s="48" t="str">
        <f t="shared" si="0"/>
        <v>El Cajon</v>
      </c>
      <c r="F864" s="83" t="str">
        <f t="shared" si="1"/>
        <v>Christian (El Cajon),CA</v>
      </c>
      <c r="G864" s="60" t="s">
        <v>5289</v>
      </c>
      <c r="H864" s="60">
        <v>32.800875599999998</v>
      </c>
      <c r="I864" s="60">
        <v>-116.9030544</v>
      </c>
      <c r="J864" s="60" t="str">
        <f ca="1">IFERROR(__xludf.DUMMYFUNCTION("SPLIT(G864,"","")"),"2100 Greenfield Dr")</f>
        <v>2100 Greenfield Dr</v>
      </c>
      <c r="K864" s="2" t="str">
        <f ca="1">IFERROR(__xludf.DUMMYFUNCTION("""COMPUTED_VALUE""")," El Cajon")</f>
        <v xml:space="preserve"> El Cajon</v>
      </c>
      <c r="L864" s="2" t="str">
        <f ca="1">IFERROR(__xludf.DUMMYFUNCTION("""COMPUTED_VALUE""")," CA 92019")</f>
        <v xml:space="preserve"> CA 92019</v>
      </c>
      <c r="M864" s="2" t="str">
        <f ca="1">IFERROR(__xludf.DUMMYFUNCTION("""COMPUTED_VALUE""")," USA")</f>
        <v xml:space="preserve"> USA</v>
      </c>
      <c r="P864" s="60"/>
    </row>
    <row r="865" spans="1:16">
      <c r="A865" s="65">
        <v>864</v>
      </c>
      <c r="B865" s="80" t="s">
        <v>344</v>
      </c>
      <c r="C865" s="65" t="s">
        <v>646</v>
      </c>
      <c r="D865" s="93" t="s">
        <v>5293</v>
      </c>
      <c r="E865" s="48" t="str">
        <f t="shared" si="0"/>
        <v>Hamilton</v>
      </c>
      <c r="F865" s="83" t="str">
        <f t="shared" si="1"/>
        <v>Hamilton,MT</v>
      </c>
      <c r="G865" s="65" t="s">
        <v>5296</v>
      </c>
      <c r="H865" s="65">
        <v>46.247143700000002</v>
      </c>
      <c r="I865" s="65">
        <v>-114.1548162</v>
      </c>
      <c r="J865" s="60" t="str">
        <f ca="1">IFERROR(__xludf.DUMMYFUNCTION("SPLIT(G865,"","")"),"98 Marcus St")</f>
        <v>98 Marcus St</v>
      </c>
      <c r="K865" s="2" t="str">
        <f ca="1">IFERROR(__xludf.DUMMYFUNCTION("""COMPUTED_VALUE""")," Hamilton")</f>
        <v xml:space="preserve"> Hamilton</v>
      </c>
      <c r="L865" s="2" t="str">
        <f ca="1">IFERROR(__xludf.DUMMYFUNCTION("""COMPUTED_VALUE""")," MT 59840")</f>
        <v xml:space="preserve"> MT 59840</v>
      </c>
      <c r="M865" s="2" t="str">
        <f ca="1">IFERROR(__xludf.DUMMYFUNCTION("""COMPUTED_VALUE""")," USA")</f>
        <v xml:space="preserve"> USA</v>
      </c>
      <c r="P865" s="60"/>
    </row>
    <row r="866" spans="1:16">
      <c r="A866" s="60">
        <v>865</v>
      </c>
      <c r="B866" s="79" t="s">
        <v>5299</v>
      </c>
      <c r="C866" s="60" t="s">
        <v>174</v>
      </c>
      <c r="D866" s="93" t="s">
        <v>5300</v>
      </c>
      <c r="E866" s="48" t="str">
        <f t="shared" si="0"/>
        <v>Columbus Grove</v>
      </c>
      <c r="F866" s="83" t="str">
        <f t="shared" si="1"/>
        <v>Columbus Grove,OH</v>
      </c>
      <c r="G866" s="60" t="s">
        <v>5301</v>
      </c>
      <c r="H866" s="60">
        <v>40.919496100000003</v>
      </c>
      <c r="I866" s="60">
        <v>-84.056889599999991</v>
      </c>
      <c r="J866" s="60" t="str">
        <f ca="1">IFERROR(__xludf.DUMMYFUNCTION("SPLIT(G866,"","")"),"104 N High St")</f>
        <v>104 N High St</v>
      </c>
      <c r="K866" s="2" t="str">
        <f ca="1">IFERROR(__xludf.DUMMYFUNCTION("""COMPUTED_VALUE""")," Columbus Grove")</f>
        <v xml:space="preserve"> Columbus Grove</v>
      </c>
      <c r="L866" s="2" t="str">
        <f ca="1">IFERROR(__xludf.DUMMYFUNCTION("""COMPUTED_VALUE""")," OH 45830")</f>
        <v xml:space="preserve"> OH 45830</v>
      </c>
      <c r="M866" s="2" t="str">
        <f ca="1">IFERROR(__xludf.DUMMYFUNCTION("""COMPUTED_VALUE""")," USA")</f>
        <v xml:space="preserve"> USA</v>
      </c>
      <c r="P866" s="60"/>
    </row>
    <row r="867" spans="1:16">
      <c r="A867" s="65">
        <v>866</v>
      </c>
      <c r="B867" s="80" t="s">
        <v>5304</v>
      </c>
      <c r="C867" s="65" t="s">
        <v>646</v>
      </c>
      <c r="D867" s="93" t="s">
        <v>691</v>
      </c>
      <c r="E867" s="48" t="str">
        <f t="shared" si="0"/>
        <v>Missoula</v>
      </c>
      <c r="F867" s="83" t="str">
        <f t="shared" si="1"/>
        <v>Sentinel (Missoula),MT</v>
      </c>
      <c r="G867" s="65" t="s">
        <v>5305</v>
      </c>
      <c r="H867" s="65">
        <v>46.8471045</v>
      </c>
      <c r="I867" s="65">
        <v>-114.0095543</v>
      </c>
      <c r="J867" s="60" t="str">
        <f ca="1">IFERROR(__xludf.DUMMYFUNCTION("SPLIT(G867,"","")"),"901 South Ave W")</f>
        <v>901 South Ave W</v>
      </c>
      <c r="K867" s="2" t="str">
        <f ca="1">IFERROR(__xludf.DUMMYFUNCTION("""COMPUTED_VALUE""")," Missoula")</f>
        <v xml:space="preserve"> Missoula</v>
      </c>
      <c r="L867" s="2" t="str">
        <f ca="1">IFERROR(__xludf.DUMMYFUNCTION("""COMPUTED_VALUE""")," MT 59801")</f>
        <v xml:space="preserve"> MT 59801</v>
      </c>
      <c r="M867" s="2" t="str">
        <f ca="1">IFERROR(__xludf.DUMMYFUNCTION("""COMPUTED_VALUE""")," USA")</f>
        <v xml:space="preserve"> USA</v>
      </c>
      <c r="P867" s="60"/>
    </row>
    <row r="868" spans="1:16">
      <c r="A868" s="60">
        <v>867</v>
      </c>
      <c r="B868" s="79" t="s">
        <v>309</v>
      </c>
      <c r="C868" s="60" t="s">
        <v>1296</v>
      </c>
      <c r="D868" s="93" t="s">
        <v>3300</v>
      </c>
      <c r="E868" s="48" t="str">
        <f t="shared" si="0"/>
        <v>Toledo</v>
      </c>
      <c r="F868" s="83" t="str">
        <f t="shared" si="1"/>
        <v>Toledo,OR</v>
      </c>
      <c r="G868" s="60" t="s">
        <v>5309</v>
      </c>
      <c r="H868" s="60">
        <v>44.621507000000001</v>
      </c>
      <c r="I868" s="60">
        <v>-123.93844780000001</v>
      </c>
      <c r="J868" s="60" t="str">
        <f ca="1">IFERROR(__xludf.DUMMYFUNCTION("SPLIT(G868,"","")"),"160 NW 1st St")</f>
        <v>160 NW 1st St</v>
      </c>
      <c r="K868" s="2" t="str">
        <f ca="1">IFERROR(__xludf.DUMMYFUNCTION("""COMPUTED_VALUE""")," Toledo")</f>
        <v xml:space="preserve"> Toledo</v>
      </c>
      <c r="L868" s="2" t="str">
        <f ca="1">IFERROR(__xludf.DUMMYFUNCTION("""COMPUTED_VALUE""")," OR 97391")</f>
        <v xml:space="preserve"> OR 97391</v>
      </c>
      <c r="M868" s="2" t="str">
        <f ca="1">IFERROR(__xludf.DUMMYFUNCTION("""COMPUTED_VALUE""")," USA")</f>
        <v xml:space="preserve"> USA</v>
      </c>
      <c r="P868" s="60"/>
    </row>
    <row r="869" spans="1:16">
      <c r="A869" s="65">
        <v>868</v>
      </c>
      <c r="B869" s="80" t="s">
        <v>5312</v>
      </c>
      <c r="C869" s="65" t="s">
        <v>174</v>
      </c>
      <c r="D869" s="93" t="s">
        <v>3300</v>
      </c>
      <c r="E869" s="48" t="str">
        <f t="shared" si="0"/>
        <v>Toledo</v>
      </c>
      <c r="F869" s="83" t="str">
        <f t="shared" si="1"/>
        <v>Start (Toledo),OH</v>
      </c>
      <c r="G869" s="65" t="s">
        <v>5314</v>
      </c>
      <c r="H869" s="65">
        <v>41.699421299999997</v>
      </c>
      <c r="I869" s="65">
        <v>-83.591848299999995</v>
      </c>
      <c r="J869" s="60" t="str">
        <f ca="1">IFERROR(__xludf.DUMMYFUNCTION("SPLIT(G869,"","")"),"2010 Tremainsville Rd")</f>
        <v>2010 Tremainsville Rd</v>
      </c>
      <c r="K869" s="2" t="str">
        <f ca="1">IFERROR(__xludf.DUMMYFUNCTION("""COMPUTED_VALUE""")," Toledo")</f>
        <v xml:space="preserve"> Toledo</v>
      </c>
      <c r="L869" s="2" t="str">
        <f ca="1">IFERROR(__xludf.DUMMYFUNCTION("""COMPUTED_VALUE""")," OH 43613")</f>
        <v xml:space="preserve"> OH 43613</v>
      </c>
      <c r="M869" s="2" t="str">
        <f ca="1">IFERROR(__xludf.DUMMYFUNCTION("""COMPUTED_VALUE""")," USA")</f>
        <v xml:space="preserve"> USA</v>
      </c>
      <c r="P869" s="60"/>
    </row>
    <row r="870" spans="1:16">
      <c r="A870" s="60">
        <v>869</v>
      </c>
      <c r="B870" s="79" t="s">
        <v>5319</v>
      </c>
      <c r="C870" s="60" t="s">
        <v>1050</v>
      </c>
      <c r="D870" s="93" t="s">
        <v>5320</v>
      </c>
      <c r="E870" s="48" t="str">
        <f t="shared" si="0"/>
        <v>Mt Clare</v>
      </c>
      <c r="F870" s="83" t="str">
        <f t="shared" si="1"/>
        <v>Robert C. Byrd (Clarksburg),WV</v>
      </c>
      <c r="G870" s="60" t="s">
        <v>5321</v>
      </c>
      <c r="H870" s="60">
        <v>39.2587543</v>
      </c>
      <c r="I870" s="60">
        <v>-80.351702599999996</v>
      </c>
      <c r="J870" s="60" t="str">
        <f ca="1">IFERROR(__xludf.DUMMYFUNCTION("SPLIT(G870,"","")"),"830 Eagle Way")</f>
        <v>830 Eagle Way</v>
      </c>
      <c r="K870" s="2" t="str">
        <f ca="1">IFERROR(__xludf.DUMMYFUNCTION("""COMPUTED_VALUE""")," Mt Clare")</f>
        <v xml:space="preserve"> Mt Clare</v>
      </c>
      <c r="L870" s="2" t="str">
        <f ca="1">IFERROR(__xludf.DUMMYFUNCTION("""COMPUTED_VALUE""")," WV 26408")</f>
        <v xml:space="preserve"> WV 26408</v>
      </c>
      <c r="M870" s="2" t="str">
        <f ca="1">IFERROR(__xludf.DUMMYFUNCTION("""COMPUTED_VALUE""")," USA")</f>
        <v xml:space="preserve"> USA</v>
      </c>
      <c r="P870" s="60"/>
    </row>
    <row r="871" spans="1:16">
      <c r="A871" s="65">
        <v>870</v>
      </c>
      <c r="B871" s="80" t="s">
        <v>5326</v>
      </c>
      <c r="C871" s="65" t="s">
        <v>602</v>
      </c>
      <c r="D871" s="93" t="s">
        <v>696</v>
      </c>
      <c r="E871" s="48" t="str">
        <f t="shared" si="0"/>
        <v>Richmond</v>
      </c>
      <c r="F871" s="83" t="str">
        <f t="shared" si="1"/>
        <v>Steward (Richmond),VA</v>
      </c>
      <c r="G871" s="65" t="s">
        <v>5328</v>
      </c>
      <c r="H871" s="65">
        <v>37.612500400000009</v>
      </c>
      <c r="I871" s="65">
        <v>-77.622907299999994</v>
      </c>
      <c r="J871" s="60" t="str">
        <f ca="1">IFERROR(__xludf.DUMMYFUNCTION("SPLIT(G871,"","")"),"11600 Gayton Rd")</f>
        <v>11600 Gayton Rd</v>
      </c>
      <c r="K871" s="2" t="str">
        <f ca="1">IFERROR(__xludf.DUMMYFUNCTION("""COMPUTED_VALUE""")," Richmond")</f>
        <v xml:space="preserve"> Richmond</v>
      </c>
      <c r="L871" s="2" t="str">
        <f ca="1">IFERROR(__xludf.DUMMYFUNCTION("""COMPUTED_VALUE""")," VA 23238")</f>
        <v xml:space="preserve"> VA 23238</v>
      </c>
      <c r="M871" s="2" t="str">
        <f ca="1">IFERROR(__xludf.DUMMYFUNCTION("""COMPUTED_VALUE""")," USA")</f>
        <v xml:space="preserve"> USA</v>
      </c>
      <c r="P871" s="60"/>
    </row>
    <row r="872" spans="1:16">
      <c r="A872" s="60">
        <v>871</v>
      </c>
      <c r="B872" s="79" t="s">
        <v>5331</v>
      </c>
      <c r="C872" s="60" t="s">
        <v>602</v>
      </c>
      <c r="D872" s="93" t="s">
        <v>5333</v>
      </c>
      <c r="E872" s="48" t="str">
        <f t="shared" si="0"/>
        <v>Centreville</v>
      </c>
      <c r="F872" s="83" t="str">
        <f t="shared" si="1"/>
        <v>Centreville (Clifton),VA</v>
      </c>
      <c r="G872" s="60" t="s">
        <v>5334</v>
      </c>
      <c r="H872" s="60">
        <v>38.840390900000003</v>
      </c>
      <c r="I872" s="60">
        <v>-77.428876899999992</v>
      </c>
      <c r="J872" s="60" t="str">
        <f ca="1">IFERROR(__xludf.DUMMYFUNCTION("SPLIT(G872,"","")"),"13938 Braddock Rd")</f>
        <v>13938 Braddock Rd</v>
      </c>
      <c r="K872" s="2" t="str">
        <f ca="1">IFERROR(__xludf.DUMMYFUNCTION("""COMPUTED_VALUE""")," Centreville")</f>
        <v xml:space="preserve"> Centreville</v>
      </c>
      <c r="L872" s="2" t="str">
        <f ca="1">IFERROR(__xludf.DUMMYFUNCTION("""COMPUTED_VALUE""")," VA 20120")</f>
        <v xml:space="preserve"> VA 20120</v>
      </c>
      <c r="M872" s="2" t="str">
        <f ca="1">IFERROR(__xludf.DUMMYFUNCTION("""COMPUTED_VALUE""")," USA")</f>
        <v xml:space="preserve"> USA</v>
      </c>
      <c r="P872" s="60"/>
    </row>
    <row r="873" spans="1:16">
      <c r="A873" s="65">
        <v>872</v>
      </c>
      <c r="B873" s="80" t="s">
        <v>5337</v>
      </c>
      <c r="C873" s="65" t="s">
        <v>598</v>
      </c>
      <c r="D873" s="93" t="s">
        <v>3748</v>
      </c>
      <c r="E873" s="48" t="str">
        <f t="shared" si="0"/>
        <v>Buford</v>
      </c>
      <c r="F873" s="83" t="str">
        <f t="shared" si="1"/>
        <v>Buford,GA</v>
      </c>
      <c r="G873" s="65" t="s">
        <v>5339</v>
      </c>
      <c r="H873" s="65">
        <v>34.120656400000001</v>
      </c>
      <c r="I873" s="65">
        <v>-84.004351299999996</v>
      </c>
      <c r="J873" s="60" t="str">
        <f ca="1">IFERROR(__xludf.DUMMYFUNCTION("SPLIT(G873,"","")"),"101 E Main St NE")</f>
        <v>101 E Main St NE</v>
      </c>
      <c r="K873" s="2" t="str">
        <f ca="1">IFERROR(__xludf.DUMMYFUNCTION("""COMPUTED_VALUE""")," Buford")</f>
        <v xml:space="preserve"> Buford</v>
      </c>
      <c r="L873" s="2" t="str">
        <f ca="1">IFERROR(__xludf.DUMMYFUNCTION("""COMPUTED_VALUE""")," GA 30518")</f>
        <v xml:space="preserve"> GA 30518</v>
      </c>
      <c r="M873" s="2" t="str">
        <f ca="1">IFERROR(__xludf.DUMMYFUNCTION("""COMPUTED_VALUE""")," USA")</f>
        <v xml:space="preserve"> USA</v>
      </c>
      <c r="P873" s="60"/>
    </row>
    <row r="874" spans="1:16">
      <c r="A874" s="60">
        <v>873</v>
      </c>
      <c r="B874" s="79" t="s">
        <v>5342</v>
      </c>
      <c r="C874" s="60" t="s">
        <v>765</v>
      </c>
      <c r="D874" s="93" t="s">
        <v>5344</v>
      </c>
      <c r="E874" s="48" t="str">
        <f t="shared" si="0"/>
        <v>Spanish Fork</v>
      </c>
      <c r="F874" s="83" t="str">
        <f t="shared" si="1"/>
        <v>Maple Mountain (Spanish Fork),UT</v>
      </c>
      <c r="G874" s="60" t="s">
        <v>5345</v>
      </c>
      <c r="H874" s="60">
        <v>40.1104579</v>
      </c>
      <c r="I874" s="60">
        <v>-111.6132705</v>
      </c>
      <c r="J874" s="60" t="str">
        <f ca="1">IFERROR(__xludf.DUMMYFUNCTION("SPLIT(G874,"","")"),"51 N 2550 E")</f>
        <v>51 N 2550 E</v>
      </c>
      <c r="K874" s="2" t="str">
        <f ca="1">IFERROR(__xludf.DUMMYFUNCTION("""COMPUTED_VALUE""")," Spanish Fork")</f>
        <v xml:space="preserve"> Spanish Fork</v>
      </c>
      <c r="L874" s="2" t="str">
        <f ca="1">IFERROR(__xludf.DUMMYFUNCTION("""COMPUTED_VALUE""")," UT 84660")</f>
        <v xml:space="preserve"> UT 84660</v>
      </c>
      <c r="M874" s="2" t="str">
        <f ca="1">IFERROR(__xludf.DUMMYFUNCTION("""COMPUTED_VALUE""")," USA")</f>
        <v xml:space="preserve"> USA</v>
      </c>
      <c r="P874" s="60"/>
    </row>
    <row r="875" spans="1:16">
      <c r="A875" s="65">
        <v>874</v>
      </c>
      <c r="B875" s="80" t="s">
        <v>5347</v>
      </c>
      <c r="C875" s="65" t="s">
        <v>604</v>
      </c>
      <c r="D875" s="93" t="s">
        <v>1207</v>
      </c>
      <c r="E875" s="48" t="str">
        <f t="shared" si="0"/>
        <v>Peoria</v>
      </c>
      <c r="F875" s="83" t="str">
        <f t="shared" si="1"/>
        <v>Manual (Peoria),IL</v>
      </c>
      <c r="G875" s="65" t="s">
        <v>5348</v>
      </c>
      <c r="H875" s="65">
        <v>40.6801782</v>
      </c>
      <c r="I875" s="65">
        <v>-89.634300599999989</v>
      </c>
      <c r="J875" s="60" t="str">
        <f ca="1">IFERROR(__xludf.DUMMYFUNCTION("SPLIT(G875,"","")"),"811 S Griswold St")</f>
        <v>811 S Griswold St</v>
      </c>
      <c r="K875" s="2" t="str">
        <f ca="1">IFERROR(__xludf.DUMMYFUNCTION("""COMPUTED_VALUE""")," Peoria")</f>
        <v xml:space="preserve"> Peoria</v>
      </c>
      <c r="L875" s="2" t="str">
        <f ca="1">IFERROR(__xludf.DUMMYFUNCTION("""COMPUTED_VALUE""")," IL 61605")</f>
        <v xml:space="preserve"> IL 61605</v>
      </c>
      <c r="M875" s="2" t="str">
        <f ca="1">IFERROR(__xludf.DUMMYFUNCTION("""COMPUTED_VALUE""")," USA")</f>
        <v xml:space="preserve"> USA</v>
      </c>
      <c r="P875" s="60"/>
    </row>
    <row r="876" spans="1:16">
      <c r="A876" s="97">
        <v>875</v>
      </c>
      <c r="B876" s="99" t="s">
        <v>5352</v>
      </c>
      <c r="C876" s="97" t="s">
        <v>675</v>
      </c>
      <c r="D876" s="93" t="s">
        <v>5353</v>
      </c>
      <c r="E876" s="48" t="str">
        <f t="shared" si="0"/>
        <v>Cranberry Twp</v>
      </c>
      <c r="F876" s="83" t="str">
        <f t="shared" si="1"/>
        <v>North Catholic (Cranberry Township),PA</v>
      </c>
      <c r="G876" s="97" t="s">
        <v>5356</v>
      </c>
      <c r="H876" s="97">
        <v>40.688132400000001</v>
      </c>
      <c r="I876" s="97">
        <v>-80.068858699999993</v>
      </c>
      <c r="J876" s="60" t="str">
        <f ca="1">IFERROR(__xludf.DUMMYFUNCTION("SPLIT(G876,"","")"),"1617 PA-228")</f>
        <v>1617 PA-228</v>
      </c>
      <c r="K876" s="2" t="str">
        <f ca="1">IFERROR(__xludf.DUMMYFUNCTION("""COMPUTED_VALUE""")," Cranberry Twp")</f>
        <v xml:space="preserve"> Cranberry Twp</v>
      </c>
      <c r="L876" s="2" t="str">
        <f ca="1">IFERROR(__xludf.DUMMYFUNCTION("""COMPUTED_VALUE""")," PA 16066")</f>
        <v xml:space="preserve"> PA 16066</v>
      </c>
      <c r="M876" s="2" t="str">
        <f ca="1">IFERROR(__xludf.DUMMYFUNCTION("""COMPUTED_VALUE""")," USA")</f>
        <v xml:space="preserve"> USA</v>
      </c>
      <c r="P876" s="60"/>
    </row>
    <row r="877" spans="1:16">
      <c r="A877" s="60">
        <v>876</v>
      </c>
      <c r="B877" s="79" t="s">
        <v>5358</v>
      </c>
      <c r="C877" s="60" t="s">
        <v>588</v>
      </c>
      <c r="D877" s="93" t="s">
        <v>4365</v>
      </c>
      <c r="E877" s="48" t="str">
        <f t="shared" si="0"/>
        <v>Santa Monica</v>
      </c>
      <c r="F877" s="83" t="str">
        <f t="shared" si="1"/>
        <v>Crossroads (Santa Monica),CA</v>
      </c>
      <c r="G877" s="60" t="s">
        <v>5360</v>
      </c>
      <c r="H877" s="60">
        <v>34.024569499999998</v>
      </c>
      <c r="I877" s="60">
        <v>-118.47387139999999</v>
      </c>
      <c r="J877" s="60" t="str">
        <f ca="1">IFERROR(__xludf.DUMMYFUNCTION("SPLIT(G877,"","")"),"1714 21st St")</f>
        <v>1714 21st St</v>
      </c>
      <c r="K877" s="2" t="str">
        <f ca="1">IFERROR(__xludf.DUMMYFUNCTION("""COMPUTED_VALUE""")," Santa Monica")</f>
        <v xml:space="preserve"> Santa Monica</v>
      </c>
      <c r="L877" s="2" t="str">
        <f ca="1">IFERROR(__xludf.DUMMYFUNCTION("""COMPUTED_VALUE""")," CA 90404")</f>
        <v xml:space="preserve"> CA 90404</v>
      </c>
      <c r="M877" s="2" t="str">
        <f ca="1">IFERROR(__xludf.DUMMYFUNCTION("""COMPUTED_VALUE""")," USA")</f>
        <v xml:space="preserve"> USA</v>
      </c>
      <c r="P877" s="60"/>
    </row>
    <row r="878" spans="1:16">
      <c r="A878" s="65">
        <v>877</v>
      </c>
      <c r="B878" s="80" t="s">
        <v>5363</v>
      </c>
      <c r="C878" s="65" t="s">
        <v>179</v>
      </c>
      <c r="D878" s="93" t="s">
        <v>1921</v>
      </c>
      <c r="E878" s="48" t="str">
        <f t="shared" si="0"/>
        <v>Greensboro</v>
      </c>
      <c r="F878" s="83" t="str">
        <f t="shared" si="1"/>
        <v>Northwest Guilford (Greensboro),NC</v>
      </c>
      <c r="G878" s="65" t="s">
        <v>5365</v>
      </c>
      <c r="H878" s="65">
        <v>36.154639199999998</v>
      </c>
      <c r="I878" s="65">
        <v>-79.953364699999995</v>
      </c>
      <c r="J878" s="60" t="str">
        <f ca="1">IFERROR(__xludf.DUMMYFUNCTION("SPLIT(G878,"","")"),"5240 NW School Rd")</f>
        <v>5240 NW School Rd</v>
      </c>
      <c r="K878" s="2" t="str">
        <f ca="1">IFERROR(__xludf.DUMMYFUNCTION("""COMPUTED_VALUE""")," Greensboro")</f>
        <v xml:space="preserve"> Greensboro</v>
      </c>
      <c r="L878" s="2" t="str">
        <f ca="1">IFERROR(__xludf.DUMMYFUNCTION("""COMPUTED_VALUE""")," NC 27409")</f>
        <v xml:space="preserve"> NC 27409</v>
      </c>
      <c r="M878" s="2" t="str">
        <f ca="1">IFERROR(__xludf.DUMMYFUNCTION("""COMPUTED_VALUE""")," USA")</f>
        <v xml:space="preserve"> USA</v>
      </c>
      <c r="P878" s="60"/>
    </row>
    <row r="879" spans="1:16">
      <c r="A879" s="60">
        <v>878</v>
      </c>
      <c r="B879" s="79" t="s">
        <v>378</v>
      </c>
      <c r="C879" s="60" t="s">
        <v>624</v>
      </c>
      <c r="D879" s="93" t="s">
        <v>5369</v>
      </c>
      <c r="E879" s="48" t="str">
        <f t="shared" si="0"/>
        <v>Breaux Bridge</v>
      </c>
      <c r="F879" s="83" t="str">
        <f t="shared" si="1"/>
        <v>Breaux Bridge,LA</v>
      </c>
      <c r="G879" s="60" t="s">
        <v>5370</v>
      </c>
      <c r="H879" s="60">
        <v>30.273532299999999</v>
      </c>
      <c r="I879" s="60">
        <v>-91.899283699999998</v>
      </c>
      <c r="J879" s="60" t="str">
        <f ca="1">IFERROR(__xludf.DUMMYFUNCTION("SPLIT(G879,"","")"),"103 S Main St")</f>
        <v>103 S Main St</v>
      </c>
      <c r="K879" s="2" t="str">
        <f ca="1">IFERROR(__xludf.DUMMYFUNCTION("""COMPUTED_VALUE""")," Breaux Bridge")</f>
        <v xml:space="preserve"> Breaux Bridge</v>
      </c>
      <c r="L879" s="2" t="str">
        <f ca="1">IFERROR(__xludf.DUMMYFUNCTION("""COMPUTED_VALUE""")," LA 70517")</f>
        <v xml:space="preserve"> LA 70517</v>
      </c>
      <c r="M879" s="2" t="str">
        <f ca="1">IFERROR(__xludf.DUMMYFUNCTION("""COMPUTED_VALUE""")," USA")</f>
        <v xml:space="preserve"> USA</v>
      </c>
      <c r="P879" s="60"/>
    </row>
    <row r="880" spans="1:16">
      <c r="A880" s="65">
        <v>879</v>
      </c>
      <c r="B880" s="80" t="s">
        <v>5375</v>
      </c>
      <c r="C880" s="65" t="s">
        <v>136</v>
      </c>
      <c r="D880" s="93" t="s">
        <v>835</v>
      </c>
      <c r="E880" s="48" t="str">
        <f t="shared" si="0"/>
        <v>Orlando</v>
      </c>
      <c r="F880" s="83" t="str">
        <f t="shared" si="1"/>
        <v>Central Florida Christian Academy (Ocoee),FL</v>
      </c>
      <c r="G880" s="65" t="s">
        <v>5378</v>
      </c>
      <c r="H880" s="65">
        <v>28.548701300000001</v>
      </c>
      <c r="I880" s="65">
        <v>-81.506625599999992</v>
      </c>
      <c r="J880" s="60" t="str">
        <f ca="1">IFERROR(__xludf.DUMMYFUNCTION("SPLIT(G880,"","")"),"700 Good Homes Rd")</f>
        <v>700 Good Homes Rd</v>
      </c>
      <c r="K880" s="2" t="str">
        <f ca="1">IFERROR(__xludf.DUMMYFUNCTION("""COMPUTED_VALUE""")," Orlando")</f>
        <v xml:space="preserve"> Orlando</v>
      </c>
      <c r="L880" s="2" t="str">
        <f ca="1">IFERROR(__xludf.DUMMYFUNCTION("""COMPUTED_VALUE""")," FL 32818")</f>
        <v xml:space="preserve"> FL 32818</v>
      </c>
      <c r="M880" s="2" t="str">
        <f ca="1">IFERROR(__xludf.DUMMYFUNCTION("""COMPUTED_VALUE""")," USA")</f>
        <v xml:space="preserve"> USA</v>
      </c>
      <c r="P880" s="60"/>
    </row>
    <row r="881" spans="1:16">
      <c r="A881" s="60">
        <v>880</v>
      </c>
      <c r="B881" s="79" t="s">
        <v>5381</v>
      </c>
      <c r="C881" s="60" t="s">
        <v>1055</v>
      </c>
      <c r="D881" s="93" t="s">
        <v>5383</v>
      </c>
      <c r="E881" s="48" t="str">
        <f t="shared" si="0"/>
        <v>Edmond</v>
      </c>
      <c r="F881" s="83" t="str">
        <f t="shared" si="1"/>
        <v>Edmond North (Edmond),OK</v>
      </c>
      <c r="G881" s="60" t="s">
        <v>5384</v>
      </c>
      <c r="H881" s="60">
        <v>35.667975400000003</v>
      </c>
      <c r="I881" s="60">
        <v>-97.484805199999997</v>
      </c>
      <c r="J881" s="60" t="str">
        <f ca="1">IFERROR(__xludf.DUMMYFUNCTION("SPLIT(G881,"","")"),"215 W Danforth Rd")</f>
        <v>215 W Danforth Rd</v>
      </c>
      <c r="K881" s="2" t="str">
        <f ca="1">IFERROR(__xludf.DUMMYFUNCTION("""COMPUTED_VALUE""")," Edmond")</f>
        <v xml:space="preserve"> Edmond</v>
      </c>
      <c r="L881" s="2" t="str">
        <f ca="1">IFERROR(__xludf.DUMMYFUNCTION("""COMPUTED_VALUE""")," OK 73003")</f>
        <v xml:space="preserve"> OK 73003</v>
      </c>
      <c r="M881" s="2" t="str">
        <f ca="1">IFERROR(__xludf.DUMMYFUNCTION("""COMPUTED_VALUE""")," USA")</f>
        <v xml:space="preserve"> USA</v>
      </c>
      <c r="P881" s="60"/>
    </row>
    <row r="882" spans="1:16">
      <c r="A882" s="65">
        <v>881</v>
      </c>
      <c r="B882" s="80" t="s">
        <v>5389</v>
      </c>
      <c r="C882" s="65" t="s">
        <v>588</v>
      </c>
      <c r="D882" s="93" t="s">
        <v>5390</v>
      </c>
      <c r="E882" s="48" t="str">
        <f t="shared" si="0"/>
        <v>Encino</v>
      </c>
      <c r="F882" s="83" t="str">
        <f t="shared" si="1"/>
        <v>Crespi (Encino),CA</v>
      </c>
      <c r="G882" s="65" t="s">
        <v>5391</v>
      </c>
      <c r="H882" s="65">
        <v>34.161898899999997</v>
      </c>
      <c r="I882" s="65">
        <v>-118.5213686</v>
      </c>
      <c r="J882" s="60" t="str">
        <f ca="1">IFERROR(__xludf.DUMMYFUNCTION("SPLIT(G882,"","")"),"5031 Alonzo Ave")</f>
        <v>5031 Alonzo Ave</v>
      </c>
      <c r="K882" s="2" t="str">
        <f ca="1">IFERROR(__xludf.DUMMYFUNCTION("""COMPUTED_VALUE""")," Encino")</f>
        <v xml:space="preserve"> Encino</v>
      </c>
      <c r="L882" s="2" t="str">
        <f ca="1">IFERROR(__xludf.DUMMYFUNCTION("""COMPUTED_VALUE""")," CA 91316")</f>
        <v xml:space="preserve"> CA 91316</v>
      </c>
      <c r="M882" s="2" t="str">
        <f ca="1">IFERROR(__xludf.DUMMYFUNCTION("""COMPUTED_VALUE""")," USA")</f>
        <v xml:space="preserve"> USA</v>
      </c>
      <c r="P882" s="60"/>
    </row>
    <row r="883" spans="1:16">
      <c r="A883" s="60">
        <v>882</v>
      </c>
      <c r="B883" s="79" t="s">
        <v>5394</v>
      </c>
      <c r="C883" s="60" t="s">
        <v>675</v>
      </c>
      <c r="D883" s="93" t="s">
        <v>5395</v>
      </c>
      <c r="E883" s="48" t="str">
        <f t="shared" si="0"/>
        <v>Altoona</v>
      </c>
      <c r="F883" s="83" t="str">
        <f t="shared" si="1"/>
        <v>Bishop Guilfoyle (Altoona),PA</v>
      </c>
      <c r="G883" s="60" t="s">
        <v>5397</v>
      </c>
      <c r="H883" s="60">
        <v>40.495605900000001</v>
      </c>
      <c r="I883" s="60">
        <v>-78.396262899999996</v>
      </c>
      <c r="J883" s="60" t="str">
        <f ca="1">IFERROR(__xludf.DUMMYFUNCTION("SPLIT(G883,"","")"),"2400 Pleasant Valley Blvd")</f>
        <v>2400 Pleasant Valley Blvd</v>
      </c>
      <c r="K883" s="2" t="str">
        <f ca="1">IFERROR(__xludf.DUMMYFUNCTION("""COMPUTED_VALUE""")," Altoona")</f>
        <v xml:space="preserve"> Altoona</v>
      </c>
      <c r="L883" s="2" t="str">
        <f ca="1">IFERROR(__xludf.DUMMYFUNCTION("""COMPUTED_VALUE""")," PA 16602")</f>
        <v xml:space="preserve"> PA 16602</v>
      </c>
      <c r="M883" s="2" t="str">
        <f ca="1">IFERROR(__xludf.DUMMYFUNCTION("""COMPUTED_VALUE""")," USA")</f>
        <v xml:space="preserve"> USA</v>
      </c>
      <c r="P883" s="60"/>
    </row>
    <row r="884" spans="1:16">
      <c r="A884" s="65">
        <v>883</v>
      </c>
      <c r="B884" s="80" t="s">
        <v>5403</v>
      </c>
      <c r="C884" s="65" t="s">
        <v>901</v>
      </c>
      <c r="D884" s="93" t="s">
        <v>5404</v>
      </c>
      <c r="E884" s="48" t="str">
        <f t="shared" si="0"/>
        <v>Paragould</v>
      </c>
      <c r="F884" s="83" t="str">
        <f t="shared" si="1"/>
        <v>Greene County Tech (Paragould),AR</v>
      </c>
      <c r="G884" s="65" t="s">
        <v>5405</v>
      </c>
      <c r="H884" s="65">
        <v>36.065599800000001</v>
      </c>
      <c r="I884" s="65">
        <v>-90.557293000000001</v>
      </c>
      <c r="J884" s="60" t="str">
        <f ca="1">IFERROR(__xludf.DUMMYFUNCTION("SPLIT(G884,"","")"),"5205 W Kingshighway")</f>
        <v>5205 W Kingshighway</v>
      </c>
      <c r="K884" s="2" t="str">
        <f ca="1">IFERROR(__xludf.DUMMYFUNCTION("""COMPUTED_VALUE""")," Paragould")</f>
        <v xml:space="preserve"> Paragould</v>
      </c>
      <c r="L884" s="2" t="str">
        <f ca="1">IFERROR(__xludf.DUMMYFUNCTION("""COMPUTED_VALUE""")," AR 72450")</f>
        <v xml:space="preserve"> AR 72450</v>
      </c>
      <c r="M884" s="2" t="str">
        <f ca="1">IFERROR(__xludf.DUMMYFUNCTION("""COMPUTED_VALUE""")," USA")</f>
        <v xml:space="preserve"> USA</v>
      </c>
      <c r="P884" s="60"/>
    </row>
    <row r="885" spans="1:16">
      <c r="A885" s="60">
        <v>884</v>
      </c>
      <c r="B885" s="79" t="s">
        <v>5409</v>
      </c>
      <c r="C885" s="60" t="s">
        <v>71</v>
      </c>
      <c r="D885" s="93" t="s">
        <v>3570</v>
      </c>
      <c r="E885" s="48" t="str">
        <f t="shared" si="0"/>
        <v>Chandler</v>
      </c>
      <c r="F885" s="83" t="str">
        <f t="shared" si="1"/>
        <v>Hamilton (Chandler),AZ</v>
      </c>
      <c r="G885" s="60" t="s">
        <v>5411</v>
      </c>
      <c r="H885" s="60">
        <v>33.252027599999998</v>
      </c>
      <c r="I885" s="60">
        <v>-111.84308710000001</v>
      </c>
      <c r="J885" s="60" t="str">
        <f ca="1">IFERROR(__xludf.DUMMYFUNCTION("SPLIT(G885,"","")"),"3700 S Arizona Ave")</f>
        <v>3700 S Arizona Ave</v>
      </c>
      <c r="K885" s="2" t="str">
        <f ca="1">IFERROR(__xludf.DUMMYFUNCTION("""COMPUTED_VALUE""")," Chandler")</f>
        <v xml:space="preserve"> Chandler</v>
      </c>
      <c r="L885" s="2" t="str">
        <f ca="1">IFERROR(__xludf.DUMMYFUNCTION("""COMPUTED_VALUE""")," AZ 85248")</f>
        <v xml:space="preserve"> AZ 85248</v>
      </c>
      <c r="M885" s="2" t="str">
        <f ca="1">IFERROR(__xludf.DUMMYFUNCTION("""COMPUTED_VALUE""")," USA")</f>
        <v xml:space="preserve"> USA</v>
      </c>
      <c r="P885" s="60"/>
    </row>
    <row r="886" spans="1:16">
      <c r="A886" s="65">
        <v>885</v>
      </c>
      <c r="B886" s="80" t="s">
        <v>5415</v>
      </c>
      <c r="C886" s="65" t="s">
        <v>588</v>
      </c>
      <c r="D886" s="93" t="s">
        <v>2943</v>
      </c>
      <c r="E886" s="48" t="str">
        <f t="shared" si="0"/>
        <v>Atherton</v>
      </c>
      <c r="F886" s="83" t="str">
        <f t="shared" si="1"/>
        <v>Sacred Heart Prep (Atherton),CA</v>
      </c>
      <c r="G886" s="65" t="s">
        <v>5418</v>
      </c>
      <c r="H886" s="65">
        <v>37.449187799999997</v>
      </c>
      <c r="I886" s="65">
        <v>-122.1964641</v>
      </c>
      <c r="J886" s="60" t="str">
        <f ca="1">IFERROR(__xludf.DUMMYFUNCTION("SPLIT(G886,"","")"),"150 Valparaiso Ave")</f>
        <v>150 Valparaiso Ave</v>
      </c>
      <c r="K886" s="2" t="str">
        <f ca="1">IFERROR(__xludf.DUMMYFUNCTION("""COMPUTED_VALUE""")," Atherton")</f>
        <v xml:space="preserve"> Atherton</v>
      </c>
      <c r="L886" s="2" t="str">
        <f ca="1">IFERROR(__xludf.DUMMYFUNCTION("""COMPUTED_VALUE""")," CA 94027")</f>
        <v xml:space="preserve"> CA 94027</v>
      </c>
      <c r="M886" s="2" t="str">
        <f ca="1">IFERROR(__xludf.DUMMYFUNCTION("""COMPUTED_VALUE""")," USA")</f>
        <v xml:space="preserve"> USA</v>
      </c>
      <c r="P886" s="60"/>
    </row>
    <row r="887" spans="1:16">
      <c r="A887" s="60">
        <v>886</v>
      </c>
      <c r="B887" s="79" t="s">
        <v>5426</v>
      </c>
      <c r="C887" s="60" t="s">
        <v>604</v>
      </c>
      <c r="D887" s="93" t="s">
        <v>5427</v>
      </c>
      <c r="E887" s="48" t="str">
        <f t="shared" si="0"/>
        <v>Oak Forest</v>
      </c>
      <c r="F887" s="83" t="str">
        <f t="shared" si="1"/>
        <v>Oak Forest,IL</v>
      </c>
      <c r="G887" s="60" t="s">
        <v>5429</v>
      </c>
      <c r="H887" s="60">
        <v>41.602811600000003</v>
      </c>
      <c r="I887" s="60">
        <v>-87.74393839999999</v>
      </c>
      <c r="J887" s="60" t="str">
        <f ca="1">IFERROR(__xludf.DUMMYFUNCTION("SPLIT(G887,"","")"),"5101 159th St")</f>
        <v>5101 159th St</v>
      </c>
      <c r="K887" s="2" t="str">
        <f ca="1">IFERROR(__xludf.DUMMYFUNCTION("""COMPUTED_VALUE""")," Oak Forest")</f>
        <v xml:space="preserve"> Oak Forest</v>
      </c>
      <c r="L887" s="2" t="str">
        <f ca="1">IFERROR(__xludf.DUMMYFUNCTION("""COMPUTED_VALUE""")," IL 60452")</f>
        <v xml:space="preserve"> IL 60452</v>
      </c>
      <c r="M887" s="2" t="str">
        <f ca="1">IFERROR(__xludf.DUMMYFUNCTION("""COMPUTED_VALUE""")," USA")</f>
        <v xml:space="preserve"> USA</v>
      </c>
      <c r="P887" s="60"/>
    </row>
    <row r="888" spans="1:16">
      <c r="A888" s="65">
        <v>887</v>
      </c>
      <c r="B888" s="80" t="s">
        <v>5431</v>
      </c>
      <c r="C888" s="65" t="s">
        <v>1039</v>
      </c>
      <c r="D888" s="93" t="s">
        <v>5432</v>
      </c>
      <c r="E888" s="48" t="str">
        <f t="shared" si="0"/>
        <v>Boston</v>
      </c>
      <c r="F888" s="83" t="str">
        <f t="shared" si="1"/>
        <v>Boston College High (Boston),MA</v>
      </c>
      <c r="G888" s="65" t="s">
        <v>5434</v>
      </c>
      <c r="H888" s="65">
        <v>42.316235599999999</v>
      </c>
      <c r="I888" s="65">
        <v>-71.045464499999994</v>
      </c>
      <c r="J888" s="60" t="str">
        <f ca="1">IFERROR(__xludf.DUMMYFUNCTION("SPLIT(G888,"","")"),"150 Morrissey Blvd")</f>
        <v>150 Morrissey Blvd</v>
      </c>
      <c r="K888" s="2" t="str">
        <f ca="1">IFERROR(__xludf.DUMMYFUNCTION("""COMPUTED_VALUE""")," Boston")</f>
        <v xml:space="preserve"> Boston</v>
      </c>
      <c r="L888" s="2" t="str">
        <f ca="1">IFERROR(__xludf.DUMMYFUNCTION("""COMPUTED_VALUE""")," MA 02125")</f>
        <v xml:space="preserve"> MA 02125</v>
      </c>
      <c r="M888" s="2" t="str">
        <f ca="1">IFERROR(__xludf.DUMMYFUNCTION("""COMPUTED_VALUE""")," USA")</f>
        <v xml:space="preserve"> USA</v>
      </c>
      <c r="P888" s="60"/>
    </row>
    <row r="889" spans="1:16">
      <c r="A889" s="60">
        <v>888</v>
      </c>
      <c r="B889" s="79" t="s">
        <v>5436</v>
      </c>
      <c r="C889" s="60" t="s">
        <v>595</v>
      </c>
      <c r="D889" s="93" t="s">
        <v>961</v>
      </c>
      <c r="E889" s="48" t="str">
        <f t="shared" si="0"/>
        <v>Dallas</v>
      </c>
      <c r="F889" s="83" t="str">
        <f t="shared" si="1"/>
        <v>Bishop Lynch (Dallas),TX</v>
      </c>
      <c r="G889" s="60" t="s">
        <v>5439</v>
      </c>
      <c r="H889" s="60">
        <v>32.818486</v>
      </c>
      <c r="I889" s="60">
        <v>-96.681764000000001</v>
      </c>
      <c r="J889" s="60" t="str">
        <f ca="1">IFERROR(__xludf.DUMMYFUNCTION("SPLIT(G889,"","")"),"9750 Ferguson Rd")</f>
        <v>9750 Ferguson Rd</v>
      </c>
      <c r="K889" s="2" t="str">
        <f ca="1">IFERROR(__xludf.DUMMYFUNCTION("""COMPUTED_VALUE""")," Dallas")</f>
        <v xml:space="preserve"> Dallas</v>
      </c>
      <c r="L889" s="2" t="str">
        <f ca="1">IFERROR(__xludf.DUMMYFUNCTION("""COMPUTED_VALUE""")," TX 75228")</f>
        <v xml:space="preserve"> TX 75228</v>
      </c>
      <c r="M889" s="2" t="str">
        <f ca="1">IFERROR(__xludf.DUMMYFUNCTION("""COMPUTED_VALUE""")," USA")</f>
        <v xml:space="preserve"> USA</v>
      </c>
      <c r="P889" s="60"/>
    </row>
    <row r="890" spans="1:16">
      <c r="A890" s="65">
        <v>889</v>
      </c>
      <c r="B890" s="80" t="s">
        <v>5444</v>
      </c>
      <c r="C890" s="65" t="s">
        <v>179</v>
      </c>
      <c r="D890" s="93" t="s">
        <v>2910</v>
      </c>
      <c r="E890" s="48" t="str">
        <f t="shared" si="0"/>
        <v>Charlotte</v>
      </c>
      <c r="F890" s="83" t="str">
        <f t="shared" si="1"/>
        <v>Independence (Charlotte),NC</v>
      </c>
      <c r="G890" s="65" t="s">
        <v>5445</v>
      </c>
      <c r="H890" s="65">
        <v>35.202497600000001</v>
      </c>
      <c r="I890" s="65">
        <v>-80.783483099999998</v>
      </c>
      <c r="J890" s="60" t="str">
        <f ca="1">IFERROR(__xludf.DUMMYFUNCTION("SPLIT(G890,"","")"),"3501 E Independence Blvd")</f>
        <v>3501 E Independence Blvd</v>
      </c>
      <c r="K890" s="2" t="str">
        <f ca="1">IFERROR(__xludf.DUMMYFUNCTION("""COMPUTED_VALUE""")," Charlotte")</f>
        <v xml:space="preserve"> Charlotte</v>
      </c>
      <c r="L890" s="2" t="str">
        <f ca="1">IFERROR(__xludf.DUMMYFUNCTION("""COMPUTED_VALUE""")," NC 28205")</f>
        <v xml:space="preserve"> NC 28205</v>
      </c>
      <c r="M890" s="2" t="str">
        <f ca="1">IFERROR(__xludf.DUMMYFUNCTION("""COMPUTED_VALUE""")," USA")</f>
        <v xml:space="preserve"> USA</v>
      </c>
      <c r="P890" s="60"/>
    </row>
    <row r="891" spans="1:16">
      <c r="A891" s="60">
        <v>890</v>
      </c>
      <c r="B891" s="79" t="s">
        <v>5448</v>
      </c>
      <c r="C891" s="60" t="s">
        <v>595</v>
      </c>
      <c r="D891" s="93" t="s">
        <v>3416</v>
      </c>
      <c r="E891" s="48" t="str">
        <f t="shared" si="0"/>
        <v>Frisco</v>
      </c>
      <c r="F891" s="83" t="str">
        <f t="shared" si="1"/>
        <v>Independence (Frisco),TX</v>
      </c>
      <c r="G891" s="60" t="s">
        <v>5450</v>
      </c>
      <c r="H891" s="60">
        <v>33.164474599999998</v>
      </c>
      <c r="I891" s="60">
        <v>-96.751580300000001</v>
      </c>
      <c r="J891" s="60" t="str">
        <f ca="1">IFERROR(__xludf.DUMMYFUNCTION("SPLIT(G891,"","")"),"10555 Independence Pkwy")</f>
        <v>10555 Independence Pkwy</v>
      </c>
      <c r="K891" s="2" t="str">
        <f ca="1">IFERROR(__xludf.DUMMYFUNCTION("""COMPUTED_VALUE""")," Frisco")</f>
        <v xml:space="preserve"> Frisco</v>
      </c>
      <c r="L891" s="2" t="str">
        <f ca="1">IFERROR(__xludf.DUMMYFUNCTION("""COMPUTED_VALUE""")," TX 75035")</f>
        <v xml:space="preserve"> TX 75035</v>
      </c>
      <c r="M891" s="2" t="str">
        <f ca="1">IFERROR(__xludf.DUMMYFUNCTION("""COMPUTED_VALUE""")," USA")</f>
        <v xml:space="preserve"> USA</v>
      </c>
      <c r="P891" s="60"/>
    </row>
    <row r="892" spans="1:16">
      <c r="A892" s="65">
        <v>891</v>
      </c>
      <c r="B892" s="80" t="s">
        <v>5453</v>
      </c>
      <c r="C892" s="65" t="s">
        <v>136</v>
      </c>
      <c r="D892" s="93" t="s">
        <v>1103</v>
      </c>
      <c r="E892" s="48" t="str">
        <f t="shared" si="0"/>
        <v>Jacksonville</v>
      </c>
      <c r="F892" s="83" t="str">
        <f t="shared" si="1"/>
        <v>Bishop Kenny (Jacksonville),FL</v>
      </c>
      <c r="G892" s="65" t="s">
        <v>5454</v>
      </c>
      <c r="H892" s="65">
        <v>30.309072199999999</v>
      </c>
      <c r="I892" s="65">
        <v>-81.640343899999991</v>
      </c>
      <c r="J892" s="60" t="str">
        <f ca="1">IFERROR(__xludf.DUMMYFUNCTION("SPLIT(G892,"","")"),"Kingman Ave")</f>
        <v>Kingman Ave</v>
      </c>
      <c r="K892" s="2" t="str">
        <f ca="1">IFERROR(__xludf.DUMMYFUNCTION("""COMPUTED_VALUE""")," Jacksonville")</f>
        <v xml:space="preserve"> Jacksonville</v>
      </c>
      <c r="L892" s="2" t="str">
        <f ca="1">IFERROR(__xludf.DUMMYFUNCTION("""COMPUTED_VALUE""")," FL 32207")</f>
        <v xml:space="preserve"> FL 32207</v>
      </c>
      <c r="M892" s="2" t="str">
        <f ca="1">IFERROR(__xludf.DUMMYFUNCTION("""COMPUTED_VALUE""")," USA")</f>
        <v xml:space="preserve"> USA</v>
      </c>
      <c r="P892" s="60"/>
    </row>
    <row r="893" spans="1:16">
      <c r="A893" s="60">
        <v>892</v>
      </c>
      <c r="B893" s="79" t="s">
        <v>5457</v>
      </c>
      <c r="C893" s="60" t="s">
        <v>588</v>
      </c>
      <c r="D893" s="93" t="s">
        <v>703</v>
      </c>
      <c r="E893" s="48" t="str">
        <f t="shared" si="0"/>
        <v>San Francisco</v>
      </c>
      <c r="F893" s="83" t="str">
        <f t="shared" si="1"/>
        <v>Stuart Hall (San Francisco),CA</v>
      </c>
      <c r="G893" s="60" t="s">
        <v>5458</v>
      </c>
      <c r="H893" s="60">
        <v>37.788625000000003</v>
      </c>
      <c r="I893" s="60">
        <v>-122.427196</v>
      </c>
      <c r="J893" s="60" t="str">
        <f ca="1">IFERROR(__xludf.DUMMYFUNCTION("SPLIT(G893,"","")"),"1715 Octavia St")</f>
        <v>1715 Octavia St</v>
      </c>
      <c r="K893" s="2" t="str">
        <f ca="1">IFERROR(__xludf.DUMMYFUNCTION("""COMPUTED_VALUE""")," San Francisco")</f>
        <v xml:space="preserve"> San Francisco</v>
      </c>
      <c r="L893" s="2" t="str">
        <f ca="1">IFERROR(__xludf.DUMMYFUNCTION("""COMPUTED_VALUE""")," CA 94109")</f>
        <v xml:space="preserve"> CA 94109</v>
      </c>
      <c r="M893" s="2" t="str">
        <f ca="1">IFERROR(__xludf.DUMMYFUNCTION("""COMPUTED_VALUE""")," USA")</f>
        <v xml:space="preserve"> USA</v>
      </c>
      <c r="P893" s="60"/>
    </row>
    <row r="894" spans="1:16">
      <c r="A894" s="65">
        <v>893</v>
      </c>
      <c r="B894" s="80" t="s">
        <v>5461</v>
      </c>
      <c r="C894" s="65" t="s">
        <v>1322</v>
      </c>
      <c r="D894" s="93" t="s">
        <v>5462</v>
      </c>
      <c r="E894" s="48" t="str">
        <f t="shared" si="0"/>
        <v>Longmont</v>
      </c>
      <c r="F894" s="83" t="str">
        <f t="shared" si="1"/>
        <v>Mead (Longmont),CO</v>
      </c>
      <c r="G894" s="65" t="s">
        <v>5464</v>
      </c>
      <c r="H894" s="65">
        <v>40.185209499999999</v>
      </c>
      <c r="I894" s="65">
        <v>-104.9968715</v>
      </c>
      <c r="J894" s="60" t="str">
        <f ca="1">IFERROR(__xludf.DUMMYFUNCTION("SPLIT(G894,"","")"),"12750 Co Rd 7")</f>
        <v>12750 Co Rd 7</v>
      </c>
      <c r="K894" s="2" t="str">
        <f ca="1">IFERROR(__xludf.DUMMYFUNCTION("""COMPUTED_VALUE""")," Longmont")</f>
        <v xml:space="preserve"> Longmont</v>
      </c>
      <c r="L894" s="2" t="str">
        <f ca="1">IFERROR(__xludf.DUMMYFUNCTION("""COMPUTED_VALUE""")," CO 80504")</f>
        <v xml:space="preserve"> CO 80504</v>
      </c>
      <c r="M894" s="2" t="str">
        <f ca="1">IFERROR(__xludf.DUMMYFUNCTION("""COMPUTED_VALUE""")," USA")</f>
        <v xml:space="preserve"> USA</v>
      </c>
      <c r="P894" s="60"/>
    </row>
    <row r="895" spans="1:16">
      <c r="A895" s="60">
        <v>894</v>
      </c>
      <c r="B895" s="79" t="s">
        <v>5467</v>
      </c>
      <c r="C895" s="60" t="s">
        <v>1296</v>
      </c>
      <c r="D895" s="93" t="s">
        <v>5470</v>
      </c>
      <c r="E895" s="48" t="str">
        <f t="shared" si="0"/>
        <v>West Linn</v>
      </c>
      <c r="F895" s="83" t="str">
        <f t="shared" si="1"/>
        <v>West Linn,OR</v>
      </c>
      <c r="G895" s="60" t="s">
        <v>5471</v>
      </c>
      <c r="H895" s="60">
        <v>45.385985900000001</v>
      </c>
      <c r="I895" s="60">
        <v>-122.64008389999999</v>
      </c>
      <c r="J895" s="60" t="str">
        <f ca="1">IFERROR(__xludf.DUMMYFUNCTION("SPLIT(G895,"","")"),"Willamette Dr &amp; Hidden Springs")</f>
        <v>Willamette Dr &amp; Hidden Springs</v>
      </c>
      <c r="K895" s="2" t="str">
        <f ca="1">IFERROR(__xludf.DUMMYFUNCTION("""COMPUTED_VALUE""")," West Linn")</f>
        <v xml:space="preserve"> West Linn</v>
      </c>
      <c r="L895" s="2" t="str">
        <f ca="1">IFERROR(__xludf.DUMMYFUNCTION("""COMPUTED_VALUE""")," OR 97068")</f>
        <v xml:space="preserve"> OR 97068</v>
      </c>
      <c r="M895" s="2" t="str">
        <f ca="1">IFERROR(__xludf.DUMMYFUNCTION("""COMPUTED_VALUE""")," USA")</f>
        <v xml:space="preserve"> USA</v>
      </c>
      <c r="P895" s="60"/>
    </row>
    <row r="896" spans="1:16">
      <c r="A896" s="65">
        <v>895</v>
      </c>
      <c r="B896" s="80" t="s">
        <v>5476</v>
      </c>
      <c r="C896" s="65" t="s">
        <v>682</v>
      </c>
      <c r="D896" s="93" t="s">
        <v>713</v>
      </c>
      <c r="E896" s="48" t="str">
        <f t="shared" si="0"/>
        <v>Jackson</v>
      </c>
      <c r="F896" s="83" t="str">
        <f t="shared" si="1"/>
        <v>Kettle Moraine Lutheran (Jackson),WI</v>
      </c>
      <c r="G896" s="65" t="s">
        <v>5477</v>
      </c>
      <c r="H896" s="65">
        <v>43.312789899999999</v>
      </c>
      <c r="I896" s="65">
        <v>-88.125259299999996</v>
      </c>
      <c r="J896" s="60" t="str">
        <f ca="1">IFERROR(__xludf.DUMMYFUNCTION("SPLIT(G896,"","")"),"3399 Division Rd")</f>
        <v>3399 Division Rd</v>
      </c>
      <c r="K896" s="2" t="str">
        <f ca="1">IFERROR(__xludf.DUMMYFUNCTION("""COMPUTED_VALUE""")," Jackson")</f>
        <v xml:space="preserve"> Jackson</v>
      </c>
      <c r="L896" s="2" t="str">
        <f ca="1">IFERROR(__xludf.DUMMYFUNCTION("""COMPUTED_VALUE""")," WI 53037")</f>
        <v xml:space="preserve"> WI 53037</v>
      </c>
      <c r="M896" s="2" t="str">
        <f ca="1">IFERROR(__xludf.DUMMYFUNCTION("""COMPUTED_VALUE""")," USA")</f>
        <v xml:space="preserve"> USA</v>
      </c>
      <c r="P896" s="60"/>
    </row>
    <row r="897" spans="1:16">
      <c r="A897" s="60">
        <v>896</v>
      </c>
      <c r="B897" s="79" t="s">
        <v>5480</v>
      </c>
      <c r="C897" s="60" t="s">
        <v>1322</v>
      </c>
      <c r="D897" s="93" t="s">
        <v>2239</v>
      </c>
      <c r="E897" s="48" t="str">
        <f t="shared" si="0"/>
        <v>Aurora</v>
      </c>
      <c r="F897" s="83" t="str">
        <f t="shared" si="1"/>
        <v>Eaglecrest (Centennial),CO</v>
      </c>
      <c r="G897" s="60" t="s">
        <v>5481</v>
      </c>
      <c r="H897" s="60">
        <v>39.624207599999998</v>
      </c>
      <c r="I897" s="60">
        <v>-104.7345025</v>
      </c>
      <c r="J897" s="60" t="str">
        <f ca="1">IFERROR(__xludf.DUMMYFUNCTION("SPLIT(G897,"","")"),"5100 S Picadilly St")</f>
        <v>5100 S Picadilly St</v>
      </c>
      <c r="K897" s="2" t="str">
        <f ca="1">IFERROR(__xludf.DUMMYFUNCTION("""COMPUTED_VALUE""")," Aurora")</f>
        <v xml:space="preserve"> Aurora</v>
      </c>
      <c r="L897" s="2" t="str">
        <f ca="1">IFERROR(__xludf.DUMMYFUNCTION("""COMPUTED_VALUE""")," CO 80015")</f>
        <v xml:space="preserve"> CO 80015</v>
      </c>
      <c r="M897" s="2" t="str">
        <f ca="1">IFERROR(__xludf.DUMMYFUNCTION("""COMPUTED_VALUE""")," USA")</f>
        <v xml:space="preserve"> USA</v>
      </c>
      <c r="P897" s="60"/>
    </row>
    <row r="898" spans="1:16">
      <c r="A898" s="65">
        <v>897</v>
      </c>
      <c r="B898" s="80" t="s">
        <v>5485</v>
      </c>
      <c r="C898" s="65" t="s">
        <v>712</v>
      </c>
      <c r="D898" s="93" t="s">
        <v>724</v>
      </c>
      <c r="E898" s="48" t="str">
        <f t="shared" si="0"/>
        <v>Washington</v>
      </c>
      <c r="F898" s="83" t="str">
        <f t="shared" si="1"/>
        <v>Wilson (Washington),DC</v>
      </c>
      <c r="G898" s="65" t="s">
        <v>5487</v>
      </c>
      <c r="H898" s="65">
        <v>38.949929900000001</v>
      </c>
      <c r="I898" s="65">
        <v>-77.077491999999992</v>
      </c>
      <c r="J898" s="60" t="str">
        <f ca="1">IFERROR(__xludf.DUMMYFUNCTION("SPLIT(G898,"","")"),"3950 Chesapeake St NW")</f>
        <v>3950 Chesapeake St NW</v>
      </c>
      <c r="K898" s="2" t="str">
        <f ca="1">IFERROR(__xludf.DUMMYFUNCTION("""COMPUTED_VALUE""")," Washington")</f>
        <v xml:space="preserve"> Washington</v>
      </c>
      <c r="L898" s="2" t="str">
        <f ca="1">IFERROR(__xludf.DUMMYFUNCTION("""COMPUTED_VALUE""")," DC 20016")</f>
        <v xml:space="preserve"> DC 20016</v>
      </c>
      <c r="M898" s="2" t="str">
        <f ca="1">IFERROR(__xludf.DUMMYFUNCTION("""COMPUTED_VALUE""")," USA")</f>
        <v xml:space="preserve"> USA</v>
      </c>
      <c r="P898" s="60"/>
    </row>
    <row r="899" spans="1:16">
      <c r="A899" s="60">
        <v>898</v>
      </c>
      <c r="B899" s="79" t="s">
        <v>5491</v>
      </c>
      <c r="C899" s="60" t="s">
        <v>675</v>
      </c>
      <c r="D899" s="93" t="s">
        <v>5492</v>
      </c>
      <c r="E899" s="48" t="str">
        <f t="shared" si="0"/>
        <v>Hershey</v>
      </c>
      <c r="F899" s="83" t="str">
        <f t="shared" si="1"/>
        <v>Milton Hershey (Hershey),PA</v>
      </c>
      <c r="G899" s="60" t="s">
        <v>5495</v>
      </c>
      <c r="H899" s="60">
        <v>40.257153700000003</v>
      </c>
      <c r="I899" s="60">
        <v>-76.625690300000002</v>
      </c>
      <c r="J899" s="60" t="str">
        <f ca="1">IFERROR(__xludf.DUMMYFUNCTION("SPLIT(G899,"","")"),"1201 E Homestead Ln")</f>
        <v>1201 E Homestead Ln</v>
      </c>
      <c r="K899" s="2" t="str">
        <f ca="1">IFERROR(__xludf.DUMMYFUNCTION("""COMPUTED_VALUE""")," Hershey")</f>
        <v xml:space="preserve"> Hershey</v>
      </c>
      <c r="L899" s="2" t="str">
        <f ca="1">IFERROR(__xludf.DUMMYFUNCTION("""COMPUTED_VALUE""")," PA 17033")</f>
        <v xml:space="preserve"> PA 17033</v>
      </c>
      <c r="M899" s="2" t="str">
        <f ca="1">IFERROR(__xludf.DUMMYFUNCTION("""COMPUTED_VALUE""")," USA")</f>
        <v xml:space="preserve"> USA</v>
      </c>
      <c r="P899" s="60"/>
    </row>
    <row r="900" spans="1:16">
      <c r="A900" s="65">
        <v>899</v>
      </c>
      <c r="B900" s="80" t="s">
        <v>5499</v>
      </c>
      <c r="C900" s="65" t="s">
        <v>675</v>
      </c>
      <c r="D900" s="93" t="s">
        <v>1310</v>
      </c>
      <c r="E900" s="48" t="str">
        <f t="shared" si="0"/>
        <v>Erie</v>
      </c>
      <c r="F900" s="83" t="str">
        <f t="shared" si="1"/>
        <v>Cathedral Prep (Erie),PA</v>
      </c>
      <c r="G900" s="65" t="s">
        <v>5501</v>
      </c>
      <c r="H900" s="65">
        <v>42.124028899999999</v>
      </c>
      <c r="I900" s="65">
        <v>-80.088105299999995</v>
      </c>
      <c r="J900" s="60" t="str">
        <f ca="1">IFERROR(__xludf.DUMMYFUNCTION("SPLIT(G900,"","")"),"225 W 9th St")</f>
        <v>225 W 9th St</v>
      </c>
      <c r="K900" s="2" t="str">
        <f ca="1">IFERROR(__xludf.DUMMYFUNCTION("""COMPUTED_VALUE""")," Erie")</f>
        <v xml:space="preserve"> Erie</v>
      </c>
      <c r="L900" s="2" t="str">
        <f ca="1">IFERROR(__xludf.DUMMYFUNCTION("""COMPUTED_VALUE""")," PA 16501")</f>
        <v xml:space="preserve"> PA 16501</v>
      </c>
      <c r="M900" s="2" t="str">
        <f ca="1">IFERROR(__xludf.DUMMYFUNCTION("""COMPUTED_VALUE""")," USA")</f>
        <v xml:space="preserve"> USA</v>
      </c>
      <c r="P900" s="60"/>
    </row>
    <row r="901" spans="1:16">
      <c r="A901" s="97">
        <v>900</v>
      </c>
      <c r="B901" s="99" t="s">
        <v>5504</v>
      </c>
      <c r="C901" s="97" t="s">
        <v>1322</v>
      </c>
      <c r="D901" s="93" t="s">
        <v>5505</v>
      </c>
      <c r="E901" s="48" t="str">
        <f t="shared" si="0"/>
        <v>Sterling</v>
      </c>
      <c r="F901" s="83" t="str">
        <f t="shared" si="1"/>
        <v>Sterling,CO</v>
      </c>
      <c r="G901" s="97" t="s">
        <v>5508</v>
      </c>
      <c r="H901" s="97">
        <v>40.625541499999997</v>
      </c>
      <c r="I901" s="97">
        <v>-103.20770899999999</v>
      </c>
      <c r="J901" s="60" t="str">
        <f ca="1">IFERROR(__xludf.DUMMYFUNCTION("SPLIT(G901,"","")"),"Unnamed Road")</f>
        <v>Unnamed Road</v>
      </c>
      <c r="K901" s="2" t="str">
        <f ca="1">IFERROR(__xludf.DUMMYFUNCTION("""COMPUTED_VALUE""")," Sterling")</f>
        <v xml:space="preserve"> Sterling</v>
      </c>
      <c r="L901" s="2" t="str">
        <f ca="1">IFERROR(__xludf.DUMMYFUNCTION("""COMPUTED_VALUE""")," CO 80751")</f>
        <v xml:space="preserve"> CO 80751</v>
      </c>
      <c r="M901" s="2" t="str">
        <f ca="1">IFERROR(__xludf.DUMMYFUNCTION("""COMPUTED_VALUE""")," USA")</f>
        <v xml:space="preserve"> USA</v>
      </c>
      <c r="P901" s="60"/>
    </row>
    <row r="902" spans="1:16">
      <c r="A902" s="60">
        <v>901</v>
      </c>
      <c r="B902" s="79" t="s">
        <v>5510</v>
      </c>
      <c r="C902" s="60" t="s">
        <v>588</v>
      </c>
      <c r="D902" s="93" t="s">
        <v>699</v>
      </c>
      <c r="E902" s="48" t="str">
        <f t="shared" si="0"/>
        <v>Oakland</v>
      </c>
      <c r="F902" s="83" t="str">
        <f t="shared" si="1"/>
        <v>Oakland Tech (Oakland),CA</v>
      </c>
      <c r="G902" s="60" t="s">
        <v>5513</v>
      </c>
      <c r="H902" s="60">
        <v>37.8322997</v>
      </c>
      <c r="I902" s="60">
        <v>-122.2553996</v>
      </c>
      <c r="J902" s="60" t="str">
        <f ca="1">IFERROR(__xludf.DUMMYFUNCTION("SPLIT(G902,"","")"),"4351 Broadway")</f>
        <v>4351 Broadway</v>
      </c>
      <c r="K902" s="2" t="str">
        <f ca="1">IFERROR(__xludf.DUMMYFUNCTION("""COMPUTED_VALUE""")," Oakland")</f>
        <v xml:space="preserve"> Oakland</v>
      </c>
      <c r="L902" s="2" t="str">
        <f ca="1">IFERROR(__xludf.DUMMYFUNCTION("""COMPUTED_VALUE""")," CA 94611")</f>
        <v xml:space="preserve"> CA 94611</v>
      </c>
      <c r="M902" s="2" t="str">
        <f ca="1">IFERROR(__xludf.DUMMYFUNCTION("""COMPUTED_VALUE""")," USA")</f>
        <v xml:space="preserve"> USA</v>
      </c>
      <c r="P902" s="60"/>
    </row>
    <row r="903" spans="1:16">
      <c r="A903" s="65">
        <v>902</v>
      </c>
      <c r="B903" s="80" t="s">
        <v>5516</v>
      </c>
      <c r="C903" s="65" t="s">
        <v>624</v>
      </c>
      <c r="D903" s="93" t="s">
        <v>5517</v>
      </c>
      <c r="E903" s="48" t="str">
        <f t="shared" si="0"/>
        <v>Rayville</v>
      </c>
      <c r="F903" s="83" t="str">
        <f t="shared" si="1"/>
        <v>Rayville,LA</v>
      </c>
      <c r="G903" s="65" t="s">
        <v>5519</v>
      </c>
      <c r="H903" s="65">
        <v>32.477364299999998</v>
      </c>
      <c r="I903" s="65">
        <v>-91.754847299999994</v>
      </c>
      <c r="J903" s="60" t="str">
        <f ca="1">IFERROR(__xludf.DUMMYFUNCTION("SPLIT(G903,"","")"),"864CF68R+W9 500 dаrby rd Hаvertown")</f>
        <v>864CF68R+W9 500 dаrby rd Hаvertown</v>
      </c>
      <c r="K903" s="2" t="str">
        <f ca="1">IFERROR(__xludf.DUMMYFUNCTION("""COMPUTED_VALUE""")," PA 19083")</f>
        <v xml:space="preserve"> PA 19083</v>
      </c>
      <c r="L903" s="2" t="str">
        <f ca="1">IFERROR(__xludf.DUMMYFUNCTION("""COMPUTED_VALUE""")," Rayville")</f>
        <v xml:space="preserve"> Rayville</v>
      </c>
      <c r="M903" s="2" t="str">
        <f ca="1">IFERROR(__xludf.DUMMYFUNCTION("""COMPUTED_VALUE""")," LA 71269")</f>
        <v xml:space="preserve"> LA 71269</v>
      </c>
      <c r="N903" s="2" t="str">
        <f ca="1">IFERROR(__xludf.DUMMYFUNCTION("""COMPUTED_VALUE""")," United States")</f>
        <v xml:space="preserve"> United States</v>
      </c>
      <c r="P903" s="60"/>
    </row>
    <row r="904" spans="1:16">
      <c r="A904" s="60">
        <v>903</v>
      </c>
      <c r="B904" s="79" t="s">
        <v>5523</v>
      </c>
      <c r="C904" s="60" t="s">
        <v>588</v>
      </c>
      <c r="D904" s="93" t="s">
        <v>5524</v>
      </c>
      <c r="E904" s="48" t="str">
        <f t="shared" si="0"/>
        <v>Downey</v>
      </c>
      <c r="F904" s="83" t="str">
        <f t="shared" si="1"/>
        <v>St. Pius X-St. Matthias Academy (Downey),CA</v>
      </c>
      <c r="G904" s="60" t="s">
        <v>5525</v>
      </c>
      <c r="H904" s="60">
        <v>33.919340300000002</v>
      </c>
      <c r="I904" s="60">
        <v>-118.1592084</v>
      </c>
      <c r="J904" s="60" t="str">
        <f ca="1">IFERROR(__xludf.DUMMYFUNCTION("SPLIT(G904,"","")"),"7851 Gardendale St")</f>
        <v>7851 Gardendale St</v>
      </c>
      <c r="K904" s="2" t="str">
        <f ca="1">IFERROR(__xludf.DUMMYFUNCTION("""COMPUTED_VALUE""")," Downey")</f>
        <v xml:space="preserve"> Downey</v>
      </c>
      <c r="L904" s="2" t="str">
        <f ca="1">IFERROR(__xludf.DUMMYFUNCTION("""COMPUTED_VALUE""")," CA 90242")</f>
        <v xml:space="preserve"> CA 90242</v>
      </c>
      <c r="M904" s="2" t="str">
        <f ca="1">IFERROR(__xludf.DUMMYFUNCTION("""COMPUTED_VALUE""")," USA")</f>
        <v xml:space="preserve"> USA</v>
      </c>
      <c r="P904" s="60"/>
    </row>
    <row r="905" spans="1:16">
      <c r="A905" s="65">
        <v>904</v>
      </c>
      <c r="B905" s="80" t="s">
        <v>5530</v>
      </c>
      <c r="C905" s="65" t="s">
        <v>602</v>
      </c>
      <c r="D905" s="93" t="s">
        <v>5531</v>
      </c>
      <c r="E905" s="48" t="str">
        <f t="shared" si="0"/>
        <v>Chesapeake</v>
      </c>
      <c r="F905" s="83" t="str">
        <f t="shared" si="1"/>
        <v>Western Branch (Chesapeake),VA</v>
      </c>
      <c r="G905" s="65" t="s">
        <v>5533</v>
      </c>
      <c r="H905" s="65">
        <v>36.839603699999998</v>
      </c>
      <c r="I905" s="65">
        <v>-76.415812899999992</v>
      </c>
      <c r="J905" s="60" t="str">
        <f ca="1">IFERROR(__xludf.DUMMYFUNCTION("SPLIT(G905,"","")"),"4215 Foxxglen Run")</f>
        <v>4215 Foxxglen Run</v>
      </c>
      <c r="K905" s="2" t="str">
        <f ca="1">IFERROR(__xludf.DUMMYFUNCTION("""COMPUTED_VALUE""")," Chesapeake")</f>
        <v xml:space="preserve"> Chesapeake</v>
      </c>
      <c r="L905" s="2" t="str">
        <f ca="1">IFERROR(__xludf.DUMMYFUNCTION("""COMPUTED_VALUE""")," VA 23321")</f>
        <v xml:space="preserve"> VA 23321</v>
      </c>
      <c r="M905" s="2" t="str">
        <f ca="1">IFERROR(__xludf.DUMMYFUNCTION("""COMPUTED_VALUE""")," USA")</f>
        <v xml:space="preserve"> USA</v>
      </c>
      <c r="P905" s="60"/>
    </row>
    <row r="906" spans="1:16">
      <c r="A906" s="60">
        <v>905</v>
      </c>
      <c r="B906" s="79" t="s">
        <v>5537</v>
      </c>
      <c r="C906" s="60" t="s">
        <v>183</v>
      </c>
      <c r="D906" s="93" t="s">
        <v>5538</v>
      </c>
      <c r="E906" s="48" t="str">
        <f t="shared" si="0"/>
        <v>Long Island City</v>
      </c>
      <c r="F906" s="83" t="str">
        <f t="shared" si="1"/>
        <v>Evangel Christian (Long Island City),NY</v>
      </c>
      <c r="G906" s="60" t="s">
        <v>5539</v>
      </c>
      <c r="H906" s="60">
        <v>40.754209699999997</v>
      </c>
      <c r="I906" s="60">
        <v>-73.937111799999997</v>
      </c>
      <c r="J906" s="60" t="str">
        <f ca="1">IFERROR(__xludf.DUMMYFUNCTION("SPLIT(G906,"","")"),"39-21 Crescent St")</f>
        <v>39-21 Crescent St</v>
      </c>
      <c r="K906" s="2" t="str">
        <f ca="1">IFERROR(__xludf.DUMMYFUNCTION("""COMPUTED_VALUE""")," Long Island City")</f>
        <v xml:space="preserve"> Long Island City</v>
      </c>
      <c r="L906" s="2" t="str">
        <f ca="1">IFERROR(__xludf.DUMMYFUNCTION("""COMPUTED_VALUE""")," NY 11101")</f>
        <v xml:space="preserve"> NY 11101</v>
      </c>
      <c r="M906" s="2" t="str">
        <f ca="1">IFERROR(__xludf.DUMMYFUNCTION("""COMPUTED_VALUE""")," USA")</f>
        <v xml:space="preserve"> USA</v>
      </c>
      <c r="P906" s="60"/>
    </row>
    <row r="907" spans="1:16">
      <c r="A907" s="65">
        <v>906</v>
      </c>
      <c r="B907" s="80" t="s">
        <v>5542</v>
      </c>
      <c r="C907" s="65" t="s">
        <v>179</v>
      </c>
      <c r="D907" s="93" t="s">
        <v>2025</v>
      </c>
      <c r="E907" s="48" t="str">
        <f t="shared" si="0"/>
        <v>Raleigh</v>
      </c>
      <c r="F907" s="83" t="str">
        <f t="shared" si="1"/>
        <v>Leesville Road (Raleigh),NC</v>
      </c>
      <c r="G907" s="65" t="s">
        <v>5544</v>
      </c>
      <c r="H907" s="65">
        <v>35.919201399999999</v>
      </c>
      <c r="I907" s="65">
        <v>-78.752855199999999</v>
      </c>
      <c r="J907" s="60" t="str">
        <f ca="1">IFERROR(__xludf.DUMMYFUNCTION("SPLIT(G907,"","")"),"12204 Leesville Rd")</f>
        <v>12204 Leesville Rd</v>
      </c>
      <c r="K907" s="2" t="str">
        <f ca="1">IFERROR(__xludf.DUMMYFUNCTION("""COMPUTED_VALUE""")," Raleigh")</f>
        <v xml:space="preserve"> Raleigh</v>
      </c>
      <c r="L907" s="2" t="str">
        <f ca="1">IFERROR(__xludf.DUMMYFUNCTION("""COMPUTED_VALUE""")," NC 27613")</f>
        <v xml:space="preserve"> NC 27613</v>
      </c>
      <c r="M907" s="2" t="str">
        <f ca="1">IFERROR(__xludf.DUMMYFUNCTION("""COMPUTED_VALUE""")," USA")</f>
        <v xml:space="preserve"> USA</v>
      </c>
      <c r="P907" s="60"/>
    </row>
    <row r="908" spans="1:16">
      <c r="A908" s="60">
        <v>907</v>
      </c>
      <c r="B908" s="79" t="s">
        <v>5546</v>
      </c>
      <c r="C908" s="60" t="s">
        <v>595</v>
      </c>
      <c r="D908" s="93" t="s">
        <v>5547</v>
      </c>
      <c r="E908" s="48" t="str">
        <f t="shared" si="0"/>
        <v>Cypress</v>
      </c>
      <c r="F908" s="83" t="str">
        <f t="shared" si="1"/>
        <v>Cy-Fair (Cypress),TX</v>
      </c>
      <c r="G908" s="60" t="s">
        <v>5548</v>
      </c>
      <c r="H908" s="60">
        <v>29.9403015</v>
      </c>
      <c r="I908" s="60">
        <v>-95.653013299999998</v>
      </c>
      <c r="J908" s="60" t="str">
        <f ca="1">IFERROR(__xludf.DUMMYFUNCTION("SPLIT(G908,"","")"),"22602 US-290")</f>
        <v>22602 US-290</v>
      </c>
      <c r="K908" s="2" t="str">
        <f ca="1">IFERROR(__xludf.DUMMYFUNCTION("""COMPUTED_VALUE""")," Cypress")</f>
        <v xml:space="preserve"> Cypress</v>
      </c>
      <c r="L908" s="2" t="str">
        <f ca="1">IFERROR(__xludf.DUMMYFUNCTION("""COMPUTED_VALUE""")," TX 77429")</f>
        <v xml:space="preserve"> TX 77429</v>
      </c>
      <c r="M908" s="2" t="str">
        <f ca="1">IFERROR(__xludf.DUMMYFUNCTION("""COMPUTED_VALUE""")," USA")</f>
        <v xml:space="preserve"> USA</v>
      </c>
      <c r="P908" s="60"/>
    </row>
    <row r="909" spans="1:16">
      <c r="A909" s="65">
        <v>908</v>
      </c>
      <c r="B909" s="80" t="s">
        <v>5552</v>
      </c>
      <c r="C909" s="65" t="s">
        <v>595</v>
      </c>
      <c r="D909" s="93" t="s">
        <v>961</v>
      </c>
      <c r="E909" s="48" t="str">
        <f t="shared" si="0"/>
        <v>Dallas</v>
      </c>
      <c r="F909" s="83" t="str">
        <f t="shared" si="1"/>
        <v>Highland Park (Dallas),TX</v>
      </c>
      <c r="G909" s="65" t="s">
        <v>5554</v>
      </c>
      <c r="H909" s="65">
        <v>32.833460700000003</v>
      </c>
      <c r="I909" s="65">
        <v>-96.791945399999989</v>
      </c>
      <c r="J909" s="60" t="str">
        <f ca="1">IFERROR(__xludf.DUMMYFUNCTION("SPLIT(G909,"","")"),"3617 Cornell Ave")</f>
        <v>3617 Cornell Ave</v>
      </c>
      <c r="K909" s="2" t="str">
        <f ca="1">IFERROR(__xludf.DUMMYFUNCTION("""COMPUTED_VALUE""")," Dallas")</f>
        <v xml:space="preserve"> Dallas</v>
      </c>
      <c r="L909" s="2" t="str">
        <f ca="1">IFERROR(__xludf.DUMMYFUNCTION("""COMPUTED_VALUE""")," TX 75205")</f>
        <v xml:space="preserve"> TX 75205</v>
      </c>
      <c r="M909" s="2" t="str">
        <f ca="1">IFERROR(__xludf.DUMMYFUNCTION("""COMPUTED_VALUE""")," USA")</f>
        <v xml:space="preserve"> USA</v>
      </c>
      <c r="P909" s="60"/>
    </row>
    <row r="910" spans="1:16">
      <c r="A910" s="60">
        <v>909</v>
      </c>
      <c r="B910" s="79" t="s">
        <v>5557</v>
      </c>
      <c r="C910" s="60" t="s">
        <v>595</v>
      </c>
      <c r="D910" s="93" t="s">
        <v>5558</v>
      </c>
      <c r="E910" s="48" t="str">
        <f t="shared" si="0"/>
        <v>Ben Wheeler</v>
      </c>
      <c r="F910" s="83" t="str">
        <f t="shared" si="1"/>
        <v>Martins Mill (Ben Wheeler),TX</v>
      </c>
      <c r="G910" s="60" t="s">
        <v>5559</v>
      </c>
      <c r="H910" s="60">
        <v>32.414565199999998</v>
      </c>
      <c r="I910" s="60">
        <v>-95.790675999999991</v>
      </c>
      <c r="J910" s="60" t="str">
        <f ca="1">IFERROR(__xludf.DUMMYFUNCTION("SPLIT(G910,"","")"),"301 FM1861")</f>
        <v>301 FM1861</v>
      </c>
      <c r="K910" s="2" t="str">
        <f ca="1">IFERROR(__xludf.DUMMYFUNCTION("""COMPUTED_VALUE""")," Ben Wheeler")</f>
        <v xml:space="preserve"> Ben Wheeler</v>
      </c>
      <c r="L910" s="2" t="str">
        <f ca="1">IFERROR(__xludf.DUMMYFUNCTION("""COMPUTED_VALUE""")," TX 75754")</f>
        <v xml:space="preserve"> TX 75754</v>
      </c>
      <c r="M910" s="2" t="str">
        <f ca="1">IFERROR(__xludf.DUMMYFUNCTION("""COMPUTED_VALUE""")," USA")</f>
        <v xml:space="preserve"> USA</v>
      </c>
      <c r="P910" s="60"/>
    </row>
    <row r="911" spans="1:16">
      <c r="A911" s="65">
        <v>910</v>
      </c>
      <c r="B911" s="80" t="s">
        <v>5562</v>
      </c>
      <c r="C911" s="65" t="s">
        <v>901</v>
      </c>
      <c r="D911" s="93" t="s">
        <v>5563</v>
      </c>
      <c r="E911" s="48" t="str">
        <f t="shared" si="0"/>
        <v>Violet Hill</v>
      </c>
      <c r="F911" s="83" t="str">
        <f t="shared" si="1"/>
        <v>Izard County (Brockwell),AR</v>
      </c>
      <c r="G911" s="65" t="s">
        <v>5565</v>
      </c>
      <c r="H911" s="65">
        <v>36.143140600000002</v>
      </c>
      <c r="I911" s="65">
        <v>-91.925901400000001</v>
      </c>
      <c r="J911" s="60" t="str">
        <f ca="1">IFERROR(__xludf.DUMMYFUNCTION("SPLIT(G911,"","")"),"5068 AR-9")</f>
        <v>5068 AR-9</v>
      </c>
      <c r="K911" s="2" t="str">
        <f ca="1">IFERROR(__xludf.DUMMYFUNCTION("""COMPUTED_VALUE""")," Violet Hill")</f>
        <v xml:space="preserve"> Violet Hill</v>
      </c>
      <c r="L911" s="2" t="str">
        <f ca="1">IFERROR(__xludf.DUMMYFUNCTION("""COMPUTED_VALUE""")," AR 72584")</f>
        <v xml:space="preserve"> AR 72584</v>
      </c>
      <c r="M911" s="2" t="str">
        <f ca="1">IFERROR(__xludf.DUMMYFUNCTION("""COMPUTED_VALUE""")," USA")</f>
        <v xml:space="preserve"> USA</v>
      </c>
      <c r="P911" s="60"/>
    </row>
    <row r="912" spans="1:16">
      <c r="A912" s="60">
        <v>911</v>
      </c>
      <c r="B912" s="79" t="s">
        <v>5568</v>
      </c>
      <c r="C912" s="60" t="s">
        <v>606</v>
      </c>
      <c r="D912" s="93" t="s">
        <v>1418</v>
      </c>
      <c r="E912" s="48" t="str">
        <f t="shared" si="0"/>
        <v>Hopkins</v>
      </c>
      <c r="F912" s="83" t="str">
        <f t="shared" si="1"/>
        <v>Lower Richland (Hopkins),SC</v>
      </c>
      <c r="G912" s="60" t="s">
        <v>5569</v>
      </c>
      <c r="H912" s="60">
        <v>33.9469621</v>
      </c>
      <c r="I912" s="60">
        <v>-80.872092100000003</v>
      </c>
      <c r="J912" s="60" t="str">
        <f ca="1">IFERROR(__xludf.DUMMYFUNCTION("SPLIT(G912,"","")"),"2615 Lower Richland Blvd")</f>
        <v>2615 Lower Richland Blvd</v>
      </c>
      <c r="K912" s="2" t="str">
        <f ca="1">IFERROR(__xludf.DUMMYFUNCTION("""COMPUTED_VALUE""")," Hopkins")</f>
        <v xml:space="preserve"> Hopkins</v>
      </c>
      <c r="L912" s="2" t="str">
        <f ca="1">IFERROR(__xludf.DUMMYFUNCTION("""COMPUTED_VALUE""")," SC 29061")</f>
        <v xml:space="preserve"> SC 29061</v>
      </c>
      <c r="M912" s="2" t="str">
        <f ca="1">IFERROR(__xludf.DUMMYFUNCTION("""COMPUTED_VALUE""")," USA")</f>
        <v xml:space="preserve"> USA</v>
      </c>
      <c r="P912" s="60"/>
    </row>
    <row r="913" spans="1:16">
      <c r="A913" s="65">
        <v>912</v>
      </c>
      <c r="B913" s="80" t="s">
        <v>5574</v>
      </c>
      <c r="C913" s="65" t="s">
        <v>618</v>
      </c>
      <c r="D913" s="93" t="s">
        <v>5575</v>
      </c>
      <c r="E913" s="48" t="str">
        <f t="shared" si="0"/>
        <v>Floyds Knobs</v>
      </c>
      <c r="F913" s="83" t="str">
        <f t="shared" si="1"/>
        <v>Floyd Central (Floyds Knobs),IN</v>
      </c>
      <c r="G913" s="65" t="s">
        <v>5577</v>
      </c>
      <c r="H913" s="65">
        <v>38.332756099999997</v>
      </c>
      <c r="I913" s="65">
        <v>-85.930774</v>
      </c>
      <c r="J913" s="60" t="str">
        <f ca="1">IFERROR(__xludf.DUMMYFUNCTION("SPLIT(G913,"","")"),"6575 Old Vincennes Rd")</f>
        <v>6575 Old Vincennes Rd</v>
      </c>
      <c r="K913" s="2" t="str">
        <f ca="1">IFERROR(__xludf.DUMMYFUNCTION("""COMPUTED_VALUE""")," Floyds Knobs")</f>
        <v xml:space="preserve"> Floyds Knobs</v>
      </c>
      <c r="L913" s="2" t="str">
        <f ca="1">IFERROR(__xludf.DUMMYFUNCTION("""COMPUTED_VALUE""")," IN 47119")</f>
        <v xml:space="preserve"> IN 47119</v>
      </c>
      <c r="M913" s="2" t="str">
        <f ca="1">IFERROR(__xludf.DUMMYFUNCTION("""COMPUTED_VALUE""")," USA")</f>
        <v xml:space="preserve"> USA</v>
      </c>
      <c r="P913" s="60"/>
    </row>
    <row r="914" spans="1:16">
      <c r="A914" s="60">
        <v>913</v>
      </c>
      <c r="B914" s="79" t="s">
        <v>5580</v>
      </c>
      <c r="C914" s="60" t="s">
        <v>183</v>
      </c>
      <c r="D914" s="93" t="s">
        <v>5581</v>
      </c>
      <c r="E914" s="48" t="str">
        <f t="shared" si="0"/>
        <v>Hicksville</v>
      </c>
      <c r="F914" s="83" t="str">
        <f t="shared" si="1"/>
        <v>Holy Trinity (Hicksville),NY</v>
      </c>
      <c r="G914" s="60" t="s">
        <v>5582</v>
      </c>
      <c r="H914" s="60">
        <v>40.746690200000003</v>
      </c>
      <c r="I914" s="60">
        <v>-73.5321335</v>
      </c>
      <c r="J914" s="60" t="str">
        <f ca="1">IFERROR(__xludf.DUMMYFUNCTION("SPLIT(G914,"","")"),"98 Cherry Ln")</f>
        <v>98 Cherry Ln</v>
      </c>
      <c r="K914" s="2" t="str">
        <f ca="1">IFERROR(__xludf.DUMMYFUNCTION("""COMPUTED_VALUE""")," Hicksville")</f>
        <v xml:space="preserve"> Hicksville</v>
      </c>
      <c r="L914" s="2" t="str">
        <f ca="1">IFERROR(__xludf.DUMMYFUNCTION("""COMPUTED_VALUE""")," NY 11801")</f>
        <v xml:space="preserve"> NY 11801</v>
      </c>
      <c r="M914" s="2" t="str">
        <f ca="1">IFERROR(__xludf.DUMMYFUNCTION("""COMPUTED_VALUE""")," USA")</f>
        <v xml:space="preserve"> USA</v>
      </c>
      <c r="P914" s="60"/>
    </row>
    <row r="915" spans="1:16">
      <c r="A915" s="65">
        <v>914</v>
      </c>
      <c r="B915" s="80" t="s">
        <v>5585</v>
      </c>
      <c r="C915" s="65" t="s">
        <v>765</v>
      </c>
      <c r="D915" s="93" t="s">
        <v>5586</v>
      </c>
      <c r="E915" s="48" t="str">
        <f t="shared" si="0"/>
        <v>Manti</v>
      </c>
      <c r="F915" s="83" t="str">
        <f t="shared" si="1"/>
        <v>Manti,UT</v>
      </c>
      <c r="G915" s="65" t="s">
        <v>5588</v>
      </c>
      <c r="H915" s="65">
        <v>39.268295100000003</v>
      </c>
      <c r="I915" s="65">
        <v>-111.63686269999999</v>
      </c>
      <c r="J915" s="60" t="str">
        <f ca="1">IFERROR(__xludf.DUMMYFUNCTION("SPLIT(G915,"","")"),"198 N Main St")</f>
        <v>198 N Main St</v>
      </c>
      <c r="K915" s="2" t="str">
        <f ca="1">IFERROR(__xludf.DUMMYFUNCTION("""COMPUTED_VALUE""")," Manti")</f>
        <v xml:space="preserve"> Manti</v>
      </c>
      <c r="L915" s="2" t="str">
        <f ca="1">IFERROR(__xludf.DUMMYFUNCTION("""COMPUTED_VALUE""")," UT 84642")</f>
        <v xml:space="preserve"> UT 84642</v>
      </c>
      <c r="M915" s="2" t="str">
        <f ca="1">IFERROR(__xludf.DUMMYFUNCTION("""COMPUTED_VALUE""")," USA")</f>
        <v xml:space="preserve"> USA</v>
      </c>
      <c r="P915" s="60"/>
    </row>
    <row r="916" spans="1:16">
      <c r="A916" s="60">
        <v>915</v>
      </c>
      <c r="B916" s="79" t="s">
        <v>5591</v>
      </c>
      <c r="C916" s="60" t="s">
        <v>174</v>
      </c>
      <c r="D916" s="93" t="s">
        <v>1410</v>
      </c>
      <c r="E916" s="48" t="str">
        <f t="shared" si="0"/>
        <v>Canton</v>
      </c>
      <c r="F916" s="83" t="str">
        <f t="shared" si="1"/>
        <v>GlenOak (Canton),OH</v>
      </c>
      <c r="G916" s="60" t="s">
        <v>5592</v>
      </c>
      <c r="H916" s="60">
        <v>40.869422900000004</v>
      </c>
      <c r="I916" s="60">
        <v>-81.349606600000001</v>
      </c>
      <c r="J916" s="60" t="str">
        <f ca="1">IFERROR(__xludf.DUMMYFUNCTION("SPLIT(G916,"","")"),"1801 Schneider St NE")</f>
        <v>1801 Schneider St NE</v>
      </c>
      <c r="K916" s="2" t="str">
        <f ca="1">IFERROR(__xludf.DUMMYFUNCTION("""COMPUTED_VALUE""")," Canton")</f>
        <v xml:space="preserve"> Canton</v>
      </c>
      <c r="L916" s="2" t="str">
        <f ca="1">IFERROR(__xludf.DUMMYFUNCTION("""COMPUTED_VALUE""")," OH 44721")</f>
        <v xml:space="preserve"> OH 44721</v>
      </c>
      <c r="M916" s="2" t="str">
        <f ca="1">IFERROR(__xludf.DUMMYFUNCTION("""COMPUTED_VALUE""")," USA")</f>
        <v xml:space="preserve"> USA</v>
      </c>
      <c r="P916" s="60"/>
    </row>
    <row r="917" spans="1:16">
      <c r="A917" s="65">
        <v>916</v>
      </c>
      <c r="B917" s="80" t="s">
        <v>5595</v>
      </c>
      <c r="C917" s="65" t="s">
        <v>975</v>
      </c>
      <c r="D917" s="93" t="s">
        <v>1913</v>
      </c>
      <c r="E917" s="48" t="str">
        <f t="shared" si="0"/>
        <v>Albuquerque</v>
      </c>
      <c r="F917" s="83" t="str">
        <f t="shared" si="1"/>
        <v>Highland (Albuquerque),NM</v>
      </c>
      <c r="G917" s="65" t="s">
        <v>5596</v>
      </c>
      <c r="H917" s="65">
        <v>35.102634899999998</v>
      </c>
      <c r="I917" s="65">
        <v>-106.5886139</v>
      </c>
      <c r="J917" s="60" t="str">
        <f ca="1">IFERROR(__xludf.DUMMYFUNCTION("SPLIT(G917,"","")"),"5041 Indian School Rd NE")</f>
        <v>5041 Indian School Rd NE</v>
      </c>
      <c r="K917" s="2" t="str">
        <f ca="1">IFERROR(__xludf.DUMMYFUNCTION("""COMPUTED_VALUE""")," Albuquerque")</f>
        <v xml:space="preserve"> Albuquerque</v>
      </c>
      <c r="L917" s="2" t="str">
        <f ca="1">IFERROR(__xludf.DUMMYFUNCTION("""COMPUTED_VALUE""")," NM 87110")</f>
        <v xml:space="preserve"> NM 87110</v>
      </c>
      <c r="M917" s="2" t="str">
        <f ca="1">IFERROR(__xludf.DUMMYFUNCTION("""COMPUTED_VALUE""")," USA")</f>
        <v xml:space="preserve"> USA</v>
      </c>
      <c r="P917" s="60"/>
    </row>
    <row r="918" spans="1:16">
      <c r="A918" s="60">
        <v>917</v>
      </c>
      <c r="B918" s="79" t="s">
        <v>5599</v>
      </c>
      <c r="C918" s="60" t="s">
        <v>595</v>
      </c>
      <c r="D918" s="93" t="s">
        <v>5600</v>
      </c>
      <c r="E918" s="48" t="str">
        <f t="shared" si="0"/>
        <v>Shelbyville</v>
      </c>
      <c r="F918" s="83" t="str">
        <f t="shared" si="1"/>
        <v>Shelbyville,TX</v>
      </c>
      <c r="G918" s="60" t="s">
        <v>5601</v>
      </c>
      <c r="H918" s="60">
        <v>31.7617683</v>
      </c>
      <c r="I918" s="60">
        <v>-94.07892720000001</v>
      </c>
      <c r="J918" s="60" t="str">
        <f ca="1">IFERROR(__xludf.DUMMYFUNCTION("SPLIT(G918,"","")"),"5033 State Hwy 87")</f>
        <v>5033 State Hwy 87</v>
      </c>
      <c r="K918" s="2" t="str">
        <f ca="1">IFERROR(__xludf.DUMMYFUNCTION("""COMPUTED_VALUE""")," Shelbyville")</f>
        <v xml:space="preserve"> Shelbyville</v>
      </c>
      <c r="L918" s="2" t="str">
        <f ca="1">IFERROR(__xludf.DUMMYFUNCTION("""COMPUTED_VALUE""")," TX 75973")</f>
        <v xml:space="preserve"> TX 75973</v>
      </c>
      <c r="M918" s="2" t="str">
        <f ca="1">IFERROR(__xludf.DUMMYFUNCTION("""COMPUTED_VALUE""")," USA")</f>
        <v xml:space="preserve"> USA</v>
      </c>
      <c r="P918" s="60"/>
    </row>
    <row r="919" spans="1:16">
      <c r="A919" s="65">
        <v>918</v>
      </c>
      <c r="B919" s="80" t="s">
        <v>5604</v>
      </c>
      <c r="C919" s="65" t="s">
        <v>1296</v>
      </c>
      <c r="D919" s="93" t="s">
        <v>5606</v>
      </c>
      <c r="E919" s="48" t="str">
        <f t="shared" si="0"/>
        <v>Wilsonville</v>
      </c>
      <c r="F919" s="83" t="str">
        <f t="shared" si="1"/>
        <v>Wilsonville,OR</v>
      </c>
      <c r="G919" s="65" t="s">
        <v>5607</v>
      </c>
      <c r="H919" s="65">
        <v>45.302990299999998</v>
      </c>
      <c r="I919" s="65">
        <v>-122.77265010000001</v>
      </c>
      <c r="J919" s="60" t="str">
        <f ca="1">IFERROR(__xludf.DUMMYFUNCTION("SPLIT(G919,"","")"),"9287 SW Wilsonville Rd")</f>
        <v>9287 SW Wilsonville Rd</v>
      </c>
      <c r="K919" s="2" t="str">
        <f ca="1">IFERROR(__xludf.DUMMYFUNCTION("""COMPUTED_VALUE""")," Wilsonville")</f>
        <v xml:space="preserve"> Wilsonville</v>
      </c>
      <c r="L919" s="2" t="str">
        <f ca="1">IFERROR(__xludf.DUMMYFUNCTION("""COMPUTED_VALUE""")," OR 97070")</f>
        <v xml:space="preserve"> OR 97070</v>
      </c>
      <c r="M919" s="2" t="str">
        <f ca="1">IFERROR(__xludf.DUMMYFUNCTION("""COMPUTED_VALUE""")," USA")</f>
        <v xml:space="preserve"> USA</v>
      </c>
      <c r="P919" s="60"/>
    </row>
    <row r="920" spans="1:16">
      <c r="A920" s="60">
        <v>919</v>
      </c>
      <c r="B920" s="79" t="s">
        <v>5609</v>
      </c>
      <c r="C920" s="60" t="s">
        <v>174</v>
      </c>
      <c r="D920" s="93" t="s">
        <v>5610</v>
      </c>
      <c r="E920" s="48" t="str">
        <f t="shared" si="0"/>
        <v>Proctorville</v>
      </c>
      <c r="F920" s="83" t="str">
        <f t="shared" si="1"/>
        <v>Fairland (Proctorville),OH</v>
      </c>
      <c r="G920" s="60" t="s">
        <v>5612</v>
      </c>
      <c r="H920" s="60">
        <v>38.4483289</v>
      </c>
      <c r="I920" s="60">
        <v>-82.356841500000002</v>
      </c>
      <c r="J920" s="60" t="str">
        <f ca="1">IFERROR(__xludf.DUMMYFUNCTION("SPLIT(G920,"","")"),"21630 County Rd 411")</f>
        <v>21630 County Rd 411</v>
      </c>
      <c r="K920" s="2" t="str">
        <f ca="1">IFERROR(__xludf.DUMMYFUNCTION("""COMPUTED_VALUE""")," Proctorville")</f>
        <v xml:space="preserve"> Proctorville</v>
      </c>
      <c r="L920" s="2" t="str">
        <f ca="1">IFERROR(__xludf.DUMMYFUNCTION("""COMPUTED_VALUE""")," OH 45669")</f>
        <v xml:space="preserve"> OH 45669</v>
      </c>
      <c r="M920" s="2" t="str">
        <f ca="1">IFERROR(__xludf.DUMMYFUNCTION("""COMPUTED_VALUE""")," USA")</f>
        <v xml:space="preserve"> USA</v>
      </c>
      <c r="P920" s="60"/>
    </row>
    <row r="921" spans="1:16">
      <c r="A921" s="97">
        <v>920</v>
      </c>
      <c r="B921" s="99" t="s">
        <v>1105</v>
      </c>
      <c r="C921" s="97" t="s">
        <v>71</v>
      </c>
      <c r="D921" s="93" t="s">
        <v>1207</v>
      </c>
      <c r="E921" s="48" t="str">
        <f t="shared" si="0"/>
        <v>Peoria</v>
      </c>
      <c r="F921" s="83" t="str">
        <f t="shared" si="1"/>
        <v>Peoria,AZ</v>
      </c>
      <c r="G921" s="97" t="s">
        <v>5615</v>
      </c>
      <c r="H921" s="97">
        <v>33.580595500000001</v>
      </c>
      <c r="I921" s="97">
        <v>-112.2373779</v>
      </c>
      <c r="J921" s="60" t="str">
        <f ca="1">IFERROR(__xludf.DUMMYFUNCTION("SPLIT(G921,"","")"),"83rd Av &amp; Washington St")</f>
        <v>83rd Av &amp; Washington St</v>
      </c>
      <c r="K921" s="2" t="str">
        <f ca="1">IFERROR(__xludf.DUMMYFUNCTION("""COMPUTED_VALUE""")," Peoria")</f>
        <v xml:space="preserve"> Peoria</v>
      </c>
      <c r="L921" s="2" t="str">
        <f ca="1">IFERROR(__xludf.DUMMYFUNCTION("""COMPUTED_VALUE""")," AZ 85345")</f>
        <v xml:space="preserve"> AZ 85345</v>
      </c>
      <c r="M921" s="2" t="str">
        <f ca="1">IFERROR(__xludf.DUMMYFUNCTION("""COMPUTED_VALUE""")," USA")</f>
        <v xml:space="preserve"> USA</v>
      </c>
      <c r="P921" s="60"/>
    </row>
    <row r="922" spans="1:16">
      <c r="A922" s="60">
        <v>921</v>
      </c>
      <c r="B922" s="79" t="s">
        <v>5618</v>
      </c>
      <c r="C922" s="60" t="s">
        <v>191</v>
      </c>
      <c r="D922" s="93" t="s">
        <v>3479</v>
      </c>
      <c r="E922" s="48" t="str">
        <f t="shared" si="0"/>
        <v>Saginaw</v>
      </c>
      <c r="F922" s="83" t="str">
        <f t="shared" si="1"/>
        <v>Carrollton,MI</v>
      </c>
      <c r="G922" s="60" t="s">
        <v>5620</v>
      </c>
      <c r="H922" s="60">
        <v>43.458901999999988</v>
      </c>
      <c r="I922" s="60">
        <v>-83.928452100000001</v>
      </c>
      <c r="J922" s="60" t="str">
        <f ca="1">IFERROR(__xludf.DUMMYFUNCTION("SPLIT(G922,"","")"),"3615 Madison St")</f>
        <v>3615 Madison St</v>
      </c>
      <c r="K922" s="2" t="str">
        <f ca="1">IFERROR(__xludf.DUMMYFUNCTION("""COMPUTED_VALUE""")," Saginaw")</f>
        <v xml:space="preserve"> Saginaw</v>
      </c>
      <c r="L922" s="2" t="str">
        <f ca="1">IFERROR(__xludf.DUMMYFUNCTION("""COMPUTED_VALUE""")," MI 48604")</f>
        <v xml:space="preserve"> MI 48604</v>
      </c>
      <c r="M922" s="2" t="str">
        <f ca="1">IFERROR(__xludf.DUMMYFUNCTION("""COMPUTED_VALUE""")," USA")</f>
        <v xml:space="preserve"> USA</v>
      </c>
      <c r="P922" s="60"/>
    </row>
    <row r="923" spans="1:16">
      <c r="A923" s="65">
        <v>922</v>
      </c>
      <c r="B923" s="80" t="s">
        <v>5622</v>
      </c>
      <c r="C923" s="65" t="s">
        <v>897</v>
      </c>
      <c r="D923" s="93" t="s">
        <v>5624</v>
      </c>
      <c r="E923" s="48" t="str">
        <f t="shared" si="0"/>
        <v>Grandview</v>
      </c>
      <c r="F923" s="83" t="str">
        <f t="shared" si="1"/>
        <v>Grandview,MO</v>
      </c>
      <c r="G923" s="65" t="s">
        <v>5625</v>
      </c>
      <c r="H923" s="65">
        <v>38.885840700000003</v>
      </c>
      <c r="I923" s="65">
        <v>-94.5330096</v>
      </c>
      <c r="J923" s="60" t="str">
        <f ca="1">IFERROR(__xludf.DUMMYFUNCTION("SPLIT(G923,"","")"),"1009 E 131 Terrace")</f>
        <v>1009 E 131 Terrace</v>
      </c>
      <c r="K923" s="2" t="str">
        <f ca="1">IFERROR(__xludf.DUMMYFUNCTION("""COMPUTED_VALUE""")," Grandview")</f>
        <v xml:space="preserve"> Grandview</v>
      </c>
      <c r="L923" s="2" t="str">
        <f ca="1">IFERROR(__xludf.DUMMYFUNCTION("""COMPUTED_VALUE""")," MO 64030")</f>
        <v xml:space="preserve"> MO 64030</v>
      </c>
      <c r="M923" s="2" t="str">
        <f ca="1">IFERROR(__xludf.DUMMYFUNCTION("""COMPUTED_VALUE""")," USA")</f>
        <v xml:space="preserve"> USA</v>
      </c>
      <c r="P923" s="60"/>
    </row>
    <row r="924" spans="1:16">
      <c r="A924" s="60">
        <v>923</v>
      </c>
      <c r="B924" s="79" t="s">
        <v>5628</v>
      </c>
      <c r="C924" s="60" t="s">
        <v>624</v>
      </c>
      <c r="D924" s="93" t="s">
        <v>724</v>
      </c>
      <c r="E924" s="48" t="str">
        <f t="shared" si="0"/>
        <v>Washington</v>
      </c>
      <c r="F924" s="83" t="str">
        <f t="shared" si="1"/>
        <v>North Central (Lebeau),LA</v>
      </c>
      <c r="G924" s="60" t="s">
        <v>5629</v>
      </c>
      <c r="H924" s="60">
        <v>30.7277284</v>
      </c>
      <c r="I924" s="60">
        <v>-91.98467620000001</v>
      </c>
      <c r="J924" s="60" t="str">
        <f ca="1">IFERROR(__xludf.DUMMYFUNCTION("SPLIT(G924,"","")"),"6579 LA-10")</f>
        <v>6579 LA-10</v>
      </c>
      <c r="K924" s="2" t="str">
        <f ca="1">IFERROR(__xludf.DUMMYFUNCTION("""COMPUTED_VALUE""")," Washington")</f>
        <v xml:space="preserve"> Washington</v>
      </c>
      <c r="L924" s="2" t="str">
        <f ca="1">IFERROR(__xludf.DUMMYFUNCTION("""COMPUTED_VALUE""")," LA 70589")</f>
        <v xml:space="preserve"> LA 70589</v>
      </c>
      <c r="M924" s="2" t="str">
        <f ca="1">IFERROR(__xludf.DUMMYFUNCTION("""COMPUTED_VALUE""")," USA")</f>
        <v xml:space="preserve"> USA</v>
      </c>
      <c r="P924" s="60"/>
    </row>
    <row r="925" spans="1:16">
      <c r="A925" s="65">
        <v>924</v>
      </c>
      <c r="B925" s="80" t="s">
        <v>5632</v>
      </c>
      <c r="C925" s="65" t="s">
        <v>602</v>
      </c>
      <c r="D925" s="93" t="s">
        <v>4899</v>
      </c>
      <c r="E925" s="48" t="str">
        <f t="shared" si="0"/>
        <v>Chatham</v>
      </c>
      <c r="F925" s="83" t="str">
        <f t="shared" si="1"/>
        <v>Hargrave Military Academy (Chatham),VA</v>
      </c>
      <c r="G925" s="65" t="s">
        <v>5633</v>
      </c>
      <c r="H925" s="65">
        <v>36.831854</v>
      </c>
      <c r="I925" s="65">
        <v>-79.401054999999999</v>
      </c>
      <c r="J925" s="60" t="str">
        <f ca="1">IFERROR(__xludf.DUMMYFUNCTION("SPLIT(G925,"","")"),"200 Military Dr")</f>
        <v>200 Military Dr</v>
      </c>
      <c r="K925" s="2" t="str">
        <f ca="1">IFERROR(__xludf.DUMMYFUNCTION("""COMPUTED_VALUE""")," Chatham")</f>
        <v xml:space="preserve"> Chatham</v>
      </c>
      <c r="L925" s="2" t="str">
        <f ca="1">IFERROR(__xludf.DUMMYFUNCTION("""COMPUTED_VALUE""")," VA 24531")</f>
        <v xml:space="preserve"> VA 24531</v>
      </c>
      <c r="M925" s="2" t="str">
        <f ca="1">IFERROR(__xludf.DUMMYFUNCTION("""COMPUTED_VALUE""")," USA")</f>
        <v xml:space="preserve"> USA</v>
      </c>
      <c r="P925" s="60"/>
    </row>
    <row r="926" spans="1:16">
      <c r="A926" s="60">
        <v>925</v>
      </c>
      <c r="B926" s="79" t="s">
        <v>5636</v>
      </c>
      <c r="C926" s="60" t="s">
        <v>604</v>
      </c>
      <c r="D926" s="93" t="s">
        <v>5637</v>
      </c>
      <c r="E926" s="48" t="str">
        <f t="shared" si="0"/>
        <v>Galesburg</v>
      </c>
      <c r="F926" s="83" t="str">
        <f t="shared" si="1"/>
        <v>Galesburg,IL</v>
      </c>
      <c r="G926" s="60" t="s">
        <v>5639</v>
      </c>
      <c r="H926" s="60">
        <v>40.947815800000008</v>
      </c>
      <c r="I926" s="60">
        <v>-90.371239500000001</v>
      </c>
      <c r="J926" s="60" t="str">
        <f ca="1">IFERROR(__xludf.DUMMYFUNCTION("SPLIT(G926,"","")"),"29 Public Square")</f>
        <v>29 Public Square</v>
      </c>
      <c r="K926" s="2" t="str">
        <f ca="1">IFERROR(__xludf.DUMMYFUNCTION("""COMPUTED_VALUE""")," Galesburg")</f>
        <v xml:space="preserve"> Galesburg</v>
      </c>
      <c r="L926" s="2" t="str">
        <f ca="1">IFERROR(__xludf.DUMMYFUNCTION("""COMPUTED_VALUE""")," IL 61401")</f>
        <v xml:space="preserve"> IL 61401</v>
      </c>
      <c r="M926" s="2" t="str">
        <f ca="1">IFERROR(__xludf.DUMMYFUNCTION("""COMPUTED_VALUE""")," USA")</f>
        <v xml:space="preserve"> USA</v>
      </c>
      <c r="P926" s="60"/>
    </row>
    <row r="927" spans="1:16">
      <c r="A927" s="60">
        <v>926</v>
      </c>
      <c r="B927" s="79" t="s">
        <v>5641</v>
      </c>
      <c r="C927" s="60" t="s">
        <v>588</v>
      </c>
      <c r="D927" s="93" t="s">
        <v>5642</v>
      </c>
      <c r="E927" s="48" t="str">
        <f t="shared" si="0"/>
        <v>Ontario</v>
      </c>
      <c r="F927" s="83" t="str">
        <f t="shared" si="1"/>
        <v>Colony (Ontario),CA</v>
      </c>
      <c r="G927" s="60" t="s">
        <v>5644</v>
      </c>
      <c r="H927" s="60">
        <v>34.018319599999998</v>
      </c>
      <c r="I927" s="60">
        <v>-117.5691334</v>
      </c>
      <c r="J927" s="60" t="str">
        <f ca="1">IFERROR(__xludf.DUMMYFUNCTION("SPLIT(G927,"","")"),"3850 E Riverside Dr")</f>
        <v>3850 E Riverside Dr</v>
      </c>
      <c r="K927" s="2" t="str">
        <f ca="1">IFERROR(__xludf.DUMMYFUNCTION("""COMPUTED_VALUE""")," Ontario")</f>
        <v xml:space="preserve"> Ontario</v>
      </c>
      <c r="L927" s="2" t="str">
        <f ca="1">IFERROR(__xludf.DUMMYFUNCTION("""COMPUTED_VALUE""")," CA 91761")</f>
        <v xml:space="preserve"> CA 91761</v>
      </c>
      <c r="M927" s="2" t="str">
        <f ca="1">IFERROR(__xludf.DUMMYFUNCTION("""COMPUTED_VALUE""")," USA")</f>
        <v xml:space="preserve"> USA</v>
      </c>
      <c r="P927" s="60"/>
    </row>
    <row r="928" spans="1:16">
      <c r="A928" s="65">
        <v>927</v>
      </c>
      <c r="B928" s="80" t="s">
        <v>5647</v>
      </c>
      <c r="C928" s="65" t="s">
        <v>1050</v>
      </c>
      <c r="D928" s="93" t="s">
        <v>5648</v>
      </c>
      <c r="E928" s="48" t="str">
        <f t="shared" si="0"/>
        <v>Morgantown</v>
      </c>
      <c r="F928" s="83" t="str">
        <f t="shared" si="1"/>
        <v>Morgantown,WV</v>
      </c>
      <c r="G928" s="65" t="s">
        <v>5649</v>
      </c>
      <c r="H928" s="65">
        <v>39.629525999999998</v>
      </c>
      <c r="I928" s="65">
        <v>-79.955896799999991</v>
      </c>
      <c r="J928" s="60" t="str">
        <f ca="1">IFERROR(__xludf.DUMMYFUNCTION("SPLIT(G928,"","")"),"264 High St")</f>
        <v>264 High St</v>
      </c>
      <c r="K928" s="2" t="str">
        <f ca="1">IFERROR(__xludf.DUMMYFUNCTION("""COMPUTED_VALUE""")," Morgantown")</f>
        <v xml:space="preserve"> Morgantown</v>
      </c>
      <c r="L928" s="2" t="str">
        <f ca="1">IFERROR(__xludf.DUMMYFUNCTION("""COMPUTED_VALUE""")," WV 26505")</f>
        <v xml:space="preserve"> WV 26505</v>
      </c>
      <c r="M928" s="2" t="str">
        <f ca="1">IFERROR(__xludf.DUMMYFUNCTION("""COMPUTED_VALUE""")," USA")</f>
        <v xml:space="preserve"> USA</v>
      </c>
      <c r="P928" s="60"/>
    </row>
    <row r="929" spans="1:16">
      <c r="A929" s="60">
        <v>928</v>
      </c>
      <c r="B929" s="79" t="s">
        <v>5652</v>
      </c>
      <c r="C929" s="60" t="s">
        <v>745</v>
      </c>
      <c r="D929" s="93" t="s">
        <v>5654</v>
      </c>
      <c r="E929" s="48" t="str">
        <f t="shared" si="0"/>
        <v>Cashmere</v>
      </c>
      <c r="F929" s="83" t="str">
        <f t="shared" si="1"/>
        <v>Cashmere,WA</v>
      </c>
      <c r="G929" s="60" t="s">
        <v>5655</v>
      </c>
      <c r="H929" s="60">
        <v>47.522346499999998</v>
      </c>
      <c r="I929" s="60">
        <v>-120.46980240000001</v>
      </c>
      <c r="J929" s="60" t="str">
        <f ca="1">IFERROR(__xludf.DUMMYFUNCTION("SPLIT(G929,"","")"),"101 Cottage Ave")</f>
        <v>101 Cottage Ave</v>
      </c>
      <c r="K929" s="2" t="str">
        <f ca="1">IFERROR(__xludf.DUMMYFUNCTION("""COMPUTED_VALUE""")," Cashmere")</f>
        <v xml:space="preserve"> Cashmere</v>
      </c>
      <c r="L929" s="2" t="str">
        <f ca="1">IFERROR(__xludf.DUMMYFUNCTION("""COMPUTED_VALUE""")," WA 98815")</f>
        <v xml:space="preserve"> WA 98815</v>
      </c>
      <c r="M929" s="2" t="str">
        <f ca="1">IFERROR(__xludf.DUMMYFUNCTION("""COMPUTED_VALUE""")," USA")</f>
        <v xml:space="preserve"> USA</v>
      </c>
      <c r="P929" s="60"/>
    </row>
    <row r="930" spans="1:16">
      <c r="A930" s="65">
        <v>929</v>
      </c>
      <c r="B930" s="80" t="s">
        <v>298</v>
      </c>
      <c r="C930" s="65" t="s">
        <v>737</v>
      </c>
      <c r="D930" s="93" t="s">
        <v>5658</v>
      </c>
      <c r="E930" s="48" t="str">
        <f t="shared" si="0"/>
        <v>Linden</v>
      </c>
      <c r="F930" s="83" t="str">
        <f t="shared" si="1"/>
        <v>Linden,NJ</v>
      </c>
      <c r="G930" s="65" t="s">
        <v>5660</v>
      </c>
      <c r="H930" s="65">
        <v>40.622047799999997</v>
      </c>
      <c r="I930" s="65">
        <v>-74.24459019999999</v>
      </c>
      <c r="J930" s="60" t="str">
        <f ca="1">IFERROR(__xludf.DUMMYFUNCTION("SPLIT(G930,"","")"),"401 W 12th St")</f>
        <v>401 W 12th St</v>
      </c>
      <c r="K930" s="2" t="str">
        <f ca="1">IFERROR(__xludf.DUMMYFUNCTION("""COMPUTED_VALUE""")," Linden")</f>
        <v xml:space="preserve"> Linden</v>
      </c>
      <c r="L930" s="2" t="str">
        <f ca="1">IFERROR(__xludf.DUMMYFUNCTION("""COMPUTED_VALUE""")," NJ 07036")</f>
        <v xml:space="preserve"> NJ 07036</v>
      </c>
      <c r="M930" s="2" t="str">
        <f ca="1">IFERROR(__xludf.DUMMYFUNCTION("""COMPUTED_VALUE""")," USA")</f>
        <v xml:space="preserve"> USA</v>
      </c>
      <c r="P930" s="60"/>
    </row>
    <row r="931" spans="1:16">
      <c r="A931" s="60">
        <v>930</v>
      </c>
      <c r="B931" s="79" t="s">
        <v>5664</v>
      </c>
      <c r="C931" s="60" t="s">
        <v>191</v>
      </c>
      <c r="D931" s="93" t="s">
        <v>5665</v>
      </c>
      <c r="E931" s="48" t="str">
        <f t="shared" si="0"/>
        <v>Waterford Twp</v>
      </c>
      <c r="F931" s="83" t="str">
        <f t="shared" si="1"/>
        <v>Mott (Waterford),MI</v>
      </c>
      <c r="G931" s="60" t="s">
        <v>5666</v>
      </c>
      <c r="H931" s="60">
        <v>42.656466299999998</v>
      </c>
      <c r="I931" s="60">
        <v>-83.349049699999995</v>
      </c>
      <c r="J931" s="60" t="str">
        <f ca="1">IFERROR(__xludf.DUMMYFUNCTION("SPLIT(G931,"","")"),"1151 Scott Lake Rd")</f>
        <v>1151 Scott Lake Rd</v>
      </c>
      <c r="K931" s="2" t="str">
        <f ca="1">IFERROR(__xludf.DUMMYFUNCTION("""COMPUTED_VALUE""")," Waterford Twp")</f>
        <v xml:space="preserve"> Waterford Twp</v>
      </c>
      <c r="L931" s="2" t="str">
        <f ca="1">IFERROR(__xludf.DUMMYFUNCTION("""COMPUTED_VALUE""")," MI 48328")</f>
        <v xml:space="preserve"> MI 48328</v>
      </c>
      <c r="M931" s="2" t="str">
        <f ca="1">IFERROR(__xludf.DUMMYFUNCTION("""COMPUTED_VALUE""")," USA")</f>
        <v xml:space="preserve"> USA</v>
      </c>
      <c r="P931" s="60"/>
    </row>
    <row r="932" spans="1:16">
      <c r="A932" s="65">
        <v>931</v>
      </c>
      <c r="B932" s="80" t="s">
        <v>5669</v>
      </c>
      <c r="C932" s="65" t="s">
        <v>618</v>
      </c>
      <c r="D932" s="93" t="s">
        <v>5671</v>
      </c>
      <c r="E932" s="48" t="str">
        <f t="shared" si="0"/>
        <v>Ossian</v>
      </c>
      <c r="F932" s="83" t="str">
        <f t="shared" si="1"/>
        <v>Norwell (Ossian),IN</v>
      </c>
      <c r="G932" s="65" t="s">
        <v>5673</v>
      </c>
      <c r="H932" s="65">
        <v>40.828358700000003</v>
      </c>
      <c r="I932" s="65">
        <v>-85.202058699999995</v>
      </c>
      <c r="J932" s="60" t="str">
        <f ca="1">IFERROR(__xludf.DUMMYFUNCTION("SPLIT(G932,"","")"),"1100 US-224")</f>
        <v>1100 US-224</v>
      </c>
      <c r="K932" s="2" t="str">
        <f ca="1">IFERROR(__xludf.DUMMYFUNCTION("""COMPUTED_VALUE""")," Ossian")</f>
        <v xml:space="preserve"> Ossian</v>
      </c>
      <c r="L932" s="2" t="str">
        <f ca="1">IFERROR(__xludf.DUMMYFUNCTION("""COMPUTED_VALUE""")," IN 46777")</f>
        <v xml:space="preserve"> IN 46777</v>
      </c>
      <c r="M932" s="2" t="str">
        <f ca="1">IFERROR(__xludf.DUMMYFUNCTION("""COMPUTED_VALUE""")," USA")</f>
        <v xml:space="preserve"> USA</v>
      </c>
      <c r="P932" s="60"/>
    </row>
    <row r="933" spans="1:16">
      <c r="A933" s="60">
        <v>932</v>
      </c>
      <c r="B933" s="79" t="s">
        <v>5676</v>
      </c>
      <c r="C933" s="60" t="s">
        <v>136</v>
      </c>
      <c r="D933" s="93" t="s">
        <v>5677</v>
      </c>
      <c r="E933" s="48" t="str">
        <f t="shared" si="0"/>
        <v>Oviedo</v>
      </c>
      <c r="F933" s="83" t="str">
        <f t="shared" si="1"/>
        <v>Master's Academy (Oviedo),FL</v>
      </c>
      <c r="G933" s="60" t="s">
        <v>5679</v>
      </c>
      <c r="H933" s="60">
        <v>28.649039699999999</v>
      </c>
      <c r="I933" s="60">
        <v>-81.234038099999992</v>
      </c>
      <c r="J933" s="60" t="str">
        <f ca="1">IFERROR(__xludf.DUMMYFUNCTION("SPLIT(G933,"","")"),"1500 Lukas Ln")</f>
        <v>1500 Lukas Ln</v>
      </c>
      <c r="K933" s="2" t="str">
        <f ca="1">IFERROR(__xludf.DUMMYFUNCTION("""COMPUTED_VALUE""")," Oviedo")</f>
        <v xml:space="preserve"> Oviedo</v>
      </c>
      <c r="L933" s="2" t="str">
        <f ca="1">IFERROR(__xludf.DUMMYFUNCTION("""COMPUTED_VALUE""")," FL 32765")</f>
        <v xml:space="preserve"> FL 32765</v>
      </c>
      <c r="M933" s="2" t="str">
        <f ca="1">IFERROR(__xludf.DUMMYFUNCTION("""COMPUTED_VALUE""")," USA")</f>
        <v xml:space="preserve"> USA</v>
      </c>
      <c r="P933" s="60"/>
    </row>
    <row r="934" spans="1:16">
      <c r="A934" s="65">
        <v>933</v>
      </c>
      <c r="B934" s="80" t="s">
        <v>5682</v>
      </c>
      <c r="C934" s="65" t="s">
        <v>1210</v>
      </c>
      <c r="D934" s="93" t="s">
        <v>5683</v>
      </c>
      <c r="E934" s="48" t="str">
        <f t="shared" si="0"/>
        <v>Hinesburg</v>
      </c>
      <c r="F934" s="83" t="str">
        <f t="shared" si="1"/>
        <v>Champlain Valley Union (Hinesburg),VT</v>
      </c>
      <c r="G934" s="65" t="s">
        <v>5685</v>
      </c>
      <c r="H934" s="65">
        <v>44.344655199999998</v>
      </c>
      <c r="I934" s="65">
        <v>-73.109952499999991</v>
      </c>
      <c r="J934" s="60" t="str">
        <f ca="1">IFERROR(__xludf.DUMMYFUNCTION("SPLIT(G934,"","")"),"369 C V U Rd")</f>
        <v>369 C V U Rd</v>
      </c>
      <c r="K934" s="2" t="str">
        <f ca="1">IFERROR(__xludf.DUMMYFUNCTION("""COMPUTED_VALUE""")," Hinesburg")</f>
        <v xml:space="preserve"> Hinesburg</v>
      </c>
      <c r="L934" s="2" t="str">
        <f ca="1">IFERROR(__xludf.DUMMYFUNCTION("""COMPUTED_VALUE""")," VT 05461")</f>
        <v xml:space="preserve"> VT 05461</v>
      </c>
      <c r="M934" s="2" t="str">
        <f ca="1">IFERROR(__xludf.DUMMYFUNCTION("""COMPUTED_VALUE""")," USA")</f>
        <v xml:space="preserve"> USA</v>
      </c>
      <c r="P934" s="60"/>
    </row>
    <row r="935" spans="1:16">
      <c r="A935" s="60">
        <v>934</v>
      </c>
      <c r="B935" s="79" t="s">
        <v>5687</v>
      </c>
      <c r="C935" s="60" t="s">
        <v>646</v>
      </c>
      <c r="D935" s="93" t="s">
        <v>5689</v>
      </c>
      <c r="E935" s="48" t="str">
        <f t="shared" si="0"/>
        <v>Great Falls</v>
      </c>
      <c r="F935" s="83" t="str">
        <f t="shared" si="1"/>
        <v>Great Falls,MT</v>
      </c>
      <c r="G935" s="60" t="s">
        <v>5690</v>
      </c>
      <c r="H935" s="60">
        <v>47.505284899999999</v>
      </c>
      <c r="I935" s="60">
        <v>-111.3007715</v>
      </c>
      <c r="J935" s="60" t="str">
        <f ca="1">IFERROR(__xludf.DUMMYFUNCTION("SPLIT(G935,"","")"),"401 Central Ave")</f>
        <v>401 Central Ave</v>
      </c>
      <c r="K935" s="2" t="str">
        <f ca="1">IFERROR(__xludf.DUMMYFUNCTION("""COMPUTED_VALUE""")," Great Falls")</f>
        <v xml:space="preserve"> Great Falls</v>
      </c>
      <c r="L935" s="2" t="str">
        <f ca="1">IFERROR(__xludf.DUMMYFUNCTION("""COMPUTED_VALUE""")," MT 59401")</f>
        <v xml:space="preserve"> MT 59401</v>
      </c>
      <c r="M935" s="2" t="str">
        <f ca="1">IFERROR(__xludf.DUMMYFUNCTION("""COMPUTED_VALUE""")," USA")</f>
        <v xml:space="preserve"> USA</v>
      </c>
      <c r="P935" s="60"/>
    </row>
    <row r="936" spans="1:16">
      <c r="A936" s="65">
        <v>935</v>
      </c>
      <c r="B936" s="80" t="s">
        <v>5693</v>
      </c>
      <c r="C936" s="65" t="s">
        <v>618</v>
      </c>
      <c r="D936" s="93" t="s">
        <v>5694</v>
      </c>
      <c r="E936" s="48" t="str">
        <f t="shared" si="0"/>
        <v>Lincoln City</v>
      </c>
      <c r="F936" s="83" t="str">
        <f t="shared" si="1"/>
        <v>Heritage Hills (Lincoln City),IN</v>
      </c>
      <c r="G936" s="65" t="s">
        <v>5696</v>
      </c>
      <c r="H936" s="65">
        <v>38.119753299999999</v>
      </c>
      <c r="I936" s="65">
        <v>-86.988168799999997</v>
      </c>
      <c r="J936" s="60" t="str">
        <f ca="1">IFERROR(__xludf.DUMMYFUNCTION("SPLIT(G936,"","")"),"3644 E County Rd 1600 N")</f>
        <v>3644 E County Rd 1600 N</v>
      </c>
      <c r="K936" s="2" t="str">
        <f ca="1">IFERROR(__xludf.DUMMYFUNCTION("""COMPUTED_VALUE""")," Lincoln City")</f>
        <v xml:space="preserve"> Lincoln City</v>
      </c>
      <c r="L936" s="2" t="str">
        <f ca="1">IFERROR(__xludf.DUMMYFUNCTION("""COMPUTED_VALUE""")," IN 47552")</f>
        <v xml:space="preserve"> IN 47552</v>
      </c>
      <c r="M936" s="2" t="str">
        <f ca="1">IFERROR(__xludf.DUMMYFUNCTION("""COMPUTED_VALUE""")," USA")</f>
        <v xml:space="preserve"> USA</v>
      </c>
      <c r="P936" s="60"/>
    </row>
    <row r="937" spans="1:16">
      <c r="A937" s="60">
        <v>936</v>
      </c>
      <c r="B937" s="79" t="s">
        <v>5699</v>
      </c>
      <c r="C937" s="60" t="s">
        <v>598</v>
      </c>
      <c r="D937" s="93" t="s">
        <v>3078</v>
      </c>
      <c r="E937" s="48" t="str">
        <f t="shared" si="0"/>
        <v>Decatur</v>
      </c>
      <c r="F937" s="83" t="str">
        <f t="shared" si="1"/>
        <v>Greenforest (Decatur),GA</v>
      </c>
      <c r="G937" s="60" t="s">
        <v>5701</v>
      </c>
      <c r="H937" s="60">
        <v>33.715281699999998</v>
      </c>
      <c r="I937" s="60">
        <v>-84.256904699999993</v>
      </c>
      <c r="J937" s="60" t="str">
        <f ca="1">IFERROR(__xludf.DUMMYFUNCTION("SPLIT(G937,"","")"),"3250 Rainbow Dr")</f>
        <v>3250 Rainbow Dr</v>
      </c>
      <c r="K937" s="2" t="str">
        <f ca="1">IFERROR(__xludf.DUMMYFUNCTION("""COMPUTED_VALUE""")," Decatur")</f>
        <v xml:space="preserve"> Decatur</v>
      </c>
      <c r="L937" s="2" t="str">
        <f ca="1">IFERROR(__xludf.DUMMYFUNCTION("""COMPUTED_VALUE""")," GA 30034")</f>
        <v xml:space="preserve"> GA 30034</v>
      </c>
      <c r="M937" s="2" t="str">
        <f ca="1">IFERROR(__xludf.DUMMYFUNCTION("""COMPUTED_VALUE""")," USA")</f>
        <v xml:space="preserve"> USA</v>
      </c>
      <c r="P937" s="60"/>
    </row>
    <row r="938" spans="1:16">
      <c r="A938" s="65">
        <v>937</v>
      </c>
      <c r="B938" s="80" t="s">
        <v>5703</v>
      </c>
      <c r="C938" s="65" t="s">
        <v>70</v>
      </c>
      <c r="D938" s="93" t="s">
        <v>5705</v>
      </c>
      <c r="E938" s="48" t="str">
        <f t="shared" si="0"/>
        <v>Fairbanks</v>
      </c>
      <c r="F938" s="83" t="str">
        <f t="shared" si="1"/>
        <v>West Valley (Fairbanks),AK</v>
      </c>
      <c r="G938" s="65" t="s">
        <v>5706</v>
      </c>
      <c r="H938" s="65">
        <v>64.85110379999999</v>
      </c>
      <c r="I938" s="65">
        <v>-147.82518479999999</v>
      </c>
      <c r="J938" s="60" t="str">
        <f ca="1">IFERROR(__xludf.DUMMYFUNCTION("SPLIT(G938,"","")"),"West Valley High School")</f>
        <v>West Valley High School</v>
      </c>
      <c r="K938" s="2" t="str">
        <f ca="1">IFERROR(__xludf.DUMMYFUNCTION("""COMPUTED_VALUE""")," 3800 Geist Rd")</f>
        <v xml:space="preserve"> 3800 Geist Rd</v>
      </c>
      <c r="L938" s="2" t="str">
        <f ca="1">IFERROR(__xludf.DUMMYFUNCTION("""COMPUTED_VALUE""")," Fairbanks")</f>
        <v xml:space="preserve"> Fairbanks</v>
      </c>
      <c r="M938" s="2" t="str">
        <f ca="1">IFERROR(__xludf.DUMMYFUNCTION("""COMPUTED_VALUE""")," AK 99709")</f>
        <v xml:space="preserve"> AK 99709</v>
      </c>
      <c r="N938" s="2" t="str">
        <f ca="1">IFERROR(__xludf.DUMMYFUNCTION("""COMPUTED_VALUE""")," USA")</f>
        <v xml:space="preserve"> USA</v>
      </c>
      <c r="P938" s="60"/>
    </row>
    <row r="939" spans="1:16">
      <c r="A939" s="60">
        <v>938</v>
      </c>
      <c r="B939" s="79" t="s">
        <v>5710</v>
      </c>
      <c r="C939" s="60" t="s">
        <v>624</v>
      </c>
      <c r="D939" s="93" t="s">
        <v>5711</v>
      </c>
      <c r="E939" s="48" t="str">
        <f t="shared" si="0"/>
        <v>West Monroe</v>
      </c>
      <c r="F939" s="83" t="str">
        <f t="shared" si="1"/>
        <v>West Monroe,LA</v>
      </c>
      <c r="G939" s="60" t="s">
        <v>5713</v>
      </c>
      <c r="H939" s="60">
        <v>32.518477500000003</v>
      </c>
      <c r="I939" s="60">
        <v>-92.14763529999999</v>
      </c>
      <c r="J939" s="60" t="str">
        <f ca="1">IFERROR(__xludf.DUMMYFUNCTION("SPLIT(G939,"","")"),"2720 Cypress St")</f>
        <v>2720 Cypress St</v>
      </c>
      <c r="K939" s="2" t="str">
        <f ca="1">IFERROR(__xludf.DUMMYFUNCTION("""COMPUTED_VALUE""")," West Monroe")</f>
        <v xml:space="preserve"> West Monroe</v>
      </c>
      <c r="L939" s="2" t="str">
        <f ca="1">IFERROR(__xludf.DUMMYFUNCTION("""COMPUTED_VALUE""")," LA 71291")</f>
        <v xml:space="preserve"> LA 71291</v>
      </c>
      <c r="M939" s="2" t="str">
        <f ca="1">IFERROR(__xludf.DUMMYFUNCTION("""COMPUTED_VALUE""")," USA")</f>
        <v xml:space="preserve"> USA</v>
      </c>
      <c r="P939" s="60"/>
    </row>
    <row r="940" spans="1:16">
      <c r="A940" s="65">
        <v>939</v>
      </c>
      <c r="B940" s="80" t="s">
        <v>5716</v>
      </c>
      <c r="C940" s="65" t="s">
        <v>588</v>
      </c>
      <c r="D940" s="93" t="s">
        <v>5717</v>
      </c>
      <c r="E940" s="48" t="str">
        <f t="shared" si="0"/>
        <v>Mountain View</v>
      </c>
      <c r="F940" s="83" t="str">
        <f t="shared" si="1"/>
        <v>Saint Francis (Mountain View),CA</v>
      </c>
      <c r="G940" s="65" t="s">
        <v>5719</v>
      </c>
      <c r="H940" s="65">
        <v>37.3690468</v>
      </c>
      <c r="I940" s="65">
        <v>-122.0855263</v>
      </c>
      <c r="J940" s="60" t="str">
        <f ca="1">IFERROR(__xludf.DUMMYFUNCTION("SPLIT(G940,"","")"),"1885 Miramonte Ave")</f>
        <v>1885 Miramonte Ave</v>
      </c>
      <c r="K940" s="2" t="str">
        <f ca="1">IFERROR(__xludf.DUMMYFUNCTION("""COMPUTED_VALUE""")," Mountain View")</f>
        <v xml:space="preserve"> Mountain View</v>
      </c>
      <c r="L940" s="2" t="str">
        <f ca="1">IFERROR(__xludf.DUMMYFUNCTION("""COMPUTED_VALUE""")," CA 94040")</f>
        <v xml:space="preserve"> CA 94040</v>
      </c>
      <c r="M940" s="2" t="str">
        <f ca="1">IFERROR(__xludf.DUMMYFUNCTION("""COMPUTED_VALUE""")," USA")</f>
        <v xml:space="preserve"> USA</v>
      </c>
      <c r="P940" s="60"/>
    </row>
    <row r="941" spans="1:16">
      <c r="A941" s="60">
        <v>940</v>
      </c>
      <c r="B941" s="79" t="s">
        <v>5722</v>
      </c>
      <c r="C941" s="60" t="s">
        <v>183</v>
      </c>
      <c r="D941" s="93" t="s">
        <v>5723</v>
      </c>
      <c r="E941" s="48" t="str">
        <f t="shared" si="0"/>
        <v>Endicott</v>
      </c>
      <c r="F941" s="83" t="str">
        <f t="shared" si="1"/>
        <v>Maine-Endwell (Endwell),NY</v>
      </c>
      <c r="G941" s="60" t="s">
        <v>5725</v>
      </c>
      <c r="H941" s="60">
        <v>42.127815899999987</v>
      </c>
      <c r="I941" s="60">
        <v>-76.022599099999994</v>
      </c>
      <c r="J941" s="60" t="str">
        <f ca="1">IFERROR(__xludf.DUMMYFUNCTION("SPLIT(G941,"","")"),"712 Farm to Market Rd")</f>
        <v>712 Farm to Market Rd</v>
      </c>
      <c r="K941" s="2" t="str">
        <f ca="1">IFERROR(__xludf.DUMMYFUNCTION("""COMPUTED_VALUE""")," Endicott")</f>
        <v xml:space="preserve"> Endicott</v>
      </c>
      <c r="L941" s="2" t="str">
        <f ca="1">IFERROR(__xludf.DUMMYFUNCTION("""COMPUTED_VALUE""")," NY 13760")</f>
        <v xml:space="preserve"> NY 13760</v>
      </c>
      <c r="M941" s="2" t="str">
        <f ca="1">IFERROR(__xludf.DUMMYFUNCTION("""COMPUTED_VALUE""")," USA")</f>
        <v xml:space="preserve"> USA</v>
      </c>
      <c r="P941" s="60"/>
    </row>
    <row r="942" spans="1:16">
      <c r="A942" s="65">
        <v>941</v>
      </c>
      <c r="B942" s="80" t="s">
        <v>5727</v>
      </c>
      <c r="C942" s="65" t="s">
        <v>770</v>
      </c>
      <c r="D942" s="93" t="s">
        <v>5729</v>
      </c>
      <c r="E942" s="48" t="str">
        <f t="shared" si="0"/>
        <v>Nashville</v>
      </c>
      <c r="F942" s="83" t="str">
        <f t="shared" si="1"/>
        <v>Pearl-Cohn (Nashville),TN</v>
      </c>
      <c r="G942" s="65" t="s">
        <v>5730</v>
      </c>
      <c r="H942" s="65">
        <v>36.164222899999999</v>
      </c>
      <c r="I942" s="65">
        <v>-86.814893699999999</v>
      </c>
      <c r="J942" s="60" t="str">
        <f ca="1">IFERROR(__xludf.DUMMYFUNCTION("SPLIT(G942,"","")"),"904 26th Ave N")</f>
        <v>904 26th Ave N</v>
      </c>
      <c r="K942" s="2" t="str">
        <f ca="1">IFERROR(__xludf.DUMMYFUNCTION("""COMPUTED_VALUE""")," Nashville")</f>
        <v xml:space="preserve"> Nashville</v>
      </c>
      <c r="L942" s="2" t="str">
        <f ca="1">IFERROR(__xludf.DUMMYFUNCTION("""COMPUTED_VALUE""")," TN 37208")</f>
        <v xml:space="preserve"> TN 37208</v>
      </c>
      <c r="M942" s="2" t="str">
        <f ca="1">IFERROR(__xludf.DUMMYFUNCTION("""COMPUTED_VALUE""")," USA")</f>
        <v xml:space="preserve"> USA</v>
      </c>
      <c r="P942" s="60"/>
    </row>
    <row r="943" spans="1:16">
      <c r="A943" s="60">
        <v>942</v>
      </c>
      <c r="B943" s="79" t="s">
        <v>5733</v>
      </c>
      <c r="C943" s="60" t="s">
        <v>179</v>
      </c>
      <c r="D943" s="93" t="s">
        <v>5734</v>
      </c>
      <c r="E943" s="48" t="str">
        <f t="shared" si="0"/>
        <v>Wingate</v>
      </c>
      <c r="F943" s="83" t="str">
        <f t="shared" si="1"/>
        <v>Forest Hills (Marshville),NC</v>
      </c>
      <c r="G943" s="60" t="s">
        <v>5735</v>
      </c>
      <c r="H943" s="60">
        <v>34.979372599999998</v>
      </c>
      <c r="I943" s="60">
        <v>-80.413004099999995</v>
      </c>
      <c r="J943" s="60" t="str">
        <f ca="1">IFERROR(__xludf.DUMMYFUNCTION("SPLIT(G943,"","")"),"100 Forest Hills School Rd S")</f>
        <v>100 Forest Hills School Rd S</v>
      </c>
      <c r="K943" s="2" t="str">
        <f ca="1">IFERROR(__xludf.DUMMYFUNCTION("""COMPUTED_VALUE""")," Wingate")</f>
        <v xml:space="preserve"> Wingate</v>
      </c>
      <c r="L943" s="2" t="str">
        <f ca="1">IFERROR(__xludf.DUMMYFUNCTION("""COMPUTED_VALUE""")," NC 28174")</f>
        <v xml:space="preserve"> NC 28174</v>
      </c>
      <c r="M943" s="2" t="str">
        <f ca="1">IFERROR(__xludf.DUMMYFUNCTION("""COMPUTED_VALUE""")," USA")</f>
        <v xml:space="preserve"> USA</v>
      </c>
      <c r="P943" s="60"/>
    </row>
    <row r="944" spans="1:16">
      <c r="A944" s="65">
        <v>943</v>
      </c>
      <c r="B944" s="80" t="s">
        <v>5738</v>
      </c>
      <c r="C944" s="65" t="s">
        <v>174</v>
      </c>
      <c r="D944" s="93" t="s">
        <v>1899</v>
      </c>
      <c r="E944" s="48" t="str">
        <f t="shared" si="0"/>
        <v>Cleveland</v>
      </c>
      <c r="F944" s="83" t="str">
        <f t="shared" si="1"/>
        <v>St. Ignatius (Cleveland),OH</v>
      </c>
      <c r="G944" s="65" t="s">
        <v>5740</v>
      </c>
      <c r="H944" s="65">
        <v>41.482994599999998</v>
      </c>
      <c r="I944" s="65">
        <v>-81.706861199999992</v>
      </c>
      <c r="J944" s="60" t="str">
        <f ca="1">IFERROR(__xludf.DUMMYFUNCTION("SPLIT(G944,"","")"),"1911 W 30th St")</f>
        <v>1911 W 30th St</v>
      </c>
      <c r="K944" s="2" t="str">
        <f ca="1">IFERROR(__xludf.DUMMYFUNCTION("""COMPUTED_VALUE""")," Cleveland")</f>
        <v xml:space="preserve"> Cleveland</v>
      </c>
      <c r="L944" s="2" t="str">
        <f ca="1">IFERROR(__xludf.DUMMYFUNCTION("""COMPUTED_VALUE""")," OH 44113")</f>
        <v xml:space="preserve"> OH 44113</v>
      </c>
      <c r="M944" s="2" t="str">
        <f ca="1">IFERROR(__xludf.DUMMYFUNCTION("""COMPUTED_VALUE""")," USA")</f>
        <v xml:space="preserve"> USA</v>
      </c>
      <c r="P944" s="60"/>
    </row>
    <row r="945" spans="1:16">
      <c r="A945" s="60">
        <v>944</v>
      </c>
      <c r="B945" s="79" t="s">
        <v>1773</v>
      </c>
      <c r="C945" s="60" t="s">
        <v>183</v>
      </c>
      <c r="D945" s="93" t="s">
        <v>5743</v>
      </c>
      <c r="E945" s="48" t="str">
        <f t="shared" si="0"/>
        <v>Geneva</v>
      </c>
      <c r="F945" s="83" t="str">
        <f t="shared" si="1"/>
        <v>Geneva,NY</v>
      </c>
      <c r="G945" s="60" t="s">
        <v>5744</v>
      </c>
      <c r="H945" s="60">
        <v>42.867983600000002</v>
      </c>
      <c r="I945" s="60">
        <v>-76.985557</v>
      </c>
      <c r="J945" s="60" t="str">
        <f ca="1">IFERROR(__xludf.DUMMYFUNCTION("SPLIT(G945,"","")"),"164 Castle St")</f>
        <v>164 Castle St</v>
      </c>
      <c r="K945" s="2" t="str">
        <f ca="1">IFERROR(__xludf.DUMMYFUNCTION("""COMPUTED_VALUE""")," Geneva")</f>
        <v xml:space="preserve"> Geneva</v>
      </c>
      <c r="L945" s="2" t="str">
        <f ca="1">IFERROR(__xludf.DUMMYFUNCTION("""COMPUTED_VALUE""")," NY 14456")</f>
        <v xml:space="preserve"> NY 14456</v>
      </c>
      <c r="M945" s="2" t="str">
        <f ca="1">IFERROR(__xludf.DUMMYFUNCTION("""COMPUTED_VALUE""")," USA")</f>
        <v xml:space="preserve"> USA</v>
      </c>
      <c r="P945" s="60"/>
    </row>
    <row r="946" spans="1:16">
      <c r="A946" s="65">
        <v>945</v>
      </c>
      <c r="B946" s="80" t="s">
        <v>5748</v>
      </c>
      <c r="C946" s="65" t="s">
        <v>682</v>
      </c>
      <c r="D946" s="93" t="s">
        <v>5750</v>
      </c>
      <c r="E946" s="48" t="str">
        <f t="shared" si="0"/>
        <v>Whitefish Bay</v>
      </c>
      <c r="F946" s="83" t="str">
        <f t="shared" si="1"/>
        <v>Dominican (Whitefish Bay),WI</v>
      </c>
      <c r="G946" s="65" t="s">
        <v>5751</v>
      </c>
      <c r="H946" s="65">
        <v>43.1188316</v>
      </c>
      <c r="I946" s="65">
        <v>-87.909784399999992</v>
      </c>
      <c r="J946" s="60" t="str">
        <f ca="1">IFERROR(__xludf.DUMMYFUNCTION("SPLIT(G946,"","")"),"2 E Silver Spring Dr")</f>
        <v>2 E Silver Spring Dr</v>
      </c>
      <c r="K946" s="2" t="str">
        <f ca="1">IFERROR(__xludf.DUMMYFUNCTION("""COMPUTED_VALUE""")," Whitefish Bay")</f>
        <v xml:space="preserve"> Whitefish Bay</v>
      </c>
      <c r="L946" s="2" t="str">
        <f ca="1">IFERROR(__xludf.DUMMYFUNCTION("""COMPUTED_VALUE""")," WI 53217")</f>
        <v xml:space="preserve"> WI 53217</v>
      </c>
      <c r="M946" s="2" t="str">
        <f ca="1">IFERROR(__xludf.DUMMYFUNCTION("""COMPUTED_VALUE""")," USA")</f>
        <v xml:space="preserve"> USA</v>
      </c>
      <c r="P946" s="60"/>
    </row>
    <row r="947" spans="1:16">
      <c r="A947" s="60">
        <v>946</v>
      </c>
      <c r="B947" s="79" t="s">
        <v>5754</v>
      </c>
      <c r="C947" s="60" t="s">
        <v>693</v>
      </c>
      <c r="D947" s="93" t="s">
        <v>5755</v>
      </c>
      <c r="E947" s="48" t="str">
        <f t="shared" si="0"/>
        <v>Ripley</v>
      </c>
      <c r="F947" s="83" t="str">
        <f t="shared" si="1"/>
        <v>Ripley,MS</v>
      </c>
      <c r="G947" s="60" t="s">
        <v>5757</v>
      </c>
      <c r="H947" s="60">
        <v>34.729818100000003</v>
      </c>
      <c r="I947" s="60">
        <v>-88.9506181</v>
      </c>
      <c r="J947" s="60" t="str">
        <f ca="1">IFERROR(__xludf.DUMMYFUNCTION("SPLIT(G947,"","")"),"120a courthouse square")</f>
        <v>120a courthouse square</v>
      </c>
      <c r="K947" s="2" t="str">
        <f ca="1">IFERROR(__xludf.DUMMYFUNCTION("""COMPUTED_VALUE""")," Ripley")</f>
        <v xml:space="preserve"> Ripley</v>
      </c>
      <c r="L947" s="2" t="str">
        <f ca="1">IFERROR(__xludf.DUMMYFUNCTION("""COMPUTED_VALUE""")," MS 38663")</f>
        <v xml:space="preserve"> MS 38663</v>
      </c>
      <c r="M947" s="2" t="str">
        <f ca="1">IFERROR(__xludf.DUMMYFUNCTION("""COMPUTED_VALUE""")," USA")</f>
        <v xml:space="preserve"> USA</v>
      </c>
      <c r="P947" s="60"/>
    </row>
    <row r="948" spans="1:16">
      <c r="A948" s="65">
        <v>947</v>
      </c>
      <c r="B948" s="80" t="s">
        <v>1887</v>
      </c>
      <c r="C948" s="65" t="s">
        <v>737</v>
      </c>
      <c r="D948" s="93" t="s">
        <v>5760</v>
      </c>
      <c r="E948" s="48" t="str">
        <f t="shared" si="0"/>
        <v>Irvington</v>
      </c>
      <c r="F948" s="83" t="str">
        <f t="shared" si="1"/>
        <v>Irvington,NJ</v>
      </c>
      <c r="G948" s="65" t="s">
        <v>5762</v>
      </c>
      <c r="H948" s="65">
        <v>40.726324900000002</v>
      </c>
      <c r="I948" s="65">
        <v>-74.22864349999999</v>
      </c>
      <c r="J948" s="60" t="str">
        <f ca="1">IFERROR(__xludf.DUMMYFUNCTION("SPLIT(G948,"","")"),"1110 Clinton Ave")</f>
        <v>1110 Clinton Ave</v>
      </c>
      <c r="K948" s="2" t="str">
        <f ca="1">IFERROR(__xludf.DUMMYFUNCTION("""COMPUTED_VALUE""")," Irvington")</f>
        <v xml:space="preserve"> Irvington</v>
      </c>
      <c r="L948" s="2" t="str">
        <f ca="1">IFERROR(__xludf.DUMMYFUNCTION("""COMPUTED_VALUE""")," NJ 07111")</f>
        <v xml:space="preserve"> NJ 07111</v>
      </c>
      <c r="M948" s="2" t="str">
        <f ca="1">IFERROR(__xludf.DUMMYFUNCTION("""COMPUTED_VALUE""")," USA")</f>
        <v xml:space="preserve"> USA</v>
      </c>
      <c r="P948" s="60"/>
    </row>
    <row r="949" spans="1:16">
      <c r="A949" s="60">
        <v>948</v>
      </c>
      <c r="B949" s="79" t="s">
        <v>5765</v>
      </c>
      <c r="C949" s="60" t="s">
        <v>881</v>
      </c>
      <c r="D949" s="93" t="s">
        <v>5600</v>
      </c>
      <c r="E949" s="48" t="str">
        <f t="shared" si="0"/>
        <v>Shelbyville</v>
      </c>
      <c r="F949" s="83" t="str">
        <f t="shared" si="1"/>
        <v>Collins (Shelbyville),KY</v>
      </c>
      <c r="G949" s="60" t="s">
        <v>5766</v>
      </c>
      <c r="H949" s="60">
        <v>38.224304600000004</v>
      </c>
      <c r="I949" s="60">
        <v>-85.273318199999991</v>
      </c>
      <c r="J949" s="60" t="str">
        <f ca="1">IFERROR(__xludf.DUMMYFUNCTION("SPLIT(G949,"","")"),"801 Discovery Blvd")</f>
        <v>801 Discovery Blvd</v>
      </c>
      <c r="K949" s="2" t="str">
        <f ca="1">IFERROR(__xludf.DUMMYFUNCTION("""COMPUTED_VALUE""")," Shelbyville")</f>
        <v xml:space="preserve"> Shelbyville</v>
      </c>
      <c r="L949" s="2" t="str">
        <f ca="1">IFERROR(__xludf.DUMMYFUNCTION("""COMPUTED_VALUE""")," KY 40065")</f>
        <v xml:space="preserve"> KY 40065</v>
      </c>
      <c r="M949" s="2" t="str">
        <f ca="1">IFERROR(__xludf.DUMMYFUNCTION("""COMPUTED_VALUE""")," USA")</f>
        <v xml:space="preserve"> USA</v>
      </c>
      <c r="P949" s="60"/>
    </row>
    <row r="950" spans="1:16">
      <c r="A950" s="65">
        <v>949</v>
      </c>
      <c r="B950" s="80" t="s">
        <v>3662</v>
      </c>
      <c r="C950" s="65" t="s">
        <v>901</v>
      </c>
      <c r="D950" s="93" t="s">
        <v>5770</v>
      </c>
      <c r="E950" s="48" t="str">
        <f t="shared" si="0"/>
        <v>Cabot</v>
      </c>
      <c r="F950" s="83" t="str">
        <f t="shared" si="1"/>
        <v>Cabot,AR</v>
      </c>
      <c r="G950" s="65" t="s">
        <v>5771</v>
      </c>
      <c r="H950" s="65">
        <v>34.974532000000004</v>
      </c>
      <c r="I950" s="65">
        <v>-92.016533600000002</v>
      </c>
      <c r="J950" s="60" t="str">
        <f ca="1">IFERROR(__xludf.DUMMYFUNCTION("SPLIT(G950,"","")"),"113 N 2nd St")</f>
        <v>113 N 2nd St</v>
      </c>
      <c r="K950" s="2" t="str">
        <f ca="1">IFERROR(__xludf.DUMMYFUNCTION("""COMPUTED_VALUE""")," Cabot")</f>
        <v xml:space="preserve"> Cabot</v>
      </c>
      <c r="L950" s="2" t="str">
        <f ca="1">IFERROR(__xludf.DUMMYFUNCTION("""COMPUTED_VALUE""")," AR 72023")</f>
        <v xml:space="preserve"> AR 72023</v>
      </c>
      <c r="M950" s="2" t="str">
        <f ca="1">IFERROR(__xludf.DUMMYFUNCTION("""COMPUTED_VALUE""")," USA")</f>
        <v xml:space="preserve"> USA</v>
      </c>
      <c r="P950" s="60"/>
    </row>
    <row r="951" spans="1:16">
      <c r="A951" s="60">
        <v>950</v>
      </c>
      <c r="B951" s="79" t="s">
        <v>5774</v>
      </c>
      <c r="C951" s="60" t="s">
        <v>595</v>
      </c>
      <c r="D951" s="93" t="s">
        <v>5775</v>
      </c>
      <c r="E951" s="48" t="str">
        <f t="shared" si="0"/>
        <v>El Paso</v>
      </c>
      <c r="F951" s="83" t="str">
        <f t="shared" si="1"/>
        <v>Andress (El Paso),TX</v>
      </c>
      <c r="G951" s="60" t="s">
        <v>5777</v>
      </c>
      <c r="H951" s="60">
        <v>31.909591899999999</v>
      </c>
      <c r="I951" s="60">
        <v>-106.41652139999999</v>
      </c>
      <c r="J951" s="60" t="str">
        <f ca="1">IFERROR(__xludf.DUMMYFUNCTION("SPLIT(G951,"","")"),"5400 Sun Valley Dr")</f>
        <v>5400 Sun Valley Dr</v>
      </c>
      <c r="K951" s="2" t="str">
        <f ca="1">IFERROR(__xludf.DUMMYFUNCTION("""COMPUTED_VALUE""")," El Paso")</f>
        <v xml:space="preserve"> El Paso</v>
      </c>
      <c r="L951" s="2" t="str">
        <f ca="1">IFERROR(__xludf.DUMMYFUNCTION("""COMPUTED_VALUE""")," TX 79924")</f>
        <v xml:space="preserve"> TX 79924</v>
      </c>
      <c r="M951" s="2" t="str">
        <f ca="1">IFERROR(__xludf.DUMMYFUNCTION("""COMPUTED_VALUE""")," USA")</f>
        <v xml:space="preserve"> USA</v>
      </c>
      <c r="P951" s="60"/>
    </row>
    <row r="952" spans="1:16">
      <c r="A952" s="60">
        <v>951</v>
      </c>
      <c r="B952" s="79" t="s">
        <v>5780</v>
      </c>
      <c r="C952" s="60" t="s">
        <v>595</v>
      </c>
      <c r="D952" s="93" t="s">
        <v>5781</v>
      </c>
      <c r="E952" s="48" t="str">
        <f t="shared" si="0"/>
        <v>Granbury</v>
      </c>
      <c r="F952" s="83" t="str">
        <f t="shared" si="1"/>
        <v>North Central Texas Academy (Granbury),TX</v>
      </c>
      <c r="G952" s="60" t="s">
        <v>5782</v>
      </c>
      <c r="H952" s="60">
        <v>32.289889000000002</v>
      </c>
      <c r="I952" s="60">
        <v>-97.729749999999996</v>
      </c>
      <c r="J952" s="60" t="str">
        <f ca="1">IFERROR(__xludf.DUMMYFUNCTION("SPLIT(G952,"","")"),"3846 TX-144")</f>
        <v>3846 TX-144</v>
      </c>
      <c r="K952" s="2" t="str">
        <f ca="1">IFERROR(__xludf.DUMMYFUNCTION("""COMPUTED_VALUE""")," Granbury")</f>
        <v xml:space="preserve"> Granbury</v>
      </c>
      <c r="L952" s="2" t="str">
        <f ca="1">IFERROR(__xludf.DUMMYFUNCTION("""COMPUTED_VALUE""")," TX 76048")</f>
        <v xml:space="preserve"> TX 76048</v>
      </c>
      <c r="M952" s="2" t="str">
        <f ca="1">IFERROR(__xludf.DUMMYFUNCTION("""COMPUTED_VALUE""")," USA")</f>
        <v xml:space="preserve"> USA</v>
      </c>
      <c r="P952" s="60"/>
    </row>
    <row r="953" spans="1:16">
      <c r="A953" s="65">
        <v>952</v>
      </c>
      <c r="B953" s="80" t="s">
        <v>5786</v>
      </c>
      <c r="C953" s="65" t="s">
        <v>191</v>
      </c>
      <c r="D953" s="93" t="s">
        <v>5788</v>
      </c>
      <c r="E953" s="48" t="str">
        <f t="shared" si="0"/>
        <v>Genesee Charter Township</v>
      </c>
      <c r="F953" s="83" t="str">
        <f t="shared" si="1"/>
        <v>Beecher (Flint),MI</v>
      </c>
      <c r="G953" s="65" t="s">
        <v>5789</v>
      </c>
      <c r="H953" s="65">
        <v>43.090026599999987</v>
      </c>
      <c r="I953" s="65">
        <v>-83.694402199999999</v>
      </c>
      <c r="J953" s="60" t="str">
        <f ca="1">IFERROR(__xludf.DUMMYFUNCTION("SPLIT(G953,"","")"),"NBD Saginaw at Coldwater")</f>
        <v>NBD Saginaw at Coldwater</v>
      </c>
      <c r="K953" s="2" t="str">
        <f ca="1">IFERROR(__xludf.DUMMYFUNCTION("""COMPUTED_VALUE""")," Genesee Charter Township")</f>
        <v xml:space="preserve"> Genesee Charter Township</v>
      </c>
      <c r="L953" s="2" t="str">
        <f ca="1">IFERROR(__xludf.DUMMYFUNCTION("""COMPUTED_VALUE""")," MI 48505")</f>
        <v xml:space="preserve"> MI 48505</v>
      </c>
      <c r="M953" s="2" t="str">
        <f ca="1">IFERROR(__xludf.DUMMYFUNCTION("""COMPUTED_VALUE""")," USA")</f>
        <v xml:space="preserve"> USA</v>
      </c>
      <c r="P953" s="60"/>
    </row>
    <row r="954" spans="1:16">
      <c r="A954" s="60">
        <v>953</v>
      </c>
      <c r="B954" s="79" t="s">
        <v>5791</v>
      </c>
      <c r="C954" s="60" t="s">
        <v>1055</v>
      </c>
      <c r="D954" s="93" t="s">
        <v>5792</v>
      </c>
      <c r="E954" s="48" t="str">
        <f t="shared" si="0"/>
        <v>Jenks</v>
      </c>
      <c r="F954" s="83" t="str">
        <f t="shared" si="1"/>
        <v>Jenks,OK</v>
      </c>
      <c r="G954" s="60" t="s">
        <v>5794</v>
      </c>
      <c r="H954" s="60">
        <v>36.022873400000002</v>
      </c>
      <c r="I954" s="60">
        <v>-95.968327799999997</v>
      </c>
      <c r="J954" s="60" t="str">
        <f ca="1">IFERROR(__xludf.DUMMYFUNCTION("SPLIT(G954,"","")"),"108 N 2nd St")</f>
        <v>108 N 2nd St</v>
      </c>
      <c r="K954" s="2" t="str">
        <f ca="1">IFERROR(__xludf.DUMMYFUNCTION("""COMPUTED_VALUE""")," Jenks")</f>
        <v xml:space="preserve"> Jenks</v>
      </c>
      <c r="L954" s="2" t="str">
        <f ca="1">IFERROR(__xludf.DUMMYFUNCTION("""COMPUTED_VALUE""")," OK 74037")</f>
        <v xml:space="preserve"> OK 74037</v>
      </c>
      <c r="M954" s="2" t="str">
        <f ca="1">IFERROR(__xludf.DUMMYFUNCTION("""COMPUTED_VALUE""")," USA")</f>
        <v xml:space="preserve"> USA</v>
      </c>
      <c r="P954" s="60"/>
    </row>
    <row r="955" spans="1:16">
      <c r="A955" s="65">
        <v>954</v>
      </c>
      <c r="B955" s="80" t="s">
        <v>5797</v>
      </c>
      <c r="C955" s="65" t="s">
        <v>595</v>
      </c>
      <c r="D955" s="93" t="s">
        <v>5798</v>
      </c>
      <c r="E955" s="48" t="str">
        <f t="shared" si="0"/>
        <v>Longview</v>
      </c>
      <c r="F955" s="83" t="str">
        <f t="shared" si="1"/>
        <v>Longview,TX</v>
      </c>
      <c r="G955" s="65" t="s">
        <v>5800</v>
      </c>
      <c r="H955" s="65">
        <v>32.500703700000003</v>
      </c>
      <c r="I955" s="65">
        <v>-94.740489099999991</v>
      </c>
      <c r="J955" s="60" t="str">
        <f ca="1">IFERROR(__xludf.DUMMYFUNCTION("SPLIT(G955,"","")"),"200 US-80")</f>
        <v>200 US-80</v>
      </c>
      <c r="K955" s="2" t="str">
        <f ca="1">IFERROR(__xludf.DUMMYFUNCTION("""COMPUTED_VALUE""")," Longview")</f>
        <v xml:space="preserve"> Longview</v>
      </c>
      <c r="L955" s="2" t="str">
        <f ca="1">IFERROR(__xludf.DUMMYFUNCTION("""COMPUTED_VALUE""")," TX 75601")</f>
        <v xml:space="preserve"> TX 75601</v>
      </c>
      <c r="M955" s="2" t="str">
        <f ca="1">IFERROR(__xludf.DUMMYFUNCTION("""COMPUTED_VALUE""")," USA")</f>
        <v xml:space="preserve"> USA</v>
      </c>
      <c r="P955" s="60"/>
    </row>
    <row r="956" spans="1:16">
      <c r="A956" s="60">
        <v>955</v>
      </c>
      <c r="B956" s="79" t="s">
        <v>5802</v>
      </c>
      <c r="C956" s="60" t="s">
        <v>604</v>
      </c>
      <c r="D956" s="93" t="s">
        <v>5804</v>
      </c>
      <c r="E956" s="48" t="str">
        <f t="shared" si="0"/>
        <v>Skokie</v>
      </c>
      <c r="F956" s="83" t="str">
        <f t="shared" si="1"/>
        <v>Niles North (Skokie),IL</v>
      </c>
      <c r="G956" s="60" t="s">
        <v>5805</v>
      </c>
      <c r="H956" s="60">
        <v>42.059722200000003</v>
      </c>
      <c r="I956" s="60">
        <v>-87.754166699999999</v>
      </c>
      <c r="J956" s="60" t="str">
        <f ca="1">IFERROR(__xludf.DUMMYFUNCTION("SPLIT(G956,"","")"),"9800 Lawler Ave")</f>
        <v>9800 Lawler Ave</v>
      </c>
      <c r="K956" s="2" t="str">
        <f ca="1">IFERROR(__xludf.DUMMYFUNCTION("""COMPUTED_VALUE""")," Skokie")</f>
        <v xml:space="preserve"> Skokie</v>
      </c>
      <c r="L956" s="2" t="str">
        <f ca="1">IFERROR(__xludf.DUMMYFUNCTION("""COMPUTED_VALUE""")," IL 60077")</f>
        <v xml:space="preserve"> IL 60077</v>
      </c>
      <c r="M956" s="2" t="str">
        <f ca="1">IFERROR(__xludf.DUMMYFUNCTION("""COMPUTED_VALUE""")," USA")</f>
        <v xml:space="preserve"> USA</v>
      </c>
      <c r="P956" s="60"/>
    </row>
    <row r="957" spans="1:16">
      <c r="A957" s="65">
        <v>956</v>
      </c>
      <c r="B957" s="80" t="s">
        <v>5808</v>
      </c>
      <c r="C957" s="65" t="s">
        <v>608</v>
      </c>
      <c r="D957" s="93" t="s">
        <v>5809</v>
      </c>
      <c r="E957" s="48" t="str">
        <f t="shared" si="0"/>
        <v>Lakeville</v>
      </c>
      <c r="F957" s="83" t="str">
        <f t="shared" si="1"/>
        <v>Lakeville South (Lakeville),MN</v>
      </c>
      <c r="G957" s="65" t="s">
        <v>5811</v>
      </c>
      <c r="H957" s="65">
        <v>44.643224199999999</v>
      </c>
      <c r="I957" s="65">
        <v>-93.271263099999999</v>
      </c>
      <c r="J957" s="60" t="str">
        <f ca="1">IFERROR(__xludf.DUMMYFUNCTION("SPLIT(G957,"","")"),"21135 Jacquard Ave")</f>
        <v>21135 Jacquard Ave</v>
      </c>
      <c r="K957" s="2" t="str">
        <f ca="1">IFERROR(__xludf.DUMMYFUNCTION("""COMPUTED_VALUE""")," Lakeville")</f>
        <v xml:space="preserve"> Lakeville</v>
      </c>
      <c r="L957" s="2" t="str">
        <f ca="1">IFERROR(__xludf.DUMMYFUNCTION("""COMPUTED_VALUE""")," MN 55044")</f>
        <v xml:space="preserve"> MN 55044</v>
      </c>
      <c r="M957" s="2" t="str">
        <f ca="1">IFERROR(__xludf.DUMMYFUNCTION("""COMPUTED_VALUE""")," USA")</f>
        <v xml:space="preserve"> USA</v>
      </c>
      <c r="P957" s="60"/>
    </row>
    <row r="958" spans="1:16">
      <c r="A958" s="60">
        <v>957</v>
      </c>
      <c r="B958" s="79" t="s">
        <v>5814</v>
      </c>
      <c r="C958" s="60" t="s">
        <v>624</v>
      </c>
      <c r="D958" s="93" t="s">
        <v>5815</v>
      </c>
      <c r="E958" s="48" t="str">
        <f t="shared" si="0"/>
        <v>Boutte</v>
      </c>
      <c r="F958" s="83" t="str">
        <f t="shared" si="1"/>
        <v>Hahnville (Boutte),LA</v>
      </c>
      <c r="G958" s="60" t="s">
        <v>5817</v>
      </c>
      <c r="H958" s="60">
        <v>29.902428400000002</v>
      </c>
      <c r="I958" s="60">
        <v>-90.388136899999992</v>
      </c>
      <c r="J958" s="60" t="str">
        <f ca="1">IFERROR(__xludf.DUMMYFUNCTION("SPLIT(G958,"","")"),"2243 Paul Maillard Rd")</f>
        <v>2243 Paul Maillard Rd</v>
      </c>
      <c r="K958" s="2" t="str">
        <f ca="1">IFERROR(__xludf.DUMMYFUNCTION("""COMPUTED_VALUE""")," Boutte")</f>
        <v xml:space="preserve"> Boutte</v>
      </c>
      <c r="L958" s="2" t="str">
        <f ca="1">IFERROR(__xludf.DUMMYFUNCTION("""COMPUTED_VALUE""")," LA 70039")</f>
        <v xml:space="preserve"> LA 70039</v>
      </c>
      <c r="M958" s="2" t="str">
        <f ca="1">IFERROR(__xludf.DUMMYFUNCTION("""COMPUTED_VALUE""")," USA")</f>
        <v xml:space="preserve"> USA</v>
      </c>
      <c r="P958" s="60"/>
    </row>
    <row r="959" spans="1:16">
      <c r="A959" s="65">
        <v>958</v>
      </c>
      <c r="B959" s="80" t="s">
        <v>5819</v>
      </c>
      <c r="C959" s="65" t="s">
        <v>136</v>
      </c>
      <c r="D959" s="93" t="s">
        <v>2839</v>
      </c>
      <c r="E959" s="48" t="str">
        <f t="shared" si="0"/>
        <v>Miami</v>
      </c>
      <c r="F959" s="83" t="str">
        <f t="shared" si="1"/>
        <v>Riviera Prep (Miami),FL</v>
      </c>
      <c r="G959" s="65" t="s">
        <v>5821</v>
      </c>
      <c r="H959" s="65">
        <v>25.6800517</v>
      </c>
      <c r="I959" s="65">
        <v>-80.334828099999996</v>
      </c>
      <c r="J959" s="60" t="str">
        <f ca="1">IFERROR(__xludf.DUMMYFUNCTION("SPLIT(G959,"","")"),"9675 SW 87th Ave")</f>
        <v>9675 SW 87th Ave</v>
      </c>
      <c r="K959" s="2" t="str">
        <f ca="1">IFERROR(__xludf.DUMMYFUNCTION("""COMPUTED_VALUE""")," Miami")</f>
        <v xml:space="preserve"> Miami</v>
      </c>
      <c r="L959" s="2" t="str">
        <f ca="1">IFERROR(__xludf.DUMMYFUNCTION("""COMPUTED_VALUE""")," FL 33176")</f>
        <v xml:space="preserve"> FL 33176</v>
      </c>
      <c r="M959" s="2" t="str">
        <f ca="1">IFERROR(__xludf.DUMMYFUNCTION("""COMPUTED_VALUE""")," USA")</f>
        <v xml:space="preserve"> USA</v>
      </c>
      <c r="P959" s="60"/>
    </row>
    <row r="960" spans="1:16">
      <c r="A960" s="60">
        <v>959</v>
      </c>
      <c r="B960" s="79" t="s">
        <v>5823</v>
      </c>
      <c r="C960" s="60" t="s">
        <v>624</v>
      </c>
      <c r="D960" s="93" t="s">
        <v>683</v>
      </c>
      <c r="E960" s="48" t="str">
        <f t="shared" si="0"/>
        <v>Baton Rouge</v>
      </c>
      <c r="F960" s="83" t="str">
        <f t="shared" si="1"/>
        <v>Dunham (Baton Rouge),LA</v>
      </c>
      <c r="G960" s="60" t="s">
        <v>5825</v>
      </c>
      <c r="H960" s="60">
        <v>30.383120399999999</v>
      </c>
      <c r="I960" s="60">
        <v>-91.084515499999995</v>
      </c>
      <c r="J960" s="60" t="str">
        <f ca="1">IFERROR(__xludf.DUMMYFUNCTION("SPLIT(G960,"","")"),"11111 Roy Emerson Dr")</f>
        <v>11111 Roy Emerson Dr</v>
      </c>
      <c r="K960" s="2" t="str">
        <f ca="1">IFERROR(__xludf.DUMMYFUNCTION("""COMPUTED_VALUE""")," Baton Rouge")</f>
        <v xml:space="preserve"> Baton Rouge</v>
      </c>
      <c r="L960" s="2" t="str">
        <f ca="1">IFERROR(__xludf.DUMMYFUNCTION("""COMPUTED_VALUE""")," LA 70810")</f>
        <v xml:space="preserve"> LA 70810</v>
      </c>
      <c r="M960" s="2" t="str">
        <f ca="1">IFERROR(__xludf.DUMMYFUNCTION("""COMPUTED_VALUE""")," USA")</f>
        <v xml:space="preserve"> USA</v>
      </c>
      <c r="P960" s="60"/>
    </row>
    <row r="961" spans="1:16">
      <c r="A961" s="65">
        <v>960</v>
      </c>
      <c r="B961" s="80" t="s">
        <v>5828</v>
      </c>
      <c r="C961" s="65" t="s">
        <v>179</v>
      </c>
      <c r="D961" s="93" t="s">
        <v>5829</v>
      </c>
      <c r="E961" s="48" t="str">
        <f t="shared" si="0"/>
        <v>Gastonia</v>
      </c>
      <c r="F961" s="83" t="str">
        <f t="shared" si="1"/>
        <v>Huss (Gastonia),NC</v>
      </c>
      <c r="G961" s="65" t="s">
        <v>5831</v>
      </c>
      <c r="H961" s="65">
        <v>35.240631200000003</v>
      </c>
      <c r="I961" s="65">
        <v>-81.205874899999998</v>
      </c>
      <c r="J961" s="60" t="str">
        <f ca="1">IFERROR(__xludf.DUMMYFUNCTION("SPLIT(G961,"","")"),"1518 Edgefield Ave")</f>
        <v>1518 Edgefield Ave</v>
      </c>
      <c r="K961" s="2" t="str">
        <f ca="1">IFERROR(__xludf.DUMMYFUNCTION("""COMPUTED_VALUE""")," Gastonia")</f>
        <v xml:space="preserve"> Gastonia</v>
      </c>
      <c r="L961" s="2" t="str">
        <f ca="1">IFERROR(__xludf.DUMMYFUNCTION("""COMPUTED_VALUE""")," NC 28052")</f>
        <v xml:space="preserve"> NC 28052</v>
      </c>
      <c r="M961" s="2" t="str">
        <f ca="1">IFERROR(__xludf.DUMMYFUNCTION("""COMPUTED_VALUE""")," USA")</f>
        <v xml:space="preserve"> USA</v>
      </c>
      <c r="P961" s="60"/>
    </row>
    <row r="962" spans="1:16">
      <c r="A962" s="60">
        <v>961</v>
      </c>
      <c r="B962" s="79" t="s">
        <v>5835</v>
      </c>
      <c r="C962" s="60" t="s">
        <v>1273</v>
      </c>
      <c r="D962" s="93" t="s">
        <v>5836</v>
      </c>
      <c r="E962" s="48" t="str">
        <f t="shared" si="0"/>
        <v>West Des Moines</v>
      </c>
      <c r="F962" s="83" t="str">
        <f t="shared" si="1"/>
        <v>Dowling Catholic (West Des Moines),IA</v>
      </c>
      <c r="G962" s="60" t="s">
        <v>5838</v>
      </c>
      <c r="H962" s="60">
        <v>41.597021099999999</v>
      </c>
      <c r="I962" s="60">
        <v>-93.722993799999998</v>
      </c>
      <c r="J962" s="60" t="str">
        <f ca="1">IFERROR(__xludf.DUMMYFUNCTION("SPLIT(G962,"","")"),"1400 Buffalo Rd")</f>
        <v>1400 Buffalo Rd</v>
      </c>
      <c r="K962" s="2" t="str">
        <f ca="1">IFERROR(__xludf.DUMMYFUNCTION("""COMPUTED_VALUE""")," West Des Moines")</f>
        <v xml:space="preserve"> West Des Moines</v>
      </c>
      <c r="L962" s="2" t="str">
        <f ca="1">IFERROR(__xludf.DUMMYFUNCTION("""COMPUTED_VALUE""")," IA 50265")</f>
        <v xml:space="preserve"> IA 50265</v>
      </c>
      <c r="M962" s="2" t="str">
        <f ca="1">IFERROR(__xludf.DUMMYFUNCTION("""COMPUTED_VALUE""")," USA")</f>
        <v xml:space="preserve"> USA</v>
      </c>
      <c r="P962" s="60"/>
    </row>
    <row r="963" spans="1:16">
      <c r="A963" s="65">
        <v>962</v>
      </c>
      <c r="B963" s="80" t="s">
        <v>3820</v>
      </c>
      <c r="C963" s="65" t="s">
        <v>693</v>
      </c>
      <c r="D963" s="93" t="s">
        <v>5842</v>
      </c>
      <c r="E963" s="48" t="str">
        <f t="shared" si="0"/>
        <v>Greenwood</v>
      </c>
      <c r="F963" s="83" t="str">
        <f t="shared" si="1"/>
        <v>Greenwood,MS</v>
      </c>
      <c r="G963" s="65" t="s">
        <v>5845</v>
      </c>
      <c r="H963" s="65">
        <v>33.516231500000004</v>
      </c>
      <c r="I963" s="65">
        <v>-90.179528099999999</v>
      </c>
      <c r="J963" s="60" t="str">
        <f ca="1">IFERROR(__xludf.DUMMYFUNCTION("SPLIT(G963,"","")"),"613 Main St")</f>
        <v>613 Main St</v>
      </c>
      <c r="K963" s="2" t="str">
        <f ca="1">IFERROR(__xludf.DUMMYFUNCTION("""COMPUTED_VALUE""")," Greenwood")</f>
        <v xml:space="preserve"> Greenwood</v>
      </c>
      <c r="L963" s="2" t="str">
        <f ca="1">IFERROR(__xludf.DUMMYFUNCTION("""COMPUTED_VALUE""")," MS 38930")</f>
        <v xml:space="preserve"> MS 38930</v>
      </c>
      <c r="M963" s="2" t="str">
        <f ca="1">IFERROR(__xludf.DUMMYFUNCTION("""COMPUTED_VALUE""")," USA")</f>
        <v xml:space="preserve"> USA</v>
      </c>
      <c r="P963" s="60"/>
    </row>
    <row r="964" spans="1:16">
      <c r="A964" s="60">
        <v>963</v>
      </c>
      <c r="B964" s="79" t="s">
        <v>5850</v>
      </c>
      <c r="C964" s="60" t="s">
        <v>1370</v>
      </c>
      <c r="D964" s="93" t="s">
        <v>3959</v>
      </c>
      <c r="E964" s="48" t="str">
        <f t="shared" si="0"/>
        <v>Sioux Falls</v>
      </c>
      <c r="F964" s="83" t="str">
        <f t="shared" si="1"/>
        <v>Roosevelt (Sioux Falls),SD</v>
      </c>
      <c r="G964" s="60" t="s">
        <v>5851</v>
      </c>
      <c r="H964" s="60">
        <v>43.516472800000003</v>
      </c>
      <c r="I964" s="60">
        <v>-96.807736699999992</v>
      </c>
      <c r="J964" s="60" t="str">
        <f ca="1">IFERROR(__xludf.DUMMYFUNCTION("SPLIT(G964,"","")"),"6600 W 41st St")</f>
        <v>6600 W 41st St</v>
      </c>
      <c r="K964" s="2" t="str">
        <f ca="1">IFERROR(__xludf.DUMMYFUNCTION("""COMPUTED_VALUE""")," Sioux Falls")</f>
        <v xml:space="preserve"> Sioux Falls</v>
      </c>
      <c r="L964" s="2" t="str">
        <f ca="1">IFERROR(__xludf.DUMMYFUNCTION("""COMPUTED_VALUE""")," SD 57106")</f>
        <v xml:space="preserve"> SD 57106</v>
      </c>
      <c r="M964" s="2" t="str">
        <f ca="1">IFERROR(__xludf.DUMMYFUNCTION("""COMPUTED_VALUE""")," USA")</f>
        <v xml:space="preserve"> USA</v>
      </c>
      <c r="P964" s="60"/>
    </row>
    <row r="965" spans="1:16">
      <c r="A965" s="65">
        <v>964</v>
      </c>
      <c r="B965" s="80" t="s">
        <v>5855</v>
      </c>
      <c r="C965" s="65" t="s">
        <v>593</v>
      </c>
      <c r="D965" s="93" t="s">
        <v>630</v>
      </c>
      <c r="E965" s="48" t="str">
        <f t="shared" si="0"/>
        <v>Las Vegas</v>
      </c>
      <c r="F965" s="83" t="str">
        <f t="shared" si="1"/>
        <v>Silverado (Las Vegas),NV</v>
      </c>
      <c r="G965" s="65" t="s">
        <v>5858</v>
      </c>
      <c r="H965" s="65">
        <v>36.095432799999998</v>
      </c>
      <c r="I965" s="65">
        <v>-115.064567</v>
      </c>
      <c r="J965" s="60" t="str">
        <f ca="1">IFERROR(__xludf.DUMMYFUNCTION("SPLIT(G965,"","")"),"4979 Silverado Dr")</f>
        <v>4979 Silverado Dr</v>
      </c>
      <c r="K965" s="2" t="str">
        <f ca="1">IFERROR(__xludf.DUMMYFUNCTION("""COMPUTED_VALUE""")," Las Vegas")</f>
        <v xml:space="preserve"> Las Vegas</v>
      </c>
      <c r="L965" s="2" t="str">
        <f ca="1">IFERROR(__xludf.DUMMYFUNCTION("""COMPUTED_VALUE""")," NV 89120")</f>
        <v xml:space="preserve"> NV 89120</v>
      </c>
      <c r="M965" s="2" t="str">
        <f ca="1">IFERROR(__xludf.DUMMYFUNCTION("""COMPUTED_VALUE""")," USA")</f>
        <v xml:space="preserve"> USA</v>
      </c>
      <c r="P965" s="60"/>
    </row>
    <row r="966" spans="1:16">
      <c r="A966" s="60">
        <v>965</v>
      </c>
      <c r="B966" s="79" t="s">
        <v>5861</v>
      </c>
      <c r="C966" s="60" t="s">
        <v>940</v>
      </c>
      <c r="D966" s="93" t="s">
        <v>5862</v>
      </c>
      <c r="E966" s="48" t="str">
        <f t="shared" si="0"/>
        <v>Yutan</v>
      </c>
      <c r="F966" s="83" t="str">
        <f t="shared" si="1"/>
        <v>Yutan,NE</v>
      </c>
      <c r="G966" s="60" t="s">
        <v>5864</v>
      </c>
      <c r="H966" s="60">
        <v>41.245000699999999</v>
      </c>
      <c r="I966" s="60">
        <v>-96.397247499999992</v>
      </c>
      <c r="J966" s="60" t="str">
        <f ca="1">IFERROR(__xludf.DUMMYFUNCTION("SPLIT(G966,"","")"),"411 2nd St")</f>
        <v>411 2nd St</v>
      </c>
      <c r="K966" s="2" t="str">
        <f ca="1">IFERROR(__xludf.DUMMYFUNCTION("""COMPUTED_VALUE""")," Yutan")</f>
        <v xml:space="preserve"> Yutan</v>
      </c>
      <c r="L966" s="2" t="str">
        <f ca="1">IFERROR(__xludf.DUMMYFUNCTION("""COMPUTED_VALUE""")," NE 68073")</f>
        <v xml:space="preserve"> NE 68073</v>
      </c>
      <c r="M966" s="2" t="str">
        <f ca="1">IFERROR(__xludf.DUMMYFUNCTION("""COMPUTED_VALUE""")," USA")</f>
        <v xml:space="preserve"> USA</v>
      </c>
      <c r="P966" s="60"/>
    </row>
    <row r="967" spans="1:16">
      <c r="A967" s="65">
        <v>966</v>
      </c>
      <c r="B967" s="80" t="s">
        <v>5869</v>
      </c>
      <c r="C967" s="65" t="s">
        <v>174</v>
      </c>
      <c r="D967" s="93" t="s">
        <v>1899</v>
      </c>
      <c r="E967" s="48" t="str">
        <f t="shared" si="0"/>
        <v>Cleveland</v>
      </c>
      <c r="F967" s="83" t="str">
        <f t="shared" si="1"/>
        <v>Rhodes (Cleveland),OH</v>
      </c>
      <c r="G967" s="65" t="s">
        <v>5872</v>
      </c>
      <c r="H967" s="65">
        <v>41.463844100000003</v>
      </c>
      <c r="I967" s="65">
        <v>-81.7087559</v>
      </c>
      <c r="J967" s="60" t="str">
        <f ca="1">IFERROR(__xludf.DUMMYFUNCTION("SPLIT(G967,"","")"),"3614 Sackett Ave")</f>
        <v>3614 Sackett Ave</v>
      </c>
      <c r="K967" s="2" t="str">
        <f ca="1">IFERROR(__xludf.DUMMYFUNCTION("""COMPUTED_VALUE""")," Cleveland")</f>
        <v xml:space="preserve"> Cleveland</v>
      </c>
      <c r="L967" s="2" t="str">
        <f ca="1">IFERROR(__xludf.DUMMYFUNCTION("""COMPUTED_VALUE""")," OH 44109")</f>
        <v xml:space="preserve"> OH 44109</v>
      </c>
      <c r="M967" s="2" t="str">
        <f ca="1">IFERROR(__xludf.DUMMYFUNCTION("""COMPUTED_VALUE""")," USA")</f>
        <v xml:space="preserve"> USA</v>
      </c>
      <c r="P967" s="60"/>
    </row>
    <row r="968" spans="1:16">
      <c r="A968" s="60">
        <v>967</v>
      </c>
      <c r="B968" s="79" t="s">
        <v>5875</v>
      </c>
      <c r="C968" s="60" t="s">
        <v>595</v>
      </c>
      <c r="D968" s="93" t="s">
        <v>878</v>
      </c>
      <c r="E968" s="48" t="str">
        <f t="shared" si="0"/>
        <v>San Antonio</v>
      </c>
      <c r="F968" s="83" t="str">
        <f t="shared" si="1"/>
        <v>Roosevelt (San Antonio),TX</v>
      </c>
      <c r="G968" s="60" t="s">
        <v>5878</v>
      </c>
      <c r="H968" s="60">
        <v>29.3549364</v>
      </c>
      <c r="I968" s="60">
        <v>-98.481243399999997</v>
      </c>
      <c r="J968" s="60" t="str">
        <f ca="1">IFERROR(__xludf.DUMMYFUNCTION("SPLIT(G968,"","")"),"Roosevelt &amp; Military Dr.")</f>
        <v>Roosevelt &amp; Military Dr.</v>
      </c>
      <c r="K968" s="2" t="str">
        <f ca="1">IFERROR(__xludf.DUMMYFUNCTION("""COMPUTED_VALUE""")," San Antonio")</f>
        <v xml:space="preserve"> San Antonio</v>
      </c>
      <c r="L968" s="2" t="str">
        <f ca="1">IFERROR(__xludf.DUMMYFUNCTION("""COMPUTED_VALUE""")," TX 78214")</f>
        <v xml:space="preserve"> TX 78214</v>
      </c>
      <c r="M968" s="2" t="str">
        <f ca="1">IFERROR(__xludf.DUMMYFUNCTION("""COMPUTED_VALUE""")," USA")</f>
        <v xml:space="preserve"> USA</v>
      </c>
      <c r="P968" s="60"/>
    </row>
    <row r="969" spans="1:16">
      <c r="A969" s="65">
        <v>968</v>
      </c>
      <c r="B969" s="80" t="s">
        <v>5880</v>
      </c>
      <c r="C969" s="65" t="s">
        <v>940</v>
      </c>
      <c r="D969" s="93" t="s">
        <v>941</v>
      </c>
      <c r="E969" s="48" t="str">
        <f t="shared" si="0"/>
        <v>Omaha</v>
      </c>
      <c r="F969" s="83" t="str">
        <f t="shared" si="1"/>
        <v>Omaha Central (Omaha),NE</v>
      </c>
      <c r="G969" s="65" t="s">
        <v>5881</v>
      </c>
      <c r="H969" s="65">
        <v>41.226120000000002</v>
      </c>
      <c r="I969" s="65">
        <v>-96.022201999999993</v>
      </c>
      <c r="J969" s="60" t="str">
        <f ca="1">IFERROR(__xludf.DUMMYFUNCTION("SPLIT(G969,"","")"),"7007 Grover St")</f>
        <v>7007 Grover St</v>
      </c>
      <c r="K969" s="2" t="str">
        <f ca="1">IFERROR(__xludf.DUMMYFUNCTION("""COMPUTED_VALUE""")," Omaha")</f>
        <v xml:space="preserve"> Omaha</v>
      </c>
      <c r="L969" s="2" t="str">
        <f ca="1">IFERROR(__xludf.DUMMYFUNCTION("""COMPUTED_VALUE""")," NE 68106")</f>
        <v xml:space="preserve"> NE 68106</v>
      </c>
      <c r="M969" s="2" t="str">
        <f ca="1">IFERROR(__xludf.DUMMYFUNCTION("""COMPUTED_VALUE""")," USA")</f>
        <v xml:space="preserve"> USA</v>
      </c>
      <c r="P969" s="60"/>
    </row>
    <row r="970" spans="1:16">
      <c r="A970" s="60">
        <v>969</v>
      </c>
      <c r="B970" s="79" t="s">
        <v>194</v>
      </c>
      <c r="C970" s="60" t="s">
        <v>595</v>
      </c>
      <c r="D970" s="93" t="s">
        <v>5884</v>
      </c>
      <c r="E970" s="48" t="str">
        <f t="shared" si="0"/>
        <v>Paris</v>
      </c>
      <c r="F970" s="83" t="str">
        <f t="shared" si="1"/>
        <v>Paris,TX</v>
      </c>
      <c r="G970" s="60" t="s">
        <v>5886</v>
      </c>
      <c r="H970" s="60">
        <v>33.660938899999998</v>
      </c>
      <c r="I970" s="60">
        <v>-95.555512999999991</v>
      </c>
      <c r="J970" s="60" t="str">
        <f ca="1">IFERROR(__xludf.DUMMYFUNCTION("SPLIT(G970,"","")"),"37 Clarksville St")</f>
        <v>37 Clarksville St</v>
      </c>
      <c r="K970" s="2" t="str">
        <f ca="1">IFERROR(__xludf.DUMMYFUNCTION("""COMPUTED_VALUE""")," Paris")</f>
        <v xml:space="preserve"> Paris</v>
      </c>
      <c r="L970" s="2" t="str">
        <f ca="1">IFERROR(__xludf.DUMMYFUNCTION("""COMPUTED_VALUE""")," TX 75460")</f>
        <v xml:space="preserve"> TX 75460</v>
      </c>
      <c r="M970" s="2" t="str">
        <f ca="1">IFERROR(__xludf.DUMMYFUNCTION("""COMPUTED_VALUE""")," USA")</f>
        <v xml:space="preserve"> USA</v>
      </c>
      <c r="P970" s="60"/>
    </row>
    <row r="971" spans="1:16">
      <c r="A971" s="65">
        <v>970</v>
      </c>
      <c r="B971" s="80" t="s">
        <v>5887</v>
      </c>
      <c r="C971" s="65" t="s">
        <v>69</v>
      </c>
      <c r="D971" s="93" t="s">
        <v>969</v>
      </c>
      <c r="E971" s="48" t="str">
        <f t="shared" si="0"/>
        <v>Huntsville</v>
      </c>
      <c r="F971" s="83" t="str">
        <f t="shared" si="1"/>
        <v>Lee (Huntsville),AL</v>
      </c>
      <c r="G971" s="65" t="s">
        <v>5890</v>
      </c>
      <c r="H971" s="65">
        <v>34.755691599999999</v>
      </c>
      <c r="I971" s="65">
        <v>-86.578075499999997</v>
      </c>
      <c r="J971" s="60" t="str">
        <f ca="1">IFERROR(__xludf.DUMMYFUNCTION("SPLIT(G971,"","")"),"106 Quietdale Dr NE")</f>
        <v>106 Quietdale Dr NE</v>
      </c>
      <c r="K971" s="2" t="str">
        <f ca="1">IFERROR(__xludf.DUMMYFUNCTION("""COMPUTED_VALUE""")," Huntsville")</f>
        <v xml:space="preserve"> Huntsville</v>
      </c>
      <c r="L971" s="2" t="str">
        <f ca="1">IFERROR(__xludf.DUMMYFUNCTION("""COMPUTED_VALUE""")," AL 35811")</f>
        <v xml:space="preserve"> AL 35811</v>
      </c>
      <c r="M971" s="2" t="str">
        <f ca="1">IFERROR(__xludf.DUMMYFUNCTION("""COMPUTED_VALUE""")," USA")</f>
        <v xml:space="preserve"> USA</v>
      </c>
      <c r="P971" s="60"/>
    </row>
    <row r="972" spans="1:16">
      <c r="A972" s="60">
        <v>971</v>
      </c>
      <c r="B972" s="79" t="s">
        <v>5893</v>
      </c>
      <c r="C972" s="60" t="s">
        <v>618</v>
      </c>
      <c r="D972" s="93" t="s">
        <v>5842</v>
      </c>
      <c r="E972" s="48" t="str">
        <f t="shared" si="0"/>
        <v>Greenwood</v>
      </c>
      <c r="F972" s="83" t="str">
        <f t="shared" si="1"/>
        <v>Greenwood Christian Academy (Greenwood),IN</v>
      </c>
      <c r="G972" s="60" t="s">
        <v>5895</v>
      </c>
      <c r="H972" s="60">
        <v>39.584150999999999</v>
      </c>
      <c r="I972" s="60">
        <v>-86.122722999999993</v>
      </c>
      <c r="J972" s="60" t="str">
        <f ca="1">IFERROR(__xludf.DUMMYFUNCTION("SPLIT(G972,"","")"),"835 West Worthsville Road")</f>
        <v>835 West Worthsville Road</v>
      </c>
      <c r="K972" s="2" t="str">
        <f ca="1">IFERROR(__xludf.DUMMYFUNCTION("""COMPUTED_VALUE""")," Greenwood")</f>
        <v xml:space="preserve"> Greenwood</v>
      </c>
      <c r="L972" s="2" t="str">
        <f ca="1">IFERROR(__xludf.DUMMYFUNCTION("""COMPUTED_VALUE""")," IN 46143")</f>
        <v xml:space="preserve"> IN 46143</v>
      </c>
      <c r="M972" s="2" t="str">
        <f ca="1">IFERROR(__xludf.DUMMYFUNCTION("""COMPUTED_VALUE""")," USA")</f>
        <v xml:space="preserve"> USA</v>
      </c>
      <c r="P972" s="60"/>
    </row>
    <row r="973" spans="1:16">
      <c r="A973" s="65">
        <v>972</v>
      </c>
      <c r="B973" s="80" t="s">
        <v>5899</v>
      </c>
      <c r="C973" s="65" t="s">
        <v>1331</v>
      </c>
      <c r="D973" s="93" t="s">
        <v>5900</v>
      </c>
      <c r="E973" s="48" t="str">
        <f t="shared" si="0"/>
        <v>Boise</v>
      </c>
      <c r="F973" s="83" t="str">
        <f t="shared" si="1"/>
        <v>Borah (Boise),ID</v>
      </c>
      <c r="G973" s="65" t="s">
        <v>5901</v>
      </c>
      <c r="H973" s="65">
        <v>43.596939200000001</v>
      </c>
      <c r="I973" s="65">
        <v>-116.2585902</v>
      </c>
      <c r="J973" s="60" t="str">
        <f ca="1">IFERROR(__xludf.DUMMYFUNCTION("SPLIT(G973,"","")"),"6001 W Cassia St")</f>
        <v>6001 W Cassia St</v>
      </c>
      <c r="K973" s="2" t="str">
        <f ca="1">IFERROR(__xludf.DUMMYFUNCTION("""COMPUTED_VALUE""")," Boise")</f>
        <v xml:space="preserve"> Boise</v>
      </c>
      <c r="L973" s="2" t="str">
        <f ca="1">IFERROR(__xludf.DUMMYFUNCTION("""COMPUTED_VALUE""")," ID 83709")</f>
        <v xml:space="preserve"> ID 83709</v>
      </c>
      <c r="M973" s="2" t="str">
        <f ca="1">IFERROR(__xludf.DUMMYFUNCTION("""COMPUTED_VALUE""")," USA")</f>
        <v xml:space="preserve"> USA</v>
      </c>
      <c r="P973" s="60"/>
    </row>
    <row r="974" spans="1:16">
      <c r="A974" s="60">
        <v>973</v>
      </c>
      <c r="B974" s="79" t="s">
        <v>5905</v>
      </c>
      <c r="C974" s="60" t="s">
        <v>590</v>
      </c>
      <c r="D974" s="93" t="s">
        <v>5909</v>
      </c>
      <c r="E974" s="48" t="str">
        <f t="shared" si="0"/>
        <v>Severn</v>
      </c>
      <c r="F974" s="83" t="str">
        <f t="shared" si="1"/>
        <v>Archbishop Spalding (Severn),MD</v>
      </c>
      <c r="G974" s="60" t="s">
        <v>5910</v>
      </c>
      <c r="H974" s="60">
        <v>39.124533499999998</v>
      </c>
      <c r="I974" s="60">
        <v>-76.646827099999996</v>
      </c>
      <c r="J974" s="60" t="str">
        <f ca="1">IFERROR(__xludf.DUMMYFUNCTION("SPLIT(G974,"","")"),"8080 New Cut Rd")</f>
        <v>8080 New Cut Rd</v>
      </c>
      <c r="K974" s="2" t="str">
        <f ca="1">IFERROR(__xludf.DUMMYFUNCTION("""COMPUTED_VALUE""")," Severn")</f>
        <v xml:space="preserve"> Severn</v>
      </c>
      <c r="L974" s="2" t="str">
        <f ca="1">IFERROR(__xludf.DUMMYFUNCTION("""COMPUTED_VALUE""")," MD 21144")</f>
        <v xml:space="preserve"> MD 21144</v>
      </c>
      <c r="M974" s="2" t="str">
        <f ca="1">IFERROR(__xludf.DUMMYFUNCTION("""COMPUTED_VALUE""")," USA")</f>
        <v xml:space="preserve"> USA</v>
      </c>
      <c r="P974" s="60"/>
    </row>
    <row r="975" spans="1:16">
      <c r="A975" s="65">
        <v>974</v>
      </c>
      <c r="B975" s="80" t="s">
        <v>5914</v>
      </c>
      <c r="C975" s="65" t="s">
        <v>1322</v>
      </c>
      <c r="D975" s="93" t="s">
        <v>5917</v>
      </c>
      <c r="E975" s="48" t="str">
        <f t="shared" si="0"/>
        <v>Arvada</v>
      </c>
      <c r="F975" s="83" t="str">
        <f t="shared" si="1"/>
        <v>Ralston Valley (Arvada),CO</v>
      </c>
      <c r="G975" s="65" t="s">
        <v>5918</v>
      </c>
      <c r="H975" s="65">
        <v>39.821697299999997</v>
      </c>
      <c r="I975" s="65">
        <v>-105.1551352</v>
      </c>
      <c r="J975" s="60" t="str">
        <f ca="1">IFERROR(__xludf.DUMMYFUNCTION("SPLIT(G975,"","")"),"13856 W 68th Ave")</f>
        <v>13856 W 68th Ave</v>
      </c>
      <c r="K975" s="2" t="str">
        <f ca="1">IFERROR(__xludf.DUMMYFUNCTION("""COMPUTED_VALUE""")," Arvada")</f>
        <v xml:space="preserve"> Arvada</v>
      </c>
      <c r="L975" s="2" t="str">
        <f ca="1">IFERROR(__xludf.DUMMYFUNCTION("""COMPUTED_VALUE""")," CO 80004")</f>
        <v xml:space="preserve"> CO 80004</v>
      </c>
      <c r="M975" s="2" t="str">
        <f ca="1">IFERROR(__xludf.DUMMYFUNCTION("""COMPUTED_VALUE""")," USA")</f>
        <v xml:space="preserve"> USA</v>
      </c>
      <c r="P975" s="60"/>
    </row>
    <row r="976" spans="1:16">
      <c r="A976" s="97">
        <v>975</v>
      </c>
      <c r="B976" s="99" t="s">
        <v>5923</v>
      </c>
      <c r="C976" s="97" t="s">
        <v>604</v>
      </c>
      <c r="D976" s="93" t="s">
        <v>5925</v>
      </c>
      <c r="E976" s="48" t="str">
        <f t="shared" si="0"/>
        <v>Arlington Heights</v>
      </c>
      <c r="F976" s="83" t="str">
        <f t="shared" si="1"/>
        <v>Saint Viator (Arlington Heights),IL</v>
      </c>
      <c r="G976" s="97" t="s">
        <v>5927</v>
      </c>
      <c r="H976" s="97">
        <v>42.094496199999988</v>
      </c>
      <c r="I976" s="97">
        <v>-87.969387999999995</v>
      </c>
      <c r="J976" s="60" t="str">
        <f ca="1">IFERROR(__xludf.DUMMYFUNCTION("SPLIT(G976,"","")"),"1213 E Oakton St")</f>
        <v>1213 E Oakton St</v>
      </c>
      <c r="K976" s="2" t="str">
        <f ca="1">IFERROR(__xludf.DUMMYFUNCTION("""COMPUTED_VALUE""")," Arlington Heights")</f>
        <v xml:space="preserve"> Arlington Heights</v>
      </c>
      <c r="L976" s="2" t="str">
        <f ca="1">IFERROR(__xludf.DUMMYFUNCTION("""COMPUTED_VALUE""")," IL 60004")</f>
        <v xml:space="preserve"> IL 60004</v>
      </c>
      <c r="M976" s="2" t="str">
        <f ca="1">IFERROR(__xludf.DUMMYFUNCTION("""COMPUTED_VALUE""")," USA")</f>
        <v xml:space="preserve"> USA</v>
      </c>
      <c r="P976" s="60"/>
    </row>
    <row r="977" spans="1:16">
      <c r="A977" s="60">
        <v>976</v>
      </c>
      <c r="B977" s="79" t="s">
        <v>5932</v>
      </c>
      <c r="C977" s="60" t="s">
        <v>588</v>
      </c>
      <c r="D977" s="93" t="s">
        <v>5933</v>
      </c>
      <c r="E977" s="48" t="str">
        <f t="shared" si="0"/>
        <v>Oceanside</v>
      </c>
      <c r="F977" s="83" t="str">
        <f t="shared" si="1"/>
        <v>El Camino (Oceanside),CA</v>
      </c>
      <c r="G977" s="60" t="s">
        <v>5936</v>
      </c>
      <c r="H977" s="60">
        <v>33.217561699999997</v>
      </c>
      <c r="I977" s="60">
        <v>-117.3189045</v>
      </c>
      <c r="J977" s="60" t="str">
        <f ca="1">IFERROR(__xludf.DUMMYFUNCTION("SPLIT(G977,"","")"),"Rancho Del Oro &amp; Oregano Way")</f>
        <v>Rancho Del Oro &amp; Oregano Way</v>
      </c>
      <c r="K977" s="2" t="str">
        <f ca="1">IFERROR(__xludf.DUMMYFUNCTION("""COMPUTED_VALUE""")," Oceanside")</f>
        <v xml:space="preserve"> Oceanside</v>
      </c>
      <c r="L977" s="2" t="str">
        <f ca="1">IFERROR(__xludf.DUMMYFUNCTION("""COMPUTED_VALUE""")," CA 92057")</f>
        <v xml:space="preserve"> CA 92057</v>
      </c>
      <c r="M977" s="2" t="str">
        <f ca="1">IFERROR(__xludf.DUMMYFUNCTION("""COMPUTED_VALUE""")," USA")</f>
        <v xml:space="preserve"> USA</v>
      </c>
      <c r="P977" s="60"/>
    </row>
    <row r="978" spans="1:16">
      <c r="A978" s="65">
        <v>977</v>
      </c>
      <c r="B978" s="80" t="s">
        <v>5939</v>
      </c>
      <c r="C978" s="65" t="s">
        <v>1370</v>
      </c>
      <c r="D978" s="93" t="s">
        <v>5940</v>
      </c>
      <c r="E978" s="48" t="str">
        <f t="shared" si="0"/>
        <v>Volga</v>
      </c>
      <c r="F978" s="83" t="str">
        <f t="shared" si="1"/>
        <v>Sioux Valley (Volga),SD</v>
      </c>
      <c r="G978" s="65" t="s">
        <v>5941</v>
      </c>
      <c r="H978" s="65">
        <v>44.322190200000001</v>
      </c>
      <c r="I978" s="65">
        <v>-96.920335299999991</v>
      </c>
      <c r="J978" s="60" t="str">
        <f ca="1">IFERROR(__xludf.DUMMYFUNCTION("SPLIT(G978,"","")"),"200 Hansina Ave")</f>
        <v>200 Hansina Ave</v>
      </c>
      <c r="K978" s="2" t="str">
        <f ca="1">IFERROR(__xludf.DUMMYFUNCTION("""COMPUTED_VALUE""")," Volga")</f>
        <v xml:space="preserve"> Volga</v>
      </c>
      <c r="L978" s="2" t="str">
        <f ca="1">IFERROR(__xludf.DUMMYFUNCTION("""COMPUTED_VALUE""")," SD 57071")</f>
        <v xml:space="preserve"> SD 57071</v>
      </c>
      <c r="M978" s="2" t="str">
        <f ca="1">IFERROR(__xludf.DUMMYFUNCTION("""COMPUTED_VALUE""")," USA")</f>
        <v xml:space="preserve"> USA</v>
      </c>
      <c r="P978" s="60"/>
    </row>
    <row r="979" spans="1:16">
      <c r="A979" s="60">
        <v>978</v>
      </c>
      <c r="B979" s="79" t="s">
        <v>5944</v>
      </c>
      <c r="C979" s="60" t="s">
        <v>595</v>
      </c>
      <c r="D979" s="93" t="s">
        <v>5946</v>
      </c>
      <c r="E979" s="48" t="str">
        <f t="shared" si="0"/>
        <v>Abernathy</v>
      </c>
      <c r="F979" s="83" t="str">
        <f t="shared" si="1"/>
        <v>Abernathy,TX</v>
      </c>
      <c r="G979" s="60" t="s">
        <v>5947</v>
      </c>
      <c r="H979" s="60">
        <v>33.832303799999998</v>
      </c>
      <c r="I979" s="60">
        <v>-101.8429491</v>
      </c>
      <c r="J979" s="60" t="str">
        <f ca="1">IFERROR(__xludf.DUMMYFUNCTION("SPLIT(G979,"","")"),"904 TX-369 Loop")</f>
        <v>904 TX-369 Loop</v>
      </c>
      <c r="K979" s="2" t="str">
        <f ca="1">IFERROR(__xludf.DUMMYFUNCTION("""COMPUTED_VALUE""")," Abernathy")</f>
        <v xml:space="preserve"> Abernathy</v>
      </c>
      <c r="L979" s="2" t="str">
        <f ca="1">IFERROR(__xludf.DUMMYFUNCTION("""COMPUTED_VALUE""")," TX 79311")</f>
        <v xml:space="preserve"> TX 79311</v>
      </c>
      <c r="M979" s="2" t="str">
        <f ca="1">IFERROR(__xludf.DUMMYFUNCTION("""COMPUTED_VALUE""")," USA")</f>
        <v xml:space="preserve"> USA</v>
      </c>
      <c r="P979" s="60"/>
    </row>
    <row r="980" spans="1:16">
      <c r="A980" s="65">
        <v>979</v>
      </c>
      <c r="B980" s="80" t="s">
        <v>5952</v>
      </c>
      <c r="C980" s="65" t="s">
        <v>179</v>
      </c>
      <c r="D980" s="93" t="s">
        <v>3063</v>
      </c>
      <c r="E980" s="48" t="str">
        <f t="shared" si="0"/>
        <v>Winston-Salem</v>
      </c>
      <c r="F980" s="83" t="str">
        <f t="shared" si="1"/>
        <v>Parkland (Winston-Salem),NC</v>
      </c>
      <c r="G980" s="65" t="s">
        <v>5954</v>
      </c>
      <c r="H980" s="65">
        <v>36.059712699999999</v>
      </c>
      <c r="I980" s="65">
        <v>-80.250756899999999</v>
      </c>
      <c r="J980" s="60" t="str">
        <f ca="1">IFERROR(__xludf.DUMMYFUNCTION("SPLIT(G980,"","")"),"625 Parkland Ct")</f>
        <v>625 Parkland Ct</v>
      </c>
      <c r="K980" s="2" t="str">
        <f ca="1">IFERROR(__xludf.DUMMYFUNCTION("""COMPUTED_VALUE""")," Winston-Salem")</f>
        <v xml:space="preserve"> Winston-Salem</v>
      </c>
      <c r="L980" s="2" t="str">
        <f ca="1">IFERROR(__xludf.DUMMYFUNCTION("""COMPUTED_VALUE""")," NC 27127")</f>
        <v xml:space="preserve"> NC 27127</v>
      </c>
      <c r="M980" s="2" t="str">
        <f ca="1">IFERROR(__xludf.DUMMYFUNCTION("""COMPUTED_VALUE""")," USA")</f>
        <v xml:space="preserve"> USA</v>
      </c>
      <c r="P980" s="60"/>
    </row>
    <row r="981" spans="1:16">
      <c r="A981" s="60">
        <v>980</v>
      </c>
      <c r="B981" s="79" t="s">
        <v>5959</v>
      </c>
      <c r="C981" s="60" t="s">
        <v>595</v>
      </c>
      <c r="D981" s="93" t="s">
        <v>722</v>
      </c>
      <c r="E981" s="48" t="str">
        <f t="shared" si="0"/>
        <v>Plano</v>
      </c>
      <c r="F981" s="83" t="str">
        <f t="shared" si="1"/>
        <v>Prestonwood Christian (Plano),TX</v>
      </c>
      <c r="G981" s="60" t="s">
        <v>5961</v>
      </c>
      <c r="H981" s="60">
        <v>33.028797599999997</v>
      </c>
      <c r="I981" s="60">
        <v>-96.845256800000016</v>
      </c>
      <c r="J981" s="60" t="str">
        <f ca="1">IFERROR(__xludf.DUMMYFUNCTION("SPLIT(G981,"","")"),"6801 W Park Blvd")</f>
        <v>6801 W Park Blvd</v>
      </c>
      <c r="K981" s="2" t="str">
        <f ca="1">IFERROR(__xludf.DUMMYFUNCTION("""COMPUTED_VALUE""")," Plano")</f>
        <v xml:space="preserve"> Plano</v>
      </c>
      <c r="L981" s="2" t="str">
        <f ca="1">IFERROR(__xludf.DUMMYFUNCTION("""COMPUTED_VALUE""")," TX 75093")</f>
        <v xml:space="preserve"> TX 75093</v>
      </c>
      <c r="M981" s="2" t="str">
        <f ca="1">IFERROR(__xludf.DUMMYFUNCTION("""COMPUTED_VALUE""")," USA")</f>
        <v xml:space="preserve"> USA</v>
      </c>
      <c r="P981" s="60"/>
    </row>
    <row r="982" spans="1:16">
      <c r="A982" s="65">
        <v>981</v>
      </c>
      <c r="B982" s="80" t="s">
        <v>5964</v>
      </c>
      <c r="C982" s="65" t="s">
        <v>604</v>
      </c>
      <c r="D982" s="93" t="s">
        <v>5965</v>
      </c>
      <c r="E982" s="48" t="str">
        <f t="shared" si="0"/>
        <v>Carbondale</v>
      </c>
      <c r="F982" s="83" t="str">
        <f t="shared" si="1"/>
        <v>Carbondale,IL</v>
      </c>
      <c r="G982" s="65" t="s">
        <v>5967</v>
      </c>
      <c r="H982" s="65">
        <v>37.7272727</v>
      </c>
      <c r="I982" s="65">
        <v>-89.216750099999999</v>
      </c>
      <c r="J982" s="60" t="str">
        <f ca="1">IFERROR(__xludf.DUMMYFUNCTION("SPLIT(G982,"","")"),"109 W Main St")</f>
        <v>109 W Main St</v>
      </c>
      <c r="K982" s="2" t="str">
        <f ca="1">IFERROR(__xludf.DUMMYFUNCTION("""COMPUTED_VALUE""")," Carbondale")</f>
        <v xml:space="preserve"> Carbondale</v>
      </c>
      <c r="L982" s="2" t="str">
        <f ca="1">IFERROR(__xludf.DUMMYFUNCTION("""COMPUTED_VALUE""")," IL 62901")</f>
        <v xml:space="preserve"> IL 62901</v>
      </c>
      <c r="M982" s="2" t="str">
        <f ca="1">IFERROR(__xludf.DUMMYFUNCTION("""COMPUTED_VALUE""")," USA")</f>
        <v xml:space="preserve"> USA</v>
      </c>
      <c r="P982" s="60"/>
    </row>
    <row r="983" spans="1:16">
      <c r="A983" s="60">
        <v>982</v>
      </c>
      <c r="B983" s="79" t="s">
        <v>5970</v>
      </c>
      <c r="C983" s="60" t="s">
        <v>588</v>
      </c>
      <c r="D983" s="93" t="s">
        <v>5971</v>
      </c>
      <c r="E983" s="48" t="str">
        <f t="shared" si="0"/>
        <v>Sonora</v>
      </c>
      <c r="F983" s="83" t="str">
        <f t="shared" si="1"/>
        <v>Sonora,CA</v>
      </c>
      <c r="G983" s="60" t="s">
        <v>5973</v>
      </c>
      <c r="H983" s="60">
        <v>37.982949599999998</v>
      </c>
      <c r="I983" s="60">
        <v>-120.3821724</v>
      </c>
      <c r="J983" s="60" t="str">
        <f ca="1">IFERROR(__xludf.DUMMYFUNCTION("SPLIT(G983,"","")"),"181 S Washington St")</f>
        <v>181 S Washington St</v>
      </c>
      <c r="K983" s="2" t="str">
        <f ca="1">IFERROR(__xludf.DUMMYFUNCTION("""COMPUTED_VALUE""")," Sonora")</f>
        <v xml:space="preserve"> Sonora</v>
      </c>
      <c r="L983" s="2" t="str">
        <f ca="1">IFERROR(__xludf.DUMMYFUNCTION("""COMPUTED_VALUE""")," CA 95370")</f>
        <v xml:space="preserve"> CA 95370</v>
      </c>
      <c r="M983" s="2" t="str">
        <f ca="1">IFERROR(__xludf.DUMMYFUNCTION("""COMPUTED_VALUE""")," USA")</f>
        <v xml:space="preserve"> USA</v>
      </c>
      <c r="P983" s="60"/>
    </row>
    <row r="984" spans="1:16">
      <c r="A984" s="65">
        <v>983</v>
      </c>
      <c r="B984" s="80" t="s">
        <v>5976</v>
      </c>
      <c r="C984" s="65" t="s">
        <v>1370</v>
      </c>
      <c r="D984" s="93" t="s">
        <v>5977</v>
      </c>
      <c r="E984" s="48" t="str">
        <f t="shared" si="0"/>
        <v>Jefferson</v>
      </c>
      <c r="F984" s="83" t="str">
        <f t="shared" si="1"/>
        <v>Dakota Valley (North Sioux City),SD</v>
      </c>
      <c r="G984" s="65" t="s">
        <v>5979</v>
      </c>
      <c r="H984" s="65">
        <v>42.537338600000012</v>
      </c>
      <c r="I984" s="65">
        <v>-96.599696299999991</v>
      </c>
      <c r="J984" s="60" t="str">
        <f ca="1">IFERROR(__xludf.DUMMYFUNCTION("SPLIT(G984,"","")"),"33468 Dakota Rd")</f>
        <v>33468 Dakota Rd</v>
      </c>
      <c r="K984" s="2" t="str">
        <f ca="1">IFERROR(__xludf.DUMMYFUNCTION("""COMPUTED_VALUE""")," Jefferson")</f>
        <v xml:space="preserve"> Jefferson</v>
      </c>
      <c r="L984" s="2" t="str">
        <f ca="1">IFERROR(__xludf.DUMMYFUNCTION("""COMPUTED_VALUE""")," SD 57038")</f>
        <v xml:space="preserve"> SD 57038</v>
      </c>
      <c r="M984" s="2" t="str">
        <f ca="1">IFERROR(__xludf.DUMMYFUNCTION("""COMPUTED_VALUE""")," USA")</f>
        <v xml:space="preserve"> USA</v>
      </c>
      <c r="P984" s="60"/>
    </row>
    <row r="985" spans="1:16">
      <c r="A985" s="60">
        <v>984</v>
      </c>
      <c r="B985" s="79" t="s">
        <v>5982</v>
      </c>
      <c r="C985" s="60" t="s">
        <v>590</v>
      </c>
      <c r="D985" s="93" t="s">
        <v>749</v>
      </c>
      <c r="E985" s="48" t="str">
        <f t="shared" si="0"/>
        <v>Baltimore</v>
      </c>
      <c r="F985" s="83" t="str">
        <f t="shared" si="1"/>
        <v>City College (Baltimore),MD</v>
      </c>
      <c r="G985" s="60" t="s">
        <v>5985</v>
      </c>
      <c r="H985" s="60">
        <v>39.326445499999998</v>
      </c>
      <c r="I985" s="60">
        <v>-76.598849200000004</v>
      </c>
      <c r="J985" s="60" t="str">
        <f ca="1">IFERROR(__xludf.DUMMYFUNCTION("SPLIT(G985,"","")"),"City College")</f>
        <v>City College</v>
      </c>
      <c r="K985" s="2" t="str">
        <f ca="1">IFERROR(__xludf.DUMMYFUNCTION("""COMPUTED_VALUE""")," Baltimore")</f>
        <v xml:space="preserve"> Baltimore</v>
      </c>
      <c r="L985" s="2" t="str">
        <f ca="1">IFERROR(__xludf.DUMMYFUNCTION("""COMPUTED_VALUE""")," MD 21218")</f>
        <v xml:space="preserve"> MD 21218</v>
      </c>
      <c r="M985" s="2" t="str">
        <f ca="1">IFERROR(__xludf.DUMMYFUNCTION("""COMPUTED_VALUE""")," USA")</f>
        <v xml:space="preserve"> USA</v>
      </c>
      <c r="P985" s="60"/>
    </row>
    <row r="986" spans="1:16">
      <c r="A986" s="65">
        <v>985</v>
      </c>
      <c r="B986" s="80" t="s">
        <v>5987</v>
      </c>
      <c r="C986" s="65" t="s">
        <v>608</v>
      </c>
      <c r="D986" s="93" t="s">
        <v>4753</v>
      </c>
      <c r="E986" s="48" t="str">
        <f t="shared" si="0"/>
        <v>Rochester</v>
      </c>
      <c r="F986" s="83" t="str">
        <f t="shared" si="1"/>
        <v>Mayo (Rochester),MN</v>
      </c>
      <c r="G986" s="65" t="s">
        <v>5989</v>
      </c>
      <c r="H986" s="65">
        <v>44.022625499999997</v>
      </c>
      <c r="I986" s="65">
        <v>-92.466883299999992</v>
      </c>
      <c r="J986" s="60" t="str">
        <f ca="1">IFERROR(__xludf.DUMMYFUNCTION("SPLIT(G986,"","")"),"200 1st St SW")</f>
        <v>200 1st St SW</v>
      </c>
      <c r="K986" s="2" t="str">
        <f ca="1">IFERROR(__xludf.DUMMYFUNCTION("""COMPUTED_VALUE""")," Rochester")</f>
        <v xml:space="preserve"> Rochester</v>
      </c>
      <c r="L986" s="2" t="str">
        <f ca="1">IFERROR(__xludf.DUMMYFUNCTION("""COMPUTED_VALUE""")," MN 55905")</f>
        <v xml:space="preserve"> MN 55905</v>
      </c>
      <c r="M986" s="2" t="str">
        <f ca="1">IFERROR(__xludf.DUMMYFUNCTION("""COMPUTED_VALUE""")," USA")</f>
        <v xml:space="preserve"> USA</v>
      </c>
      <c r="P986" s="60"/>
    </row>
    <row r="987" spans="1:16">
      <c r="A987" s="60">
        <v>986</v>
      </c>
      <c r="B987" s="79" t="s">
        <v>5992</v>
      </c>
      <c r="C987" s="60" t="s">
        <v>940</v>
      </c>
      <c r="D987" s="93" t="s">
        <v>5993</v>
      </c>
      <c r="E987" s="48" t="str">
        <f t="shared" si="0"/>
        <v>Scottsbluff</v>
      </c>
      <c r="F987" s="83" t="str">
        <f t="shared" si="1"/>
        <v>Scottsbluff,NE</v>
      </c>
      <c r="G987" s="60" t="s">
        <v>5996</v>
      </c>
      <c r="H987" s="60">
        <v>41.866634099999999</v>
      </c>
      <c r="I987" s="60">
        <v>-103.6671662</v>
      </c>
      <c r="J987" s="60" t="str">
        <f ca="1">IFERROR(__xludf.DUMMYFUNCTION("SPLIT(G987,"","")"),"2002 Ave C")</f>
        <v>2002 Ave C</v>
      </c>
      <c r="K987" s="2" t="str">
        <f ca="1">IFERROR(__xludf.DUMMYFUNCTION("""COMPUTED_VALUE""")," Scottsbluff")</f>
        <v xml:space="preserve"> Scottsbluff</v>
      </c>
      <c r="L987" s="2" t="str">
        <f ca="1">IFERROR(__xludf.DUMMYFUNCTION("""COMPUTED_VALUE""")," NE 69361")</f>
        <v xml:space="preserve"> NE 69361</v>
      </c>
      <c r="M987" s="2" t="str">
        <f ca="1">IFERROR(__xludf.DUMMYFUNCTION("""COMPUTED_VALUE""")," USA")</f>
        <v xml:space="preserve"> USA</v>
      </c>
      <c r="P987" s="60"/>
    </row>
    <row r="988" spans="1:16">
      <c r="A988" s="65">
        <v>987</v>
      </c>
      <c r="B988" s="80" t="s">
        <v>6000</v>
      </c>
      <c r="C988" s="65" t="s">
        <v>881</v>
      </c>
      <c r="D988" s="93" t="s">
        <v>3339</v>
      </c>
      <c r="E988" s="48" t="str">
        <f t="shared" si="0"/>
        <v>Elizabethtown</v>
      </c>
      <c r="F988" s="83" t="str">
        <f t="shared" si="1"/>
        <v>Elizabethtown,KY</v>
      </c>
      <c r="G988" s="65" t="s">
        <v>6003</v>
      </c>
      <c r="H988" s="65">
        <v>37.703064599999998</v>
      </c>
      <c r="I988" s="65">
        <v>-85.864940799999999</v>
      </c>
      <c r="J988" s="60" t="str">
        <f ca="1">IFERROR(__xludf.DUMMYFUNCTION("SPLIT(G988,"","")"),"222 N Mantle Ave")</f>
        <v>222 N Mantle Ave</v>
      </c>
      <c r="K988" s="2" t="str">
        <f ca="1">IFERROR(__xludf.DUMMYFUNCTION("""COMPUTED_VALUE""")," Elizabethtown")</f>
        <v xml:space="preserve"> Elizabethtown</v>
      </c>
      <c r="L988" s="2" t="str">
        <f ca="1">IFERROR(__xludf.DUMMYFUNCTION("""COMPUTED_VALUE""")," KY 42701")</f>
        <v xml:space="preserve"> KY 42701</v>
      </c>
      <c r="M988" s="2" t="str">
        <f ca="1">IFERROR(__xludf.DUMMYFUNCTION("""COMPUTED_VALUE""")," USA")</f>
        <v xml:space="preserve"> USA</v>
      </c>
      <c r="P988" s="60"/>
    </row>
    <row r="989" spans="1:16">
      <c r="A989" s="60">
        <v>988</v>
      </c>
      <c r="B989" s="79" t="s">
        <v>6007</v>
      </c>
      <c r="C989" s="60" t="s">
        <v>588</v>
      </c>
      <c r="D989" s="93" t="s">
        <v>6009</v>
      </c>
      <c r="E989" s="48" t="str">
        <f t="shared" si="0"/>
        <v>Elk Grove</v>
      </c>
      <c r="F989" s="83" t="str">
        <f t="shared" si="1"/>
        <v>Franklin (Elk Grove),CA</v>
      </c>
      <c r="G989" s="60" t="s">
        <v>6010</v>
      </c>
      <c r="H989" s="60">
        <v>38.376748399999997</v>
      </c>
      <c r="I989" s="60">
        <v>-121.4573872</v>
      </c>
      <c r="J989" s="60" t="str">
        <f ca="1">IFERROR(__xludf.DUMMYFUNCTION("SPLIT(G989,"","")"),"4011 Hood Franklin Rd")</f>
        <v>4011 Hood Franklin Rd</v>
      </c>
      <c r="K989" s="2" t="str">
        <f ca="1">IFERROR(__xludf.DUMMYFUNCTION("""COMPUTED_VALUE""")," Elk Grove")</f>
        <v xml:space="preserve"> Elk Grove</v>
      </c>
      <c r="L989" s="2" t="str">
        <f ca="1">IFERROR(__xludf.DUMMYFUNCTION("""COMPUTED_VALUE""")," CA 95757")</f>
        <v xml:space="preserve"> CA 95757</v>
      </c>
      <c r="M989" s="2" t="str">
        <f ca="1">IFERROR(__xludf.DUMMYFUNCTION("""COMPUTED_VALUE""")," USA")</f>
        <v xml:space="preserve"> USA</v>
      </c>
      <c r="P989" s="60"/>
    </row>
    <row r="990" spans="1:16">
      <c r="A990" s="65">
        <v>989</v>
      </c>
      <c r="B990" s="80" t="s">
        <v>6013</v>
      </c>
      <c r="C990" s="65" t="s">
        <v>1273</v>
      </c>
      <c r="D990" s="93" t="s">
        <v>6014</v>
      </c>
      <c r="E990" s="48" t="str">
        <f t="shared" si="0"/>
        <v>Ankeny</v>
      </c>
      <c r="F990" s="83" t="str">
        <f t="shared" si="1"/>
        <v>Ankeny Centennial (Ankeny),IA</v>
      </c>
      <c r="G990" s="65" t="s">
        <v>6015</v>
      </c>
      <c r="H990" s="65">
        <v>41.749623799999988</v>
      </c>
      <c r="I990" s="65">
        <v>-93.621792999999997</v>
      </c>
      <c r="J990" s="60" t="str">
        <f ca="1">IFERROR(__xludf.DUMMYFUNCTION("SPLIT(G990,"","")"),"2220 NW State St")</f>
        <v>2220 NW State St</v>
      </c>
      <c r="K990" s="2" t="str">
        <f ca="1">IFERROR(__xludf.DUMMYFUNCTION("""COMPUTED_VALUE""")," Ankeny")</f>
        <v xml:space="preserve"> Ankeny</v>
      </c>
      <c r="L990" s="2" t="str">
        <f ca="1">IFERROR(__xludf.DUMMYFUNCTION("""COMPUTED_VALUE""")," IA 50023")</f>
        <v xml:space="preserve"> IA 50023</v>
      </c>
      <c r="M990" s="2" t="str">
        <f ca="1">IFERROR(__xludf.DUMMYFUNCTION("""COMPUTED_VALUE""")," USA")</f>
        <v xml:space="preserve"> USA</v>
      </c>
      <c r="P990" s="60"/>
    </row>
    <row r="991" spans="1:16">
      <c r="A991" s="60">
        <v>990</v>
      </c>
      <c r="B991" s="79" t="s">
        <v>6017</v>
      </c>
      <c r="C991" s="60" t="s">
        <v>737</v>
      </c>
      <c r="D991" s="93" t="s">
        <v>6019</v>
      </c>
      <c r="E991" s="48" t="str">
        <f t="shared" si="0"/>
        <v>Middletown</v>
      </c>
      <c r="F991" s="83" t="str">
        <f t="shared" si="1"/>
        <v>Middletown South (Middletown),NJ</v>
      </c>
      <c r="G991" s="60" t="s">
        <v>6020</v>
      </c>
      <c r="H991" s="60">
        <v>40.357162000000002</v>
      </c>
      <c r="I991" s="60">
        <v>-74.115829300000001</v>
      </c>
      <c r="J991" s="60" t="str">
        <f ca="1">IFERROR(__xludf.DUMMYFUNCTION("SPLIT(G991,"","")"),"900 Nutswamp Rd")</f>
        <v>900 Nutswamp Rd</v>
      </c>
      <c r="K991" s="2" t="str">
        <f ca="1">IFERROR(__xludf.DUMMYFUNCTION("""COMPUTED_VALUE""")," Middletown")</f>
        <v xml:space="preserve"> Middletown</v>
      </c>
      <c r="L991" s="2" t="str">
        <f ca="1">IFERROR(__xludf.DUMMYFUNCTION("""COMPUTED_VALUE""")," NJ 07748")</f>
        <v xml:space="preserve"> NJ 07748</v>
      </c>
      <c r="M991" s="2" t="str">
        <f ca="1">IFERROR(__xludf.DUMMYFUNCTION("""COMPUTED_VALUE""")," USA")</f>
        <v xml:space="preserve"> USA</v>
      </c>
      <c r="P991" s="60"/>
    </row>
    <row r="992" spans="1:16">
      <c r="A992" s="65">
        <v>991</v>
      </c>
      <c r="B992" s="80" t="s">
        <v>6023</v>
      </c>
      <c r="C992" s="65" t="s">
        <v>602</v>
      </c>
      <c r="D992" s="93" t="s">
        <v>696</v>
      </c>
      <c r="E992" s="48" t="str">
        <f t="shared" si="0"/>
        <v>Richmond</v>
      </c>
      <c r="F992" s="83" t="str">
        <f t="shared" si="1"/>
        <v>Henrico (Richmond),VA</v>
      </c>
      <c r="G992" s="65" t="s">
        <v>6026</v>
      </c>
      <c r="H992" s="65">
        <v>37.567702799999999</v>
      </c>
      <c r="I992" s="65">
        <v>-77.427806699999991</v>
      </c>
      <c r="J992" s="60" t="str">
        <f ca="1">IFERROR(__xludf.DUMMYFUNCTION("SPLIT(G992,"","")"),"2709 Henrico Dr")</f>
        <v>2709 Henrico Dr</v>
      </c>
      <c r="K992" s="2" t="str">
        <f ca="1">IFERROR(__xludf.DUMMYFUNCTION("""COMPUTED_VALUE""")," Richmond")</f>
        <v xml:space="preserve"> Richmond</v>
      </c>
      <c r="L992" s="2" t="str">
        <f ca="1">IFERROR(__xludf.DUMMYFUNCTION("""COMPUTED_VALUE""")," VA 23222")</f>
        <v xml:space="preserve"> VA 23222</v>
      </c>
      <c r="M992" s="2" t="str">
        <f ca="1">IFERROR(__xludf.DUMMYFUNCTION("""COMPUTED_VALUE""")," USA")</f>
        <v xml:space="preserve"> USA</v>
      </c>
      <c r="P992" s="60"/>
    </row>
    <row r="993" spans="1:16">
      <c r="A993" s="60">
        <v>992</v>
      </c>
      <c r="B993" s="79" t="s">
        <v>6029</v>
      </c>
      <c r="C993" s="60" t="s">
        <v>602</v>
      </c>
      <c r="D993" s="93" t="s">
        <v>6030</v>
      </c>
      <c r="E993" s="48" t="str">
        <f t="shared" si="0"/>
        <v>Portsmouth</v>
      </c>
      <c r="F993" s="83" t="str">
        <f t="shared" si="1"/>
        <v>Wilson (Portsmouth),VA</v>
      </c>
      <c r="G993" s="60" t="s">
        <v>6031</v>
      </c>
      <c r="H993" s="60">
        <v>36.814125099999998</v>
      </c>
      <c r="I993" s="60">
        <v>-76.379826199999997</v>
      </c>
      <c r="J993" s="60" t="str">
        <f ca="1">IFERROR(__xludf.DUMMYFUNCTION("SPLIT(G993,"","")"),"1401 Elmhurst Ln")</f>
        <v>1401 Elmhurst Ln</v>
      </c>
      <c r="K993" s="2" t="str">
        <f ca="1">IFERROR(__xludf.DUMMYFUNCTION("""COMPUTED_VALUE""")," Portsmouth")</f>
        <v xml:space="preserve"> Portsmouth</v>
      </c>
      <c r="L993" s="2" t="str">
        <f ca="1">IFERROR(__xludf.DUMMYFUNCTION("""COMPUTED_VALUE""")," VA 23701")</f>
        <v xml:space="preserve"> VA 23701</v>
      </c>
      <c r="M993" s="2" t="str">
        <f ca="1">IFERROR(__xludf.DUMMYFUNCTION("""COMPUTED_VALUE""")," USA")</f>
        <v xml:space="preserve"> USA</v>
      </c>
      <c r="P993" s="60"/>
    </row>
    <row r="994" spans="1:16">
      <c r="A994" s="65">
        <v>993</v>
      </c>
      <c r="B994" s="80" t="s">
        <v>6035</v>
      </c>
      <c r="C994" s="65" t="s">
        <v>1067</v>
      </c>
      <c r="D994" s="93" t="s">
        <v>5809</v>
      </c>
      <c r="E994" s="48" t="str">
        <f t="shared" si="0"/>
        <v>Lakeville</v>
      </c>
      <c r="F994" s="83" t="str">
        <f t="shared" si="1"/>
        <v>Hotchkiss School (Lakeville),PS</v>
      </c>
      <c r="G994" s="65" t="s">
        <v>6038</v>
      </c>
      <c r="H994" s="65">
        <v>41.944927799999988</v>
      </c>
      <c r="I994" s="65">
        <v>-73.439863899999992</v>
      </c>
      <c r="J994" s="60" t="str">
        <f ca="1">IFERROR(__xludf.DUMMYFUNCTION("SPLIT(G994,"","")"),"11 Interlaken Rd")</f>
        <v>11 Interlaken Rd</v>
      </c>
      <c r="K994" s="2" t="str">
        <f ca="1">IFERROR(__xludf.DUMMYFUNCTION("""COMPUTED_VALUE""")," Lakeville")</f>
        <v xml:space="preserve"> Lakeville</v>
      </c>
      <c r="L994" s="2" t="str">
        <f ca="1">IFERROR(__xludf.DUMMYFUNCTION("""COMPUTED_VALUE""")," CT 06039")</f>
        <v xml:space="preserve"> CT 06039</v>
      </c>
      <c r="M994" s="2" t="str">
        <f ca="1">IFERROR(__xludf.DUMMYFUNCTION("""COMPUTED_VALUE""")," USA")</f>
        <v xml:space="preserve"> USA</v>
      </c>
      <c r="P994" s="60"/>
    </row>
    <row r="995" spans="1:16">
      <c r="A995" s="60">
        <v>994</v>
      </c>
      <c r="B995" s="79" t="s">
        <v>6041</v>
      </c>
      <c r="C995" s="60" t="s">
        <v>606</v>
      </c>
      <c r="D995" s="93" t="s">
        <v>1793</v>
      </c>
      <c r="E995" s="48" t="str">
        <f t="shared" si="0"/>
        <v>Columbia</v>
      </c>
      <c r="F995" s="83" t="str">
        <f t="shared" si="1"/>
        <v>Cardinal Newman (Columbia),SC</v>
      </c>
      <c r="G995" s="60" t="s">
        <v>6043</v>
      </c>
      <c r="H995" s="60">
        <v>34.075818499999997</v>
      </c>
      <c r="I995" s="60">
        <v>-80.920531199999999</v>
      </c>
      <c r="J995" s="60" t="str">
        <f ca="1">IFERROR(__xludf.DUMMYFUNCTION("SPLIT(G995,"","")"),"2921 Alpine Rd")</f>
        <v>2921 Alpine Rd</v>
      </c>
      <c r="K995" s="2" t="str">
        <f ca="1">IFERROR(__xludf.DUMMYFUNCTION("""COMPUTED_VALUE""")," Columbia")</f>
        <v xml:space="preserve"> Columbia</v>
      </c>
      <c r="L995" s="2" t="str">
        <f ca="1">IFERROR(__xludf.DUMMYFUNCTION("""COMPUTED_VALUE""")," SC 29223")</f>
        <v xml:space="preserve"> SC 29223</v>
      </c>
      <c r="M995" s="2" t="str">
        <f ca="1">IFERROR(__xludf.DUMMYFUNCTION("""COMPUTED_VALUE""")," USA")</f>
        <v xml:space="preserve"> USA</v>
      </c>
      <c r="P995" s="60"/>
    </row>
    <row r="996" spans="1:16">
      <c r="A996" s="65">
        <v>995</v>
      </c>
      <c r="B996" s="80" t="s">
        <v>6047</v>
      </c>
      <c r="C996" s="65" t="s">
        <v>595</v>
      </c>
      <c r="D996" s="93" t="s">
        <v>6049</v>
      </c>
      <c r="E996" s="48" t="str">
        <f t="shared" si="0"/>
        <v>Rockwall</v>
      </c>
      <c r="F996" s="83" t="str">
        <f t="shared" si="1"/>
        <v>Rockwall,TX</v>
      </c>
      <c r="G996" s="65" t="s">
        <v>6050</v>
      </c>
      <c r="H996" s="65">
        <v>32.931233600000013</v>
      </c>
      <c r="I996" s="65">
        <v>-96.459708899999995</v>
      </c>
      <c r="J996" s="60" t="str">
        <f ca="1">IFERROR(__xludf.DUMMYFUNCTION("SPLIT(G996,"","")"),"151 E Rusk St")</f>
        <v>151 E Rusk St</v>
      </c>
      <c r="K996" s="2" t="str">
        <f ca="1">IFERROR(__xludf.DUMMYFUNCTION("""COMPUTED_VALUE""")," Rockwall")</f>
        <v xml:space="preserve"> Rockwall</v>
      </c>
      <c r="L996" s="2" t="str">
        <f ca="1">IFERROR(__xludf.DUMMYFUNCTION("""COMPUTED_VALUE""")," TX 75087")</f>
        <v xml:space="preserve"> TX 75087</v>
      </c>
      <c r="M996" s="2" t="str">
        <f ca="1">IFERROR(__xludf.DUMMYFUNCTION("""COMPUTED_VALUE""")," USA")</f>
        <v xml:space="preserve"> USA</v>
      </c>
      <c r="P996" s="60"/>
    </row>
    <row r="997" spans="1:16">
      <c r="A997" s="60">
        <v>996</v>
      </c>
      <c r="B997" s="79" t="s">
        <v>6055</v>
      </c>
      <c r="C997" s="60" t="s">
        <v>183</v>
      </c>
      <c r="D997" s="93" t="s">
        <v>6056</v>
      </c>
      <c r="E997" s="48" t="str">
        <f t="shared" si="0"/>
        <v>Baldwinsville</v>
      </c>
      <c r="F997" s="83" t="str">
        <f t="shared" si="1"/>
        <v>Baker (Baldwinsville),NY</v>
      </c>
      <c r="G997" s="60" t="s">
        <v>6058</v>
      </c>
      <c r="H997" s="60">
        <v>43.163618199999988</v>
      </c>
      <c r="I997" s="60">
        <v>-76.333308000000002</v>
      </c>
      <c r="J997" s="60" t="str">
        <f ca="1">IFERROR(__xludf.DUMMYFUNCTION("SPLIT(G997,"","")"),"7 E Oneida St")</f>
        <v>7 E Oneida St</v>
      </c>
      <c r="K997" s="2" t="str">
        <f ca="1">IFERROR(__xludf.DUMMYFUNCTION("""COMPUTED_VALUE""")," Baldwinsville")</f>
        <v xml:space="preserve"> Baldwinsville</v>
      </c>
      <c r="L997" s="2" t="str">
        <f ca="1">IFERROR(__xludf.DUMMYFUNCTION("""COMPUTED_VALUE""")," NY 13027")</f>
        <v xml:space="preserve"> NY 13027</v>
      </c>
      <c r="M997" s="2" t="str">
        <f ca="1">IFERROR(__xludf.DUMMYFUNCTION("""COMPUTED_VALUE""")," USA")</f>
        <v xml:space="preserve"> USA</v>
      </c>
      <c r="P997" s="60"/>
    </row>
    <row r="998" spans="1:16">
      <c r="A998" s="65">
        <v>997</v>
      </c>
      <c r="B998" s="80" t="s">
        <v>6063</v>
      </c>
      <c r="C998" s="65" t="s">
        <v>608</v>
      </c>
      <c r="D998" s="50" t="s">
        <v>6063</v>
      </c>
      <c r="E998" s="48" t="str">
        <f t="shared" si="0"/>
        <v>Spring Lake Park</v>
      </c>
      <c r="F998" s="83" t="str">
        <f t="shared" si="1"/>
        <v>Spring Lake Park,MN</v>
      </c>
      <c r="G998" s="65" t="s">
        <v>29492</v>
      </c>
      <c r="H998" s="65">
        <v>45.107743300000003</v>
      </c>
      <c r="I998" s="65">
        <v>-93.238003800000001</v>
      </c>
      <c r="J998" s="60" t="str">
        <f ca="1">IFERROR(__xludf.DUMMYFUNCTION("SPLIT(G998,"","")"),"Osborne Rd NE &amp; Central Ave NE")</f>
        <v>Osborne Rd NE &amp; Central Ave NE</v>
      </c>
      <c r="K998" s="2" t="str">
        <f ca="1">IFERROR(__xludf.DUMMYFUNCTION("""COMPUTED_VALUE""")," Minnesota 55432")</f>
        <v xml:space="preserve"> Minnesota 55432</v>
      </c>
      <c r="L998" s="2" t="str">
        <f ca="1">IFERROR(__xludf.DUMMYFUNCTION("""COMPUTED_VALUE""")," USA")</f>
        <v xml:space="preserve"> USA</v>
      </c>
      <c r="P998" s="60"/>
    </row>
    <row r="999" spans="1:16">
      <c r="A999" s="60">
        <v>998</v>
      </c>
      <c r="B999" s="79" t="s">
        <v>6069</v>
      </c>
      <c r="C999" s="60" t="s">
        <v>588</v>
      </c>
      <c r="D999" s="93" t="s">
        <v>689</v>
      </c>
      <c r="E999" s="48" t="str">
        <f t="shared" si="0"/>
        <v>Santa Clarita</v>
      </c>
      <c r="F999" s="83" t="str">
        <f t="shared" si="1"/>
        <v>Saugus,CA</v>
      </c>
      <c r="G999" s="60" t="s">
        <v>6071</v>
      </c>
      <c r="H999" s="60">
        <v>34.4135244</v>
      </c>
      <c r="I999" s="60">
        <v>-118.54040070000001</v>
      </c>
      <c r="J999" s="60" t="str">
        <f ca="1">IFERROR(__xludf.DUMMYFUNCTION("SPLIT(G999,"","")"),"989 Railroad Ave")</f>
        <v>989 Railroad Ave</v>
      </c>
      <c r="K999" s="2" t="str">
        <f ca="1">IFERROR(__xludf.DUMMYFUNCTION("""COMPUTED_VALUE""")," Santa Clarita")</f>
        <v xml:space="preserve"> Santa Clarita</v>
      </c>
      <c r="L999" s="2" t="str">
        <f ca="1">IFERROR(__xludf.DUMMYFUNCTION("""COMPUTED_VALUE""")," CA 91350")</f>
        <v xml:space="preserve"> CA 91350</v>
      </c>
      <c r="M999" s="2" t="str">
        <f ca="1">IFERROR(__xludf.DUMMYFUNCTION("""COMPUTED_VALUE""")," USA")</f>
        <v xml:space="preserve"> USA</v>
      </c>
      <c r="P999" s="60"/>
    </row>
    <row r="1000" spans="1:16">
      <c r="A1000" s="65">
        <v>999</v>
      </c>
      <c r="B1000" s="80" t="s">
        <v>6076</v>
      </c>
      <c r="C1000" s="65" t="s">
        <v>1055</v>
      </c>
      <c r="D1000" s="93" t="s">
        <v>6077</v>
      </c>
      <c r="E1000" s="48" t="str">
        <f t="shared" si="0"/>
        <v>Norman</v>
      </c>
      <c r="F1000" s="83" t="str">
        <f t="shared" si="1"/>
        <v>Norman North (Norman),OK</v>
      </c>
      <c r="G1000" s="65" t="s">
        <v>6080</v>
      </c>
      <c r="H1000" s="65">
        <v>35.2405884</v>
      </c>
      <c r="I1000" s="65">
        <v>-97.44931849999999</v>
      </c>
      <c r="J1000" s="60" t="str">
        <f ca="1">IFERROR(__xludf.DUMMYFUNCTION("SPLIT(G1000,"","")"),"1809 Stubbeman Ave")</f>
        <v>1809 Stubbeman Ave</v>
      </c>
      <c r="K1000" s="2" t="str">
        <f ca="1">IFERROR(__xludf.DUMMYFUNCTION("""COMPUTED_VALUE""")," Norman")</f>
        <v xml:space="preserve"> Norman</v>
      </c>
      <c r="L1000" s="2" t="str">
        <f ca="1">IFERROR(__xludf.DUMMYFUNCTION("""COMPUTED_VALUE""")," OK 73069")</f>
        <v xml:space="preserve"> OK 73069</v>
      </c>
      <c r="M1000" s="2" t="str">
        <f ca="1">IFERROR(__xludf.DUMMYFUNCTION("""COMPUTED_VALUE""")," USA")</f>
        <v xml:space="preserve"> USA</v>
      </c>
      <c r="P1000" s="60"/>
    </row>
    <row r="1001" spans="1:16">
      <c r="A1001" s="97">
        <v>1000</v>
      </c>
      <c r="B1001" s="99" t="s">
        <v>6084</v>
      </c>
      <c r="C1001" s="97" t="s">
        <v>1039</v>
      </c>
      <c r="D1001" s="93" t="s">
        <v>6085</v>
      </c>
      <c r="E1001" s="48" t="str">
        <f t="shared" si="0"/>
        <v>Scituate</v>
      </c>
      <c r="F1001" s="83" t="str">
        <f t="shared" si="1"/>
        <v>Scituate,MA</v>
      </c>
      <c r="G1001" s="97" t="s">
        <v>6088</v>
      </c>
      <c r="H1001" s="97">
        <v>42.195929</v>
      </c>
      <c r="I1001" s="97">
        <v>-70.7258633</v>
      </c>
      <c r="J1001" s="60" t="str">
        <f ca="1">IFERROR(__xludf.DUMMYFUNCTION("SPLIT(G1001,"","")"),"10 Allen Pl")</f>
        <v>10 Allen Pl</v>
      </c>
      <c r="K1001" s="2" t="str">
        <f ca="1">IFERROR(__xludf.DUMMYFUNCTION("""COMPUTED_VALUE""")," Scituate")</f>
        <v xml:space="preserve"> Scituate</v>
      </c>
      <c r="L1001" s="2" t="str">
        <f ca="1">IFERROR(__xludf.DUMMYFUNCTION("""COMPUTED_VALUE""")," MA 02066")</f>
        <v xml:space="preserve"> MA 02066</v>
      </c>
      <c r="M1001" s="2" t="str">
        <f ca="1">IFERROR(__xludf.DUMMYFUNCTION("""COMPUTED_VALUE""")," USA")</f>
        <v xml:space="preserve"> USA</v>
      </c>
      <c r="P1001" s="60"/>
    </row>
    <row r="1002" spans="1:16">
      <c r="A1002" s="60">
        <v>1001</v>
      </c>
      <c r="B1002" s="79" t="s">
        <v>6091</v>
      </c>
      <c r="C1002" s="60" t="s">
        <v>770</v>
      </c>
      <c r="D1002" s="93" t="s">
        <v>5729</v>
      </c>
      <c r="E1002" s="48" t="str">
        <f t="shared" si="0"/>
        <v>Nashville</v>
      </c>
      <c r="F1002" s="83" t="str">
        <f t="shared" si="1"/>
        <v>Ensworth (Nashville),TN</v>
      </c>
      <c r="G1002" s="60" t="s">
        <v>6092</v>
      </c>
      <c r="H1002" s="60">
        <v>36.124577299999999</v>
      </c>
      <c r="I1002" s="60">
        <v>-86.840950199999995</v>
      </c>
      <c r="J1002" s="60" t="str">
        <f ca="1">IFERROR(__xludf.DUMMYFUNCTION("SPLIT(G1002,"","")"),"211 Ensworth Ave")</f>
        <v>211 Ensworth Ave</v>
      </c>
      <c r="K1002" s="2" t="str">
        <f ca="1">IFERROR(__xludf.DUMMYFUNCTION("""COMPUTED_VALUE""")," Nashville")</f>
        <v xml:space="preserve"> Nashville</v>
      </c>
      <c r="L1002" s="2" t="str">
        <f ca="1">IFERROR(__xludf.DUMMYFUNCTION("""COMPUTED_VALUE""")," TN 37205")</f>
        <v xml:space="preserve"> TN 37205</v>
      </c>
      <c r="M1002" s="2" t="str">
        <f ca="1">IFERROR(__xludf.DUMMYFUNCTION("""COMPUTED_VALUE""")," USA")</f>
        <v xml:space="preserve"> USA</v>
      </c>
      <c r="P1002" s="60"/>
    </row>
    <row r="1003" spans="1:16">
      <c r="A1003" s="65">
        <v>1002</v>
      </c>
      <c r="B1003" s="80" t="s">
        <v>6096</v>
      </c>
      <c r="C1003" s="65" t="s">
        <v>191</v>
      </c>
      <c r="D1003" s="93" t="s">
        <v>6097</v>
      </c>
      <c r="E1003" s="48" t="str">
        <f t="shared" si="0"/>
        <v>Horton</v>
      </c>
      <c r="F1003" s="83" t="str">
        <f t="shared" si="1"/>
        <v>Hanover-Horton (Horton),MI</v>
      </c>
      <c r="G1003" s="65" t="s">
        <v>6099</v>
      </c>
      <c r="H1003" s="65">
        <v>42.114545499999998</v>
      </c>
      <c r="I1003" s="65">
        <v>-84.520037700000003</v>
      </c>
      <c r="J1003" s="60" t="str">
        <f ca="1">IFERROR(__xludf.DUMMYFUNCTION("SPLIT(G1003,"","")"),"10000 Moscow Rd")</f>
        <v>10000 Moscow Rd</v>
      </c>
      <c r="K1003" s="2" t="str">
        <f ca="1">IFERROR(__xludf.DUMMYFUNCTION("""COMPUTED_VALUE""")," Horton")</f>
        <v xml:space="preserve"> Horton</v>
      </c>
      <c r="L1003" s="2" t="str">
        <f ca="1">IFERROR(__xludf.DUMMYFUNCTION("""COMPUTED_VALUE""")," MI 49246")</f>
        <v xml:space="preserve"> MI 49246</v>
      </c>
      <c r="M1003" s="2" t="str">
        <f ca="1">IFERROR(__xludf.DUMMYFUNCTION("""COMPUTED_VALUE""")," USA")</f>
        <v xml:space="preserve"> USA</v>
      </c>
      <c r="P1003" s="60"/>
    </row>
    <row r="1004" spans="1:16">
      <c r="A1004" s="60">
        <v>1003</v>
      </c>
      <c r="B1004" s="79" t="s">
        <v>6103</v>
      </c>
      <c r="C1004" s="60" t="s">
        <v>737</v>
      </c>
      <c r="D1004" s="93" t="s">
        <v>2263</v>
      </c>
      <c r="E1004" s="48" t="str">
        <f t="shared" si="0"/>
        <v>Chester</v>
      </c>
      <c r="F1004" s="83" t="str">
        <f t="shared" si="1"/>
        <v>West Morris Central (Chester),NJ</v>
      </c>
      <c r="G1004" s="60" t="s">
        <v>6104</v>
      </c>
      <c r="H1004" s="60">
        <v>40.809974199999999</v>
      </c>
      <c r="I1004" s="60">
        <v>-74.728428600000001</v>
      </c>
      <c r="J1004" s="60" t="str">
        <f ca="1">IFERROR(__xludf.DUMMYFUNCTION("SPLIT(G1004,"","")"),"High School Dr Way")</f>
        <v>High School Dr Way</v>
      </c>
      <c r="K1004" s="2" t="str">
        <f ca="1">IFERROR(__xludf.DUMMYFUNCTION("""COMPUTED_VALUE""")," Chester")</f>
        <v xml:space="preserve"> Chester</v>
      </c>
      <c r="L1004" s="2" t="str">
        <f ca="1">IFERROR(__xludf.DUMMYFUNCTION("""COMPUTED_VALUE""")," NJ 07930")</f>
        <v xml:space="preserve"> NJ 07930</v>
      </c>
      <c r="M1004" s="2" t="str">
        <f ca="1">IFERROR(__xludf.DUMMYFUNCTION("""COMPUTED_VALUE""")," USA")</f>
        <v xml:space="preserve"> USA</v>
      </c>
      <c r="P1004" s="60"/>
    </row>
    <row r="1005" spans="1:16">
      <c r="A1005" s="65">
        <v>1004</v>
      </c>
      <c r="B1005" s="80" t="s">
        <v>6109</v>
      </c>
      <c r="C1005" s="65" t="s">
        <v>179</v>
      </c>
      <c r="D1005" s="93" t="s">
        <v>6111</v>
      </c>
      <c r="E1005" s="48" t="str">
        <f t="shared" si="0"/>
        <v>Shelby</v>
      </c>
      <c r="F1005" s="83" t="str">
        <f t="shared" si="1"/>
        <v>Shelby,NC</v>
      </c>
      <c r="G1005" s="65" t="s">
        <v>6112</v>
      </c>
      <c r="H1005" s="65">
        <v>35.2923513</v>
      </c>
      <c r="I1005" s="65">
        <v>-81.535646299999996</v>
      </c>
      <c r="J1005" s="60" t="str">
        <f ca="1">IFERROR(__xludf.DUMMYFUNCTION("SPLIT(G1005,"","")"),"808 E Marion St")</f>
        <v>808 E Marion St</v>
      </c>
      <c r="K1005" s="2" t="str">
        <f ca="1">IFERROR(__xludf.DUMMYFUNCTION("""COMPUTED_VALUE""")," Shelby")</f>
        <v xml:space="preserve"> Shelby</v>
      </c>
      <c r="L1005" s="2" t="str">
        <f ca="1">IFERROR(__xludf.DUMMYFUNCTION("""COMPUTED_VALUE""")," NC 28150")</f>
        <v xml:space="preserve"> NC 28150</v>
      </c>
      <c r="M1005" s="2" t="str">
        <f ca="1">IFERROR(__xludf.DUMMYFUNCTION("""COMPUTED_VALUE""")," USA")</f>
        <v xml:space="preserve"> USA</v>
      </c>
      <c r="P1005" s="60"/>
    </row>
    <row r="1006" spans="1:16">
      <c r="A1006" s="60">
        <v>1005</v>
      </c>
      <c r="B1006" s="79" t="s">
        <v>5853</v>
      </c>
      <c r="C1006" s="60" t="s">
        <v>588</v>
      </c>
      <c r="D1006" s="93" t="s">
        <v>6116</v>
      </c>
      <c r="E1006" s="48" t="str">
        <f t="shared" si="0"/>
        <v>Lynwood</v>
      </c>
      <c r="F1006" s="83" t="str">
        <f t="shared" si="1"/>
        <v>Lynwood,CA</v>
      </c>
      <c r="G1006" s="60" t="s">
        <v>6118</v>
      </c>
      <c r="H1006" s="60">
        <v>33.930292999999999</v>
      </c>
      <c r="I1006" s="60">
        <v>-118.2114603</v>
      </c>
      <c r="J1006" s="60" t="str">
        <f ca="1">IFERROR(__xludf.DUMMYFUNCTION("SPLIT(G1006,"","")"),"11171 Long Beach Blvd")</f>
        <v>11171 Long Beach Blvd</v>
      </c>
      <c r="K1006" s="2" t="str">
        <f ca="1">IFERROR(__xludf.DUMMYFUNCTION("""COMPUTED_VALUE""")," Lynwood")</f>
        <v xml:space="preserve"> Lynwood</v>
      </c>
      <c r="L1006" s="2" t="str">
        <f ca="1">IFERROR(__xludf.DUMMYFUNCTION("""COMPUTED_VALUE""")," CA 90262")</f>
        <v xml:space="preserve"> CA 90262</v>
      </c>
      <c r="M1006" s="2" t="str">
        <f ca="1">IFERROR(__xludf.DUMMYFUNCTION("""COMPUTED_VALUE""")," USA")</f>
        <v xml:space="preserve"> USA</v>
      </c>
      <c r="P1006" s="60"/>
    </row>
    <row r="1007" spans="1:16">
      <c r="A1007" s="65">
        <v>1006</v>
      </c>
      <c r="B1007" s="80" t="s">
        <v>2649</v>
      </c>
      <c r="C1007" s="65" t="s">
        <v>71</v>
      </c>
      <c r="D1007" s="93" t="s">
        <v>2323</v>
      </c>
      <c r="E1007" s="48" t="str">
        <f t="shared" si="0"/>
        <v>Gilbert</v>
      </c>
      <c r="F1007" s="83" t="str">
        <f t="shared" si="1"/>
        <v>Gilbert,AZ</v>
      </c>
      <c r="G1007" s="65" t="s">
        <v>6123</v>
      </c>
      <c r="H1007" s="65">
        <v>33.352826399999998</v>
      </c>
      <c r="I1007" s="65">
        <v>-111.789027</v>
      </c>
      <c r="J1007" s="60" t="str">
        <f ca="1">IFERROR(__xludf.DUMMYFUNCTION("SPLIT(G1007,"","")"),"133 N Gilbert Rd")</f>
        <v>133 N Gilbert Rd</v>
      </c>
      <c r="K1007" s="2" t="str">
        <f ca="1">IFERROR(__xludf.DUMMYFUNCTION("""COMPUTED_VALUE""")," Gilbert")</f>
        <v xml:space="preserve"> Gilbert</v>
      </c>
      <c r="L1007" s="2" t="str">
        <f ca="1">IFERROR(__xludf.DUMMYFUNCTION("""COMPUTED_VALUE""")," AZ 85234")</f>
        <v xml:space="preserve"> AZ 85234</v>
      </c>
      <c r="M1007" s="2" t="str">
        <f ca="1">IFERROR(__xludf.DUMMYFUNCTION("""COMPUTED_VALUE""")," USA")</f>
        <v xml:space="preserve"> USA</v>
      </c>
      <c r="P1007" s="60"/>
    </row>
    <row r="1008" spans="1:16">
      <c r="A1008" s="60">
        <v>1007</v>
      </c>
      <c r="B1008" s="79" t="s">
        <v>6127</v>
      </c>
      <c r="C1008" s="60" t="s">
        <v>136</v>
      </c>
      <c r="D1008" s="93" t="s">
        <v>1103</v>
      </c>
      <c r="E1008" s="48" t="str">
        <f t="shared" si="0"/>
        <v>Jacksonville</v>
      </c>
      <c r="F1008" s="83" t="str">
        <f t="shared" si="1"/>
        <v>Providence School (Jacksonville),FL</v>
      </c>
      <c r="G1008" s="60" t="s">
        <v>6129</v>
      </c>
      <c r="H1008" s="60">
        <v>30.299130300000002</v>
      </c>
      <c r="I1008" s="60">
        <v>-81.457552300000003</v>
      </c>
      <c r="J1008" s="60" t="str">
        <f ca="1">IFERROR(__xludf.DUMMYFUNCTION("SPLIT(G1008,"","")"),"2015 Hodges Blvd")</f>
        <v>2015 Hodges Blvd</v>
      </c>
      <c r="K1008" s="2" t="str">
        <f ca="1">IFERROR(__xludf.DUMMYFUNCTION("""COMPUTED_VALUE""")," Jacksonville")</f>
        <v xml:space="preserve"> Jacksonville</v>
      </c>
      <c r="L1008" s="2" t="str">
        <f ca="1">IFERROR(__xludf.DUMMYFUNCTION("""COMPUTED_VALUE""")," FL 32224")</f>
        <v xml:space="preserve"> FL 32224</v>
      </c>
      <c r="M1008" s="2" t="str">
        <f ca="1">IFERROR(__xludf.DUMMYFUNCTION("""COMPUTED_VALUE""")," USA")</f>
        <v xml:space="preserve"> USA</v>
      </c>
      <c r="P1008" s="60"/>
    </row>
    <row r="1009" spans="1:16">
      <c r="A1009" s="65">
        <v>1008</v>
      </c>
      <c r="B1009" s="80" t="s">
        <v>6131</v>
      </c>
      <c r="C1009" s="65" t="s">
        <v>765</v>
      </c>
      <c r="D1009" s="93" t="s">
        <v>6133</v>
      </c>
      <c r="E1009" s="48" t="str">
        <f t="shared" si="0"/>
        <v>Saratoga Springs</v>
      </c>
      <c r="F1009" s="83" t="str">
        <f t="shared" si="1"/>
        <v>Westlake (Saratoga Springs),UT</v>
      </c>
      <c r="G1009" s="65" t="s">
        <v>6134</v>
      </c>
      <c r="H1009" s="65">
        <v>40.364043000000002</v>
      </c>
      <c r="I1009" s="65">
        <v>-111.92298700000001</v>
      </c>
      <c r="J1009" s="60" t="str">
        <f ca="1">IFERROR(__xludf.DUMMYFUNCTION("SPLIT(G1009,"","")"),"99 N 200 W")</f>
        <v>99 N 200 W</v>
      </c>
      <c r="K1009" s="2" t="str">
        <f ca="1">IFERROR(__xludf.DUMMYFUNCTION("""COMPUTED_VALUE""")," Saratoga Springs")</f>
        <v xml:space="preserve"> Saratoga Springs</v>
      </c>
      <c r="L1009" s="2" t="str">
        <f ca="1">IFERROR(__xludf.DUMMYFUNCTION("""COMPUTED_VALUE""")," UT 84045")</f>
        <v xml:space="preserve"> UT 84045</v>
      </c>
      <c r="M1009" s="2" t="str">
        <f ca="1">IFERROR(__xludf.DUMMYFUNCTION("""COMPUTED_VALUE""")," USA")</f>
        <v xml:space="preserve"> USA</v>
      </c>
      <c r="P1009" s="60"/>
    </row>
    <row r="1010" spans="1:16">
      <c r="A1010" s="60">
        <v>1009</v>
      </c>
      <c r="B1010" s="79" t="s">
        <v>6137</v>
      </c>
      <c r="C1010" s="60" t="s">
        <v>975</v>
      </c>
      <c r="D1010" s="93" t="s">
        <v>1913</v>
      </c>
      <c r="E1010" s="48" t="str">
        <f t="shared" si="0"/>
        <v>Albuquerque</v>
      </c>
      <c r="F1010" s="83" t="str">
        <f t="shared" si="1"/>
        <v>Atrisco Heritage Academy (Albuquerque),NM</v>
      </c>
      <c r="G1010" s="60" t="s">
        <v>6139</v>
      </c>
      <c r="H1010" s="60">
        <v>35.0224039</v>
      </c>
      <c r="I1010" s="60">
        <v>-106.7500086</v>
      </c>
      <c r="J1010" s="60" t="str">
        <f ca="1">IFERROR(__xludf.DUMMYFUNCTION("SPLIT(G1010,"","")"),"10800 Dennis Chavez Blvd")</f>
        <v>10800 Dennis Chavez Blvd</v>
      </c>
      <c r="K1010" s="2" t="str">
        <f ca="1">IFERROR(__xludf.DUMMYFUNCTION("""COMPUTED_VALUE""")," Albuquerque")</f>
        <v xml:space="preserve"> Albuquerque</v>
      </c>
      <c r="L1010" s="2" t="str">
        <f ca="1">IFERROR(__xludf.DUMMYFUNCTION("""COMPUTED_VALUE""")," NM 87121")</f>
        <v xml:space="preserve"> NM 87121</v>
      </c>
      <c r="M1010" s="2" t="str">
        <f ca="1">IFERROR(__xludf.DUMMYFUNCTION("""COMPUTED_VALUE""")," USA")</f>
        <v xml:space="preserve"> USA</v>
      </c>
      <c r="P1010" s="60"/>
    </row>
    <row r="1011" spans="1:16">
      <c r="A1011" s="65">
        <v>1010</v>
      </c>
      <c r="B1011" s="80" t="s">
        <v>6141</v>
      </c>
      <c r="C1011" s="65" t="s">
        <v>1094</v>
      </c>
      <c r="D1011" s="93" t="s">
        <v>6144</v>
      </c>
      <c r="E1011" s="48" t="str">
        <f t="shared" si="0"/>
        <v>South Portland</v>
      </c>
      <c r="F1011" s="83" t="str">
        <f t="shared" si="1"/>
        <v>South Portland,ME</v>
      </c>
      <c r="G1011" s="65" t="s">
        <v>6146</v>
      </c>
      <c r="H1011" s="65">
        <v>43.641471600000003</v>
      </c>
      <c r="I1011" s="65">
        <v>-70.240881099999996</v>
      </c>
      <c r="J1011" s="60" t="str">
        <f ca="1">IFERROR(__xludf.DUMMYFUNCTION("SPLIT(G1011,"","")"),"202 Pine St")</f>
        <v>202 Pine St</v>
      </c>
      <c r="K1011" s="2" t="str">
        <f ca="1">IFERROR(__xludf.DUMMYFUNCTION("""COMPUTED_VALUE""")," South Portland")</f>
        <v xml:space="preserve"> South Portland</v>
      </c>
      <c r="L1011" s="2" t="str">
        <f ca="1">IFERROR(__xludf.DUMMYFUNCTION("""COMPUTED_VALUE""")," ME 04106")</f>
        <v xml:space="preserve"> ME 04106</v>
      </c>
      <c r="M1011" s="2" t="str">
        <f ca="1">IFERROR(__xludf.DUMMYFUNCTION("""COMPUTED_VALUE""")," USA")</f>
        <v xml:space="preserve"> USA</v>
      </c>
      <c r="P1011" s="60"/>
    </row>
    <row r="1012" spans="1:16">
      <c r="A1012" s="60">
        <v>1011</v>
      </c>
      <c r="B1012" s="79" t="s">
        <v>4931</v>
      </c>
      <c r="C1012" s="60" t="s">
        <v>588</v>
      </c>
      <c r="D1012" s="93" t="s">
        <v>6009</v>
      </c>
      <c r="E1012" s="48" t="str">
        <f t="shared" si="0"/>
        <v>Elk Grove</v>
      </c>
      <c r="F1012" s="83" t="str">
        <f t="shared" si="1"/>
        <v>Elk Grove,CA</v>
      </c>
      <c r="G1012" s="60" t="s">
        <v>6150</v>
      </c>
      <c r="H1012" s="60">
        <v>38.408799299999998</v>
      </c>
      <c r="I1012" s="60">
        <v>-121.3716178</v>
      </c>
      <c r="J1012" s="60" t="str">
        <f ca="1">IFERROR(__xludf.DUMMYFUNCTION("SPLIT(G1012,"","")"),"8896 Elk Grove Blvd")</f>
        <v>8896 Elk Grove Blvd</v>
      </c>
      <c r="K1012" s="2" t="str">
        <f ca="1">IFERROR(__xludf.DUMMYFUNCTION("""COMPUTED_VALUE""")," Elk Grove")</f>
        <v xml:space="preserve"> Elk Grove</v>
      </c>
      <c r="L1012" s="2" t="str">
        <f ca="1">IFERROR(__xludf.DUMMYFUNCTION("""COMPUTED_VALUE""")," CA 95624")</f>
        <v xml:space="preserve"> CA 95624</v>
      </c>
      <c r="M1012" s="2" t="str">
        <f ca="1">IFERROR(__xludf.DUMMYFUNCTION("""COMPUTED_VALUE""")," USA")</f>
        <v xml:space="preserve"> USA</v>
      </c>
      <c r="P1012" s="60"/>
    </row>
    <row r="1013" spans="1:16">
      <c r="A1013" s="65">
        <v>1012</v>
      </c>
      <c r="B1013" s="80" t="s">
        <v>6153</v>
      </c>
      <c r="C1013" s="65" t="s">
        <v>604</v>
      </c>
      <c r="D1013" s="93" t="s">
        <v>6154</v>
      </c>
      <c r="E1013" s="48" t="str">
        <f t="shared" si="0"/>
        <v>Naperville</v>
      </c>
      <c r="F1013" s="83" t="str">
        <f t="shared" si="1"/>
        <v>Neuqua Valley (Naperville),IL</v>
      </c>
      <c r="G1013" s="65" t="s">
        <v>6155</v>
      </c>
      <c r="H1013" s="65">
        <v>41.706358900000012</v>
      </c>
      <c r="I1013" s="65">
        <v>-88.199795199999997</v>
      </c>
      <c r="J1013" s="60" t="str">
        <f ca="1">IFERROR(__xludf.DUMMYFUNCTION("SPLIT(G1013,"","")"),"3220 Cedar Glade Rd")</f>
        <v>3220 Cedar Glade Rd</v>
      </c>
      <c r="K1013" s="2" t="str">
        <f ca="1">IFERROR(__xludf.DUMMYFUNCTION("""COMPUTED_VALUE""")," Naperville")</f>
        <v xml:space="preserve"> Naperville</v>
      </c>
      <c r="L1013" s="2" t="str">
        <f ca="1">IFERROR(__xludf.DUMMYFUNCTION("""COMPUTED_VALUE""")," IL 60564")</f>
        <v xml:space="preserve"> IL 60564</v>
      </c>
      <c r="M1013" s="2" t="str">
        <f ca="1">IFERROR(__xludf.DUMMYFUNCTION("""COMPUTED_VALUE""")," USA")</f>
        <v xml:space="preserve"> USA</v>
      </c>
      <c r="P1013" s="60"/>
    </row>
    <row r="1014" spans="1:16">
      <c r="A1014" s="60">
        <v>1013</v>
      </c>
      <c r="B1014" s="79" t="s">
        <v>6158</v>
      </c>
      <c r="C1014" s="60" t="s">
        <v>693</v>
      </c>
      <c r="D1014" s="93" t="s">
        <v>6159</v>
      </c>
      <c r="E1014" s="48" t="str">
        <f t="shared" si="0"/>
        <v>Petal</v>
      </c>
      <c r="F1014" s="83" t="str">
        <f t="shared" si="1"/>
        <v>Petal,MS</v>
      </c>
      <c r="G1014" s="60" t="s">
        <v>6161</v>
      </c>
      <c r="H1014" s="60">
        <v>31.3465627</v>
      </c>
      <c r="I1014" s="60">
        <v>-89.260060499999994</v>
      </c>
      <c r="J1014" s="60" t="str">
        <f ca="1">IFERROR(__xludf.DUMMYFUNCTION("SPLIT(G1014,"","")"),"200 E Central Ave")</f>
        <v>200 E Central Ave</v>
      </c>
      <c r="K1014" s="2" t="str">
        <f ca="1">IFERROR(__xludf.DUMMYFUNCTION("""COMPUTED_VALUE""")," Petal")</f>
        <v xml:space="preserve"> Petal</v>
      </c>
      <c r="L1014" s="2" t="str">
        <f ca="1">IFERROR(__xludf.DUMMYFUNCTION("""COMPUTED_VALUE""")," MS 39465")</f>
        <v xml:space="preserve"> MS 39465</v>
      </c>
      <c r="M1014" s="2" t="str">
        <f ca="1">IFERROR(__xludf.DUMMYFUNCTION("""COMPUTED_VALUE""")," USA")</f>
        <v xml:space="preserve"> USA</v>
      </c>
      <c r="P1014" s="60"/>
    </row>
    <row r="1015" spans="1:16">
      <c r="A1015" s="65">
        <v>1014</v>
      </c>
      <c r="B1015" s="80" t="s">
        <v>6163</v>
      </c>
      <c r="C1015" s="65" t="s">
        <v>179</v>
      </c>
      <c r="D1015" s="93" t="s">
        <v>2910</v>
      </c>
      <c r="E1015" s="48" t="str">
        <f t="shared" si="0"/>
        <v>Charlotte</v>
      </c>
      <c r="F1015" s="83" t="str">
        <f t="shared" si="1"/>
        <v>Charlotte Latin (Charlotte),NC</v>
      </c>
      <c r="G1015" s="65" t="s">
        <v>6165</v>
      </c>
      <c r="H1015" s="65">
        <v>35.079832300000007</v>
      </c>
      <c r="I1015" s="65">
        <v>-80.774905599999997</v>
      </c>
      <c r="J1015" s="60" t="str">
        <f ca="1">IFERROR(__xludf.DUMMYFUNCTION("SPLIT(G1015,"","")"),"9502 Providence Rd")</f>
        <v>9502 Providence Rd</v>
      </c>
      <c r="K1015" s="2" t="str">
        <f ca="1">IFERROR(__xludf.DUMMYFUNCTION("""COMPUTED_VALUE""")," Charlotte")</f>
        <v xml:space="preserve"> Charlotte</v>
      </c>
      <c r="L1015" s="2" t="str">
        <f ca="1">IFERROR(__xludf.DUMMYFUNCTION("""COMPUTED_VALUE""")," NC 28277")</f>
        <v xml:space="preserve"> NC 28277</v>
      </c>
      <c r="M1015" s="2" t="str">
        <f ca="1">IFERROR(__xludf.DUMMYFUNCTION("""COMPUTED_VALUE""")," USA")</f>
        <v xml:space="preserve"> USA</v>
      </c>
      <c r="P1015" s="60"/>
    </row>
    <row r="1016" spans="1:16">
      <c r="A1016" s="60">
        <v>1015</v>
      </c>
      <c r="B1016" s="79" t="s">
        <v>6168</v>
      </c>
      <c r="C1016" s="60" t="s">
        <v>598</v>
      </c>
      <c r="D1016" s="93" t="s">
        <v>1303</v>
      </c>
      <c r="E1016" s="48" t="str">
        <f t="shared" si="0"/>
        <v>Atlanta</v>
      </c>
      <c r="F1016" s="83" t="str">
        <f t="shared" si="1"/>
        <v>Therrell (Atlanta),GA</v>
      </c>
      <c r="G1016" s="60" t="s">
        <v>6169</v>
      </c>
      <c r="H1016" s="60">
        <v>33.698945700000003</v>
      </c>
      <c r="I1016" s="60">
        <v>-84.490264299999993</v>
      </c>
      <c r="J1016" s="60" t="str">
        <f ca="1">IFERROR(__xludf.DUMMYFUNCTION("SPLIT(G1016,"","")"),"3099 Panther Trail SW")</f>
        <v>3099 Panther Trail SW</v>
      </c>
      <c r="K1016" s="2" t="str">
        <f ca="1">IFERROR(__xludf.DUMMYFUNCTION("""COMPUTED_VALUE""")," Atlanta")</f>
        <v xml:space="preserve"> Atlanta</v>
      </c>
      <c r="L1016" s="2" t="str">
        <f ca="1">IFERROR(__xludf.DUMMYFUNCTION("""COMPUTED_VALUE""")," GA 30311")</f>
        <v xml:space="preserve"> GA 30311</v>
      </c>
      <c r="M1016" s="2" t="str">
        <f ca="1">IFERROR(__xludf.DUMMYFUNCTION("""COMPUTED_VALUE""")," USA")</f>
        <v xml:space="preserve"> USA</v>
      </c>
      <c r="P1016" s="60"/>
    </row>
    <row r="1017" spans="1:16">
      <c r="A1017" s="65">
        <v>1016</v>
      </c>
      <c r="B1017" s="80" t="s">
        <v>3917</v>
      </c>
      <c r="C1017" s="65" t="s">
        <v>183</v>
      </c>
      <c r="D1017" s="93" t="s">
        <v>6172</v>
      </c>
      <c r="E1017" s="48" t="str">
        <f t="shared" si="0"/>
        <v>Kingston</v>
      </c>
      <c r="F1017" s="83" t="str">
        <f t="shared" si="1"/>
        <v>Kingston,NY</v>
      </c>
      <c r="G1017" s="65" t="s">
        <v>6174</v>
      </c>
      <c r="H1017" s="65">
        <v>41.927036700000002</v>
      </c>
      <c r="I1017" s="65">
        <v>-73.997360799999996</v>
      </c>
      <c r="J1017" s="60" t="str">
        <f ca="1">IFERROR(__xludf.DUMMYFUNCTION("SPLIT(G1017,"","")"),"442 Broadway")</f>
        <v>442 Broadway</v>
      </c>
      <c r="K1017" s="2" t="str">
        <f ca="1">IFERROR(__xludf.DUMMYFUNCTION("""COMPUTED_VALUE""")," Kingston")</f>
        <v xml:space="preserve"> Kingston</v>
      </c>
      <c r="L1017" s="2" t="str">
        <f ca="1">IFERROR(__xludf.DUMMYFUNCTION("""COMPUTED_VALUE""")," NY 12401")</f>
        <v xml:space="preserve"> NY 12401</v>
      </c>
      <c r="M1017" s="2" t="str">
        <f ca="1">IFERROR(__xludf.DUMMYFUNCTION("""COMPUTED_VALUE""")," USA")</f>
        <v xml:space="preserve"> USA</v>
      </c>
      <c r="P1017" s="60"/>
    </row>
    <row r="1018" spans="1:16">
      <c r="A1018" s="60">
        <v>1017</v>
      </c>
      <c r="B1018" s="79" t="s">
        <v>6177</v>
      </c>
      <c r="C1018" s="60" t="s">
        <v>179</v>
      </c>
      <c r="D1018" s="93" t="s">
        <v>2910</v>
      </c>
      <c r="E1018" s="48" t="str">
        <f t="shared" si="0"/>
        <v>Charlotte</v>
      </c>
      <c r="F1018" s="83" t="str">
        <f t="shared" si="1"/>
        <v>Charlotte Catholic (Charlotte),NC</v>
      </c>
      <c r="G1018" s="60" t="s">
        <v>6178</v>
      </c>
      <c r="H1018" s="60">
        <v>35.088056100000003</v>
      </c>
      <c r="I1018" s="60">
        <v>-80.850138400000006</v>
      </c>
      <c r="J1018" s="60" t="str">
        <f ca="1">IFERROR(__xludf.DUMMYFUNCTION("SPLIT(G1018,"","")"),"7702 NC-51")</f>
        <v>7702 NC-51</v>
      </c>
      <c r="K1018" s="2" t="str">
        <f ca="1">IFERROR(__xludf.DUMMYFUNCTION("""COMPUTED_VALUE""")," Charlotte")</f>
        <v xml:space="preserve"> Charlotte</v>
      </c>
      <c r="L1018" s="2" t="str">
        <f ca="1">IFERROR(__xludf.DUMMYFUNCTION("""COMPUTED_VALUE""")," NC 28226")</f>
        <v xml:space="preserve"> NC 28226</v>
      </c>
      <c r="M1018" s="2" t="str">
        <f ca="1">IFERROR(__xludf.DUMMYFUNCTION("""COMPUTED_VALUE""")," USA")</f>
        <v xml:space="preserve"> USA</v>
      </c>
      <c r="P1018" s="60"/>
    </row>
    <row r="1019" spans="1:16">
      <c r="A1019" s="65">
        <v>1018</v>
      </c>
      <c r="B1019" s="80" t="s">
        <v>1730</v>
      </c>
      <c r="C1019" s="65" t="s">
        <v>69</v>
      </c>
      <c r="D1019" s="93" t="s">
        <v>6182</v>
      </c>
      <c r="E1019" s="48" t="str">
        <f t="shared" si="0"/>
        <v>Eufaula</v>
      </c>
      <c r="F1019" s="83" t="str">
        <f t="shared" si="1"/>
        <v>Eufaula,AL</v>
      </c>
      <c r="G1019" s="65" t="s">
        <v>6183</v>
      </c>
      <c r="H1019" s="65">
        <v>31.891271700000001</v>
      </c>
      <c r="I1019" s="65">
        <v>-85.145487599999996</v>
      </c>
      <c r="J1019" s="60" t="str">
        <f ca="1">IFERROR(__xludf.DUMMYFUNCTION("SPLIT(G1019,"","")"),"79 S Eufaula Ave")</f>
        <v>79 S Eufaula Ave</v>
      </c>
      <c r="K1019" s="2" t="str">
        <f ca="1">IFERROR(__xludf.DUMMYFUNCTION("""COMPUTED_VALUE""")," Eufaula")</f>
        <v xml:space="preserve"> Eufaula</v>
      </c>
      <c r="L1019" s="2" t="str">
        <f ca="1">IFERROR(__xludf.DUMMYFUNCTION("""COMPUTED_VALUE""")," AL 36027")</f>
        <v xml:space="preserve"> AL 36027</v>
      </c>
      <c r="M1019" s="2" t="str">
        <f ca="1">IFERROR(__xludf.DUMMYFUNCTION("""COMPUTED_VALUE""")," USA")</f>
        <v xml:space="preserve"> USA</v>
      </c>
      <c r="P1019" s="60"/>
    </row>
    <row r="1020" spans="1:16">
      <c r="A1020" s="60">
        <v>1019</v>
      </c>
      <c r="B1020" s="79" t="s">
        <v>6185</v>
      </c>
      <c r="C1020" s="60" t="s">
        <v>1322</v>
      </c>
      <c r="D1020" s="93" t="s">
        <v>5917</v>
      </c>
      <c r="E1020" s="48" t="str">
        <f t="shared" si="0"/>
        <v>Arvada</v>
      </c>
      <c r="F1020" s="83" t="str">
        <f t="shared" si="1"/>
        <v>Faith Christian (Arvada),CO</v>
      </c>
      <c r="G1020" s="60" t="s">
        <v>6187</v>
      </c>
      <c r="H1020" s="60">
        <v>39.7851803</v>
      </c>
      <c r="I1020" s="60">
        <v>-105.09015049999999</v>
      </c>
      <c r="J1020" s="60" t="str">
        <f ca="1">IFERROR(__xludf.DUMMYFUNCTION("SPLIT(G1020,"","")"),"4890 Carr St")</f>
        <v>4890 Carr St</v>
      </c>
      <c r="K1020" s="2" t="str">
        <f ca="1">IFERROR(__xludf.DUMMYFUNCTION("""COMPUTED_VALUE""")," Arvada")</f>
        <v xml:space="preserve"> Arvada</v>
      </c>
      <c r="L1020" s="2" t="str">
        <f ca="1">IFERROR(__xludf.DUMMYFUNCTION("""COMPUTED_VALUE""")," CO 80002")</f>
        <v xml:space="preserve"> CO 80002</v>
      </c>
      <c r="M1020" s="2" t="str">
        <f ca="1">IFERROR(__xludf.DUMMYFUNCTION("""COMPUTED_VALUE""")," USA")</f>
        <v xml:space="preserve"> USA</v>
      </c>
      <c r="P1020" s="60"/>
    </row>
    <row r="1021" spans="1:16">
      <c r="A1021" s="65">
        <v>1020</v>
      </c>
      <c r="B1021" s="80" t="s">
        <v>6189</v>
      </c>
      <c r="C1021" s="65" t="s">
        <v>745</v>
      </c>
      <c r="D1021" s="93" t="s">
        <v>6191</v>
      </c>
      <c r="E1021" s="48" t="str">
        <f t="shared" si="0"/>
        <v>Poulsbo</v>
      </c>
      <c r="F1021" s="83" t="str">
        <f t="shared" si="1"/>
        <v>North Kitsap (Poulsbo),WA</v>
      </c>
      <c r="G1021" s="65" t="s">
        <v>6192</v>
      </c>
      <c r="H1021" s="65">
        <v>47.768962999999999</v>
      </c>
      <c r="I1021" s="65">
        <v>-122.6059028</v>
      </c>
      <c r="J1021" s="60" t="str">
        <f ca="1">IFERROR(__xludf.DUMMYFUNCTION("SPLIT(G1021,"","")"),"22602 Stottlemeyer Rd NE")</f>
        <v>22602 Stottlemeyer Rd NE</v>
      </c>
      <c r="K1021" s="2" t="str">
        <f ca="1">IFERROR(__xludf.DUMMYFUNCTION("""COMPUTED_VALUE""")," Poulsbo")</f>
        <v xml:space="preserve"> Poulsbo</v>
      </c>
      <c r="L1021" s="2" t="str">
        <f ca="1">IFERROR(__xludf.DUMMYFUNCTION("""COMPUTED_VALUE""")," WA 98370")</f>
        <v xml:space="preserve"> WA 98370</v>
      </c>
      <c r="M1021" s="2" t="str">
        <f ca="1">IFERROR(__xludf.DUMMYFUNCTION("""COMPUTED_VALUE""")," USA")</f>
        <v xml:space="preserve"> USA</v>
      </c>
      <c r="P1021" s="60"/>
    </row>
    <row r="1022" spans="1:16">
      <c r="A1022" s="60">
        <v>1021</v>
      </c>
      <c r="B1022" s="79" t="s">
        <v>6195</v>
      </c>
      <c r="C1022" s="60" t="s">
        <v>693</v>
      </c>
      <c r="D1022" s="93" t="s">
        <v>6196</v>
      </c>
      <c r="E1022" s="48" t="str">
        <f t="shared" si="0"/>
        <v>New Albany</v>
      </c>
      <c r="F1022" s="83" t="str">
        <f t="shared" si="1"/>
        <v>Ingomar (New Albany),MS</v>
      </c>
      <c r="G1022" s="60" t="s">
        <v>6197</v>
      </c>
      <c r="H1022" s="60">
        <v>34.494268300000002</v>
      </c>
      <c r="I1022" s="60">
        <v>-89.007841799999994</v>
      </c>
      <c r="J1022" s="60" t="str">
        <f ca="1">IFERROR(__xludf.DUMMYFUNCTION("SPLIT(G1022,"","")"),"114 Highland St")</f>
        <v>114 Highland St</v>
      </c>
      <c r="K1022" s="2" t="str">
        <f ca="1">IFERROR(__xludf.DUMMYFUNCTION("""COMPUTED_VALUE""")," New Albany")</f>
        <v xml:space="preserve"> New Albany</v>
      </c>
      <c r="L1022" s="2" t="str">
        <f ca="1">IFERROR(__xludf.DUMMYFUNCTION("""COMPUTED_VALUE""")," MS 38652")</f>
        <v xml:space="preserve"> MS 38652</v>
      </c>
      <c r="M1022" s="2" t="str">
        <f ca="1">IFERROR(__xludf.DUMMYFUNCTION("""COMPUTED_VALUE""")," USA")</f>
        <v xml:space="preserve"> USA</v>
      </c>
      <c r="P1022" s="60"/>
    </row>
    <row r="1023" spans="1:16">
      <c r="A1023" s="65">
        <v>1022</v>
      </c>
      <c r="B1023" s="80" t="s">
        <v>6199</v>
      </c>
      <c r="C1023" s="65" t="s">
        <v>183</v>
      </c>
      <c r="D1023" s="93" t="s">
        <v>1399</v>
      </c>
      <c r="E1023" s="48" t="str">
        <f t="shared" si="0"/>
        <v>Brooklyn</v>
      </c>
      <c r="F1023" s="83" t="str">
        <f t="shared" si="1"/>
        <v>Banneker Academy (Brooklyn),NY</v>
      </c>
      <c r="G1023" s="65" t="s">
        <v>6202</v>
      </c>
      <c r="H1023" s="65">
        <v>40.695490100000001</v>
      </c>
      <c r="I1023" s="65">
        <v>-73.969036799999998</v>
      </c>
      <c r="J1023" s="60" t="str">
        <f ca="1">IFERROR(__xludf.DUMMYFUNCTION("SPLIT(G1023,"","")"),"77 Clinton Ave")</f>
        <v>77 Clinton Ave</v>
      </c>
      <c r="K1023" s="2" t="str">
        <f ca="1">IFERROR(__xludf.DUMMYFUNCTION("""COMPUTED_VALUE""")," Brooklyn")</f>
        <v xml:space="preserve"> Brooklyn</v>
      </c>
      <c r="L1023" s="2" t="str">
        <f ca="1">IFERROR(__xludf.DUMMYFUNCTION("""COMPUTED_VALUE""")," NY 11205")</f>
        <v xml:space="preserve"> NY 11205</v>
      </c>
      <c r="M1023" s="2" t="str">
        <f ca="1">IFERROR(__xludf.DUMMYFUNCTION("""COMPUTED_VALUE""")," USA")</f>
        <v xml:space="preserve"> USA</v>
      </c>
      <c r="P1023" s="60"/>
    </row>
    <row r="1024" spans="1:16">
      <c r="A1024" s="60">
        <v>1023</v>
      </c>
      <c r="B1024" s="79" t="s">
        <v>6206</v>
      </c>
      <c r="C1024" s="60" t="s">
        <v>682</v>
      </c>
      <c r="D1024" s="93" t="s">
        <v>6207</v>
      </c>
      <c r="E1024" s="48" t="str">
        <f t="shared" si="0"/>
        <v>Sheboygan Falls</v>
      </c>
      <c r="F1024" s="83" t="str">
        <f t="shared" si="1"/>
        <v>Sheboygan Falls,WI</v>
      </c>
      <c r="G1024" s="60" t="s">
        <v>6208</v>
      </c>
      <c r="H1024" s="60">
        <v>43.729161699999999</v>
      </c>
      <c r="I1024" s="60">
        <v>-87.810643900000002</v>
      </c>
      <c r="J1024" s="60" t="str">
        <f ca="1">IFERROR(__xludf.DUMMYFUNCTION("SPLIT(G1024,"","")"),"636 Monroe St")</f>
        <v>636 Monroe St</v>
      </c>
      <c r="K1024" s="2" t="str">
        <f ca="1">IFERROR(__xludf.DUMMYFUNCTION("""COMPUTED_VALUE""")," Sheboygan Falls")</f>
        <v xml:space="preserve"> Sheboygan Falls</v>
      </c>
      <c r="L1024" s="2" t="str">
        <f ca="1">IFERROR(__xludf.DUMMYFUNCTION("""COMPUTED_VALUE""")," WI 53085")</f>
        <v xml:space="preserve"> WI 53085</v>
      </c>
      <c r="M1024" s="2" t="str">
        <f ca="1">IFERROR(__xludf.DUMMYFUNCTION("""COMPUTED_VALUE""")," USA")</f>
        <v xml:space="preserve"> USA</v>
      </c>
      <c r="P1024" s="60"/>
    </row>
    <row r="1025" spans="1:16">
      <c r="A1025" s="97">
        <v>1024</v>
      </c>
      <c r="B1025" s="99" t="s">
        <v>6213</v>
      </c>
      <c r="C1025" s="97" t="s">
        <v>595</v>
      </c>
      <c r="D1025" s="93" t="s">
        <v>6214</v>
      </c>
      <c r="E1025" s="48" t="str">
        <f t="shared" si="0"/>
        <v>Los Fresnos</v>
      </c>
      <c r="F1025" s="83" t="str">
        <f t="shared" si="1"/>
        <v>Los Fresnos,TX</v>
      </c>
      <c r="G1025" s="97" t="s">
        <v>6215</v>
      </c>
      <c r="H1025" s="97">
        <v>26.0717438</v>
      </c>
      <c r="I1025" s="97">
        <v>-97.476373299999992</v>
      </c>
      <c r="J1025" s="60" t="str">
        <f ca="1">IFERROR(__xludf.DUMMYFUNCTION("SPLIT(G1025,"","")"),"112 W Ocean Blvd")</f>
        <v>112 W Ocean Blvd</v>
      </c>
      <c r="K1025" s="2" t="str">
        <f ca="1">IFERROR(__xludf.DUMMYFUNCTION("""COMPUTED_VALUE""")," Los Fresnos")</f>
        <v xml:space="preserve"> Los Fresnos</v>
      </c>
      <c r="L1025" s="2" t="str">
        <f ca="1">IFERROR(__xludf.DUMMYFUNCTION("""COMPUTED_VALUE""")," TX 78566")</f>
        <v xml:space="preserve"> TX 78566</v>
      </c>
      <c r="M1025" s="2" t="str">
        <f ca="1">IFERROR(__xludf.DUMMYFUNCTION("""COMPUTED_VALUE""")," USA")</f>
        <v xml:space="preserve"> USA</v>
      </c>
      <c r="P1025" s="60"/>
    </row>
    <row r="1026" spans="1:16">
      <c r="A1026" s="60">
        <v>1025</v>
      </c>
      <c r="B1026" s="79" t="s">
        <v>6220</v>
      </c>
      <c r="C1026" s="60" t="s">
        <v>183</v>
      </c>
      <c r="D1026" s="93" t="s">
        <v>6221</v>
      </c>
      <c r="E1026" s="48" t="str">
        <f t="shared" si="0"/>
        <v>Rye</v>
      </c>
      <c r="F1026" s="83" t="str">
        <f t="shared" si="1"/>
        <v>Rye,NY</v>
      </c>
      <c r="G1026" s="60" t="s">
        <v>6223</v>
      </c>
      <c r="H1026" s="60">
        <v>40.980653500000003</v>
      </c>
      <c r="I1026" s="60">
        <v>-73.683739899999992</v>
      </c>
      <c r="J1026" s="60" t="str">
        <f ca="1">IFERROR(__xludf.DUMMYFUNCTION("SPLIT(G1026,"","")"),"1050 Boston Post Rd")</f>
        <v>1050 Boston Post Rd</v>
      </c>
      <c r="K1026" s="2" t="str">
        <f ca="1">IFERROR(__xludf.DUMMYFUNCTION("""COMPUTED_VALUE""")," Rye")</f>
        <v xml:space="preserve"> Rye</v>
      </c>
      <c r="L1026" s="2" t="str">
        <f ca="1">IFERROR(__xludf.DUMMYFUNCTION("""COMPUTED_VALUE""")," NY 10580")</f>
        <v xml:space="preserve"> NY 10580</v>
      </c>
      <c r="M1026" s="2" t="str">
        <f ca="1">IFERROR(__xludf.DUMMYFUNCTION("""COMPUTED_VALUE""")," USA")</f>
        <v xml:space="preserve"> USA</v>
      </c>
      <c r="P1026" s="60"/>
    </row>
    <row r="1027" spans="1:16">
      <c r="A1027" s="60">
        <v>1026</v>
      </c>
      <c r="B1027" s="79" t="s">
        <v>303</v>
      </c>
      <c r="C1027" s="60" t="s">
        <v>646</v>
      </c>
      <c r="D1027" s="93" t="s">
        <v>1276</v>
      </c>
      <c r="E1027" s="48" t="str">
        <f t="shared" si="0"/>
        <v>Fairfield</v>
      </c>
      <c r="F1027" s="83" t="str">
        <f t="shared" si="1"/>
        <v>Fairfield,MT</v>
      </c>
      <c r="G1027" s="60" t="s">
        <v>6226</v>
      </c>
      <c r="H1027" s="60">
        <v>47.6146733</v>
      </c>
      <c r="I1027" s="60">
        <v>-111.9802785</v>
      </c>
      <c r="J1027" s="60" t="str">
        <f ca="1">IFERROR(__xludf.DUMMYFUNCTION("SPLIT(G1027,"","")"),"416 1st Rd NE")</f>
        <v>416 1st Rd NE</v>
      </c>
      <c r="K1027" s="2" t="str">
        <f ca="1">IFERROR(__xludf.DUMMYFUNCTION("""COMPUTED_VALUE""")," Fairfield")</f>
        <v xml:space="preserve"> Fairfield</v>
      </c>
      <c r="L1027" s="2" t="str">
        <f ca="1">IFERROR(__xludf.DUMMYFUNCTION("""COMPUTED_VALUE""")," MT 59436")</f>
        <v xml:space="preserve"> MT 59436</v>
      </c>
      <c r="M1027" s="2" t="str">
        <f ca="1">IFERROR(__xludf.DUMMYFUNCTION("""COMPUTED_VALUE""")," USA")</f>
        <v xml:space="preserve"> USA</v>
      </c>
      <c r="P1027" s="60"/>
    </row>
    <row r="1028" spans="1:16">
      <c r="A1028" s="65">
        <v>1027</v>
      </c>
      <c r="B1028" s="80" t="s">
        <v>6228</v>
      </c>
      <c r="C1028" s="65" t="s">
        <v>595</v>
      </c>
      <c r="D1028" s="93" t="s">
        <v>1063</v>
      </c>
      <c r="E1028" s="48" t="str">
        <f t="shared" si="0"/>
        <v>Austin</v>
      </c>
      <c r="F1028" s="83" t="str">
        <f t="shared" si="1"/>
        <v>Round Rock Westwood (Austin),TX</v>
      </c>
      <c r="G1028" s="65" t="s">
        <v>6231</v>
      </c>
      <c r="H1028" s="65">
        <v>30.456149499999999</v>
      </c>
      <c r="I1028" s="65">
        <v>-97.797756899999996</v>
      </c>
      <c r="J1028" s="60" t="str">
        <f ca="1">IFERROR(__xludf.DUMMYFUNCTION("SPLIT(G1028,"","")"),"12400 Mellow Meadow Dr")</f>
        <v>12400 Mellow Meadow Dr</v>
      </c>
      <c r="K1028" s="2" t="str">
        <f ca="1">IFERROR(__xludf.DUMMYFUNCTION("""COMPUTED_VALUE""")," Austin")</f>
        <v xml:space="preserve"> Austin</v>
      </c>
      <c r="L1028" s="2" t="str">
        <f ca="1">IFERROR(__xludf.DUMMYFUNCTION("""COMPUTED_VALUE""")," TX 78750")</f>
        <v xml:space="preserve"> TX 78750</v>
      </c>
      <c r="M1028" s="2" t="str">
        <f ca="1">IFERROR(__xludf.DUMMYFUNCTION("""COMPUTED_VALUE""")," USA")</f>
        <v xml:space="preserve"> USA</v>
      </c>
      <c r="P1028" s="60"/>
    </row>
    <row r="1029" spans="1:16">
      <c r="A1029" s="60">
        <v>1028</v>
      </c>
      <c r="B1029" s="79" t="s">
        <v>6234</v>
      </c>
      <c r="C1029" s="60" t="s">
        <v>646</v>
      </c>
      <c r="D1029" s="93" t="s">
        <v>6235</v>
      </c>
      <c r="E1029" s="48" t="str">
        <f t="shared" si="0"/>
        <v>Belt</v>
      </c>
      <c r="F1029" s="83" t="str">
        <f t="shared" si="1"/>
        <v>Belt,MT</v>
      </c>
      <c r="G1029" s="60" t="s">
        <v>6237</v>
      </c>
      <c r="H1029" s="60">
        <v>47.387186</v>
      </c>
      <c r="I1029" s="60">
        <v>-110.9276606</v>
      </c>
      <c r="J1029" s="60" t="str">
        <f ca="1">IFERROR(__xludf.DUMMYFUNCTION("SPLIT(G1029,"","")"),"29 5th St N")</f>
        <v>29 5th St N</v>
      </c>
      <c r="K1029" s="2" t="str">
        <f ca="1">IFERROR(__xludf.DUMMYFUNCTION("""COMPUTED_VALUE""")," Belt")</f>
        <v xml:space="preserve"> Belt</v>
      </c>
      <c r="L1029" s="2" t="str">
        <f ca="1">IFERROR(__xludf.DUMMYFUNCTION("""COMPUTED_VALUE""")," MT 59412")</f>
        <v xml:space="preserve"> MT 59412</v>
      </c>
      <c r="M1029" s="2" t="str">
        <f ca="1">IFERROR(__xludf.DUMMYFUNCTION("""COMPUTED_VALUE""")," USA")</f>
        <v xml:space="preserve"> USA</v>
      </c>
      <c r="P1029" s="60"/>
    </row>
    <row r="1030" spans="1:16">
      <c r="A1030" s="65">
        <v>1029</v>
      </c>
      <c r="B1030" s="80" t="s">
        <v>6241</v>
      </c>
      <c r="C1030" s="65" t="s">
        <v>598</v>
      </c>
      <c r="D1030" s="93" t="s">
        <v>6243</v>
      </c>
      <c r="E1030" s="48" t="str">
        <f t="shared" si="0"/>
        <v>Sparta</v>
      </c>
      <c r="F1030" s="83" t="str">
        <f t="shared" si="1"/>
        <v>Hancock Central (Sparta),GA</v>
      </c>
      <c r="G1030" s="65" t="s">
        <v>6245</v>
      </c>
      <c r="H1030" s="65">
        <v>33.300702600000001</v>
      </c>
      <c r="I1030" s="65">
        <v>-82.970919500000008</v>
      </c>
      <c r="J1030" s="60" t="str">
        <f ca="1">IFERROR(__xludf.DUMMYFUNCTION("SPLIT(G1030,"","")"),"11311 GA-15")</f>
        <v>11311 GA-15</v>
      </c>
      <c r="K1030" s="2" t="str">
        <f ca="1">IFERROR(__xludf.DUMMYFUNCTION("""COMPUTED_VALUE""")," Sparta")</f>
        <v xml:space="preserve"> Sparta</v>
      </c>
      <c r="L1030" s="2" t="str">
        <f ca="1">IFERROR(__xludf.DUMMYFUNCTION("""COMPUTED_VALUE""")," GA 31087")</f>
        <v xml:space="preserve"> GA 31087</v>
      </c>
      <c r="M1030" s="2" t="str">
        <f ca="1">IFERROR(__xludf.DUMMYFUNCTION("""COMPUTED_VALUE""")," USA")</f>
        <v xml:space="preserve"> USA</v>
      </c>
      <c r="P1030" s="60"/>
    </row>
    <row r="1031" spans="1:16">
      <c r="A1031" s="60">
        <v>1030</v>
      </c>
      <c r="B1031" s="79" t="s">
        <v>6252</v>
      </c>
      <c r="C1031" s="60" t="s">
        <v>1273</v>
      </c>
      <c r="D1031" s="93" t="s">
        <v>6253</v>
      </c>
      <c r="E1031" s="48" t="str">
        <f t="shared" si="0"/>
        <v>Coggon</v>
      </c>
      <c r="F1031" s="83" t="str">
        <f t="shared" si="1"/>
        <v>North Linn (Troy Mills),IA</v>
      </c>
      <c r="G1031" s="60" t="s">
        <v>6254</v>
      </c>
      <c r="H1031" s="60">
        <v>42.291167399999999</v>
      </c>
      <c r="I1031" s="60">
        <v>-91.660909699999991</v>
      </c>
      <c r="J1031" s="60" t="str">
        <f ca="1">IFERROR(__xludf.DUMMYFUNCTION("SPLIT(G1031,"","")"),"Unnamed Road")</f>
        <v>Unnamed Road</v>
      </c>
      <c r="K1031" s="2" t="str">
        <f ca="1">IFERROR(__xludf.DUMMYFUNCTION("""COMPUTED_VALUE""")," Coggon")</f>
        <v xml:space="preserve"> Coggon</v>
      </c>
      <c r="L1031" s="2" t="str">
        <f ca="1">IFERROR(__xludf.DUMMYFUNCTION("""COMPUTED_VALUE""")," IA 52218")</f>
        <v xml:space="preserve"> IA 52218</v>
      </c>
      <c r="M1031" s="2" t="str">
        <f ca="1">IFERROR(__xludf.DUMMYFUNCTION("""COMPUTED_VALUE""")," USA")</f>
        <v xml:space="preserve"> USA</v>
      </c>
      <c r="P1031" s="60"/>
    </row>
    <row r="1032" spans="1:16">
      <c r="A1032" s="65">
        <v>1031</v>
      </c>
      <c r="B1032" s="80" t="s">
        <v>4820</v>
      </c>
      <c r="C1032" s="65" t="s">
        <v>608</v>
      </c>
      <c r="D1032" s="93" t="s">
        <v>6257</v>
      </c>
      <c r="E1032" s="48" t="str">
        <f t="shared" si="0"/>
        <v>Delano</v>
      </c>
      <c r="F1032" s="83" t="str">
        <f t="shared" si="1"/>
        <v>Delano,MN</v>
      </c>
      <c r="G1032" s="65" t="s">
        <v>6258</v>
      </c>
      <c r="H1032" s="65">
        <v>45.041907299999998</v>
      </c>
      <c r="I1032" s="65">
        <v>-93.789133100000001</v>
      </c>
      <c r="J1032" s="60" t="str">
        <f ca="1">IFERROR(__xludf.DUMMYFUNCTION("SPLIT(G1032,"","")"),"158 County Rd 30 SE")</f>
        <v>158 County Rd 30 SE</v>
      </c>
      <c r="K1032" s="2" t="str">
        <f ca="1">IFERROR(__xludf.DUMMYFUNCTION("""COMPUTED_VALUE""")," Delano")</f>
        <v xml:space="preserve"> Delano</v>
      </c>
      <c r="L1032" s="2" t="str">
        <f ca="1">IFERROR(__xludf.DUMMYFUNCTION("""COMPUTED_VALUE""")," MN 55328")</f>
        <v xml:space="preserve"> MN 55328</v>
      </c>
      <c r="M1032" s="2" t="str">
        <f ca="1">IFERROR(__xludf.DUMMYFUNCTION("""COMPUTED_VALUE""")," USA")</f>
        <v xml:space="preserve"> USA</v>
      </c>
      <c r="P1032" s="60"/>
    </row>
    <row r="1033" spans="1:16">
      <c r="A1033" s="60">
        <v>1032</v>
      </c>
      <c r="B1033" s="79" t="s">
        <v>6261</v>
      </c>
      <c r="C1033" s="60" t="s">
        <v>618</v>
      </c>
      <c r="D1033" s="93" t="s">
        <v>2805</v>
      </c>
      <c r="E1033" s="48" t="str">
        <f t="shared" si="0"/>
        <v>Lafayette</v>
      </c>
      <c r="F1033" s="83" t="str">
        <f t="shared" si="1"/>
        <v>Lafayette Jefferson (Lafayette),IN</v>
      </c>
      <c r="G1033" s="60" t="s">
        <v>6264</v>
      </c>
      <c r="H1033" s="60">
        <v>40.398338600000002</v>
      </c>
      <c r="I1033" s="60">
        <v>-86.873965799999993</v>
      </c>
      <c r="J1033" s="60" t="str">
        <f ca="1">IFERROR(__xludf.DUMMYFUNCTION("SPLIT(G1033,"","")"),"1801 S 18th St")</f>
        <v>1801 S 18th St</v>
      </c>
      <c r="K1033" s="2" t="str">
        <f ca="1">IFERROR(__xludf.DUMMYFUNCTION("""COMPUTED_VALUE""")," Lafayette")</f>
        <v xml:space="preserve"> Lafayette</v>
      </c>
      <c r="L1033" s="2" t="str">
        <f ca="1">IFERROR(__xludf.DUMMYFUNCTION("""COMPUTED_VALUE""")," IN 47905")</f>
        <v xml:space="preserve"> IN 47905</v>
      </c>
      <c r="M1033" s="2" t="str">
        <f ca="1">IFERROR(__xludf.DUMMYFUNCTION("""COMPUTED_VALUE""")," USA")</f>
        <v xml:space="preserve"> USA</v>
      </c>
      <c r="P1033" s="60"/>
    </row>
    <row r="1034" spans="1:16">
      <c r="A1034" s="65">
        <v>1033</v>
      </c>
      <c r="B1034" s="80" t="s">
        <v>6265</v>
      </c>
      <c r="C1034" s="65" t="s">
        <v>179</v>
      </c>
      <c r="D1034" s="93" t="s">
        <v>3063</v>
      </c>
      <c r="E1034" s="48" t="str">
        <f t="shared" si="0"/>
        <v>Winston-Salem</v>
      </c>
      <c r="F1034" s="83" t="str">
        <f t="shared" si="1"/>
        <v>Winston-Salem Preparatory Academy (Winston-Salem),NC</v>
      </c>
      <c r="G1034" s="65" t="s">
        <v>6267</v>
      </c>
      <c r="H1034" s="65">
        <v>36.110147400000002</v>
      </c>
      <c r="I1034" s="65">
        <v>-80.222110200000003</v>
      </c>
      <c r="J1034" s="60" t="str">
        <f ca="1">IFERROR(__xludf.DUMMYFUNCTION("SPLIT(G1034,"","")"),"1215 N Cameron Ave")</f>
        <v>1215 N Cameron Ave</v>
      </c>
      <c r="K1034" s="2" t="str">
        <f ca="1">IFERROR(__xludf.DUMMYFUNCTION("""COMPUTED_VALUE""")," Winston-Salem")</f>
        <v xml:space="preserve"> Winston-Salem</v>
      </c>
      <c r="L1034" s="2" t="str">
        <f ca="1">IFERROR(__xludf.DUMMYFUNCTION("""COMPUTED_VALUE""")," NC 27101")</f>
        <v xml:space="preserve"> NC 27101</v>
      </c>
      <c r="M1034" s="2" t="str">
        <f ca="1">IFERROR(__xludf.DUMMYFUNCTION("""COMPUTED_VALUE""")," USA")</f>
        <v xml:space="preserve"> USA</v>
      </c>
      <c r="P1034" s="60"/>
    </row>
    <row r="1035" spans="1:16">
      <c r="A1035" s="60">
        <v>1034</v>
      </c>
      <c r="B1035" s="79" t="s">
        <v>4100</v>
      </c>
      <c r="C1035" s="60" t="s">
        <v>901</v>
      </c>
      <c r="D1035" s="93" t="s">
        <v>6272</v>
      </c>
      <c r="E1035" s="48" t="str">
        <f t="shared" si="0"/>
        <v>Osceola</v>
      </c>
      <c r="F1035" s="83" t="str">
        <f t="shared" si="1"/>
        <v>Osceola,AR</v>
      </c>
      <c r="G1035" s="60" t="s">
        <v>6274</v>
      </c>
      <c r="H1035" s="60">
        <v>35.705077799999998</v>
      </c>
      <c r="I1035" s="60">
        <v>-89.969532000000015</v>
      </c>
      <c r="J1035" s="60" t="str">
        <f ca="1">IFERROR(__xludf.DUMMYFUNCTION("SPLIT(G1035,"","")"),"302 N Walnut St")</f>
        <v>302 N Walnut St</v>
      </c>
      <c r="K1035" s="2" t="str">
        <f ca="1">IFERROR(__xludf.DUMMYFUNCTION("""COMPUTED_VALUE""")," Osceola")</f>
        <v xml:space="preserve"> Osceola</v>
      </c>
      <c r="L1035" s="2" t="str">
        <f ca="1">IFERROR(__xludf.DUMMYFUNCTION("""COMPUTED_VALUE""")," AR 72370")</f>
        <v xml:space="preserve"> AR 72370</v>
      </c>
      <c r="M1035" s="2" t="str">
        <f ca="1">IFERROR(__xludf.DUMMYFUNCTION("""COMPUTED_VALUE""")," USA")</f>
        <v xml:space="preserve"> USA</v>
      </c>
      <c r="P1035" s="60"/>
    </row>
    <row r="1036" spans="1:16">
      <c r="A1036" s="65">
        <v>1035</v>
      </c>
      <c r="B1036" s="80" t="s">
        <v>6278</v>
      </c>
      <c r="C1036" s="65" t="s">
        <v>136</v>
      </c>
      <c r="D1036" s="93" t="s">
        <v>6280</v>
      </c>
      <c r="E1036" s="48" t="str">
        <f t="shared" si="0"/>
        <v>Daytona Beach</v>
      </c>
      <c r="F1036" s="83" t="str">
        <f t="shared" si="1"/>
        <v>Mainland (Daytona Beach),FL</v>
      </c>
      <c r="G1036" s="65" t="s">
        <v>6282</v>
      </c>
      <c r="H1036" s="65">
        <v>29.197856399999999</v>
      </c>
      <c r="I1036" s="65">
        <v>-81.050901799999991</v>
      </c>
      <c r="J1036" s="60" t="str">
        <f ca="1">IFERROR(__xludf.DUMMYFUNCTION("SPLIT(G1036,"","")"),"1255 US-92")</f>
        <v>1255 US-92</v>
      </c>
      <c r="K1036" s="2" t="str">
        <f ca="1">IFERROR(__xludf.DUMMYFUNCTION("""COMPUTED_VALUE""")," Daytona Beach")</f>
        <v xml:space="preserve"> Daytona Beach</v>
      </c>
      <c r="L1036" s="2" t="str">
        <f ca="1">IFERROR(__xludf.DUMMYFUNCTION("""COMPUTED_VALUE""")," FL 32114")</f>
        <v xml:space="preserve"> FL 32114</v>
      </c>
      <c r="M1036" s="2" t="str">
        <f ca="1">IFERROR(__xludf.DUMMYFUNCTION("""COMPUTED_VALUE""")," USA")</f>
        <v xml:space="preserve"> USA</v>
      </c>
      <c r="P1036" s="60"/>
    </row>
    <row r="1037" spans="1:16">
      <c r="A1037" s="60">
        <v>1036</v>
      </c>
      <c r="B1037" s="79" t="s">
        <v>6284</v>
      </c>
      <c r="C1037" s="60" t="s">
        <v>770</v>
      </c>
      <c r="D1037" s="93" t="s">
        <v>2171</v>
      </c>
      <c r="E1037" s="48" t="str">
        <f t="shared" si="0"/>
        <v>Oak Ridge</v>
      </c>
      <c r="F1037" s="83" t="str">
        <f t="shared" si="1"/>
        <v>Oak Ridge,TN</v>
      </c>
      <c r="G1037" s="60" t="s">
        <v>6286</v>
      </c>
      <c r="H1037" s="60">
        <v>36.010356100000003</v>
      </c>
      <c r="I1037" s="60">
        <v>-84.269644900000017</v>
      </c>
      <c r="J1037" s="60" t="str">
        <f ca="1">IFERROR(__xludf.DUMMYFUNCTION("SPLIT(G1037,"","")"),"106 S Illinois Ave")</f>
        <v>106 S Illinois Ave</v>
      </c>
      <c r="K1037" s="2" t="str">
        <f ca="1">IFERROR(__xludf.DUMMYFUNCTION("""COMPUTED_VALUE""")," Oak Ridge")</f>
        <v xml:space="preserve"> Oak Ridge</v>
      </c>
      <c r="L1037" s="2" t="str">
        <f ca="1">IFERROR(__xludf.DUMMYFUNCTION("""COMPUTED_VALUE""")," TN 37830")</f>
        <v xml:space="preserve"> TN 37830</v>
      </c>
      <c r="M1037" s="2" t="str">
        <f ca="1">IFERROR(__xludf.DUMMYFUNCTION("""COMPUTED_VALUE""")," USA")</f>
        <v xml:space="preserve"> USA</v>
      </c>
      <c r="P1037" s="60"/>
    </row>
    <row r="1038" spans="1:16">
      <c r="A1038" s="65">
        <v>1037</v>
      </c>
      <c r="B1038" s="80" t="s">
        <v>6288</v>
      </c>
      <c r="C1038" s="65" t="s">
        <v>588</v>
      </c>
      <c r="D1038" s="93" t="s">
        <v>6289</v>
      </c>
      <c r="E1038" s="48" t="str">
        <f t="shared" si="0"/>
        <v>Palo Cedro</v>
      </c>
      <c r="F1038" s="83" t="str">
        <f t="shared" si="1"/>
        <v>Foothill (Palo Cedro),CA</v>
      </c>
      <c r="G1038" s="65" t="s">
        <v>6291</v>
      </c>
      <c r="H1038" s="65">
        <v>40.569069900000002</v>
      </c>
      <c r="I1038" s="65">
        <v>-122.2346592</v>
      </c>
      <c r="J1038" s="60" t="str">
        <f ca="1">IFERROR(__xludf.DUMMYFUNCTION("SPLIT(G1038,"","")"),"9733 Deschutes Rd")</f>
        <v>9733 Deschutes Rd</v>
      </c>
      <c r="K1038" s="2" t="str">
        <f ca="1">IFERROR(__xludf.DUMMYFUNCTION("""COMPUTED_VALUE""")," Palo Cedro")</f>
        <v xml:space="preserve"> Palo Cedro</v>
      </c>
      <c r="L1038" s="2" t="str">
        <f ca="1">IFERROR(__xludf.DUMMYFUNCTION("""COMPUTED_VALUE""")," CA 96073")</f>
        <v xml:space="preserve"> CA 96073</v>
      </c>
      <c r="M1038" s="2" t="str">
        <f ca="1">IFERROR(__xludf.DUMMYFUNCTION("""COMPUTED_VALUE""")," USA")</f>
        <v xml:space="preserve"> USA</v>
      </c>
      <c r="P1038" s="60"/>
    </row>
    <row r="1039" spans="1:16">
      <c r="A1039" s="60">
        <v>1038</v>
      </c>
      <c r="B1039" s="79" t="s">
        <v>6294</v>
      </c>
      <c r="C1039" s="60" t="s">
        <v>1322</v>
      </c>
      <c r="D1039" s="93" t="s">
        <v>6295</v>
      </c>
      <c r="E1039" s="48" t="str">
        <f t="shared" si="0"/>
        <v>Littleton</v>
      </c>
      <c r="F1039" s="83" t="str">
        <f t="shared" si="1"/>
        <v>Columbine (Littleton),CO</v>
      </c>
      <c r="G1039" s="60" t="s">
        <v>6296</v>
      </c>
      <c r="H1039" s="60">
        <v>39.587765699999999</v>
      </c>
      <c r="I1039" s="60">
        <v>-105.0694295</v>
      </c>
      <c r="J1039" s="60" t="str">
        <f ca="1">IFERROR(__xludf.DUMMYFUNCTION("SPLIT(G1039,"","")"),"7096 S Newland St")</f>
        <v>7096 S Newland St</v>
      </c>
      <c r="K1039" s="2" t="str">
        <f ca="1">IFERROR(__xludf.DUMMYFUNCTION("""COMPUTED_VALUE""")," Littleton")</f>
        <v xml:space="preserve"> Littleton</v>
      </c>
      <c r="L1039" s="2" t="str">
        <f ca="1">IFERROR(__xludf.DUMMYFUNCTION("""COMPUTED_VALUE""")," CO 80128")</f>
        <v xml:space="preserve"> CO 80128</v>
      </c>
      <c r="M1039" s="2" t="str">
        <f ca="1">IFERROR(__xludf.DUMMYFUNCTION("""COMPUTED_VALUE""")," USA")</f>
        <v xml:space="preserve"> USA</v>
      </c>
      <c r="P1039" s="60"/>
    </row>
    <row r="1040" spans="1:16">
      <c r="A1040" s="65">
        <v>1039</v>
      </c>
      <c r="B1040" s="80" t="s">
        <v>6300</v>
      </c>
      <c r="C1040" s="65" t="s">
        <v>897</v>
      </c>
      <c r="D1040" s="93" t="s">
        <v>899</v>
      </c>
      <c r="E1040" s="48" t="str">
        <f t="shared" si="0"/>
        <v>St. Louis</v>
      </c>
      <c r="F1040" s="83" t="str">
        <f t="shared" si="1"/>
        <v>Mehlville (St. Louis),MO</v>
      </c>
      <c r="G1040" s="65" t="s">
        <v>6303</v>
      </c>
      <c r="H1040" s="65">
        <v>38.5083865</v>
      </c>
      <c r="I1040" s="65">
        <v>-90.322894099999999</v>
      </c>
      <c r="J1040" s="60" t="str">
        <f ca="1">IFERROR(__xludf.DUMMYFUNCTION("SPLIT(G1040,"","")"),"3722 Lemay Ferry Rd")</f>
        <v>3722 Lemay Ferry Rd</v>
      </c>
      <c r="K1040" s="2" t="str">
        <f ca="1">IFERROR(__xludf.DUMMYFUNCTION("""COMPUTED_VALUE""")," St. Louis")</f>
        <v xml:space="preserve"> St. Louis</v>
      </c>
      <c r="L1040" s="2" t="str">
        <f ca="1">IFERROR(__xludf.DUMMYFUNCTION("""COMPUTED_VALUE""")," MO 63125")</f>
        <v xml:space="preserve"> MO 63125</v>
      </c>
      <c r="M1040" s="2" t="str">
        <f ca="1">IFERROR(__xludf.DUMMYFUNCTION("""COMPUTED_VALUE""")," USA")</f>
        <v xml:space="preserve"> USA</v>
      </c>
      <c r="P1040" s="60"/>
    </row>
    <row r="1041" spans="1:16">
      <c r="A1041" s="60">
        <v>1040</v>
      </c>
      <c r="B1041" s="79" t="s">
        <v>6306</v>
      </c>
      <c r="C1041" s="60" t="s">
        <v>608</v>
      </c>
      <c r="D1041" s="93" t="s">
        <v>6308</v>
      </c>
      <c r="E1041" s="48" t="str">
        <f t="shared" si="0"/>
        <v>Olivia</v>
      </c>
      <c r="F1041" s="83" t="str">
        <f t="shared" si="1"/>
        <v>B O L D (Olivia),MN</v>
      </c>
      <c r="G1041" s="60" t="s">
        <v>6310</v>
      </c>
      <c r="H1041" s="60">
        <v>44.769549900000001</v>
      </c>
      <c r="I1041" s="60">
        <v>-94.988810399999991</v>
      </c>
      <c r="J1041" s="60" t="str">
        <f ca="1">IFERROR(__xludf.DUMMYFUNCTION("SPLIT(G1041,"","")"),"703 S 13th St")</f>
        <v>703 S 13th St</v>
      </c>
      <c r="K1041" s="2" t="str">
        <f ca="1">IFERROR(__xludf.DUMMYFUNCTION("""COMPUTED_VALUE""")," Olivia")</f>
        <v xml:space="preserve"> Olivia</v>
      </c>
      <c r="L1041" s="2" t="str">
        <f ca="1">IFERROR(__xludf.DUMMYFUNCTION("""COMPUTED_VALUE""")," MN 56277")</f>
        <v xml:space="preserve"> MN 56277</v>
      </c>
      <c r="M1041" s="2" t="str">
        <f ca="1">IFERROR(__xludf.DUMMYFUNCTION("""COMPUTED_VALUE""")," USA")</f>
        <v xml:space="preserve"> USA</v>
      </c>
      <c r="P1041" s="60"/>
    </row>
    <row r="1042" spans="1:16">
      <c r="A1042" s="65">
        <v>1041</v>
      </c>
      <c r="B1042" s="80" t="s">
        <v>213</v>
      </c>
      <c r="C1042" s="65" t="s">
        <v>693</v>
      </c>
      <c r="D1042" s="93" t="s">
        <v>6314</v>
      </c>
      <c r="E1042" s="48" t="str">
        <f t="shared" si="0"/>
        <v>Biloxi</v>
      </c>
      <c r="F1042" s="83" t="str">
        <f t="shared" si="1"/>
        <v>Biloxi,MS</v>
      </c>
      <c r="G1042" s="65" t="s">
        <v>6316</v>
      </c>
      <c r="H1042" s="65">
        <v>30.396031799999999</v>
      </c>
      <c r="I1042" s="65">
        <v>-88.885307799999993</v>
      </c>
      <c r="J1042" s="60" t="str">
        <f ca="1">IFERROR(__xludf.DUMMYFUNCTION("SPLIT(G1042,"","")"),"709 Howard Ave")</f>
        <v>709 Howard Ave</v>
      </c>
      <c r="K1042" s="2" t="str">
        <f ca="1">IFERROR(__xludf.DUMMYFUNCTION("""COMPUTED_VALUE""")," Biloxi")</f>
        <v xml:space="preserve"> Biloxi</v>
      </c>
      <c r="L1042" s="2" t="str">
        <f ca="1">IFERROR(__xludf.DUMMYFUNCTION("""COMPUTED_VALUE""")," MS 39530")</f>
        <v xml:space="preserve"> MS 39530</v>
      </c>
      <c r="M1042" s="2" t="str">
        <f ca="1">IFERROR(__xludf.DUMMYFUNCTION("""COMPUTED_VALUE""")," USA")</f>
        <v xml:space="preserve"> USA</v>
      </c>
      <c r="P1042" s="60"/>
    </row>
    <row r="1043" spans="1:16">
      <c r="A1043" s="60">
        <v>1042</v>
      </c>
      <c r="B1043" s="79" t="s">
        <v>6319</v>
      </c>
      <c r="C1043" s="60" t="s">
        <v>881</v>
      </c>
      <c r="D1043" s="93" t="s">
        <v>6320</v>
      </c>
      <c r="E1043" s="48" t="str">
        <f t="shared" si="0"/>
        <v>Madisonville</v>
      </c>
      <c r="F1043" s="83" t="str">
        <f t="shared" si="1"/>
        <v>Madisonville-North Hopkins (Madisonville),KY</v>
      </c>
      <c r="G1043" s="60" t="s">
        <v>6322</v>
      </c>
      <c r="H1043" s="60">
        <v>37.380698899999999</v>
      </c>
      <c r="I1043" s="60">
        <v>-87.4946652</v>
      </c>
      <c r="J1043" s="60" t="str">
        <f ca="1">IFERROR(__xludf.DUMMYFUNCTION("SPLIT(G1043,"","")"),"4515 Hanson Rd")</f>
        <v>4515 Hanson Rd</v>
      </c>
      <c r="K1043" s="2" t="str">
        <f ca="1">IFERROR(__xludf.DUMMYFUNCTION("""COMPUTED_VALUE""")," Madisonville")</f>
        <v xml:space="preserve"> Madisonville</v>
      </c>
      <c r="L1043" s="2" t="str">
        <f ca="1">IFERROR(__xludf.DUMMYFUNCTION("""COMPUTED_VALUE""")," KY 42431")</f>
        <v xml:space="preserve"> KY 42431</v>
      </c>
      <c r="M1043" s="2" t="str">
        <f ca="1">IFERROR(__xludf.DUMMYFUNCTION("""COMPUTED_VALUE""")," USA")</f>
        <v xml:space="preserve"> USA</v>
      </c>
      <c r="P1043" s="60"/>
    </row>
    <row r="1044" spans="1:16">
      <c r="A1044" s="65">
        <v>1043</v>
      </c>
      <c r="B1044" s="80" t="s">
        <v>6325</v>
      </c>
      <c r="C1044" s="65" t="s">
        <v>675</v>
      </c>
      <c r="D1044" s="93" t="s">
        <v>6326</v>
      </c>
      <c r="E1044" s="48" t="str">
        <f t="shared" si="0"/>
        <v>Linglestown</v>
      </c>
      <c r="F1044" s="83" t="str">
        <f t="shared" si="1"/>
        <v>Central Dauphin (Harrisburg),PA</v>
      </c>
      <c r="G1044" s="65" t="s">
        <v>6328</v>
      </c>
      <c r="H1044" s="65">
        <v>40.341676499999998</v>
      </c>
      <c r="I1044" s="65">
        <v>-76.802893299999994</v>
      </c>
      <c r="J1044" s="60" t="str">
        <f ca="1">IFERROR(__xludf.DUMMYFUNCTION("SPLIT(G1044,"","")"),"5720 PA-39")</f>
        <v>5720 PA-39</v>
      </c>
      <c r="K1044" s="2" t="str">
        <f ca="1">IFERROR(__xludf.DUMMYFUNCTION("""COMPUTED_VALUE""")," Linglestown")</f>
        <v xml:space="preserve"> Linglestown</v>
      </c>
      <c r="L1044" s="2" t="str">
        <f ca="1">IFERROR(__xludf.DUMMYFUNCTION("""COMPUTED_VALUE""")," PA 17112")</f>
        <v xml:space="preserve"> PA 17112</v>
      </c>
      <c r="M1044" s="2" t="str">
        <f ca="1">IFERROR(__xludf.DUMMYFUNCTION("""COMPUTED_VALUE""")," USA")</f>
        <v xml:space="preserve"> USA</v>
      </c>
      <c r="P1044" s="60"/>
    </row>
    <row r="1045" spans="1:16">
      <c r="A1045" s="60">
        <v>1044</v>
      </c>
      <c r="B1045" s="79" t="s">
        <v>6330</v>
      </c>
      <c r="C1045" s="60" t="s">
        <v>598</v>
      </c>
      <c r="D1045" s="93" t="s">
        <v>6331</v>
      </c>
      <c r="E1045" s="48" t="str">
        <f t="shared" si="0"/>
        <v>Lilburn</v>
      </c>
      <c r="F1045" s="83" t="str">
        <f t="shared" si="1"/>
        <v>Berkmar (Lilburn),GA</v>
      </c>
      <c r="G1045" s="60" t="s">
        <v>6332</v>
      </c>
      <c r="H1045" s="60">
        <v>33.906907799999999</v>
      </c>
      <c r="I1045" s="60">
        <v>-84.114309699999993</v>
      </c>
      <c r="J1045" s="60" t="str">
        <f ca="1">IFERROR(__xludf.DUMMYFUNCTION("SPLIT(G1045,"","")"),"405 Pleasant Hill Rd")</f>
        <v>405 Pleasant Hill Rd</v>
      </c>
      <c r="K1045" s="2" t="str">
        <f ca="1">IFERROR(__xludf.DUMMYFUNCTION("""COMPUTED_VALUE""")," Lilburn")</f>
        <v xml:space="preserve"> Lilburn</v>
      </c>
      <c r="L1045" s="2" t="str">
        <f ca="1">IFERROR(__xludf.DUMMYFUNCTION("""COMPUTED_VALUE""")," GA 30047")</f>
        <v xml:space="preserve"> GA 30047</v>
      </c>
      <c r="M1045" s="2" t="str">
        <f ca="1">IFERROR(__xludf.DUMMYFUNCTION("""COMPUTED_VALUE""")," USA")</f>
        <v xml:space="preserve"> USA</v>
      </c>
      <c r="P1045" s="60"/>
    </row>
    <row r="1046" spans="1:16">
      <c r="A1046" s="65">
        <v>1045</v>
      </c>
      <c r="B1046" s="80" t="s">
        <v>6335</v>
      </c>
      <c r="C1046" s="65" t="s">
        <v>183</v>
      </c>
      <c r="D1046" s="93" t="s">
        <v>2064</v>
      </c>
      <c r="E1046" s="48" t="str">
        <f t="shared" si="0"/>
        <v>Caledonia</v>
      </c>
      <c r="F1046" s="83" t="str">
        <f t="shared" si="1"/>
        <v>Caledonia-Mumford (Caledonia),NY</v>
      </c>
      <c r="G1046" s="65" t="s">
        <v>6337</v>
      </c>
      <c r="H1046" s="65">
        <v>42.983138199999999</v>
      </c>
      <c r="I1046" s="65">
        <v>-77.854213599999994</v>
      </c>
      <c r="J1046" s="60" t="str">
        <f ca="1">IFERROR(__xludf.DUMMYFUNCTION("SPLIT(G1046,"","")"),"99 North St")</f>
        <v>99 North St</v>
      </c>
      <c r="K1046" s="2" t="str">
        <f ca="1">IFERROR(__xludf.DUMMYFUNCTION("""COMPUTED_VALUE""")," Caledonia")</f>
        <v xml:space="preserve"> Caledonia</v>
      </c>
      <c r="L1046" s="2" t="str">
        <f ca="1">IFERROR(__xludf.DUMMYFUNCTION("""COMPUTED_VALUE""")," NY 14423")</f>
        <v xml:space="preserve"> NY 14423</v>
      </c>
      <c r="M1046" s="2" t="str">
        <f ca="1">IFERROR(__xludf.DUMMYFUNCTION("""COMPUTED_VALUE""")," USA")</f>
        <v xml:space="preserve"> USA</v>
      </c>
      <c r="P1046" s="60"/>
    </row>
    <row r="1047" spans="1:16">
      <c r="A1047" s="60">
        <v>1046</v>
      </c>
      <c r="B1047" s="79" t="s">
        <v>6340</v>
      </c>
      <c r="C1047" s="60" t="s">
        <v>174</v>
      </c>
      <c r="D1047" s="93" t="s">
        <v>6341</v>
      </c>
      <c r="E1047" s="48" t="str">
        <f t="shared" si="0"/>
        <v>Lorain</v>
      </c>
      <c r="F1047" s="83" t="str">
        <f t="shared" si="1"/>
        <v>Lorain,OH</v>
      </c>
      <c r="G1047" s="60" t="s">
        <v>6343</v>
      </c>
      <c r="H1047" s="60">
        <v>41.452818999999998</v>
      </c>
      <c r="I1047" s="60">
        <v>-82.182374600000003</v>
      </c>
      <c r="J1047" s="60" t="str">
        <f ca="1">IFERROR(__xludf.DUMMYFUNCTION("SPLIT(G1047,"","")"),"1844 Hamilton Ave")</f>
        <v>1844 Hamilton Ave</v>
      </c>
      <c r="K1047" s="2" t="str">
        <f ca="1">IFERROR(__xludf.DUMMYFUNCTION("""COMPUTED_VALUE""")," Lorain")</f>
        <v xml:space="preserve"> Lorain</v>
      </c>
      <c r="L1047" s="2" t="str">
        <f ca="1">IFERROR(__xludf.DUMMYFUNCTION("""COMPUTED_VALUE""")," OH 44052")</f>
        <v xml:space="preserve"> OH 44052</v>
      </c>
      <c r="M1047" s="2" t="str">
        <f ca="1">IFERROR(__xludf.DUMMYFUNCTION("""COMPUTED_VALUE""")," USA")</f>
        <v xml:space="preserve"> USA</v>
      </c>
      <c r="P1047" s="60"/>
    </row>
    <row r="1048" spans="1:16">
      <c r="A1048" s="65">
        <v>1047</v>
      </c>
      <c r="B1048" s="80" t="s">
        <v>6346</v>
      </c>
      <c r="C1048" s="65" t="s">
        <v>940</v>
      </c>
      <c r="D1048" s="93" t="s">
        <v>941</v>
      </c>
      <c r="E1048" s="48" t="str">
        <f t="shared" si="0"/>
        <v>Omaha</v>
      </c>
      <c r="F1048" s="83" t="str">
        <f t="shared" si="1"/>
        <v>Omaha Westside (Omaha),NE</v>
      </c>
      <c r="G1048" s="65" t="s">
        <v>6351</v>
      </c>
      <c r="H1048" s="65">
        <v>41.2479242</v>
      </c>
      <c r="I1048" s="65">
        <v>-96.04825559999999</v>
      </c>
      <c r="J1048" s="60" t="str">
        <f ca="1">IFERROR(__xludf.DUMMYFUNCTION("SPLIT(G1048,"","")"),"8701 Pacific St")</f>
        <v>8701 Pacific St</v>
      </c>
      <c r="K1048" s="2" t="str">
        <f ca="1">IFERROR(__xludf.DUMMYFUNCTION("""COMPUTED_VALUE""")," Omaha")</f>
        <v xml:space="preserve"> Omaha</v>
      </c>
      <c r="L1048" s="2" t="str">
        <f ca="1">IFERROR(__xludf.DUMMYFUNCTION("""COMPUTED_VALUE""")," NE 68114")</f>
        <v xml:space="preserve"> NE 68114</v>
      </c>
      <c r="M1048" s="2" t="str">
        <f ca="1">IFERROR(__xludf.DUMMYFUNCTION("""COMPUTED_VALUE""")," USA")</f>
        <v xml:space="preserve"> USA</v>
      </c>
      <c r="P1048" s="60"/>
    </row>
    <row r="1049" spans="1:16">
      <c r="A1049" s="60">
        <v>1048</v>
      </c>
      <c r="B1049" s="79" t="s">
        <v>6355</v>
      </c>
      <c r="C1049" s="60" t="s">
        <v>940</v>
      </c>
      <c r="D1049" s="93" t="s">
        <v>941</v>
      </c>
      <c r="E1049" s="48" t="str">
        <f t="shared" si="0"/>
        <v>Omaha</v>
      </c>
      <c r="F1049" s="83" t="str">
        <f t="shared" si="1"/>
        <v>Roncalli Catholic (Omaha),NE</v>
      </c>
      <c r="G1049" s="60" t="s">
        <v>6357</v>
      </c>
      <c r="H1049" s="60">
        <v>41.314913599999997</v>
      </c>
      <c r="I1049" s="60">
        <v>-96.010692899999995</v>
      </c>
      <c r="J1049" s="60" t="str">
        <f ca="1">IFERROR(__xludf.DUMMYFUNCTION("SPLIT(G1049,"","")"),"6401 Sorensen Pkwy")</f>
        <v>6401 Sorensen Pkwy</v>
      </c>
      <c r="K1049" s="2" t="str">
        <f ca="1">IFERROR(__xludf.DUMMYFUNCTION("""COMPUTED_VALUE""")," Omaha")</f>
        <v xml:space="preserve"> Omaha</v>
      </c>
      <c r="L1049" s="2" t="str">
        <f ca="1">IFERROR(__xludf.DUMMYFUNCTION("""COMPUTED_VALUE""")," NE 68152")</f>
        <v xml:space="preserve"> NE 68152</v>
      </c>
      <c r="M1049" s="2" t="str">
        <f ca="1">IFERROR(__xludf.DUMMYFUNCTION("""COMPUTED_VALUE""")," USA")</f>
        <v xml:space="preserve"> USA</v>
      </c>
      <c r="P1049" s="60"/>
    </row>
    <row r="1050" spans="1:16">
      <c r="A1050" s="65">
        <v>1049</v>
      </c>
      <c r="B1050" s="80" t="s">
        <v>6360</v>
      </c>
      <c r="C1050" s="65" t="s">
        <v>624</v>
      </c>
      <c r="D1050" s="93" t="s">
        <v>1143</v>
      </c>
      <c r="E1050" s="48" t="str">
        <f t="shared" si="0"/>
        <v>Monroe</v>
      </c>
      <c r="F1050" s="83" t="str">
        <f t="shared" si="1"/>
        <v>Richwood (Monroe),LA</v>
      </c>
      <c r="G1050" s="65" t="s">
        <v>6363</v>
      </c>
      <c r="H1050" s="65">
        <v>32.448756799999998</v>
      </c>
      <c r="I1050" s="65">
        <v>-92.08485619999999</v>
      </c>
      <c r="J1050" s="60" t="str">
        <f ca="1">IFERROR(__xludf.DUMMYFUNCTION("SPLIT(G1050,"","")"),"2723 Martin Luther King Dr")</f>
        <v>2723 Martin Luther King Dr</v>
      </c>
      <c r="K1050" s="2" t="str">
        <f ca="1">IFERROR(__xludf.DUMMYFUNCTION("""COMPUTED_VALUE""")," Monroe")</f>
        <v xml:space="preserve"> Monroe</v>
      </c>
      <c r="L1050" s="2" t="str">
        <f ca="1">IFERROR(__xludf.DUMMYFUNCTION("""COMPUTED_VALUE""")," LA 71202")</f>
        <v xml:space="preserve"> LA 71202</v>
      </c>
      <c r="M1050" s="2" t="str">
        <f ca="1">IFERROR(__xludf.DUMMYFUNCTION("""COMPUTED_VALUE""")," USA")</f>
        <v xml:space="preserve"> USA</v>
      </c>
      <c r="P1050" s="60"/>
    </row>
    <row r="1051" spans="1:16">
      <c r="A1051" s="60">
        <v>1050</v>
      </c>
      <c r="B1051" s="79" t="s">
        <v>6365</v>
      </c>
      <c r="C1051" s="60" t="s">
        <v>604</v>
      </c>
      <c r="D1051" s="93" t="s">
        <v>6366</v>
      </c>
      <c r="E1051" s="48" t="str">
        <f t="shared" si="0"/>
        <v>Mt Vernon</v>
      </c>
      <c r="F1051" s="83" t="str">
        <f t="shared" si="1"/>
        <v>Mt. Vernon,IL</v>
      </c>
      <c r="G1051" s="60" t="s">
        <v>6368</v>
      </c>
      <c r="H1051" s="60">
        <v>38.317271400000003</v>
      </c>
      <c r="I1051" s="60">
        <v>-88.903120099999995</v>
      </c>
      <c r="J1051" s="60" t="str">
        <f ca="1">IFERROR(__xludf.DUMMYFUNCTION("SPLIT(G1051,"","")"),"9156 IL-15")</f>
        <v>9156 IL-15</v>
      </c>
      <c r="K1051" s="2" t="str">
        <f ca="1">IFERROR(__xludf.DUMMYFUNCTION("""COMPUTED_VALUE""")," Mt Vernon")</f>
        <v xml:space="preserve"> Mt Vernon</v>
      </c>
      <c r="L1051" s="2" t="str">
        <f ca="1">IFERROR(__xludf.DUMMYFUNCTION("""COMPUTED_VALUE""")," IL 62864")</f>
        <v xml:space="preserve"> IL 62864</v>
      </c>
      <c r="M1051" s="2" t="str">
        <f ca="1">IFERROR(__xludf.DUMMYFUNCTION("""COMPUTED_VALUE""")," USA")</f>
        <v xml:space="preserve"> USA</v>
      </c>
      <c r="P1051" s="60"/>
    </row>
    <row r="1052" spans="1:16">
      <c r="A1052" s="60">
        <v>1051</v>
      </c>
      <c r="B1052" s="79" t="s">
        <v>6372</v>
      </c>
      <c r="C1052" s="60" t="s">
        <v>136</v>
      </c>
      <c r="D1052" s="93" t="s">
        <v>6374</v>
      </c>
      <c r="E1052" s="48" t="str">
        <f t="shared" si="0"/>
        <v>Havana</v>
      </c>
      <c r="F1052" s="83" t="str">
        <f t="shared" si="1"/>
        <v>Gadsden County (Havana),FL</v>
      </c>
      <c r="G1052" s="60" t="s">
        <v>6375</v>
      </c>
      <c r="H1052" s="60">
        <v>30.623806899999991</v>
      </c>
      <c r="I1052" s="60">
        <v>-84.414628999999991</v>
      </c>
      <c r="J1052" s="60" t="str">
        <f ca="1">IFERROR(__xludf.DUMMYFUNCTION("SPLIT(G1052,"","")"),"101c Co Rd 12A")</f>
        <v>101c Co Rd 12A</v>
      </c>
      <c r="K1052" s="2" t="str">
        <f ca="1">IFERROR(__xludf.DUMMYFUNCTION("""COMPUTED_VALUE""")," Havana")</f>
        <v xml:space="preserve"> Havana</v>
      </c>
      <c r="L1052" s="2" t="str">
        <f ca="1">IFERROR(__xludf.DUMMYFUNCTION("""COMPUTED_VALUE""")," FL 32333")</f>
        <v xml:space="preserve"> FL 32333</v>
      </c>
      <c r="M1052" s="2" t="str">
        <f ca="1">IFERROR(__xludf.DUMMYFUNCTION("""COMPUTED_VALUE""")," USA")</f>
        <v xml:space="preserve"> USA</v>
      </c>
      <c r="P1052" s="60"/>
    </row>
    <row r="1053" spans="1:16">
      <c r="A1053" s="65">
        <v>1052</v>
      </c>
      <c r="B1053" s="80" t="s">
        <v>2544</v>
      </c>
      <c r="C1053" s="65" t="s">
        <v>191</v>
      </c>
      <c r="D1053" s="93" t="s">
        <v>766</v>
      </c>
      <c r="E1053" s="48" t="str">
        <f t="shared" si="0"/>
        <v>Mt Pleasant</v>
      </c>
      <c r="F1053" s="83" t="str">
        <f t="shared" si="1"/>
        <v>Mt. Pleasant,MI</v>
      </c>
      <c r="G1053" s="65" t="s">
        <v>6379</v>
      </c>
      <c r="H1053" s="65">
        <v>43.597807499999988</v>
      </c>
      <c r="I1053" s="65">
        <v>-84.767513899999997</v>
      </c>
      <c r="J1053" s="60" t="str">
        <f ca="1">IFERROR(__xludf.DUMMYFUNCTION("SPLIT(G1053,"","")"),"Rics")</f>
        <v>Rics</v>
      </c>
      <c r="K1053" s="2" t="str">
        <f ca="1">IFERROR(__xludf.DUMMYFUNCTION("""COMPUTED_VALUE""")," Mt Pleasant")</f>
        <v xml:space="preserve"> Mt Pleasant</v>
      </c>
      <c r="L1053" s="2" t="str">
        <f ca="1">IFERROR(__xludf.DUMMYFUNCTION("""COMPUTED_VALUE""")," MI 48858")</f>
        <v xml:space="preserve"> MI 48858</v>
      </c>
      <c r="M1053" s="2" t="str">
        <f ca="1">IFERROR(__xludf.DUMMYFUNCTION("""COMPUTED_VALUE""")," USA")</f>
        <v xml:space="preserve"> USA</v>
      </c>
      <c r="P1053" s="60"/>
    </row>
    <row r="1054" spans="1:16">
      <c r="A1054" s="60">
        <v>1053</v>
      </c>
      <c r="B1054" s="79" t="s">
        <v>6382</v>
      </c>
      <c r="C1054" s="60" t="s">
        <v>136</v>
      </c>
      <c r="D1054" s="93" t="s">
        <v>6383</v>
      </c>
      <c r="E1054" s="48" t="str">
        <f t="shared" si="0"/>
        <v>Clearwater</v>
      </c>
      <c r="F1054" s="83" t="str">
        <f t="shared" si="1"/>
        <v>Clearwater,FL</v>
      </c>
      <c r="G1054" s="60" t="s">
        <v>6386</v>
      </c>
      <c r="H1054" s="60">
        <v>27.965853299999999</v>
      </c>
      <c r="I1054" s="60">
        <v>-82.800102600000002</v>
      </c>
      <c r="J1054" s="60" t="str">
        <f ca="1">IFERROR(__xludf.DUMMYFUNCTION("SPLIT(G1054,"","")"),"432 Cleveland St")</f>
        <v>432 Cleveland St</v>
      </c>
      <c r="K1054" s="2" t="str">
        <f ca="1">IFERROR(__xludf.DUMMYFUNCTION("""COMPUTED_VALUE""")," Clearwater")</f>
        <v xml:space="preserve"> Clearwater</v>
      </c>
      <c r="L1054" s="2" t="str">
        <f ca="1">IFERROR(__xludf.DUMMYFUNCTION("""COMPUTED_VALUE""")," FL 33755")</f>
        <v xml:space="preserve"> FL 33755</v>
      </c>
      <c r="M1054" s="2" t="str">
        <f ca="1">IFERROR(__xludf.DUMMYFUNCTION("""COMPUTED_VALUE""")," USA")</f>
        <v xml:space="preserve"> USA</v>
      </c>
      <c r="P1054" s="60"/>
    </row>
    <row r="1055" spans="1:16">
      <c r="A1055" s="65">
        <v>1054</v>
      </c>
      <c r="B1055" s="80" t="s">
        <v>6390</v>
      </c>
      <c r="C1055" s="65" t="s">
        <v>1055</v>
      </c>
      <c r="D1055" s="93" t="s">
        <v>1395</v>
      </c>
      <c r="E1055" s="48" t="str">
        <f t="shared" si="0"/>
        <v>Midwest City</v>
      </c>
      <c r="F1055" s="83" t="str">
        <f t="shared" si="1"/>
        <v>Carl Albert (Midwest City),OK</v>
      </c>
      <c r="G1055" s="65" t="s">
        <v>6392</v>
      </c>
      <c r="H1055" s="65">
        <v>35.444829299999988</v>
      </c>
      <c r="I1055" s="65">
        <v>-97.353923699999996</v>
      </c>
      <c r="J1055" s="60" t="str">
        <f ca="1">IFERROR(__xludf.DUMMYFUNCTION("SPLIT(G1055,"","")"),"2009 S Post Rd")</f>
        <v>2009 S Post Rd</v>
      </c>
      <c r="K1055" s="2" t="str">
        <f ca="1">IFERROR(__xludf.DUMMYFUNCTION("""COMPUTED_VALUE""")," Midwest City")</f>
        <v xml:space="preserve"> Midwest City</v>
      </c>
      <c r="L1055" s="2" t="str">
        <f ca="1">IFERROR(__xludf.DUMMYFUNCTION("""COMPUTED_VALUE""")," OK 73130")</f>
        <v xml:space="preserve"> OK 73130</v>
      </c>
      <c r="M1055" s="2" t="str">
        <f ca="1">IFERROR(__xludf.DUMMYFUNCTION("""COMPUTED_VALUE""")," USA")</f>
        <v xml:space="preserve"> USA</v>
      </c>
      <c r="P1055" s="60"/>
    </row>
    <row r="1056" spans="1:16">
      <c r="A1056" s="60">
        <v>1055</v>
      </c>
      <c r="B1056" s="79" t="s">
        <v>6394</v>
      </c>
      <c r="C1056" s="60" t="s">
        <v>179</v>
      </c>
      <c r="D1056" s="93" t="s">
        <v>6395</v>
      </c>
      <c r="E1056" s="48" t="str">
        <f t="shared" si="0"/>
        <v>Garner</v>
      </c>
      <c r="F1056" s="83" t="str">
        <f t="shared" si="1"/>
        <v>Garner Magnet (Garner),NC</v>
      </c>
      <c r="G1056" s="60" t="s">
        <v>6398</v>
      </c>
      <c r="H1056" s="60">
        <v>35.710764999999988</v>
      </c>
      <c r="I1056" s="60">
        <v>-78.635446899999991</v>
      </c>
      <c r="J1056" s="60" t="str">
        <f ca="1">IFERROR(__xludf.DUMMYFUNCTION("SPLIT(G1056,"","")"),"9601 Spring Dr")</f>
        <v>9601 Spring Dr</v>
      </c>
      <c r="K1056" s="2" t="str">
        <f ca="1">IFERROR(__xludf.DUMMYFUNCTION("""COMPUTED_VALUE""")," Garner")</f>
        <v xml:space="preserve"> Garner</v>
      </c>
      <c r="L1056" s="2" t="str">
        <f ca="1">IFERROR(__xludf.DUMMYFUNCTION("""COMPUTED_VALUE""")," NC 27529")</f>
        <v xml:space="preserve"> NC 27529</v>
      </c>
      <c r="M1056" s="2" t="str">
        <f ca="1">IFERROR(__xludf.DUMMYFUNCTION("""COMPUTED_VALUE""")," USA")</f>
        <v xml:space="preserve"> USA</v>
      </c>
      <c r="P1056" s="60"/>
    </row>
    <row r="1057" spans="1:16">
      <c r="A1057" s="65">
        <v>1056</v>
      </c>
      <c r="B1057" s="80" t="s">
        <v>6402</v>
      </c>
      <c r="C1057" s="65" t="s">
        <v>745</v>
      </c>
      <c r="D1057" s="93" t="s">
        <v>905</v>
      </c>
      <c r="E1057" s="48" t="str">
        <f t="shared" si="0"/>
        <v>Seattle</v>
      </c>
      <c r="F1057" s="83" t="str">
        <f t="shared" si="1"/>
        <v>King's (Seattle),WA</v>
      </c>
      <c r="G1057" s="65" t="s">
        <v>6404</v>
      </c>
      <c r="H1057" s="65">
        <v>47.665940999999997</v>
      </c>
      <c r="I1057" s="65">
        <v>-122.38308000000001</v>
      </c>
      <c r="J1057" s="60" t="str">
        <f ca="1">IFERROR(__xludf.DUMMYFUNCTION("SPLIT(G1057,"","")"),"5227 Ballard Ave NW")</f>
        <v>5227 Ballard Ave NW</v>
      </c>
      <c r="K1057" s="2" t="str">
        <f ca="1">IFERROR(__xludf.DUMMYFUNCTION("""COMPUTED_VALUE""")," Seattle")</f>
        <v xml:space="preserve"> Seattle</v>
      </c>
      <c r="L1057" s="2" t="str">
        <f ca="1">IFERROR(__xludf.DUMMYFUNCTION("""COMPUTED_VALUE""")," WA 98107")</f>
        <v xml:space="preserve"> WA 98107</v>
      </c>
      <c r="M1057" s="2" t="str">
        <f ca="1">IFERROR(__xludf.DUMMYFUNCTION("""COMPUTED_VALUE""")," USA")</f>
        <v xml:space="preserve"> USA</v>
      </c>
      <c r="P1057" s="60"/>
    </row>
    <row r="1058" spans="1:16">
      <c r="A1058" s="60">
        <v>1057</v>
      </c>
      <c r="B1058" s="79" t="s">
        <v>6407</v>
      </c>
      <c r="C1058" s="60" t="s">
        <v>595</v>
      </c>
      <c r="D1058" s="93" t="s">
        <v>6409</v>
      </c>
      <c r="E1058" s="48" t="str">
        <f t="shared" si="0"/>
        <v>Coldspring</v>
      </c>
      <c r="F1058" s="83" t="str">
        <f t="shared" si="1"/>
        <v>Coldspring-Oakhurst (Coldspring),TX</v>
      </c>
      <c r="G1058" s="60" t="s">
        <v>6411</v>
      </c>
      <c r="H1058" s="60">
        <v>30.577540899999999</v>
      </c>
      <c r="I1058" s="60">
        <v>-95.137478000000002</v>
      </c>
      <c r="J1058" s="60" t="str">
        <f ca="1">IFERROR(__xludf.DUMMYFUNCTION("SPLIT(G1058,"","")"),"14100 TX-150")</f>
        <v>14100 TX-150</v>
      </c>
      <c r="K1058" s="2" t="str">
        <f ca="1">IFERROR(__xludf.DUMMYFUNCTION("""COMPUTED_VALUE""")," Coldspring")</f>
        <v xml:space="preserve"> Coldspring</v>
      </c>
      <c r="L1058" s="2" t="str">
        <f ca="1">IFERROR(__xludf.DUMMYFUNCTION("""COMPUTED_VALUE""")," TX 77331")</f>
        <v xml:space="preserve"> TX 77331</v>
      </c>
      <c r="M1058" s="2" t="str">
        <f ca="1">IFERROR(__xludf.DUMMYFUNCTION("""COMPUTED_VALUE""")," USA")</f>
        <v xml:space="preserve"> USA</v>
      </c>
      <c r="P1058" s="60"/>
    </row>
    <row r="1059" spans="1:16">
      <c r="A1059" s="65">
        <v>1058</v>
      </c>
      <c r="B1059" s="80" t="s">
        <v>6414</v>
      </c>
      <c r="C1059" s="65" t="s">
        <v>588</v>
      </c>
      <c r="D1059" s="93" t="s">
        <v>4365</v>
      </c>
      <c r="E1059" s="48" t="str">
        <f t="shared" si="0"/>
        <v>Santa Monica</v>
      </c>
      <c r="F1059" s="83" t="str">
        <f t="shared" si="1"/>
        <v>Santa Monica,CA</v>
      </c>
      <c r="G1059" s="65" t="s">
        <v>6416</v>
      </c>
      <c r="H1059" s="65">
        <v>34.0194543</v>
      </c>
      <c r="I1059" s="65">
        <v>-118.4911912</v>
      </c>
      <c r="J1059" s="60" t="str">
        <f ca="1">IFERROR(__xludf.DUMMYFUNCTION("SPLIT(G1059,"","")"),"802 Santa Monica Blvd")</f>
        <v>802 Santa Monica Blvd</v>
      </c>
      <c r="K1059" s="2" t="str">
        <f ca="1">IFERROR(__xludf.DUMMYFUNCTION("""COMPUTED_VALUE""")," Santa Monica")</f>
        <v xml:space="preserve"> Santa Monica</v>
      </c>
      <c r="L1059" s="2" t="str">
        <f ca="1">IFERROR(__xludf.DUMMYFUNCTION("""COMPUTED_VALUE""")," CA 90401")</f>
        <v xml:space="preserve"> CA 90401</v>
      </c>
      <c r="M1059" s="2" t="str">
        <f ca="1">IFERROR(__xludf.DUMMYFUNCTION("""COMPUTED_VALUE""")," USA")</f>
        <v xml:space="preserve"> USA</v>
      </c>
      <c r="P1059" s="60"/>
    </row>
    <row r="1060" spans="1:16">
      <c r="A1060" s="60">
        <v>1059</v>
      </c>
      <c r="B1060" s="79" t="s">
        <v>6419</v>
      </c>
      <c r="C1060" s="60" t="s">
        <v>136</v>
      </c>
      <c r="D1060" s="93" t="s">
        <v>6421</v>
      </c>
      <c r="E1060" s="48" t="str">
        <f t="shared" si="0"/>
        <v>St. Petersburg</v>
      </c>
      <c r="F1060" s="83" t="str">
        <f t="shared" si="1"/>
        <v>Lakewood (St. Petersburg),FL</v>
      </c>
      <c r="G1060" s="60" t="s">
        <v>6422</v>
      </c>
      <c r="H1060" s="60">
        <v>27.718404799999998</v>
      </c>
      <c r="I1060" s="60">
        <v>-82.653193099999996</v>
      </c>
      <c r="J1060" s="60" t="str">
        <f ca="1">IFERROR(__xludf.DUMMYFUNCTION("SPLIT(G1060,"","")"),"54th Ave S + Asturia Way S")</f>
        <v>54th Ave S + Asturia Way S</v>
      </c>
      <c r="K1060" s="2" t="str">
        <f ca="1">IFERROR(__xludf.DUMMYFUNCTION("""COMPUTED_VALUE""")," St. Petersburg")</f>
        <v xml:space="preserve"> St. Petersburg</v>
      </c>
      <c r="L1060" s="2" t="str">
        <f ca="1">IFERROR(__xludf.DUMMYFUNCTION("""COMPUTED_VALUE""")," FL 33705")</f>
        <v xml:space="preserve"> FL 33705</v>
      </c>
      <c r="M1060" s="2" t="str">
        <f ca="1">IFERROR(__xludf.DUMMYFUNCTION("""COMPUTED_VALUE""")," USA")</f>
        <v xml:space="preserve"> USA</v>
      </c>
      <c r="P1060" s="60"/>
    </row>
    <row r="1061" spans="1:16">
      <c r="A1061" s="65">
        <v>1060</v>
      </c>
      <c r="B1061" s="80" t="s">
        <v>6425</v>
      </c>
      <c r="C1061" s="65" t="s">
        <v>770</v>
      </c>
      <c r="D1061" s="93" t="s">
        <v>6426</v>
      </c>
      <c r="E1061" s="48" t="str">
        <f t="shared" si="0"/>
        <v>Cordova</v>
      </c>
      <c r="F1061" s="83" t="str">
        <f t="shared" si="1"/>
        <v>First Assembly Christian (Cordova),TN</v>
      </c>
      <c r="G1061" s="65" t="s">
        <v>6427</v>
      </c>
      <c r="H1061" s="65">
        <v>35.128932300000002</v>
      </c>
      <c r="I1061" s="65">
        <v>-89.774461099999996</v>
      </c>
      <c r="J1061" s="60" t="str">
        <f ca="1">IFERROR(__xludf.DUMMYFUNCTION("SPLIT(G1061,"","")"),"8650 Walnut Grove Rd")</f>
        <v>8650 Walnut Grove Rd</v>
      </c>
      <c r="K1061" s="2" t="str">
        <f ca="1">IFERROR(__xludf.DUMMYFUNCTION("""COMPUTED_VALUE""")," Cordova")</f>
        <v xml:space="preserve"> Cordova</v>
      </c>
      <c r="L1061" s="2" t="str">
        <f ca="1">IFERROR(__xludf.DUMMYFUNCTION("""COMPUTED_VALUE""")," TN 38018")</f>
        <v xml:space="preserve"> TN 38018</v>
      </c>
      <c r="M1061" s="2" t="str">
        <f ca="1">IFERROR(__xludf.DUMMYFUNCTION("""COMPUTED_VALUE""")," USA")</f>
        <v xml:space="preserve"> USA</v>
      </c>
      <c r="P1061" s="60"/>
    </row>
    <row r="1062" spans="1:16">
      <c r="A1062" s="60">
        <v>1061</v>
      </c>
      <c r="B1062" s="79" t="s">
        <v>6429</v>
      </c>
      <c r="C1062" s="60" t="s">
        <v>1370</v>
      </c>
      <c r="D1062" s="93" t="s">
        <v>6431</v>
      </c>
      <c r="E1062" s="48" t="str">
        <f t="shared" si="0"/>
        <v>Rapid City</v>
      </c>
      <c r="F1062" s="83" t="str">
        <f t="shared" si="1"/>
        <v>More (Rapid City),SD</v>
      </c>
      <c r="G1062" s="60" t="s">
        <v>6432</v>
      </c>
      <c r="H1062" s="60">
        <v>44.0979964</v>
      </c>
      <c r="I1062" s="60">
        <v>-103.2209491</v>
      </c>
      <c r="J1062" s="60" t="str">
        <f ca="1">IFERROR(__xludf.DUMMYFUNCTION("SPLIT(G1062,"","")"),"1430 Haines Ave #108")</f>
        <v>1430 Haines Ave #108</v>
      </c>
      <c r="K1062" s="2" t="str">
        <f ca="1">IFERROR(__xludf.DUMMYFUNCTION("""COMPUTED_VALUE""")," Rapid City")</f>
        <v xml:space="preserve"> Rapid City</v>
      </c>
      <c r="L1062" s="2" t="str">
        <f ca="1">IFERROR(__xludf.DUMMYFUNCTION("""COMPUTED_VALUE""")," SD 57701")</f>
        <v xml:space="preserve"> SD 57701</v>
      </c>
      <c r="M1062" s="2" t="str">
        <f ca="1">IFERROR(__xludf.DUMMYFUNCTION("""COMPUTED_VALUE""")," USA")</f>
        <v xml:space="preserve"> USA</v>
      </c>
      <c r="P1062" s="60"/>
    </row>
    <row r="1063" spans="1:16">
      <c r="A1063" s="65">
        <v>1062</v>
      </c>
      <c r="B1063" s="80" t="s">
        <v>1485</v>
      </c>
      <c r="C1063" s="65" t="s">
        <v>69</v>
      </c>
      <c r="D1063" s="93" t="s">
        <v>6435</v>
      </c>
      <c r="E1063" s="48" t="str">
        <f t="shared" si="0"/>
        <v>Albertville</v>
      </c>
      <c r="F1063" s="83" t="str">
        <f t="shared" si="1"/>
        <v>Albertville,AL</v>
      </c>
      <c r="G1063" s="65" t="s">
        <v>6437</v>
      </c>
      <c r="H1063" s="65">
        <v>34.267593699999999</v>
      </c>
      <c r="I1063" s="65">
        <v>-86.20886689999999</v>
      </c>
      <c r="J1063" s="60" t="str">
        <f ca="1">IFERROR(__xludf.DUMMYFUNCTION("SPLIT(G1063,"","")"),"124 S Broad St")</f>
        <v>124 S Broad St</v>
      </c>
      <c r="K1063" s="2" t="str">
        <f ca="1">IFERROR(__xludf.DUMMYFUNCTION("""COMPUTED_VALUE""")," Albertville")</f>
        <v xml:space="preserve"> Albertville</v>
      </c>
      <c r="L1063" s="2" t="str">
        <f ca="1">IFERROR(__xludf.DUMMYFUNCTION("""COMPUTED_VALUE""")," AL 35950")</f>
        <v xml:space="preserve"> AL 35950</v>
      </c>
      <c r="M1063" s="2" t="str">
        <f ca="1">IFERROR(__xludf.DUMMYFUNCTION("""COMPUTED_VALUE""")," USA")</f>
        <v xml:space="preserve"> USA</v>
      </c>
      <c r="P1063" s="60"/>
    </row>
    <row r="1064" spans="1:16">
      <c r="A1064" s="60">
        <v>1063</v>
      </c>
      <c r="B1064" s="79" t="s">
        <v>6441</v>
      </c>
      <c r="C1064" s="60" t="s">
        <v>1210</v>
      </c>
      <c r="D1064" s="93" t="s">
        <v>6444</v>
      </c>
      <c r="E1064" s="48" t="str">
        <f t="shared" si="0"/>
        <v>Montpelier</v>
      </c>
      <c r="F1064" s="83" t="str">
        <f t="shared" si="1"/>
        <v>Montpelier,VT</v>
      </c>
      <c r="G1064" s="60" t="s">
        <v>6445</v>
      </c>
      <c r="H1064" s="60">
        <v>44.260059299999988</v>
      </c>
      <c r="I1064" s="60">
        <v>-72.575386899999998</v>
      </c>
      <c r="J1064" s="60" t="str">
        <f ca="1">IFERROR(__xludf.DUMMYFUNCTION("SPLIT(G1064,"","")"),"3 E State St")</f>
        <v>3 E State St</v>
      </c>
      <c r="K1064" s="2" t="str">
        <f ca="1">IFERROR(__xludf.DUMMYFUNCTION("""COMPUTED_VALUE""")," Montpelier")</f>
        <v xml:space="preserve"> Montpelier</v>
      </c>
      <c r="L1064" s="2" t="str">
        <f ca="1">IFERROR(__xludf.DUMMYFUNCTION("""COMPUTED_VALUE""")," VT 05602")</f>
        <v xml:space="preserve"> VT 05602</v>
      </c>
      <c r="M1064" s="2" t="str">
        <f ca="1">IFERROR(__xludf.DUMMYFUNCTION("""COMPUTED_VALUE""")," USA")</f>
        <v xml:space="preserve"> USA</v>
      </c>
      <c r="P1064" s="60"/>
    </row>
    <row r="1065" spans="1:16">
      <c r="A1065" s="65">
        <v>1064</v>
      </c>
      <c r="B1065" s="80" t="s">
        <v>6449</v>
      </c>
      <c r="C1065" s="65" t="s">
        <v>602</v>
      </c>
      <c r="D1065" s="93" t="s">
        <v>1446</v>
      </c>
      <c r="E1065" s="48" t="str">
        <f t="shared" si="0"/>
        <v>Suffolk</v>
      </c>
      <c r="F1065" s="83" t="str">
        <f t="shared" si="1"/>
        <v>Lakeland (Suffolk),VA</v>
      </c>
      <c r="G1065" s="65" t="s">
        <v>6452</v>
      </c>
      <c r="H1065" s="65">
        <v>36.720989400000001</v>
      </c>
      <c r="I1065" s="65">
        <v>-76.660550200000003</v>
      </c>
      <c r="J1065" s="60" t="str">
        <f ca="1">IFERROR(__xludf.DUMMYFUNCTION("SPLIT(G1065,"","")"),"214 Kenyon Rd")</f>
        <v>214 Kenyon Rd</v>
      </c>
      <c r="K1065" s="2" t="str">
        <f ca="1">IFERROR(__xludf.DUMMYFUNCTION("""COMPUTED_VALUE""")," Suffolk")</f>
        <v xml:space="preserve"> Suffolk</v>
      </c>
      <c r="L1065" s="2" t="str">
        <f ca="1">IFERROR(__xludf.DUMMYFUNCTION("""COMPUTED_VALUE""")," VA 23434")</f>
        <v xml:space="preserve"> VA 23434</v>
      </c>
      <c r="M1065" s="2" t="str">
        <f ca="1">IFERROR(__xludf.DUMMYFUNCTION("""COMPUTED_VALUE""")," USA")</f>
        <v xml:space="preserve"> USA</v>
      </c>
      <c r="P1065" s="60"/>
    </row>
    <row r="1066" spans="1:16">
      <c r="A1066" s="60">
        <v>1065</v>
      </c>
      <c r="B1066" s="79" t="s">
        <v>6456</v>
      </c>
      <c r="C1066" s="60" t="s">
        <v>595</v>
      </c>
      <c r="D1066" s="93" t="s">
        <v>878</v>
      </c>
      <c r="E1066" s="48" t="str">
        <f t="shared" si="0"/>
        <v>San Antonio</v>
      </c>
      <c r="F1066" s="83" t="str">
        <f t="shared" si="1"/>
        <v>Brennan (San Antonio),TX</v>
      </c>
      <c r="G1066" s="60" t="s">
        <v>6459</v>
      </c>
      <c r="H1066" s="60">
        <v>29.457912</v>
      </c>
      <c r="I1066" s="60">
        <v>-98.724642799999998</v>
      </c>
      <c r="J1066" s="60" t="str">
        <f ca="1">IFERROR(__xludf.DUMMYFUNCTION("SPLIT(G1066,"","")"),"2400 Cottonwood Way")</f>
        <v>2400 Cottonwood Way</v>
      </c>
      <c r="K1066" s="2" t="str">
        <f ca="1">IFERROR(__xludf.DUMMYFUNCTION("""COMPUTED_VALUE""")," San Antonio")</f>
        <v xml:space="preserve"> San Antonio</v>
      </c>
      <c r="L1066" s="2" t="str">
        <f ca="1">IFERROR(__xludf.DUMMYFUNCTION("""COMPUTED_VALUE""")," TX 78253")</f>
        <v xml:space="preserve"> TX 78253</v>
      </c>
      <c r="M1066" s="2" t="str">
        <f ca="1">IFERROR(__xludf.DUMMYFUNCTION("""COMPUTED_VALUE""")," USA")</f>
        <v xml:space="preserve"> USA</v>
      </c>
      <c r="P1066" s="60"/>
    </row>
    <row r="1067" spans="1:16">
      <c r="A1067" s="65">
        <v>1066</v>
      </c>
      <c r="B1067" s="80" t="s">
        <v>6462</v>
      </c>
      <c r="C1067" s="65" t="s">
        <v>590</v>
      </c>
      <c r="D1067" s="93" t="s">
        <v>749</v>
      </c>
      <c r="E1067" s="48" t="str">
        <f t="shared" si="0"/>
        <v>Baltimore</v>
      </c>
      <c r="F1067" s="83" t="str">
        <f t="shared" si="1"/>
        <v>Lake Clifton (Baltimore),MD</v>
      </c>
      <c r="G1067" s="65" t="s">
        <v>6463</v>
      </c>
      <c r="H1067" s="65">
        <v>39.316367399999997</v>
      </c>
      <c r="I1067" s="65">
        <v>-76.589644300000003</v>
      </c>
      <c r="J1067" s="60" t="str">
        <f ca="1">IFERROR(__xludf.DUMMYFUNCTION("SPLIT(G1067,"","")"),"2801-2831 St Lo Dr")</f>
        <v>2801-2831 St Lo Dr</v>
      </c>
      <c r="K1067" s="2" t="str">
        <f ca="1">IFERROR(__xludf.DUMMYFUNCTION("""COMPUTED_VALUE""")," Baltimore")</f>
        <v xml:space="preserve"> Baltimore</v>
      </c>
      <c r="L1067" s="2" t="str">
        <f ca="1">IFERROR(__xludf.DUMMYFUNCTION("""COMPUTED_VALUE""")," MD 21213")</f>
        <v xml:space="preserve"> MD 21213</v>
      </c>
      <c r="M1067" s="2" t="str">
        <f ca="1">IFERROR(__xludf.DUMMYFUNCTION("""COMPUTED_VALUE""")," USA")</f>
        <v xml:space="preserve"> USA</v>
      </c>
      <c r="P1067" s="60"/>
    </row>
    <row r="1068" spans="1:16">
      <c r="A1068" s="60">
        <v>1067</v>
      </c>
      <c r="B1068" s="79" t="s">
        <v>6467</v>
      </c>
      <c r="C1068" s="60" t="s">
        <v>174</v>
      </c>
      <c r="D1068" s="93" t="s">
        <v>701</v>
      </c>
      <c r="E1068" s="48" t="str">
        <f t="shared" si="0"/>
        <v>Cincinnati</v>
      </c>
      <c r="F1068" s="83" t="str">
        <f t="shared" si="1"/>
        <v>Turpin (Cincinnati),OH</v>
      </c>
      <c r="G1068" s="60" t="s">
        <v>6470</v>
      </c>
      <c r="H1068" s="60">
        <v>39.102747999999998</v>
      </c>
      <c r="I1068" s="60">
        <v>-84.372925499999994</v>
      </c>
      <c r="J1068" s="60" t="str">
        <f ca="1">IFERROR(__xludf.DUMMYFUNCTION("SPLIT(G1068,"","")"),"6375 Clough Pike")</f>
        <v>6375 Clough Pike</v>
      </c>
      <c r="K1068" s="2" t="str">
        <f ca="1">IFERROR(__xludf.DUMMYFUNCTION("""COMPUTED_VALUE""")," Cincinnati")</f>
        <v xml:space="preserve"> Cincinnati</v>
      </c>
      <c r="L1068" s="2" t="str">
        <f ca="1">IFERROR(__xludf.DUMMYFUNCTION("""COMPUTED_VALUE""")," OH 45244")</f>
        <v xml:space="preserve"> OH 45244</v>
      </c>
      <c r="M1068" s="2" t="str">
        <f ca="1">IFERROR(__xludf.DUMMYFUNCTION("""COMPUTED_VALUE""")," USA")</f>
        <v xml:space="preserve"> USA</v>
      </c>
      <c r="P1068" s="60"/>
    </row>
    <row r="1069" spans="1:16">
      <c r="A1069" s="65">
        <v>1068</v>
      </c>
      <c r="B1069" s="80" t="s">
        <v>6472</v>
      </c>
      <c r="C1069" s="65" t="s">
        <v>608</v>
      </c>
      <c r="D1069" s="93" t="s">
        <v>6473</v>
      </c>
      <c r="E1069" s="48" t="str">
        <f t="shared" si="0"/>
        <v>Stewartville</v>
      </c>
      <c r="F1069" s="83" t="str">
        <f t="shared" si="1"/>
        <v>Stewartville,MN</v>
      </c>
      <c r="G1069" s="65" t="s">
        <v>6474</v>
      </c>
      <c r="H1069" s="65">
        <v>43.855518600000003</v>
      </c>
      <c r="I1069" s="65">
        <v>-92.488507900000002</v>
      </c>
      <c r="J1069" s="60" t="str">
        <f ca="1">IFERROR(__xludf.DUMMYFUNCTION("SPLIT(G1069,"","")"),"208 Center Town Plaza North")</f>
        <v>208 Center Town Plaza North</v>
      </c>
      <c r="K1069" s="2" t="str">
        <f ca="1">IFERROR(__xludf.DUMMYFUNCTION("""COMPUTED_VALUE""")," Stewartville")</f>
        <v xml:space="preserve"> Stewartville</v>
      </c>
      <c r="L1069" s="2" t="str">
        <f ca="1">IFERROR(__xludf.DUMMYFUNCTION("""COMPUTED_VALUE""")," MN 55976")</f>
        <v xml:space="preserve"> MN 55976</v>
      </c>
      <c r="M1069" s="2" t="str">
        <f ca="1">IFERROR(__xludf.DUMMYFUNCTION("""COMPUTED_VALUE""")," USA")</f>
        <v xml:space="preserve"> USA</v>
      </c>
      <c r="P1069" s="60"/>
    </row>
    <row r="1070" spans="1:16">
      <c r="A1070" s="60">
        <v>1069</v>
      </c>
      <c r="B1070" s="79" t="s">
        <v>6477</v>
      </c>
      <c r="C1070" s="60" t="s">
        <v>174</v>
      </c>
      <c r="D1070" s="93" t="s">
        <v>6478</v>
      </c>
      <c r="E1070" s="48" t="str">
        <f t="shared" si="0"/>
        <v>Westerville</v>
      </c>
      <c r="F1070" s="83" t="str">
        <f t="shared" si="1"/>
        <v>Westerville Central (Westerville),OH</v>
      </c>
      <c r="G1070" s="60" t="s">
        <v>6480</v>
      </c>
      <c r="H1070" s="60">
        <v>40.154425400000001</v>
      </c>
      <c r="I1070" s="60">
        <v>-82.904096199999998</v>
      </c>
      <c r="J1070" s="60" t="str">
        <f ca="1">IFERROR(__xludf.DUMMYFUNCTION("SPLIT(G1070,"","")"),"7118 Mt Royal Ave")</f>
        <v>7118 Mt Royal Ave</v>
      </c>
      <c r="K1070" s="2" t="str">
        <f ca="1">IFERROR(__xludf.DUMMYFUNCTION("""COMPUTED_VALUE""")," Westerville")</f>
        <v xml:space="preserve"> Westerville</v>
      </c>
      <c r="L1070" s="2" t="str">
        <f ca="1">IFERROR(__xludf.DUMMYFUNCTION("""COMPUTED_VALUE""")," OH 43082")</f>
        <v xml:space="preserve"> OH 43082</v>
      </c>
      <c r="M1070" s="2" t="str">
        <f ca="1">IFERROR(__xludf.DUMMYFUNCTION("""COMPUTED_VALUE""")," USA")</f>
        <v xml:space="preserve"> USA</v>
      </c>
      <c r="P1070" s="60"/>
    </row>
    <row r="1071" spans="1:16">
      <c r="A1071" s="65">
        <v>1070</v>
      </c>
      <c r="B1071" s="80" t="s">
        <v>6482</v>
      </c>
      <c r="C1071" s="65" t="s">
        <v>682</v>
      </c>
      <c r="D1071" s="93" t="s">
        <v>6483</v>
      </c>
      <c r="E1071" s="48" t="str">
        <f t="shared" si="0"/>
        <v>Manitowoc</v>
      </c>
      <c r="F1071" s="83" t="str">
        <f t="shared" si="1"/>
        <v>Roncalli (Manitowoc),WI</v>
      </c>
      <c r="G1071" s="65" t="s">
        <v>6484</v>
      </c>
      <c r="H1071" s="65">
        <v>44.126230700000008</v>
      </c>
      <c r="I1071" s="65">
        <v>-87.633611299999998</v>
      </c>
      <c r="J1071" s="60" t="str">
        <f ca="1">IFERROR(__xludf.DUMMYFUNCTION("SPLIT(G1071,"","")"),"2000 Mirro Dr")</f>
        <v>2000 Mirro Dr</v>
      </c>
      <c r="K1071" s="2" t="str">
        <f ca="1">IFERROR(__xludf.DUMMYFUNCTION("""COMPUTED_VALUE""")," Manitowoc")</f>
        <v xml:space="preserve"> Manitowoc</v>
      </c>
      <c r="L1071" s="2" t="str">
        <f ca="1">IFERROR(__xludf.DUMMYFUNCTION("""COMPUTED_VALUE""")," WI 54220")</f>
        <v xml:space="preserve"> WI 54220</v>
      </c>
      <c r="M1071" s="2" t="str">
        <f ca="1">IFERROR(__xludf.DUMMYFUNCTION("""COMPUTED_VALUE""")," USA")</f>
        <v xml:space="preserve"> USA</v>
      </c>
      <c r="P1071" s="60"/>
    </row>
    <row r="1072" spans="1:16">
      <c r="A1072" s="60">
        <v>1071</v>
      </c>
      <c r="B1072" s="79" t="s">
        <v>6489</v>
      </c>
      <c r="C1072" s="60" t="s">
        <v>136</v>
      </c>
      <c r="D1072" s="93" t="s">
        <v>6490</v>
      </c>
      <c r="E1072" s="48" t="str">
        <f t="shared" si="0"/>
        <v>Davie</v>
      </c>
      <c r="F1072" s="83" t="str">
        <f t="shared" si="1"/>
        <v>Western (Davie),FL</v>
      </c>
      <c r="G1072" s="60" t="s">
        <v>6491</v>
      </c>
      <c r="H1072" s="60">
        <v>26.104893199999999</v>
      </c>
      <c r="I1072" s="60">
        <v>-80.328834999999998</v>
      </c>
      <c r="J1072" s="60" t="str">
        <f ca="1">IFERROR(__xludf.DUMMYFUNCTION("SPLIT(G1072,"","")"),"1200 SW 136th Ave")</f>
        <v>1200 SW 136th Ave</v>
      </c>
      <c r="K1072" s="2" t="str">
        <f ca="1">IFERROR(__xludf.DUMMYFUNCTION("""COMPUTED_VALUE""")," Davie")</f>
        <v xml:space="preserve"> Davie</v>
      </c>
      <c r="L1072" s="2" t="str">
        <f ca="1">IFERROR(__xludf.DUMMYFUNCTION("""COMPUTED_VALUE""")," FL 33325")</f>
        <v xml:space="preserve"> FL 33325</v>
      </c>
      <c r="M1072" s="2" t="str">
        <f ca="1">IFERROR(__xludf.DUMMYFUNCTION("""COMPUTED_VALUE""")," USA")</f>
        <v xml:space="preserve"> USA</v>
      </c>
      <c r="P1072" s="60"/>
    </row>
    <row r="1073" spans="1:16">
      <c r="A1073" s="65">
        <v>1072</v>
      </c>
      <c r="B1073" s="80" t="s">
        <v>6494</v>
      </c>
      <c r="C1073" s="65" t="s">
        <v>604</v>
      </c>
      <c r="D1073" s="93" t="s">
        <v>6497</v>
      </c>
      <c r="E1073" s="48" t="str">
        <f t="shared" si="0"/>
        <v>Rock Island</v>
      </c>
      <c r="F1073" s="83" t="str">
        <f t="shared" si="1"/>
        <v>Rock Island,IL</v>
      </c>
      <c r="G1073" s="65" t="s">
        <v>6498</v>
      </c>
      <c r="H1073" s="65">
        <v>41.509477099999998</v>
      </c>
      <c r="I1073" s="65">
        <v>-90.5787476</v>
      </c>
      <c r="J1073" s="60" t="str">
        <f ca="1">IFERROR(__xludf.DUMMYFUNCTION("SPLIT(G1073,"","")"),"217 15th St")</f>
        <v>217 15th St</v>
      </c>
      <c r="K1073" s="2" t="str">
        <f ca="1">IFERROR(__xludf.DUMMYFUNCTION("""COMPUTED_VALUE""")," Rock Island")</f>
        <v xml:space="preserve"> Rock Island</v>
      </c>
      <c r="L1073" s="2" t="str">
        <f ca="1">IFERROR(__xludf.DUMMYFUNCTION("""COMPUTED_VALUE""")," IL 61201")</f>
        <v xml:space="preserve"> IL 61201</v>
      </c>
      <c r="M1073" s="2" t="str">
        <f ca="1">IFERROR(__xludf.DUMMYFUNCTION("""COMPUTED_VALUE""")," USA")</f>
        <v xml:space="preserve"> USA</v>
      </c>
      <c r="P1073" s="60"/>
    </row>
    <row r="1074" spans="1:16">
      <c r="A1074" s="60">
        <v>1073</v>
      </c>
      <c r="B1074" s="79" t="s">
        <v>6502</v>
      </c>
      <c r="C1074" s="60" t="s">
        <v>675</v>
      </c>
      <c r="D1074" s="93" t="s">
        <v>724</v>
      </c>
      <c r="E1074" s="48" t="str">
        <f t="shared" si="0"/>
        <v>Washington</v>
      </c>
      <c r="F1074" s="83" t="str">
        <f t="shared" si="1"/>
        <v>First Love Christian Academy (Washington),PA</v>
      </c>
      <c r="G1074" s="60" t="s">
        <v>6504</v>
      </c>
      <c r="H1074" s="60">
        <v>40.1943932</v>
      </c>
      <c r="I1074" s="60">
        <v>-80.253199299999991</v>
      </c>
      <c r="J1074" s="60" t="str">
        <f ca="1">IFERROR(__xludf.DUMMYFUNCTION("SPLIT(G1074,"","")"),"150 Sunset Blvd")</f>
        <v>150 Sunset Blvd</v>
      </c>
      <c r="K1074" s="2" t="str">
        <f ca="1">IFERROR(__xludf.DUMMYFUNCTION("""COMPUTED_VALUE""")," Washington")</f>
        <v xml:space="preserve"> Washington</v>
      </c>
      <c r="L1074" s="2" t="str">
        <f ca="1">IFERROR(__xludf.DUMMYFUNCTION("""COMPUTED_VALUE""")," PA 15301")</f>
        <v xml:space="preserve"> PA 15301</v>
      </c>
      <c r="M1074" s="2" t="str">
        <f ca="1">IFERROR(__xludf.DUMMYFUNCTION("""COMPUTED_VALUE""")," USA")</f>
        <v xml:space="preserve"> USA</v>
      </c>
      <c r="P1074" s="60"/>
    </row>
    <row r="1075" spans="1:16">
      <c r="A1075" s="65">
        <v>1074</v>
      </c>
      <c r="B1075" s="80" t="s">
        <v>6508</v>
      </c>
      <c r="C1075" s="65" t="s">
        <v>598</v>
      </c>
      <c r="D1075" s="93" t="s">
        <v>972</v>
      </c>
      <c r="E1075" s="48" t="str">
        <f t="shared" si="0"/>
        <v>Alpharetta</v>
      </c>
      <c r="F1075" s="83" t="str">
        <f t="shared" si="1"/>
        <v>Denmark (Alpharetta),GA</v>
      </c>
      <c r="G1075" s="65" t="s">
        <v>6509</v>
      </c>
      <c r="H1075" s="65">
        <v>34.147218000000002</v>
      </c>
      <c r="I1075" s="65">
        <v>-84.229145500000001</v>
      </c>
      <c r="J1075" s="60" t="str">
        <f ca="1">IFERROR(__xludf.DUMMYFUNCTION("SPLIT(G1075,"","")"),"518 Fowler Rd")</f>
        <v>518 Fowler Rd</v>
      </c>
      <c r="K1075" s="2" t="str">
        <f ca="1">IFERROR(__xludf.DUMMYFUNCTION("""COMPUTED_VALUE""")," Alpharetta")</f>
        <v xml:space="preserve"> Alpharetta</v>
      </c>
      <c r="L1075" s="2" t="str">
        <f ca="1">IFERROR(__xludf.DUMMYFUNCTION("""COMPUTED_VALUE""")," GA 30004")</f>
        <v xml:space="preserve"> GA 30004</v>
      </c>
      <c r="M1075" s="2" t="str">
        <f ca="1">IFERROR(__xludf.DUMMYFUNCTION("""COMPUTED_VALUE""")," USA")</f>
        <v xml:space="preserve"> USA</v>
      </c>
      <c r="P1075" s="60"/>
    </row>
    <row r="1076" spans="1:16">
      <c r="A1076" s="97">
        <v>1075</v>
      </c>
      <c r="B1076" s="99" t="s">
        <v>6513</v>
      </c>
      <c r="C1076" s="97" t="s">
        <v>183</v>
      </c>
      <c r="D1076" s="93" t="s">
        <v>6514</v>
      </c>
      <c r="E1076" s="48" t="str">
        <f t="shared" si="0"/>
        <v>Orangeburg</v>
      </c>
      <c r="F1076" s="83" t="str">
        <f t="shared" si="1"/>
        <v>Tappan Zee (Orangeburg),NY</v>
      </c>
      <c r="G1076" s="97" t="s">
        <v>6515</v>
      </c>
      <c r="H1076" s="97">
        <v>41.049048800000001</v>
      </c>
      <c r="I1076" s="97">
        <v>-73.954081500000001</v>
      </c>
      <c r="J1076" s="60" t="str">
        <f ca="1">IFERROR(__xludf.DUMMYFUNCTION("SPLIT(G1076,"","")"),"15 Dutch Hill Rd")</f>
        <v>15 Dutch Hill Rd</v>
      </c>
      <c r="K1076" s="2" t="str">
        <f ca="1">IFERROR(__xludf.DUMMYFUNCTION("""COMPUTED_VALUE""")," Orangeburg")</f>
        <v xml:space="preserve"> Orangeburg</v>
      </c>
      <c r="L1076" s="2" t="str">
        <f ca="1">IFERROR(__xludf.DUMMYFUNCTION("""COMPUTED_VALUE""")," NY 10962")</f>
        <v xml:space="preserve"> NY 10962</v>
      </c>
      <c r="M1076" s="2" t="str">
        <f ca="1">IFERROR(__xludf.DUMMYFUNCTION("""COMPUTED_VALUE""")," USA")</f>
        <v xml:space="preserve"> USA</v>
      </c>
      <c r="P1076" s="60"/>
    </row>
    <row r="1077" spans="1:16">
      <c r="A1077" s="60">
        <v>1076</v>
      </c>
      <c r="B1077" s="79" t="s">
        <v>6518</v>
      </c>
      <c r="C1077" s="60" t="s">
        <v>179</v>
      </c>
      <c r="D1077" s="93" t="s">
        <v>6519</v>
      </c>
      <c r="E1077" s="48" t="str">
        <f t="shared" si="0"/>
        <v>Durham</v>
      </c>
      <c r="F1077" s="83" t="str">
        <f t="shared" si="1"/>
        <v>Southern Durham (Durham),NC</v>
      </c>
      <c r="G1077" s="60" t="s">
        <v>6521</v>
      </c>
      <c r="H1077" s="60">
        <v>36.000079100000001</v>
      </c>
      <c r="I1077" s="60">
        <v>-78.829234</v>
      </c>
      <c r="J1077" s="60" t="str">
        <f ca="1">IFERROR(__xludf.DUMMYFUNCTION("SPLIT(G1077,"","")"),"800 Clayton Rd")</f>
        <v>800 Clayton Rd</v>
      </c>
      <c r="K1077" s="2" t="str">
        <f ca="1">IFERROR(__xludf.DUMMYFUNCTION("""COMPUTED_VALUE""")," Durham")</f>
        <v xml:space="preserve"> Durham</v>
      </c>
      <c r="L1077" s="2" t="str">
        <f ca="1">IFERROR(__xludf.DUMMYFUNCTION("""COMPUTED_VALUE""")," NC 27703")</f>
        <v xml:space="preserve"> NC 27703</v>
      </c>
      <c r="M1077" s="2" t="str">
        <f ca="1">IFERROR(__xludf.DUMMYFUNCTION("""COMPUTED_VALUE""")," USA")</f>
        <v xml:space="preserve"> USA</v>
      </c>
      <c r="P1077" s="60"/>
    </row>
    <row r="1078" spans="1:16">
      <c r="A1078" s="65">
        <v>1077</v>
      </c>
      <c r="B1078" s="80" t="s">
        <v>348</v>
      </c>
      <c r="C1078" s="65" t="s">
        <v>588</v>
      </c>
      <c r="D1078" s="93" t="s">
        <v>633</v>
      </c>
      <c r="E1078" s="48" t="str">
        <f t="shared" si="0"/>
        <v>Sacramento</v>
      </c>
      <c r="F1078" s="83" t="str">
        <f t="shared" si="1"/>
        <v>Sacramento,CA</v>
      </c>
      <c r="G1078" s="65" t="s">
        <v>6525</v>
      </c>
      <c r="H1078" s="65">
        <v>38.5815719</v>
      </c>
      <c r="I1078" s="65">
        <v>-121.49439959999999</v>
      </c>
      <c r="J1078" s="60" t="str">
        <f ca="1">IFERROR(__xludf.DUMMYFUNCTION("SPLIT(G1078,"","")"),"907 9th St")</f>
        <v>907 9th St</v>
      </c>
      <c r="K1078" s="2" t="str">
        <f ca="1">IFERROR(__xludf.DUMMYFUNCTION("""COMPUTED_VALUE""")," Sacramento")</f>
        <v xml:space="preserve"> Sacramento</v>
      </c>
      <c r="L1078" s="2" t="str">
        <f ca="1">IFERROR(__xludf.DUMMYFUNCTION("""COMPUTED_VALUE""")," CA 95814")</f>
        <v xml:space="preserve"> CA 95814</v>
      </c>
      <c r="M1078" s="2" t="str">
        <f ca="1">IFERROR(__xludf.DUMMYFUNCTION("""COMPUTED_VALUE""")," USA")</f>
        <v xml:space="preserve"> USA</v>
      </c>
      <c r="P1078" s="60"/>
    </row>
    <row r="1079" spans="1:16">
      <c r="A1079" s="60">
        <v>1078</v>
      </c>
      <c r="B1079" s="79" t="s">
        <v>6527</v>
      </c>
      <c r="C1079" s="60" t="s">
        <v>624</v>
      </c>
      <c r="D1079" s="93" t="s">
        <v>1471</v>
      </c>
      <c r="E1079" s="48" t="str">
        <f t="shared" si="0"/>
        <v>New Orleans</v>
      </c>
      <c r="F1079" s="83" t="str">
        <f t="shared" si="1"/>
        <v>Carver Collegiate Academy (New Orleans),LA</v>
      </c>
      <c r="G1079" s="60" t="s">
        <v>6529</v>
      </c>
      <c r="H1079" s="60">
        <v>29.9943822</v>
      </c>
      <c r="I1079" s="60">
        <v>-90.037012799999999</v>
      </c>
      <c r="J1079" s="60" t="str">
        <f ca="1">IFERROR(__xludf.DUMMYFUNCTION("SPLIT(G1079,"","")"),"3059 Higgins Blvd")</f>
        <v>3059 Higgins Blvd</v>
      </c>
      <c r="K1079" s="2" t="str">
        <f ca="1">IFERROR(__xludf.DUMMYFUNCTION("""COMPUTED_VALUE""")," New Orleans")</f>
        <v xml:space="preserve"> New Orleans</v>
      </c>
      <c r="L1079" s="2" t="str">
        <f ca="1">IFERROR(__xludf.DUMMYFUNCTION("""COMPUTED_VALUE""")," LA 70126")</f>
        <v xml:space="preserve"> LA 70126</v>
      </c>
      <c r="M1079" s="2" t="str">
        <f ca="1">IFERROR(__xludf.DUMMYFUNCTION("""COMPUTED_VALUE""")," USA")</f>
        <v xml:space="preserve"> USA</v>
      </c>
      <c r="P1079" s="60"/>
    </row>
    <row r="1080" spans="1:16">
      <c r="A1080" s="65">
        <v>1079</v>
      </c>
      <c r="B1080" s="80" t="s">
        <v>6531</v>
      </c>
      <c r="C1080" s="65" t="s">
        <v>770</v>
      </c>
      <c r="D1080" s="93" t="s">
        <v>5729</v>
      </c>
      <c r="E1080" s="48" t="str">
        <f t="shared" si="0"/>
        <v>Nashville</v>
      </c>
      <c r="F1080" s="83" t="str">
        <f t="shared" si="1"/>
        <v>Hillsboro (Nashville),TN</v>
      </c>
      <c r="G1080" s="65" t="s">
        <v>6533</v>
      </c>
      <c r="H1080" s="65">
        <v>36.124741399999998</v>
      </c>
      <c r="I1080" s="65">
        <v>-86.7942666</v>
      </c>
      <c r="J1080" s="60" t="str">
        <f ca="1">IFERROR(__xludf.DUMMYFUNCTION("SPLIT(G1080,"","")"),"2524 Belmont Blvd")</f>
        <v>2524 Belmont Blvd</v>
      </c>
      <c r="K1080" s="2" t="str">
        <f ca="1">IFERROR(__xludf.DUMMYFUNCTION("""COMPUTED_VALUE""")," Nashville")</f>
        <v xml:space="preserve"> Nashville</v>
      </c>
      <c r="L1080" s="2" t="str">
        <f ca="1">IFERROR(__xludf.DUMMYFUNCTION("""COMPUTED_VALUE""")," TN 37212")</f>
        <v xml:space="preserve"> TN 37212</v>
      </c>
      <c r="M1080" s="2" t="str">
        <f ca="1">IFERROR(__xludf.DUMMYFUNCTION("""COMPUTED_VALUE""")," USA")</f>
        <v xml:space="preserve"> USA</v>
      </c>
      <c r="P1080" s="60"/>
    </row>
    <row r="1081" spans="1:16">
      <c r="A1081" s="60">
        <v>1080</v>
      </c>
      <c r="B1081" s="79" t="s">
        <v>6536</v>
      </c>
      <c r="C1081" s="60" t="s">
        <v>595</v>
      </c>
      <c r="D1081" s="93" t="s">
        <v>1109</v>
      </c>
      <c r="E1081" s="48" t="str">
        <f t="shared" si="0"/>
        <v>Arlington</v>
      </c>
      <c r="F1081" s="83" t="str">
        <f t="shared" si="1"/>
        <v>Mansfield Summit (Arlington),TX</v>
      </c>
      <c r="G1081" s="60" t="s">
        <v>6537</v>
      </c>
      <c r="H1081" s="60">
        <v>32.613262900000002</v>
      </c>
      <c r="I1081" s="60">
        <v>-97.130839699999996</v>
      </c>
      <c r="J1081" s="60" t="str">
        <f ca="1">IFERROR(__xludf.DUMMYFUNCTION("SPLIT(G1081,"","")"),"1071 Turner Warnell Rd")</f>
        <v>1071 Turner Warnell Rd</v>
      </c>
      <c r="K1081" s="2" t="str">
        <f ca="1">IFERROR(__xludf.DUMMYFUNCTION("""COMPUTED_VALUE""")," Arlington")</f>
        <v xml:space="preserve"> Arlington</v>
      </c>
      <c r="L1081" s="2" t="str">
        <f ca="1">IFERROR(__xludf.DUMMYFUNCTION("""COMPUTED_VALUE""")," TX 76001")</f>
        <v xml:space="preserve"> TX 76001</v>
      </c>
      <c r="M1081" s="2" t="str">
        <f ca="1">IFERROR(__xludf.DUMMYFUNCTION("""COMPUTED_VALUE""")," USA")</f>
        <v xml:space="preserve"> USA</v>
      </c>
      <c r="P1081" s="60"/>
    </row>
    <row r="1082" spans="1:16">
      <c r="A1082" s="65">
        <v>1081</v>
      </c>
      <c r="B1082" s="80" t="s">
        <v>6541</v>
      </c>
      <c r="C1082" s="65" t="s">
        <v>136</v>
      </c>
      <c r="D1082" s="93" t="s">
        <v>835</v>
      </c>
      <c r="E1082" s="48" t="str">
        <f t="shared" si="0"/>
        <v>Orlando</v>
      </c>
      <c r="F1082" s="83" t="str">
        <f t="shared" si="1"/>
        <v>Lake Nona (Orlando),FL</v>
      </c>
      <c r="G1082" s="65" t="s">
        <v>6542</v>
      </c>
      <c r="H1082" s="65">
        <v>28.376585200000001</v>
      </c>
      <c r="I1082" s="65">
        <v>-81.2585677</v>
      </c>
      <c r="J1082" s="60" t="str">
        <f ca="1">IFERROR(__xludf.DUMMYFUNCTION("SPLIT(G1082,"","")"),"7975 Nemours Pkwy")</f>
        <v>7975 Nemours Pkwy</v>
      </c>
      <c r="K1082" s="2" t="str">
        <f ca="1">IFERROR(__xludf.DUMMYFUNCTION("""COMPUTED_VALUE""")," Orlando")</f>
        <v xml:space="preserve"> Orlando</v>
      </c>
      <c r="L1082" s="2" t="str">
        <f ca="1">IFERROR(__xludf.DUMMYFUNCTION("""COMPUTED_VALUE""")," FL 32827")</f>
        <v xml:space="preserve"> FL 32827</v>
      </c>
      <c r="M1082" s="2" t="str">
        <f ca="1">IFERROR(__xludf.DUMMYFUNCTION("""COMPUTED_VALUE""")," USA")</f>
        <v xml:space="preserve"> USA</v>
      </c>
      <c r="P1082" s="60"/>
    </row>
    <row r="1083" spans="1:16">
      <c r="A1083" s="60">
        <v>1082</v>
      </c>
      <c r="B1083" s="79" t="s">
        <v>6545</v>
      </c>
      <c r="C1083" s="60" t="s">
        <v>183</v>
      </c>
      <c r="D1083" s="93" t="s">
        <v>3029</v>
      </c>
      <c r="E1083" s="48" t="str">
        <f t="shared" si="0"/>
        <v>Johnson City</v>
      </c>
      <c r="F1083" s="83" t="str">
        <f t="shared" si="1"/>
        <v>Johnson City,NY</v>
      </c>
      <c r="G1083" s="60" t="s">
        <v>6548</v>
      </c>
      <c r="H1083" s="60">
        <v>42.115630799999998</v>
      </c>
      <c r="I1083" s="60">
        <v>-75.95880919999999</v>
      </c>
      <c r="J1083" s="60" t="str">
        <f ca="1">IFERROR(__xludf.DUMMYFUNCTION("SPLIT(G1083,"","")"),"99 Allen St")</f>
        <v>99 Allen St</v>
      </c>
      <c r="K1083" s="2" t="str">
        <f ca="1">IFERROR(__xludf.DUMMYFUNCTION("""COMPUTED_VALUE""")," Johnson City")</f>
        <v xml:space="preserve"> Johnson City</v>
      </c>
      <c r="L1083" s="2" t="str">
        <f ca="1">IFERROR(__xludf.DUMMYFUNCTION("""COMPUTED_VALUE""")," NY 13790")</f>
        <v xml:space="preserve"> NY 13790</v>
      </c>
      <c r="M1083" s="2" t="str">
        <f ca="1">IFERROR(__xludf.DUMMYFUNCTION("""COMPUTED_VALUE""")," USA")</f>
        <v xml:space="preserve"> USA</v>
      </c>
      <c r="P1083" s="60"/>
    </row>
    <row r="1084" spans="1:16">
      <c r="A1084" s="65">
        <v>1083</v>
      </c>
      <c r="B1084" s="80" t="s">
        <v>6552</v>
      </c>
      <c r="C1084" s="65" t="s">
        <v>604</v>
      </c>
      <c r="D1084" s="93" t="s">
        <v>3429</v>
      </c>
      <c r="E1084" s="48" t="str">
        <f t="shared" si="0"/>
        <v>St. Charles</v>
      </c>
      <c r="F1084" s="83" t="str">
        <f t="shared" si="1"/>
        <v>St. Charles East (St. Charles),IL</v>
      </c>
      <c r="G1084" s="65" t="s">
        <v>6554</v>
      </c>
      <c r="H1084" s="65">
        <v>41.928285500000001</v>
      </c>
      <c r="I1084" s="65">
        <v>-88.281294099999997</v>
      </c>
      <c r="J1084" s="60" t="str">
        <f ca="1">IFERROR(__xludf.DUMMYFUNCTION("SPLIT(G1084,"","")"),"1020 Dunham Rd")</f>
        <v>1020 Dunham Rd</v>
      </c>
      <c r="K1084" s="2" t="str">
        <f ca="1">IFERROR(__xludf.DUMMYFUNCTION("""COMPUTED_VALUE""")," St. Charles")</f>
        <v xml:space="preserve"> St. Charles</v>
      </c>
      <c r="L1084" s="2" t="str">
        <f ca="1">IFERROR(__xludf.DUMMYFUNCTION("""COMPUTED_VALUE""")," IL 60174")</f>
        <v xml:space="preserve"> IL 60174</v>
      </c>
      <c r="M1084" s="2" t="str">
        <f ca="1">IFERROR(__xludf.DUMMYFUNCTION("""COMPUTED_VALUE""")," USA")</f>
        <v xml:space="preserve"> USA</v>
      </c>
      <c r="P1084" s="60"/>
    </row>
    <row r="1085" spans="1:16">
      <c r="A1085" s="60">
        <v>1084</v>
      </c>
      <c r="B1085" s="79" t="s">
        <v>6557</v>
      </c>
      <c r="C1085" s="60" t="s">
        <v>940</v>
      </c>
      <c r="D1085" s="93" t="s">
        <v>6558</v>
      </c>
      <c r="E1085" s="48" t="str">
        <f t="shared" si="0"/>
        <v>Wahoo</v>
      </c>
      <c r="F1085" s="83" t="str">
        <f t="shared" si="1"/>
        <v>Wahoo,NE</v>
      </c>
      <c r="G1085" s="60" t="s">
        <v>6559</v>
      </c>
      <c r="H1085" s="60">
        <v>41.211502299999999</v>
      </c>
      <c r="I1085" s="60">
        <v>-96.621260399999997</v>
      </c>
      <c r="J1085" s="60" t="str">
        <f ca="1">IFERROR(__xludf.DUMMYFUNCTION("SPLIT(G1085,"","")"),"648 N Maple St")</f>
        <v>648 N Maple St</v>
      </c>
      <c r="K1085" s="2" t="str">
        <f ca="1">IFERROR(__xludf.DUMMYFUNCTION("""COMPUTED_VALUE""")," Wahoo")</f>
        <v xml:space="preserve"> Wahoo</v>
      </c>
      <c r="L1085" s="2" t="str">
        <f ca="1">IFERROR(__xludf.DUMMYFUNCTION("""COMPUTED_VALUE""")," NE 68066")</f>
        <v xml:space="preserve"> NE 68066</v>
      </c>
      <c r="M1085" s="2" t="str">
        <f ca="1">IFERROR(__xludf.DUMMYFUNCTION("""COMPUTED_VALUE""")," USA")</f>
        <v xml:space="preserve"> USA</v>
      </c>
      <c r="P1085" s="60"/>
    </row>
    <row r="1086" spans="1:16">
      <c r="A1086" s="65">
        <v>1085</v>
      </c>
      <c r="B1086" s="80" t="s">
        <v>6561</v>
      </c>
      <c r="C1086" s="65" t="s">
        <v>179</v>
      </c>
      <c r="D1086" s="93" t="s">
        <v>6519</v>
      </c>
      <c r="E1086" s="48" t="str">
        <f t="shared" si="0"/>
        <v>Durham</v>
      </c>
      <c r="F1086" s="83" t="str">
        <f t="shared" si="1"/>
        <v>Durham Academy (Durham),NC</v>
      </c>
      <c r="G1086" s="65" t="s">
        <v>6562</v>
      </c>
      <c r="H1086" s="65">
        <v>35.979430100000002</v>
      </c>
      <c r="I1086" s="65">
        <v>-78.967649600000001</v>
      </c>
      <c r="J1086" s="60" t="str">
        <f ca="1">IFERROR(__xludf.DUMMYFUNCTION("SPLIT(G1086,"","")"),"3501 Ridge Rd")</f>
        <v>3501 Ridge Rd</v>
      </c>
      <c r="K1086" s="2" t="str">
        <f ca="1">IFERROR(__xludf.DUMMYFUNCTION("""COMPUTED_VALUE""")," Durham")</f>
        <v xml:space="preserve"> Durham</v>
      </c>
      <c r="L1086" s="2" t="str">
        <f ca="1">IFERROR(__xludf.DUMMYFUNCTION("""COMPUTED_VALUE""")," NC 27705")</f>
        <v xml:space="preserve"> NC 27705</v>
      </c>
      <c r="M1086" s="2" t="str">
        <f ca="1">IFERROR(__xludf.DUMMYFUNCTION("""COMPUTED_VALUE""")," USA")</f>
        <v xml:space="preserve"> USA</v>
      </c>
      <c r="P1086" s="60"/>
    </row>
    <row r="1087" spans="1:16">
      <c r="A1087" s="60">
        <v>1086</v>
      </c>
      <c r="B1087" s="79" t="s">
        <v>6565</v>
      </c>
      <c r="C1087" s="60" t="s">
        <v>1273</v>
      </c>
      <c r="D1087" s="93" t="s">
        <v>6566</v>
      </c>
      <c r="E1087" s="48" t="str">
        <f t="shared" si="0"/>
        <v>Council Bluffs</v>
      </c>
      <c r="F1087" s="83" t="str">
        <f t="shared" si="1"/>
        <v>Lincoln (Council Bluffs),IA</v>
      </c>
      <c r="G1087" s="60" t="s">
        <v>6567</v>
      </c>
      <c r="H1087" s="60">
        <v>41.257615899999998</v>
      </c>
      <c r="I1087" s="60">
        <v>-95.81928090000001</v>
      </c>
      <c r="J1087" s="60" t="str">
        <f ca="1">IFERROR(__xludf.DUMMYFUNCTION("SPLIT(G1087,"","")"),"1205 Bonham St")</f>
        <v>1205 Bonham St</v>
      </c>
      <c r="K1087" s="2" t="str">
        <f ca="1">IFERROR(__xludf.DUMMYFUNCTION("""COMPUTED_VALUE""")," Council Bluffs")</f>
        <v xml:space="preserve"> Council Bluffs</v>
      </c>
      <c r="L1087" s="2" t="str">
        <f ca="1">IFERROR(__xludf.DUMMYFUNCTION("""COMPUTED_VALUE""")," IA 51503")</f>
        <v xml:space="preserve"> IA 51503</v>
      </c>
      <c r="M1087" s="2" t="str">
        <f ca="1">IFERROR(__xludf.DUMMYFUNCTION("""COMPUTED_VALUE""")," USA")</f>
        <v xml:space="preserve"> USA</v>
      </c>
      <c r="P1087" s="60"/>
    </row>
    <row r="1088" spans="1:16">
      <c r="A1088" s="65">
        <v>1087</v>
      </c>
      <c r="B1088" s="80" t="s">
        <v>6571</v>
      </c>
      <c r="C1088" s="65" t="s">
        <v>588</v>
      </c>
      <c r="D1088" s="93" t="s">
        <v>703</v>
      </c>
      <c r="E1088" s="48" t="str">
        <f t="shared" si="0"/>
        <v>San Francisco</v>
      </c>
      <c r="F1088" s="83" t="str">
        <f t="shared" si="1"/>
        <v>Lincoln (San Francisco),CA</v>
      </c>
      <c r="G1088" s="65" t="s">
        <v>6572</v>
      </c>
      <c r="H1088" s="65">
        <v>37.7651933</v>
      </c>
      <c r="I1088" s="65">
        <v>-122.48412519999999</v>
      </c>
      <c r="J1088" s="60" t="str">
        <f ca="1">IFERROR(__xludf.DUMMYFUNCTION("SPLIT(G1088,"","")"),"Lincoln Way &amp; 25th Ave")</f>
        <v>Lincoln Way &amp; 25th Ave</v>
      </c>
      <c r="K1088" s="2" t="str">
        <f ca="1">IFERROR(__xludf.DUMMYFUNCTION("""COMPUTED_VALUE""")," San Francisco")</f>
        <v xml:space="preserve"> San Francisco</v>
      </c>
      <c r="L1088" s="2" t="str">
        <f ca="1">IFERROR(__xludf.DUMMYFUNCTION("""COMPUTED_VALUE""")," CA 94122")</f>
        <v xml:space="preserve"> CA 94122</v>
      </c>
      <c r="M1088" s="2" t="str">
        <f ca="1">IFERROR(__xludf.DUMMYFUNCTION("""COMPUTED_VALUE""")," USA")</f>
        <v xml:space="preserve"> USA</v>
      </c>
      <c r="P1088" s="60"/>
    </row>
    <row r="1089" spans="1:16">
      <c r="A1089" s="60">
        <v>1088</v>
      </c>
      <c r="B1089" s="79" t="s">
        <v>458</v>
      </c>
      <c r="C1089" s="60" t="s">
        <v>765</v>
      </c>
      <c r="D1089" s="93" t="s">
        <v>6573</v>
      </c>
      <c r="E1089" s="48" t="str">
        <f t="shared" si="0"/>
        <v>Pleasant Grove</v>
      </c>
      <c r="F1089" s="83" t="str">
        <f t="shared" si="1"/>
        <v>Pleasant Grove,UT</v>
      </c>
      <c r="G1089" s="60" t="s">
        <v>6574</v>
      </c>
      <c r="H1089" s="60">
        <v>40.364118400000002</v>
      </c>
      <c r="I1089" s="60">
        <v>-111.73854</v>
      </c>
      <c r="J1089" s="60" t="str">
        <f ca="1">IFERROR(__xludf.DUMMYFUNCTION("SPLIT(G1089,"","")"),"117 E Center St")</f>
        <v>117 E Center St</v>
      </c>
      <c r="K1089" s="2" t="str">
        <f ca="1">IFERROR(__xludf.DUMMYFUNCTION("""COMPUTED_VALUE""")," Pleasant Grove")</f>
        <v xml:space="preserve"> Pleasant Grove</v>
      </c>
      <c r="L1089" s="2" t="str">
        <f ca="1">IFERROR(__xludf.DUMMYFUNCTION("""COMPUTED_VALUE""")," UT 84062")</f>
        <v xml:space="preserve"> UT 84062</v>
      </c>
      <c r="M1089" s="2" t="str">
        <f ca="1">IFERROR(__xludf.DUMMYFUNCTION("""COMPUTED_VALUE""")," USA")</f>
        <v xml:space="preserve"> USA</v>
      </c>
      <c r="P1089" s="60"/>
    </row>
    <row r="1090" spans="1:16">
      <c r="A1090" s="65">
        <v>1089</v>
      </c>
      <c r="B1090" s="80" t="s">
        <v>6577</v>
      </c>
      <c r="C1090" s="65" t="s">
        <v>624</v>
      </c>
      <c r="D1090" s="93" t="s">
        <v>6578</v>
      </c>
      <c r="E1090" s="48" t="str">
        <f t="shared" si="0"/>
        <v>Gonzales</v>
      </c>
      <c r="F1090" s="83" t="str">
        <f t="shared" si="1"/>
        <v>East Ascension (Gonzales),LA</v>
      </c>
      <c r="G1090" s="65" t="s">
        <v>6580</v>
      </c>
      <c r="H1090" s="65">
        <v>30.228263299999998</v>
      </c>
      <c r="I1090" s="65">
        <v>-90.915030099999996</v>
      </c>
      <c r="J1090" s="60" t="str">
        <f ca="1">IFERROR(__xludf.DUMMYFUNCTION("SPLIT(G1090,"","")"),"564 S Irma Blvd")</f>
        <v>564 S Irma Blvd</v>
      </c>
      <c r="K1090" s="2" t="str">
        <f ca="1">IFERROR(__xludf.DUMMYFUNCTION("""COMPUTED_VALUE""")," Gonzales")</f>
        <v xml:space="preserve"> Gonzales</v>
      </c>
      <c r="L1090" s="2" t="str">
        <f ca="1">IFERROR(__xludf.DUMMYFUNCTION("""COMPUTED_VALUE""")," LA 70737")</f>
        <v xml:space="preserve"> LA 70737</v>
      </c>
      <c r="M1090" s="2" t="str">
        <f ca="1">IFERROR(__xludf.DUMMYFUNCTION("""COMPUTED_VALUE""")," USA")</f>
        <v xml:space="preserve"> USA</v>
      </c>
      <c r="P1090" s="60"/>
    </row>
    <row r="1091" spans="1:16">
      <c r="A1091" s="60">
        <v>1090</v>
      </c>
      <c r="B1091" s="79" t="s">
        <v>6582</v>
      </c>
      <c r="C1091" s="60" t="s">
        <v>604</v>
      </c>
      <c r="D1091" s="93" t="s">
        <v>6584</v>
      </c>
      <c r="E1091" s="48" t="str">
        <f t="shared" si="0"/>
        <v>River Forest</v>
      </c>
      <c r="F1091" s="83" t="str">
        <f t="shared" si="1"/>
        <v>Trinity (River Forest),IL</v>
      </c>
      <c r="G1091" s="60" t="s">
        <v>6586</v>
      </c>
      <c r="H1091" s="60">
        <v>41.9021708</v>
      </c>
      <c r="I1091" s="60">
        <v>-87.814207799999991</v>
      </c>
      <c r="J1091" s="60" t="str">
        <f ca="1">IFERROR(__xludf.DUMMYFUNCTION("SPLIT(G1091,"","")"),"1314 Lathrop Ave")</f>
        <v>1314 Lathrop Ave</v>
      </c>
      <c r="K1091" s="2" t="str">
        <f ca="1">IFERROR(__xludf.DUMMYFUNCTION("""COMPUTED_VALUE""")," River Forest")</f>
        <v xml:space="preserve"> River Forest</v>
      </c>
      <c r="L1091" s="2" t="str">
        <f ca="1">IFERROR(__xludf.DUMMYFUNCTION("""COMPUTED_VALUE""")," IL 60305")</f>
        <v xml:space="preserve"> IL 60305</v>
      </c>
      <c r="M1091" s="2" t="str">
        <f ca="1">IFERROR(__xludf.DUMMYFUNCTION("""COMPUTED_VALUE""")," USA")</f>
        <v xml:space="preserve"> USA</v>
      </c>
      <c r="P1091" s="60"/>
    </row>
    <row r="1092" spans="1:16">
      <c r="A1092" s="65">
        <v>1091</v>
      </c>
      <c r="B1092" s="80" t="s">
        <v>6589</v>
      </c>
      <c r="C1092" s="65" t="s">
        <v>770</v>
      </c>
      <c r="D1092" s="93" t="s">
        <v>5729</v>
      </c>
      <c r="E1092" s="48" t="str">
        <f t="shared" si="0"/>
        <v>Nashville</v>
      </c>
      <c r="F1092" s="83" t="str">
        <f t="shared" si="1"/>
        <v>Montgomery Bell Academy (Nashville),TN</v>
      </c>
      <c r="G1092" s="65" t="s">
        <v>6591</v>
      </c>
      <c r="H1092" s="65">
        <v>36.128531500000001</v>
      </c>
      <c r="I1092" s="65">
        <v>-86.836466299999998</v>
      </c>
      <c r="J1092" s="60" t="str">
        <f ca="1">IFERROR(__xludf.DUMMYFUNCTION("SPLIT(G1092,"","")"),"4001 Harding Pike")</f>
        <v>4001 Harding Pike</v>
      </c>
      <c r="K1092" s="2" t="str">
        <f ca="1">IFERROR(__xludf.DUMMYFUNCTION("""COMPUTED_VALUE""")," Nashville")</f>
        <v xml:space="preserve"> Nashville</v>
      </c>
      <c r="L1092" s="2" t="str">
        <f ca="1">IFERROR(__xludf.DUMMYFUNCTION("""COMPUTED_VALUE""")," TN 37205")</f>
        <v xml:space="preserve"> TN 37205</v>
      </c>
      <c r="M1092" s="2" t="str">
        <f ca="1">IFERROR(__xludf.DUMMYFUNCTION("""COMPUTED_VALUE""")," USA")</f>
        <v xml:space="preserve"> USA</v>
      </c>
      <c r="P1092" s="60"/>
    </row>
    <row r="1093" spans="1:16">
      <c r="A1093" s="60">
        <v>1092</v>
      </c>
      <c r="B1093" s="79" t="s">
        <v>6593</v>
      </c>
      <c r="C1093" s="60" t="s">
        <v>940</v>
      </c>
      <c r="D1093" s="93" t="s">
        <v>6595</v>
      </c>
      <c r="E1093" s="48" t="str">
        <f t="shared" si="0"/>
        <v>Elkhorn</v>
      </c>
      <c r="F1093" s="83" t="str">
        <f t="shared" si="1"/>
        <v>Mount Michael Benedictine (Elkhorn),NE</v>
      </c>
      <c r="G1093" s="60" t="s">
        <v>6597</v>
      </c>
      <c r="H1093" s="60">
        <v>41.316539599999999</v>
      </c>
      <c r="I1093" s="60">
        <v>-96.268862299999995</v>
      </c>
      <c r="J1093" s="60" t="str">
        <f ca="1">IFERROR(__xludf.DUMMYFUNCTION("SPLIT(G1093,"","")"),"22520 Mt Michael Rd")</f>
        <v>22520 Mt Michael Rd</v>
      </c>
      <c r="K1093" s="2" t="str">
        <f ca="1">IFERROR(__xludf.DUMMYFUNCTION("""COMPUTED_VALUE""")," Elkhorn")</f>
        <v xml:space="preserve"> Elkhorn</v>
      </c>
      <c r="L1093" s="2" t="str">
        <f ca="1">IFERROR(__xludf.DUMMYFUNCTION("""COMPUTED_VALUE""")," NE 68022")</f>
        <v xml:space="preserve"> NE 68022</v>
      </c>
      <c r="M1093" s="2" t="str">
        <f ca="1">IFERROR(__xludf.DUMMYFUNCTION("""COMPUTED_VALUE""")," USA")</f>
        <v xml:space="preserve"> USA</v>
      </c>
      <c r="P1093" s="60"/>
    </row>
    <row r="1094" spans="1:16">
      <c r="A1094" s="65">
        <v>1093</v>
      </c>
      <c r="B1094" s="80" t="s">
        <v>6601</v>
      </c>
      <c r="C1094" s="65" t="s">
        <v>1050</v>
      </c>
      <c r="D1094" s="93" t="s">
        <v>6603</v>
      </c>
      <c r="E1094" s="48" t="str">
        <f t="shared" si="0"/>
        <v>Shady Spring</v>
      </c>
      <c r="F1094" s="83" t="str">
        <f t="shared" si="1"/>
        <v>Shady Spring,WV</v>
      </c>
      <c r="G1094" s="65" t="s">
        <v>6604</v>
      </c>
      <c r="H1094" s="65">
        <v>37.705672200000002</v>
      </c>
      <c r="I1094" s="65">
        <v>-81.098429299999992</v>
      </c>
      <c r="J1094" s="60" t="str">
        <f ca="1">IFERROR(__xludf.DUMMYFUNCTION("SPLIT(G1094,"","")"),"108 Hinton Rd")</f>
        <v>108 Hinton Rd</v>
      </c>
      <c r="K1094" s="2" t="str">
        <f ca="1">IFERROR(__xludf.DUMMYFUNCTION("""COMPUTED_VALUE""")," Shady Spring")</f>
        <v xml:space="preserve"> Shady Spring</v>
      </c>
      <c r="L1094" s="2" t="str">
        <f ca="1">IFERROR(__xludf.DUMMYFUNCTION("""COMPUTED_VALUE""")," WV 25918")</f>
        <v xml:space="preserve"> WV 25918</v>
      </c>
      <c r="M1094" s="2" t="str">
        <f ca="1">IFERROR(__xludf.DUMMYFUNCTION("""COMPUTED_VALUE""")," USA")</f>
        <v xml:space="preserve"> USA</v>
      </c>
      <c r="P1094" s="60"/>
    </row>
    <row r="1095" spans="1:16">
      <c r="A1095" s="60">
        <v>1094</v>
      </c>
      <c r="B1095" s="79" t="s">
        <v>6607</v>
      </c>
      <c r="C1095" s="60" t="s">
        <v>595</v>
      </c>
      <c r="D1095" s="93" t="s">
        <v>1109</v>
      </c>
      <c r="E1095" s="48" t="str">
        <f t="shared" si="0"/>
        <v>Arlington</v>
      </c>
      <c r="F1095" s="83" t="str">
        <f t="shared" si="1"/>
        <v>Seguin (Arlington),TX</v>
      </c>
      <c r="G1095" s="60" t="s">
        <v>6610</v>
      </c>
      <c r="H1095" s="60">
        <v>32.632345700000002</v>
      </c>
      <c r="I1095" s="60">
        <v>-97.100944499999997</v>
      </c>
      <c r="J1095" s="60" t="str">
        <f ca="1">IFERROR(__xludf.DUMMYFUNCTION("SPLIT(G1095,"","")"),"7001 Silo Rd")</f>
        <v>7001 Silo Rd</v>
      </c>
      <c r="K1095" s="2" t="str">
        <f ca="1">IFERROR(__xludf.DUMMYFUNCTION("""COMPUTED_VALUE""")," Arlington")</f>
        <v xml:space="preserve"> Arlington</v>
      </c>
      <c r="L1095" s="2" t="str">
        <f ca="1">IFERROR(__xludf.DUMMYFUNCTION("""COMPUTED_VALUE""")," TX 76002")</f>
        <v xml:space="preserve"> TX 76002</v>
      </c>
      <c r="M1095" s="2" t="str">
        <f ca="1">IFERROR(__xludf.DUMMYFUNCTION("""COMPUTED_VALUE""")," USA")</f>
        <v xml:space="preserve"> USA</v>
      </c>
      <c r="P1095" s="60"/>
    </row>
    <row r="1096" spans="1:16">
      <c r="A1096" s="65">
        <v>1095</v>
      </c>
      <c r="B1096" s="80" t="s">
        <v>6613</v>
      </c>
      <c r="C1096" s="65" t="s">
        <v>191</v>
      </c>
      <c r="D1096" s="93" t="s">
        <v>6614</v>
      </c>
      <c r="E1096" s="48" t="str">
        <f t="shared" si="0"/>
        <v>Hemlock</v>
      </c>
      <c r="F1096" s="83" t="str">
        <f t="shared" si="1"/>
        <v>Hemlock,MI</v>
      </c>
      <c r="G1096" s="65" t="s">
        <v>6615</v>
      </c>
      <c r="H1096" s="65">
        <v>43.414748799999998</v>
      </c>
      <c r="I1096" s="65">
        <v>-84.230539800000003</v>
      </c>
      <c r="J1096" s="60" t="str">
        <f ca="1">IFERROR(__xludf.DUMMYFUNCTION("SPLIT(G1096,"","")"),"134 E Saginaw St")</f>
        <v>134 E Saginaw St</v>
      </c>
      <c r="K1096" s="2" t="str">
        <f ca="1">IFERROR(__xludf.DUMMYFUNCTION("""COMPUTED_VALUE""")," Hemlock")</f>
        <v xml:space="preserve"> Hemlock</v>
      </c>
      <c r="L1096" s="2" t="str">
        <f ca="1">IFERROR(__xludf.DUMMYFUNCTION("""COMPUTED_VALUE""")," MI 48626")</f>
        <v xml:space="preserve"> MI 48626</v>
      </c>
      <c r="M1096" s="2" t="str">
        <f ca="1">IFERROR(__xludf.DUMMYFUNCTION("""COMPUTED_VALUE""")," USA")</f>
        <v xml:space="preserve"> USA</v>
      </c>
      <c r="P1096" s="60"/>
    </row>
    <row r="1097" spans="1:16">
      <c r="A1097" s="60">
        <v>1096</v>
      </c>
      <c r="B1097" s="79" t="s">
        <v>6618</v>
      </c>
      <c r="C1097" s="60" t="s">
        <v>745</v>
      </c>
      <c r="D1097" s="93" t="s">
        <v>6619</v>
      </c>
      <c r="E1097" s="48" t="str">
        <f t="shared" si="0"/>
        <v>Sumner</v>
      </c>
      <c r="F1097" s="83" t="str">
        <f t="shared" si="1"/>
        <v>Sumner,WA</v>
      </c>
      <c r="G1097" s="60" t="s">
        <v>6620</v>
      </c>
      <c r="H1097" s="60">
        <v>47.2031566</v>
      </c>
      <c r="I1097" s="60">
        <v>-122.2403966</v>
      </c>
      <c r="J1097" s="60" t="str">
        <f ca="1">IFERROR(__xludf.DUMMYFUNCTION("SPLIT(G1097,"","")"),"921 Alder Ave")</f>
        <v>921 Alder Ave</v>
      </c>
      <c r="K1097" s="2" t="str">
        <f ca="1">IFERROR(__xludf.DUMMYFUNCTION("""COMPUTED_VALUE""")," Sumner")</f>
        <v xml:space="preserve"> Sumner</v>
      </c>
      <c r="L1097" s="2" t="str">
        <f ca="1">IFERROR(__xludf.DUMMYFUNCTION("""COMPUTED_VALUE""")," WA 98390")</f>
        <v xml:space="preserve"> WA 98390</v>
      </c>
      <c r="M1097" s="2" t="str">
        <f ca="1">IFERROR(__xludf.DUMMYFUNCTION("""COMPUTED_VALUE""")," USA")</f>
        <v xml:space="preserve"> USA</v>
      </c>
      <c r="P1097" s="60"/>
    </row>
    <row r="1098" spans="1:16">
      <c r="A1098" s="65">
        <v>1097</v>
      </c>
      <c r="B1098" s="80" t="s">
        <v>6622</v>
      </c>
      <c r="C1098" s="65" t="s">
        <v>712</v>
      </c>
      <c r="D1098" s="93" t="s">
        <v>724</v>
      </c>
      <c r="E1098" s="48" t="str">
        <f t="shared" si="0"/>
        <v>Washington</v>
      </c>
      <c r="F1098" s="83" t="str">
        <f t="shared" si="1"/>
        <v>Roosevelt (Washington),DC</v>
      </c>
      <c r="G1098" s="65" t="s">
        <v>6623</v>
      </c>
      <c r="H1098" s="65">
        <v>38.943046000000002</v>
      </c>
      <c r="I1098" s="65">
        <v>-77.029175100000003</v>
      </c>
      <c r="J1098" s="60" t="str">
        <f ca="1">IFERROR(__xludf.DUMMYFUNCTION("SPLIT(G1098,"","")"),"4301 13th St NW")</f>
        <v>4301 13th St NW</v>
      </c>
      <c r="K1098" s="2" t="str">
        <f ca="1">IFERROR(__xludf.DUMMYFUNCTION("""COMPUTED_VALUE""")," Washington")</f>
        <v xml:space="preserve"> Washington</v>
      </c>
      <c r="L1098" s="2" t="str">
        <f ca="1">IFERROR(__xludf.DUMMYFUNCTION("""COMPUTED_VALUE""")," DC 20011")</f>
        <v xml:space="preserve"> DC 20011</v>
      </c>
      <c r="M1098" s="2" t="str">
        <f ca="1">IFERROR(__xludf.DUMMYFUNCTION("""COMPUTED_VALUE""")," USA")</f>
        <v xml:space="preserve"> USA</v>
      </c>
      <c r="P1098" s="60"/>
    </row>
    <row r="1099" spans="1:16">
      <c r="A1099" s="60">
        <v>1098</v>
      </c>
      <c r="B1099" s="79" t="s">
        <v>6626</v>
      </c>
      <c r="C1099" s="60" t="s">
        <v>1039</v>
      </c>
      <c r="D1099" s="93" t="s">
        <v>6627</v>
      </c>
      <c r="E1099" s="48" t="str">
        <f t="shared" si="0"/>
        <v>Westwood</v>
      </c>
      <c r="F1099" s="83" t="str">
        <f t="shared" si="1"/>
        <v>Westwood,MA</v>
      </c>
      <c r="G1099" s="60" t="s">
        <v>6629</v>
      </c>
      <c r="H1099" s="60">
        <v>42.213987300000007</v>
      </c>
      <c r="I1099" s="60">
        <v>-71.224498699999998</v>
      </c>
      <c r="J1099" s="60" t="str">
        <f ca="1">IFERROR(__xludf.DUMMYFUNCTION("SPLIT(G1099,"","")"),"20 Crouse Ave")</f>
        <v>20 Crouse Ave</v>
      </c>
      <c r="K1099" s="2" t="str">
        <f ca="1">IFERROR(__xludf.DUMMYFUNCTION("""COMPUTED_VALUE""")," Westwood")</f>
        <v xml:space="preserve"> Westwood</v>
      </c>
      <c r="L1099" s="2" t="str">
        <f ca="1">IFERROR(__xludf.DUMMYFUNCTION("""COMPUTED_VALUE""")," MA 02090")</f>
        <v xml:space="preserve"> MA 02090</v>
      </c>
      <c r="M1099" s="2" t="str">
        <f ca="1">IFERROR(__xludf.DUMMYFUNCTION("""COMPUTED_VALUE""")," USA")</f>
        <v xml:space="preserve"> USA</v>
      </c>
      <c r="P1099" s="60"/>
    </row>
    <row r="1100" spans="1:16">
      <c r="A1100" s="65">
        <v>1099</v>
      </c>
      <c r="B1100" s="80" t="s">
        <v>6632</v>
      </c>
      <c r="C1100" s="65" t="s">
        <v>604</v>
      </c>
      <c r="D1100" s="93" t="s">
        <v>6633</v>
      </c>
      <c r="E1100" s="48" t="str">
        <f t="shared" si="0"/>
        <v>DeKalb</v>
      </c>
      <c r="F1100" s="83" t="str">
        <f t="shared" si="1"/>
        <v>DeKalb,IL</v>
      </c>
      <c r="G1100" s="65" t="s">
        <v>6634</v>
      </c>
      <c r="H1100" s="65">
        <v>41.929473600000001</v>
      </c>
      <c r="I1100" s="65">
        <v>-88.750364699999992</v>
      </c>
      <c r="J1100" s="60" t="str">
        <f ca="1">IFERROR(__xludf.DUMMYFUNCTION("SPLIT(G1100,"","")"),"121 S 4th St")</f>
        <v>121 S 4th St</v>
      </c>
      <c r="K1100" s="2" t="str">
        <f ca="1">IFERROR(__xludf.DUMMYFUNCTION("""COMPUTED_VALUE""")," DeKalb")</f>
        <v xml:space="preserve"> DeKalb</v>
      </c>
      <c r="L1100" s="2" t="str">
        <f ca="1">IFERROR(__xludf.DUMMYFUNCTION("""COMPUTED_VALUE""")," IL 60115")</f>
        <v xml:space="preserve"> IL 60115</v>
      </c>
      <c r="M1100" s="2" t="str">
        <f ca="1">IFERROR(__xludf.DUMMYFUNCTION("""COMPUTED_VALUE""")," USA")</f>
        <v xml:space="preserve"> USA</v>
      </c>
      <c r="P1100" s="60"/>
    </row>
    <row r="1101" spans="1:16">
      <c r="A1101" s="97">
        <v>1100</v>
      </c>
      <c r="B1101" s="99" t="s">
        <v>6636</v>
      </c>
      <c r="C1101" s="97" t="s">
        <v>191</v>
      </c>
      <c r="D1101" s="93" t="s">
        <v>6637</v>
      </c>
      <c r="E1101" s="48" t="str">
        <f t="shared" si="0"/>
        <v>Hamtramck</v>
      </c>
      <c r="F1101" s="83" t="str">
        <f t="shared" si="1"/>
        <v>Hamtramck,MI</v>
      </c>
      <c r="G1101" s="97" t="s">
        <v>6638</v>
      </c>
      <c r="H1101" s="97">
        <v>42.3928151</v>
      </c>
      <c r="I1101" s="97">
        <v>-83.049643799999998</v>
      </c>
      <c r="J1101" s="60" t="str">
        <f ca="1">IFERROR(__xludf.DUMMYFUNCTION("SPLIT(G1101,"","")"),"3153 Roosevelt St")</f>
        <v>3153 Roosevelt St</v>
      </c>
      <c r="K1101" s="2" t="str">
        <f ca="1">IFERROR(__xludf.DUMMYFUNCTION("""COMPUTED_VALUE""")," Hamtramck")</f>
        <v xml:space="preserve"> Hamtramck</v>
      </c>
      <c r="L1101" s="2" t="str">
        <f ca="1">IFERROR(__xludf.DUMMYFUNCTION("""COMPUTED_VALUE""")," MI 48212")</f>
        <v xml:space="preserve"> MI 48212</v>
      </c>
      <c r="M1101" s="2" t="str">
        <f ca="1">IFERROR(__xludf.DUMMYFUNCTION("""COMPUTED_VALUE""")," USA")</f>
        <v xml:space="preserve"> USA</v>
      </c>
      <c r="P1101" s="60"/>
    </row>
    <row r="1102" spans="1:16">
      <c r="A1102" s="60">
        <v>1101</v>
      </c>
      <c r="B1102" s="79" t="s">
        <v>6641</v>
      </c>
      <c r="C1102" s="60" t="s">
        <v>588</v>
      </c>
      <c r="D1102" s="93" t="s">
        <v>3018</v>
      </c>
      <c r="E1102" s="48" t="str">
        <f t="shared" si="0"/>
        <v>Anaheim</v>
      </c>
      <c r="F1102" s="83" t="str">
        <f t="shared" si="1"/>
        <v>Canyon (Anaheim),CA</v>
      </c>
      <c r="G1102" s="60" t="s">
        <v>6643</v>
      </c>
      <c r="H1102" s="60">
        <v>33.8471403</v>
      </c>
      <c r="I1102" s="60">
        <v>-117.78835580000001</v>
      </c>
      <c r="J1102" s="60" t="str">
        <f ca="1">IFERROR(__xludf.DUMMYFUNCTION("SPLIT(G1102,"","")"),"220 S Imperial Hwy")</f>
        <v>220 S Imperial Hwy</v>
      </c>
      <c r="K1102" s="2" t="str">
        <f ca="1">IFERROR(__xludf.DUMMYFUNCTION("""COMPUTED_VALUE""")," Anaheim")</f>
        <v xml:space="preserve"> Anaheim</v>
      </c>
      <c r="L1102" s="2" t="str">
        <f ca="1">IFERROR(__xludf.DUMMYFUNCTION("""COMPUTED_VALUE""")," CA 92807")</f>
        <v xml:space="preserve"> CA 92807</v>
      </c>
      <c r="M1102" s="2" t="str">
        <f ca="1">IFERROR(__xludf.DUMMYFUNCTION("""COMPUTED_VALUE""")," USA")</f>
        <v xml:space="preserve"> USA</v>
      </c>
      <c r="P1102" s="60"/>
    </row>
    <row r="1103" spans="1:16">
      <c r="A1103" s="65">
        <v>1102</v>
      </c>
      <c r="B1103" s="80" t="s">
        <v>6645</v>
      </c>
      <c r="C1103" s="65" t="s">
        <v>1379</v>
      </c>
      <c r="D1103" s="93" t="s">
        <v>6646</v>
      </c>
      <c r="E1103" s="48" t="str">
        <f t="shared" si="0"/>
        <v>Worland</v>
      </c>
      <c r="F1103" s="83" t="str">
        <f t="shared" si="1"/>
        <v>Worland,WY</v>
      </c>
      <c r="G1103" s="65" t="s">
        <v>6648</v>
      </c>
      <c r="H1103" s="65">
        <v>44.016901399999988</v>
      </c>
      <c r="I1103" s="65">
        <v>-107.95537210000001</v>
      </c>
      <c r="J1103" s="60" t="str">
        <f ca="1">IFERROR(__xludf.DUMMYFUNCTION("SPLIT(G1103,"","")"),"1801 Big Horn Ave")</f>
        <v>1801 Big Horn Ave</v>
      </c>
      <c r="K1103" s="2" t="str">
        <f ca="1">IFERROR(__xludf.DUMMYFUNCTION("""COMPUTED_VALUE""")," Worland")</f>
        <v xml:space="preserve"> Worland</v>
      </c>
      <c r="L1103" s="2" t="str">
        <f ca="1">IFERROR(__xludf.DUMMYFUNCTION("""COMPUTED_VALUE""")," WY 82401")</f>
        <v xml:space="preserve"> WY 82401</v>
      </c>
      <c r="M1103" s="2" t="str">
        <f ca="1">IFERROR(__xludf.DUMMYFUNCTION("""COMPUTED_VALUE""")," USA")</f>
        <v xml:space="preserve"> USA</v>
      </c>
      <c r="P1103" s="60"/>
    </row>
    <row r="1104" spans="1:16">
      <c r="A1104" s="60">
        <v>1103</v>
      </c>
      <c r="B1104" s="79" t="s">
        <v>6650</v>
      </c>
      <c r="C1104" s="60" t="s">
        <v>682</v>
      </c>
      <c r="D1104" s="93" t="s">
        <v>6652</v>
      </c>
      <c r="E1104" s="48" t="str">
        <f t="shared" si="0"/>
        <v>Seymour</v>
      </c>
      <c r="F1104" s="83" t="str">
        <f t="shared" si="1"/>
        <v>Seymour,WI</v>
      </c>
      <c r="G1104" s="60" t="s">
        <v>6653</v>
      </c>
      <c r="H1104" s="60">
        <v>44.514987900000001</v>
      </c>
      <c r="I1104" s="60">
        <v>-88.330379800000003</v>
      </c>
      <c r="J1104" s="60" t="str">
        <f ca="1">IFERROR(__xludf.DUMMYFUNCTION("SPLIT(G1104,"","")"),"349 N Main St")</f>
        <v>349 N Main St</v>
      </c>
      <c r="K1104" s="2" t="str">
        <f ca="1">IFERROR(__xludf.DUMMYFUNCTION("""COMPUTED_VALUE""")," Seymour")</f>
        <v xml:space="preserve"> Seymour</v>
      </c>
      <c r="L1104" s="2" t="str">
        <f ca="1">IFERROR(__xludf.DUMMYFUNCTION("""COMPUTED_VALUE""")," WI 54165")</f>
        <v xml:space="preserve"> WI 54165</v>
      </c>
      <c r="M1104" s="2" t="str">
        <f ca="1">IFERROR(__xludf.DUMMYFUNCTION("""COMPUTED_VALUE""")," USA")</f>
        <v xml:space="preserve"> USA</v>
      </c>
      <c r="P1104" s="60"/>
    </row>
    <row r="1105" spans="1:16">
      <c r="A1105" s="65">
        <v>1104</v>
      </c>
      <c r="B1105" s="80" t="s">
        <v>3922</v>
      </c>
      <c r="C1105" s="65" t="s">
        <v>608</v>
      </c>
      <c r="D1105" s="93" t="s">
        <v>2822</v>
      </c>
      <c r="E1105" s="48" t="str">
        <f t="shared" si="0"/>
        <v>Lake City</v>
      </c>
      <c r="F1105" s="83" t="str">
        <f t="shared" si="1"/>
        <v>Lake City,MN</v>
      </c>
      <c r="G1105" s="65" t="s">
        <v>6656</v>
      </c>
      <c r="H1105" s="65">
        <v>44.449298200000001</v>
      </c>
      <c r="I1105" s="65">
        <v>-92.266691399999999</v>
      </c>
      <c r="J1105" s="60" t="str">
        <f ca="1">IFERROR(__xludf.DUMMYFUNCTION("SPLIT(G1105,"","")"),"63 W Lyon Ave")</f>
        <v>63 W Lyon Ave</v>
      </c>
      <c r="K1105" s="2" t="str">
        <f ca="1">IFERROR(__xludf.DUMMYFUNCTION("""COMPUTED_VALUE""")," Lake City")</f>
        <v xml:space="preserve"> Lake City</v>
      </c>
      <c r="L1105" s="2" t="str">
        <f ca="1">IFERROR(__xludf.DUMMYFUNCTION("""COMPUTED_VALUE""")," MN 55041")</f>
        <v xml:space="preserve"> MN 55041</v>
      </c>
      <c r="M1105" s="2" t="str">
        <f ca="1">IFERROR(__xludf.DUMMYFUNCTION("""COMPUTED_VALUE""")," USA")</f>
        <v xml:space="preserve"> USA</v>
      </c>
      <c r="P1105" s="60"/>
    </row>
    <row r="1106" spans="1:16">
      <c r="A1106" s="60">
        <v>1105</v>
      </c>
      <c r="B1106" s="79" t="s">
        <v>6659</v>
      </c>
      <c r="C1106" s="60" t="s">
        <v>770</v>
      </c>
      <c r="D1106" s="93" t="s">
        <v>875</v>
      </c>
      <c r="E1106" s="48" t="str">
        <f t="shared" si="0"/>
        <v>Memphis</v>
      </c>
      <c r="F1106" s="83" t="str">
        <f t="shared" si="1"/>
        <v>Christian Brothers (Memphis),TN</v>
      </c>
      <c r="G1106" s="60" t="s">
        <v>6660</v>
      </c>
      <c r="H1106" s="60">
        <v>35.132071000000003</v>
      </c>
      <c r="I1106" s="60">
        <v>-89.864853999999994</v>
      </c>
      <c r="J1106" s="60" t="str">
        <f ca="1">IFERROR(__xludf.DUMMYFUNCTION("SPLIT(G1106,"","")"),"5900 Walnut Grove Rd")</f>
        <v>5900 Walnut Grove Rd</v>
      </c>
      <c r="K1106" s="2" t="str">
        <f ca="1">IFERROR(__xludf.DUMMYFUNCTION("""COMPUTED_VALUE""")," Memphis")</f>
        <v xml:space="preserve"> Memphis</v>
      </c>
      <c r="L1106" s="2" t="str">
        <f ca="1">IFERROR(__xludf.DUMMYFUNCTION("""COMPUTED_VALUE""")," TN 38120")</f>
        <v xml:space="preserve"> TN 38120</v>
      </c>
      <c r="M1106" s="2" t="str">
        <f ca="1">IFERROR(__xludf.DUMMYFUNCTION("""COMPUTED_VALUE""")," USA")</f>
        <v xml:space="preserve"> USA</v>
      </c>
      <c r="P1106" s="60"/>
    </row>
    <row r="1107" spans="1:16">
      <c r="A1107" s="65">
        <v>1106</v>
      </c>
      <c r="B1107" s="80" t="s">
        <v>6663</v>
      </c>
      <c r="C1107" s="65" t="s">
        <v>796</v>
      </c>
      <c r="D1107" s="93" t="s">
        <v>6664</v>
      </c>
      <c r="E1107" s="48" t="str">
        <f t="shared" si="0"/>
        <v>Hoyt</v>
      </c>
      <c r="F1107" s="83" t="str">
        <f t="shared" si="1"/>
        <v>Royal Valley (Hoyt),KS</v>
      </c>
      <c r="G1107" s="65" t="s">
        <v>6665</v>
      </c>
      <c r="H1107" s="65">
        <v>39.244688799999999</v>
      </c>
      <c r="I1107" s="65">
        <v>-95.705163200000001</v>
      </c>
      <c r="J1107" s="60" t="str">
        <f ca="1">IFERROR(__xludf.DUMMYFUNCTION("SPLIT(G1107,"","")"),"101 E 1st St")</f>
        <v>101 E 1st St</v>
      </c>
      <c r="K1107" s="2" t="str">
        <f ca="1">IFERROR(__xludf.DUMMYFUNCTION("""COMPUTED_VALUE""")," Hoyt")</f>
        <v xml:space="preserve"> Hoyt</v>
      </c>
      <c r="L1107" s="2" t="str">
        <f ca="1">IFERROR(__xludf.DUMMYFUNCTION("""COMPUTED_VALUE""")," KS 66440")</f>
        <v xml:space="preserve"> KS 66440</v>
      </c>
      <c r="M1107" s="2" t="str">
        <f ca="1">IFERROR(__xludf.DUMMYFUNCTION("""COMPUTED_VALUE""")," USA")</f>
        <v xml:space="preserve"> USA</v>
      </c>
      <c r="P1107" s="60"/>
    </row>
    <row r="1108" spans="1:16">
      <c r="A1108" s="60">
        <v>1107</v>
      </c>
      <c r="B1108" s="79" t="s">
        <v>6667</v>
      </c>
      <c r="C1108" s="60" t="s">
        <v>897</v>
      </c>
      <c r="D1108" s="93" t="s">
        <v>6668</v>
      </c>
      <c r="E1108" s="48" t="str">
        <f t="shared" si="0"/>
        <v>Monroe City</v>
      </c>
      <c r="F1108" s="83" t="str">
        <f t="shared" si="1"/>
        <v>Monroe City,MO</v>
      </c>
      <c r="G1108" s="60" t="s">
        <v>6669</v>
      </c>
      <c r="H1108" s="60">
        <v>39.653652899999997</v>
      </c>
      <c r="I1108" s="60">
        <v>-91.734605599999995</v>
      </c>
      <c r="J1108" s="60" t="str">
        <f ca="1">IFERROR(__xludf.DUMMYFUNCTION("SPLIT(G1108,"","")"),"213 N Main St")</f>
        <v>213 N Main St</v>
      </c>
      <c r="K1108" s="2" t="str">
        <f ca="1">IFERROR(__xludf.DUMMYFUNCTION("""COMPUTED_VALUE""")," Monroe City")</f>
        <v xml:space="preserve"> Monroe City</v>
      </c>
      <c r="L1108" s="2" t="str">
        <f ca="1">IFERROR(__xludf.DUMMYFUNCTION("""COMPUTED_VALUE""")," MO 63456")</f>
        <v xml:space="preserve"> MO 63456</v>
      </c>
      <c r="M1108" s="2" t="str">
        <f ca="1">IFERROR(__xludf.DUMMYFUNCTION("""COMPUTED_VALUE""")," USA")</f>
        <v xml:space="preserve"> USA</v>
      </c>
      <c r="P1108" s="60"/>
    </row>
    <row r="1109" spans="1:16">
      <c r="A1109" s="65">
        <v>1108</v>
      </c>
      <c r="B1109" s="80" t="s">
        <v>6673</v>
      </c>
      <c r="C1109" s="65" t="s">
        <v>693</v>
      </c>
      <c r="D1109" s="93" t="s">
        <v>713</v>
      </c>
      <c r="E1109" s="48" t="str">
        <f t="shared" si="0"/>
        <v>Jackson</v>
      </c>
      <c r="F1109" s="83" t="str">
        <f t="shared" si="1"/>
        <v>Wingfield (Jackson),MS</v>
      </c>
      <c r="G1109" s="65" t="s">
        <v>6674</v>
      </c>
      <c r="H1109" s="65">
        <v>32.280399699999997</v>
      </c>
      <c r="I1109" s="65">
        <v>-90.241764399999994</v>
      </c>
      <c r="J1109" s="60" t="str">
        <f ca="1">IFERROR(__xludf.DUMMYFUNCTION("SPLIT(G1109,"","")"),"9002 Anna Lisa Ln")</f>
        <v>9002 Anna Lisa Ln</v>
      </c>
      <c r="K1109" s="2" t="str">
        <f ca="1">IFERROR(__xludf.DUMMYFUNCTION("""COMPUTED_VALUE""")," Jackson")</f>
        <v xml:space="preserve"> Jackson</v>
      </c>
      <c r="L1109" s="2" t="str">
        <f ca="1">IFERROR(__xludf.DUMMYFUNCTION("""COMPUTED_VALUE""")," MS 39204")</f>
        <v xml:space="preserve"> MS 39204</v>
      </c>
      <c r="M1109" s="2" t="str">
        <f ca="1">IFERROR(__xludf.DUMMYFUNCTION("""COMPUTED_VALUE""")," USA")</f>
        <v xml:space="preserve"> USA</v>
      </c>
      <c r="P1109" s="60"/>
    </row>
    <row r="1110" spans="1:16">
      <c r="A1110" s="60">
        <v>1109</v>
      </c>
      <c r="B1110" s="79" t="s">
        <v>6677</v>
      </c>
      <c r="C1110" s="60" t="s">
        <v>897</v>
      </c>
      <c r="D1110" s="93" t="s">
        <v>3094</v>
      </c>
      <c r="E1110" s="48" t="str">
        <f t="shared" si="0"/>
        <v>Kansas City</v>
      </c>
      <c r="F1110" s="83" t="str">
        <f t="shared" si="1"/>
        <v>Raytown,MO</v>
      </c>
      <c r="G1110" s="60" t="s">
        <v>6680</v>
      </c>
      <c r="H1110" s="60">
        <v>39.008617100000002</v>
      </c>
      <c r="I1110" s="60">
        <v>-94.463563799999989</v>
      </c>
      <c r="J1110" s="60" t="str">
        <f ca="1">IFERROR(__xludf.DUMMYFUNCTION("SPLIT(G1110,"","")"),"6300 Raytown Rd")</f>
        <v>6300 Raytown Rd</v>
      </c>
      <c r="K1110" s="2" t="str">
        <f ca="1">IFERROR(__xludf.DUMMYFUNCTION("""COMPUTED_VALUE""")," Kansas City")</f>
        <v xml:space="preserve"> Kansas City</v>
      </c>
      <c r="L1110" s="2" t="str">
        <f ca="1">IFERROR(__xludf.DUMMYFUNCTION("""COMPUTED_VALUE""")," MO 64133")</f>
        <v xml:space="preserve"> MO 64133</v>
      </c>
      <c r="M1110" s="2" t="str">
        <f ca="1">IFERROR(__xludf.DUMMYFUNCTION("""COMPUTED_VALUE""")," USA")</f>
        <v xml:space="preserve"> USA</v>
      </c>
      <c r="P1110" s="60"/>
    </row>
    <row r="1111" spans="1:16">
      <c r="A1111" s="65">
        <v>1110</v>
      </c>
      <c r="B1111" s="80" t="s">
        <v>6684</v>
      </c>
      <c r="C1111" s="65" t="s">
        <v>897</v>
      </c>
      <c r="D1111" s="93" t="s">
        <v>6685</v>
      </c>
      <c r="E1111" s="48" t="str">
        <f t="shared" si="0"/>
        <v>Liberty</v>
      </c>
      <c r="F1111" s="83" t="str">
        <f t="shared" si="1"/>
        <v>Liberty,MO</v>
      </c>
      <c r="G1111" s="65" t="s">
        <v>6686</v>
      </c>
      <c r="H1111" s="65">
        <v>39.246113800000003</v>
      </c>
      <c r="I1111" s="65">
        <v>-94.419117700000001</v>
      </c>
      <c r="J1111" s="60" t="str">
        <f ca="1">IFERROR(__xludf.DUMMYFUNCTION("SPLIT(G1111,"","")"),"110 E Kansas St")</f>
        <v>110 E Kansas St</v>
      </c>
      <c r="K1111" s="2" t="str">
        <f ca="1">IFERROR(__xludf.DUMMYFUNCTION("""COMPUTED_VALUE""")," Liberty")</f>
        <v xml:space="preserve"> Liberty</v>
      </c>
      <c r="L1111" s="2" t="str">
        <f ca="1">IFERROR(__xludf.DUMMYFUNCTION("""COMPUTED_VALUE""")," MO 64068")</f>
        <v xml:space="preserve"> MO 64068</v>
      </c>
      <c r="M1111" s="2" t="str">
        <f ca="1">IFERROR(__xludf.DUMMYFUNCTION("""COMPUTED_VALUE""")," USA")</f>
        <v xml:space="preserve"> USA</v>
      </c>
      <c r="P1111" s="60"/>
    </row>
    <row r="1112" spans="1:16">
      <c r="A1112" s="60">
        <v>1111</v>
      </c>
      <c r="B1112" s="79" t="s">
        <v>6691</v>
      </c>
      <c r="C1112" s="60" t="s">
        <v>595</v>
      </c>
      <c r="D1112" s="93" t="s">
        <v>718</v>
      </c>
      <c r="E1112" s="48" t="str">
        <f t="shared" si="0"/>
        <v>Waxahachie</v>
      </c>
      <c r="F1112" s="83" t="str">
        <f t="shared" si="1"/>
        <v>Life Waxahachie (Waxahachie),TX</v>
      </c>
      <c r="G1112" s="60" t="s">
        <v>6693</v>
      </c>
      <c r="H1112" s="60">
        <v>32.460689899999998</v>
      </c>
      <c r="I1112" s="60">
        <v>-96.838098799999997</v>
      </c>
      <c r="J1112" s="60" t="str">
        <f ca="1">IFERROR(__xludf.DUMMYFUNCTION("SPLIT(G1112,"","")"),"170 Butcher Rd")</f>
        <v>170 Butcher Rd</v>
      </c>
      <c r="K1112" s="2" t="str">
        <f ca="1">IFERROR(__xludf.DUMMYFUNCTION("""COMPUTED_VALUE""")," Waxahachie")</f>
        <v xml:space="preserve"> Waxahachie</v>
      </c>
      <c r="L1112" s="2" t="str">
        <f ca="1">IFERROR(__xludf.DUMMYFUNCTION("""COMPUTED_VALUE""")," TX 75165")</f>
        <v xml:space="preserve"> TX 75165</v>
      </c>
      <c r="M1112" s="2" t="str">
        <f ca="1">IFERROR(__xludf.DUMMYFUNCTION("""COMPUTED_VALUE""")," USA")</f>
        <v xml:space="preserve"> USA</v>
      </c>
      <c r="P1112" s="60"/>
    </row>
    <row r="1113" spans="1:16">
      <c r="A1113" s="65">
        <v>1112</v>
      </c>
      <c r="B1113" s="80" t="s">
        <v>6696</v>
      </c>
      <c r="C1113" s="65" t="s">
        <v>174</v>
      </c>
      <c r="D1113" s="93" t="s">
        <v>6697</v>
      </c>
      <c r="E1113" s="48" t="str">
        <f t="shared" si="0"/>
        <v>Solon</v>
      </c>
      <c r="F1113" s="83" t="str">
        <f t="shared" si="1"/>
        <v>Solon,OH</v>
      </c>
      <c r="G1113" s="65" t="s">
        <v>6699</v>
      </c>
      <c r="H1113" s="65">
        <v>41.389776400000002</v>
      </c>
      <c r="I1113" s="65">
        <v>-81.441225899999992</v>
      </c>
      <c r="J1113" s="60" t="str">
        <f ca="1">IFERROR(__xludf.DUMMYFUNCTION("SPLIT(G1113,"","")"),"33445 Bainbridge Rd")</f>
        <v>33445 Bainbridge Rd</v>
      </c>
      <c r="K1113" s="2" t="str">
        <f ca="1">IFERROR(__xludf.DUMMYFUNCTION("""COMPUTED_VALUE""")," Solon")</f>
        <v xml:space="preserve"> Solon</v>
      </c>
      <c r="L1113" s="2" t="str">
        <f ca="1">IFERROR(__xludf.DUMMYFUNCTION("""COMPUTED_VALUE""")," OH 44139")</f>
        <v xml:space="preserve"> OH 44139</v>
      </c>
      <c r="M1113" s="2" t="str">
        <f ca="1">IFERROR(__xludf.DUMMYFUNCTION("""COMPUTED_VALUE""")," USA")</f>
        <v xml:space="preserve"> USA</v>
      </c>
      <c r="P1113" s="60"/>
    </row>
    <row r="1114" spans="1:16">
      <c r="A1114" s="60">
        <v>1113</v>
      </c>
      <c r="B1114" s="79" t="s">
        <v>6701</v>
      </c>
      <c r="C1114" s="60" t="s">
        <v>624</v>
      </c>
      <c r="D1114" s="93" t="s">
        <v>6702</v>
      </c>
      <c r="E1114" s="48" t="str">
        <f t="shared" si="0"/>
        <v>Shreveport</v>
      </c>
      <c r="F1114" s="83" t="str">
        <f t="shared" si="1"/>
        <v>Captain Shreve (Shreveport),LA</v>
      </c>
      <c r="G1114" s="60" t="s">
        <v>6704</v>
      </c>
      <c r="H1114" s="60">
        <v>32.448439200000003</v>
      </c>
      <c r="I1114" s="60">
        <v>-93.713507699999994</v>
      </c>
      <c r="J1114" s="60" t="str">
        <f ca="1">IFERROR(__xludf.DUMMYFUNCTION("SPLIT(G1114,"","")"),"6115 E Kings Hwy")</f>
        <v>6115 E Kings Hwy</v>
      </c>
      <c r="K1114" s="2" t="str">
        <f ca="1">IFERROR(__xludf.DUMMYFUNCTION("""COMPUTED_VALUE""")," Shreveport")</f>
        <v xml:space="preserve"> Shreveport</v>
      </c>
      <c r="L1114" s="2" t="str">
        <f ca="1">IFERROR(__xludf.DUMMYFUNCTION("""COMPUTED_VALUE""")," LA 71105")</f>
        <v xml:space="preserve"> LA 71105</v>
      </c>
      <c r="M1114" s="2" t="str">
        <f ca="1">IFERROR(__xludf.DUMMYFUNCTION("""COMPUTED_VALUE""")," USA")</f>
        <v xml:space="preserve"> USA</v>
      </c>
      <c r="P1114" s="60"/>
    </row>
    <row r="1115" spans="1:16">
      <c r="A1115" s="65">
        <v>1114</v>
      </c>
      <c r="B1115" s="80" t="s">
        <v>6706</v>
      </c>
      <c r="C1115" s="65" t="s">
        <v>174</v>
      </c>
      <c r="D1115" s="93" t="s">
        <v>6708</v>
      </c>
      <c r="E1115" s="48" t="str">
        <f t="shared" si="0"/>
        <v>Sandusky</v>
      </c>
      <c r="F1115" s="83" t="str">
        <f t="shared" si="1"/>
        <v>Sandusky,OH</v>
      </c>
      <c r="G1115" s="65" t="s">
        <v>6709</v>
      </c>
      <c r="H1115" s="65">
        <v>41.456175399999999</v>
      </c>
      <c r="I1115" s="65">
        <v>-82.71168209999999</v>
      </c>
      <c r="J1115" s="60" t="str">
        <f ca="1">IFERROR(__xludf.DUMMYFUNCTION("SPLIT(G1115,"","")"),"101 W Market St")</f>
        <v>101 W Market St</v>
      </c>
      <c r="K1115" s="2" t="str">
        <f ca="1">IFERROR(__xludf.DUMMYFUNCTION("""COMPUTED_VALUE""")," Sandusky")</f>
        <v xml:space="preserve"> Sandusky</v>
      </c>
      <c r="L1115" s="2" t="str">
        <f ca="1">IFERROR(__xludf.DUMMYFUNCTION("""COMPUTED_VALUE""")," OH 44870")</f>
        <v xml:space="preserve"> OH 44870</v>
      </c>
      <c r="M1115" s="2" t="str">
        <f ca="1">IFERROR(__xludf.DUMMYFUNCTION("""COMPUTED_VALUE""")," USA")</f>
        <v xml:space="preserve"> USA</v>
      </c>
      <c r="P1115" s="60"/>
    </row>
    <row r="1116" spans="1:16">
      <c r="A1116" s="60">
        <v>1115</v>
      </c>
      <c r="B1116" s="79" t="s">
        <v>6712</v>
      </c>
      <c r="C1116" s="60" t="s">
        <v>646</v>
      </c>
      <c r="D1116" s="93" t="s">
        <v>6714</v>
      </c>
      <c r="E1116" s="48" t="str">
        <f t="shared" si="0"/>
        <v>Lodge Grass</v>
      </c>
      <c r="F1116" s="83" t="str">
        <f t="shared" si="1"/>
        <v>Lodge Grass,MT</v>
      </c>
      <c r="G1116" s="60" t="s">
        <v>6715</v>
      </c>
      <c r="H1116" s="60">
        <v>45.314411700000001</v>
      </c>
      <c r="I1116" s="60">
        <v>-107.36314609999999</v>
      </c>
      <c r="J1116" s="60" t="str">
        <f ca="1">IFERROR(__xludf.DUMMYFUNCTION("SPLIT(G1116,"","")"),"10 Main St")</f>
        <v>10 Main St</v>
      </c>
      <c r="K1116" s="2" t="str">
        <f ca="1">IFERROR(__xludf.DUMMYFUNCTION("""COMPUTED_VALUE""")," Lodge Grass")</f>
        <v xml:space="preserve"> Lodge Grass</v>
      </c>
      <c r="L1116" s="2" t="str">
        <f ca="1">IFERROR(__xludf.DUMMYFUNCTION("""COMPUTED_VALUE""")," MT 59050")</f>
        <v xml:space="preserve"> MT 59050</v>
      </c>
      <c r="M1116" s="2" t="str">
        <f ca="1">IFERROR(__xludf.DUMMYFUNCTION("""COMPUTED_VALUE""")," USA")</f>
        <v xml:space="preserve"> USA</v>
      </c>
      <c r="P1116" s="60"/>
    </row>
    <row r="1117" spans="1:16">
      <c r="A1117" s="65">
        <v>1116</v>
      </c>
      <c r="B1117" s="80" t="s">
        <v>6719</v>
      </c>
      <c r="C1117" s="65" t="s">
        <v>588</v>
      </c>
      <c r="D1117" s="93" t="s">
        <v>6720</v>
      </c>
      <c r="E1117" s="48" t="str">
        <f t="shared" si="0"/>
        <v>Crescent City</v>
      </c>
      <c r="F1117" s="83" t="str">
        <f t="shared" si="1"/>
        <v>Del Norte (Crescent City),CA</v>
      </c>
      <c r="G1117" s="65" t="s">
        <v>6721</v>
      </c>
      <c r="H1117" s="65">
        <v>41.7557501</v>
      </c>
      <c r="I1117" s="65">
        <v>-124.20259129999999</v>
      </c>
      <c r="J1117" s="60" t="str">
        <f ca="1">IFERROR(__xludf.DUMMYFUNCTION("SPLIT(G1117,"","")"),"886 G St")</f>
        <v>886 G St</v>
      </c>
      <c r="K1117" s="2" t="str">
        <f ca="1">IFERROR(__xludf.DUMMYFUNCTION("""COMPUTED_VALUE""")," Crescent City")</f>
        <v xml:space="preserve"> Crescent City</v>
      </c>
      <c r="L1117" s="2" t="str">
        <f ca="1">IFERROR(__xludf.DUMMYFUNCTION("""COMPUTED_VALUE""")," CA 95531")</f>
        <v xml:space="preserve"> CA 95531</v>
      </c>
      <c r="M1117" s="2" t="str">
        <f ca="1">IFERROR(__xludf.DUMMYFUNCTION("""COMPUTED_VALUE""")," USA")</f>
        <v xml:space="preserve"> USA</v>
      </c>
      <c r="P1117" s="60"/>
    </row>
    <row r="1118" spans="1:16">
      <c r="A1118" s="60">
        <v>1117</v>
      </c>
      <c r="B1118" s="79" t="s">
        <v>6724</v>
      </c>
      <c r="C1118" s="60" t="s">
        <v>136</v>
      </c>
      <c r="D1118" s="93" t="s">
        <v>6725</v>
      </c>
      <c r="E1118" s="48" t="str">
        <f t="shared" si="0"/>
        <v>Palmetto Bay</v>
      </c>
      <c r="F1118" s="83" t="str">
        <f t="shared" si="1"/>
        <v>Westminster Christian (Miami),FL</v>
      </c>
      <c r="G1118" s="60" t="s">
        <v>6726</v>
      </c>
      <c r="H1118" s="60">
        <v>25.631346600000001</v>
      </c>
      <c r="I1118" s="60">
        <v>-80.302504599999992</v>
      </c>
      <c r="J1118" s="60" t="str">
        <f ca="1">IFERROR(__xludf.DUMMYFUNCTION("SPLIT(G1118,"","")"),"6855 SW 152nd St")</f>
        <v>6855 SW 152nd St</v>
      </c>
      <c r="K1118" s="2" t="str">
        <f ca="1">IFERROR(__xludf.DUMMYFUNCTION("""COMPUTED_VALUE""")," Palmetto Bay")</f>
        <v xml:space="preserve"> Palmetto Bay</v>
      </c>
      <c r="L1118" s="2" t="str">
        <f ca="1">IFERROR(__xludf.DUMMYFUNCTION("""COMPUTED_VALUE""")," FL 33157")</f>
        <v xml:space="preserve"> FL 33157</v>
      </c>
      <c r="M1118" s="2" t="str">
        <f ca="1">IFERROR(__xludf.DUMMYFUNCTION("""COMPUTED_VALUE""")," USA")</f>
        <v xml:space="preserve"> USA</v>
      </c>
      <c r="P1118" s="60"/>
    </row>
    <row r="1119" spans="1:16">
      <c r="A1119" s="65">
        <v>1118</v>
      </c>
      <c r="B1119" s="80" t="s">
        <v>6729</v>
      </c>
      <c r="C1119" s="65" t="s">
        <v>745</v>
      </c>
      <c r="D1119" s="93" t="s">
        <v>3756</v>
      </c>
      <c r="E1119" s="48" t="str">
        <f t="shared" si="0"/>
        <v>Lynden</v>
      </c>
      <c r="F1119" s="83" t="str">
        <f t="shared" si="1"/>
        <v>Lynden Christian (Lynden),WA</v>
      </c>
      <c r="G1119" s="65" t="s">
        <v>6730</v>
      </c>
      <c r="H1119" s="65">
        <v>48.948838500000001</v>
      </c>
      <c r="I1119" s="65">
        <v>-122.44656980000001</v>
      </c>
      <c r="J1119" s="60" t="str">
        <f ca="1">IFERROR(__xludf.DUMMYFUNCTION("SPLIT(G1119,"","")"),"417 Lyncs Dr")</f>
        <v>417 Lyncs Dr</v>
      </c>
      <c r="K1119" s="2" t="str">
        <f ca="1">IFERROR(__xludf.DUMMYFUNCTION("""COMPUTED_VALUE""")," Lynden")</f>
        <v xml:space="preserve"> Lynden</v>
      </c>
      <c r="L1119" s="2" t="str">
        <f ca="1">IFERROR(__xludf.DUMMYFUNCTION("""COMPUTED_VALUE""")," WA 98264")</f>
        <v xml:space="preserve"> WA 98264</v>
      </c>
      <c r="M1119" s="2" t="str">
        <f ca="1">IFERROR(__xludf.DUMMYFUNCTION("""COMPUTED_VALUE""")," USA")</f>
        <v xml:space="preserve"> USA</v>
      </c>
      <c r="P1119" s="60"/>
    </row>
    <row r="1120" spans="1:16">
      <c r="A1120" s="60">
        <v>1119</v>
      </c>
      <c r="B1120" s="79" t="s">
        <v>6733</v>
      </c>
      <c r="C1120" s="60" t="s">
        <v>1379</v>
      </c>
      <c r="D1120" s="93" t="s">
        <v>6734</v>
      </c>
      <c r="E1120" s="48" t="str">
        <f t="shared" si="0"/>
        <v>Cheyenne</v>
      </c>
      <c r="F1120" s="83" t="str">
        <f t="shared" si="1"/>
        <v>East (Cheyenne),WY</v>
      </c>
      <c r="G1120" s="60" t="s">
        <v>6735</v>
      </c>
      <c r="H1120" s="60">
        <v>41.139981400000003</v>
      </c>
      <c r="I1120" s="60">
        <v>-104.8202462</v>
      </c>
      <c r="J1120" s="60" t="str">
        <f ca="1">IFERROR(__xludf.DUMMYFUNCTION("SPLIT(G1120,"","")"),"200 W 24th St")</f>
        <v>200 W 24th St</v>
      </c>
      <c r="K1120" s="2" t="str">
        <f ca="1">IFERROR(__xludf.DUMMYFUNCTION("""COMPUTED_VALUE""")," Cheyenne")</f>
        <v xml:space="preserve"> Cheyenne</v>
      </c>
      <c r="L1120" s="2" t="str">
        <f ca="1">IFERROR(__xludf.DUMMYFUNCTION("""COMPUTED_VALUE""")," WY 82001")</f>
        <v xml:space="preserve"> WY 82001</v>
      </c>
      <c r="M1120" s="2" t="str">
        <f ca="1">IFERROR(__xludf.DUMMYFUNCTION("""COMPUTED_VALUE""")," USA")</f>
        <v xml:space="preserve"> USA</v>
      </c>
      <c r="P1120" s="60"/>
    </row>
    <row r="1121" spans="1:16">
      <c r="A1121" s="65">
        <v>1120</v>
      </c>
      <c r="B1121" s="80" t="s">
        <v>6738</v>
      </c>
      <c r="C1121" s="65" t="s">
        <v>179</v>
      </c>
      <c r="D1121" s="93" t="s">
        <v>6739</v>
      </c>
      <c r="E1121" s="48" t="str">
        <f t="shared" si="0"/>
        <v>Wilson</v>
      </c>
      <c r="F1121" s="83" t="str">
        <f t="shared" si="1"/>
        <v>Greenfield (Wilson),NC</v>
      </c>
      <c r="G1121" s="65" t="s">
        <v>6741</v>
      </c>
      <c r="H1121" s="65">
        <v>35.719721700000001</v>
      </c>
      <c r="I1121" s="65">
        <v>-77.969176500000017</v>
      </c>
      <c r="J1121" s="60" t="str">
        <f ca="1">IFERROR(__xludf.DUMMYFUNCTION("SPLIT(G1121,"","")"),"3351 NC-42")</f>
        <v>3351 NC-42</v>
      </c>
      <c r="K1121" s="2" t="str">
        <f ca="1">IFERROR(__xludf.DUMMYFUNCTION("""COMPUTED_VALUE""")," Wilson")</f>
        <v xml:space="preserve"> Wilson</v>
      </c>
      <c r="L1121" s="2" t="str">
        <f ca="1">IFERROR(__xludf.DUMMYFUNCTION("""COMPUTED_VALUE""")," NC 27893")</f>
        <v xml:space="preserve"> NC 27893</v>
      </c>
      <c r="M1121" s="2" t="str">
        <f ca="1">IFERROR(__xludf.DUMMYFUNCTION("""COMPUTED_VALUE""")," USA")</f>
        <v xml:space="preserve"> USA</v>
      </c>
      <c r="P1121" s="60"/>
    </row>
    <row r="1122" spans="1:16">
      <c r="A1122" s="60">
        <v>1121</v>
      </c>
      <c r="B1122" s="79" t="s">
        <v>6743</v>
      </c>
      <c r="C1122" s="60" t="s">
        <v>1039</v>
      </c>
      <c r="D1122" s="93" t="s">
        <v>6744</v>
      </c>
      <c r="E1122" s="48" t="str">
        <f t="shared" si="0"/>
        <v>Hopedale</v>
      </c>
      <c r="F1122" s="83" t="str">
        <f t="shared" si="1"/>
        <v>Hopedale,MA</v>
      </c>
      <c r="G1122" s="60" t="s">
        <v>6746</v>
      </c>
      <c r="H1122" s="60">
        <v>42.130635699999999</v>
      </c>
      <c r="I1122" s="60">
        <v>-71.541207700000001</v>
      </c>
      <c r="J1122" s="60" t="str">
        <f ca="1">IFERROR(__xludf.DUMMYFUNCTION("SPLIT(G1122,"","")"),"45 Hopedale St")</f>
        <v>45 Hopedale St</v>
      </c>
      <c r="K1122" s="2" t="str">
        <f ca="1">IFERROR(__xludf.DUMMYFUNCTION("""COMPUTED_VALUE""")," Hopedale")</f>
        <v xml:space="preserve"> Hopedale</v>
      </c>
      <c r="L1122" s="2" t="str">
        <f ca="1">IFERROR(__xludf.DUMMYFUNCTION("""COMPUTED_VALUE""")," MA 01747")</f>
        <v xml:space="preserve"> MA 01747</v>
      </c>
      <c r="M1122" s="2" t="str">
        <f ca="1">IFERROR(__xludf.DUMMYFUNCTION("""COMPUTED_VALUE""")," USA")</f>
        <v xml:space="preserve"> USA</v>
      </c>
      <c r="P1122" s="60"/>
    </row>
    <row r="1123" spans="1:16">
      <c r="A1123" s="65">
        <v>1122</v>
      </c>
      <c r="B1123" s="80" t="s">
        <v>6748</v>
      </c>
      <c r="C1123" s="65" t="s">
        <v>796</v>
      </c>
      <c r="D1123" s="93" t="s">
        <v>6749</v>
      </c>
      <c r="E1123" s="48" t="str">
        <f t="shared" si="0"/>
        <v>St John</v>
      </c>
      <c r="F1123" s="83" t="str">
        <f t="shared" si="1"/>
        <v>St. John,KS</v>
      </c>
      <c r="G1123" s="65" t="s">
        <v>6751</v>
      </c>
      <c r="H1123" s="65">
        <v>38.002237099999988</v>
      </c>
      <c r="I1123" s="65">
        <v>-98.760088699999997</v>
      </c>
      <c r="J1123" s="60" t="str">
        <f ca="1">IFERROR(__xludf.DUMMYFUNCTION("SPLIT(G1123,"","")"),"212 E 4th Ave")</f>
        <v>212 E 4th Ave</v>
      </c>
      <c r="K1123" s="2" t="str">
        <f ca="1">IFERROR(__xludf.DUMMYFUNCTION("""COMPUTED_VALUE""")," St John")</f>
        <v xml:space="preserve"> St John</v>
      </c>
      <c r="L1123" s="2" t="str">
        <f ca="1">IFERROR(__xludf.DUMMYFUNCTION("""COMPUTED_VALUE""")," KS 67576")</f>
        <v xml:space="preserve"> KS 67576</v>
      </c>
      <c r="M1123" s="2" t="str">
        <f ca="1">IFERROR(__xludf.DUMMYFUNCTION("""COMPUTED_VALUE""")," USA")</f>
        <v xml:space="preserve"> USA</v>
      </c>
      <c r="P1123" s="60"/>
    </row>
    <row r="1124" spans="1:16">
      <c r="A1124" s="60">
        <v>1123</v>
      </c>
      <c r="B1124" s="79" t="s">
        <v>6753</v>
      </c>
      <c r="C1124" s="60" t="s">
        <v>675</v>
      </c>
      <c r="D1124" s="93" t="s">
        <v>6754</v>
      </c>
      <c r="E1124" s="48" t="str">
        <f t="shared" si="0"/>
        <v>Wayne</v>
      </c>
      <c r="F1124" s="83" t="str">
        <f t="shared" si="1"/>
        <v>Archbishop Carroll (Radnor),PA</v>
      </c>
      <c r="G1124" s="60" t="s">
        <v>6755</v>
      </c>
      <c r="H1124" s="60">
        <v>40.046235500000002</v>
      </c>
      <c r="I1124" s="60">
        <v>-75.353824199999991</v>
      </c>
      <c r="J1124" s="60" t="str">
        <f ca="1">IFERROR(__xludf.DUMMYFUNCTION("SPLIT(G1124,"","")"),"211 Matsonford Rd")</f>
        <v>211 Matsonford Rd</v>
      </c>
      <c r="K1124" s="2" t="str">
        <f ca="1">IFERROR(__xludf.DUMMYFUNCTION("""COMPUTED_VALUE""")," Wayne")</f>
        <v xml:space="preserve"> Wayne</v>
      </c>
      <c r="L1124" s="2" t="str">
        <f ca="1">IFERROR(__xludf.DUMMYFUNCTION("""COMPUTED_VALUE""")," PA 19087")</f>
        <v xml:space="preserve"> PA 19087</v>
      </c>
      <c r="M1124" s="2" t="str">
        <f ca="1">IFERROR(__xludf.DUMMYFUNCTION("""COMPUTED_VALUE""")," USA")</f>
        <v xml:space="preserve"> USA</v>
      </c>
      <c r="P1124" s="60"/>
    </row>
    <row r="1125" spans="1:16">
      <c r="A1125" s="65">
        <v>1124</v>
      </c>
      <c r="B1125" s="80" t="s">
        <v>6757</v>
      </c>
      <c r="C1125" s="65" t="s">
        <v>604</v>
      </c>
      <c r="D1125" s="93" t="s">
        <v>6759</v>
      </c>
      <c r="E1125" s="48" t="str">
        <f t="shared" si="0"/>
        <v>Zion</v>
      </c>
      <c r="F1125" s="83" t="str">
        <f t="shared" si="1"/>
        <v>Zion-Benton (Zion),IL</v>
      </c>
      <c r="G1125" s="65" t="s">
        <v>6760</v>
      </c>
      <c r="H1125" s="65">
        <v>42.455995999999999</v>
      </c>
      <c r="I1125" s="65">
        <v>-87.866911799999997</v>
      </c>
      <c r="J1125" s="60" t="str">
        <f ca="1">IFERROR(__xludf.DUMMYFUNCTION("SPLIT(G1125,"","")"),"3901 W 21st St")</f>
        <v>3901 W 21st St</v>
      </c>
      <c r="K1125" s="2" t="str">
        <f ca="1">IFERROR(__xludf.DUMMYFUNCTION("""COMPUTED_VALUE""")," Zion")</f>
        <v xml:space="preserve"> Zion</v>
      </c>
      <c r="L1125" s="2" t="str">
        <f ca="1">IFERROR(__xludf.DUMMYFUNCTION("""COMPUTED_VALUE""")," IL 60099")</f>
        <v xml:space="preserve"> IL 60099</v>
      </c>
      <c r="M1125" s="2" t="str">
        <f ca="1">IFERROR(__xludf.DUMMYFUNCTION("""COMPUTED_VALUE""")," USA")</f>
        <v xml:space="preserve"> USA</v>
      </c>
      <c r="P1125" s="60"/>
    </row>
    <row r="1126" spans="1:16">
      <c r="A1126" s="97">
        <v>1125</v>
      </c>
      <c r="B1126" s="99" t="s">
        <v>6764</v>
      </c>
      <c r="C1126" s="97" t="s">
        <v>1039</v>
      </c>
      <c r="D1126" s="93" t="s">
        <v>6765</v>
      </c>
      <c r="E1126" s="48" t="str">
        <f t="shared" si="0"/>
        <v>Cambridge</v>
      </c>
      <c r="F1126" s="83" t="str">
        <f t="shared" si="1"/>
        <v>Cambridge Rindge &amp; Latin (Cambridge),MA</v>
      </c>
      <c r="G1126" s="97" t="s">
        <v>6766</v>
      </c>
      <c r="H1126" s="97">
        <v>42.374404400000003</v>
      </c>
      <c r="I1126" s="97">
        <v>-71.111609799999997</v>
      </c>
      <c r="J1126" s="60" t="str">
        <f ca="1">IFERROR(__xludf.DUMMYFUNCTION("SPLIT(G1126,"","")"),"459 Broadway")</f>
        <v>459 Broadway</v>
      </c>
      <c r="K1126" s="2" t="str">
        <f ca="1">IFERROR(__xludf.DUMMYFUNCTION("""COMPUTED_VALUE""")," Cambridge")</f>
        <v xml:space="preserve"> Cambridge</v>
      </c>
      <c r="L1126" s="2" t="str">
        <f ca="1">IFERROR(__xludf.DUMMYFUNCTION("""COMPUTED_VALUE""")," MA 02138")</f>
        <v xml:space="preserve"> MA 02138</v>
      </c>
      <c r="M1126" s="2" t="str">
        <f ca="1">IFERROR(__xludf.DUMMYFUNCTION("""COMPUTED_VALUE""")," USA")</f>
        <v xml:space="preserve"> USA</v>
      </c>
      <c r="P1126" s="60"/>
    </row>
    <row r="1127" spans="1:16">
      <c r="A1127" s="60">
        <v>1126</v>
      </c>
      <c r="B1127" s="79" t="s">
        <v>6769</v>
      </c>
      <c r="C1127" s="60" t="s">
        <v>1370</v>
      </c>
      <c r="D1127" s="93" t="s">
        <v>6770</v>
      </c>
      <c r="E1127" s="48" t="str">
        <f t="shared" si="0"/>
        <v>Dell Rapids</v>
      </c>
      <c r="F1127" s="83" t="str">
        <f t="shared" si="1"/>
        <v>Dell Rapids,SD</v>
      </c>
      <c r="G1127" s="60" t="s">
        <v>6771</v>
      </c>
      <c r="H1127" s="60">
        <v>43.826084100000003</v>
      </c>
      <c r="I1127" s="60">
        <v>-96.7061609</v>
      </c>
      <c r="J1127" s="60" t="str">
        <f ca="1">IFERROR(__xludf.DUMMYFUNCTION("SPLIT(G1127,"","")"),"612 Garfield Ave")</f>
        <v>612 Garfield Ave</v>
      </c>
      <c r="K1127" s="2" t="str">
        <f ca="1">IFERROR(__xludf.DUMMYFUNCTION("""COMPUTED_VALUE""")," Dell Rapids")</f>
        <v xml:space="preserve"> Dell Rapids</v>
      </c>
      <c r="L1127" s="2" t="str">
        <f ca="1">IFERROR(__xludf.DUMMYFUNCTION("""COMPUTED_VALUE""")," SD 57022")</f>
        <v xml:space="preserve"> SD 57022</v>
      </c>
      <c r="M1127" s="2" t="str">
        <f ca="1">IFERROR(__xludf.DUMMYFUNCTION("""COMPUTED_VALUE""")," USA")</f>
        <v xml:space="preserve"> USA</v>
      </c>
      <c r="P1127" s="60"/>
    </row>
    <row r="1128" spans="1:16">
      <c r="A1128" s="65">
        <v>1127</v>
      </c>
      <c r="B1128" s="80" t="s">
        <v>6773</v>
      </c>
      <c r="C1128" s="65" t="s">
        <v>1331</v>
      </c>
      <c r="D1128" s="93" t="s">
        <v>6774</v>
      </c>
      <c r="E1128" s="48" t="str">
        <f t="shared" si="0"/>
        <v>Potlatch</v>
      </c>
      <c r="F1128" s="83" t="str">
        <f t="shared" si="1"/>
        <v>Potlatch,ID</v>
      </c>
      <c r="G1128" s="65" t="s">
        <v>6775</v>
      </c>
      <c r="H1128" s="65">
        <v>46.921560300000003</v>
      </c>
      <c r="I1128" s="65">
        <v>-116.8982195</v>
      </c>
      <c r="J1128" s="60" t="str">
        <f ca="1">IFERROR(__xludf.DUMMYFUNCTION("SPLIT(G1128,"","")"),"340 6th St")</f>
        <v>340 6th St</v>
      </c>
      <c r="K1128" s="2" t="str">
        <f ca="1">IFERROR(__xludf.DUMMYFUNCTION("""COMPUTED_VALUE""")," Potlatch")</f>
        <v xml:space="preserve"> Potlatch</v>
      </c>
      <c r="L1128" s="2" t="str">
        <f ca="1">IFERROR(__xludf.DUMMYFUNCTION("""COMPUTED_VALUE""")," ID 83855")</f>
        <v xml:space="preserve"> ID 83855</v>
      </c>
      <c r="M1128" s="2" t="str">
        <f ca="1">IFERROR(__xludf.DUMMYFUNCTION("""COMPUTED_VALUE""")," USA")</f>
        <v xml:space="preserve"> USA</v>
      </c>
      <c r="P1128" s="60"/>
    </row>
    <row r="1129" spans="1:16">
      <c r="A1129" s="60">
        <v>1128</v>
      </c>
      <c r="B1129" s="79" t="s">
        <v>6778</v>
      </c>
      <c r="C1129" s="60" t="s">
        <v>881</v>
      </c>
      <c r="D1129" s="93" t="s">
        <v>6779</v>
      </c>
      <c r="E1129" s="48" t="str">
        <f t="shared" si="0"/>
        <v>Jeffersontown</v>
      </c>
      <c r="F1129" s="83" t="str">
        <f t="shared" si="1"/>
        <v>Jeffersontown (Louisville),KY</v>
      </c>
      <c r="G1129" s="60" t="s">
        <v>6780</v>
      </c>
      <c r="H1129" s="60">
        <v>38.194235599999999</v>
      </c>
      <c r="I1129" s="60">
        <v>-85.564403299999995</v>
      </c>
      <c r="J1129" s="60" t="str">
        <f ca="1">IFERROR(__xludf.DUMMYFUNCTION("SPLIT(G1129,"","")"),"10512 Watterson Trail")</f>
        <v>10512 Watterson Trail</v>
      </c>
      <c r="K1129" s="2" t="str">
        <f ca="1">IFERROR(__xludf.DUMMYFUNCTION("""COMPUTED_VALUE""")," Jeffersontown")</f>
        <v xml:space="preserve"> Jeffersontown</v>
      </c>
      <c r="L1129" s="2" t="str">
        <f ca="1">IFERROR(__xludf.DUMMYFUNCTION("""COMPUTED_VALUE""")," KY 40299")</f>
        <v xml:space="preserve"> KY 40299</v>
      </c>
      <c r="M1129" s="2" t="str">
        <f ca="1">IFERROR(__xludf.DUMMYFUNCTION("""COMPUTED_VALUE""")," USA")</f>
        <v xml:space="preserve"> USA</v>
      </c>
      <c r="P1129" s="60"/>
    </row>
    <row r="1130" spans="1:16">
      <c r="A1130" s="65">
        <v>1129</v>
      </c>
      <c r="B1130" s="80" t="s">
        <v>6783</v>
      </c>
      <c r="C1130" s="65" t="s">
        <v>618</v>
      </c>
      <c r="D1130" s="93" t="s">
        <v>6784</v>
      </c>
      <c r="E1130" s="48" t="str">
        <f t="shared" si="0"/>
        <v>Westfield</v>
      </c>
      <c r="F1130" s="83" t="str">
        <f t="shared" si="1"/>
        <v>Westfield,IN</v>
      </c>
      <c r="G1130" s="65" t="s">
        <v>6786</v>
      </c>
      <c r="H1130" s="65">
        <v>40.042815099999999</v>
      </c>
      <c r="I1130" s="65">
        <v>-86.127488799999995</v>
      </c>
      <c r="J1130" s="60" t="str">
        <f ca="1">IFERROR(__xludf.DUMMYFUNCTION("SPLIT(G1130,"","")"),"100 N Union St")</f>
        <v>100 N Union St</v>
      </c>
      <c r="K1130" s="2" t="str">
        <f ca="1">IFERROR(__xludf.DUMMYFUNCTION("""COMPUTED_VALUE""")," Westfield")</f>
        <v xml:space="preserve"> Westfield</v>
      </c>
      <c r="L1130" s="2" t="str">
        <f ca="1">IFERROR(__xludf.DUMMYFUNCTION("""COMPUTED_VALUE""")," IN 46074")</f>
        <v xml:space="preserve"> IN 46074</v>
      </c>
      <c r="M1130" s="2" t="str">
        <f ca="1">IFERROR(__xludf.DUMMYFUNCTION("""COMPUTED_VALUE""")," USA")</f>
        <v xml:space="preserve"> USA</v>
      </c>
      <c r="P1130" s="60"/>
    </row>
    <row r="1131" spans="1:16">
      <c r="A1131" s="60">
        <v>1130</v>
      </c>
      <c r="B1131" s="79" t="s">
        <v>6788</v>
      </c>
      <c r="C1131" s="60" t="s">
        <v>770</v>
      </c>
      <c r="D1131" s="93" t="s">
        <v>6789</v>
      </c>
      <c r="E1131" s="48" t="str">
        <f t="shared" si="0"/>
        <v>Bell Buckle</v>
      </c>
      <c r="F1131" s="83" t="str">
        <f t="shared" si="1"/>
        <v>The Webb School (Bell Buckle),TN</v>
      </c>
      <c r="G1131" s="60" t="s">
        <v>6791</v>
      </c>
      <c r="H1131" s="60">
        <v>35.589234599999997</v>
      </c>
      <c r="I1131" s="60">
        <v>-86.34714919999999</v>
      </c>
      <c r="J1131" s="60" t="str">
        <f ca="1">IFERROR(__xludf.DUMMYFUNCTION("SPLIT(G1131,"","")"),"319 Webb Rd E")</f>
        <v>319 Webb Rd E</v>
      </c>
      <c r="K1131" s="2" t="str">
        <f ca="1">IFERROR(__xludf.DUMMYFUNCTION("""COMPUTED_VALUE""")," Bell Buckle")</f>
        <v xml:space="preserve"> Bell Buckle</v>
      </c>
      <c r="L1131" s="2" t="str">
        <f ca="1">IFERROR(__xludf.DUMMYFUNCTION("""COMPUTED_VALUE""")," TN 37020")</f>
        <v xml:space="preserve"> TN 37020</v>
      </c>
      <c r="M1131" s="2" t="str">
        <f ca="1">IFERROR(__xludf.DUMMYFUNCTION("""COMPUTED_VALUE""")," USA")</f>
        <v xml:space="preserve"> USA</v>
      </c>
      <c r="P1131" s="60"/>
    </row>
    <row r="1132" spans="1:16">
      <c r="A1132" s="65">
        <v>1131</v>
      </c>
      <c r="B1132" s="80" t="s">
        <v>6793</v>
      </c>
      <c r="C1132" s="65" t="s">
        <v>136</v>
      </c>
      <c r="D1132" s="93" t="s">
        <v>6794</v>
      </c>
      <c r="E1132" s="48" t="str">
        <f t="shared" si="0"/>
        <v>Wildwood</v>
      </c>
      <c r="F1132" s="83" t="str">
        <f t="shared" si="1"/>
        <v>Wildwood,FL</v>
      </c>
      <c r="G1132" s="65" t="s">
        <v>6796</v>
      </c>
      <c r="H1132" s="65">
        <v>28.865264</v>
      </c>
      <c r="I1132" s="65">
        <v>-82.038974299999992</v>
      </c>
      <c r="J1132" s="60" t="str">
        <f ca="1">IFERROR(__xludf.DUMMYFUNCTION("SPLIT(G1132,"","")"),"110 Cleveland Ave")</f>
        <v>110 Cleveland Ave</v>
      </c>
      <c r="K1132" s="2" t="str">
        <f ca="1">IFERROR(__xludf.DUMMYFUNCTION("""COMPUTED_VALUE""")," Wildwood")</f>
        <v xml:space="preserve"> Wildwood</v>
      </c>
      <c r="L1132" s="2" t="str">
        <f ca="1">IFERROR(__xludf.DUMMYFUNCTION("""COMPUTED_VALUE""")," FL 34785")</f>
        <v xml:space="preserve"> FL 34785</v>
      </c>
      <c r="M1132" s="2" t="str">
        <f ca="1">IFERROR(__xludf.DUMMYFUNCTION("""COMPUTED_VALUE""")," USA")</f>
        <v xml:space="preserve"> USA</v>
      </c>
      <c r="P1132" s="60"/>
    </row>
    <row r="1133" spans="1:16">
      <c r="A1133" s="60">
        <v>1132</v>
      </c>
      <c r="B1133" s="79" t="s">
        <v>6798</v>
      </c>
      <c r="C1133" s="60" t="s">
        <v>183</v>
      </c>
      <c r="D1133" s="93" t="s">
        <v>6366</v>
      </c>
      <c r="E1133" s="48" t="str">
        <f t="shared" si="0"/>
        <v>Mt Vernon</v>
      </c>
      <c r="F1133" s="83" t="str">
        <f t="shared" si="1"/>
        <v>Mount Vernon,NY</v>
      </c>
      <c r="G1133" s="60" t="s">
        <v>6801</v>
      </c>
      <c r="H1133" s="60">
        <v>40.912599200000002</v>
      </c>
      <c r="I1133" s="60">
        <v>-73.837078599999998</v>
      </c>
      <c r="J1133" s="60" t="str">
        <f ca="1">IFERROR(__xludf.DUMMYFUNCTION("SPLIT(G1133,"","")"),"12 E Prospect Ave")</f>
        <v>12 E Prospect Ave</v>
      </c>
      <c r="K1133" s="2" t="str">
        <f ca="1">IFERROR(__xludf.DUMMYFUNCTION("""COMPUTED_VALUE""")," Mt Vernon")</f>
        <v xml:space="preserve"> Mt Vernon</v>
      </c>
      <c r="L1133" s="2" t="str">
        <f ca="1">IFERROR(__xludf.DUMMYFUNCTION("""COMPUTED_VALUE""")," NY 10550")</f>
        <v xml:space="preserve"> NY 10550</v>
      </c>
      <c r="M1133" s="2" t="str">
        <f ca="1">IFERROR(__xludf.DUMMYFUNCTION("""COMPUTED_VALUE""")," USA")</f>
        <v xml:space="preserve"> USA</v>
      </c>
      <c r="P1133" s="60"/>
    </row>
    <row r="1134" spans="1:16">
      <c r="A1134" s="65">
        <v>1133</v>
      </c>
      <c r="B1134" s="80" t="s">
        <v>6804</v>
      </c>
      <c r="C1134" s="65" t="s">
        <v>604</v>
      </c>
      <c r="D1134" s="93" t="s">
        <v>6805</v>
      </c>
      <c r="E1134" s="48" t="str">
        <f t="shared" si="0"/>
        <v>Huntley</v>
      </c>
      <c r="F1134" s="83" t="str">
        <f t="shared" si="1"/>
        <v>Huntley,IL</v>
      </c>
      <c r="G1134" s="65" t="s">
        <v>6806</v>
      </c>
      <c r="H1134" s="65">
        <v>42.168079599999999</v>
      </c>
      <c r="I1134" s="65">
        <v>-88.428141499999995</v>
      </c>
      <c r="J1134" s="60" t="str">
        <f ca="1">IFERROR(__xludf.DUMMYFUNCTION("SPLIT(G1134,"","")"),"11105 IL-47")</f>
        <v>11105 IL-47</v>
      </c>
      <c r="K1134" s="2" t="str">
        <f ca="1">IFERROR(__xludf.DUMMYFUNCTION("""COMPUTED_VALUE""")," Huntley")</f>
        <v xml:space="preserve"> Huntley</v>
      </c>
      <c r="L1134" s="2" t="str">
        <f ca="1">IFERROR(__xludf.DUMMYFUNCTION("""COMPUTED_VALUE""")," IL 60142")</f>
        <v xml:space="preserve"> IL 60142</v>
      </c>
      <c r="M1134" s="2" t="str">
        <f ca="1">IFERROR(__xludf.DUMMYFUNCTION("""COMPUTED_VALUE""")," USA")</f>
        <v xml:space="preserve"> USA</v>
      </c>
      <c r="P1134" s="60"/>
    </row>
    <row r="1135" spans="1:16">
      <c r="A1135" s="60">
        <v>1134</v>
      </c>
      <c r="B1135" s="79" t="s">
        <v>6809</v>
      </c>
      <c r="C1135" s="60" t="s">
        <v>682</v>
      </c>
      <c r="D1135" s="93" t="s">
        <v>6810</v>
      </c>
      <c r="E1135" s="48" t="str">
        <f t="shared" si="0"/>
        <v>New Berlin</v>
      </c>
      <c r="F1135" s="83" t="str">
        <f t="shared" si="1"/>
        <v>New Berlin Eisenhower (New Berlin),WI</v>
      </c>
      <c r="G1135" s="60" t="s">
        <v>6811</v>
      </c>
      <c r="H1135" s="60">
        <v>42.964458499999999</v>
      </c>
      <c r="I1135" s="60">
        <v>-88.091759100000004</v>
      </c>
      <c r="J1135" s="60" t="str">
        <f ca="1">IFERROR(__xludf.DUMMYFUNCTION("SPLIT(G1135,"","")"),"4333 S Sunny Slope Rd")</f>
        <v>4333 S Sunny Slope Rd</v>
      </c>
      <c r="K1135" s="2" t="str">
        <f ca="1">IFERROR(__xludf.DUMMYFUNCTION("""COMPUTED_VALUE""")," New Berlin")</f>
        <v xml:space="preserve"> New Berlin</v>
      </c>
      <c r="L1135" s="2" t="str">
        <f ca="1">IFERROR(__xludf.DUMMYFUNCTION("""COMPUTED_VALUE""")," WI 53151")</f>
        <v xml:space="preserve"> WI 53151</v>
      </c>
      <c r="M1135" s="2" t="str">
        <f ca="1">IFERROR(__xludf.DUMMYFUNCTION("""COMPUTED_VALUE""")," USA")</f>
        <v xml:space="preserve"> USA</v>
      </c>
      <c r="P1135" s="60"/>
    </row>
    <row r="1136" spans="1:16">
      <c r="A1136" s="65">
        <v>1135</v>
      </c>
      <c r="B1136" s="80" t="s">
        <v>6814</v>
      </c>
      <c r="C1136" s="65" t="s">
        <v>975</v>
      </c>
      <c r="D1136" s="93" t="s">
        <v>1913</v>
      </c>
      <c r="E1136" s="48" t="str">
        <f t="shared" si="0"/>
        <v>Albuquerque</v>
      </c>
      <c r="F1136" s="83" t="str">
        <f t="shared" si="1"/>
        <v>La Cueva (Albuquerque),NM</v>
      </c>
      <c r="G1136" s="65" t="s">
        <v>6816</v>
      </c>
      <c r="H1136" s="65">
        <v>35.182921999999998</v>
      </c>
      <c r="I1136" s="65">
        <v>-106.556558</v>
      </c>
      <c r="J1136" s="60" t="str">
        <f ca="1">IFERROR(__xludf.DUMMYFUNCTION("SPLIT(G1136,"","")"),"7801 Wilshire Ave NE")</f>
        <v>7801 Wilshire Ave NE</v>
      </c>
      <c r="K1136" s="2" t="str">
        <f ca="1">IFERROR(__xludf.DUMMYFUNCTION("""COMPUTED_VALUE""")," Albuquerque")</f>
        <v xml:space="preserve"> Albuquerque</v>
      </c>
      <c r="L1136" s="2" t="str">
        <f ca="1">IFERROR(__xludf.DUMMYFUNCTION("""COMPUTED_VALUE""")," NM 87122")</f>
        <v xml:space="preserve"> NM 87122</v>
      </c>
      <c r="M1136" s="2" t="str">
        <f ca="1">IFERROR(__xludf.DUMMYFUNCTION("""COMPUTED_VALUE""")," USA")</f>
        <v xml:space="preserve"> USA</v>
      </c>
      <c r="P1136" s="60"/>
    </row>
    <row r="1137" spans="1:16">
      <c r="A1137" s="60">
        <v>1136</v>
      </c>
      <c r="B1137" s="79" t="s">
        <v>6818</v>
      </c>
      <c r="C1137" s="60" t="s">
        <v>174</v>
      </c>
      <c r="D1137" s="93" t="s">
        <v>5155</v>
      </c>
      <c r="E1137" s="48" t="str">
        <f t="shared" si="0"/>
        <v>Columbus</v>
      </c>
      <c r="F1137" s="83" t="str">
        <f t="shared" si="1"/>
        <v>St. Francis DeSales (Columbus),OH</v>
      </c>
      <c r="G1137" s="60" t="s">
        <v>6819</v>
      </c>
      <c r="H1137" s="60">
        <v>40.053079699999998</v>
      </c>
      <c r="I1137" s="60">
        <v>-82.975205199999991</v>
      </c>
      <c r="J1137" s="60" t="str">
        <f ca="1">IFERROR(__xludf.DUMMYFUNCTION("SPLIT(G1137,"","")"),"4212 Karl Rd")</f>
        <v>4212 Karl Rd</v>
      </c>
      <c r="K1137" s="2" t="str">
        <f ca="1">IFERROR(__xludf.DUMMYFUNCTION("""COMPUTED_VALUE""")," Columbus")</f>
        <v xml:space="preserve"> Columbus</v>
      </c>
      <c r="L1137" s="2" t="str">
        <f ca="1">IFERROR(__xludf.DUMMYFUNCTION("""COMPUTED_VALUE""")," OH 43224")</f>
        <v xml:space="preserve"> OH 43224</v>
      </c>
      <c r="M1137" s="2" t="str">
        <f ca="1">IFERROR(__xludf.DUMMYFUNCTION("""COMPUTED_VALUE""")," USA")</f>
        <v xml:space="preserve"> USA</v>
      </c>
      <c r="P1137" s="60"/>
    </row>
    <row r="1138" spans="1:16">
      <c r="A1138" s="65">
        <v>1137</v>
      </c>
      <c r="B1138" s="80" t="s">
        <v>6823</v>
      </c>
      <c r="C1138" s="65" t="s">
        <v>770</v>
      </c>
      <c r="D1138" s="93" t="s">
        <v>875</v>
      </c>
      <c r="E1138" s="48" t="str">
        <f t="shared" si="0"/>
        <v>Memphis</v>
      </c>
      <c r="F1138" s="83" t="str">
        <f t="shared" si="1"/>
        <v>Southwind (Memphis),TN</v>
      </c>
      <c r="G1138" s="65" t="s">
        <v>6825</v>
      </c>
      <c r="H1138" s="65">
        <v>35.033562699999997</v>
      </c>
      <c r="I1138" s="65">
        <v>-90.018147200000001</v>
      </c>
      <c r="J1138" s="60" t="str">
        <f ca="1">IFERROR(__xludf.DUMMYFUNCTION("SPLIT(G1138,"","")"),"1360 Southwind Dr")</f>
        <v>1360 Southwind Dr</v>
      </c>
      <c r="K1138" s="2" t="str">
        <f ca="1">IFERROR(__xludf.DUMMYFUNCTION("""COMPUTED_VALUE""")," Memphis")</f>
        <v xml:space="preserve"> Memphis</v>
      </c>
      <c r="L1138" s="2" t="str">
        <f ca="1">IFERROR(__xludf.DUMMYFUNCTION("""COMPUTED_VALUE""")," TN 38116")</f>
        <v xml:space="preserve"> TN 38116</v>
      </c>
      <c r="M1138" s="2" t="str">
        <f ca="1">IFERROR(__xludf.DUMMYFUNCTION("""COMPUTED_VALUE""")," USA")</f>
        <v xml:space="preserve"> USA</v>
      </c>
      <c r="P1138" s="60"/>
    </row>
    <row r="1139" spans="1:16">
      <c r="A1139" s="60">
        <v>1138</v>
      </c>
      <c r="B1139" s="79" t="s">
        <v>6828</v>
      </c>
      <c r="C1139" s="60" t="s">
        <v>675</v>
      </c>
      <c r="D1139" s="93" t="s">
        <v>2527</v>
      </c>
      <c r="E1139" s="48" t="str">
        <f t="shared" si="0"/>
        <v>Pittsburgh</v>
      </c>
      <c r="F1139" s="83" t="str">
        <f t="shared" si="1"/>
        <v>Fox Chapel (Pittsburgh),PA</v>
      </c>
      <c r="G1139" s="60" t="s">
        <v>6830</v>
      </c>
      <c r="H1139" s="60">
        <v>40.513401600000009</v>
      </c>
      <c r="I1139" s="60">
        <v>-79.879772799999998</v>
      </c>
      <c r="J1139" s="60" t="str">
        <f ca="1">IFERROR(__xludf.DUMMYFUNCTION("SPLIT(G1139,"","")"),"399 Fox Chapel Rd")</f>
        <v>399 Fox Chapel Rd</v>
      </c>
      <c r="K1139" s="2" t="str">
        <f ca="1">IFERROR(__xludf.DUMMYFUNCTION("""COMPUTED_VALUE""")," Pittsburgh")</f>
        <v xml:space="preserve"> Pittsburgh</v>
      </c>
      <c r="L1139" s="2" t="str">
        <f ca="1">IFERROR(__xludf.DUMMYFUNCTION("""COMPUTED_VALUE""")," PA 15238")</f>
        <v xml:space="preserve"> PA 15238</v>
      </c>
      <c r="M1139" s="2" t="str">
        <f ca="1">IFERROR(__xludf.DUMMYFUNCTION("""COMPUTED_VALUE""")," USA")</f>
        <v xml:space="preserve"> USA</v>
      </c>
      <c r="P1139" s="60"/>
    </row>
    <row r="1140" spans="1:16">
      <c r="A1140" s="65">
        <v>1139</v>
      </c>
      <c r="B1140" s="80" t="s">
        <v>6832</v>
      </c>
      <c r="C1140" s="65" t="s">
        <v>1094</v>
      </c>
      <c r="D1140" s="93" t="s">
        <v>6834</v>
      </c>
      <c r="E1140" s="48" t="str">
        <f t="shared" si="0"/>
        <v>Ellsworth</v>
      </c>
      <c r="F1140" s="83" t="str">
        <f t="shared" si="1"/>
        <v>Ellsworth,ME</v>
      </c>
      <c r="G1140" s="65" t="s">
        <v>6835</v>
      </c>
      <c r="H1140" s="65">
        <v>44.543409500000003</v>
      </c>
      <c r="I1140" s="65">
        <v>-68.419464099999999</v>
      </c>
      <c r="J1140" s="60" t="str">
        <f ca="1">IFERROR(__xludf.DUMMYFUNCTION("SPLIT(G1140,"","")"),"234 Main St")</f>
        <v>234 Main St</v>
      </c>
      <c r="K1140" s="2" t="str">
        <f ca="1">IFERROR(__xludf.DUMMYFUNCTION("""COMPUTED_VALUE""")," Ellsworth")</f>
        <v xml:space="preserve"> Ellsworth</v>
      </c>
      <c r="L1140" s="2" t="str">
        <f ca="1">IFERROR(__xludf.DUMMYFUNCTION("""COMPUTED_VALUE""")," ME 04605")</f>
        <v xml:space="preserve"> ME 04605</v>
      </c>
      <c r="M1140" s="2" t="str">
        <f ca="1">IFERROR(__xludf.DUMMYFUNCTION("""COMPUTED_VALUE""")," USA")</f>
        <v xml:space="preserve"> USA</v>
      </c>
      <c r="P1140" s="60"/>
    </row>
    <row r="1141" spans="1:16">
      <c r="A1141" s="60">
        <v>1140</v>
      </c>
      <c r="B1141" s="79" t="s">
        <v>6839</v>
      </c>
      <c r="C1141" s="60" t="s">
        <v>897</v>
      </c>
      <c r="D1141" s="93" t="s">
        <v>6840</v>
      </c>
      <c r="E1141" s="48" t="str">
        <f t="shared" si="0"/>
        <v>Chesterfield</v>
      </c>
      <c r="F1141" s="83" t="str">
        <f t="shared" si="1"/>
        <v>Westminster Christian (St. Louis),MO</v>
      </c>
      <c r="G1141" s="60" t="s">
        <v>6841</v>
      </c>
      <c r="H1141" s="60">
        <v>38.6370857</v>
      </c>
      <c r="I1141" s="60">
        <v>-90.503490299999996</v>
      </c>
      <c r="J1141" s="60" t="str">
        <f ca="1">IFERROR(__xludf.DUMMYFUNCTION("SPLIT(G1141,"","")"),"800 Maryville Centre Dr")</f>
        <v>800 Maryville Centre Dr</v>
      </c>
      <c r="K1141" s="2" t="str">
        <f ca="1">IFERROR(__xludf.DUMMYFUNCTION("""COMPUTED_VALUE""")," Chesterfield")</f>
        <v xml:space="preserve"> Chesterfield</v>
      </c>
      <c r="L1141" s="2" t="str">
        <f ca="1">IFERROR(__xludf.DUMMYFUNCTION("""COMPUTED_VALUE""")," MO 63017")</f>
        <v xml:space="preserve"> MO 63017</v>
      </c>
      <c r="M1141" s="2" t="str">
        <f ca="1">IFERROR(__xludf.DUMMYFUNCTION("""COMPUTED_VALUE""")," USA")</f>
        <v xml:space="preserve"> USA</v>
      </c>
      <c r="P1141" s="60"/>
    </row>
    <row r="1142" spans="1:16">
      <c r="A1142" s="65">
        <v>1141</v>
      </c>
      <c r="B1142" s="80" t="s">
        <v>6844</v>
      </c>
      <c r="C1142" s="65" t="s">
        <v>191</v>
      </c>
      <c r="D1142" s="93" t="s">
        <v>6845</v>
      </c>
      <c r="E1142" s="48" t="str">
        <f t="shared" si="0"/>
        <v>Traverse City</v>
      </c>
      <c r="F1142" s="83" t="str">
        <f t="shared" si="1"/>
        <v>Traverse City Central (Traverse City),MI</v>
      </c>
      <c r="G1142" s="65" t="s">
        <v>6847</v>
      </c>
      <c r="H1142" s="65">
        <v>44.767458499999996</v>
      </c>
      <c r="I1142" s="65">
        <v>-85.587938499999993</v>
      </c>
      <c r="J1142" s="60" t="str">
        <f ca="1">IFERROR(__xludf.DUMMYFUNCTION("SPLIT(G1142,"","")"),"1150 Milliken Dr")</f>
        <v>1150 Milliken Dr</v>
      </c>
      <c r="K1142" s="2" t="str">
        <f ca="1">IFERROR(__xludf.DUMMYFUNCTION("""COMPUTED_VALUE""")," Traverse City")</f>
        <v xml:space="preserve"> Traverse City</v>
      </c>
      <c r="L1142" s="2" t="str">
        <f ca="1">IFERROR(__xludf.DUMMYFUNCTION("""COMPUTED_VALUE""")," MI 49686")</f>
        <v xml:space="preserve"> MI 49686</v>
      </c>
      <c r="M1142" s="2" t="str">
        <f ca="1">IFERROR(__xludf.DUMMYFUNCTION("""COMPUTED_VALUE""")," USA")</f>
        <v xml:space="preserve"> USA</v>
      </c>
      <c r="P1142" s="60"/>
    </row>
    <row r="1143" spans="1:16">
      <c r="A1143" s="60">
        <v>1142</v>
      </c>
      <c r="B1143" s="79" t="s">
        <v>6849</v>
      </c>
      <c r="C1143" s="60" t="s">
        <v>598</v>
      </c>
      <c r="D1143" s="93" t="s">
        <v>972</v>
      </c>
      <c r="E1143" s="48" t="str">
        <f t="shared" si="0"/>
        <v>Alpharetta</v>
      </c>
      <c r="F1143" s="83" t="str">
        <f t="shared" si="1"/>
        <v>Mount Pisgah Christian (Johns Creek),GA</v>
      </c>
      <c r="G1143" s="60" t="s">
        <v>6851</v>
      </c>
      <c r="H1143" s="60">
        <v>34.018934100000003</v>
      </c>
      <c r="I1143" s="60">
        <v>-84.2774474</v>
      </c>
      <c r="J1143" s="60" t="str">
        <f ca="1">IFERROR(__xludf.DUMMYFUNCTION("SPLIT(G1143,"","")"),"9875 Nesbit Ferry Rd")</f>
        <v>9875 Nesbit Ferry Rd</v>
      </c>
      <c r="K1143" s="2" t="str">
        <f ca="1">IFERROR(__xludf.DUMMYFUNCTION("""COMPUTED_VALUE""")," Alpharetta")</f>
        <v xml:space="preserve"> Alpharetta</v>
      </c>
      <c r="L1143" s="2" t="str">
        <f ca="1">IFERROR(__xludf.DUMMYFUNCTION("""COMPUTED_VALUE""")," GA 30022")</f>
        <v xml:space="preserve"> GA 30022</v>
      </c>
      <c r="M1143" s="2" t="str">
        <f ca="1">IFERROR(__xludf.DUMMYFUNCTION("""COMPUTED_VALUE""")," USA")</f>
        <v xml:space="preserve"> USA</v>
      </c>
      <c r="P1143" s="60"/>
    </row>
    <row r="1144" spans="1:16">
      <c r="A1144" s="65">
        <v>1143</v>
      </c>
      <c r="B1144" s="80" t="s">
        <v>6853</v>
      </c>
      <c r="C1144" s="65" t="s">
        <v>588</v>
      </c>
      <c r="D1144" s="93" t="s">
        <v>6855</v>
      </c>
      <c r="E1144" s="48" t="str">
        <f t="shared" si="0"/>
        <v>Santa Maria</v>
      </c>
      <c r="F1144" s="83" t="str">
        <f t="shared" si="1"/>
        <v>St. Joseph (Santa Maria),CA</v>
      </c>
      <c r="G1144" s="65" t="s">
        <v>6856</v>
      </c>
      <c r="H1144" s="65">
        <v>34.8819497</v>
      </c>
      <c r="I1144" s="65">
        <v>-120.41766800000001</v>
      </c>
      <c r="J1144" s="60" t="str">
        <f ca="1">IFERROR(__xludf.DUMMYFUNCTION("SPLIT(G1144,"","")"),"4120 S Bradley Rd")</f>
        <v>4120 S Bradley Rd</v>
      </c>
      <c r="K1144" s="2" t="str">
        <f ca="1">IFERROR(__xludf.DUMMYFUNCTION("""COMPUTED_VALUE""")," Santa Maria")</f>
        <v xml:space="preserve"> Santa Maria</v>
      </c>
      <c r="L1144" s="2" t="str">
        <f ca="1">IFERROR(__xludf.DUMMYFUNCTION("""COMPUTED_VALUE""")," CA 93455")</f>
        <v xml:space="preserve"> CA 93455</v>
      </c>
      <c r="M1144" s="2" t="str">
        <f ca="1">IFERROR(__xludf.DUMMYFUNCTION("""COMPUTED_VALUE""")," USA")</f>
        <v xml:space="preserve"> USA</v>
      </c>
      <c r="P1144" s="60"/>
    </row>
    <row r="1145" spans="1:16">
      <c r="A1145" s="60">
        <v>1144</v>
      </c>
      <c r="B1145" s="79" t="s">
        <v>3903</v>
      </c>
      <c r="C1145" s="60" t="s">
        <v>901</v>
      </c>
      <c r="D1145" s="93" t="s">
        <v>6859</v>
      </c>
      <c r="E1145" s="48" t="str">
        <f t="shared" si="0"/>
        <v>Jonesboro</v>
      </c>
      <c r="F1145" s="83" t="str">
        <f t="shared" si="1"/>
        <v>Jonesboro,AR</v>
      </c>
      <c r="G1145" s="60" t="s">
        <v>6861</v>
      </c>
      <c r="H1145" s="60">
        <v>35.842296700000013</v>
      </c>
      <c r="I1145" s="60">
        <v>-90.704279</v>
      </c>
      <c r="J1145" s="60" t="str">
        <f ca="1">IFERROR(__xludf.DUMMYFUNCTION("SPLIT(G1145,"","")"),"124 S Main St")</f>
        <v>124 S Main St</v>
      </c>
      <c r="K1145" s="2" t="str">
        <f ca="1">IFERROR(__xludf.DUMMYFUNCTION("""COMPUTED_VALUE""")," Jonesboro")</f>
        <v xml:space="preserve"> Jonesboro</v>
      </c>
      <c r="L1145" s="2" t="str">
        <f ca="1">IFERROR(__xludf.DUMMYFUNCTION("""COMPUTED_VALUE""")," AR 72401")</f>
        <v xml:space="preserve"> AR 72401</v>
      </c>
      <c r="M1145" s="2" t="str">
        <f ca="1">IFERROR(__xludf.DUMMYFUNCTION("""COMPUTED_VALUE""")," USA")</f>
        <v xml:space="preserve"> USA</v>
      </c>
      <c r="P1145" s="60"/>
    </row>
    <row r="1146" spans="1:16">
      <c r="A1146" s="65">
        <v>1145</v>
      </c>
      <c r="B1146" s="80" t="s">
        <v>6863</v>
      </c>
      <c r="C1146" s="65" t="s">
        <v>595</v>
      </c>
      <c r="D1146" s="93" t="s">
        <v>696</v>
      </c>
      <c r="E1146" s="48" t="str">
        <f t="shared" si="0"/>
        <v>Richmond</v>
      </c>
      <c r="F1146" s="83" t="str">
        <f t="shared" si="1"/>
        <v>Fort Bend Bush (Richmond),TX</v>
      </c>
      <c r="G1146" s="65" t="s">
        <v>6865</v>
      </c>
      <c r="H1146" s="65">
        <v>29.7055103</v>
      </c>
      <c r="I1146" s="65">
        <v>-95.685520699999998</v>
      </c>
      <c r="J1146" s="60" t="str">
        <f ca="1">IFERROR(__xludf.DUMMYFUNCTION("SPLIT(G1146,"","")"),"6707 FM 1464")</f>
        <v>6707 FM 1464</v>
      </c>
      <c r="K1146" s="2" t="str">
        <f ca="1">IFERROR(__xludf.DUMMYFUNCTION("""COMPUTED_VALUE""")," Richmond")</f>
        <v xml:space="preserve"> Richmond</v>
      </c>
      <c r="L1146" s="2" t="str">
        <f ca="1">IFERROR(__xludf.DUMMYFUNCTION("""COMPUTED_VALUE""")," TX 77407")</f>
        <v xml:space="preserve"> TX 77407</v>
      </c>
      <c r="M1146" s="2" t="str">
        <f ca="1">IFERROR(__xludf.DUMMYFUNCTION("""COMPUTED_VALUE""")," USA")</f>
        <v xml:space="preserve"> USA</v>
      </c>
      <c r="P1146" s="60"/>
    </row>
    <row r="1147" spans="1:16">
      <c r="A1147" s="60">
        <v>1146</v>
      </c>
      <c r="B1147" s="79" t="s">
        <v>6867</v>
      </c>
      <c r="C1147" s="60" t="s">
        <v>588</v>
      </c>
      <c r="D1147" s="93" t="s">
        <v>6869</v>
      </c>
      <c r="E1147" s="48" t="str">
        <f t="shared" si="0"/>
        <v>Villa Park</v>
      </c>
      <c r="F1147" s="83" t="str">
        <f t="shared" si="1"/>
        <v>Villa Park,CA</v>
      </c>
      <c r="G1147" s="60" t="s">
        <v>6870</v>
      </c>
      <c r="H1147" s="60">
        <v>33.814006200000009</v>
      </c>
      <c r="I1147" s="60">
        <v>-117.8220723</v>
      </c>
      <c r="J1147" s="60" t="str">
        <f ca="1">IFERROR(__xludf.DUMMYFUNCTION("SPLIT(G1147,"","")"),"17583 Santiago Blvd")</f>
        <v>17583 Santiago Blvd</v>
      </c>
      <c r="K1147" s="2" t="str">
        <f ca="1">IFERROR(__xludf.DUMMYFUNCTION("""COMPUTED_VALUE""")," Villa Park")</f>
        <v xml:space="preserve"> Villa Park</v>
      </c>
      <c r="L1147" s="2" t="str">
        <f ca="1">IFERROR(__xludf.DUMMYFUNCTION("""COMPUTED_VALUE""")," CA 92861")</f>
        <v xml:space="preserve"> CA 92861</v>
      </c>
      <c r="M1147" s="2" t="str">
        <f ca="1">IFERROR(__xludf.DUMMYFUNCTION("""COMPUTED_VALUE""")," USA")</f>
        <v xml:space="preserve"> USA</v>
      </c>
      <c r="P1147" s="60"/>
    </row>
    <row r="1148" spans="1:16">
      <c r="A1148" s="65">
        <v>1147</v>
      </c>
      <c r="B1148" s="80" t="s">
        <v>6872</v>
      </c>
      <c r="C1148" s="65" t="s">
        <v>675</v>
      </c>
      <c r="D1148" s="93" t="s">
        <v>6873</v>
      </c>
      <c r="E1148" s="48" t="str">
        <f t="shared" si="0"/>
        <v>Ardmore</v>
      </c>
      <c r="F1148" s="83" t="str">
        <f t="shared" si="1"/>
        <v>Lower Merion (Ardmore),PA</v>
      </c>
      <c r="G1148" s="65" t="s">
        <v>6874</v>
      </c>
      <c r="H1148" s="65">
        <v>40.006778500000003</v>
      </c>
      <c r="I1148" s="65">
        <v>-75.285462199999998</v>
      </c>
      <c r="J1148" s="60" t="str">
        <f ca="1">IFERROR(__xludf.DUMMYFUNCTION("SPLIT(G1148,"","")"),"120 Sibley Ave")</f>
        <v>120 Sibley Ave</v>
      </c>
      <c r="K1148" s="2" t="str">
        <f ca="1">IFERROR(__xludf.DUMMYFUNCTION("""COMPUTED_VALUE""")," Ardmore")</f>
        <v xml:space="preserve"> Ardmore</v>
      </c>
      <c r="L1148" s="2" t="str">
        <f ca="1">IFERROR(__xludf.DUMMYFUNCTION("""COMPUTED_VALUE""")," PA 19003")</f>
        <v xml:space="preserve"> PA 19003</v>
      </c>
      <c r="M1148" s="2" t="str">
        <f ca="1">IFERROR(__xludf.DUMMYFUNCTION("""COMPUTED_VALUE""")," USA")</f>
        <v xml:space="preserve"> USA</v>
      </c>
      <c r="P1148" s="60"/>
    </row>
    <row r="1149" spans="1:16">
      <c r="A1149" s="60">
        <v>1148</v>
      </c>
      <c r="B1149" s="79" t="s">
        <v>6878</v>
      </c>
      <c r="C1149" s="60" t="s">
        <v>1370</v>
      </c>
      <c r="D1149" s="93" t="s">
        <v>6879</v>
      </c>
      <c r="E1149" s="48" t="str">
        <f t="shared" si="0"/>
        <v>Huron</v>
      </c>
      <c r="F1149" s="83" t="str">
        <f t="shared" si="1"/>
        <v>Huron,SD</v>
      </c>
      <c r="G1149" s="60" t="s">
        <v>6880</v>
      </c>
      <c r="H1149" s="60">
        <v>44.363317299999999</v>
      </c>
      <c r="I1149" s="60">
        <v>-98.214257199999992</v>
      </c>
      <c r="J1149" s="60" t="str">
        <f ca="1">IFERROR(__xludf.DUMMYFUNCTION("SPLIT(G1149,"","")"),"280 Dakota Ave S")</f>
        <v>280 Dakota Ave S</v>
      </c>
      <c r="K1149" s="2" t="str">
        <f ca="1">IFERROR(__xludf.DUMMYFUNCTION("""COMPUTED_VALUE""")," Huron")</f>
        <v xml:space="preserve"> Huron</v>
      </c>
      <c r="L1149" s="2" t="str">
        <f ca="1">IFERROR(__xludf.DUMMYFUNCTION("""COMPUTED_VALUE""")," SD 57350")</f>
        <v xml:space="preserve"> SD 57350</v>
      </c>
      <c r="M1149" s="2" t="str">
        <f ca="1">IFERROR(__xludf.DUMMYFUNCTION("""COMPUTED_VALUE""")," USA")</f>
        <v xml:space="preserve"> USA</v>
      </c>
      <c r="P1149" s="60"/>
    </row>
    <row r="1150" spans="1:16">
      <c r="A1150" s="65">
        <v>1149</v>
      </c>
      <c r="B1150" s="80" t="s">
        <v>6885</v>
      </c>
      <c r="C1150" s="65" t="s">
        <v>593</v>
      </c>
      <c r="D1150" s="93" t="s">
        <v>6886</v>
      </c>
      <c r="E1150" s="48" t="str">
        <f t="shared" si="0"/>
        <v>Reno</v>
      </c>
      <c r="F1150" s="83" t="str">
        <f t="shared" si="1"/>
        <v>Bishop Manogue (Reno),NV</v>
      </c>
      <c r="G1150" s="65" t="s">
        <v>6887</v>
      </c>
      <c r="H1150" s="65">
        <v>39.423949299999997</v>
      </c>
      <c r="I1150" s="65">
        <v>-119.7645902</v>
      </c>
      <c r="J1150" s="60" t="str">
        <f ca="1">IFERROR(__xludf.DUMMYFUNCTION("SPLIT(G1150,"","")"),"110 Bishop Manogue Dr")</f>
        <v>110 Bishop Manogue Dr</v>
      </c>
      <c r="K1150" s="2" t="str">
        <f ca="1">IFERROR(__xludf.DUMMYFUNCTION("""COMPUTED_VALUE""")," Reno")</f>
        <v xml:space="preserve"> Reno</v>
      </c>
      <c r="L1150" s="2" t="str">
        <f ca="1">IFERROR(__xludf.DUMMYFUNCTION("""COMPUTED_VALUE""")," NV 89511")</f>
        <v xml:space="preserve"> NV 89511</v>
      </c>
      <c r="M1150" s="2" t="str">
        <f ca="1">IFERROR(__xludf.DUMMYFUNCTION("""COMPUTED_VALUE""")," USA")</f>
        <v xml:space="preserve"> USA</v>
      </c>
      <c r="P1150" s="60"/>
    </row>
    <row r="1151" spans="1:16">
      <c r="A1151" s="97">
        <v>1150</v>
      </c>
      <c r="B1151" s="99" t="s">
        <v>6890</v>
      </c>
      <c r="C1151" s="97" t="s">
        <v>693</v>
      </c>
      <c r="D1151" s="93" t="s">
        <v>6891</v>
      </c>
      <c r="E1151" s="48" t="str">
        <f t="shared" si="0"/>
        <v>Ridgeland</v>
      </c>
      <c r="F1151" s="83" t="str">
        <f t="shared" si="1"/>
        <v>St. Andrew's Episcopal (Ridgeland),MS</v>
      </c>
      <c r="G1151" s="97" t="s">
        <v>6893</v>
      </c>
      <c r="H1151" s="97">
        <v>32.434878400000002</v>
      </c>
      <c r="I1151" s="97">
        <v>-90.152870100000001</v>
      </c>
      <c r="J1151" s="60" t="str">
        <f ca="1">IFERROR(__xludf.DUMMYFUNCTION("SPLIT(G1151,"","")"),"370 Old Agency Rd")</f>
        <v>370 Old Agency Rd</v>
      </c>
      <c r="K1151" s="2" t="str">
        <f ca="1">IFERROR(__xludf.DUMMYFUNCTION("""COMPUTED_VALUE""")," Ridgeland")</f>
        <v xml:space="preserve"> Ridgeland</v>
      </c>
      <c r="L1151" s="2" t="str">
        <f ca="1">IFERROR(__xludf.DUMMYFUNCTION("""COMPUTED_VALUE""")," MS 39157")</f>
        <v xml:space="preserve"> MS 39157</v>
      </c>
      <c r="M1151" s="2" t="str">
        <f ca="1">IFERROR(__xludf.DUMMYFUNCTION("""COMPUTED_VALUE""")," USA")</f>
        <v xml:space="preserve"> USA</v>
      </c>
      <c r="P1151" s="60"/>
    </row>
    <row r="1152" spans="1:16">
      <c r="A1152" s="60">
        <v>1151</v>
      </c>
      <c r="B1152" s="79" t="s">
        <v>6895</v>
      </c>
      <c r="C1152" s="60" t="s">
        <v>618</v>
      </c>
      <c r="D1152" s="93" t="s">
        <v>6896</v>
      </c>
      <c r="E1152" s="48" t="str">
        <f t="shared" si="0"/>
        <v>Zionsville</v>
      </c>
      <c r="F1152" s="83" t="str">
        <f t="shared" si="1"/>
        <v>Zionsville,IN</v>
      </c>
      <c r="G1152" s="60" t="s">
        <v>6898</v>
      </c>
      <c r="H1152" s="60">
        <v>39.950873299999998</v>
      </c>
      <c r="I1152" s="60">
        <v>-86.261937000000003</v>
      </c>
      <c r="J1152" s="60" t="str">
        <f ca="1">IFERROR(__xludf.DUMMYFUNCTION("SPLIT(G1152,"","")"),"76 S Main St")</f>
        <v>76 S Main St</v>
      </c>
      <c r="K1152" s="2" t="str">
        <f ca="1">IFERROR(__xludf.DUMMYFUNCTION("""COMPUTED_VALUE""")," Zionsville")</f>
        <v xml:space="preserve"> Zionsville</v>
      </c>
      <c r="L1152" s="2" t="str">
        <f ca="1">IFERROR(__xludf.DUMMYFUNCTION("""COMPUTED_VALUE""")," IN 46077")</f>
        <v xml:space="preserve"> IN 46077</v>
      </c>
      <c r="M1152" s="2" t="str">
        <f ca="1">IFERROR(__xludf.DUMMYFUNCTION("""COMPUTED_VALUE""")," USA")</f>
        <v xml:space="preserve"> USA</v>
      </c>
      <c r="P1152" s="60"/>
    </row>
    <row r="1153" spans="1:16">
      <c r="A1153" s="65">
        <v>1152</v>
      </c>
      <c r="B1153" s="80" t="s">
        <v>4548</v>
      </c>
      <c r="C1153" s="65" t="s">
        <v>588</v>
      </c>
      <c r="D1153" s="93" t="s">
        <v>6900</v>
      </c>
      <c r="E1153" s="48" t="str">
        <f t="shared" si="0"/>
        <v>Calabasas</v>
      </c>
      <c r="F1153" s="83" t="str">
        <f t="shared" si="1"/>
        <v>Calabasas,CA</v>
      </c>
      <c r="G1153" s="65" t="s">
        <v>6902</v>
      </c>
      <c r="H1153" s="65">
        <v>34.136720799999999</v>
      </c>
      <c r="I1153" s="65">
        <v>-118.6614809</v>
      </c>
      <c r="J1153" s="60" t="str">
        <f ca="1">IFERROR(__xludf.DUMMYFUNCTION("SPLIT(G1153,"","")"),"3715 Cll Jazmin")</f>
        <v>3715 Cll Jazmin</v>
      </c>
      <c r="K1153" s="2" t="str">
        <f ca="1">IFERROR(__xludf.DUMMYFUNCTION("""COMPUTED_VALUE""")," Calabasas")</f>
        <v xml:space="preserve"> Calabasas</v>
      </c>
      <c r="L1153" s="2" t="str">
        <f ca="1">IFERROR(__xludf.DUMMYFUNCTION("""COMPUTED_VALUE""")," CA 91302")</f>
        <v xml:space="preserve"> CA 91302</v>
      </c>
      <c r="M1153" s="2" t="str">
        <f ca="1">IFERROR(__xludf.DUMMYFUNCTION("""COMPUTED_VALUE""")," USA")</f>
        <v xml:space="preserve"> USA</v>
      </c>
      <c r="P1153" s="60"/>
    </row>
    <row r="1154" spans="1:16">
      <c r="A1154" s="60">
        <v>1153</v>
      </c>
      <c r="B1154" s="79" t="s">
        <v>6905</v>
      </c>
      <c r="C1154" s="60" t="s">
        <v>682</v>
      </c>
      <c r="D1154" s="93" t="s">
        <v>6906</v>
      </c>
      <c r="E1154" s="48" t="str">
        <f t="shared" si="0"/>
        <v>Wrightstown</v>
      </c>
      <c r="F1154" s="83" t="str">
        <f t="shared" si="1"/>
        <v>Wrightstown,WI</v>
      </c>
      <c r="G1154" s="60" t="s">
        <v>6907</v>
      </c>
      <c r="H1154" s="60">
        <v>44.325822899999999</v>
      </c>
      <c r="I1154" s="60">
        <v>-88.162880999999999</v>
      </c>
      <c r="J1154" s="60" t="str">
        <f ca="1">IFERROR(__xludf.DUMMYFUNCTION("SPLIT(G1154,"","")"),"531 Washington St")</f>
        <v>531 Washington St</v>
      </c>
      <c r="K1154" s="2" t="str">
        <f ca="1">IFERROR(__xludf.DUMMYFUNCTION("""COMPUTED_VALUE""")," Wrightstown")</f>
        <v xml:space="preserve"> Wrightstown</v>
      </c>
      <c r="L1154" s="2" t="str">
        <f ca="1">IFERROR(__xludf.DUMMYFUNCTION("""COMPUTED_VALUE""")," WI 54180")</f>
        <v xml:space="preserve"> WI 54180</v>
      </c>
      <c r="M1154" s="2" t="str">
        <f ca="1">IFERROR(__xludf.DUMMYFUNCTION("""COMPUTED_VALUE""")," USA")</f>
        <v xml:space="preserve"> USA</v>
      </c>
      <c r="P1154" s="60"/>
    </row>
    <row r="1155" spans="1:16">
      <c r="A1155" s="65">
        <v>1154</v>
      </c>
      <c r="B1155" s="80" t="s">
        <v>6910</v>
      </c>
      <c r="C1155" s="65" t="s">
        <v>796</v>
      </c>
      <c r="D1155" s="93" t="s">
        <v>6911</v>
      </c>
      <c r="E1155" s="48" t="str">
        <f t="shared" si="0"/>
        <v>Andale</v>
      </c>
      <c r="F1155" s="83" t="str">
        <f t="shared" si="1"/>
        <v>Andale,KS</v>
      </c>
      <c r="G1155" s="65" t="s">
        <v>6912</v>
      </c>
      <c r="H1155" s="65">
        <v>37.790567000000003</v>
      </c>
      <c r="I1155" s="65">
        <v>-97.629491999999999</v>
      </c>
      <c r="J1155" s="60" t="str">
        <f ca="1">IFERROR(__xludf.DUMMYFUNCTION("SPLIT(G1155,"","")"),"300 Main St")</f>
        <v>300 Main St</v>
      </c>
      <c r="K1155" s="2" t="str">
        <f ca="1">IFERROR(__xludf.DUMMYFUNCTION("""COMPUTED_VALUE""")," Andale")</f>
        <v xml:space="preserve"> Andale</v>
      </c>
      <c r="L1155" s="2" t="str">
        <f ca="1">IFERROR(__xludf.DUMMYFUNCTION("""COMPUTED_VALUE""")," KS 67001")</f>
        <v xml:space="preserve"> KS 67001</v>
      </c>
      <c r="M1155" s="2" t="str">
        <f ca="1">IFERROR(__xludf.DUMMYFUNCTION("""COMPUTED_VALUE""")," USA")</f>
        <v xml:space="preserve"> USA</v>
      </c>
      <c r="P1155" s="60"/>
    </row>
    <row r="1156" spans="1:16">
      <c r="A1156" s="60">
        <v>1155</v>
      </c>
      <c r="B1156" s="79" t="s">
        <v>6915</v>
      </c>
      <c r="C1156" s="60" t="s">
        <v>1370</v>
      </c>
      <c r="D1156" s="93" t="s">
        <v>3959</v>
      </c>
      <c r="E1156" s="48" t="str">
        <f t="shared" si="0"/>
        <v>Sioux Falls</v>
      </c>
      <c r="F1156" s="83" t="str">
        <f t="shared" si="1"/>
        <v>O'Gorman (Sioux Falls),SD</v>
      </c>
      <c r="G1156" s="60" t="s">
        <v>6916</v>
      </c>
      <c r="H1156" s="60">
        <v>43.517276899999999</v>
      </c>
      <c r="I1156" s="60">
        <v>-96.762907900000002</v>
      </c>
      <c r="J1156" s="60" t="str">
        <f ca="1">IFERROR(__xludf.DUMMYFUNCTION("SPLIT(G1156,"","")"),"3201 S Kiwanis Ave")</f>
        <v>3201 S Kiwanis Ave</v>
      </c>
      <c r="K1156" s="2" t="str">
        <f ca="1">IFERROR(__xludf.DUMMYFUNCTION("""COMPUTED_VALUE""")," Sioux Falls")</f>
        <v xml:space="preserve"> Sioux Falls</v>
      </c>
      <c r="L1156" s="2" t="str">
        <f ca="1">IFERROR(__xludf.DUMMYFUNCTION("""COMPUTED_VALUE""")," SD 57105")</f>
        <v xml:space="preserve"> SD 57105</v>
      </c>
      <c r="M1156" s="2" t="str">
        <f ca="1">IFERROR(__xludf.DUMMYFUNCTION("""COMPUTED_VALUE""")," USA")</f>
        <v xml:space="preserve"> USA</v>
      </c>
      <c r="P1156" s="60"/>
    </row>
    <row r="1157" spans="1:16">
      <c r="A1157" s="65">
        <v>1156</v>
      </c>
      <c r="B1157" s="80" t="s">
        <v>237</v>
      </c>
      <c r="C1157" s="65" t="s">
        <v>588</v>
      </c>
      <c r="D1157" s="93" t="s">
        <v>992</v>
      </c>
      <c r="E1157" s="48" t="str">
        <f t="shared" si="0"/>
        <v>San Diego</v>
      </c>
      <c r="F1157" s="83" t="str">
        <f t="shared" si="1"/>
        <v>San Diego,CA</v>
      </c>
      <c r="G1157" s="65" t="s">
        <v>6920</v>
      </c>
      <c r="H1157" s="65">
        <v>32.715738000000002</v>
      </c>
      <c r="I1157" s="65">
        <v>-117.1610838</v>
      </c>
      <c r="J1157" s="60" t="str">
        <f ca="1">IFERROR(__xludf.DUMMYFUNCTION("SPLIT(G1157,"","")"),"998 Fourth Ave")</f>
        <v>998 Fourth Ave</v>
      </c>
      <c r="K1157" s="2" t="str">
        <f ca="1">IFERROR(__xludf.DUMMYFUNCTION("""COMPUTED_VALUE""")," San Diego")</f>
        <v xml:space="preserve"> San Diego</v>
      </c>
      <c r="L1157" s="2" t="str">
        <f ca="1">IFERROR(__xludf.DUMMYFUNCTION("""COMPUTED_VALUE""")," CA 92101")</f>
        <v xml:space="preserve"> CA 92101</v>
      </c>
      <c r="M1157" s="2" t="str">
        <f ca="1">IFERROR(__xludf.DUMMYFUNCTION("""COMPUTED_VALUE""")," USA")</f>
        <v xml:space="preserve"> USA</v>
      </c>
      <c r="P1157" s="60"/>
    </row>
    <row r="1158" spans="1:16">
      <c r="A1158" s="60">
        <v>1157</v>
      </c>
      <c r="B1158" s="79" t="s">
        <v>6922</v>
      </c>
      <c r="C1158" s="60" t="s">
        <v>595</v>
      </c>
      <c r="D1158" s="93" t="s">
        <v>5775</v>
      </c>
      <c r="E1158" s="48" t="str">
        <f t="shared" si="0"/>
        <v>El Paso</v>
      </c>
      <c r="F1158" s="83" t="str">
        <f t="shared" si="1"/>
        <v>Eastwood (El Paso),TX</v>
      </c>
      <c r="G1158" s="60" t="s">
        <v>6924</v>
      </c>
      <c r="H1158" s="60">
        <v>31.772258000000001</v>
      </c>
      <c r="I1158" s="60">
        <v>-106.35517</v>
      </c>
      <c r="J1158" s="60" t="str">
        <f ca="1">IFERROR(__xludf.DUMMYFUNCTION("SPLIT(G1158,"","")"),"2430 McRae Blvd")</f>
        <v>2430 McRae Blvd</v>
      </c>
      <c r="K1158" s="2" t="str">
        <f ca="1">IFERROR(__xludf.DUMMYFUNCTION("""COMPUTED_VALUE""")," El Paso")</f>
        <v xml:space="preserve"> El Paso</v>
      </c>
      <c r="L1158" s="2" t="str">
        <f ca="1">IFERROR(__xludf.DUMMYFUNCTION("""COMPUTED_VALUE""")," TX 79925")</f>
        <v xml:space="preserve"> TX 79925</v>
      </c>
      <c r="M1158" s="2" t="str">
        <f ca="1">IFERROR(__xludf.DUMMYFUNCTION("""COMPUTED_VALUE""")," USA")</f>
        <v xml:space="preserve"> USA</v>
      </c>
      <c r="P1158" s="60"/>
    </row>
    <row r="1159" spans="1:16">
      <c r="A1159" s="65">
        <v>1158</v>
      </c>
      <c r="B1159" s="80" t="s">
        <v>6926</v>
      </c>
      <c r="C1159" s="65" t="s">
        <v>606</v>
      </c>
      <c r="D1159" s="93" t="s">
        <v>3243</v>
      </c>
      <c r="E1159" s="48" t="str">
        <f t="shared" si="0"/>
        <v>Piedmont</v>
      </c>
      <c r="F1159" s="83" t="str">
        <f t="shared" si="1"/>
        <v>Wren (Piedmont),SC</v>
      </c>
      <c r="G1159" s="65" t="s">
        <v>6928</v>
      </c>
      <c r="H1159" s="65">
        <v>34.721625699999997</v>
      </c>
      <c r="I1159" s="65">
        <v>-82.5455635</v>
      </c>
      <c r="J1159" s="60" t="str">
        <f ca="1">IFERROR(__xludf.DUMMYFUNCTION("SPLIT(G1159,"","")"),"1010 Wren School Rd")</f>
        <v>1010 Wren School Rd</v>
      </c>
      <c r="K1159" s="2" t="str">
        <f ca="1">IFERROR(__xludf.DUMMYFUNCTION("""COMPUTED_VALUE""")," Piedmont")</f>
        <v xml:space="preserve"> Piedmont</v>
      </c>
      <c r="L1159" s="2" t="str">
        <f ca="1">IFERROR(__xludf.DUMMYFUNCTION("""COMPUTED_VALUE""")," SC 29673")</f>
        <v xml:space="preserve"> SC 29673</v>
      </c>
      <c r="M1159" s="2" t="str">
        <f ca="1">IFERROR(__xludf.DUMMYFUNCTION("""COMPUTED_VALUE""")," USA")</f>
        <v xml:space="preserve"> USA</v>
      </c>
      <c r="P1159" s="60"/>
    </row>
    <row r="1160" spans="1:16">
      <c r="A1160" s="60">
        <v>1159</v>
      </c>
      <c r="B1160" s="79" t="s">
        <v>6929</v>
      </c>
      <c r="C1160" s="60" t="s">
        <v>796</v>
      </c>
      <c r="D1160" s="93" t="s">
        <v>6931</v>
      </c>
      <c r="E1160" s="48" t="str">
        <f t="shared" si="0"/>
        <v>Parsons</v>
      </c>
      <c r="F1160" s="83" t="str">
        <f t="shared" si="1"/>
        <v>Parsons,KS</v>
      </c>
      <c r="G1160" s="60" t="s">
        <v>6932</v>
      </c>
      <c r="H1160" s="60">
        <v>37.340338400000007</v>
      </c>
      <c r="I1160" s="60">
        <v>-95.261083799999994</v>
      </c>
      <c r="J1160" s="60" t="str">
        <f ca="1">IFERROR(__xludf.DUMMYFUNCTION("SPLIT(G1160,"","")"),"1700 Main St")</f>
        <v>1700 Main St</v>
      </c>
      <c r="K1160" s="2" t="str">
        <f ca="1">IFERROR(__xludf.DUMMYFUNCTION("""COMPUTED_VALUE""")," Parsons")</f>
        <v xml:space="preserve"> Parsons</v>
      </c>
      <c r="L1160" s="2" t="str">
        <f ca="1">IFERROR(__xludf.DUMMYFUNCTION("""COMPUTED_VALUE""")," KS 67357")</f>
        <v xml:space="preserve"> KS 67357</v>
      </c>
      <c r="M1160" s="2" t="str">
        <f ca="1">IFERROR(__xludf.DUMMYFUNCTION("""COMPUTED_VALUE""")," USA")</f>
        <v xml:space="preserve"> USA</v>
      </c>
      <c r="P1160" s="60"/>
    </row>
    <row r="1161" spans="1:16">
      <c r="A1161" s="65">
        <v>1160</v>
      </c>
      <c r="B1161" s="80" t="s">
        <v>6933</v>
      </c>
      <c r="C1161" s="65" t="s">
        <v>618</v>
      </c>
      <c r="D1161" s="93" t="s">
        <v>6934</v>
      </c>
      <c r="E1161" s="48" t="str">
        <f t="shared" si="0"/>
        <v>Muncie</v>
      </c>
      <c r="F1161" s="83" t="str">
        <f t="shared" si="1"/>
        <v>Delta (Muncie),IN</v>
      </c>
      <c r="G1161" s="65" t="s">
        <v>6935</v>
      </c>
      <c r="H1161" s="65">
        <v>40.278275999999998</v>
      </c>
      <c r="I1161" s="65">
        <v>-85.348072399999992</v>
      </c>
      <c r="J1161" s="60" t="str">
        <f ca="1">IFERROR(__xludf.DUMMYFUNCTION("SPLIT(G1161,"","")"),"3400 IN-28")</f>
        <v>3400 IN-28</v>
      </c>
      <c r="K1161" s="2" t="str">
        <f ca="1">IFERROR(__xludf.DUMMYFUNCTION("""COMPUTED_VALUE""")," Muncie")</f>
        <v xml:space="preserve"> Muncie</v>
      </c>
      <c r="L1161" s="2" t="str">
        <f ca="1">IFERROR(__xludf.DUMMYFUNCTION("""COMPUTED_VALUE""")," IN 47303")</f>
        <v xml:space="preserve"> IN 47303</v>
      </c>
      <c r="M1161" s="2" t="str">
        <f ca="1">IFERROR(__xludf.DUMMYFUNCTION("""COMPUTED_VALUE""")," USA")</f>
        <v xml:space="preserve"> USA</v>
      </c>
      <c r="P1161" s="60"/>
    </row>
    <row r="1162" spans="1:16">
      <c r="A1162" s="60">
        <v>1161</v>
      </c>
      <c r="B1162" s="79" t="s">
        <v>6938</v>
      </c>
      <c r="C1162" s="60" t="s">
        <v>1050</v>
      </c>
      <c r="D1162" s="93" t="s">
        <v>6939</v>
      </c>
      <c r="E1162" s="48" t="str">
        <f t="shared" si="0"/>
        <v>Mt Hope</v>
      </c>
      <c r="F1162" s="83" t="str">
        <f t="shared" si="1"/>
        <v>Greater Beckley Christian (Prosperity),WV</v>
      </c>
      <c r="G1162" s="60" t="s">
        <v>6940</v>
      </c>
      <c r="H1162" s="60">
        <v>37.835446999999988</v>
      </c>
      <c r="I1162" s="60">
        <v>-81.20008</v>
      </c>
      <c r="J1162" s="60" t="str">
        <f ca="1">IFERROR(__xludf.DUMMYFUNCTION("SPLIT(G1162,"","")"),"140 Crusader Dr")</f>
        <v>140 Crusader Dr</v>
      </c>
      <c r="K1162" s="2" t="str">
        <f ca="1">IFERROR(__xludf.DUMMYFUNCTION("""COMPUTED_VALUE""")," Mt Hope")</f>
        <v xml:space="preserve"> Mt Hope</v>
      </c>
      <c r="L1162" s="2" t="str">
        <f ca="1">IFERROR(__xludf.DUMMYFUNCTION("""COMPUTED_VALUE""")," WV 25880")</f>
        <v xml:space="preserve"> WV 25880</v>
      </c>
      <c r="M1162" s="2" t="str">
        <f ca="1">IFERROR(__xludf.DUMMYFUNCTION("""COMPUTED_VALUE""")," USA")</f>
        <v xml:space="preserve"> USA</v>
      </c>
      <c r="P1162" s="60"/>
    </row>
    <row r="1163" spans="1:16">
      <c r="A1163" s="65">
        <v>1162</v>
      </c>
      <c r="B1163" s="80" t="s">
        <v>6943</v>
      </c>
      <c r="C1163" s="65" t="s">
        <v>975</v>
      </c>
      <c r="D1163" s="93" t="s">
        <v>1913</v>
      </c>
      <c r="E1163" s="48" t="str">
        <f t="shared" si="0"/>
        <v>Albuquerque</v>
      </c>
      <c r="F1163" s="83" t="str">
        <f t="shared" si="1"/>
        <v>Hope Christian (Albuquerque),NM</v>
      </c>
      <c r="G1163" s="65" t="s">
        <v>6945</v>
      </c>
      <c r="H1163" s="65">
        <v>35.173471999999997</v>
      </c>
      <c r="I1163" s="65">
        <v>-106.56918690000001</v>
      </c>
      <c r="J1163" s="60" t="str">
        <f ca="1">IFERROR(__xludf.DUMMYFUNCTION("SPLIT(G1163,"","")"),"8005 Louisiana Blvd NE")</f>
        <v>8005 Louisiana Blvd NE</v>
      </c>
      <c r="K1163" s="2" t="str">
        <f ca="1">IFERROR(__xludf.DUMMYFUNCTION("""COMPUTED_VALUE""")," Albuquerque")</f>
        <v xml:space="preserve"> Albuquerque</v>
      </c>
      <c r="L1163" s="2" t="str">
        <f ca="1">IFERROR(__xludf.DUMMYFUNCTION("""COMPUTED_VALUE""")," NM 87109")</f>
        <v xml:space="preserve"> NM 87109</v>
      </c>
      <c r="M1163" s="2" t="str">
        <f ca="1">IFERROR(__xludf.DUMMYFUNCTION("""COMPUTED_VALUE""")," USA")</f>
        <v xml:space="preserve"> USA</v>
      </c>
      <c r="P1163" s="60"/>
    </row>
    <row r="1164" spans="1:16">
      <c r="A1164" s="60">
        <v>1163</v>
      </c>
      <c r="B1164" s="79" t="s">
        <v>6947</v>
      </c>
      <c r="C1164" s="60" t="s">
        <v>606</v>
      </c>
      <c r="D1164" s="93" t="s">
        <v>6949</v>
      </c>
      <c r="E1164" s="48" t="str">
        <f t="shared" si="0"/>
        <v>Rock Hill</v>
      </c>
      <c r="F1164" s="83" t="str">
        <f t="shared" si="1"/>
        <v>Northwestern (Rock Hill),SC</v>
      </c>
      <c r="G1164" s="60" t="s">
        <v>6950</v>
      </c>
      <c r="H1164" s="60">
        <v>34.950221499999998</v>
      </c>
      <c r="I1164" s="60">
        <v>-81.08301449999999</v>
      </c>
      <c r="J1164" s="60" t="str">
        <f ca="1">IFERROR(__xludf.DUMMYFUNCTION("SPLIT(G1164,"","")"),"2503 W Main St")</f>
        <v>2503 W Main St</v>
      </c>
      <c r="K1164" s="2" t="str">
        <f ca="1">IFERROR(__xludf.DUMMYFUNCTION("""COMPUTED_VALUE""")," Rock Hill")</f>
        <v xml:space="preserve"> Rock Hill</v>
      </c>
      <c r="L1164" s="2" t="str">
        <f ca="1">IFERROR(__xludf.DUMMYFUNCTION("""COMPUTED_VALUE""")," SC 29732")</f>
        <v xml:space="preserve"> SC 29732</v>
      </c>
      <c r="M1164" s="2" t="str">
        <f ca="1">IFERROR(__xludf.DUMMYFUNCTION("""COMPUTED_VALUE""")," USA")</f>
        <v xml:space="preserve"> USA</v>
      </c>
      <c r="P1164" s="60"/>
    </row>
    <row r="1165" spans="1:16">
      <c r="A1165" s="65">
        <v>1164</v>
      </c>
      <c r="B1165" s="80" t="s">
        <v>6953</v>
      </c>
      <c r="C1165" s="65" t="s">
        <v>1379</v>
      </c>
      <c r="D1165" s="93" t="s">
        <v>6734</v>
      </c>
      <c r="E1165" s="48" t="str">
        <f t="shared" si="0"/>
        <v>Cheyenne</v>
      </c>
      <c r="F1165" s="83" t="str">
        <f t="shared" si="1"/>
        <v>Central (Cheyenne),WY</v>
      </c>
      <c r="G1165" s="65" t="s">
        <v>6735</v>
      </c>
      <c r="H1165" s="65">
        <v>41.139981400000003</v>
      </c>
      <c r="I1165" s="65">
        <v>-104.8202462</v>
      </c>
      <c r="J1165" s="60" t="str">
        <f ca="1">IFERROR(__xludf.DUMMYFUNCTION("SPLIT(G1165,"","")"),"200 W 24th St")</f>
        <v>200 W 24th St</v>
      </c>
      <c r="K1165" s="2" t="str">
        <f ca="1">IFERROR(__xludf.DUMMYFUNCTION("""COMPUTED_VALUE""")," Cheyenne")</f>
        <v xml:space="preserve"> Cheyenne</v>
      </c>
      <c r="L1165" s="2" t="str">
        <f ca="1">IFERROR(__xludf.DUMMYFUNCTION("""COMPUTED_VALUE""")," WY 82001")</f>
        <v xml:space="preserve"> WY 82001</v>
      </c>
      <c r="M1165" s="2" t="str">
        <f ca="1">IFERROR(__xludf.DUMMYFUNCTION("""COMPUTED_VALUE""")," USA")</f>
        <v xml:space="preserve"> USA</v>
      </c>
      <c r="P1165" s="60"/>
    </row>
    <row r="1166" spans="1:16">
      <c r="A1166" s="60">
        <v>1165</v>
      </c>
      <c r="B1166" s="79" t="s">
        <v>6956</v>
      </c>
      <c r="C1166" s="60" t="s">
        <v>588</v>
      </c>
      <c r="D1166" s="93" t="s">
        <v>703</v>
      </c>
      <c r="E1166" s="48" t="str">
        <f t="shared" si="0"/>
        <v>San Francisco</v>
      </c>
      <c r="F1166" s="83" t="str">
        <f t="shared" si="1"/>
        <v>University (San Francisco),CA</v>
      </c>
      <c r="G1166" s="60" t="s">
        <v>6958</v>
      </c>
      <c r="H1166" s="60">
        <v>37.776564299999997</v>
      </c>
      <c r="I1166" s="60">
        <v>-122.4507187</v>
      </c>
      <c r="J1166" s="60" t="str">
        <f ca="1">IFERROR(__xludf.DUMMYFUNCTION("SPLIT(G1166,"","")"),"2130 Fulton St")</f>
        <v>2130 Fulton St</v>
      </c>
      <c r="K1166" s="2" t="str">
        <f ca="1">IFERROR(__xludf.DUMMYFUNCTION("""COMPUTED_VALUE""")," San Francisco")</f>
        <v xml:space="preserve"> San Francisco</v>
      </c>
      <c r="L1166" s="2" t="str">
        <f ca="1">IFERROR(__xludf.DUMMYFUNCTION("""COMPUTED_VALUE""")," CA 94117")</f>
        <v xml:space="preserve"> CA 94117</v>
      </c>
      <c r="M1166" s="2" t="str">
        <f ca="1">IFERROR(__xludf.DUMMYFUNCTION("""COMPUTED_VALUE""")," USA")</f>
        <v xml:space="preserve"> USA</v>
      </c>
      <c r="P1166" s="60"/>
    </row>
    <row r="1167" spans="1:16">
      <c r="A1167" s="65">
        <v>1166</v>
      </c>
      <c r="B1167" s="80" t="s">
        <v>6961</v>
      </c>
      <c r="C1167" s="65" t="s">
        <v>588</v>
      </c>
      <c r="D1167" s="93" t="s">
        <v>6963</v>
      </c>
      <c r="E1167" s="48" t="str">
        <f t="shared" si="0"/>
        <v>Rancho Santa Margarita</v>
      </c>
      <c r="F1167" s="83" t="str">
        <f t="shared" si="1"/>
        <v>Tesoro (Rancho Santa Margarita),CA</v>
      </c>
      <c r="G1167" s="65" t="s">
        <v>6964</v>
      </c>
      <c r="H1167" s="65">
        <v>33.580951200000001</v>
      </c>
      <c r="I1167" s="65">
        <v>-117.6123197</v>
      </c>
      <c r="J1167" s="60" t="str">
        <f ca="1">IFERROR(__xludf.DUMMYFUNCTION("SPLIT(G1167,"","")"),"1 Tesoro Creek Rd")</f>
        <v>1 Tesoro Creek Rd</v>
      </c>
      <c r="K1167" s="2" t="str">
        <f ca="1">IFERROR(__xludf.DUMMYFUNCTION("""COMPUTED_VALUE""")," Rancho Santa Margarita")</f>
        <v xml:space="preserve"> Rancho Santa Margarita</v>
      </c>
      <c r="L1167" s="2" t="str">
        <f ca="1">IFERROR(__xludf.DUMMYFUNCTION("""COMPUTED_VALUE""")," CA 92688")</f>
        <v xml:space="preserve"> CA 92688</v>
      </c>
      <c r="M1167" s="2" t="str">
        <f ca="1">IFERROR(__xludf.DUMMYFUNCTION("""COMPUTED_VALUE""")," USA")</f>
        <v xml:space="preserve"> USA</v>
      </c>
      <c r="P1167" s="60"/>
    </row>
    <row r="1168" spans="1:16">
      <c r="A1168" s="60">
        <v>1167</v>
      </c>
      <c r="B1168" s="79" t="s">
        <v>6967</v>
      </c>
      <c r="C1168" s="60" t="s">
        <v>618</v>
      </c>
      <c r="D1168" s="93" t="s">
        <v>6968</v>
      </c>
      <c r="E1168" s="48" t="str">
        <f t="shared" si="0"/>
        <v>New Haven</v>
      </c>
      <c r="F1168" s="83" t="str">
        <f t="shared" si="1"/>
        <v>New Haven,IN</v>
      </c>
      <c r="G1168" s="60" t="s">
        <v>6969</v>
      </c>
      <c r="H1168" s="60">
        <v>41.070604199999998</v>
      </c>
      <c r="I1168" s="60">
        <v>-85.014412399999998</v>
      </c>
      <c r="J1168" s="60" t="str">
        <f ca="1">IFERROR(__xludf.DUMMYFUNCTION("SPLIT(G1168,"","")"),"1104 Hartzell St")</f>
        <v>1104 Hartzell St</v>
      </c>
      <c r="K1168" s="2" t="str">
        <f ca="1">IFERROR(__xludf.DUMMYFUNCTION("""COMPUTED_VALUE""")," New Haven")</f>
        <v xml:space="preserve"> New Haven</v>
      </c>
      <c r="L1168" s="2" t="str">
        <f ca="1">IFERROR(__xludf.DUMMYFUNCTION("""COMPUTED_VALUE""")," IN 46774")</f>
        <v xml:space="preserve"> IN 46774</v>
      </c>
      <c r="M1168" s="2" t="str">
        <f ca="1">IFERROR(__xludf.DUMMYFUNCTION("""COMPUTED_VALUE""")," USA")</f>
        <v xml:space="preserve"> USA</v>
      </c>
      <c r="P1168" s="60"/>
    </row>
    <row r="1169" spans="1:16">
      <c r="A1169" s="65">
        <v>1168</v>
      </c>
      <c r="B1169" s="80" t="s">
        <v>6972</v>
      </c>
      <c r="C1169" s="65" t="s">
        <v>588</v>
      </c>
      <c r="D1169" s="93" t="s">
        <v>633</v>
      </c>
      <c r="E1169" s="48" t="str">
        <f t="shared" si="0"/>
        <v>Sacramento</v>
      </c>
      <c r="F1169" s="83" t="str">
        <f t="shared" si="1"/>
        <v>Burbank (Sacramento),CA</v>
      </c>
      <c r="G1169" s="65" t="s">
        <v>6973</v>
      </c>
      <c r="H1169" s="65">
        <v>38.494695800000002</v>
      </c>
      <c r="I1169" s="65">
        <v>-121.4664531</v>
      </c>
      <c r="J1169" s="60" t="str">
        <f ca="1">IFERROR(__xludf.DUMMYFUNCTION("SPLIT(G1169,"","")"),"3500 Florin Rd")</f>
        <v>3500 Florin Rd</v>
      </c>
      <c r="K1169" s="2" t="str">
        <f ca="1">IFERROR(__xludf.DUMMYFUNCTION("""COMPUTED_VALUE""")," Sacramento")</f>
        <v xml:space="preserve"> Sacramento</v>
      </c>
      <c r="L1169" s="2" t="str">
        <f ca="1">IFERROR(__xludf.DUMMYFUNCTION("""COMPUTED_VALUE""")," CA 95823")</f>
        <v xml:space="preserve"> CA 95823</v>
      </c>
      <c r="M1169" s="2" t="str">
        <f ca="1">IFERROR(__xludf.DUMMYFUNCTION("""COMPUTED_VALUE""")," USA")</f>
        <v xml:space="preserve"> USA</v>
      </c>
      <c r="P1169" s="60"/>
    </row>
    <row r="1170" spans="1:16">
      <c r="A1170" s="60">
        <v>1169</v>
      </c>
      <c r="B1170" s="79" t="s">
        <v>6977</v>
      </c>
      <c r="C1170" s="60" t="s">
        <v>940</v>
      </c>
      <c r="D1170" s="93" t="s">
        <v>941</v>
      </c>
      <c r="E1170" s="48" t="str">
        <f t="shared" si="0"/>
        <v>Omaha</v>
      </c>
      <c r="F1170" s="83" t="str">
        <f t="shared" si="1"/>
        <v>Omaha South (Omaha),NE</v>
      </c>
      <c r="G1170" s="60" t="s">
        <v>6979</v>
      </c>
      <c r="H1170" s="60">
        <v>41.212501699999997</v>
      </c>
      <c r="I1170" s="60">
        <v>-95.976523799999995</v>
      </c>
      <c r="J1170" s="60" t="str">
        <f ca="1">IFERROR(__xludf.DUMMYFUNCTION("SPLIT(G1170,"","")"),"4720 S 42nd St")</f>
        <v>4720 S 42nd St</v>
      </c>
      <c r="K1170" s="2" t="str">
        <f ca="1">IFERROR(__xludf.DUMMYFUNCTION("""COMPUTED_VALUE""")," Omaha")</f>
        <v xml:space="preserve"> Omaha</v>
      </c>
      <c r="L1170" s="2" t="str">
        <f ca="1">IFERROR(__xludf.DUMMYFUNCTION("""COMPUTED_VALUE""")," NE 68107")</f>
        <v xml:space="preserve"> NE 68107</v>
      </c>
      <c r="M1170" s="2" t="str">
        <f ca="1">IFERROR(__xludf.DUMMYFUNCTION("""COMPUTED_VALUE""")," USA")</f>
        <v xml:space="preserve"> USA</v>
      </c>
      <c r="P1170" s="60"/>
    </row>
    <row r="1171" spans="1:16">
      <c r="A1171" s="65">
        <v>1170</v>
      </c>
      <c r="B1171" s="80" t="s">
        <v>1650</v>
      </c>
      <c r="C1171" s="65" t="s">
        <v>770</v>
      </c>
      <c r="D1171" s="93" t="s">
        <v>6426</v>
      </c>
      <c r="E1171" s="48" t="str">
        <f t="shared" si="0"/>
        <v>Cordova</v>
      </c>
      <c r="F1171" s="83" t="str">
        <f t="shared" si="1"/>
        <v>Cordova,TN</v>
      </c>
      <c r="G1171" s="65" t="s">
        <v>6983</v>
      </c>
      <c r="H1171" s="65">
        <v>35.159839099999999</v>
      </c>
      <c r="I1171" s="65">
        <v>-89.761544999999998</v>
      </c>
      <c r="J1171" s="60" t="str">
        <f ca="1">IFERROR(__xludf.DUMMYFUNCTION("SPLIT(G1171,"","")"),"9008 Macon Rd")</f>
        <v>9008 Macon Rd</v>
      </c>
      <c r="K1171" s="2" t="str">
        <f ca="1">IFERROR(__xludf.DUMMYFUNCTION("""COMPUTED_VALUE""")," Cordova")</f>
        <v xml:space="preserve"> Cordova</v>
      </c>
      <c r="L1171" s="2" t="str">
        <f ca="1">IFERROR(__xludf.DUMMYFUNCTION("""COMPUTED_VALUE""")," TN 38018")</f>
        <v xml:space="preserve"> TN 38018</v>
      </c>
      <c r="M1171" s="2" t="str">
        <f ca="1">IFERROR(__xludf.DUMMYFUNCTION("""COMPUTED_VALUE""")," USA")</f>
        <v xml:space="preserve"> USA</v>
      </c>
      <c r="P1171" s="60"/>
    </row>
    <row r="1172" spans="1:16">
      <c r="A1172" s="60">
        <v>1171</v>
      </c>
      <c r="B1172" s="79" t="s">
        <v>6989</v>
      </c>
      <c r="C1172" s="60" t="s">
        <v>897</v>
      </c>
      <c r="D1172" s="93" t="s">
        <v>6990</v>
      </c>
      <c r="E1172" s="48" t="str">
        <f t="shared" si="0"/>
        <v>Bolivar</v>
      </c>
      <c r="F1172" s="83" t="str">
        <f t="shared" si="1"/>
        <v>Bolivar,MO</v>
      </c>
      <c r="G1172" s="60" t="s">
        <v>6991</v>
      </c>
      <c r="H1172" s="60">
        <v>37.614483800000002</v>
      </c>
      <c r="I1172" s="60">
        <v>-93.410474899999997</v>
      </c>
      <c r="J1172" s="60" t="str">
        <f ca="1">IFERROR(__xludf.DUMMYFUNCTION("SPLIT(G1172,"","")"),"207 E Broadway St")</f>
        <v>207 E Broadway St</v>
      </c>
      <c r="K1172" s="2" t="str">
        <f ca="1">IFERROR(__xludf.DUMMYFUNCTION("""COMPUTED_VALUE""")," Bolivar")</f>
        <v xml:space="preserve"> Bolivar</v>
      </c>
      <c r="L1172" s="2" t="str">
        <f ca="1">IFERROR(__xludf.DUMMYFUNCTION("""COMPUTED_VALUE""")," MO 65613")</f>
        <v xml:space="preserve"> MO 65613</v>
      </c>
      <c r="M1172" s="2" t="str">
        <f ca="1">IFERROR(__xludf.DUMMYFUNCTION("""COMPUTED_VALUE""")," USA")</f>
        <v xml:space="preserve"> USA</v>
      </c>
      <c r="P1172" s="60"/>
    </row>
    <row r="1173" spans="1:16">
      <c r="A1173" s="65">
        <v>1172</v>
      </c>
      <c r="B1173" s="80" t="s">
        <v>6994</v>
      </c>
      <c r="C1173" s="65" t="s">
        <v>191</v>
      </c>
      <c r="D1173" s="93" t="s">
        <v>6996</v>
      </c>
      <c r="E1173" s="48" t="str">
        <f t="shared" si="0"/>
        <v>Macomb</v>
      </c>
      <c r="F1173" s="83" t="str">
        <f t="shared" si="1"/>
        <v>Dakota (Macomb),MI</v>
      </c>
      <c r="G1173" s="65" t="s">
        <v>6997</v>
      </c>
      <c r="H1173" s="65">
        <v>42.649560699999988</v>
      </c>
      <c r="I1173" s="65">
        <v>-82.921524399999996</v>
      </c>
      <c r="J1173" s="60" t="str">
        <f ca="1">IFERROR(__xludf.DUMMYFUNCTION("SPLIT(G1173,"","")"),"47947 Dakota Dr")</f>
        <v>47947 Dakota Dr</v>
      </c>
      <c r="K1173" s="2" t="str">
        <f ca="1">IFERROR(__xludf.DUMMYFUNCTION("""COMPUTED_VALUE""")," Macomb")</f>
        <v xml:space="preserve"> Macomb</v>
      </c>
      <c r="L1173" s="2" t="str">
        <f ca="1">IFERROR(__xludf.DUMMYFUNCTION("""COMPUTED_VALUE""")," MI 48044")</f>
        <v xml:space="preserve"> MI 48044</v>
      </c>
      <c r="M1173" s="2" t="str">
        <f ca="1">IFERROR(__xludf.DUMMYFUNCTION("""COMPUTED_VALUE""")," USA")</f>
        <v xml:space="preserve"> USA</v>
      </c>
      <c r="P1173" s="60"/>
    </row>
    <row r="1174" spans="1:16">
      <c r="A1174" s="60">
        <v>1173</v>
      </c>
      <c r="B1174" s="79" t="s">
        <v>7001</v>
      </c>
      <c r="C1174" s="60" t="s">
        <v>646</v>
      </c>
      <c r="D1174" s="93" t="s">
        <v>7002</v>
      </c>
      <c r="E1174" s="48" t="str">
        <f t="shared" si="0"/>
        <v>Browning</v>
      </c>
      <c r="F1174" s="83" t="str">
        <f t="shared" si="1"/>
        <v>Browning,MT</v>
      </c>
      <c r="G1174" s="60" t="s">
        <v>7003</v>
      </c>
      <c r="H1174" s="60">
        <v>48.556917400000003</v>
      </c>
      <c r="I1174" s="60">
        <v>-113.0134175</v>
      </c>
      <c r="J1174" s="60" t="str">
        <f ca="1">IFERROR(__xludf.DUMMYFUNCTION("SPLIT(G1174,"","")"),"105 1st Ave NW")</f>
        <v>105 1st Ave NW</v>
      </c>
      <c r="K1174" s="2" t="str">
        <f ca="1">IFERROR(__xludf.DUMMYFUNCTION("""COMPUTED_VALUE""")," Browning")</f>
        <v xml:space="preserve"> Browning</v>
      </c>
      <c r="L1174" s="2" t="str">
        <f ca="1">IFERROR(__xludf.DUMMYFUNCTION("""COMPUTED_VALUE""")," MT 59417")</f>
        <v xml:space="preserve"> MT 59417</v>
      </c>
      <c r="M1174" s="2" t="str">
        <f ca="1">IFERROR(__xludf.DUMMYFUNCTION("""COMPUTED_VALUE""")," USA")</f>
        <v xml:space="preserve"> USA</v>
      </c>
      <c r="P1174" s="60"/>
    </row>
    <row r="1175" spans="1:16">
      <c r="A1175" s="65">
        <v>1174</v>
      </c>
      <c r="B1175" s="80" t="s">
        <v>7007</v>
      </c>
      <c r="C1175" s="65" t="s">
        <v>71</v>
      </c>
      <c r="D1175" s="93" t="s">
        <v>3570</v>
      </c>
      <c r="E1175" s="48" t="str">
        <f t="shared" si="0"/>
        <v>Chandler</v>
      </c>
      <c r="F1175" s="83" t="str">
        <f t="shared" si="1"/>
        <v>Tri-City Christian Academy (Chandler),AZ</v>
      </c>
      <c r="G1175" s="65" t="s">
        <v>7009</v>
      </c>
      <c r="H1175" s="65">
        <v>33.275516000000003</v>
      </c>
      <c r="I1175" s="65">
        <v>-111.879572</v>
      </c>
      <c r="J1175" s="60" t="str">
        <f ca="1">IFERROR(__xludf.DUMMYFUNCTION("SPLIT(G1175,"","")"),"2211 W Germann Rd")</f>
        <v>2211 W Germann Rd</v>
      </c>
      <c r="K1175" s="2" t="str">
        <f ca="1">IFERROR(__xludf.DUMMYFUNCTION("""COMPUTED_VALUE""")," Chandler")</f>
        <v xml:space="preserve"> Chandler</v>
      </c>
      <c r="L1175" s="2" t="str">
        <f ca="1">IFERROR(__xludf.DUMMYFUNCTION("""COMPUTED_VALUE""")," AZ 85286")</f>
        <v xml:space="preserve"> AZ 85286</v>
      </c>
      <c r="M1175" s="2" t="str">
        <f ca="1">IFERROR(__xludf.DUMMYFUNCTION("""COMPUTED_VALUE""")," USA")</f>
        <v xml:space="preserve"> USA</v>
      </c>
      <c r="P1175" s="60"/>
    </row>
    <row r="1176" spans="1:16">
      <c r="A1176" s="97">
        <v>1175</v>
      </c>
      <c r="B1176" s="99" t="s">
        <v>7012</v>
      </c>
      <c r="C1176" s="97" t="s">
        <v>745</v>
      </c>
      <c r="D1176" s="93" t="s">
        <v>7013</v>
      </c>
      <c r="E1176" s="48" t="str">
        <f t="shared" si="0"/>
        <v>Spokane</v>
      </c>
      <c r="F1176" s="83" t="str">
        <f t="shared" si="1"/>
        <v>Gonzaga Prep (Spokane),WA</v>
      </c>
      <c r="G1176" s="97" t="s">
        <v>7014</v>
      </c>
      <c r="H1176" s="97">
        <v>47.685724999999998</v>
      </c>
      <c r="I1176" s="97">
        <v>-117.3913251</v>
      </c>
      <c r="J1176" s="60" t="str">
        <f ca="1">IFERROR(__xludf.DUMMYFUNCTION("SPLIT(G1176,"","")"),"1224 E Euclid Ave")</f>
        <v>1224 E Euclid Ave</v>
      </c>
      <c r="K1176" s="2" t="str">
        <f ca="1">IFERROR(__xludf.DUMMYFUNCTION("""COMPUTED_VALUE""")," Spokane")</f>
        <v xml:space="preserve"> Spokane</v>
      </c>
      <c r="L1176" s="2" t="str">
        <f ca="1">IFERROR(__xludf.DUMMYFUNCTION("""COMPUTED_VALUE""")," WA 99207")</f>
        <v xml:space="preserve"> WA 99207</v>
      </c>
      <c r="M1176" s="2" t="str">
        <f ca="1">IFERROR(__xludf.DUMMYFUNCTION("""COMPUTED_VALUE""")," USA")</f>
        <v xml:space="preserve"> USA</v>
      </c>
      <c r="P1176" s="60"/>
    </row>
    <row r="1177" spans="1:16">
      <c r="A1177" s="60">
        <v>1176</v>
      </c>
      <c r="B1177" s="79" t="s">
        <v>7018</v>
      </c>
      <c r="C1177" s="60" t="s">
        <v>897</v>
      </c>
      <c r="D1177" s="93" t="s">
        <v>7019</v>
      </c>
      <c r="E1177" s="48" t="str">
        <f t="shared" si="0"/>
        <v>Urbana</v>
      </c>
      <c r="F1177" s="83" t="str">
        <f t="shared" si="1"/>
        <v>Skyline (Urbana),MO</v>
      </c>
      <c r="G1177" s="60" t="s">
        <v>7020</v>
      </c>
      <c r="H1177" s="60">
        <v>37.910179599999999</v>
      </c>
      <c r="I1177" s="60">
        <v>-93.193411999999995</v>
      </c>
      <c r="J1177" s="60" t="str">
        <f ca="1">IFERROR(__xludf.DUMMYFUNCTION("SPLIT(G1177,"","")"),"20663 US-65")</f>
        <v>20663 US-65</v>
      </c>
      <c r="K1177" s="2" t="str">
        <f ca="1">IFERROR(__xludf.DUMMYFUNCTION("""COMPUTED_VALUE""")," Urbana")</f>
        <v xml:space="preserve"> Urbana</v>
      </c>
      <c r="L1177" s="2" t="str">
        <f ca="1">IFERROR(__xludf.DUMMYFUNCTION("""COMPUTED_VALUE""")," MO 65767")</f>
        <v xml:space="preserve"> MO 65767</v>
      </c>
      <c r="M1177" s="2" t="str">
        <f ca="1">IFERROR(__xludf.DUMMYFUNCTION("""COMPUTED_VALUE""")," USA")</f>
        <v xml:space="preserve"> USA</v>
      </c>
      <c r="P1177" s="60"/>
    </row>
    <row r="1178" spans="1:16">
      <c r="A1178" s="65">
        <v>1177</v>
      </c>
      <c r="B1178" s="80" t="s">
        <v>7023</v>
      </c>
      <c r="C1178" s="65" t="s">
        <v>588</v>
      </c>
      <c r="D1178" s="93" t="s">
        <v>6009</v>
      </c>
      <c r="E1178" s="48" t="str">
        <f t="shared" si="0"/>
        <v>Elk Grove</v>
      </c>
      <c r="F1178" s="83" t="str">
        <f t="shared" si="1"/>
        <v>Cosumnes Oaks (Elk Grove),CA</v>
      </c>
      <c r="G1178" s="65" t="s">
        <v>7024</v>
      </c>
      <c r="H1178" s="65">
        <v>38.398504000000003</v>
      </c>
      <c r="I1178" s="65">
        <v>-121.39721400000001</v>
      </c>
      <c r="J1178" s="60" t="str">
        <f ca="1">IFERROR(__xludf.DUMMYFUNCTION("SPLIT(G1178,"","")"),"8350 Lotz Pkwy")</f>
        <v>8350 Lotz Pkwy</v>
      </c>
      <c r="K1178" s="2" t="str">
        <f ca="1">IFERROR(__xludf.DUMMYFUNCTION("""COMPUTED_VALUE""")," Elk Grove")</f>
        <v xml:space="preserve"> Elk Grove</v>
      </c>
      <c r="L1178" s="2" t="str">
        <f ca="1">IFERROR(__xludf.DUMMYFUNCTION("""COMPUTED_VALUE""")," CA 95757")</f>
        <v xml:space="preserve"> CA 95757</v>
      </c>
      <c r="M1178" s="2" t="str">
        <f ca="1">IFERROR(__xludf.DUMMYFUNCTION("""COMPUTED_VALUE""")," USA")</f>
        <v xml:space="preserve"> USA</v>
      </c>
      <c r="P1178" s="60"/>
    </row>
    <row r="1179" spans="1:16">
      <c r="A1179" s="60">
        <v>1178</v>
      </c>
      <c r="B1179" s="79" t="s">
        <v>7026</v>
      </c>
      <c r="C1179" s="60" t="s">
        <v>136</v>
      </c>
      <c r="D1179" s="93" t="s">
        <v>7028</v>
      </c>
      <c r="E1179" s="48" t="str">
        <f t="shared" si="0"/>
        <v>Deerfield Beach</v>
      </c>
      <c r="F1179" s="83" t="str">
        <f t="shared" si="1"/>
        <v>Deerfield Beach,FL</v>
      </c>
      <c r="G1179" s="60" t="s">
        <v>7029</v>
      </c>
      <c r="H1179" s="60">
        <v>26.318412299999999</v>
      </c>
      <c r="I1179" s="60">
        <v>-80.099765699999992</v>
      </c>
      <c r="J1179" s="60" t="str">
        <f ca="1">IFERROR(__xludf.DUMMYFUNCTION("SPLIT(G1179,"","")"),"15 SE 2nd Ave")</f>
        <v>15 SE 2nd Ave</v>
      </c>
      <c r="K1179" s="2" t="str">
        <f ca="1">IFERROR(__xludf.DUMMYFUNCTION("""COMPUTED_VALUE""")," Deerfield Beach")</f>
        <v xml:space="preserve"> Deerfield Beach</v>
      </c>
      <c r="L1179" s="2" t="str">
        <f ca="1">IFERROR(__xludf.DUMMYFUNCTION("""COMPUTED_VALUE""")," FL 33441")</f>
        <v xml:space="preserve"> FL 33441</v>
      </c>
      <c r="M1179" s="2" t="str">
        <f ca="1">IFERROR(__xludf.DUMMYFUNCTION("""COMPUTED_VALUE""")," USA")</f>
        <v xml:space="preserve"> USA</v>
      </c>
      <c r="P1179" s="60"/>
    </row>
    <row r="1180" spans="1:16">
      <c r="A1180" s="65">
        <v>1179</v>
      </c>
      <c r="B1180" s="80" t="s">
        <v>7033</v>
      </c>
      <c r="C1180" s="65" t="s">
        <v>191</v>
      </c>
      <c r="D1180" s="93" t="s">
        <v>7034</v>
      </c>
      <c r="E1180" s="48" t="str">
        <f t="shared" si="0"/>
        <v>Goodrich</v>
      </c>
      <c r="F1180" s="83" t="str">
        <f t="shared" si="1"/>
        <v>Goodrich,MI</v>
      </c>
      <c r="G1180" s="65" t="s">
        <v>7035</v>
      </c>
      <c r="H1180" s="65">
        <v>42.916972000000001</v>
      </c>
      <c r="I1180" s="65">
        <v>-83.506336500000003</v>
      </c>
      <c r="J1180" s="60" t="str">
        <f ca="1">IFERROR(__xludf.DUMMYFUNCTION("SPLIT(G1180,"","")"),"10209 Hegel Rd")</f>
        <v>10209 Hegel Rd</v>
      </c>
      <c r="K1180" s="2" t="str">
        <f ca="1">IFERROR(__xludf.DUMMYFUNCTION("""COMPUTED_VALUE""")," Goodrich")</f>
        <v xml:space="preserve"> Goodrich</v>
      </c>
      <c r="L1180" s="2" t="str">
        <f ca="1">IFERROR(__xludf.DUMMYFUNCTION("""COMPUTED_VALUE""")," MI 48438")</f>
        <v xml:space="preserve"> MI 48438</v>
      </c>
      <c r="M1180" s="2" t="str">
        <f ca="1">IFERROR(__xludf.DUMMYFUNCTION("""COMPUTED_VALUE""")," USA")</f>
        <v xml:space="preserve"> USA</v>
      </c>
      <c r="P1180" s="60"/>
    </row>
    <row r="1181" spans="1:16">
      <c r="A1181" s="60">
        <v>1180</v>
      </c>
      <c r="B1181" s="79" t="s">
        <v>7038</v>
      </c>
      <c r="C1181" s="60" t="s">
        <v>604</v>
      </c>
      <c r="D1181" s="93" t="s">
        <v>3789</v>
      </c>
      <c r="E1181" s="48" t="str">
        <f t="shared" si="0"/>
        <v>La Grange</v>
      </c>
      <c r="F1181" s="83" t="str">
        <f t="shared" si="1"/>
        <v>Lyons (LaGrange),IL</v>
      </c>
      <c r="G1181" s="60" t="s">
        <v>7040</v>
      </c>
      <c r="H1181" s="60">
        <v>41.805031399999997</v>
      </c>
      <c r="I1181" s="60">
        <v>-87.869225400000005</v>
      </c>
      <c r="J1181" s="60" t="str">
        <f ca="1">IFERROR(__xludf.DUMMYFUNCTION("SPLIT(G1181,"","")"),"La Grange/47th")</f>
        <v>La Grange/47th</v>
      </c>
      <c r="K1181" s="2" t="str">
        <f ca="1">IFERROR(__xludf.DUMMYFUNCTION("""COMPUTED_VALUE""")," La Grange")</f>
        <v xml:space="preserve"> La Grange</v>
      </c>
      <c r="L1181" s="2" t="str">
        <f ca="1">IFERROR(__xludf.DUMMYFUNCTION("""COMPUTED_VALUE""")," IL 60525")</f>
        <v xml:space="preserve"> IL 60525</v>
      </c>
      <c r="M1181" s="2" t="str">
        <f ca="1">IFERROR(__xludf.DUMMYFUNCTION("""COMPUTED_VALUE""")," USA")</f>
        <v xml:space="preserve"> USA</v>
      </c>
      <c r="P1181" s="60"/>
    </row>
    <row r="1182" spans="1:16">
      <c r="A1182" s="65">
        <v>1181</v>
      </c>
      <c r="B1182" s="80" t="s">
        <v>7041</v>
      </c>
      <c r="C1182" s="65" t="s">
        <v>1331</v>
      </c>
      <c r="D1182" s="93" t="s">
        <v>7042</v>
      </c>
      <c r="E1182" s="48" t="str">
        <f t="shared" si="0"/>
        <v>Rigby</v>
      </c>
      <c r="F1182" s="83" t="str">
        <f t="shared" si="1"/>
        <v>Rigby,ID</v>
      </c>
      <c r="G1182" s="65" t="s">
        <v>7045</v>
      </c>
      <c r="H1182" s="65">
        <v>43.672411900000007</v>
      </c>
      <c r="I1182" s="65">
        <v>-111.914968</v>
      </c>
      <c r="J1182" s="60" t="str">
        <f ca="1">IFERROR(__xludf.DUMMYFUNCTION("SPLIT(G1182,"","")"),"100 W Main St")</f>
        <v>100 W Main St</v>
      </c>
      <c r="K1182" s="2" t="str">
        <f ca="1">IFERROR(__xludf.DUMMYFUNCTION("""COMPUTED_VALUE""")," Rigby")</f>
        <v xml:space="preserve"> Rigby</v>
      </c>
      <c r="L1182" s="2" t="str">
        <f ca="1">IFERROR(__xludf.DUMMYFUNCTION("""COMPUTED_VALUE""")," ID 83442")</f>
        <v xml:space="preserve"> ID 83442</v>
      </c>
      <c r="M1182" s="2" t="str">
        <f ca="1">IFERROR(__xludf.DUMMYFUNCTION("""COMPUTED_VALUE""")," USA")</f>
        <v xml:space="preserve"> USA</v>
      </c>
      <c r="P1182" s="60"/>
    </row>
    <row r="1183" spans="1:16">
      <c r="A1183" s="60">
        <v>1182</v>
      </c>
      <c r="B1183" s="79" t="s">
        <v>2540</v>
      </c>
      <c r="C1183" s="60" t="s">
        <v>71</v>
      </c>
      <c r="D1183" s="93" t="s">
        <v>3570</v>
      </c>
      <c r="E1183" s="48" t="str">
        <f t="shared" si="0"/>
        <v>Chandler</v>
      </c>
      <c r="F1183" s="83" t="str">
        <f t="shared" si="1"/>
        <v>Chandler,AZ</v>
      </c>
      <c r="G1183" s="60" t="s">
        <v>7048</v>
      </c>
      <c r="H1183" s="60">
        <v>33.306160499999997</v>
      </c>
      <c r="I1183" s="60">
        <v>-111.8412502</v>
      </c>
      <c r="J1183" s="60" t="str">
        <f ca="1">IFERROR(__xludf.DUMMYFUNCTION("SPLIT(G1183,"","")"),"1727 N Arizona Ave")</f>
        <v>1727 N Arizona Ave</v>
      </c>
      <c r="K1183" s="2" t="str">
        <f ca="1">IFERROR(__xludf.DUMMYFUNCTION("""COMPUTED_VALUE""")," Chandler")</f>
        <v xml:space="preserve"> Chandler</v>
      </c>
      <c r="L1183" s="2" t="str">
        <f ca="1">IFERROR(__xludf.DUMMYFUNCTION("""COMPUTED_VALUE""")," AZ 85225")</f>
        <v xml:space="preserve"> AZ 85225</v>
      </c>
      <c r="M1183" s="2" t="str">
        <f ca="1">IFERROR(__xludf.DUMMYFUNCTION("""COMPUTED_VALUE""")," USA")</f>
        <v xml:space="preserve"> USA</v>
      </c>
      <c r="P1183" s="60"/>
    </row>
    <row r="1184" spans="1:16">
      <c r="A1184" s="65">
        <v>1183</v>
      </c>
      <c r="B1184" s="80" t="s">
        <v>7050</v>
      </c>
      <c r="C1184" s="65" t="s">
        <v>608</v>
      </c>
      <c r="D1184" s="93" t="s">
        <v>7051</v>
      </c>
      <c r="E1184" s="48" t="str">
        <f t="shared" si="0"/>
        <v>Maple Grove</v>
      </c>
      <c r="F1184" s="83" t="str">
        <f t="shared" si="1"/>
        <v>Maple Grove,MN</v>
      </c>
      <c r="G1184" s="65" t="s">
        <v>7053</v>
      </c>
      <c r="H1184" s="65">
        <v>45.072464199999999</v>
      </c>
      <c r="I1184" s="65">
        <v>-93.455787700000002</v>
      </c>
      <c r="J1184" s="60" t="str">
        <f ca="1">IFERROR(__xludf.DUMMYFUNCTION("SPLIT(G1184,"","")"),"6439 Berkshire Ln N")</f>
        <v>6439 Berkshire Ln N</v>
      </c>
      <c r="K1184" s="2" t="str">
        <f ca="1">IFERROR(__xludf.DUMMYFUNCTION("""COMPUTED_VALUE""")," Maple Grove")</f>
        <v xml:space="preserve"> Maple Grove</v>
      </c>
      <c r="L1184" s="2" t="str">
        <f ca="1">IFERROR(__xludf.DUMMYFUNCTION("""COMPUTED_VALUE""")," MN 55311")</f>
        <v xml:space="preserve"> MN 55311</v>
      </c>
      <c r="M1184" s="2" t="str">
        <f ca="1">IFERROR(__xludf.DUMMYFUNCTION("""COMPUTED_VALUE""")," USA")</f>
        <v xml:space="preserve"> USA</v>
      </c>
      <c r="P1184" s="60"/>
    </row>
    <row r="1185" spans="1:16">
      <c r="A1185" s="60">
        <v>1184</v>
      </c>
      <c r="B1185" s="79" t="s">
        <v>7054</v>
      </c>
      <c r="C1185" s="60" t="s">
        <v>693</v>
      </c>
      <c r="D1185" s="93" t="s">
        <v>7056</v>
      </c>
      <c r="E1185" s="48" t="str">
        <f t="shared" si="0"/>
        <v>Vicksburg</v>
      </c>
      <c r="F1185" s="83" t="str">
        <f t="shared" si="1"/>
        <v>Vicksburg,MS</v>
      </c>
      <c r="G1185" s="60" t="s">
        <v>7057</v>
      </c>
      <c r="H1185" s="60">
        <v>32.352645600000002</v>
      </c>
      <c r="I1185" s="60">
        <v>-90.877882</v>
      </c>
      <c r="J1185" s="60" t="str">
        <f ca="1">IFERROR(__xludf.DUMMYFUNCTION("SPLIT(G1185,"","")"),"1001 Jackson St")</f>
        <v>1001 Jackson St</v>
      </c>
      <c r="K1185" s="2" t="str">
        <f ca="1">IFERROR(__xludf.DUMMYFUNCTION("""COMPUTED_VALUE""")," Vicksburg")</f>
        <v xml:space="preserve"> Vicksburg</v>
      </c>
      <c r="L1185" s="2" t="str">
        <f ca="1">IFERROR(__xludf.DUMMYFUNCTION("""COMPUTED_VALUE""")," MS 39183")</f>
        <v xml:space="preserve"> MS 39183</v>
      </c>
      <c r="M1185" s="2" t="str">
        <f ca="1">IFERROR(__xludf.DUMMYFUNCTION("""COMPUTED_VALUE""")," USA")</f>
        <v xml:space="preserve"> USA</v>
      </c>
      <c r="P1185" s="60"/>
    </row>
    <row r="1186" spans="1:16">
      <c r="A1186" s="65">
        <v>1185</v>
      </c>
      <c r="B1186" s="80" t="s">
        <v>7060</v>
      </c>
      <c r="C1186" s="65" t="s">
        <v>595</v>
      </c>
      <c r="D1186" s="93" t="s">
        <v>7062</v>
      </c>
      <c r="E1186" s="48" t="str">
        <f t="shared" si="0"/>
        <v>Laredo</v>
      </c>
      <c r="F1186" s="83" t="str">
        <f t="shared" si="1"/>
        <v>United (Laredo),TX</v>
      </c>
      <c r="G1186" s="65" t="s">
        <v>7063</v>
      </c>
      <c r="H1186" s="65">
        <v>27.880610399999998</v>
      </c>
      <c r="I1186" s="65">
        <v>-99.456154999999995</v>
      </c>
      <c r="J1186" s="60" t="str">
        <f ca="1">IFERROR(__xludf.DUMMYFUNCTION("SPLIT(G1186,"","")"),"Unnamed Road")</f>
        <v>Unnamed Road</v>
      </c>
      <c r="K1186" s="2" t="str">
        <f ca="1">IFERROR(__xludf.DUMMYFUNCTION("""COMPUTED_VALUE""")," Laredo")</f>
        <v xml:space="preserve"> Laredo</v>
      </c>
      <c r="L1186" s="2" t="str">
        <f ca="1">IFERROR(__xludf.DUMMYFUNCTION("""COMPUTED_VALUE""")," TX 78045")</f>
        <v xml:space="preserve"> TX 78045</v>
      </c>
      <c r="M1186" s="2" t="str">
        <f ca="1">IFERROR(__xludf.DUMMYFUNCTION("""COMPUTED_VALUE""")," USA")</f>
        <v xml:space="preserve"> USA</v>
      </c>
      <c r="P1186" s="60"/>
    </row>
    <row r="1187" spans="1:16">
      <c r="A1187" s="60">
        <v>1186</v>
      </c>
      <c r="B1187" s="79" t="s">
        <v>7065</v>
      </c>
      <c r="C1187" s="60" t="s">
        <v>595</v>
      </c>
      <c r="D1187" s="93" t="s">
        <v>3416</v>
      </c>
      <c r="E1187" s="48" t="str">
        <f t="shared" si="0"/>
        <v>Frisco</v>
      </c>
      <c r="F1187" s="83" t="str">
        <f t="shared" si="1"/>
        <v>Wakeland (Frisco),TX</v>
      </c>
      <c r="G1187" s="60" t="s">
        <v>7068</v>
      </c>
      <c r="H1187" s="60">
        <v>33.167765000000003</v>
      </c>
      <c r="I1187" s="60">
        <v>-96.846685999999991</v>
      </c>
      <c r="J1187" s="60" t="str">
        <f ca="1">IFERROR(__xludf.DUMMYFUNCTION("SPLIT(G1187,"","")"),"10700 Legacy Dr")</f>
        <v>10700 Legacy Dr</v>
      </c>
      <c r="K1187" s="2" t="str">
        <f ca="1">IFERROR(__xludf.DUMMYFUNCTION("""COMPUTED_VALUE""")," Frisco")</f>
        <v xml:space="preserve"> Frisco</v>
      </c>
      <c r="L1187" s="2" t="str">
        <f ca="1">IFERROR(__xludf.DUMMYFUNCTION("""COMPUTED_VALUE""")," TX 75034")</f>
        <v xml:space="preserve"> TX 75034</v>
      </c>
      <c r="M1187" s="2" t="str">
        <f ca="1">IFERROR(__xludf.DUMMYFUNCTION("""COMPUTED_VALUE""")," USA")</f>
        <v xml:space="preserve"> USA</v>
      </c>
      <c r="P1187" s="60"/>
    </row>
    <row r="1188" spans="1:16">
      <c r="A1188" s="65">
        <v>1187</v>
      </c>
      <c r="B1188" s="80" t="s">
        <v>7073</v>
      </c>
      <c r="C1188" s="65" t="s">
        <v>1296</v>
      </c>
      <c r="D1188" s="93" t="s">
        <v>7074</v>
      </c>
      <c r="E1188" s="48" t="str">
        <f t="shared" si="0"/>
        <v>Silverton</v>
      </c>
      <c r="F1188" s="83" t="str">
        <f t="shared" si="1"/>
        <v>Silverton,OR</v>
      </c>
      <c r="G1188" s="65" t="s">
        <v>7076</v>
      </c>
      <c r="H1188" s="65">
        <v>45.005121299999999</v>
      </c>
      <c r="I1188" s="65">
        <v>-122.7831455</v>
      </c>
      <c r="J1188" s="60" t="str">
        <f ca="1">IFERROR(__xludf.DUMMYFUNCTION("SPLIT(G1188,"","")"),"100 S Water St")</f>
        <v>100 S Water St</v>
      </c>
      <c r="K1188" s="2" t="str">
        <f ca="1">IFERROR(__xludf.DUMMYFUNCTION("""COMPUTED_VALUE""")," Silverton")</f>
        <v xml:space="preserve"> Silverton</v>
      </c>
      <c r="L1188" s="2" t="str">
        <f ca="1">IFERROR(__xludf.DUMMYFUNCTION("""COMPUTED_VALUE""")," OR 97381")</f>
        <v xml:space="preserve"> OR 97381</v>
      </c>
      <c r="M1188" s="2" t="str">
        <f ca="1">IFERROR(__xludf.DUMMYFUNCTION("""COMPUTED_VALUE""")," USA")</f>
        <v xml:space="preserve"> USA</v>
      </c>
      <c r="P1188" s="60"/>
    </row>
    <row r="1189" spans="1:16">
      <c r="A1189" s="60">
        <v>1188</v>
      </c>
      <c r="B1189" s="79" t="s">
        <v>7078</v>
      </c>
      <c r="C1189" s="60" t="s">
        <v>69</v>
      </c>
      <c r="D1189" s="93" t="s">
        <v>7080</v>
      </c>
      <c r="E1189" s="48" t="str">
        <f t="shared" si="0"/>
        <v>Mobile</v>
      </c>
      <c r="F1189" s="83" t="str">
        <f t="shared" si="1"/>
        <v>Williamson (Mobile),AL</v>
      </c>
      <c r="G1189" s="60" t="s">
        <v>7081</v>
      </c>
      <c r="H1189" s="60">
        <v>30.669743</v>
      </c>
      <c r="I1189" s="60">
        <v>-88.074173799999997</v>
      </c>
      <c r="J1189" s="60" t="str">
        <f ca="1">IFERROR(__xludf.DUMMYFUNCTION("SPLIT(G1189,"","")"),"1567 E Dublin St")</f>
        <v>1567 E Dublin St</v>
      </c>
      <c r="K1189" s="2" t="str">
        <f ca="1">IFERROR(__xludf.DUMMYFUNCTION("""COMPUTED_VALUE""")," Mobile")</f>
        <v xml:space="preserve"> Mobile</v>
      </c>
      <c r="L1189" s="2" t="str">
        <f ca="1">IFERROR(__xludf.DUMMYFUNCTION("""COMPUTED_VALUE""")," AL 36605")</f>
        <v xml:space="preserve"> AL 36605</v>
      </c>
      <c r="M1189" s="2" t="str">
        <f ca="1">IFERROR(__xludf.DUMMYFUNCTION("""COMPUTED_VALUE""")," USA")</f>
        <v xml:space="preserve"> USA</v>
      </c>
      <c r="P1189" s="60"/>
    </row>
    <row r="1190" spans="1:16">
      <c r="A1190" s="65">
        <v>1189</v>
      </c>
      <c r="B1190" s="80" t="s">
        <v>236</v>
      </c>
      <c r="C1190" s="65" t="s">
        <v>624</v>
      </c>
      <c r="D1190" s="93" t="s">
        <v>2805</v>
      </c>
      <c r="E1190" s="48" t="str">
        <f t="shared" si="0"/>
        <v>Lafayette</v>
      </c>
      <c r="F1190" s="83" t="str">
        <f t="shared" si="1"/>
        <v>Lafayette,LA</v>
      </c>
      <c r="G1190" s="65" t="s">
        <v>7086</v>
      </c>
      <c r="H1190" s="65">
        <v>30.2240897</v>
      </c>
      <c r="I1190" s="65">
        <v>-92.019842699999998</v>
      </c>
      <c r="J1190" s="60" t="str">
        <f ca="1">IFERROR(__xludf.DUMMYFUNCTION("SPLIT(G1190,"","")"),"200 W Vermilion St")</f>
        <v>200 W Vermilion St</v>
      </c>
      <c r="K1190" s="2" t="str">
        <f ca="1">IFERROR(__xludf.DUMMYFUNCTION("""COMPUTED_VALUE""")," Lafayette")</f>
        <v xml:space="preserve"> Lafayette</v>
      </c>
      <c r="L1190" s="2" t="str">
        <f ca="1">IFERROR(__xludf.DUMMYFUNCTION("""COMPUTED_VALUE""")," LA 70501")</f>
        <v xml:space="preserve"> LA 70501</v>
      </c>
      <c r="M1190" s="2" t="str">
        <f ca="1">IFERROR(__xludf.DUMMYFUNCTION("""COMPUTED_VALUE""")," USA")</f>
        <v xml:space="preserve"> USA</v>
      </c>
      <c r="P1190" s="60"/>
    </row>
    <row r="1191" spans="1:16">
      <c r="A1191" s="60">
        <v>1190</v>
      </c>
      <c r="B1191" s="79" t="s">
        <v>7089</v>
      </c>
      <c r="C1191" s="60" t="s">
        <v>595</v>
      </c>
      <c r="D1191" s="93" t="s">
        <v>722</v>
      </c>
      <c r="E1191" s="48" t="str">
        <f t="shared" si="0"/>
        <v>Plano</v>
      </c>
      <c r="F1191" s="83" t="str">
        <f t="shared" si="1"/>
        <v>Spring Creek Academy (Plano),TX</v>
      </c>
      <c r="G1191" s="60" t="s">
        <v>7090</v>
      </c>
      <c r="H1191" s="60">
        <v>33.056271000000002</v>
      </c>
      <c r="I1191" s="60">
        <v>-96.731464199999991</v>
      </c>
      <c r="J1191" s="60" t="str">
        <f ca="1">IFERROR(__xludf.DUMMYFUNCTION("SPLIT(G1191,"","")"),"6000 Custer Rd")</f>
        <v>6000 Custer Rd</v>
      </c>
      <c r="K1191" s="2" t="str">
        <f ca="1">IFERROR(__xludf.DUMMYFUNCTION("""COMPUTED_VALUE""")," Plano")</f>
        <v xml:space="preserve"> Plano</v>
      </c>
      <c r="L1191" s="2" t="str">
        <f ca="1">IFERROR(__xludf.DUMMYFUNCTION("""COMPUTED_VALUE""")," TX 75023")</f>
        <v xml:space="preserve"> TX 75023</v>
      </c>
      <c r="M1191" s="2" t="str">
        <f ca="1">IFERROR(__xludf.DUMMYFUNCTION("""COMPUTED_VALUE""")," USA")</f>
        <v xml:space="preserve"> USA</v>
      </c>
      <c r="P1191" s="60"/>
    </row>
    <row r="1192" spans="1:16">
      <c r="A1192" s="65">
        <v>1191</v>
      </c>
      <c r="B1192" s="80" t="s">
        <v>7094</v>
      </c>
      <c r="C1192" s="65" t="s">
        <v>624</v>
      </c>
      <c r="D1192" s="93" t="s">
        <v>7095</v>
      </c>
      <c r="E1192" s="48" t="str">
        <f t="shared" si="0"/>
        <v>New Iberia</v>
      </c>
      <c r="F1192" s="83" t="str">
        <f t="shared" si="1"/>
        <v>New Iberia,LA</v>
      </c>
      <c r="G1192" s="65" t="s">
        <v>7098</v>
      </c>
      <c r="H1192" s="65">
        <v>30.003536499999999</v>
      </c>
      <c r="I1192" s="65">
        <v>-91.818728499999992</v>
      </c>
      <c r="J1192" s="60" t="str">
        <f ca="1">IFERROR(__xludf.DUMMYFUNCTION("SPLIT(G1192,"","")"),"215 Julia St")</f>
        <v>215 Julia St</v>
      </c>
      <c r="K1192" s="2" t="str">
        <f ca="1">IFERROR(__xludf.DUMMYFUNCTION("""COMPUTED_VALUE""")," New Iberia")</f>
        <v xml:space="preserve"> New Iberia</v>
      </c>
      <c r="L1192" s="2" t="str">
        <f ca="1">IFERROR(__xludf.DUMMYFUNCTION("""COMPUTED_VALUE""")," LA 70560")</f>
        <v xml:space="preserve"> LA 70560</v>
      </c>
      <c r="M1192" s="2" t="str">
        <f ca="1">IFERROR(__xludf.DUMMYFUNCTION("""COMPUTED_VALUE""")," USA")</f>
        <v xml:space="preserve"> USA</v>
      </c>
      <c r="P1192" s="60"/>
    </row>
    <row r="1193" spans="1:16">
      <c r="A1193" s="60">
        <v>1192</v>
      </c>
      <c r="B1193" s="79" t="s">
        <v>7101</v>
      </c>
      <c r="C1193" s="60" t="s">
        <v>604</v>
      </c>
      <c r="D1193" s="93" t="s">
        <v>6154</v>
      </c>
      <c r="E1193" s="48" t="str">
        <f t="shared" si="0"/>
        <v>Naperville</v>
      </c>
      <c r="F1193" s="83" t="str">
        <f t="shared" si="1"/>
        <v>Naperville Central (Naperville),IL</v>
      </c>
      <c r="G1193" s="60" t="s">
        <v>7103</v>
      </c>
      <c r="H1193" s="60">
        <v>41.7676114</v>
      </c>
      <c r="I1193" s="60">
        <v>-88.1556827</v>
      </c>
      <c r="J1193" s="60" t="str">
        <f ca="1">IFERROR(__xludf.DUMMYFUNCTION("SPLIT(G1193,"","")"),"440 Aurora Ave")</f>
        <v>440 Aurora Ave</v>
      </c>
      <c r="K1193" s="2" t="str">
        <f ca="1">IFERROR(__xludf.DUMMYFUNCTION("""COMPUTED_VALUE""")," Naperville")</f>
        <v xml:space="preserve"> Naperville</v>
      </c>
      <c r="L1193" s="2" t="str">
        <f ca="1">IFERROR(__xludf.DUMMYFUNCTION("""COMPUTED_VALUE""")," IL 60540")</f>
        <v xml:space="preserve"> IL 60540</v>
      </c>
      <c r="M1193" s="2" t="str">
        <f ca="1">IFERROR(__xludf.DUMMYFUNCTION("""COMPUTED_VALUE""")," USA")</f>
        <v xml:space="preserve"> USA</v>
      </c>
      <c r="P1193" s="60"/>
    </row>
    <row r="1194" spans="1:16">
      <c r="A1194" s="65">
        <v>1193</v>
      </c>
      <c r="B1194" s="80" t="s">
        <v>7107</v>
      </c>
      <c r="C1194" s="65" t="s">
        <v>593</v>
      </c>
      <c r="D1194" s="93" t="s">
        <v>630</v>
      </c>
      <c r="E1194" s="48" t="str">
        <f t="shared" si="0"/>
        <v>Las Vegas</v>
      </c>
      <c r="F1194" s="83" t="str">
        <f t="shared" si="1"/>
        <v>Desert Oasis (Las Vegas),NV</v>
      </c>
      <c r="G1194" s="65" t="s">
        <v>7109</v>
      </c>
      <c r="H1194" s="65">
        <v>35.9928569</v>
      </c>
      <c r="I1194" s="65">
        <v>-115.23747710000001</v>
      </c>
      <c r="J1194" s="60" t="str">
        <f ca="1">IFERROR(__xludf.DUMMYFUNCTION("SPLIT(G1194,"","")"),"6600 W Erie Ave")</f>
        <v>6600 W Erie Ave</v>
      </c>
      <c r="K1194" s="2" t="str">
        <f ca="1">IFERROR(__xludf.DUMMYFUNCTION("""COMPUTED_VALUE""")," Las Vegas")</f>
        <v xml:space="preserve"> Las Vegas</v>
      </c>
      <c r="L1194" s="2" t="str">
        <f ca="1">IFERROR(__xludf.DUMMYFUNCTION("""COMPUTED_VALUE""")," NV 89141")</f>
        <v xml:space="preserve"> NV 89141</v>
      </c>
      <c r="M1194" s="2" t="str">
        <f ca="1">IFERROR(__xludf.DUMMYFUNCTION("""COMPUTED_VALUE""")," USA")</f>
        <v xml:space="preserve"> USA</v>
      </c>
      <c r="P1194" s="60"/>
    </row>
    <row r="1195" spans="1:16">
      <c r="A1195" s="60">
        <v>1194</v>
      </c>
      <c r="B1195" s="79" t="s">
        <v>7113</v>
      </c>
      <c r="C1195" s="60" t="s">
        <v>796</v>
      </c>
      <c r="D1195" s="93" t="s">
        <v>5269</v>
      </c>
      <c r="E1195" s="48" t="str">
        <f t="shared" si="0"/>
        <v>Lawrence</v>
      </c>
      <c r="F1195" s="83" t="str">
        <f t="shared" si="1"/>
        <v>Lawrence Free State (Lawrence),KS</v>
      </c>
      <c r="G1195" s="60" t="s">
        <v>7116</v>
      </c>
      <c r="H1195" s="60">
        <v>38.975012100000001</v>
      </c>
      <c r="I1195" s="60">
        <v>-95.303144399999994</v>
      </c>
      <c r="J1195" s="60" t="str">
        <f ca="1">IFERROR(__xludf.DUMMYFUNCTION("SPLIT(G1195,"","")"),"068-28-0-40-03-001.00-0")</f>
        <v>068-28-0-40-03-001.00-0</v>
      </c>
      <c r="K1195" s="2" t="str">
        <f ca="1">IFERROR(__xludf.DUMMYFUNCTION("""COMPUTED_VALUE""")," Lawrence")</f>
        <v xml:space="preserve"> Lawrence</v>
      </c>
      <c r="L1195" s="2" t="str">
        <f ca="1">IFERROR(__xludf.DUMMYFUNCTION("""COMPUTED_VALUE""")," KS 66049")</f>
        <v xml:space="preserve"> KS 66049</v>
      </c>
      <c r="M1195" s="2" t="str">
        <f ca="1">IFERROR(__xludf.DUMMYFUNCTION("""COMPUTED_VALUE""")," USA")</f>
        <v xml:space="preserve"> USA</v>
      </c>
      <c r="P1195" s="60"/>
    </row>
    <row r="1196" spans="1:16">
      <c r="A1196" s="65">
        <v>1195</v>
      </c>
      <c r="B1196" s="80" t="s">
        <v>7118</v>
      </c>
      <c r="C1196" s="65" t="s">
        <v>770</v>
      </c>
      <c r="D1196" s="93" t="s">
        <v>3555</v>
      </c>
      <c r="E1196" s="48" t="str">
        <f t="shared" si="0"/>
        <v>Brentwood</v>
      </c>
      <c r="F1196" s="83" t="str">
        <f t="shared" si="1"/>
        <v>Brentwood Academy (Brentwood),TN</v>
      </c>
      <c r="G1196" s="65" t="s">
        <v>7119</v>
      </c>
      <c r="H1196" s="65">
        <v>36.033727499999998</v>
      </c>
      <c r="I1196" s="65">
        <v>-86.8192387</v>
      </c>
      <c r="J1196" s="60" t="str">
        <f ca="1">IFERROR(__xludf.DUMMYFUNCTION("SPLIT(G1196,"","")"),"219 Granny White Pike")</f>
        <v>219 Granny White Pike</v>
      </c>
      <c r="K1196" s="2" t="str">
        <f ca="1">IFERROR(__xludf.DUMMYFUNCTION("""COMPUTED_VALUE""")," Brentwood")</f>
        <v xml:space="preserve"> Brentwood</v>
      </c>
      <c r="L1196" s="2" t="str">
        <f ca="1">IFERROR(__xludf.DUMMYFUNCTION("""COMPUTED_VALUE""")," TN 37027")</f>
        <v xml:space="preserve"> TN 37027</v>
      </c>
      <c r="M1196" s="2" t="str">
        <f ca="1">IFERROR(__xludf.DUMMYFUNCTION("""COMPUTED_VALUE""")," USA")</f>
        <v xml:space="preserve"> USA</v>
      </c>
      <c r="P1196" s="60"/>
    </row>
    <row r="1197" spans="1:16">
      <c r="A1197" s="60">
        <v>1196</v>
      </c>
      <c r="B1197" s="79" t="s">
        <v>405</v>
      </c>
      <c r="C1197" s="60" t="s">
        <v>770</v>
      </c>
      <c r="D1197" s="93" t="s">
        <v>7124</v>
      </c>
      <c r="E1197" s="48" t="str">
        <f t="shared" si="0"/>
        <v>Greeneville</v>
      </c>
      <c r="F1197" s="83" t="str">
        <f t="shared" si="1"/>
        <v>Greeneville,TN</v>
      </c>
      <c r="G1197" s="60" t="s">
        <v>7125</v>
      </c>
      <c r="H1197" s="60">
        <v>36.163157400000003</v>
      </c>
      <c r="I1197" s="60">
        <v>-82.83098609999999</v>
      </c>
      <c r="J1197" s="60" t="str">
        <f ca="1">IFERROR(__xludf.DUMMYFUNCTION("SPLIT(G1197,"","")"),"10a E Depot St")</f>
        <v>10a E Depot St</v>
      </c>
      <c r="K1197" s="2" t="str">
        <f ca="1">IFERROR(__xludf.DUMMYFUNCTION("""COMPUTED_VALUE""")," Greeneville")</f>
        <v xml:space="preserve"> Greeneville</v>
      </c>
      <c r="L1197" s="2" t="str">
        <f ca="1">IFERROR(__xludf.DUMMYFUNCTION("""COMPUTED_VALUE""")," TN 37743")</f>
        <v xml:space="preserve"> TN 37743</v>
      </c>
      <c r="M1197" s="2" t="str">
        <f ca="1">IFERROR(__xludf.DUMMYFUNCTION("""COMPUTED_VALUE""")," USA")</f>
        <v xml:space="preserve"> USA</v>
      </c>
      <c r="P1197" s="60"/>
    </row>
    <row r="1198" spans="1:16">
      <c r="A1198" s="65">
        <v>1197</v>
      </c>
      <c r="B1198" s="80" t="s">
        <v>7128</v>
      </c>
      <c r="C1198" s="65" t="s">
        <v>590</v>
      </c>
      <c r="D1198" s="93" t="s">
        <v>7130</v>
      </c>
      <c r="E1198" s="48" t="str">
        <f t="shared" si="0"/>
        <v>Cumberland</v>
      </c>
      <c r="F1198" s="83" t="str">
        <f t="shared" si="1"/>
        <v>Bishop Walsh (Cumberland),MD</v>
      </c>
      <c r="G1198" s="65" t="s">
        <v>7131</v>
      </c>
      <c r="H1198" s="65">
        <v>39.661018299999988</v>
      </c>
      <c r="I1198" s="65">
        <v>-78.790946899999994</v>
      </c>
      <c r="J1198" s="60" t="str">
        <f ca="1">IFERROR(__xludf.DUMMYFUNCTION("SPLIT(G1198,"","")"),"700 Bishop Walsh Rd")</f>
        <v>700 Bishop Walsh Rd</v>
      </c>
      <c r="K1198" s="2" t="str">
        <f ca="1">IFERROR(__xludf.DUMMYFUNCTION("""COMPUTED_VALUE""")," Cumberland")</f>
        <v xml:space="preserve"> Cumberland</v>
      </c>
      <c r="L1198" s="2" t="str">
        <f ca="1">IFERROR(__xludf.DUMMYFUNCTION("""COMPUTED_VALUE""")," MD 21502")</f>
        <v xml:space="preserve"> MD 21502</v>
      </c>
      <c r="M1198" s="2" t="str">
        <f ca="1">IFERROR(__xludf.DUMMYFUNCTION("""COMPUTED_VALUE""")," USA")</f>
        <v xml:space="preserve"> USA</v>
      </c>
      <c r="P1198" s="60"/>
    </row>
    <row r="1199" spans="1:16">
      <c r="A1199" s="60">
        <v>1198</v>
      </c>
      <c r="B1199" s="79" t="s">
        <v>7135</v>
      </c>
      <c r="C1199" s="60" t="s">
        <v>881</v>
      </c>
      <c r="D1199" s="93" t="s">
        <v>882</v>
      </c>
      <c r="E1199" s="48" t="str">
        <f t="shared" si="0"/>
        <v>Louisville</v>
      </c>
      <c r="F1199" s="83" t="str">
        <f t="shared" si="1"/>
        <v>Butler (Louisville),KY</v>
      </c>
      <c r="G1199" s="60" t="s">
        <v>7136</v>
      </c>
      <c r="H1199" s="60">
        <v>38.193122099999997</v>
      </c>
      <c r="I1199" s="60">
        <v>-85.815518799999992</v>
      </c>
      <c r="J1199" s="60" t="str">
        <f ca="1">IFERROR(__xludf.DUMMYFUNCTION("SPLIT(G1199,"","")"),"2222 Crums Ln")</f>
        <v>2222 Crums Ln</v>
      </c>
      <c r="K1199" s="2" t="str">
        <f ca="1">IFERROR(__xludf.DUMMYFUNCTION("""COMPUTED_VALUE""")," Louisville")</f>
        <v xml:space="preserve"> Louisville</v>
      </c>
      <c r="L1199" s="2" t="str">
        <f ca="1">IFERROR(__xludf.DUMMYFUNCTION("""COMPUTED_VALUE""")," KY 40216")</f>
        <v xml:space="preserve"> KY 40216</v>
      </c>
      <c r="M1199" s="2" t="str">
        <f ca="1">IFERROR(__xludf.DUMMYFUNCTION("""COMPUTED_VALUE""")," USA")</f>
        <v xml:space="preserve"> USA</v>
      </c>
      <c r="P1199" s="60"/>
    </row>
    <row r="1200" spans="1:16">
      <c r="A1200" s="65">
        <v>1199</v>
      </c>
      <c r="B1200" s="80" t="s">
        <v>7139</v>
      </c>
      <c r="C1200" s="65" t="s">
        <v>595</v>
      </c>
      <c r="D1200" s="93" t="s">
        <v>3416</v>
      </c>
      <c r="E1200" s="48" t="str">
        <f t="shared" si="0"/>
        <v>Frisco</v>
      </c>
      <c r="F1200" s="83" t="str">
        <f t="shared" si="1"/>
        <v>Liberty (Frisco),TX</v>
      </c>
      <c r="G1200" s="65" t="s">
        <v>7141</v>
      </c>
      <c r="H1200" s="65">
        <v>33.140737899999998</v>
      </c>
      <c r="I1200" s="65">
        <v>-96.742498900000001</v>
      </c>
      <c r="J1200" s="60" t="str">
        <f ca="1">IFERROR(__xludf.DUMMYFUNCTION("SPLIT(G1200,"","")"),"15250 Rolater Rd")</f>
        <v>15250 Rolater Rd</v>
      </c>
      <c r="K1200" s="2" t="str">
        <f ca="1">IFERROR(__xludf.DUMMYFUNCTION("""COMPUTED_VALUE""")," Frisco")</f>
        <v xml:space="preserve"> Frisco</v>
      </c>
      <c r="L1200" s="2" t="str">
        <f ca="1">IFERROR(__xludf.DUMMYFUNCTION("""COMPUTED_VALUE""")," TX 75035")</f>
        <v xml:space="preserve"> TX 75035</v>
      </c>
      <c r="M1200" s="2" t="str">
        <f ca="1">IFERROR(__xludf.DUMMYFUNCTION("""COMPUTED_VALUE""")," USA")</f>
        <v xml:space="preserve"> USA</v>
      </c>
      <c r="P1200" s="60"/>
    </row>
    <row r="1201" spans="1:16">
      <c r="A1201" s="97">
        <v>1200</v>
      </c>
      <c r="B1201" s="99" t="s">
        <v>7145</v>
      </c>
      <c r="C1201" s="97" t="s">
        <v>602</v>
      </c>
      <c r="D1201" s="93" t="s">
        <v>7146</v>
      </c>
      <c r="E1201" s="48" t="str">
        <f t="shared" si="0"/>
        <v>Dumfries</v>
      </c>
      <c r="F1201" s="83" t="str">
        <f t="shared" si="1"/>
        <v>Potomac (Dumfries),VA</v>
      </c>
      <c r="G1201" s="97" t="s">
        <v>7149</v>
      </c>
      <c r="H1201" s="97">
        <v>38.5676202</v>
      </c>
      <c r="I1201" s="97">
        <v>-77.328038199999995</v>
      </c>
      <c r="J1201" s="60" t="str">
        <f ca="1">IFERROR(__xludf.DUMMYFUNCTION("SPLIT(G1201,"","")"),"3873 Fairfax St")</f>
        <v>3873 Fairfax St</v>
      </c>
      <c r="K1201" s="2" t="str">
        <f ca="1">IFERROR(__xludf.DUMMYFUNCTION("""COMPUTED_VALUE""")," Dumfries")</f>
        <v xml:space="preserve"> Dumfries</v>
      </c>
      <c r="L1201" s="2" t="str">
        <f ca="1">IFERROR(__xludf.DUMMYFUNCTION("""COMPUTED_VALUE""")," VA 22026")</f>
        <v xml:space="preserve"> VA 22026</v>
      </c>
      <c r="M1201" s="2" t="str">
        <f ca="1">IFERROR(__xludf.DUMMYFUNCTION("""COMPUTED_VALUE""")," USA")</f>
        <v xml:space="preserve"> USA</v>
      </c>
      <c r="P1201" s="60"/>
    </row>
    <row r="1202" spans="1:16">
      <c r="A1202" s="60">
        <v>1201</v>
      </c>
      <c r="B1202" s="79" t="s">
        <v>7152</v>
      </c>
      <c r="C1202" s="60" t="s">
        <v>588</v>
      </c>
      <c r="D1202" s="93" t="s">
        <v>7153</v>
      </c>
      <c r="E1202" s="48" t="str">
        <f t="shared" si="0"/>
        <v>Santa Rosa</v>
      </c>
      <c r="F1202" s="83" t="str">
        <f t="shared" si="1"/>
        <v>Piner (Santa Rosa),CA</v>
      </c>
      <c r="G1202" s="60" t="s">
        <v>7154</v>
      </c>
      <c r="H1202" s="60">
        <v>38.461072700000003</v>
      </c>
      <c r="I1202" s="60">
        <v>-122.7692108</v>
      </c>
      <c r="J1202" s="60" t="str">
        <f ca="1">IFERROR(__xludf.DUMMYFUNCTION("SPLIT(G1202,"","")"),"1700 Fulton Rd")</f>
        <v>1700 Fulton Rd</v>
      </c>
      <c r="K1202" s="2" t="str">
        <f ca="1">IFERROR(__xludf.DUMMYFUNCTION("""COMPUTED_VALUE""")," Santa Rosa")</f>
        <v xml:space="preserve"> Santa Rosa</v>
      </c>
      <c r="L1202" s="2" t="str">
        <f ca="1">IFERROR(__xludf.DUMMYFUNCTION("""COMPUTED_VALUE""")," CA 95403")</f>
        <v xml:space="preserve"> CA 95403</v>
      </c>
      <c r="M1202" s="2" t="str">
        <f ca="1">IFERROR(__xludf.DUMMYFUNCTION("""COMPUTED_VALUE""")," USA")</f>
        <v xml:space="preserve"> USA</v>
      </c>
      <c r="P1202" s="60"/>
    </row>
    <row r="1203" spans="1:16">
      <c r="A1203" s="65">
        <v>1202</v>
      </c>
      <c r="B1203" s="80" t="s">
        <v>7159</v>
      </c>
      <c r="C1203" s="65" t="s">
        <v>183</v>
      </c>
      <c r="D1203" s="93" t="s">
        <v>1412</v>
      </c>
      <c r="E1203" s="48" t="str">
        <f t="shared" si="0"/>
        <v>Fayetteville</v>
      </c>
      <c r="F1203" s="83" t="str">
        <f t="shared" si="1"/>
        <v>Jamesville-DeWitt (DeWitt),NY</v>
      </c>
      <c r="G1203" s="65" t="s">
        <v>7161</v>
      </c>
      <c r="H1203" s="65">
        <v>43.0197255</v>
      </c>
      <c r="I1203" s="65">
        <v>-76.045563199999989</v>
      </c>
      <c r="J1203" s="60" t="str">
        <f ca="1">IFERROR(__xludf.DUMMYFUNCTION("SPLIT(G1203,"","")"),"6845 Edinger Dr")</f>
        <v>6845 Edinger Dr</v>
      </c>
      <c r="K1203" s="2" t="str">
        <f ca="1">IFERROR(__xludf.DUMMYFUNCTION("""COMPUTED_VALUE""")," Fayetteville")</f>
        <v xml:space="preserve"> Fayetteville</v>
      </c>
      <c r="L1203" s="2" t="str">
        <f ca="1">IFERROR(__xludf.DUMMYFUNCTION("""COMPUTED_VALUE""")," NY 13066")</f>
        <v xml:space="preserve"> NY 13066</v>
      </c>
      <c r="M1203" s="2" t="str">
        <f ca="1">IFERROR(__xludf.DUMMYFUNCTION("""COMPUTED_VALUE""")," USA")</f>
        <v xml:space="preserve"> USA</v>
      </c>
      <c r="P1203" s="60"/>
    </row>
    <row r="1204" spans="1:16">
      <c r="A1204" s="60">
        <v>1203</v>
      </c>
      <c r="B1204" s="79" t="s">
        <v>7163</v>
      </c>
      <c r="C1204" s="60" t="s">
        <v>975</v>
      </c>
      <c r="D1204" s="93" t="s">
        <v>7164</v>
      </c>
      <c r="E1204" s="48" t="str">
        <f t="shared" si="0"/>
        <v>Hobbs</v>
      </c>
      <c r="F1204" s="83" t="str">
        <f t="shared" si="1"/>
        <v>Hobbs,NM</v>
      </c>
      <c r="G1204" s="60" t="s">
        <v>7166</v>
      </c>
      <c r="H1204" s="60">
        <v>32.702611599999997</v>
      </c>
      <c r="I1204" s="60">
        <v>-103.1360403</v>
      </c>
      <c r="J1204" s="60" t="str">
        <f ca="1">IFERROR(__xludf.DUMMYFUNCTION("SPLIT(G1204,"","")"),"208 N Turner St")</f>
        <v>208 N Turner St</v>
      </c>
      <c r="K1204" s="2" t="str">
        <f ca="1">IFERROR(__xludf.DUMMYFUNCTION("""COMPUTED_VALUE""")," Hobbs")</f>
        <v xml:space="preserve"> Hobbs</v>
      </c>
      <c r="L1204" s="2" t="str">
        <f ca="1">IFERROR(__xludf.DUMMYFUNCTION("""COMPUTED_VALUE""")," NM 88240")</f>
        <v xml:space="preserve"> NM 88240</v>
      </c>
      <c r="M1204" s="2" t="str">
        <f ca="1">IFERROR(__xludf.DUMMYFUNCTION("""COMPUTED_VALUE""")," USA")</f>
        <v xml:space="preserve"> USA</v>
      </c>
      <c r="P1204" s="60"/>
    </row>
    <row r="1205" spans="1:16">
      <c r="A1205" s="65">
        <v>1204</v>
      </c>
      <c r="B1205" s="80" t="s">
        <v>7169</v>
      </c>
      <c r="C1205" s="65" t="s">
        <v>624</v>
      </c>
      <c r="D1205" s="93" t="s">
        <v>6702</v>
      </c>
      <c r="E1205" s="48" t="str">
        <f t="shared" si="0"/>
        <v>Shreveport</v>
      </c>
      <c r="F1205" s="83" t="str">
        <f t="shared" si="1"/>
        <v>Woodlawn-Shreveport (Shreveport),LA</v>
      </c>
      <c r="G1205" s="65" t="s">
        <v>7171</v>
      </c>
      <c r="H1205" s="65">
        <v>32.436551700000003</v>
      </c>
      <c r="I1205" s="65">
        <v>-93.774577399999998</v>
      </c>
      <c r="J1205" s="60" t="str">
        <f ca="1">IFERROR(__xludf.DUMMYFUNCTION("SPLIT(G1205,"","")"),"7340 Wyngate Blvd")</f>
        <v>7340 Wyngate Blvd</v>
      </c>
      <c r="K1205" s="2" t="str">
        <f ca="1">IFERROR(__xludf.DUMMYFUNCTION("""COMPUTED_VALUE""")," Shreveport")</f>
        <v xml:space="preserve"> Shreveport</v>
      </c>
      <c r="L1205" s="2" t="str">
        <f ca="1">IFERROR(__xludf.DUMMYFUNCTION("""COMPUTED_VALUE""")," LA 71106")</f>
        <v xml:space="preserve"> LA 71106</v>
      </c>
      <c r="M1205" s="2" t="str">
        <f ca="1">IFERROR(__xludf.DUMMYFUNCTION("""COMPUTED_VALUE""")," USA")</f>
        <v xml:space="preserve"> USA</v>
      </c>
      <c r="P1205" s="60"/>
    </row>
    <row r="1206" spans="1:16">
      <c r="A1206" s="60">
        <v>1205</v>
      </c>
      <c r="B1206" s="79" t="s">
        <v>7175</v>
      </c>
      <c r="C1206" s="60" t="s">
        <v>588</v>
      </c>
      <c r="D1206" s="93" t="s">
        <v>6963</v>
      </c>
      <c r="E1206" s="48" t="str">
        <f t="shared" si="0"/>
        <v>Rancho Santa Margarita</v>
      </c>
      <c r="F1206" s="83" t="str">
        <f t="shared" si="1"/>
        <v>Santa Margarita (Rancho Santa Margarita),CA</v>
      </c>
      <c r="G1206" s="60" t="s">
        <v>7176</v>
      </c>
      <c r="H1206" s="60">
        <v>33.651618499999998</v>
      </c>
      <c r="I1206" s="60">
        <v>-117.5846191</v>
      </c>
      <c r="J1206" s="60" t="str">
        <f ca="1">IFERROR(__xludf.DUMMYFUNCTION("SPLIT(G1206,"","")"),"21 Brisa Del Lago")</f>
        <v>21 Brisa Del Lago</v>
      </c>
      <c r="K1206" s="2" t="str">
        <f ca="1">IFERROR(__xludf.DUMMYFUNCTION("""COMPUTED_VALUE""")," Rancho Santa Margarita")</f>
        <v xml:space="preserve"> Rancho Santa Margarita</v>
      </c>
      <c r="L1206" s="2" t="str">
        <f ca="1">IFERROR(__xludf.DUMMYFUNCTION("""COMPUTED_VALUE""")," CA 92688")</f>
        <v xml:space="preserve"> CA 92688</v>
      </c>
      <c r="M1206" s="2" t="str">
        <f ca="1">IFERROR(__xludf.DUMMYFUNCTION("""COMPUTED_VALUE""")," USA")</f>
        <v xml:space="preserve"> USA</v>
      </c>
      <c r="P1206" s="60"/>
    </row>
    <row r="1207" spans="1:16">
      <c r="A1207" s="65">
        <v>1206</v>
      </c>
      <c r="B1207" s="80" t="s">
        <v>709</v>
      </c>
      <c r="C1207" s="65" t="s">
        <v>595</v>
      </c>
      <c r="D1207" s="93" t="s">
        <v>722</v>
      </c>
      <c r="E1207" s="48" t="str">
        <f t="shared" si="0"/>
        <v>Plano</v>
      </c>
      <c r="F1207" s="83" t="str">
        <f t="shared" si="1"/>
        <v>Plano,TX</v>
      </c>
      <c r="G1207" s="65" t="s">
        <v>7179</v>
      </c>
      <c r="H1207" s="65">
        <v>33.019843100000003</v>
      </c>
      <c r="I1207" s="65">
        <v>-96.698885599999997</v>
      </c>
      <c r="J1207" s="60" t="str">
        <f ca="1">IFERROR(__xludf.DUMMYFUNCTION("SPLIT(G1207,"","")"),"1508 K Ave")</f>
        <v>1508 K Ave</v>
      </c>
      <c r="K1207" s="2" t="str">
        <f ca="1">IFERROR(__xludf.DUMMYFUNCTION("""COMPUTED_VALUE""")," Plano")</f>
        <v xml:space="preserve"> Plano</v>
      </c>
      <c r="L1207" s="2" t="str">
        <f ca="1">IFERROR(__xludf.DUMMYFUNCTION("""COMPUTED_VALUE""")," TX 75074")</f>
        <v xml:space="preserve"> TX 75074</v>
      </c>
      <c r="M1207" s="2" t="str">
        <f ca="1">IFERROR(__xludf.DUMMYFUNCTION("""COMPUTED_VALUE""")," USA")</f>
        <v xml:space="preserve"> USA</v>
      </c>
      <c r="P1207" s="60"/>
    </row>
    <row r="1208" spans="1:16">
      <c r="A1208" s="60">
        <v>1207</v>
      </c>
      <c r="B1208" s="79" t="s">
        <v>7182</v>
      </c>
      <c r="C1208" s="60" t="s">
        <v>675</v>
      </c>
      <c r="D1208" s="93" t="s">
        <v>7183</v>
      </c>
      <c r="E1208" s="48" t="str">
        <f t="shared" si="0"/>
        <v>Camp Hill</v>
      </c>
      <c r="F1208" s="83" t="str">
        <f t="shared" si="1"/>
        <v>Trinity (Camp Hill),PA</v>
      </c>
      <c r="G1208" s="60" t="s">
        <v>7184</v>
      </c>
      <c r="H1208" s="60">
        <v>40.239350199999997</v>
      </c>
      <c r="I1208" s="60">
        <v>-76.9174443</v>
      </c>
      <c r="J1208" s="60" t="str">
        <f ca="1">IFERROR(__xludf.DUMMYFUNCTION("SPLIT(G1208,"","")"),"2000 Chestnut St")</f>
        <v>2000 Chestnut St</v>
      </c>
      <c r="K1208" s="2" t="str">
        <f ca="1">IFERROR(__xludf.DUMMYFUNCTION("""COMPUTED_VALUE""")," Camp Hill")</f>
        <v xml:space="preserve"> Camp Hill</v>
      </c>
      <c r="L1208" s="2" t="str">
        <f ca="1">IFERROR(__xludf.DUMMYFUNCTION("""COMPUTED_VALUE""")," PA 17011")</f>
        <v xml:space="preserve"> PA 17011</v>
      </c>
      <c r="M1208" s="2" t="str">
        <f ca="1">IFERROR(__xludf.DUMMYFUNCTION("""COMPUTED_VALUE""")," USA")</f>
        <v xml:space="preserve"> USA</v>
      </c>
      <c r="P1208" s="60"/>
    </row>
    <row r="1209" spans="1:16">
      <c r="A1209" s="65">
        <v>1208</v>
      </c>
      <c r="B1209" s="80" t="s">
        <v>510</v>
      </c>
      <c r="C1209" s="65" t="s">
        <v>136</v>
      </c>
      <c r="D1209" s="93" t="s">
        <v>7189</v>
      </c>
      <c r="E1209" s="48" t="str">
        <f t="shared" si="0"/>
        <v>Hawthorne</v>
      </c>
      <c r="F1209" s="83" t="str">
        <f t="shared" si="1"/>
        <v>Hawthorne,FL</v>
      </c>
      <c r="G1209" s="65" t="s">
        <v>7190</v>
      </c>
      <c r="H1209" s="65">
        <v>29.591913600000002</v>
      </c>
      <c r="I1209" s="65">
        <v>-82.08731809999999</v>
      </c>
      <c r="J1209" s="60" t="str">
        <f ca="1">IFERROR(__xludf.DUMMYFUNCTION("SPLIT(G1209,"","")"),"6713 SE 220 Terrace")</f>
        <v>6713 SE 220 Terrace</v>
      </c>
      <c r="K1209" s="2" t="str">
        <f ca="1">IFERROR(__xludf.DUMMYFUNCTION("""COMPUTED_VALUE""")," Hawthorne")</f>
        <v xml:space="preserve"> Hawthorne</v>
      </c>
      <c r="L1209" s="2" t="str">
        <f ca="1">IFERROR(__xludf.DUMMYFUNCTION("""COMPUTED_VALUE""")," FL 32640")</f>
        <v xml:space="preserve"> FL 32640</v>
      </c>
      <c r="M1209" s="2" t="str">
        <f ca="1">IFERROR(__xludf.DUMMYFUNCTION("""COMPUTED_VALUE""")," USA")</f>
        <v xml:space="preserve"> USA</v>
      </c>
      <c r="P1209" s="60"/>
    </row>
    <row r="1210" spans="1:16">
      <c r="A1210" s="60">
        <v>1209</v>
      </c>
      <c r="B1210" s="79" t="s">
        <v>7191</v>
      </c>
      <c r="C1210" s="60" t="s">
        <v>745</v>
      </c>
      <c r="D1210" s="93" t="s">
        <v>905</v>
      </c>
      <c r="E1210" s="48" t="str">
        <f t="shared" si="0"/>
        <v>Seattle</v>
      </c>
      <c r="F1210" s="83" t="str">
        <f t="shared" si="1"/>
        <v>Rainier Beach (Seattle),WA</v>
      </c>
      <c r="G1210" s="60" t="s">
        <v>7193</v>
      </c>
      <c r="H1210" s="60">
        <v>47.512255000000003</v>
      </c>
      <c r="I1210" s="60">
        <v>-122.26397609999999</v>
      </c>
      <c r="J1210" s="60" t="str">
        <f ca="1">IFERROR(__xludf.DUMMYFUNCTION("SPLIT(G1210,"","")"),"9839 Renton Ave S")</f>
        <v>9839 Renton Ave S</v>
      </c>
      <c r="K1210" s="2" t="str">
        <f ca="1">IFERROR(__xludf.DUMMYFUNCTION("""COMPUTED_VALUE""")," Seattle")</f>
        <v xml:space="preserve"> Seattle</v>
      </c>
      <c r="L1210" s="2" t="str">
        <f ca="1">IFERROR(__xludf.DUMMYFUNCTION("""COMPUTED_VALUE""")," WA 98118")</f>
        <v xml:space="preserve"> WA 98118</v>
      </c>
      <c r="M1210" s="2" t="str">
        <f ca="1">IFERROR(__xludf.DUMMYFUNCTION("""COMPUTED_VALUE""")," USA")</f>
        <v xml:space="preserve"> USA</v>
      </c>
      <c r="P1210" s="60"/>
    </row>
    <row r="1211" spans="1:16">
      <c r="A1211" s="65">
        <v>1210</v>
      </c>
      <c r="B1211" s="80" t="s">
        <v>7195</v>
      </c>
      <c r="C1211" s="65" t="s">
        <v>595</v>
      </c>
      <c r="D1211" s="93" t="s">
        <v>961</v>
      </c>
      <c r="E1211" s="48" t="str">
        <f t="shared" si="0"/>
        <v>Dallas</v>
      </c>
      <c r="F1211" s="83" t="str">
        <f t="shared" si="1"/>
        <v>Madison (Dallas),TX</v>
      </c>
      <c r="G1211" s="65" t="s">
        <v>7196</v>
      </c>
      <c r="H1211" s="65">
        <v>32.836291899999999</v>
      </c>
      <c r="I1211" s="65">
        <v>-96.805680299999992</v>
      </c>
      <c r="J1211" s="60" t="str">
        <f ca="1">IFERROR(__xludf.DUMMYFUNCTION("SPLIT(G1211,"","")"),"45a Highland Park Village")</f>
        <v>45a Highland Park Village</v>
      </c>
      <c r="K1211" s="2" t="str">
        <f ca="1">IFERROR(__xludf.DUMMYFUNCTION("""COMPUTED_VALUE""")," Dallas")</f>
        <v xml:space="preserve"> Dallas</v>
      </c>
      <c r="L1211" s="2" t="str">
        <f ca="1">IFERROR(__xludf.DUMMYFUNCTION("""COMPUTED_VALUE""")," TX 75205")</f>
        <v xml:space="preserve"> TX 75205</v>
      </c>
      <c r="M1211" s="2" t="str">
        <f ca="1">IFERROR(__xludf.DUMMYFUNCTION("""COMPUTED_VALUE""")," USA")</f>
        <v xml:space="preserve"> USA</v>
      </c>
      <c r="P1211" s="60"/>
    </row>
    <row r="1212" spans="1:16">
      <c r="A1212" s="60">
        <v>1211</v>
      </c>
      <c r="B1212" s="79" t="s">
        <v>7198</v>
      </c>
      <c r="C1212" s="60" t="s">
        <v>745</v>
      </c>
      <c r="D1212" s="93" t="s">
        <v>7200</v>
      </c>
      <c r="E1212" s="48" t="str">
        <f t="shared" si="0"/>
        <v>Brewster</v>
      </c>
      <c r="F1212" s="83" t="str">
        <f t="shared" si="1"/>
        <v>Brewster,WA</v>
      </c>
      <c r="G1212" s="60" t="s">
        <v>7201</v>
      </c>
      <c r="H1212" s="60">
        <v>48.0959784</v>
      </c>
      <c r="I1212" s="60">
        <v>-119.7806166</v>
      </c>
      <c r="J1212" s="60" t="str">
        <f ca="1">IFERROR(__xludf.DUMMYFUNCTION("SPLIT(G1212,"","")"),"311 Griggs Ave W")</f>
        <v>311 Griggs Ave W</v>
      </c>
      <c r="K1212" s="2" t="str">
        <f ca="1">IFERROR(__xludf.DUMMYFUNCTION("""COMPUTED_VALUE""")," Brewster")</f>
        <v xml:space="preserve"> Brewster</v>
      </c>
      <c r="L1212" s="2" t="str">
        <f ca="1">IFERROR(__xludf.DUMMYFUNCTION("""COMPUTED_VALUE""")," WA 98812")</f>
        <v xml:space="preserve"> WA 98812</v>
      </c>
      <c r="M1212" s="2" t="str">
        <f ca="1">IFERROR(__xludf.DUMMYFUNCTION("""COMPUTED_VALUE""")," USA")</f>
        <v xml:space="preserve"> USA</v>
      </c>
      <c r="P1212" s="60"/>
    </row>
    <row r="1213" spans="1:16">
      <c r="A1213" s="65">
        <v>1212</v>
      </c>
      <c r="B1213" s="80" t="s">
        <v>7205</v>
      </c>
      <c r="C1213" s="65" t="s">
        <v>598</v>
      </c>
      <c r="D1213" s="93" t="s">
        <v>7206</v>
      </c>
      <c r="E1213" s="48" t="str">
        <f t="shared" si="0"/>
        <v>Valdosta</v>
      </c>
      <c r="F1213" s="83" t="str">
        <f t="shared" si="1"/>
        <v>Valdosta,GA</v>
      </c>
      <c r="G1213" s="65" t="s">
        <v>7207</v>
      </c>
      <c r="H1213" s="65">
        <v>30.8327022</v>
      </c>
      <c r="I1213" s="65">
        <v>-83.278485099999997</v>
      </c>
      <c r="J1213" s="60" t="str">
        <f ca="1">IFERROR(__xludf.DUMMYFUNCTION("SPLIT(G1213,"","")"),"299201 E Valley St")</f>
        <v>299201 E Valley St</v>
      </c>
      <c r="K1213" s="2" t="str">
        <f ca="1">IFERROR(__xludf.DUMMYFUNCTION("""COMPUTED_VALUE""")," Valdosta")</f>
        <v xml:space="preserve"> Valdosta</v>
      </c>
      <c r="L1213" s="2" t="str">
        <f ca="1">IFERROR(__xludf.DUMMYFUNCTION("""COMPUTED_VALUE""")," GA 31601")</f>
        <v xml:space="preserve"> GA 31601</v>
      </c>
      <c r="M1213" s="2" t="str">
        <f ca="1">IFERROR(__xludf.DUMMYFUNCTION("""COMPUTED_VALUE""")," USA")</f>
        <v xml:space="preserve"> USA</v>
      </c>
      <c r="P1213" s="60"/>
    </row>
    <row r="1214" spans="1:16">
      <c r="A1214" s="60">
        <v>1213</v>
      </c>
      <c r="B1214" s="79" t="s">
        <v>7211</v>
      </c>
      <c r="C1214" s="60" t="s">
        <v>136</v>
      </c>
      <c r="D1214" s="93" t="s">
        <v>1559</v>
      </c>
      <c r="E1214" s="48" t="str">
        <f t="shared" si="0"/>
        <v>Lauderdale Lakes</v>
      </c>
      <c r="F1214" s="83" t="str">
        <f t="shared" si="1"/>
        <v>Boyd Anderson (Lauderdale Lakes),FL</v>
      </c>
      <c r="G1214" s="60" t="s">
        <v>7212</v>
      </c>
      <c r="H1214" s="60">
        <v>26.177946299999999</v>
      </c>
      <c r="I1214" s="60">
        <v>-80.185727299999996</v>
      </c>
      <c r="J1214" s="60" t="str">
        <f ca="1">IFERROR(__xludf.DUMMYFUNCTION("SPLIT(G1214,"","")"),"3050 NW 41st St")</f>
        <v>3050 NW 41st St</v>
      </c>
      <c r="K1214" s="2" t="str">
        <f ca="1">IFERROR(__xludf.DUMMYFUNCTION("""COMPUTED_VALUE""")," Lauderdale Lakes")</f>
        <v xml:space="preserve"> Lauderdale Lakes</v>
      </c>
      <c r="L1214" s="2" t="str">
        <f ca="1">IFERROR(__xludf.DUMMYFUNCTION("""COMPUTED_VALUE""")," FL 33309")</f>
        <v xml:space="preserve"> FL 33309</v>
      </c>
      <c r="M1214" s="2" t="str">
        <f ca="1">IFERROR(__xludf.DUMMYFUNCTION("""COMPUTED_VALUE""")," USA")</f>
        <v xml:space="preserve"> USA</v>
      </c>
      <c r="P1214" s="60"/>
    </row>
    <row r="1215" spans="1:16">
      <c r="A1215" s="65">
        <v>1214</v>
      </c>
      <c r="B1215" s="80" t="s">
        <v>7214</v>
      </c>
      <c r="C1215" s="65" t="s">
        <v>595</v>
      </c>
      <c r="D1215" s="93" t="s">
        <v>1448</v>
      </c>
      <c r="E1215" s="48" t="str">
        <f t="shared" si="0"/>
        <v>Houston</v>
      </c>
      <c r="F1215" s="83" t="str">
        <f t="shared" si="1"/>
        <v>Houston Math Science &amp; Tech (Houston),TX</v>
      </c>
      <c r="G1215" s="65" t="s">
        <v>7216</v>
      </c>
      <c r="H1215" s="65">
        <v>29.848740299999999</v>
      </c>
      <c r="I1215" s="65">
        <v>-95.361360300000001</v>
      </c>
      <c r="J1215" s="60" t="str">
        <f ca="1">IFERROR(__xludf.DUMMYFUNCTION("SPLIT(G1215,"","")"),"9400 Irvington Blvd")</f>
        <v>9400 Irvington Blvd</v>
      </c>
      <c r="K1215" s="2" t="str">
        <f ca="1">IFERROR(__xludf.DUMMYFUNCTION("""COMPUTED_VALUE""")," Houston")</f>
        <v xml:space="preserve"> Houston</v>
      </c>
      <c r="L1215" s="2" t="str">
        <f ca="1">IFERROR(__xludf.DUMMYFUNCTION("""COMPUTED_VALUE""")," TX 77076")</f>
        <v xml:space="preserve"> TX 77076</v>
      </c>
      <c r="M1215" s="2" t="str">
        <f ca="1">IFERROR(__xludf.DUMMYFUNCTION("""COMPUTED_VALUE""")," USA")</f>
        <v xml:space="preserve"> USA</v>
      </c>
      <c r="P1215" s="60"/>
    </row>
    <row r="1216" spans="1:16">
      <c r="A1216" s="60">
        <v>1215</v>
      </c>
      <c r="B1216" s="79" t="s">
        <v>7220</v>
      </c>
      <c r="C1216" s="60" t="s">
        <v>618</v>
      </c>
      <c r="D1216" s="93" t="s">
        <v>1016</v>
      </c>
      <c r="E1216" s="48" t="str">
        <f t="shared" si="0"/>
        <v>Bloomington</v>
      </c>
      <c r="F1216" s="83" t="str">
        <f t="shared" si="1"/>
        <v>Bloomington North (Bloomington),IN</v>
      </c>
      <c r="G1216" s="60" t="s">
        <v>7222</v>
      </c>
      <c r="H1216" s="60">
        <v>39.199100399999999</v>
      </c>
      <c r="I1216" s="60">
        <v>-86.549024599999996</v>
      </c>
      <c r="J1216" s="60" t="str">
        <f ca="1">IFERROR(__xludf.DUMMYFUNCTION("SPLIT(G1216,"","")"),"3901 N Kinser Pike")</f>
        <v>3901 N Kinser Pike</v>
      </c>
      <c r="K1216" s="2" t="str">
        <f ca="1">IFERROR(__xludf.DUMMYFUNCTION("""COMPUTED_VALUE""")," Bloomington")</f>
        <v xml:space="preserve"> Bloomington</v>
      </c>
      <c r="L1216" s="2" t="str">
        <f ca="1">IFERROR(__xludf.DUMMYFUNCTION("""COMPUTED_VALUE""")," IN 47404")</f>
        <v xml:space="preserve"> IN 47404</v>
      </c>
      <c r="M1216" s="2" t="str">
        <f ca="1">IFERROR(__xludf.DUMMYFUNCTION("""COMPUTED_VALUE""")," USA")</f>
        <v xml:space="preserve"> USA</v>
      </c>
      <c r="P1216" s="60"/>
    </row>
    <row r="1217" spans="1:16">
      <c r="A1217" s="65">
        <v>1216</v>
      </c>
      <c r="B1217" s="80" t="s">
        <v>7226</v>
      </c>
      <c r="C1217" s="65" t="s">
        <v>604</v>
      </c>
      <c r="D1217" s="93" t="s">
        <v>2521</v>
      </c>
      <c r="E1217" s="48" t="str">
        <f t="shared" si="0"/>
        <v>Elmhurst</v>
      </c>
      <c r="F1217" s="83" t="str">
        <f t="shared" si="1"/>
        <v>Timothy Christian (Elmhurst),IL</v>
      </c>
      <c r="G1217" s="65" t="s">
        <v>7228</v>
      </c>
      <c r="H1217" s="65">
        <v>41.866951</v>
      </c>
      <c r="I1217" s="65">
        <v>-87.942925699999989</v>
      </c>
      <c r="J1217" s="60" t="str">
        <f ca="1">IFERROR(__xludf.DUMMYFUNCTION("SPLIT(G1217,"","")"),"188 W Butterfield Rd")</f>
        <v>188 W Butterfield Rd</v>
      </c>
      <c r="K1217" s="2" t="str">
        <f ca="1">IFERROR(__xludf.DUMMYFUNCTION("""COMPUTED_VALUE""")," Elmhurst")</f>
        <v xml:space="preserve"> Elmhurst</v>
      </c>
      <c r="L1217" s="2" t="str">
        <f ca="1">IFERROR(__xludf.DUMMYFUNCTION("""COMPUTED_VALUE""")," IL 60126")</f>
        <v xml:space="preserve"> IL 60126</v>
      </c>
      <c r="M1217" s="2" t="str">
        <f ca="1">IFERROR(__xludf.DUMMYFUNCTION("""COMPUTED_VALUE""")," USA")</f>
        <v xml:space="preserve"> USA</v>
      </c>
      <c r="P1217" s="60"/>
    </row>
    <row r="1218" spans="1:16">
      <c r="A1218" s="60">
        <v>1217</v>
      </c>
      <c r="B1218" s="79" t="s">
        <v>3773</v>
      </c>
      <c r="C1218" s="60" t="s">
        <v>765</v>
      </c>
      <c r="D1218" s="93" t="s">
        <v>7231</v>
      </c>
      <c r="E1218" s="48" t="str">
        <f t="shared" si="0"/>
        <v>Farmington</v>
      </c>
      <c r="F1218" s="83" t="str">
        <f t="shared" si="1"/>
        <v>Farmington,UT</v>
      </c>
      <c r="G1218" s="60" t="s">
        <v>7232</v>
      </c>
      <c r="H1218" s="60">
        <v>40.980499899999998</v>
      </c>
      <c r="I1218" s="60">
        <v>-111.8874392</v>
      </c>
      <c r="J1218" s="60" t="str">
        <f ca="1">IFERROR(__xludf.DUMMYFUNCTION("SPLIT(G1218,"","")"),"Harmons")</f>
        <v>Harmons</v>
      </c>
      <c r="K1218" s="2" t="str">
        <f ca="1">IFERROR(__xludf.DUMMYFUNCTION("""COMPUTED_VALUE""")," 200 N Station Parkway")</f>
        <v xml:space="preserve"> 200 N Station Parkway</v>
      </c>
      <c r="L1218" s="2" t="str">
        <f ca="1">IFERROR(__xludf.DUMMYFUNCTION("""COMPUTED_VALUE""")," Farmington")</f>
        <v xml:space="preserve"> Farmington</v>
      </c>
      <c r="M1218" s="2" t="str">
        <f ca="1">IFERROR(__xludf.DUMMYFUNCTION("""COMPUTED_VALUE""")," UT 84025")</f>
        <v xml:space="preserve"> UT 84025</v>
      </c>
      <c r="N1218" s="2" t="str">
        <f ca="1">IFERROR(__xludf.DUMMYFUNCTION("""COMPUTED_VALUE""")," USA")</f>
        <v xml:space="preserve"> USA</v>
      </c>
      <c r="P1218" s="60"/>
    </row>
    <row r="1219" spans="1:16">
      <c r="A1219" s="65">
        <v>1218</v>
      </c>
      <c r="B1219" s="80" t="s">
        <v>7236</v>
      </c>
      <c r="C1219" s="65" t="s">
        <v>1325</v>
      </c>
      <c r="D1219" s="93" t="s">
        <v>7237</v>
      </c>
      <c r="E1219" s="48" t="str">
        <f t="shared" si="0"/>
        <v>Stamford</v>
      </c>
      <c r="F1219" s="83" t="str">
        <f t="shared" si="1"/>
        <v>Trinity Catholic (Stamford),CT</v>
      </c>
      <c r="G1219" s="65" t="s">
        <v>7240</v>
      </c>
      <c r="H1219" s="65">
        <v>41.092361699999998</v>
      </c>
      <c r="I1219" s="65">
        <v>-73.53537519999999</v>
      </c>
      <c r="J1219" s="60" t="str">
        <f ca="1">IFERROR(__xludf.DUMMYFUNCTION("SPLIT(G1219,"","")"),"926 Newfield Ave")</f>
        <v>926 Newfield Ave</v>
      </c>
      <c r="K1219" s="2" t="str">
        <f ca="1">IFERROR(__xludf.DUMMYFUNCTION("""COMPUTED_VALUE""")," Stamford")</f>
        <v xml:space="preserve"> Stamford</v>
      </c>
      <c r="L1219" s="2" t="str">
        <f ca="1">IFERROR(__xludf.DUMMYFUNCTION("""COMPUTED_VALUE""")," CT 06905")</f>
        <v xml:space="preserve"> CT 06905</v>
      </c>
      <c r="M1219" s="2" t="str">
        <f ca="1">IFERROR(__xludf.DUMMYFUNCTION("""COMPUTED_VALUE""")," USA")</f>
        <v xml:space="preserve"> USA</v>
      </c>
      <c r="P1219" s="60"/>
    </row>
    <row r="1220" spans="1:16">
      <c r="A1220" s="60">
        <v>1219</v>
      </c>
      <c r="B1220" s="79" t="s">
        <v>7242</v>
      </c>
      <c r="C1220" s="60" t="s">
        <v>595</v>
      </c>
      <c r="D1220" s="93" t="s">
        <v>7062</v>
      </c>
      <c r="E1220" s="48" t="str">
        <f t="shared" si="0"/>
        <v>Laredo</v>
      </c>
      <c r="F1220" s="83" t="str">
        <f t="shared" si="1"/>
        <v>Nixon (Laredo),TX</v>
      </c>
      <c r="G1220" s="60" t="s">
        <v>7243</v>
      </c>
      <c r="H1220" s="60">
        <v>27.5239656</v>
      </c>
      <c r="I1220" s="60">
        <v>-99.47533039999999</v>
      </c>
      <c r="J1220" s="60" t="str">
        <f ca="1">IFERROR(__xludf.DUMMYFUNCTION("SPLIT(G1220,"","")"),"2000 E Plum St")</f>
        <v>2000 E Plum St</v>
      </c>
      <c r="K1220" s="2" t="str">
        <f ca="1">IFERROR(__xludf.DUMMYFUNCTION("""COMPUTED_VALUE""")," Laredo")</f>
        <v xml:space="preserve"> Laredo</v>
      </c>
      <c r="L1220" s="2" t="str">
        <f ca="1">IFERROR(__xludf.DUMMYFUNCTION("""COMPUTED_VALUE""")," TX 78043")</f>
        <v xml:space="preserve"> TX 78043</v>
      </c>
      <c r="M1220" s="2" t="str">
        <f ca="1">IFERROR(__xludf.DUMMYFUNCTION("""COMPUTED_VALUE""")," USA")</f>
        <v xml:space="preserve"> USA</v>
      </c>
      <c r="P1220" s="60"/>
    </row>
    <row r="1221" spans="1:16">
      <c r="A1221" s="65">
        <v>1220</v>
      </c>
      <c r="B1221" s="80" t="s">
        <v>7246</v>
      </c>
      <c r="C1221" s="65" t="s">
        <v>595</v>
      </c>
      <c r="D1221" s="93" t="s">
        <v>7247</v>
      </c>
      <c r="E1221" s="48" t="str">
        <f t="shared" si="0"/>
        <v>Cedar Park</v>
      </c>
      <c r="F1221" s="83" t="str">
        <f t="shared" si="1"/>
        <v>Cedar Park,TX</v>
      </c>
      <c r="G1221" s="65" t="s">
        <v>7249</v>
      </c>
      <c r="H1221" s="65">
        <v>30.505198</v>
      </c>
      <c r="I1221" s="65">
        <v>-97.8202888</v>
      </c>
      <c r="J1221" s="60" t="str">
        <f ca="1">IFERROR(__xludf.DUMMYFUNCTION("SPLIT(G1221,"","")"),"406 Old Mill Rd")</f>
        <v>406 Old Mill Rd</v>
      </c>
      <c r="K1221" s="2" t="str">
        <f ca="1">IFERROR(__xludf.DUMMYFUNCTION("""COMPUTED_VALUE""")," Cedar Park")</f>
        <v xml:space="preserve"> Cedar Park</v>
      </c>
      <c r="L1221" s="2" t="str">
        <f ca="1">IFERROR(__xludf.DUMMYFUNCTION("""COMPUTED_VALUE""")," TX 78613")</f>
        <v xml:space="preserve"> TX 78613</v>
      </c>
      <c r="M1221" s="2" t="str">
        <f ca="1">IFERROR(__xludf.DUMMYFUNCTION("""COMPUTED_VALUE""")," USA")</f>
        <v xml:space="preserve"> USA</v>
      </c>
      <c r="P1221" s="60"/>
    </row>
    <row r="1222" spans="1:16">
      <c r="A1222" s="60">
        <v>1221</v>
      </c>
      <c r="B1222" s="79" t="s">
        <v>7253</v>
      </c>
      <c r="C1222" s="60" t="s">
        <v>183</v>
      </c>
      <c r="D1222" s="93" t="s">
        <v>7254</v>
      </c>
      <c r="E1222" s="48" t="str">
        <f t="shared" si="0"/>
        <v>Melville</v>
      </c>
      <c r="F1222" s="83" t="str">
        <f t="shared" si="1"/>
        <v>St. Anthony's (Melville),NY</v>
      </c>
      <c r="G1222" s="60" t="s">
        <v>7257</v>
      </c>
      <c r="H1222" s="60">
        <v>40.812134899999997</v>
      </c>
      <c r="I1222" s="60">
        <v>-73.388610799999995</v>
      </c>
      <c r="J1222" s="60" t="str">
        <f ca="1">IFERROR(__xludf.DUMMYFUNCTION("SPLIT(G1222,"","")"),"275 Wolf Hill Rd")</f>
        <v>275 Wolf Hill Rd</v>
      </c>
      <c r="K1222" s="2" t="str">
        <f ca="1">IFERROR(__xludf.DUMMYFUNCTION("""COMPUTED_VALUE""")," Melville")</f>
        <v xml:space="preserve"> Melville</v>
      </c>
      <c r="L1222" s="2" t="str">
        <f ca="1">IFERROR(__xludf.DUMMYFUNCTION("""COMPUTED_VALUE""")," NY 11747")</f>
        <v xml:space="preserve"> NY 11747</v>
      </c>
      <c r="M1222" s="2" t="str">
        <f ca="1">IFERROR(__xludf.DUMMYFUNCTION("""COMPUTED_VALUE""")," USA")</f>
        <v xml:space="preserve"> USA</v>
      </c>
      <c r="P1222" s="60"/>
    </row>
    <row r="1223" spans="1:16">
      <c r="A1223" s="65">
        <v>1222</v>
      </c>
      <c r="B1223" s="80" t="s">
        <v>7261</v>
      </c>
      <c r="C1223" s="65" t="s">
        <v>745</v>
      </c>
      <c r="D1223" s="93" t="s">
        <v>7262</v>
      </c>
      <c r="E1223" s="48" t="str">
        <f t="shared" si="0"/>
        <v>Bow</v>
      </c>
      <c r="F1223" s="83" t="str">
        <f t="shared" si="1"/>
        <v>Burlington-Edison (Burlington),WA</v>
      </c>
      <c r="G1223" s="65" t="s">
        <v>7263</v>
      </c>
      <c r="H1223" s="65">
        <v>48.551996699999997</v>
      </c>
      <c r="I1223" s="65">
        <v>-122.3741795</v>
      </c>
      <c r="J1223" s="60" t="str">
        <f ca="1">IFERROR(__xludf.DUMMYFUNCTION("SPLIT(G1223,"","")"),"6441 Ershig Rd")</f>
        <v>6441 Ershig Rd</v>
      </c>
      <c r="K1223" s="2" t="str">
        <f ca="1">IFERROR(__xludf.DUMMYFUNCTION("""COMPUTED_VALUE""")," Bow")</f>
        <v xml:space="preserve"> Bow</v>
      </c>
      <c r="L1223" s="2" t="str">
        <f ca="1">IFERROR(__xludf.DUMMYFUNCTION("""COMPUTED_VALUE""")," WA 98232")</f>
        <v xml:space="preserve"> WA 98232</v>
      </c>
      <c r="M1223" s="2" t="str">
        <f ca="1">IFERROR(__xludf.DUMMYFUNCTION("""COMPUTED_VALUE""")," USA")</f>
        <v xml:space="preserve"> USA</v>
      </c>
      <c r="P1223" s="60"/>
    </row>
    <row r="1224" spans="1:16">
      <c r="A1224" s="60">
        <v>1223</v>
      </c>
      <c r="B1224" s="79" t="s">
        <v>7267</v>
      </c>
      <c r="C1224" s="60" t="s">
        <v>624</v>
      </c>
      <c r="D1224" s="93" t="s">
        <v>1471</v>
      </c>
      <c r="E1224" s="48" t="str">
        <f t="shared" si="0"/>
        <v>New Orleans</v>
      </c>
      <c r="F1224" s="83" t="str">
        <f t="shared" si="1"/>
        <v>Brother Martin (New Orleans),LA</v>
      </c>
      <c r="G1224" s="60" t="s">
        <v>7268</v>
      </c>
      <c r="H1224" s="60">
        <v>30.003812499999999</v>
      </c>
      <c r="I1224" s="60">
        <v>-90.059059899999994</v>
      </c>
      <c r="J1224" s="60" t="str">
        <f ca="1">IFERROR(__xludf.DUMMYFUNCTION("SPLIT(G1224,"","")"),"4401 Elysian Fields Ave")</f>
        <v>4401 Elysian Fields Ave</v>
      </c>
      <c r="K1224" s="2" t="str">
        <f ca="1">IFERROR(__xludf.DUMMYFUNCTION("""COMPUTED_VALUE""")," New Orleans")</f>
        <v xml:space="preserve"> New Orleans</v>
      </c>
      <c r="L1224" s="2" t="str">
        <f ca="1">IFERROR(__xludf.DUMMYFUNCTION("""COMPUTED_VALUE""")," LA 70122")</f>
        <v xml:space="preserve"> LA 70122</v>
      </c>
      <c r="M1224" s="2" t="str">
        <f ca="1">IFERROR(__xludf.DUMMYFUNCTION("""COMPUTED_VALUE""")," USA")</f>
        <v xml:space="preserve"> USA</v>
      </c>
      <c r="P1224" s="60"/>
    </row>
    <row r="1225" spans="1:16">
      <c r="A1225" s="65">
        <v>1224</v>
      </c>
      <c r="B1225" s="80" t="s">
        <v>7270</v>
      </c>
      <c r="C1225" s="65" t="s">
        <v>604</v>
      </c>
      <c r="D1225" s="93" t="s">
        <v>652</v>
      </c>
      <c r="E1225" s="48" t="str">
        <f t="shared" si="0"/>
        <v>Chicago</v>
      </c>
      <c r="F1225" s="83" t="str">
        <f t="shared" si="1"/>
        <v>Corliss (Chicago),IL</v>
      </c>
      <c r="G1225" s="65" t="s">
        <v>7271</v>
      </c>
      <c r="H1225" s="65">
        <v>41.7066424</v>
      </c>
      <c r="I1225" s="65">
        <v>-87.6027457</v>
      </c>
      <c r="J1225" s="60" t="str">
        <f ca="1">IFERROR(__xludf.DUMMYFUNCTION("SPLIT(G1225,"","")"),"821 E 103rd St")</f>
        <v>821 E 103rd St</v>
      </c>
      <c r="K1225" s="2" t="str">
        <f ca="1">IFERROR(__xludf.DUMMYFUNCTION("""COMPUTED_VALUE""")," Chicago")</f>
        <v xml:space="preserve"> Chicago</v>
      </c>
      <c r="L1225" s="2" t="str">
        <f ca="1">IFERROR(__xludf.DUMMYFUNCTION("""COMPUTED_VALUE""")," IL 60628")</f>
        <v xml:space="preserve"> IL 60628</v>
      </c>
      <c r="M1225" s="2" t="str">
        <f ca="1">IFERROR(__xludf.DUMMYFUNCTION("""COMPUTED_VALUE""")," USA")</f>
        <v xml:space="preserve"> USA</v>
      </c>
      <c r="P1225" s="60"/>
    </row>
    <row r="1226" spans="1:16">
      <c r="A1226" s="97">
        <v>1225</v>
      </c>
      <c r="B1226" s="99" t="s">
        <v>7274</v>
      </c>
      <c r="C1226" s="97" t="s">
        <v>624</v>
      </c>
      <c r="D1226" s="93" t="s">
        <v>7275</v>
      </c>
      <c r="E1226" s="48" t="str">
        <f t="shared" si="0"/>
        <v>Zachary</v>
      </c>
      <c r="F1226" s="83" t="str">
        <f t="shared" si="1"/>
        <v>Zachary,LA</v>
      </c>
      <c r="G1226" s="97" t="s">
        <v>7277</v>
      </c>
      <c r="H1226" s="97">
        <v>30.648519099999991</v>
      </c>
      <c r="I1226" s="97">
        <v>-91.156496099999998</v>
      </c>
      <c r="J1226" s="60" t="str">
        <f ca="1">IFERROR(__xludf.DUMMYFUNCTION("SPLIT(G1226,"","")"),"5 Main St")</f>
        <v>5 Main St</v>
      </c>
      <c r="K1226" s="2" t="str">
        <f ca="1">IFERROR(__xludf.DUMMYFUNCTION("""COMPUTED_VALUE""")," Zachary")</f>
        <v xml:space="preserve"> Zachary</v>
      </c>
      <c r="L1226" s="2" t="str">
        <f ca="1">IFERROR(__xludf.DUMMYFUNCTION("""COMPUTED_VALUE""")," LA 70791")</f>
        <v xml:space="preserve"> LA 70791</v>
      </c>
      <c r="M1226" s="2" t="str">
        <f ca="1">IFERROR(__xludf.DUMMYFUNCTION("""COMPUTED_VALUE""")," USA")</f>
        <v xml:space="preserve"> USA</v>
      </c>
      <c r="P1226" s="60"/>
    </row>
    <row r="1227" spans="1:16">
      <c r="A1227" s="60">
        <v>1226</v>
      </c>
      <c r="B1227" s="79" t="s">
        <v>7280</v>
      </c>
      <c r="C1227" s="60" t="s">
        <v>174</v>
      </c>
      <c r="D1227" s="93" t="s">
        <v>7281</v>
      </c>
      <c r="E1227" s="48" t="str">
        <f t="shared" si="0"/>
        <v>Garfield Heights</v>
      </c>
      <c r="F1227" s="83" t="str">
        <f t="shared" si="1"/>
        <v>Garfield Heights,OH</v>
      </c>
      <c r="G1227" s="60" t="s">
        <v>7282</v>
      </c>
      <c r="H1227" s="60">
        <v>41.4169974</v>
      </c>
      <c r="I1227" s="60">
        <v>-81.605958099999995</v>
      </c>
      <c r="J1227" s="60" t="str">
        <f ca="1">IFERROR(__xludf.DUMMYFUNCTION("SPLIT(G1227,"","")"),"Granger Rd &amp; Turney Rd")</f>
        <v>Granger Rd &amp; Turney Rd</v>
      </c>
      <c r="K1227" s="2" t="str">
        <f ca="1">IFERROR(__xludf.DUMMYFUNCTION("""COMPUTED_VALUE""")," Garfield Heights")</f>
        <v xml:space="preserve"> Garfield Heights</v>
      </c>
      <c r="L1227" s="2" t="str">
        <f ca="1">IFERROR(__xludf.DUMMYFUNCTION("""COMPUTED_VALUE""")," OH 44125")</f>
        <v xml:space="preserve"> OH 44125</v>
      </c>
      <c r="M1227" s="2" t="str">
        <f ca="1">IFERROR(__xludf.DUMMYFUNCTION("""COMPUTED_VALUE""")," USA")</f>
        <v xml:space="preserve"> USA</v>
      </c>
      <c r="P1227" s="60"/>
    </row>
    <row r="1228" spans="1:16">
      <c r="A1228" s="65">
        <v>1227</v>
      </c>
      <c r="B1228" s="80" t="s">
        <v>7287</v>
      </c>
      <c r="C1228" s="65" t="s">
        <v>675</v>
      </c>
      <c r="D1228" s="93" t="s">
        <v>7288</v>
      </c>
      <c r="E1228" s="48" t="str">
        <f t="shared" si="0"/>
        <v>Laureldale</v>
      </c>
      <c r="F1228" s="83" t="str">
        <f t="shared" si="1"/>
        <v>Muhlenberg (Laureldale),PA</v>
      </c>
      <c r="G1228" s="65" t="s">
        <v>7291</v>
      </c>
      <c r="H1228" s="65">
        <v>40.388148700000002</v>
      </c>
      <c r="I1228" s="65">
        <v>-75.917984799999999</v>
      </c>
      <c r="J1228" s="60" t="str">
        <f ca="1">IFERROR(__xludf.DUMMYFUNCTION("SPLIT(G1228,"","")"),"1016 Elizabeth Ave")</f>
        <v>1016 Elizabeth Ave</v>
      </c>
      <c r="K1228" s="2" t="str">
        <f ca="1">IFERROR(__xludf.DUMMYFUNCTION("""COMPUTED_VALUE""")," Laureldale")</f>
        <v xml:space="preserve"> Laureldale</v>
      </c>
      <c r="L1228" s="2" t="str">
        <f ca="1">IFERROR(__xludf.DUMMYFUNCTION("""COMPUTED_VALUE""")," PA 19605")</f>
        <v xml:space="preserve"> PA 19605</v>
      </c>
      <c r="M1228" s="2" t="str">
        <f ca="1">IFERROR(__xludf.DUMMYFUNCTION("""COMPUTED_VALUE""")," USA")</f>
        <v xml:space="preserve"> USA</v>
      </c>
      <c r="P1228" s="60"/>
    </row>
    <row r="1229" spans="1:16">
      <c r="A1229" s="60">
        <v>1228</v>
      </c>
      <c r="B1229" s="79" t="s">
        <v>7294</v>
      </c>
      <c r="C1229" s="60" t="s">
        <v>1055</v>
      </c>
      <c r="D1229" s="93" t="s">
        <v>1420</v>
      </c>
      <c r="E1229" s="48" t="str">
        <f t="shared" si="0"/>
        <v>Tulsa</v>
      </c>
      <c r="F1229" s="83" t="str">
        <f t="shared" si="1"/>
        <v>Holland Hall (Tulsa),OK</v>
      </c>
      <c r="G1229" s="60" t="s">
        <v>7296</v>
      </c>
      <c r="H1229" s="60">
        <v>36.0438732</v>
      </c>
      <c r="I1229" s="60">
        <v>-95.914362199999999</v>
      </c>
      <c r="J1229" s="60" t="str">
        <f ca="1">IFERROR(__xludf.DUMMYFUNCTION("SPLIT(G1229,"","")"),"5666 E 81st St")</f>
        <v>5666 E 81st St</v>
      </c>
      <c r="K1229" s="2" t="str">
        <f ca="1">IFERROR(__xludf.DUMMYFUNCTION("""COMPUTED_VALUE""")," Tulsa")</f>
        <v xml:space="preserve"> Tulsa</v>
      </c>
      <c r="L1229" s="2" t="str">
        <f ca="1">IFERROR(__xludf.DUMMYFUNCTION("""COMPUTED_VALUE""")," OK 74137")</f>
        <v xml:space="preserve"> OK 74137</v>
      </c>
      <c r="M1229" s="2" t="str">
        <f ca="1">IFERROR(__xludf.DUMMYFUNCTION("""COMPUTED_VALUE""")," USA")</f>
        <v xml:space="preserve"> USA</v>
      </c>
      <c r="P1229" s="60"/>
    </row>
    <row r="1230" spans="1:16">
      <c r="A1230" s="65">
        <v>1229</v>
      </c>
      <c r="B1230" s="80" t="s">
        <v>7301</v>
      </c>
      <c r="C1230" s="65" t="s">
        <v>897</v>
      </c>
      <c r="D1230" s="93" t="s">
        <v>899</v>
      </c>
      <c r="E1230" s="48" t="str">
        <f t="shared" si="0"/>
        <v>St. Louis</v>
      </c>
      <c r="F1230" s="83" t="str">
        <f t="shared" si="1"/>
        <v>MICDS (St. Louis),MO</v>
      </c>
      <c r="G1230" s="65" t="s">
        <v>7303</v>
      </c>
      <c r="H1230" s="65">
        <v>38.658252500000003</v>
      </c>
      <c r="I1230" s="65">
        <v>-90.396679800000001</v>
      </c>
      <c r="J1230" s="60" t="str">
        <f ca="1">IFERROR(__xludf.DUMMYFUNCTION("SPLIT(G1230,"","")"),"101 N Warson Rd")</f>
        <v>101 N Warson Rd</v>
      </c>
      <c r="K1230" s="2" t="str">
        <f ca="1">IFERROR(__xludf.DUMMYFUNCTION("""COMPUTED_VALUE""")," St. Louis")</f>
        <v xml:space="preserve"> St. Louis</v>
      </c>
      <c r="L1230" s="2" t="str">
        <f ca="1">IFERROR(__xludf.DUMMYFUNCTION("""COMPUTED_VALUE""")," MO 63124")</f>
        <v xml:space="preserve"> MO 63124</v>
      </c>
      <c r="M1230" s="2" t="str">
        <f ca="1">IFERROR(__xludf.DUMMYFUNCTION("""COMPUTED_VALUE""")," USA")</f>
        <v xml:space="preserve"> USA</v>
      </c>
      <c r="P1230" s="60"/>
    </row>
    <row r="1231" spans="1:16">
      <c r="A1231" s="60">
        <v>1230</v>
      </c>
      <c r="B1231" s="79" t="s">
        <v>7307</v>
      </c>
      <c r="C1231" s="60" t="s">
        <v>595</v>
      </c>
      <c r="D1231" s="93" t="s">
        <v>7309</v>
      </c>
      <c r="E1231" s="48" t="str">
        <f t="shared" si="0"/>
        <v>Keller</v>
      </c>
      <c r="F1231" s="83" t="str">
        <f t="shared" si="1"/>
        <v>Keller,TX</v>
      </c>
      <c r="G1231" s="60" t="s">
        <v>7310</v>
      </c>
      <c r="H1231" s="60">
        <v>32.9341893</v>
      </c>
      <c r="I1231" s="60">
        <v>-97.229298</v>
      </c>
      <c r="J1231" s="60" t="str">
        <f ca="1">IFERROR(__xludf.DUMMYFUNCTION("SPLIT(G1231,"","")"),"989 Keller Pkwy")</f>
        <v>989 Keller Pkwy</v>
      </c>
      <c r="K1231" s="2" t="str">
        <f ca="1">IFERROR(__xludf.DUMMYFUNCTION("""COMPUTED_VALUE""")," Keller")</f>
        <v xml:space="preserve"> Keller</v>
      </c>
      <c r="L1231" s="2" t="str">
        <f ca="1">IFERROR(__xludf.DUMMYFUNCTION("""COMPUTED_VALUE""")," TX 76248")</f>
        <v xml:space="preserve"> TX 76248</v>
      </c>
      <c r="M1231" s="2" t="str">
        <f ca="1">IFERROR(__xludf.DUMMYFUNCTION("""COMPUTED_VALUE""")," USA")</f>
        <v xml:space="preserve"> USA</v>
      </c>
      <c r="P1231" s="60"/>
    </row>
    <row r="1232" spans="1:16">
      <c r="A1232" s="65">
        <v>1231</v>
      </c>
      <c r="B1232" s="80" t="s">
        <v>7313</v>
      </c>
      <c r="C1232" s="65" t="s">
        <v>588</v>
      </c>
      <c r="D1232" s="93" t="s">
        <v>7314</v>
      </c>
      <c r="E1232" s="48" t="str">
        <f t="shared" si="0"/>
        <v>Modesto</v>
      </c>
      <c r="F1232" s="83" t="str">
        <f t="shared" si="1"/>
        <v>Gregori (Modesto),CA</v>
      </c>
      <c r="G1232" s="65" t="s">
        <v>7317</v>
      </c>
      <c r="H1232" s="65">
        <v>37.720765800000002</v>
      </c>
      <c r="I1232" s="65">
        <v>-121.06156970000001</v>
      </c>
      <c r="J1232" s="60" t="str">
        <f ca="1">IFERROR(__xludf.DUMMYFUNCTION("SPLIT(G1232,"","")"),"3701 Pirrone Rd")</f>
        <v>3701 Pirrone Rd</v>
      </c>
      <c r="K1232" s="2" t="str">
        <f ca="1">IFERROR(__xludf.DUMMYFUNCTION("""COMPUTED_VALUE""")," Modesto")</f>
        <v xml:space="preserve"> Modesto</v>
      </c>
      <c r="L1232" s="2" t="str">
        <f ca="1">IFERROR(__xludf.DUMMYFUNCTION("""COMPUTED_VALUE""")," CA 95356")</f>
        <v xml:space="preserve"> CA 95356</v>
      </c>
      <c r="M1232" s="2" t="str">
        <f ca="1">IFERROR(__xludf.DUMMYFUNCTION("""COMPUTED_VALUE""")," USA")</f>
        <v xml:space="preserve"> USA</v>
      </c>
      <c r="P1232" s="60"/>
    </row>
    <row r="1233" spans="1:16">
      <c r="A1233" s="60">
        <v>1232</v>
      </c>
      <c r="B1233" s="79" t="s">
        <v>7320</v>
      </c>
      <c r="C1233" s="60" t="s">
        <v>737</v>
      </c>
      <c r="D1233" s="93" t="s">
        <v>7321</v>
      </c>
      <c r="E1233" s="48" t="str">
        <f t="shared" si="0"/>
        <v>Haddonfield</v>
      </c>
      <c r="F1233" s="83" t="str">
        <f t="shared" si="1"/>
        <v>Paul VI (Haddonfield),NJ</v>
      </c>
      <c r="G1233" s="60" t="s">
        <v>7322</v>
      </c>
      <c r="H1233" s="60">
        <v>39.899117099999998</v>
      </c>
      <c r="I1233" s="60">
        <v>-75.060446200000001</v>
      </c>
      <c r="J1233" s="60" t="str">
        <f ca="1">IFERROR(__xludf.DUMMYFUNCTION("SPLIT(G1233,"","")"),"901 Hopkins Rd")</f>
        <v>901 Hopkins Rd</v>
      </c>
      <c r="K1233" s="2" t="str">
        <f ca="1">IFERROR(__xludf.DUMMYFUNCTION("""COMPUTED_VALUE""")," Haddonfield")</f>
        <v xml:space="preserve"> Haddonfield</v>
      </c>
      <c r="L1233" s="2" t="str">
        <f ca="1">IFERROR(__xludf.DUMMYFUNCTION("""COMPUTED_VALUE""")," NJ 08033")</f>
        <v xml:space="preserve"> NJ 08033</v>
      </c>
      <c r="M1233" s="2" t="str">
        <f ca="1">IFERROR(__xludf.DUMMYFUNCTION("""COMPUTED_VALUE""")," USA")</f>
        <v xml:space="preserve"> USA</v>
      </c>
      <c r="P1233" s="60"/>
    </row>
    <row r="1234" spans="1:16">
      <c r="A1234" s="65">
        <v>1233</v>
      </c>
      <c r="B1234" s="80" t="s">
        <v>5057</v>
      </c>
      <c r="C1234" s="65" t="s">
        <v>588</v>
      </c>
      <c r="D1234" s="93" t="s">
        <v>7325</v>
      </c>
      <c r="E1234" s="48" t="str">
        <f t="shared" si="0"/>
        <v>Fountain Valley</v>
      </c>
      <c r="F1234" s="83" t="str">
        <f t="shared" si="1"/>
        <v>Fountain Valley,CA</v>
      </c>
      <c r="G1234" s="65" t="s">
        <v>7326</v>
      </c>
      <c r="H1234" s="65">
        <v>33.709021200000002</v>
      </c>
      <c r="I1234" s="65">
        <v>-117.9544069</v>
      </c>
      <c r="J1234" s="60" t="str">
        <f ca="1">IFERROR(__xludf.DUMMYFUNCTION("SPLIT(G1234,"","")"),"Brookhurst-Slater")</f>
        <v>Brookhurst-Slater</v>
      </c>
      <c r="K1234" s="2" t="str">
        <f ca="1">IFERROR(__xludf.DUMMYFUNCTION("""COMPUTED_VALUE""")," Fountain Valley")</f>
        <v xml:space="preserve"> Fountain Valley</v>
      </c>
      <c r="L1234" s="2" t="str">
        <f ca="1">IFERROR(__xludf.DUMMYFUNCTION("""COMPUTED_VALUE""")," CA 92708")</f>
        <v xml:space="preserve"> CA 92708</v>
      </c>
      <c r="M1234" s="2" t="str">
        <f ca="1">IFERROR(__xludf.DUMMYFUNCTION("""COMPUTED_VALUE""")," USA")</f>
        <v xml:space="preserve"> USA</v>
      </c>
      <c r="P1234" s="60"/>
    </row>
    <row r="1235" spans="1:16">
      <c r="A1235" s="60">
        <v>1234</v>
      </c>
      <c r="B1235" s="79" t="s">
        <v>7330</v>
      </c>
      <c r="C1235" s="60" t="s">
        <v>191</v>
      </c>
      <c r="D1235" s="93" t="s">
        <v>7331</v>
      </c>
      <c r="E1235" s="48" t="str">
        <f t="shared" si="0"/>
        <v>Maple City</v>
      </c>
      <c r="F1235" s="83" t="str">
        <f t="shared" si="1"/>
        <v>Glen Lake (Maple City),MI</v>
      </c>
      <c r="G1235" s="60" t="s">
        <v>7333</v>
      </c>
      <c r="H1235" s="60">
        <v>44.855457899999998</v>
      </c>
      <c r="I1235" s="60">
        <v>-85.855572999999993</v>
      </c>
      <c r="J1235" s="60" t="str">
        <f ca="1">IFERROR(__xludf.DUMMYFUNCTION("SPLIT(G1235,"","")"),"8571 S Maple City Rd")</f>
        <v>8571 S Maple City Rd</v>
      </c>
      <c r="K1235" s="2" t="str">
        <f ca="1">IFERROR(__xludf.DUMMYFUNCTION("""COMPUTED_VALUE""")," Maple City")</f>
        <v xml:space="preserve"> Maple City</v>
      </c>
      <c r="L1235" s="2" t="str">
        <f ca="1">IFERROR(__xludf.DUMMYFUNCTION("""COMPUTED_VALUE""")," MI 49664")</f>
        <v xml:space="preserve"> MI 49664</v>
      </c>
      <c r="M1235" s="2" t="str">
        <f ca="1">IFERROR(__xludf.DUMMYFUNCTION("""COMPUTED_VALUE""")," USA")</f>
        <v xml:space="preserve"> USA</v>
      </c>
      <c r="P1235" s="60"/>
    </row>
    <row r="1236" spans="1:16">
      <c r="A1236" s="65">
        <v>1235</v>
      </c>
      <c r="B1236" s="80" t="s">
        <v>7336</v>
      </c>
      <c r="C1236" s="65" t="s">
        <v>901</v>
      </c>
      <c r="D1236" s="93" t="s">
        <v>6739</v>
      </c>
      <c r="E1236" s="48" t="str">
        <f t="shared" si="0"/>
        <v>Wilson</v>
      </c>
      <c r="F1236" s="83" t="str">
        <f t="shared" si="1"/>
        <v>Rivercrest (Wilson),AR</v>
      </c>
      <c r="G1236" s="65" t="s">
        <v>7338</v>
      </c>
      <c r="H1236" s="65">
        <v>35.595917700000001</v>
      </c>
      <c r="I1236" s="65">
        <v>-90.077103199999996</v>
      </c>
      <c r="J1236" s="60" t="str">
        <f ca="1">IFERROR(__xludf.DUMMYFUNCTION("SPLIT(G1236,"","")"),"State Hwy 14")</f>
        <v>State Hwy 14</v>
      </c>
      <c r="K1236" s="2" t="str">
        <f ca="1">IFERROR(__xludf.DUMMYFUNCTION("""COMPUTED_VALUE""")," Wilson")</f>
        <v xml:space="preserve"> Wilson</v>
      </c>
      <c r="L1236" s="2" t="str">
        <f ca="1">IFERROR(__xludf.DUMMYFUNCTION("""COMPUTED_VALUE""")," AR 72395")</f>
        <v xml:space="preserve"> AR 72395</v>
      </c>
      <c r="M1236" s="2" t="str">
        <f ca="1">IFERROR(__xludf.DUMMYFUNCTION("""COMPUTED_VALUE""")," USA")</f>
        <v xml:space="preserve"> USA</v>
      </c>
      <c r="P1236" s="60"/>
    </row>
    <row r="1237" spans="1:16">
      <c r="A1237" s="60">
        <v>1236</v>
      </c>
      <c r="B1237" s="79" t="s">
        <v>7343</v>
      </c>
      <c r="C1237" s="60" t="s">
        <v>604</v>
      </c>
      <c r="D1237" s="93" t="s">
        <v>7344</v>
      </c>
      <c r="E1237" s="48" t="str">
        <f t="shared" si="0"/>
        <v>Schaumburg</v>
      </c>
      <c r="F1237" s="83" t="str">
        <f t="shared" si="1"/>
        <v>Schaumburg,IL</v>
      </c>
      <c r="G1237" s="60" t="s">
        <v>7345</v>
      </c>
      <c r="H1237" s="60">
        <v>42.033360700000003</v>
      </c>
      <c r="I1237" s="60">
        <v>-88.083405900000002</v>
      </c>
      <c r="J1237" s="60" t="str">
        <f ca="1">IFERROR(__xludf.DUMMYFUNCTION("SPLIT(G1237,"","")"),"314 N Pleasant Dr")</f>
        <v>314 N Pleasant Dr</v>
      </c>
      <c r="K1237" s="2" t="str">
        <f ca="1">IFERROR(__xludf.DUMMYFUNCTION("""COMPUTED_VALUE""")," Schaumburg")</f>
        <v xml:space="preserve"> Schaumburg</v>
      </c>
      <c r="L1237" s="2" t="str">
        <f ca="1">IFERROR(__xludf.DUMMYFUNCTION("""COMPUTED_VALUE""")," IL 60194")</f>
        <v xml:space="preserve"> IL 60194</v>
      </c>
      <c r="M1237" s="2" t="str">
        <f ca="1">IFERROR(__xludf.DUMMYFUNCTION("""COMPUTED_VALUE""")," USA")</f>
        <v xml:space="preserve"> USA</v>
      </c>
      <c r="P1237" s="60"/>
    </row>
    <row r="1238" spans="1:16">
      <c r="A1238" s="65">
        <v>1237</v>
      </c>
      <c r="B1238" s="80" t="s">
        <v>7350</v>
      </c>
      <c r="C1238" s="65" t="s">
        <v>191</v>
      </c>
      <c r="D1238" s="93" t="s">
        <v>2789</v>
      </c>
      <c r="E1238" s="48" t="str">
        <f t="shared" si="0"/>
        <v>Detroit</v>
      </c>
      <c r="F1238" s="83" t="str">
        <f t="shared" si="1"/>
        <v>Loyola (Detroit),MI</v>
      </c>
      <c r="G1238" s="65" t="s">
        <v>7353</v>
      </c>
      <c r="H1238" s="65">
        <v>42.403091600000003</v>
      </c>
      <c r="I1238" s="65">
        <v>-83.166475699999992</v>
      </c>
      <c r="J1238" s="60" t="str">
        <f ca="1">IFERROR(__xludf.DUMMYFUNCTION("SPLIT(G1238,"","")"),"15325 Pinehurst St")</f>
        <v>15325 Pinehurst St</v>
      </c>
      <c r="K1238" s="2" t="str">
        <f ca="1">IFERROR(__xludf.DUMMYFUNCTION("""COMPUTED_VALUE""")," Detroit")</f>
        <v xml:space="preserve"> Detroit</v>
      </c>
      <c r="L1238" s="2" t="str">
        <f ca="1">IFERROR(__xludf.DUMMYFUNCTION("""COMPUTED_VALUE""")," MI 48238")</f>
        <v xml:space="preserve"> MI 48238</v>
      </c>
      <c r="M1238" s="2" t="str">
        <f ca="1">IFERROR(__xludf.DUMMYFUNCTION("""COMPUTED_VALUE""")," USA")</f>
        <v xml:space="preserve"> USA</v>
      </c>
      <c r="P1238" s="60"/>
    </row>
    <row r="1239" spans="1:16">
      <c r="A1239" s="60">
        <v>1238</v>
      </c>
      <c r="B1239" s="79" t="s">
        <v>7356</v>
      </c>
      <c r="C1239" s="60" t="s">
        <v>1039</v>
      </c>
      <c r="D1239" s="93" t="s">
        <v>7357</v>
      </c>
      <c r="E1239" s="48" t="str">
        <f t="shared" si="0"/>
        <v>Chicopee</v>
      </c>
      <c r="F1239" s="83" t="str">
        <f t="shared" si="1"/>
        <v>Chicopee,MA</v>
      </c>
      <c r="G1239" s="60" t="s">
        <v>7358</v>
      </c>
      <c r="H1239" s="60">
        <v>42.148704299999999</v>
      </c>
      <c r="I1239" s="60">
        <v>-72.607867200000001</v>
      </c>
      <c r="J1239" s="60" t="str">
        <f ca="1">IFERROR(__xludf.DUMMYFUNCTION("SPLIT(G1239,"","")"),"2 Springfield St")</f>
        <v>2 Springfield St</v>
      </c>
      <c r="K1239" s="2" t="str">
        <f ca="1">IFERROR(__xludf.DUMMYFUNCTION("""COMPUTED_VALUE""")," Chicopee")</f>
        <v xml:space="preserve"> Chicopee</v>
      </c>
      <c r="L1239" s="2" t="str">
        <f ca="1">IFERROR(__xludf.DUMMYFUNCTION("""COMPUTED_VALUE""")," MA 01013")</f>
        <v xml:space="preserve"> MA 01013</v>
      </c>
      <c r="M1239" s="2" t="str">
        <f ca="1">IFERROR(__xludf.DUMMYFUNCTION("""COMPUTED_VALUE""")," USA")</f>
        <v xml:space="preserve"> USA</v>
      </c>
      <c r="P1239" s="60"/>
    </row>
    <row r="1240" spans="1:16">
      <c r="A1240" s="65">
        <v>1239</v>
      </c>
      <c r="B1240" s="80" t="s">
        <v>4797</v>
      </c>
      <c r="C1240" s="65" t="s">
        <v>588</v>
      </c>
      <c r="D1240" s="93" t="s">
        <v>5547</v>
      </c>
      <c r="E1240" s="48" t="str">
        <f t="shared" si="0"/>
        <v>Cypress</v>
      </c>
      <c r="F1240" s="83" t="str">
        <f t="shared" si="1"/>
        <v>Cypress,CA</v>
      </c>
      <c r="G1240" s="65" t="s">
        <v>7361</v>
      </c>
      <c r="H1240" s="65">
        <v>33.816936599999998</v>
      </c>
      <c r="I1240" s="65">
        <v>-118.0368507</v>
      </c>
      <c r="J1240" s="60" t="str">
        <f ca="1">IFERROR(__xludf.DUMMYFUNCTION("SPLIT(G1240,"","")"),"Ball-Walker")</f>
        <v>Ball-Walker</v>
      </c>
      <c r="K1240" s="2" t="str">
        <f ca="1">IFERROR(__xludf.DUMMYFUNCTION("""COMPUTED_VALUE""")," Cypress")</f>
        <v xml:space="preserve"> Cypress</v>
      </c>
      <c r="L1240" s="2" t="str">
        <f ca="1">IFERROR(__xludf.DUMMYFUNCTION("""COMPUTED_VALUE""")," CA 90630")</f>
        <v xml:space="preserve"> CA 90630</v>
      </c>
      <c r="M1240" s="2" t="str">
        <f ca="1">IFERROR(__xludf.DUMMYFUNCTION("""COMPUTED_VALUE""")," USA")</f>
        <v xml:space="preserve"> USA</v>
      </c>
      <c r="P1240" s="60"/>
    </row>
    <row r="1241" spans="1:16">
      <c r="A1241" s="60">
        <v>1240</v>
      </c>
      <c r="B1241" s="79" t="s">
        <v>7366</v>
      </c>
      <c r="C1241" s="60" t="s">
        <v>1358</v>
      </c>
      <c r="D1241" s="93" t="s">
        <v>7367</v>
      </c>
      <c r="E1241" s="48" t="str">
        <f t="shared" si="0"/>
        <v>Buxton</v>
      </c>
      <c r="F1241" s="83" t="str">
        <f t="shared" si="1"/>
        <v>Hillsboro/Central Valley (Buxton),ND</v>
      </c>
      <c r="G1241" s="60" t="s">
        <v>7368</v>
      </c>
      <c r="H1241" s="60">
        <v>47.635753600000001</v>
      </c>
      <c r="I1241" s="60">
        <v>-97.067665100000013</v>
      </c>
      <c r="J1241" s="60" t="str">
        <f ca="1">IFERROR(__xludf.DUMMYFUNCTION("SPLIT(G1241,"","")"),"1556 Co Hwy 81")</f>
        <v>1556 Co Hwy 81</v>
      </c>
      <c r="K1241" s="2" t="str">
        <f ca="1">IFERROR(__xludf.DUMMYFUNCTION("""COMPUTED_VALUE""")," Buxton")</f>
        <v xml:space="preserve"> Buxton</v>
      </c>
      <c r="L1241" s="2" t="str">
        <f ca="1">IFERROR(__xludf.DUMMYFUNCTION("""COMPUTED_VALUE""")," ND 58218")</f>
        <v xml:space="preserve"> ND 58218</v>
      </c>
      <c r="M1241" s="2" t="str">
        <f ca="1">IFERROR(__xludf.DUMMYFUNCTION("""COMPUTED_VALUE""")," USA")</f>
        <v xml:space="preserve"> USA</v>
      </c>
      <c r="P1241" s="60"/>
    </row>
    <row r="1242" spans="1:16">
      <c r="A1242" s="65">
        <v>1241</v>
      </c>
      <c r="B1242" s="80" t="s">
        <v>7372</v>
      </c>
      <c r="C1242" s="65" t="s">
        <v>770</v>
      </c>
      <c r="D1242" s="93" t="s">
        <v>7373</v>
      </c>
      <c r="E1242" s="48" t="str">
        <f t="shared" si="0"/>
        <v>Spring Hill</v>
      </c>
      <c r="F1242" s="83" t="str">
        <f t="shared" si="1"/>
        <v>Summit (Spring Hill),TN</v>
      </c>
      <c r="G1242" s="65" t="s">
        <v>7375</v>
      </c>
      <c r="H1242" s="65">
        <v>35.772124599999998</v>
      </c>
      <c r="I1242" s="65">
        <v>-86.874552600000001</v>
      </c>
      <c r="J1242" s="60" t="str">
        <f ca="1">IFERROR(__xludf.DUMMYFUNCTION("SPLIT(G1242,"","")"),"2830 Twin Lakes Dr")</f>
        <v>2830 Twin Lakes Dr</v>
      </c>
      <c r="K1242" s="2" t="str">
        <f ca="1">IFERROR(__xludf.DUMMYFUNCTION("""COMPUTED_VALUE""")," Spring Hill")</f>
        <v xml:space="preserve"> Spring Hill</v>
      </c>
      <c r="L1242" s="2" t="str">
        <f ca="1">IFERROR(__xludf.DUMMYFUNCTION("""COMPUTED_VALUE""")," TN 37174")</f>
        <v xml:space="preserve"> TN 37174</v>
      </c>
      <c r="M1242" s="2" t="str">
        <f ca="1">IFERROR(__xludf.DUMMYFUNCTION("""COMPUTED_VALUE""")," USA")</f>
        <v xml:space="preserve"> USA</v>
      </c>
      <c r="P1242" s="60"/>
    </row>
    <row r="1243" spans="1:16">
      <c r="A1243" s="60">
        <v>1242</v>
      </c>
      <c r="B1243" s="79" t="s">
        <v>7377</v>
      </c>
      <c r="C1243" s="60" t="s">
        <v>624</v>
      </c>
      <c r="D1243" s="93" t="s">
        <v>6702</v>
      </c>
      <c r="E1243" s="48" t="str">
        <f t="shared" si="0"/>
        <v>Shreveport</v>
      </c>
      <c r="F1243" s="83" t="str">
        <f t="shared" si="1"/>
        <v>Huntington (Shreveport),LA</v>
      </c>
      <c r="G1243" s="60" t="s">
        <v>7379</v>
      </c>
      <c r="H1243" s="60">
        <v>32.447498099999997</v>
      </c>
      <c r="I1243" s="60">
        <v>-93.856464000000003</v>
      </c>
      <c r="J1243" s="60" t="str">
        <f ca="1">IFERROR(__xludf.DUMMYFUNCTION("SPLIT(G1243,"","")"),"6801 Rasberry Ln")</f>
        <v>6801 Rasberry Ln</v>
      </c>
      <c r="K1243" s="2" t="str">
        <f ca="1">IFERROR(__xludf.DUMMYFUNCTION("""COMPUTED_VALUE""")," Shreveport")</f>
        <v xml:space="preserve"> Shreveport</v>
      </c>
      <c r="L1243" s="2" t="str">
        <f ca="1">IFERROR(__xludf.DUMMYFUNCTION("""COMPUTED_VALUE""")," LA 71129")</f>
        <v xml:space="preserve"> LA 71129</v>
      </c>
      <c r="M1243" s="2" t="str">
        <f ca="1">IFERROR(__xludf.DUMMYFUNCTION("""COMPUTED_VALUE""")," USA")</f>
        <v xml:space="preserve"> USA</v>
      </c>
      <c r="P1243" s="60"/>
    </row>
    <row r="1244" spans="1:16">
      <c r="A1244" s="65">
        <v>1243</v>
      </c>
      <c r="B1244" s="80" t="s">
        <v>7381</v>
      </c>
      <c r="C1244" s="65" t="s">
        <v>191</v>
      </c>
      <c r="D1244" s="93" t="s">
        <v>7382</v>
      </c>
      <c r="E1244" s="48" t="str">
        <f t="shared" si="0"/>
        <v>Flint</v>
      </c>
      <c r="F1244" s="83" t="str">
        <f t="shared" si="1"/>
        <v>Carman-Ainsworth (Flint),MI</v>
      </c>
      <c r="G1244" s="65" t="s">
        <v>7384</v>
      </c>
      <c r="H1244" s="65">
        <v>43.025022</v>
      </c>
      <c r="I1244" s="65">
        <v>-83.771620999999996</v>
      </c>
      <c r="J1244" s="60" t="str">
        <f ca="1">IFERROR(__xludf.DUMMYFUNCTION("SPLIT(G1244,"","")"),"1300 N Linden Rd")</f>
        <v>1300 N Linden Rd</v>
      </c>
      <c r="K1244" s="2" t="str">
        <f ca="1">IFERROR(__xludf.DUMMYFUNCTION("""COMPUTED_VALUE""")," Flint")</f>
        <v xml:space="preserve"> Flint</v>
      </c>
      <c r="L1244" s="2" t="str">
        <f ca="1">IFERROR(__xludf.DUMMYFUNCTION("""COMPUTED_VALUE""")," MI 48532")</f>
        <v xml:space="preserve"> MI 48532</v>
      </c>
      <c r="M1244" s="2" t="str">
        <f ca="1">IFERROR(__xludf.DUMMYFUNCTION("""COMPUTED_VALUE""")," USA")</f>
        <v xml:space="preserve"> USA</v>
      </c>
      <c r="P1244" s="60"/>
    </row>
    <row r="1245" spans="1:16">
      <c r="A1245" s="60">
        <v>1244</v>
      </c>
      <c r="B1245" s="79" t="s">
        <v>7387</v>
      </c>
      <c r="C1245" s="60" t="s">
        <v>71</v>
      </c>
      <c r="D1245" s="93" t="s">
        <v>7388</v>
      </c>
      <c r="E1245" s="48" t="str">
        <f t="shared" si="0"/>
        <v>Laveen Village</v>
      </c>
      <c r="F1245" s="83" t="str">
        <f t="shared" si="1"/>
        <v>Cesar Chavez (Laveen),AZ</v>
      </c>
      <c r="G1245" s="60" t="s">
        <v>7390</v>
      </c>
      <c r="H1245" s="60">
        <v>33.376004500000001</v>
      </c>
      <c r="I1245" s="60">
        <v>-112.14532730000001</v>
      </c>
      <c r="J1245" s="60" t="str">
        <f ca="1">IFERROR(__xludf.DUMMYFUNCTION("SPLIT(G1245,"","")"),"3921 W Baseline Rd")</f>
        <v>3921 W Baseline Rd</v>
      </c>
      <c r="K1245" s="2" t="str">
        <f ca="1">IFERROR(__xludf.DUMMYFUNCTION("""COMPUTED_VALUE""")," Laveen Village")</f>
        <v xml:space="preserve"> Laveen Village</v>
      </c>
      <c r="L1245" s="2" t="str">
        <f ca="1">IFERROR(__xludf.DUMMYFUNCTION("""COMPUTED_VALUE""")," AZ 85339")</f>
        <v xml:space="preserve"> AZ 85339</v>
      </c>
      <c r="M1245" s="2" t="str">
        <f ca="1">IFERROR(__xludf.DUMMYFUNCTION("""COMPUTED_VALUE""")," USA")</f>
        <v xml:space="preserve"> USA</v>
      </c>
      <c r="P1245" s="60"/>
    </row>
    <row r="1246" spans="1:16">
      <c r="A1246" s="65">
        <v>1245</v>
      </c>
      <c r="B1246" s="80" t="s">
        <v>7393</v>
      </c>
      <c r="C1246" s="65" t="s">
        <v>675</v>
      </c>
      <c r="D1246" s="93" t="s">
        <v>2527</v>
      </c>
      <c r="E1246" s="48" t="str">
        <f t="shared" si="0"/>
        <v>Pittsburgh</v>
      </c>
      <c r="F1246" s="83" t="str">
        <f t="shared" si="1"/>
        <v>Upper St. Clair,PA</v>
      </c>
      <c r="G1246" s="65" t="s">
        <v>7395</v>
      </c>
      <c r="H1246" s="65">
        <v>40.320570099999998</v>
      </c>
      <c r="I1246" s="65">
        <v>-80.087015499999993</v>
      </c>
      <c r="J1246" s="60" t="str">
        <f ca="1">IFERROR(__xludf.DUMMYFUNCTION("SPLIT(G1246,"","")"),"2480 Old Washington Rd")</f>
        <v>2480 Old Washington Rd</v>
      </c>
      <c r="K1246" s="2" t="str">
        <f ca="1">IFERROR(__xludf.DUMMYFUNCTION("""COMPUTED_VALUE""")," Pittsburgh")</f>
        <v xml:space="preserve"> Pittsburgh</v>
      </c>
      <c r="L1246" s="2" t="str">
        <f ca="1">IFERROR(__xludf.DUMMYFUNCTION("""COMPUTED_VALUE""")," PA 15241")</f>
        <v xml:space="preserve"> PA 15241</v>
      </c>
      <c r="M1246" s="2" t="str">
        <f ca="1">IFERROR(__xludf.DUMMYFUNCTION("""COMPUTED_VALUE""")," USA")</f>
        <v xml:space="preserve"> USA</v>
      </c>
      <c r="P1246" s="60"/>
    </row>
    <row r="1247" spans="1:16">
      <c r="A1247" s="60">
        <v>1246</v>
      </c>
      <c r="B1247" s="79" t="s">
        <v>7399</v>
      </c>
      <c r="C1247" s="60" t="s">
        <v>590</v>
      </c>
      <c r="D1247" s="93" t="s">
        <v>7400</v>
      </c>
      <c r="E1247" s="48" t="str">
        <f t="shared" si="0"/>
        <v>Colesville</v>
      </c>
      <c r="F1247" s="83" t="str">
        <f t="shared" si="1"/>
        <v>Springbrook (Silver Spring),MD</v>
      </c>
      <c r="G1247" s="60" t="s">
        <v>7402</v>
      </c>
      <c r="H1247" s="60">
        <v>39.058233600000001</v>
      </c>
      <c r="I1247" s="60">
        <v>-77.005813099999997</v>
      </c>
      <c r="J1247" s="60" t="str">
        <f ca="1">IFERROR(__xludf.DUMMYFUNCTION("SPLIT(G1247,"","")"),"201 Valley Brook Dr")</f>
        <v>201 Valley Brook Dr</v>
      </c>
      <c r="K1247" s="2" t="str">
        <f ca="1">IFERROR(__xludf.DUMMYFUNCTION("""COMPUTED_VALUE""")," Colesville")</f>
        <v xml:space="preserve"> Colesville</v>
      </c>
      <c r="L1247" s="2" t="str">
        <f ca="1">IFERROR(__xludf.DUMMYFUNCTION("""COMPUTED_VALUE""")," MD 20904")</f>
        <v xml:space="preserve"> MD 20904</v>
      </c>
      <c r="M1247" s="2" t="str">
        <f ca="1">IFERROR(__xludf.DUMMYFUNCTION("""COMPUTED_VALUE""")," USA")</f>
        <v xml:space="preserve"> USA</v>
      </c>
      <c r="P1247" s="60"/>
    </row>
    <row r="1248" spans="1:16">
      <c r="A1248" s="65">
        <v>1247</v>
      </c>
      <c r="B1248" s="80" t="s">
        <v>7404</v>
      </c>
      <c r="C1248" s="65" t="s">
        <v>618</v>
      </c>
      <c r="D1248" s="93" t="s">
        <v>742</v>
      </c>
      <c r="E1248" s="48" t="str">
        <f t="shared" si="0"/>
        <v>Montgomery</v>
      </c>
      <c r="F1248" s="83" t="str">
        <f t="shared" si="1"/>
        <v>Barr-Reeve (Montgomery),IN</v>
      </c>
      <c r="G1248" s="65" t="s">
        <v>7406</v>
      </c>
      <c r="H1248" s="65">
        <v>38.664580999999998</v>
      </c>
      <c r="I1248" s="65">
        <v>-87.046938999999995</v>
      </c>
      <c r="J1248" s="60" t="str">
        <f ca="1">IFERROR(__xludf.DUMMYFUNCTION("SPLIT(G1248,"","")"),"298 3rd St")</f>
        <v>298 3rd St</v>
      </c>
      <c r="K1248" s="2" t="str">
        <f ca="1">IFERROR(__xludf.DUMMYFUNCTION("""COMPUTED_VALUE""")," Montgomery")</f>
        <v xml:space="preserve"> Montgomery</v>
      </c>
      <c r="L1248" s="2" t="str">
        <f ca="1">IFERROR(__xludf.DUMMYFUNCTION("""COMPUTED_VALUE""")," IN 47558")</f>
        <v xml:space="preserve"> IN 47558</v>
      </c>
      <c r="M1248" s="2" t="str">
        <f ca="1">IFERROR(__xludf.DUMMYFUNCTION("""COMPUTED_VALUE""")," USA")</f>
        <v xml:space="preserve"> USA</v>
      </c>
      <c r="P1248" s="60"/>
    </row>
    <row r="1249" spans="1:16">
      <c r="A1249" s="60">
        <v>1248</v>
      </c>
      <c r="B1249" s="79" t="s">
        <v>7410</v>
      </c>
      <c r="C1249" s="60" t="s">
        <v>770</v>
      </c>
      <c r="D1249" s="93" t="s">
        <v>7411</v>
      </c>
      <c r="E1249" s="48" t="str">
        <f t="shared" si="0"/>
        <v>Baxter</v>
      </c>
      <c r="F1249" s="83" t="str">
        <f t="shared" si="1"/>
        <v>Upperman (Baxter),TN</v>
      </c>
      <c r="G1249" s="60" t="s">
        <v>7413</v>
      </c>
      <c r="H1249" s="60">
        <v>36.168489600000001</v>
      </c>
      <c r="I1249" s="60">
        <v>-85.635981299999997</v>
      </c>
      <c r="J1249" s="60" t="str">
        <f ca="1">IFERROR(__xludf.DUMMYFUNCTION("SPLIT(G1249,"","")"),"6950 Nashville Hwy")</f>
        <v>6950 Nashville Hwy</v>
      </c>
      <c r="K1249" s="2" t="str">
        <f ca="1">IFERROR(__xludf.DUMMYFUNCTION("""COMPUTED_VALUE""")," Baxter")</f>
        <v xml:space="preserve"> Baxter</v>
      </c>
      <c r="L1249" s="2" t="str">
        <f ca="1">IFERROR(__xludf.DUMMYFUNCTION("""COMPUTED_VALUE""")," TN 38544")</f>
        <v xml:space="preserve"> TN 38544</v>
      </c>
      <c r="M1249" s="2" t="str">
        <f ca="1">IFERROR(__xludf.DUMMYFUNCTION("""COMPUTED_VALUE""")," USA")</f>
        <v xml:space="preserve"> USA</v>
      </c>
      <c r="P1249" s="60"/>
    </row>
    <row r="1250" spans="1:16">
      <c r="A1250" s="65">
        <v>1249</v>
      </c>
      <c r="B1250" s="80" t="s">
        <v>445</v>
      </c>
      <c r="C1250" s="65" t="s">
        <v>598</v>
      </c>
      <c r="D1250" s="93" t="s">
        <v>7415</v>
      </c>
      <c r="E1250" s="48" t="str">
        <f t="shared" si="0"/>
        <v>Evans</v>
      </c>
      <c r="F1250" s="83" t="str">
        <f t="shared" si="1"/>
        <v>Evans,GA</v>
      </c>
      <c r="G1250" s="65" t="s">
        <v>7416</v>
      </c>
      <c r="H1250" s="65">
        <v>33.533746399999998</v>
      </c>
      <c r="I1250" s="65">
        <v>-82.1306747</v>
      </c>
      <c r="J1250" s="60" t="str">
        <f ca="1">IFERROR(__xludf.DUMMYFUNCTION("SPLIT(G1250,"","")"),"4385 Hereford Farm Rd")</f>
        <v>4385 Hereford Farm Rd</v>
      </c>
      <c r="K1250" s="2" t="str">
        <f ca="1">IFERROR(__xludf.DUMMYFUNCTION("""COMPUTED_VALUE""")," Evans")</f>
        <v xml:space="preserve"> Evans</v>
      </c>
      <c r="L1250" s="2" t="str">
        <f ca="1">IFERROR(__xludf.DUMMYFUNCTION("""COMPUTED_VALUE""")," GA 30809")</f>
        <v xml:space="preserve"> GA 30809</v>
      </c>
      <c r="M1250" s="2" t="str">
        <f ca="1">IFERROR(__xludf.DUMMYFUNCTION("""COMPUTED_VALUE""")," USA")</f>
        <v xml:space="preserve"> USA</v>
      </c>
      <c r="P1250" s="60"/>
    </row>
    <row r="1251" spans="1:16">
      <c r="A1251" s="97">
        <v>1250</v>
      </c>
      <c r="B1251" s="99" t="s">
        <v>7419</v>
      </c>
      <c r="C1251" s="97" t="s">
        <v>618</v>
      </c>
      <c r="D1251" s="93" t="s">
        <v>1757</v>
      </c>
      <c r="E1251" s="48" t="str">
        <f t="shared" si="0"/>
        <v>Fort Wayne</v>
      </c>
      <c r="F1251" s="83" t="str">
        <f t="shared" si="1"/>
        <v>Carroll (Fort Wayne),IN</v>
      </c>
      <c r="G1251" s="97" t="s">
        <v>7420</v>
      </c>
      <c r="H1251" s="97">
        <v>41.189848400000002</v>
      </c>
      <c r="I1251" s="97">
        <v>-85.193672800000002</v>
      </c>
      <c r="J1251" s="60" t="str">
        <f ca="1">IFERROR(__xludf.DUMMYFUNCTION("SPLIT(G1251,"","")"),"3705 Carroll Rd")</f>
        <v>3705 Carroll Rd</v>
      </c>
      <c r="K1251" s="2" t="str">
        <f ca="1">IFERROR(__xludf.DUMMYFUNCTION("""COMPUTED_VALUE""")," Fort Wayne")</f>
        <v xml:space="preserve"> Fort Wayne</v>
      </c>
      <c r="L1251" s="2" t="str">
        <f ca="1">IFERROR(__xludf.DUMMYFUNCTION("""COMPUTED_VALUE""")," IN 46818")</f>
        <v xml:space="preserve"> IN 46818</v>
      </c>
      <c r="M1251" s="2" t="str">
        <f ca="1">IFERROR(__xludf.DUMMYFUNCTION("""COMPUTED_VALUE""")," USA")</f>
        <v xml:space="preserve"> USA</v>
      </c>
      <c r="P1251" s="60"/>
    </row>
    <row r="1252" spans="1:16">
      <c r="A1252" s="60">
        <v>1251</v>
      </c>
      <c r="B1252" s="79" t="s">
        <v>7423</v>
      </c>
      <c r="C1252" s="60" t="s">
        <v>595</v>
      </c>
      <c r="D1252" s="93" t="s">
        <v>1063</v>
      </c>
      <c r="E1252" s="48" t="str">
        <f t="shared" si="0"/>
        <v>Austin</v>
      </c>
      <c r="F1252" s="83" t="str">
        <f t="shared" si="1"/>
        <v>LBJ Austin (Austin),TX</v>
      </c>
      <c r="G1252" s="60" t="s">
        <v>7426</v>
      </c>
      <c r="H1252" s="60">
        <v>30.313495</v>
      </c>
      <c r="I1252" s="60">
        <v>-97.656666999999999</v>
      </c>
      <c r="J1252" s="60" t="str">
        <f ca="1">IFERROR(__xludf.DUMMYFUNCTION("SPLIT(G1252,"","")"),"7309 Lazy Creek Dr")</f>
        <v>7309 Lazy Creek Dr</v>
      </c>
      <c r="K1252" s="2" t="str">
        <f ca="1">IFERROR(__xludf.DUMMYFUNCTION("""COMPUTED_VALUE""")," Austin")</f>
        <v xml:space="preserve"> Austin</v>
      </c>
      <c r="L1252" s="2" t="str">
        <f ca="1">IFERROR(__xludf.DUMMYFUNCTION("""COMPUTED_VALUE""")," TX 78724")</f>
        <v xml:space="preserve"> TX 78724</v>
      </c>
      <c r="M1252" s="2" t="str">
        <f ca="1">IFERROR(__xludf.DUMMYFUNCTION("""COMPUTED_VALUE""")," USA")</f>
        <v xml:space="preserve"> USA</v>
      </c>
      <c r="P1252" s="60"/>
    </row>
    <row r="1253" spans="1:16">
      <c r="A1253" s="65">
        <v>1252</v>
      </c>
      <c r="B1253" s="80" t="s">
        <v>7429</v>
      </c>
      <c r="C1253" s="65" t="s">
        <v>770</v>
      </c>
      <c r="D1253" s="93" t="s">
        <v>3187</v>
      </c>
      <c r="E1253" s="48" t="str">
        <f t="shared" si="0"/>
        <v>Murfreesboro</v>
      </c>
      <c r="F1253" s="83" t="str">
        <f t="shared" si="1"/>
        <v>Siegel (Murfreesboro),TN</v>
      </c>
      <c r="G1253" s="65" t="s">
        <v>7430</v>
      </c>
      <c r="H1253" s="65">
        <v>35.907559499999998</v>
      </c>
      <c r="I1253" s="65">
        <v>-86.40021999999999</v>
      </c>
      <c r="J1253" s="60" t="str">
        <f ca="1">IFERROR(__xludf.DUMMYFUNCTION("SPLIT(G1253,"","")"),"3300 Siegel Rd")</f>
        <v>3300 Siegel Rd</v>
      </c>
      <c r="K1253" s="2" t="str">
        <f ca="1">IFERROR(__xludf.DUMMYFUNCTION("""COMPUTED_VALUE""")," Murfreesboro")</f>
        <v xml:space="preserve"> Murfreesboro</v>
      </c>
      <c r="L1253" s="2" t="str">
        <f ca="1">IFERROR(__xludf.DUMMYFUNCTION("""COMPUTED_VALUE""")," TN 37129")</f>
        <v xml:space="preserve"> TN 37129</v>
      </c>
      <c r="M1253" s="2" t="str">
        <f ca="1">IFERROR(__xludf.DUMMYFUNCTION("""COMPUTED_VALUE""")," USA")</f>
        <v xml:space="preserve"> USA</v>
      </c>
      <c r="P1253" s="60"/>
    </row>
    <row r="1254" spans="1:16">
      <c r="A1254" s="60">
        <v>1253</v>
      </c>
      <c r="B1254" s="79" t="s">
        <v>322</v>
      </c>
      <c r="C1254" s="60" t="s">
        <v>608</v>
      </c>
      <c r="D1254" s="93" t="s">
        <v>7434</v>
      </c>
      <c r="E1254" s="48" t="str">
        <f t="shared" si="0"/>
        <v>Waconia</v>
      </c>
      <c r="F1254" s="83" t="str">
        <f t="shared" si="1"/>
        <v>Waconia,MN</v>
      </c>
      <c r="G1254" s="60" t="s">
        <v>7435</v>
      </c>
      <c r="H1254" s="60">
        <v>44.850431700000001</v>
      </c>
      <c r="I1254" s="60">
        <v>-93.787642899999994</v>
      </c>
      <c r="J1254" s="60" t="str">
        <f ca="1">IFERROR(__xludf.DUMMYFUNCTION("SPLIT(G1254,"","")"),"145-101 W Main St")</f>
        <v>145-101 W Main St</v>
      </c>
      <c r="K1254" s="2" t="str">
        <f ca="1">IFERROR(__xludf.DUMMYFUNCTION("""COMPUTED_VALUE""")," Waconia")</f>
        <v xml:space="preserve"> Waconia</v>
      </c>
      <c r="L1254" s="2" t="str">
        <f ca="1">IFERROR(__xludf.DUMMYFUNCTION("""COMPUTED_VALUE""")," MN 55387")</f>
        <v xml:space="preserve"> MN 55387</v>
      </c>
      <c r="M1254" s="2" t="str">
        <f ca="1">IFERROR(__xludf.DUMMYFUNCTION("""COMPUTED_VALUE""")," USA")</f>
        <v xml:space="preserve"> USA</v>
      </c>
      <c r="P1254" s="60"/>
    </row>
    <row r="1255" spans="1:16">
      <c r="A1255" s="65">
        <v>1254</v>
      </c>
      <c r="B1255" s="80" t="s">
        <v>7439</v>
      </c>
      <c r="C1255" s="65" t="s">
        <v>97</v>
      </c>
      <c r="D1255" s="93" t="s">
        <v>7440</v>
      </c>
      <c r="E1255" s="48" t="str">
        <f t="shared" si="0"/>
        <v>New Castle</v>
      </c>
      <c r="F1255" s="83" t="str">
        <f t="shared" si="1"/>
        <v>William Penn (New Castle),DE</v>
      </c>
      <c r="G1255" s="65" t="s">
        <v>7442</v>
      </c>
      <c r="H1255" s="65">
        <v>39.668849299999998</v>
      </c>
      <c r="I1255" s="65">
        <v>-75.584230300000002</v>
      </c>
      <c r="J1255" s="60" t="str">
        <f ca="1">IFERROR(__xludf.DUMMYFUNCTION("SPLIT(G1255,"","")"),"713 E Basin Rd")</f>
        <v>713 E Basin Rd</v>
      </c>
      <c r="K1255" s="2" t="str">
        <f ca="1">IFERROR(__xludf.DUMMYFUNCTION("""COMPUTED_VALUE""")," New Castle")</f>
        <v xml:space="preserve"> New Castle</v>
      </c>
      <c r="L1255" s="2" t="str">
        <f ca="1">IFERROR(__xludf.DUMMYFUNCTION("""COMPUTED_VALUE""")," DE 19720")</f>
        <v xml:space="preserve"> DE 19720</v>
      </c>
      <c r="M1255" s="2" t="str">
        <f ca="1">IFERROR(__xludf.DUMMYFUNCTION("""COMPUTED_VALUE""")," USA")</f>
        <v xml:space="preserve"> USA</v>
      </c>
      <c r="P1255" s="60"/>
    </row>
    <row r="1256" spans="1:16">
      <c r="A1256" s="60">
        <v>1255</v>
      </c>
      <c r="B1256" s="79" t="s">
        <v>7447</v>
      </c>
      <c r="C1256" s="60" t="s">
        <v>1055</v>
      </c>
      <c r="D1256" s="93" t="s">
        <v>1420</v>
      </c>
      <c r="E1256" s="48" t="str">
        <f t="shared" si="0"/>
        <v>Tulsa</v>
      </c>
      <c r="F1256" s="83" t="str">
        <f t="shared" si="1"/>
        <v>Edison (Tulsa),OK</v>
      </c>
      <c r="G1256" s="60" t="s">
        <v>7448</v>
      </c>
      <c r="H1256" s="60">
        <v>36.102639000000003</v>
      </c>
      <c r="I1256" s="60">
        <v>-95.946849700000001</v>
      </c>
      <c r="J1256" s="60" t="str">
        <f ca="1">IFERROR(__xludf.DUMMYFUNCTION("SPLIT(G1256,"","")"),"2906 E 41st St")</f>
        <v>2906 E 41st St</v>
      </c>
      <c r="K1256" s="2" t="str">
        <f ca="1">IFERROR(__xludf.DUMMYFUNCTION("""COMPUTED_VALUE""")," Tulsa")</f>
        <v xml:space="preserve"> Tulsa</v>
      </c>
      <c r="L1256" s="2" t="str">
        <f ca="1">IFERROR(__xludf.DUMMYFUNCTION("""COMPUTED_VALUE""")," OK 74105")</f>
        <v xml:space="preserve"> OK 74105</v>
      </c>
      <c r="M1256" s="2" t="str">
        <f ca="1">IFERROR(__xludf.DUMMYFUNCTION("""COMPUTED_VALUE""")," USA")</f>
        <v xml:space="preserve"> USA</v>
      </c>
      <c r="P1256" s="60"/>
    </row>
    <row r="1257" spans="1:16">
      <c r="A1257" s="65">
        <v>1256</v>
      </c>
      <c r="B1257" s="80" t="s">
        <v>7452</v>
      </c>
      <c r="C1257" s="65" t="s">
        <v>901</v>
      </c>
      <c r="D1257" s="93" t="s">
        <v>1440</v>
      </c>
      <c r="E1257" s="48" t="str">
        <f t="shared" si="0"/>
        <v>Little Rock</v>
      </c>
      <c r="F1257" s="83" t="str">
        <f t="shared" si="1"/>
        <v>Pulaski Academy (Little Rock),AR</v>
      </c>
      <c r="G1257" s="65" t="s">
        <v>7454</v>
      </c>
      <c r="H1257" s="65">
        <v>34.771889700000003</v>
      </c>
      <c r="I1257" s="65">
        <v>-92.412237600000012</v>
      </c>
      <c r="J1257" s="60" t="str">
        <f ca="1">IFERROR(__xludf.DUMMYFUNCTION("SPLIT(G1257,"","")"),"12601 Hinson Rd")</f>
        <v>12601 Hinson Rd</v>
      </c>
      <c r="K1257" s="2" t="str">
        <f ca="1">IFERROR(__xludf.DUMMYFUNCTION("""COMPUTED_VALUE""")," Little Rock")</f>
        <v xml:space="preserve"> Little Rock</v>
      </c>
      <c r="L1257" s="2" t="str">
        <f ca="1">IFERROR(__xludf.DUMMYFUNCTION("""COMPUTED_VALUE""")," AR 72212")</f>
        <v xml:space="preserve"> AR 72212</v>
      </c>
      <c r="M1257" s="2" t="str">
        <f ca="1">IFERROR(__xludf.DUMMYFUNCTION("""COMPUTED_VALUE""")," USA")</f>
        <v xml:space="preserve"> USA</v>
      </c>
      <c r="P1257" s="60"/>
    </row>
    <row r="1258" spans="1:16">
      <c r="A1258" s="60">
        <v>1257</v>
      </c>
      <c r="B1258" s="79" t="s">
        <v>7457</v>
      </c>
      <c r="C1258" s="60" t="s">
        <v>588</v>
      </c>
      <c r="D1258" s="93" t="s">
        <v>731</v>
      </c>
      <c r="E1258" s="48" t="str">
        <f t="shared" si="0"/>
        <v>Concord</v>
      </c>
      <c r="F1258" s="83" t="str">
        <f t="shared" si="1"/>
        <v>Clayton Valley Charter (Concord),CA</v>
      </c>
      <c r="G1258" s="60" t="s">
        <v>7458</v>
      </c>
      <c r="H1258" s="60">
        <v>37.948252500000002</v>
      </c>
      <c r="I1258" s="60">
        <v>-121.96884110000001</v>
      </c>
      <c r="J1258" s="60" t="str">
        <f ca="1">IFERROR(__xludf.DUMMYFUNCTION("SPLIT(G1258,"","")"),"1101 Alberta Way")</f>
        <v>1101 Alberta Way</v>
      </c>
      <c r="K1258" s="2" t="str">
        <f ca="1">IFERROR(__xludf.DUMMYFUNCTION("""COMPUTED_VALUE""")," Concord")</f>
        <v xml:space="preserve"> Concord</v>
      </c>
      <c r="L1258" s="2" t="str">
        <f ca="1">IFERROR(__xludf.DUMMYFUNCTION("""COMPUTED_VALUE""")," CA 94521")</f>
        <v xml:space="preserve"> CA 94521</v>
      </c>
      <c r="M1258" s="2" t="str">
        <f ca="1">IFERROR(__xludf.DUMMYFUNCTION("""COMPUTED_VALUE""")," USA")</f>
        <v xml:space="preserve"> USA</v>
      </c>
      <c r="P1258" s="60"/>
    </row>
    <row r="1259" spans="1:16">
      <c r="A1259" s="65">
        <v>1258</v>
      </c>
      <c r="B1259" s="80" t="s">
        <v>7464</v>
      </c>
      <c r="C1259" s="65" t="s">
        <v>1050</v>
      </c>
      <c r="D1259" s="93" t="s">
        <v>7465</v>
      </c>
      <c r="E1259" s="48" t="str">
        <f t="shared" si="0"/>
        <v>Martinsburg</v>
      </c>
      <c r="F1259" s="83" t="str">
        <f t="shared" si="1"/>
        <v>Martinsburg,WV</v>
      </c>
      <c r="G1259" s="65" t="s">
        <v>7467</v>
      </c>
      <c r="H1259" s="65">
        <v>39.456209899999998</v>
      </c>
      <c r="I1259" s="65">
        <v>-77.963886899999991</v>
      </c>
      <c r="J1259" s="60" t="str">
        <f ca="1">IFERROR(__xludf.DUMMYFUNCTION("SPLIT(G1259,"","")"),"204 S Queen St")</f>
        <v>204 S Queen St</v>
      </c>
      <c r="K1259" s="2" t="str">
        <f ca="1">IFERROR(__xludf.DUMMYFUNCTION("""COMPUTED_VALUE""")," Martinsburg")</f>
        <v xml:space="preserve"> Martinsburg</v>
      </c>
      <c r="L1259" s="2" t="str">
        <f ca="1">IFERROR(__xludf.DUMMYFUNCTION("""COMPUTED_VALUE""")," WV 25401")</f>
        <v xml:space="preserve"> WV 25401</v>
      </c>
      <c r="M1259" s="2" t="str">
        <f ca="1">IFERROR(__xludf.DUMMYFUNCTION("""COMPUTED_VALUE""")," USA")</f>
        <v xml:space="preserve"> USA</v>
      </c>
      <c r="P1259" s="60"/>
    </row>
    <row r="1260" spans="1:16">
      <c r="A1260" s="60">
        <v>1259</v>
      </c>
      <c r="B1260" s="79" t="s">
        <v>7470</v>
      </c>
      <c r="C1260" s="60" t="s">
        <v>69</v>
      </c>
      <c r="D1260" s="93" t="s">
        <v>670</v>
      </c>
      <c r="E1260" s="48" t="str">
        <f t="shared" si="0"/>
        <v>Birmingham</v>
      </c>
      <c r="F1260" s="83" t="str">
        <f t="shared" si="1"/>
        <v>Wenonah (Birmingham),AL</v>
      </c>
      <c r="G1260" s="60" t="s">
        <v>7472</v>
      </c>
      <c r="H1260" s="60">
        <v>33.4395527</v>
      </c>
      <c r="I1260" s="60">
        <v>-86.896102599999992</v>
      </c>
      <c r="J1260" s="60" t="str">
        <f ca="1">IFERROR(__xludf.DUMMYFUNCTION("SPLIT(G1260,"","")"),"4400 Doby Ave SW")</f>
        <v>4400 Doby Ave SW</v>
      </c>
      <c r="K1260" s="2" t="str">
        <f ca="1">IFERROR(__xludf.DUMMYFUNCTION("""COMPUTED_VALUE""")," Birmingham")</f>
        <v xml:space="preserve"> Birmingham</v>
      </c>
      <c r="L1260" s="2" t="str">
        <f ca="1">IFERROR(__xludf.DUMMYFUNCTION("""COMPUTED_VALUE""")," AL 35221")</f>
        <v xml:space="preserve"> AL 35221</v>
      </c>
      <c r="M1260" s="2" t="str">
        <f ca="1">IFERROR(__xludf.DUMMYFUNCTION("""COMPUTED_VALUE""")," USA")</f>
        <v xml:space="preserve"> USA</v>
      </c>
      <c r="P1260" s="60"/>
    </row>
    <row r="1261" spans="1:16">
      <c r="A1261" s="65">
        <v>1260</v>
      </c>
      <c r="B1261" s="80" t="s">
        <v>7476</v>
      </c>
      <c r="C1261" s="65" t="s">
        <v>590</v>
      </c>
      <c r="D1261" s="93" t="s">
        <v>7478</v>
      </c>
      <c r="E1261" s="48" t="str">
        <f t="shared" si="0"/>
        <v>Bel Air</v>
      </c>
      <c r="F1261" s="83" t="str">
        <f t="shared" si="1"/>
        <v>John Carroll (Bel Air),MD</v>
      </c>
      <c r="G1261" s="65" t="s">
        <v>7480</v>
      </c>
      <c r="H1261" s="65">
        <v>39.538837399999998</v>
      </c>
      <c r="I1261" s="65">
        <v>-76.332992500000003</v>
      </c>
      <c r="J1261" s="60" t="str">
        <f ca="1">IFERROR(__xludf.DUMMYFUNCTION("SPLIT(G1261,"","")"),"703 E Churchville Rd")</f>
        <v>703 E Churchville Rd</v>
      </c>
      <c r="K1261" s="2" t="str">
        <f ca="1">IFERROR(__xludf.DUMMYFUNCTION("""COMPUTED_VALUE""")," Bel Air")</f>
        <v xml:space="preserve"> Bel Air</v>
      </c>
      <c r="L1261" s="2" t="str">
        <f ca="1">IFERROR(__xludf.DUMMYFUNCTION("""COMPUTED_VALUE""")," MD 21014")</f>
        <v xml:space="preserve"> MD 21014</v>
      </c>
      <c r="M1261" s="2" t="str">
        <f ca="1">IFERROR(__xludf.DUMMYFUNCTION("""COMPUTED_VALUE""")," USA")</f>
        <v xml:space="preserve"> USA</v>
      </c>
      <c r="P1261" s="60"/>
    </row>
    <row r="1262" spans="1:16">
      <c r="A1262" s="60">
        <v>1261</v>
      </c>
      <c r="B1262" s="79" t="s">
        <v>7483</v>
      </c>
      <c r="C1262" s="60" t="s">
        <v>737</v>
      </c>
      <c r="D1262" s="93" t="s">
        <v>7484</v>
      </c>
      <c r="E1262" s="48" t="str">
        <f t="shared" si="0"/>
        <v>Monmouth Junction</v>
      </c>
      <c r="F1262" s="83" t="str">
        <f t="shared" si="1"/>
        <v>South Brunswick (Monmouth Junction),NJ</v>
      </c>
      <c r="G1262" s="60" t="s">
        <v>7485</v>
      </c>
      <c r="H1262" s="60">
        <v>40.378995699999997</v>
      </c>
      <c r="I1262" s="60">
        <v>-74.546543599999993</v>
      </c>
      <c r="J1262" s="60" t="str">
        <f ca="1">IFERROR(__xludf.DUMMYFUNCTION("SPLIT(G1262,"","")"),"619 Ridge Rd")</f>
        <v>619 Ridge Rd</v>
      </c>
      <c r="K1262" s="2" t="str">
        <f ca="1">IFERROR(__xludf.DUMMYFUNCTION("""COMPUTED_VALUE""")," Monmouth Junction")</f>
        <v xml:space="preserve"> Monmouth Junction</v>
      </c>
      <c r="L1262" s="2" t="str">
        <f ca="1">IFERROR(__xludf.DUMMYFUNCTION("""COMPUTED_VALUE""")," NJ 08852")</f>
        <v xml:space="preserve"> NJ 08852</v>
      </c>
      <c r="M1262" s="2" t="str">
        <f ca="1">IFERROR(__xludf.DUMMYFUNCTION("""COMPUTED_VALUE""")," USA")</f>
        <v xml:space="preserve"> USA</v>
      </c>
      <c r="P1262" s="60"/>
    </row>
    <row r="1263" spans="1:16">
      <c r="A1263" s="65">
        <v>1262</v>
      </c>
      <c r="B1263" s="80" t="s">
        <v>7488</v>
      </c>
      <c r="C1263" s="65" t="s">
        <v>682</v>
      </c>
      <c r="D1263" s="93" t="s">
        <v>7489</v>
      </c>
      <c r="E1263" s="48" t="str">
        <f t="shared" si="0"/>
        <v>DeForest</v>
      </c>
      <c r="F1263" s="83" t="str">
        <f t="shared" si="1"/>
        <v>DeForest,WI</v>
      </c>
      <c r="G1263" s="65" t="s">
        <v>7490</v>
      </c>
      <c r="H1263" s="65">
        <v>43.247768499999999</v>
      </c>
      <c r="I1263" s="65">
        <v>-89.343727000000001</v>
      </c>
      <c r="J1263" s="60" t="str">
        <f ca="1">IFERROR(__xludf.DUMMYFUNCTION("SPLIT(G1263,"","")"),"100 E Holum St")</f>
        <v>100 E Holum St</v>
      </c>
      <c r="K1263" s="2" t="str">
        <f ca="1">IFERROR(__xludf.DUMMYFUNCTION("""COMPUTED_VALUE""")," DeForest")</f>
        <v xml:space="preserve"> DeForest</v>
      </c>
      <c r="L1263" s="2" t="str">
        <f ca="1">IFERROR(__xludf.DUMMYFUNCTION("""COMPUTED_VALUE""")," WI 53532")</f>
        <v xml:space="preserve"> WI 53532</v>
      </c>
      <c r="M1263" s="2" t="str">
        <f ca="1">IFERROR(__xludf.DUMMYFUNCTION("""COMPUTED_VALUE""")," USA")</f>
        <v xml:space="preserve"> USA</v>
      </c>
      <c r="P1263" s="60"/>
    </row>
    <row r="1264" spans="1:16">
      <c r="A1264" s="60">
        <v>1263</v>
      </c>
      <c r="B1264" s="79" t="s">
        <v>7494</v>
      </c>
      <c r="C1264" s="60" t="s">
        <v>1039</v>
      </c>
      <c r="D1264" s="93" t="s">
        <v>7495</v>
      </c>
      <c r="E1264" s="48" t="str">
        <f t="shared" si="0"/>
        <v>Beverly</v>
      </c>
      <c r="F1264" s="83" t="str">
        <f t="shared" si="1"/>
        <v>Beverly,MA</v>
      </c>
      <c r="G1264" s="60" t="s">
        <v>7497</v>
      </c>
      <c r="H1264" s="60">
        <v>42.558428300000003</v>
      </c>
      <c r="I1264" s="60">
        <v>-70.880049</v>
      </c>
      <c r="J1264" s="60" t="str">
        <f ca="1">IFERROR(__xludf.DUMMYFUNCTION("SPLIT(G1264,"","")"),"6 Sohier Rd")</f>
        <v>6 Sohier Rd</v>
      </c>
      <c r="K1264" s="2" t="str">
        <f ca="1">IFERROR(__xludf.DUMMYFUNCTION("""COMPUTED_VALUE""")," Beverly")</f>
        <v xml:space="preserve"> Beverly</v>
      </c>
      <c r="L1264" s="2" t="str">
        <f ca="1">IFERROR(__xludf.DUMMYFUNCTION("""COMPUTED_VALUE""")," MA 01915")</f>
        <v xml:space="preserve"> MA 01915</v>
      </c>
      <c r="M1264" s="2" t="str">
        <f ca="1">IFERROR(__xludf.DUMMYFUNCTION("""COMPUTED_VALUE""")," USA")</f>
        <v xml:space="preserve"> USA</v>
      </c>
      <c r="P1264" s="60"/>
    </row>
    <row r="1265" spans="1:17">
      <c r="A1265" s="65">
        <v>1264</v>
      </c>
      <c r="B1265" s="80" t="s">
        <v>7499</v>
      </c>
      <c r="C1265" s="65" t="s">
        <v>191</v>
      </c>
      <c r="D1265" s="93" t="s">
        <v>7500</v>
      </c>
      <c r="E1265" s="48" t="str">
        <f t="shared" si="0"/>
        <v>Frankenmuth</v>
      </c>
      <c r="F1265" s="83" t="str">
        <f t="shared" si="1"/>
        <v>Frankenmuth,MI</v>
      </c>
      <c r="G1265" s="65" t="s">
        <v>7502</v>
      </c>
      <c r="H1265" s="65">
        <v>43.331690999999999</v>
      </c>
      <c r="I1265" s="65">
        <v>-83.738019399999999</v>
      </c>
      <c r="J1265" s="60" t="str">
        <f ca="1">IFERROR(__xludf.DUMMYFUNCTION("SPLIT(G1265,"","")"),"357 S Main St")</f>
        <v>357 S Main St</v>
      </c>
      <c r="K1265" s="2" t="str">
        <f ca="1">IFERROR(__xludf.DUMMYFUNCTION("""COMPUTED_VALUE""")," Frankenmuth")</f>
        <v xml:space="preserve"> Frankenmuth</v>
      </c>
      <c r="L1265" s="2" t="str">
        <f ca="1">IFERROR(__xludf.DUMMYFUNCTION("""COMPUTED_VALUE""")," MI 48734")</f>
        <v xml:space="preserve"> MI 48734</v>
      </c>
      <c r="M1265" s="2" t="str">
        <f ca="1">IFERROR(__xludf.DUMMYFUNCTION("""COMPUTED_VALUE""")," USA")</f>
        <v xml:space="preserve"> USA</v>
      </c>
      <c r="P1265" s="60"/>
    </row>
    <row r="1266" spans="1:17">
      <c r="A1266" s="60">
        <v>1265</v>
      </c>
      <c r="B1266" s="79" t="s">
        <v>7506</v>
      </c>
      <c r="C1266" s="60" t="s">
        <v>602</v>
      </c>
      <c r="D1266" s="93" t="s">
        <v>7507</v>
      </c>
      <c r="E1266" s="48" t="str">
        <f t="shared" si="0"/>
        <v>Burke</v>
      </c>
      <c r="F1266" s="83" t="str">
        <f t="shared" si="1"/>
        <v>Lake Braddock (Burke),VA</v>
      </c>
      <c r="G1266" s="60" t="s">
        <v>7508</v>
      </c>
      <c r="H1266" s="60">
        <v>38.8010965</v>
      </c>
      <c r="I1266" s="60">
        <v>-77.271764199999993</v>
      </c>
      <c r="J1266" s="60" t="str">
        <f ca="1">IFERROR(__xludf.DUMMYFUNCTION("SPLIT(G1266,"","")"),"5420 Midship Ct")</f>
        <v>5420 Midship Ct</v>
      </c>
      <c r="K1266" s="2" t="str">
        <f ca="1">IFERROR(__xludf.DUMMYFUNCTION("""COMPUTED_VALUE""")," Burke")</f>
        <v xml:space="preserve"> Burke</v>
      </c>
      <c r="L1266" s="2" t="str">
        <f ca="1">IFERROR(__xludf.DUMMYFUNCTION("""COMPUTED_VALUE""")," VA 22015")</f>
        <v xml:space="preserve"> VA 22015</v>
      </c>
      <c r="M1266" s="2" t="str">
        <f ca="1">IFERROR(__xludf.DUMMYFUNCTION("""COMPUTED_VALUE""")," USA")</f>
        <v xml:space="preserve"> USA</v>
      </c>
      <c r="P1266" s="60"/>
    </row>
    <row r="1267" spans="1:17">
      <c r="A1267" s="65">
        <v>1266</v>
      </c>
      <c r="B1267" s="80" t="s">
        <v>7512</v>
      </c>
      <c r="C1267" s="65" t="s">
        <v>897</v>
      </c>
      <c r="D1267" s="93" t="s">
        <v>7514</v>
      </c>
      <c r="E1267" s="48" t="str">
        <f t="shared" si="0"/>
        <v>Republic</v>
      </c>
      <c r="F1267" s="83" t="str">
        <f t="shared" si="1"/>
        <v>Republic,MO</v>
      </c>
      <c r="G1267" s="65" t="s">
        <v>7516</v>
      </c>
      <c r="H1267" s="65">
        <v>37.120052600000001</v>
      </c>
      <c r="I1267" s="65">
        <v>-93.4801942</v>
      </c>
      <c r="J1267" s="60" t="str">
        <f ca="1">IFERROR(__xludf.DUMMYFUNCTION("SPLIT(G1267,"","")"),"202 N Main St")</f>
        <v>202 N Main St</v>
      </c>
      <c r="K1267" s="2" t="str">
        <f ca="1">IFERROR(__xludf.DUMMYFUNCTION("""COMPUTED_VALUE""")," Republic")</f>
        <v xml:space="preserve"> Republic</v>
      </c>
      <c r="L1267" s="2" t="str">
        <f ca="1">IFERROR(__xludf.DUMMYFUNCTION("""COMPUTED_VALUE""")," MO 65738")</f>
        <v xml:space="preserve"> MO 65738</v>
      </c>
      <c r="M1267" s="2" t="str">
        <f ca="1">IFERROR(__xludf.DUMMYFUNCTION("""COMPUTED_VALUE""")," USA")</f>
        <v xml:space="preserve"> USA</v>
      </c>
      <c r="P1267" s="60"/>
    </row>
    <row r="1268" spans="1:17">
      <c r="A1268" s="60">
        <v>1267</v>
      </c>
      <c r="B1268" s="79" t="s">
        <v>7518</v>
      </c>
      <c r="C1268" s="60" t="s">
        <v>598</v>
      </c>
      <c r="D1268" s="93" t="s">
        <v>7520</v>
      </c>
      <c r="E1268" s="48" t="str">
        <f t="shared" si="0"/>
        <v>Douglasville</v>
      </c>
      <c r="F1268" s="83" t="str">
        <f t="shared" si="1"/>
        <v>Douglas County (Douglasville),GA</v>
      </c>
      <c r="G1268" s="60" t="s">
        <v>7521</v>
      </c>
      <c r="H1268" s="60">
        <v>33.751496600000003</v>
      </c>
      <c r="I1268" s="60">
        <v>-84.747713599999997</v>
      </c>
      <c r="J1268" s="60" t="str">
        <f ca="1">IFERROR(__xludf.DUMMYFUNCTION("SPLIT(G1268,"","")"),"12333 GA-8")</f>
        <v>12333 GA-8</v>
      </c>
      <c r="K1268" s="2" t="str">
        <f ca="1">IFERROR(__xludf.DUMMYFUNCTION("""COMPUTED_VALUE""")," Douglasville")</f>
        <v xml:space="preserve"> Douglasville</v>
      </c>
      <c r="L1268" s="2" t="str">
        <f ca="1">IFERROR(__xludf.DUMMYFUNCTION("""COMPUTED_VALUE""")," GA 30134")</f>
        <v xml:space="preserve"> GA 30134</v>
      </c>
      <c r="M1268" s="2" t="str">
        <f ca="1">IFERROR(__xludf.DUMMYFUNCTION("""COMPUTED_VALUE""")," USA")</f>
        <v xml:space="preserve"> USA</v>
      </c>
      <c r="P1268" s="60"/>
    </row>
    <row r="1269" spans="1:17">
      <c r="A1269" s="65">
        <v>1268</v>
      </c>
      <c r="B1269" s="80" t="s">
        <v>7525</v>
      </c>
      <c r="C1269" s="65" t="s">
        <v>183</v>
      </c>
      <c r="D1269" s="93" t="s">
        <v>7526</v>
      </c>
      <c r="E1269" s="48" t="str">
        <f t="shared" si="0"/>
        <v>Hastings-On-Hudson</v>
      </c>
      <c r="F1269" s="83" t="str">
        <f t="shared" si="1"/>
        <v>Hastings (Hastings on Hudson),NY</v>
      </c>
      <c r="G1269" s="65" t="s">
        <v>7527</v>
      </c>
      <c r="H1269" s="65">
        <v>40.988154899999998</v>
      </c>
      <c r="I1269" s="65">
        <v>-73.881027799999998</v>
      </c>
      <c r="J1269" s="60" t="str">
        <f ca="1">IFERROR(__xludf.DUMMYFUNCTION("SPLIT(G1269,"","")"),"216 Broadway")</f>
        <v>216 Broadway</v>
      </c>
      <c r="K1269" s="2" t="str">
        <f ca="1">IFERROR(__xludf.DUMMYFUNCTION("""COMPUTED_VALUE""")," Hastings-On-Hudson")</f>
        <v xml:space="preserve"> Hastings-On-Hudson</v>
      </c>
      <c r="L1269" s="2" t="str">
        <f ca="1">IFERROR(__xludf.DUMMYFUNCTION("""COMPUTED_VALUE""")," NY 10706")</f>
        <v xml:space="preserve"> NY 10706</v>
      </c>
      <c r="M1269" s="2" t="str">
        <f ca="1">IFERROR(__xludf.DUMMYFUNCTION("""COMPUTED_VALUE""")," USA")</f>
        <v xml:space="preserve"> USA</v>
      </c>
      <c r="P1269" s="60"/>
    </row>
    <row r="1270" spans="1:17">
      <c r="A1270" s="60">
        <v>1269</v>
      </c>
      <c r="B1270" s="79" t="s">
        <v>7532</v>
      </c>
      <c r="C1270" s="60" t="s">
        <v>675</v>
      </c>
      <c r="D1270" s="93" t="s">
        <v>7533</v>
      </c>
      <c r="E1270" s="48" t="str">
        <f t="shared" si="0"/>
        <v>Kennett Square</v>
      </c>
      <c r="F1270" s="83" t="str">
        <f t="shared" si="1"/>
        <v>Unionville (Kennett Square),PA</v>
      </c>
      <c r="G1270" s="60" t="s">
        <v>7536</v>
      </c>
      <c r="H1270" s="60">
        <v>39.883611100000003</v>
      </c>
      <c r="I1270" s="60">
        <v>-75.720555599999997</v>
      </c>
      <c r="J1270" s="60" t="str">
        <f ca="1">IFERROR(__xludf.DUMMYFUNCTION("SPLIT(G1270,"","")"),"740 Unionville Rd")</f>
        <v>740 Unionville Rd</v>
      </c>
      <c r="K1270" s="2" t="str">
        <f ca="1">IFERROR(__xludf.DUMMYFUNCTION("""COMPUTED_VALUE""")," Kennett Square")</f>
        <v xml:space="preserve"> Kennett Square</v>
      </c>
      <c r="L1270" s="2" t="str">
        <f ca="1">IFERROR(__xludf.DUMMYFUNCTION("""COMPUTED_VALUE""")," PA 19348")</f>
        <v xml:space="preserve"> PA 19348</v>
      </c>
      <c r="M1270" s="2" t="str">
        <f ca="1">IFERROR(__xludf.DUMMYFUNCTION("""COMPUTED_VALUE""")," USA")</f>
        <v xml:space="preserve"> USA</v>
      </c>
      <c r="P1270" s="60"/>
    </row>
    <row r="1271" spans="1:17">
      <c r="A1271" s="65">
        <v>1270</v>
      </c>
      <c r="B1271" s="80" t="s">
        <v>7537</v>
      </c>
      <c r="C1271" s="65" t="s">
        <v>618</v>
      </c>
      <c r="D1271" s="93" t="s">
        <v>7539</v>
      </c>
      <c r="E1271" s="48" t="str">
        <f t="shared" si="0"/>
        <v>Evansville</v>
      </c>
      <c r="F1271" s="83" t="str">
        <f t="shared" si="1"/>
        <v>Evansville Reitz (Evansville),IN</v>
      </c>
      <c r="G1271" s="65" t="s">
        <v>7540</v>
      </c>
      <c r="H1271" s="65">
        <v>37.972237200000002</v>
      </c>
      <c r="I1271" s="65">
        <v>-87.6059032</v>
      </c>
      <c r="J1271" s="60" t="str">
        <f ca="1">IFERROR(__xludf.DUMMYFUNCTION("SPLIT(G1271,"","")"),"350 Dreier Blvd")</f>
        <v>350 Dreier Blvd</v>
      </c>
      <c r="K1271" s="2" t="str">
        <f ca="1">IFERROR(__xludf.DUMMYFUNCTION("""COMPUTED_VALUE""")," Evansville")</f>
        <v xml:space="preserve"> Evansville</v>
      </c>
      <c r="L1271" s="2" t="str">
        <f ca="1">IFERROR(__xludf.DUMMYFUNCTION("""COMPUTED_VALUE""")," IN 47712")</f>
        <v xml:space="preserve"> IN 47712</v>
      </c>
      <c r="M1271" s="2" t="str">
        <f ca="1">IFERROR(__xludf.DUMMYFUNCTION("""COMPUTED_VALUE""")," USA")</f>
        <v xml:space="preserve"> USA</v>
      </c>
      <c r="P1271" s="60"/>
    </row>
    <row r="1272" spans="1:17">
      <c r="A1272" s="60">
        <v>1271</v>
      </c>
      <c r="B1272" s="79" t="s">
        <v>61</v>
      </c>
      <c r="C1272" s="60" t="s">
        <v>183</v>
      </c>
      <c r="D1272" s="93" t="s">
        <v>663</v>
      </c>
      <c r="E1272" s="48" t="str">
        <f t="shared" si="0"/>
        <v>Lancaster</v>
      </c>
      <c r="F1272" s="83" t="str">
        <f t="shared" si="1"/>
        <v>Lancaster,NY</v>
      </c>
      <c r="G1272" s="60" t="s">
        <v>7544</v>
      </c>
      <c r="H1272" s="60">
        <v>42.900614400000002</v>
      </c>
      <c r="I1272" s="60">
        <v>-78.670306199999999</v>
      </c>
      <c r="J1272" s="60" t="str">
        <f ca="1">IFERROR(__xludf.DUMMYFUNCTION("SPLIT(G1272,"","")"),"Central Ave &amp; Broadway")</f>
        <v>Central Ave &amp; Broadway</v>
      </c>
      <c r="K1272" s="2" t="str">
        <f ca="1">IFERROR(__xludf.DUMMYFUNCTION("""COMPUTED_VALUE""")," Lancaster")</f>
        <v xml:space="preserve"> Lancaster</v>
      </c>
      <c r="L1272" s="2" t="str">
        <f ca="1">IFERROR(__xludf.DUMMYFUNCTION("""COMPUTED_VALUE""")," NY 14086")</f>
        <v xml:space="preserve"> NY 14086</v>
      </c>
      <c r="M1272" s="2" t="str">
        <f ca="1">IFERROR(__xludf.DUMMYFUNCTION("""COMPUTED_VALUE""")," USA")</f>
        <v xml:space="preserve"> USA</v>
      </c>
      <c r="P1272" s="60"/>
    </row>
    <row r="1273" spans="1:17">
      <c r="A1273" s="65">
        <v>1272</v>
      </c>
      <c r="B1273" s="80" t="s">
        <v>7550</v>
      </c>
      <c r="C1273" s="65" t="s">
        <v>595</v>
      </c>
      <c r="D1273" s="93" t="s">
        <v>3112</v>
      </c>
      <c r="E1273" s="48" t="str">
        <f t="shared" si="0"/>
        <v>Amarillo</v>
      </c>
      <c r="F1273" s="83" t="str">
        <f t="shared" si="1"/>
        <v>Palo Duro (Amarillo),TX</v>
      </c>
      <c r="G1273" s="65" t="s">
        <v>7552</v>
      </c>
      <c r="H1273" s="65">
        <v>35.227778000000001</v>
      </c>
      <c r="I1273" s="65">
        <v>-101.823252</v>
      </c>
      <c r="J1273" s="60" t="str">
        <f ca="1">IFERROR(__xludf.DUMMYFUNCTION("SPLIT(G1273,"","")"),"1400 N Grant St")</f>
        <v>1400 N Grant St</v>
      </c>
      <c r="K1273" s="2" t="str">
        <f ca="1">IFERROR(__xludf.DUMMYFUNCTION("""COMPUTED_VALUE""")," Amarillo")</f>
        <v xml:space="preserve"> Amarillo</v>
      </c>
      <c r="L1273" s="2" t="str">
        <f ca="1">IFERROR(__xludf.DUMMYFUNCTION("""COMPUTED_VALUE""")," TX 79107")</f>
        <v xml:space="preserve"> TX 79107</v>
      </c>
      <c r="M1273" s="2" t="str">
        <f ca="1">IFERROR(__xludf.DUMMYFUNCTION("""COMPUTED_VALUE""")," USA")</f>
        <v xml:space="preserve"> USA</v>
      </c>
      <c r="P1273" s="60"/>
    </row>
    <row r="1274" spans="1:17">
      <c r="A1274" s="60">
        <v>1273</v>
      </c>
      <c r="B1274" s="79" t="s">
        <v>7555</v>
      </c>
      <c r="C1274" s="60" t="s">
        <v>1039</v>
      </c>
      <c r="D1274" s="93" t="s">
        <v>7556</v>
      </c>
      <c r="E1274" s="48" t="str">
        <f t="shared" si="0"/>
        <v>Brockton</v>
      </c>
      <c r="F1274" s="83" t="str">
        <f t="shared" si="1"/>
        <v>Brockton,MA</v>
      </c>
      <c r="G1274" s="60" t="s">
        <v>7557</v>
      </c>
      <c r="H1274" s="60">
        <v>42.083433499999998</v>
      </c>
      <c r="I1274" s="60">
        <v>-71.0183787</v>
      </c>
      <c r="J1274" s="60" t="str">
        <f ca="1">IFERROR(__xludf.DUMMYFUNCTION("SPLIT(G1274,"","")"),"34 School St")</f>
        <v>34 School St</v>
      </c>
      <c r="K1274" s="2" t="str">
        <f ca="1">IFERROR(__xludf.DUMMYFUNCTION("""COMPUTED_VALUE""")," Brockton")</f>
        <v xml:space="preserve"> Brockton</v>
      </c>
      <c r="L1274" s="2" t="str">
        <f ca="1">IFERROR(__xludf.DUMMYFUNCTION("""COMPUTED_VALUE""")," MA 02301")</f>
        <v xml:space="preserve"> MA 02301</v>
      </c>
      <c r="M1274" s="2" t="str">
        <f ca="1">IFERROR(__xludf.DUMMYFUNCTION("""COMPUTED_VALUE""")," USA")</f>
        <v xml:space="preserve"> USA</v>
      </c>
      <c r="P1274" s="60"/>
    </row>
    <row r="1275" spans="1:17">
      <c r="A1275" s="65">
        <v>1274</v>
      </c>
      <c r="B1275" s="80" t="s">
        <v>7560</v>
      </c>
      <c r="C1275" s="65" t="s">
        <v>588</v>
      </c>
      <c r="D1275" s="93" t="s">
        <v>7561</v>
      </c>
      <c r="E1275" s="48" t="str">
        <f t="shared" si="0"/>
        <v>Kentfield</v>
      </c>
      <c r="F1275" s="83" t="str">
        <f t="shared" si="1"/>
        <v>Marin Catholic (Kentfield),CA</v>
      </c>
      <c r="G1275" s="65" t="s">
        <v>7563</v>
      </c>
      <c r="H1275" s="65">
        <v>37.951205799999997</v>
      </c>
      <c r="I1275" s="65">
        <v>-122.53655689999999</v>
      </c>
      <c r="J1275" s="60" t="str">
        <f ca="1">IFERROR(__xludf.DUMMYFUNCTION("SPLIT(G1275,"","")"),"675 Sir Francis Drake Blvd")</f>
        <v>675 Sir Francis Drake Blvd</v>
      </c>
      <c r="K1275" s="2" t="str">
        <f ca="1">IFERROR(__xludf.DUMMYFUNCTION("""COMPUTED_VALUE""")," Kentfield")</f>
        <v xml:space="preserve"> Kentfield</v>
      </c>
      <c r="L1275" s="2" t="str">
        <f ca="1">IFERROR(__xludf.DUMMYFUNCTION("""COMPUTED_VALUE""")," CA 94904")</f>
        <v xml:space="preserve"> CA 94904</v>
      </c>
      <c r="M1275" s="2" t="str">
        <f ca="1">IFERROR(__xludf.DUMMYFUNCTION("""COMPUTED_VALUE""")," USA")</f>
        <v xml:space="preserve"> USA</v>
      </c>
      <c r="P1275" s="60"/>
    </row>
    <row r="1276" spans="1:17">
      <c r="A1276" s="97">
        <v>1275</v>
      </c>
      <c r="B1276" s="99" t="s">
        <v>7567</v>
      </c>
      <c r="C1276" s="97" t="s">
        <v>745</v>
      </c>
      <c r="D1276" s="93" t="s">
        <v>3324</v>
      </c>
      <c r="E1276" s="48" t="str">
        <f t="shared" si="0"/>
        <v>Tacoma</v>
      </c>
      <c r="F1276" s="83" t="str">
        <f t="shared" si="1"/>
        <v>Life Christian Academy (Tacoma),WA</v>
      </c>
      <c r="G1276" s="97" t="s">
        <v>7570</v>
      </c>
      <c r="H1276" s="97">
        <v>47.244264999999999</v>
      </c>
      <c r="I1276" s="97">
        <v>-122.48151300000001</v>
      </c>
      <c r="J1276" s="60" t="str">
        <f ca="1">IFERROR(__xludf.DUMMYFUNCTION("SPLIT(G1276,"","")"),"1717 S Union Ave")</f>
        <v>1717 S Union Ave</v>
      </c>
      <c r="K1276" s="2" t="str">
        <f ca="1">IFERROR(__xludf.DUMMYFUNCTION("""COMPUTED_VALUE""")," Tacoma")</f>
        <v xml:space="preserve"> Tacoma</v>
      </c>
      <c r="L1276" s="2" t="str">
        <f ca="1">IFERROR(__xludf.DUMMYFUNCTION("""COMPUTED_VALUE""")," WA 98405")</f>
        <v xml:space="preserve"> WA 98405</v>
      </c>
      <c r="M1276" s="2" t="str">
        <f ca="1">IFERROR(__xludf.DUMMYFUNCTION("""COMPUTED_VALUE""")," USA")</f>
        <v xml:space="preserve"> USA</v>
      </c>
      <c r="P1276" s="60"/>
    </row>
    <row r="1277" spans="1:17">
      <c r="A1277" s="60">
        <v>1276</v>
      </c>
      <c r="B1277" s="79" t="s">
        <v>7574</v>
      </c>
      <c r="C1277" s="60" t="s">
        <v>183</v>
      </c>
      <c r="D1277" s="60" t="s">
        <v>7575</v>
      </c>
      <c r="E1277" s="48" t="str">
        <f t="shared" si="0"/>
        <v>Camillus</v>
      </c>
      <c r="F1277" s="83" t="str">
        <f t="shared" si="1"/>
        <v>West Genesee (Camillus),NY</v>
      </c>
      <c r="G1277" s="60" t="s">
        <v>7576</v>
      </c>
      <c r="H1277" s="60">
        <v>43.060048500000001</v>
      </c>
      <c r="I1277" s="60">
        <v>-76.294250699999992</v>
      </c>
      <c r="J1277" s="60" t="str">
        <f ca="1">IFERROR(__xludf.DUMMYFUNCTION("SPLIT(G1277,"","")"),"Camillus")</f>
        <v>Camillus</v>
      </c>
      <c r="K1277" s="2" t="str">
        <f ca="1">IFERROR(__xludf.DUMMYFUNCTION("""COMPUTED_VALUE""")," NY 13031")</f>
        <v xml:space="preserve"> NY 13031</v>
      </c>
      <c r="L1277" s="2" t="str">
        <f ca="1">IFERROR(__xludf.DUMMYFUNCTION("""COMPUTED_VALUE""")," USA")</f>
        <v xml:space="preserve"> USA</v>
      </c>
      <c r="P1277" s="60"/>
      <c r="Q1277" s="60"/>
    </row>
    <row r="1278" spans="1:17">
      <c r="A1278" s="65">
        <v>1277</v>
      </c>
      <c r="B1278" s="80" t="s">
        <v>7581</v>
      </c>
      <c r="C1278" s="65" t="s">
        <v>682</v>
      </c>
      <c r="D1278" s="93" t="s">
        <v>7582</v>
      </c>
      <c r="E1278" s="48" t="str">
        <f t="shared" si="0"/>
        <v>Stoughton</v>
      </c>
      <c r="F1278" s="83" t="str">
        <f t="shared" si="1"/>
        <v>Stoughton,WI</v>
      </c>
      <c r="G1278" s="65" t="s">
        <v>7585</v>
      </c>
      <c r="H1278" s="65">
        <v>42.916946200000012</v>
      </c>
      <c r="I1278" s="65">
        <v>-89.217893699999991</v>
      </c>
      <c r="J1278" s="60" t="str">
        <f ca="1">IFERROR(__xludf.DUMMYFUNCTION("SPLIT(G1278,"","")"),"308 E Main St")</f>
        <v>308 E Main St</v>
      </c>
      <c r="K1278" s="2" t="str">
        <f ca="1">IFERROR(__xludf.DUMMYFUNCTION("""COMPUTED_VALUE""")," Stoughton")</f>
        <v xml:space="preserve"> Stoughton</v>
      </c>
      <c r="L1278" s="2" t="str">
        <f ca="1">IFERROR(__xludf.DUMMYFUNCTION("""COMPUTED_VALUE""")," WI 53589")</f>
        <v xml:space="preserve"> WI 53589</v>
      </c>
      <c r="M1278" s="2" t="str">
        <f ca="1">IFERROR(__xludf.DUMMYFUNCTION("""COMPUTED_VALUE""")," USA")</f>
        <v xml:space="preserve"> USA</v>
      </c>
      <c r="P1278" s="60"/>
    </row>
    <row r="1279" spans="1:17">
      <c r="A1279" s="60">
        <v>1278</v>
      </c>
      <c r="B1279" s="79" t="s">
        <v>7588</v>
      </c>
      <c r="C1279" s="60" t="s">
        <v>174</v>
      </c>
      <c r="D1279" s="93" t="s">
        <v>6478</v>
      </c>
      <c r="E1279" s="48" t="str">
        <f t="shared" si="0"/>
        <v>Westerville</v>
      </c>
      <c r="F1279" s="83" t="str">
        <f t="shared" si="1"/>
        <v>Westerville South (Westerville),OH</v>
      </c>
      <c r="G1279" s="60" t="s">
        <v>7589</v>
      </c>
      <c r="H1279" s="60">
        <v>40.117868999999999</v>
      </c>
      <c r="I1279" s="60">
        <v>-82.923108499999998</v>
      </c>
      <c r="J1279" s="60" t="str">
        <f ca="1">IFERROR(__xludf.DUMMYFUNCTION("SPLIT(G1279,"","")"),"303 S Otterbein Ave")</f>
        <v>303 S Otterbein Ave</v>
      </c>
      <c r="K1279" s="2" t="str">
        <f ca="1">IFERROR(__xludf.DUMMYFUNCTION("""COMPUTED_VALUE""")," Westerville")</f>
        <v xml:space="preserve"> Westerville</v>
      </c>
      <c r="L1279" s="2" t="str">
        <f ca="1">IFERROR(__xludf.DUMMYFUNCTION("""COMPUTED_VALUE""")," OH 43081")</f>
        <v xml:space="preserve"> OH 43081</v>
      </c>
      <c r="M1279" s="2" t="str">
        <f ca="1">IFERROR(__xludf.DUMMYFUNCTION("""COMPUTED_VALUE""")," USA")</f>
        <v xml:space="preserve"> USA</v>
      </c>
      <c r="P1279" s="60"/>
    </row>
    <row r="1280" spans="1:17">
      <c r="A1280" s="65">
        <v>1279</v>
      </c>
      <c r="B1280" s="80" t="s">
        <v>7594</v>
      </c>
      <c r="C1280" s="65" t="s">
        <v>602</v>
      </c>
      <c r="D1280" s="93" t="s">
        <v>5531</v>
      </c>
      <c r="E1280" s="48" t="str">
        <f t="shared" si="0"/>
        <v>Chesapeake</v>
      </c>
      <c r="F1280" s="83" t="str">
        <f t="shared" si="1"/>
        <v>Oscar Smith (Chesapeake),VA</v>
      </c>
      <c r="G1280" s="65" t="s">
        <v>7595</v>
      </c>
      <c r="H1280" s="65">
        <v>36.740245700000003</v>
      </c>
      <c r="I1280" s="65">
        <v>-76.256403300000002</v>
      </c>
      <c r="J1280" s="60" t="str">
        <f ca="1">IFERROR(__xludf.DUMMYFUNCTION("SPLIT(G1280,"","")"),"1994 Tiger Dr")</f>
        <v>1994 Tiger Dr</v>
      </c>
      <c r="K1280" s="2" t="str">
        <f ca="1">IFERROR(__xludf.DUMMYFUNCTION("""COMPUTED_VALUE""")," Chesapeake")</f>
        <v xml:space="preserve"> Chesapeake</v>
      </c>
      <c r="L1280" s="2" t="str">
        <f ca="1">IFERROR(__xludf.DUMMYFUNCTION("""COMPUTED_VALUE""")," VA 23320")</f>
        <v xml:space="preserve"> VA 23320</v>
      </c>
      <c r="M1280" s="2" t="str">
        <f ca="1">IFERROR(__xludf.DUMMYFUNCTION("""COMPUTED_VALUE""")," USA")</f>
        <v xml:space="preserve"> USA</v>
      </c>
      <c r="P1280" s="60"/>
    </row>
    <row r="1281" spans="1:16">
      <c r="A1281" s="60">
        <v>1280</v>
      </c>
      <c r="B1281" s="79" t="s">
        <v>7598</v>
      </c>
      <c r="C1281" s="60" t="s">
        <v>588</v>
      </c>
      <c r="D1281" s="93" t="s">
        <v>7599</v>
      </c>
      <c r="E1281" s="48" t="str">
        <f t="shared" si="0"/>
        <v>La Crescenta-Montrose</v>
      </c>
      <c r="F1281" s="83" t="str">
        <f t="shared" si="1"/>
        <v>Crescenta Valley (La Crescenta),CA</v>
      </c>
      <c r="G1281" s="60" t="s">
        <v>7601</v>
      </c>
      <c r="H1281" s="60">
        <v>34.223719000000003</v>
      </c>
      <c r="I1281" s="60">
        <v>-118.2432021</v>
      </c>
      <c r="J1281" s="60" t="str">
        <f ca="1">IFERROR(__xludf.DUMMYFUNCTION("SPLIT(G1281,"","")"),"2900 Community Ave")</f>
        <v>2900 Community Ave</v>
      </c>
      <c r="K1281" s="2" t="str">
        <f ca="1">IFERROR(__xludf.DUMMYFUNCTION("""COMPUTED_VALUE""")," La Crescenta-Montrose")</f>
        <v xml:space="preserve"> La Crescenta-Montrose</v>
      </c>
      <c r="L1281" s="2" t="str">
        <f ca="1">IFERROR(__xludf.DUMMYFUNCTION("""COMPUTED_VALUE""")," CA 91214")</f>
        <v xml:space="preserve"> CA 91214</v>
      </c>
      <c r="M1281" s="2" t="str">
        <f ca="1">IFERROR(__xludf.DUMMYFUNCTION("""COMPUTED_VALUE""")," USA")</f>
        <v xml:space="preserve"> USA</v>
      </c>
      <c r="P1281" s="60"/>
    </row>
    <row r="1282" spans="1:16">
      <c r="A1282" s="65">
        <v>1281</v>
      </c>
      <c r="B1282" s="80" t="s">
        <v>7603</v>
      </c>
      <c r="C1282" s="65" t="s">
        <v>69</v>
      </c>
      <c r="D1282" s="93" t="s">
        <v>7605</v>
      </c>
      <c r="E1282" s="48" t="str">
        <f t="shared" si="0"/>
        <v>Pelham</v>
      </c>
      <c r="F1282" s="83" t="str">
        <f t="shared" si="1"/>
        <v>Oak Mountain (Birmingham),AL</v>
      </c>
      <c r="G1282" s="65" t="s">
        <v>7606</v>
      </c>
      <c r="H1282" s="65">
        <v>33.324730199999998</v>
      </c>
      <c r="I1282" s="65">
        <v>-86.759324899999996</v>
      </c>
      <c r="J1282" s="60" t="str">
        <f ca="1">IFERROR(__xludf.DUMMYFUNCTION("SPLIT(G1282,"","")"),"200 Terrace Dr")</f>
        <v>200 Terrace Dr</v>
      </c>
      <c r="K1282" s="2" t="str">
        <f ca="1">IFERROR(__xludf.DUMMYFUNCTION("""COMPUTED_VALUE""")," Pelham")</f>
        <v xml:space="preserve"> Pelham</v>
      </c>
      <c r="L1282" s="2" t="str">
        <f ca="1">IFERROR(__xludf.DUMMYFUNCTION("""COMPUTED_VALUE""")," AL 35124")</f>
        <v xml:space="preserve"> AL 35124</v>
      </c>
      <c r="M1282" s="2" t="str">
        <f ca="1">IFERROR(__xludf.DUMMYFUNCTION("""COMPUTED_VALUE""")," USA")</f>
        <v xml:space="preserve"> USA</v>
      </c>
      <c r="P1282" s="60"/>
    </row>
    <row r="1283" spans="1:16">
      <c r="A1283" s="60">
        <v>1282</v>
      </c>
      <c r="B1283" s="79" t="s">
        <v>7609</v>
      </c>
      <c r="C1283" s="60" t="s">
        <v>595</v>
      </c>
      <c r="D1283" s="93" t="s">
        <v>696</v>
      </c>
      <c r="E1283" s="48" t="str">
        <f t="shared" si="0"/>
        <v>Richmond</v>
      </c>
      <c r="F1283" s="83" t="str">
        <f t="shared" si="1"/>
        <v>Foster (Richmond),TX</v>
      </c>
      <c r="G1283" s="60" t="s">
        <v>7610</v>
      </c>
      <c r="H1283" s="60">
        <v>29.571369499999999</v>
      </c>
      <c r="I1283" s="60">
        <v>-95.758528599999991</v>
      </c>
      <c r="J1283" s="60" t="str">
        <f ca="1">IFERROR(__xludf.DUMMYFUNCTION("SPLIT(G1283,"","")"),"701 Foster Dr")</f>
        <v>701 Foster Dr</v>
      </c>
      <c r="K1283" s="2" t="str">
        <f ca="1">IFERROR(__xludf.DUMMYFUNCTION("""COMPUTED_VALUE""")," Richmond")</f>
        <v xml:space="preserve"> Richmond</v>
      </c>
      <c r="L1283" s="2" t="str">
        <f ca="1">IFERROR(__xludf.DUMMYFUNCTION("""COMPUTED_VALUE""")," TX 77469")</f>
        <v xml:space="preserve"> TX 77469</v>
      </c>
      <c r="M1283" s="2" t="str">
        <f ca="1">IFERROR(__xludf.DUMMYFUNCTION("""COMPUTED_VALUE""")," USA")</f>
        <v xml:space="preserve"> USA</v>
      </c>
      <c r="P1283" s="60"/>
    </row>
    <row r="1284" spans="1:16">
      <c r="A1284" s="65">
        <v>1283</v>
      </c>
      <c r="B1284" s="80" t="s">
        <v>886</v>
      </c>
      <c r="C1284" s="65" t="s">
        <v>682</v>
      </c>
      <c r="D1284" s="93" t="s">
        <v>859</v>
      </c>
      <c r="E1284" s="48" t="str">
        <f t="shared" si="0"/>
        <v>Hudson</v>
      </c>
      <c r="F1284" s="83" t="str">
        <f t="shared" si="1"/>
        <v>Hudson,WI</v>
      </c>
      <c r="G1284" s="65" t="s">
        <v>7613</v>
      </c>
      <c r="H1284" s="65">
        <v>44.974689599999998</v>
      </c>
      <c r="I1284" s="65">
        <v>-92.756870300000003</v>
      </c>
      <c r="J1284" s="60" t="str">
        <f ca="1">IFERROR(__xludf.DUMMYFUNCTION("SPLIT(G1284,"","")"),"424 2nd St")</f>
        <v>424 2nd St</v>
      </c>
      <c r="K1284" s="2" t="str">
        <f ca="1">IFERROR(__xludf.DUMMYFUNCTION("""COMPUTED_VALUE""")," Hudson")</f>
        <v xml:space="preserve"> Hudson</v>
      </c>
      <c r="L1284" s="2" t="str">
        <f ca="1">IFERROR(__xludf.DUMMYFUNCTION("""COMPUTED_VALUE""")," WI 54016")</f>
        <v xml:space="preserve"> WI 54016</v>
      </c>
      <c r="M1284" s="2" t="str">
        <f ca="1">IFERROR(__xludf.DUMMYFUNCTION("""COMPUTED_VALUE""")," USA")</f>
        <v xml:space="preserve"> USA</v>
      </c>
      <c r="P1284" s="60"/>
    </row>
    <row r="1285" spans="1:16">
      <c r="A1285" s="60">
        <v>1284</v>
      </c>
      <c r="B1285" s="79" t="s">
        <v>7616</v>
      </c>
      <c r="C1285" s="60" t="s">
        <v>598</v>
      </c>
      <c r="D1285" s="93" t="s">
        <v>3078</v>
      </c>
      <c r="E1285" s="48" t="str">
        <f t="shared" si="0"/>
        <v>Decatur</v>
      </c>
      <c r="F1285" s="83" t="str">
        <f t="shared" si="1"/>
        <v>Southwest DeKalb (Decatur),GA</v>
      </c>
      <c r="G1285" s="60" t="s">
        <v>7618</v>
      </c>
      <c r="H1285" s="60">
        <v>33.7022896</v>
      </c>
      <c r="I1285" s="60">
        <v>-84.224339299999997</v>
      </c>
      <c r="J1285" s="60" t="str">
        <f ca="1">IFERROR(__xludf.DUMMYFUNCTION("SPLIT(G1285,"","")"),"2863 Kelley Chapel Rd")</f>
        <v>2863 Kelley Chapel Rd</v>
      </c>
      <c r="K1285" s="2" t="str">
        <f ca="1">IFERROR(__xludf.DUMMYFUNCTION("""COMPUTED_VALUE""")," Decatur")</f>
        <v xml:space="preserve"> Decatur</v>
      </c>
      <c r="L1285" s="2" t="str">
        <f ca="1">IFERROR(__xludf.DUMMYFUNCTION("""COMPUTED_VALUE""")," GA 30034")</f>
        <v xml:space="preserve"> GA 30034</v>
      </c>
      <c r="M1285" s="2" t="str">
        <f ca="1">IFERROR(__xludf.DUMMYFUNCTION("""COMPUTED_VALUE""")," USA")</f>
        <v xml:space="preserve"> USA</v>
      </c>
      <c r="P1285" s="60"/>
    </row>
    <row r="1286" spans="1:16">
      <c r="A1286" s="65">
        <v>1285</v>
      </c>
      <c r="B1286" s="80" t="s">
        <v>7622</v>
      </c>
      <c r="C1286" s="65" t="s">
        <v>1322</v>
      </c>
      <c r="D1286" s="93" t="s">
        <v>5147</v>
      </c>
      <c r="E1286" s="48" t="str">
        <f t="shared" si="0"/>
        <v>Parker</v>
      </c>
      <c r="F1286" s="83" t="str">
        <f t="shared" si="1"/>
        <v>Lutheran (Parker),CO</v>
      </c>
      <c r="G1286" s="65" t="s">
        <v>7624</v>
      </c>
      <c r="H1286" s="65">
        <v>39.512743</v>
      </c>
      <c r="I1286" s="65">
        <v>-104.8077686</v>
      </c>
      <c r="J1286" s="60" t="str">
        <f ca="1">IFERROR(__xludf.DUMMYFUNCTION("SPLIT(G1286,"","")"),"11249 Newlin Gulch Blvd")</f>
        <v>11249 Newlin Gulch Blvd</v>
      </c>
      <c r="K1286" s="2" t="str">
        <f ca="1">IFERROR(__xludf.DUMMYFUNCTION("""COMPUTED_VALUE""")," Parker")</f>
        <v xml:space="preserve"> Parker</v>
      </c>
      <c r="L1286" s="2" t="str">
        <f ca="1">IFERROR(__xludf.DUMMYFUNCTION("""COMPUTED_VALUE""")," CO 80134")</f>
        <v xml:space="preserve"> CO 80134</v>
      </c>
      <c r="M1286" s="2" t="str">
        <f ca="1">IFERROR(__xludf.DUMMYFUNCTION("""COMPUTED_VALUE""")," USA")</f>
        <v xml:space="preserve"> USA</v>
      </c>
      <c r="P1286" s="60"/>
    </row>
    <row r="1287" spans="1:16">
      <c r="A1287" s="60">
        <v>1286</v>
      </c>
      <c r="B1287" s="79" t="s">
        <v>7629</v>
      </c>
      <c r="C1287" s="60" t="s">
        <v>588</v>
      </c>
      <c r="D1287" s="93" t="s">
        <v>7631</v>
      </c>
      <c r="E1287" s="48" t="str">
        <f t="shared" si="0"/>
        <v>Vacaville</v>
      </c>
      <c r="F1287" s="83" t="str">
        <f t="shared" si="1"/>
        <v>Wood (Vacaville),CA</v>
      </c>
      <c r="G1287" s="60" t="s">
        <v>7633</v>
      </c>
      <c r="H1287" s="60">
        <v>38.352002600000013</v>
      </c>
      <c r="I1287" s="60">
        <v>-121.94231720000001</v>
      </c>
      <c r="J1287" s="60" t="str">
        <f ca="1">IFERROR(__xludf.DUMMYFUNCTION("SPLIT(G1287,"","")"),"777 Elmira Rd")</f>
        <v>777 Elmira Rd</v>
      </c>
      <c r="K1287" s="2" t="str">
        <f ca="1">IFERROR(__xludf.DUMMYFUNCTION("""COMPUTED_VALUE""")," Vacaville")</f>
        <v xml:space="preserve"> Vacaville</v>
      </c>
      <c r="L1287" s="2" t="str">
        <f ca="1">IFERROR(__xludf.DUMMYFUNCTION("""COMPUTED_VALUE""")," CA 95687")</f>
        <v xml:space="preserve"> CA 95687</v>
      </c>
      <c r="M1287" s="2" t="str">
        <f ca="1">IFERROR(__xludf.DUMMYFUNCTION("""COMPUTED_VALUE""")," USA")</f>
        <v xml:space="preserve"> USA</v>
      </c>
      <c r="P1287" s="60"/>
    </row>
    <row r="1288" spans="1:16">
      <c r="A1288" s="65">
        <v>1287</v>
      </c>
      <c r="B1288" s="80" t="s">
        <v>7637</v>
      </c>
      <c r="C1288" s="65" t="s">
        <v>682</v>
      </c>
      <c r="D1288" s="93" t="s">
        <v>5277</v>
      </c>
      <c r="E1288" s="48" t="str">
        <f t="shared" si="0"/>
        <v>Milwaukee</v>
      </c>
      <c r="F1288" s="83" t="str">
        <f t="shared" si="1"/>
        <v>Milwaukee Academy of Science (Milwaukee),WI</v>
      </c>
      <c r="G1288" s="65" t="s">
        <v>7639</v>
      </c>
      <c r="H1288" s="65">
        <v>43.042015599999999</v>
      </c>
      <c r="I1288" s="65">
        <v>-87.939308400000002</v>
      </c>
      <c r="J1288" s="60" t="str">
        <f ca="1">IFERROR(__xludf.DUMMYFUNCTION("SPLIT(G1288,"","")"),"2000 W Kilbourn Ave")</f>
        <v>2000 W Kilbourn Ave</v>
      </c>
      <c r="K1288" s="2" t="str">
        <f ca="1">IFERROR(__xludf.DUMMYFUNCTION("""COMPUTED_VALUE""")," Milwaukee")</f>
        <v xml:space="preserve"> Milwaukee</v>
      </c>
      <c r="L1288" s="2" t="str">
        <f ca="1">IFERROR(__xludf.DUMMYFUNCTION("""COMPUTED_VALUE""")," WI 53233")</f>
        <v xml:space="preserve"> WI 53233</v>
      </c>
      <c r="M1288" s="2" t="str">
        <f ca="1">IFERROR(__xludf.DUMMYFUNCTION("""COMPUTED_VALUE""")," USA")</f>
        <v xml:space="preserve"> USA</v>
      </c>
      <c r="P1288" s="60"/>
    </row>
    <row r="1289" spans="1:16">
      <c r="A1289" s="60">
        <v>1288</v>
      </c>
      <c r="B1289" s="79" t="s">
        <v>298</v>
      </c>
      <c r="C1289" s="60" t="s">
        <v>191</v>
      </c>
      <c r="D1289" s="93" t="s">
        <v>5658</v>
      </c>
      <c r="E1289" s="48" t="str">
        <f t="shared" si="0"/>
        <v>Linden</v>
      </c>
      <c r="F1289" s="83" t="str">
        <f t="shared" si="1"/>
        <v>Linden,MI</v>
      </c>
      <c r="G1289" s="60" t="s">
        <v>7641</v>
      </c>
      <c r="H1289" s="60">
        <v>42.814473100000001</v>
      </c>
      <c r="I1289" s="60">
        <v>-83.782452599999999</v>
      </c>
      <c r="J1289" s="60" t="str">
        <f ca="1">IFERROR(__xludf.DUMMYFUNCTION("SPLIT(G1289,"","")"),"please contact")</f>
        <v>please contact</v>
      </c>
      <c r="K1289" s="2" t="str">
        <f ca="1">IFERROR(__xludf.DUMMYFUNCTION("""COMPUTED_VALUE""")," Linden")</f>
        <v xml:space="preserve"> Linden</v>
      </c>
      <c r="L1289" s="2" t="str">
        <f ca="1">IFERROR(__xludf.DUMMYFUNCTION("""COMPUTED_VALUE""")," MI 48451")</f>
        <v xml:space="preserve"> MI 48451</v>
      </c>
      <c r="M1289" s="2" t="str">
        <f ca="1">IFERROR(__xludf.DUMMYFUNCTION("""COMPUTED_VALUE""")," USA")</f>
        <v xml:space="preserve"> USA</v>
      </c>
      <c r="P1289" s="60"/>
    </row>
    <row r="1290" spans="1:16">
      <c r="A1290" s="65">
        <v>1289</v>
      </c>
      <c r="B1290" s="80" t="s">
        <v>7646</v>
      </c>
      <c r="C1290" s="65" t="s">
        <v>136</v>
      </c>
      <c r="D1290" s="93" t="s">
        <v>7647</v>
      </c>
      <c r="E1290" s="48" t="str">
        <f t="shared" si="0"/>
        <v>Winter Haven</v>
      </c>
      <c r="F1290" s="83" t="str">
        <f t="shared" si="1"/>
        <v>Winter Haven,FL</v>
      </c>
      <c r="G1290" s="65" t="s">
        <v>7649</v>
      </c>
      <c r="H1290" s="65">
        <v>28.022243499999998</v>
      </c>
      <c r="I1290" s="65">
        <v>-81.732856699999999</v>
      </c>
      <c r="J1290" s="60" t="str">
        <f ca="1">IFERROR(__xludf.DUMMYFUNCTION("SPLIT(G1290,"","")"),"561 W Central Ave")</f>
        <v>561 W Central Ave</v>
      </c>
      <c r="K1290" s="2" t="str">
        <f ca="1">IFERROR(__xludf.DUMMYFUNCTION("""COMPUTED_VALUE""")," Winter Haven")</f>
        <v xml:space="preserve"> Winter Haven</v>
      </c>
      <c r="L1290" s="2" t="str">
        <f ca="1">IFERROR(__xludf.DUMMYFUNCTION("""COMPUTED_VALUE""")," FL 33881")</f>
        <v xml:space="preserve"> FL 33881</v>
      </c>
      <c r="M1290" s="2" t="str">
        <f ca="1">IFERROR(__xludf.DUMMYFUNCTION("""COMPUTED_VALUE""")," USA")</f>
        <v xml:space="preserve"> USA</v>
      </c>
      <c r="P1290" s="60"/>
    </row>
    <row r="1291" spans="1:16">
      <c r="A1291" s="60">
        <v>1290</v>
      </c>
      <c r="B1291" s="79" t="s">
        <v>7651</v>
      </c>
      <c r="C1291" s="60" t="s">
        <v>179</v>
      </c>
      <c r="D1291" s="93" t="s">
        <v>2910</v>
      </c>
      <c r="E1291" s="48" t="str">
        <f t="shared" si="0"/>
        <v>Charlotte</v>
      </c>
      <c r="F1291" s="83" t="str">
        <f t="shared" si="1"/>
        <v>Hickory Grove Christian (Charlotte),NC</v>
      </c>
      <c r="G1291" s="60" t="s">
        <v>7652</v>
      </c>
      <c r="H1291" s="60">
        <v>35.222080699999999</v>
      </c>
      <c r="I1291" s="60">
        <v>-80.725240999999997</v>
      </c>
      <c r="J1291" s="60" t="str">
        <f ca="1">IFERROR(__xludf.DUMMYFUNCTION("SPLIT(G1291,"","")"),"7200 E W.T. Harris Blvd")</f>
        <v>7200 E W.T. Harris Blvd</v>
      </c>
      <c r="K1291" s="2" t="str">
        <f ca="1">IFERROR(__xludf.DUMMYFUNCTION("""COMPUTED_VALUE""")," Charlotte")</f>
        <v xml:space="preserve"> Charlotte</v>
      </c>
      <c r="L1291" s="2" t="str">
        <f ca="1">IFERROR(__xludf.DUMMYFUNCTION("""COMPUTED_VALUE""")," NC 28215")</f>
        <v xml:space="preserve"> NC 28215</v>
      </c>
      <c r="M1291" s="2" t="str">
        <f ca="1">IFERROR(__xludf.DUMMYFUNCTION("""COMPUTED_VALUE""")," USA")</f>
        <v xml:space="preserve"> USA</v>
      </c>
      <c r="P1291" s="60"/>
    </row>
    <row r="1292" spans="1:16">
      <c r="A1292" s="65">
        <v>1291</v>
      </c>
      <c r="B1292" s="80" t="s">
        <v>7656</v>
      </c>
      <c r="C1292" s="65" t="s">
        <v>598</v>
      </c>
      <c r="D1292" s="93" t="s">
        <v>7658</v>
      </c>
      <c r="E1292" s="48" t="str">
        <f t="shared" si="0"/>
        <v>Riverdale</v>
      </c>
      <c r="F1292" s="83" t="str">
        <f t="shared" si="1"/>
        <v>New Faith Christian Academy (Riverdale),GA</v>
      </c>
      <c r="G1292" s="65" t="s">
        <v>7659</v>
      </c>
      <c r="H1292" s="65">
        <v>33.581028099999997</v>
      </c>
      <c r="I1292" s="65">
        <v>-84.415419999999997</v>
      </c>
      <c r="J1292" s="60" t="str">
        <f ca="1">IFERROR(__xludf.DUMMYFUNCTION("SPLIT(G1292,"","")"),"6390 Church St")</f>
        <v>6390 Church St</v>
      </c>
      <c r="K1292" s="2" t="str">
        <f ca="1">IFERROR(__xludf.DUMMYFUNCTION("""COMPUTED_VALUE""")," Riverdale")</f>
        <v xml:space="preserve"> Riverdale</v>
      </c>
      <c r="L1292" s="2" t="str">
        <f ca="1">IFERROR(__xludf.DUMMYFUNCTION("""COMPUTED_VALUE""")," GA 30274")</f>
        <v xml:space="preserve"> GA 30274</v>
      </c>
      <c r="M1292" s="2" t="str">
        <f ca="1">IFERROR(__xludf.DUMMYFUNCTION("""COMPUTED_VALUE""")," USA")</f>
        <v xml:space="preserve"> USA</v>
      </c>
      <c r="P1292" s="60"/>
    </row>
    <row r="1293" spans="1:16">
      <c r="A1293" s="60">
        <v>1292</v>
      </c>
      <c r="B1293" s="79" t="s">
        <v>7664</v>
      </c>
      <c r="C1293" s="60" t="s">
        <v>618</v>
      </c>
      <c r="D1293" s="93" t="s">
        <v>7665</v>
      </c>
      <c r="E1293" s="48" t="str">
        <f t="shared" si="0"/>
        <v>Munster</v>
      </c>
      <c r="F1293" s="83" t="str">
        <f t="shared" si="1"/>
        <v>Munster,IN</v>
      </c>
      <c r="G1293" s="60" t="s">
        <v>7668</v>
      </c>
      <c r="H1293" s="60">
        <v>41.564479800000001</v>
      </c>
      <c r="I1293" s="60">
        <v>-87.512541200000001</v>
      </c>
      <c r="J1293" s="60" t="str">
        <f ca="1">IFERROR(__xludf.DUMMYFUNCTION("SPLIT(G1293,"","")"),"8205 Monroe Ave")</f>
        <v>8205 Monroe Ave</v>
      </c>
      <c r="K1293" s="2" t="str">
        <f ca="1">IFERROR(__xludf.DUMMYFUNCTION("""COMPUTED_VALUE""")," Munster")</f>
        <v xml:space="preserve"> Munster</v>
      </c>
      <c r="L1293" s="2" t="str">
        <f ca="1">IFERROR(__xludf.DUMMYFUNCTION("""COMPUTED_VALUE""")," IN 46321")</f>
        <v xml:space="preserve"> IN 46321</v>
      </c>
      <c r="M1293" s="2" t="str">
        <f ca="1">IFERROR(__xludf.DUMMYFUNCTION("""COMPUTED_VALUE""")," USA")</f>
        <v xml:space="preserve"> USA</v>
      </c>
      <c r="P1293" s="60"/>
    </row>
    <row r="1294" spans="1:16">
      <c r="A1294" s="65">
        <v>1293</v>
      </c>
      <c r="B1294" s="80" t="s">
        <v>7674</v>
      </c>
      <c r="C1294" s="65" t="s">
        <v>693</v>
      </c>
      <c r="D1294" s="93" t="s">
        <v>7675</v>
      </c>
      <c r="E1294" s="48" t="str">
        <f t="shared" si="0"/>
        <v>Mendenhall</v>
      </c>
      <c r="F1294" s="83" t="str">
        <f t="shared" si="1"/>
        <v>Simpson Academy (Mendenhall),MS</v>
      </c>
      <c r="G1294" s="65" t="s">
        <v>7676</v>
      </c>
      <c r="H1294" s="65">
        <v>31.9233419</v>
      </c>
      <c r="I1294" s="65">
        <v>-89.806299699999997</v>
      </c>
      <c r="J1294" s="60" t="str">
        <f ca="1">IFERROR(__xludf.DUMMYFUNCTION("SPLIT(G1294,"","")"),"124 Zion Hill Rd")</f>
        <v>124 Zion Hill Rd</v>
      </c>
      <c r="K1294" s="2" t="str">
        <f ca="1">IFERROR(__xludf.DUMMYFUNCTION("""COMPUTED_VALUE""")," Mendenhall")</f>
        <v xml:space="preserve"> Mendenhall</v>
      </c>
      <c r="L1294" s="2" t="str">
        <f ca="1">IFERROR(__xludf.DUMMYFUNCTION("""COMPUTED_VALUE""")," MS 39114")</f>
        <v xml:space="preserve"> MS 39114</v>
      </c>
      <c r="M1294" s="2" t="str">
        <f ca="1">IFERROR(__xludf.DUMMYFUNCTION("""COMPUTED_VALUE""")," USA")</f>
        <v xml:space="preserve"> USA</v>
      </c>
      <c r="P1294" s="60"/>
    </row>
    <row r="1295" spans="1:16">
      <c r="A1295" s="60">
        <v>1294</v>
      </c>
      <c r="B1295" s="79" t="s">
        <v>7681</v>
      </c>
      <c r="C1295" s="60" t="s">
        <v>588</v>
      </c>
      <c r="D1295" s="93" t="s">
        <v>738</v>
      </c>
      <c r="E1295" s="48" t="str">
        <f t="shared" si="0"/>
        <v>Newark</v>
      </c>
      <c r="F1295" s="83" t="str">
        <f t="shared" si="1"/>
        <v>Newark Memorial (Newark),CA</v>
      </c>
      <c r="G1295" s="60" t="s">
        <v>7683</v>
      </c>
      <c r="H1295" s="60">
        <v>37.520857100000001</v>
      </c>
      <c r="I1295" s="60">
        <v>-122.00189450000001</v>
      </c>
      <c r="J1295" s="60" t="str">
        <f ca="1">IFERROR(__xludf.DUMMYFUNCTION("SPLIT(G1295,"","")"),"39375 Cedar Blvd")</f>
        <v>39375 Cedar Blvd</v>
      </c>
      <c r="K1295" s="2" t="str">
        <f ca="1">IFERROR(__xludf.DUMMYFUNCTION("""COMPUTED_VALUE""")," Newark")</f>
        <v xml:space="preserve"> Newark</v>
      </c>
      <c r="L1295" s="2" t="str">
        <f ca="1">IFERROR(__xludf.DUMMYFUNCTION("""COMPUTED_VALUE""")," CA 94560")</f>
        <v xml:space="preserve"> CA 94560</v>
      </c>
      <c r="M1295" s="2" t="str">
        <f ca="1">IFERROR(__xludf.DUMMYFUNCTION("""COMPUTED_VALUE""")," USA")</f>
        <v xml:space="preserve"> USA</v>
      </c>
      <c r="P1295" s="60"/>
    </row>
    <row r="1296" spans="1:16">
      <c r="A1296" s="65">
        <v>1295</v>
      </c>
      <c r="B1296" s="80" t="s">
        <v>4247</v>
      </c>
      <c r="C1296" s="65" t="s">
        <v>901</v>
      </c>
      <c r="D1296" s="93" t="s">
        <v>7688</v>
      </c>
      <c r="E1296" s="48" t="str">
        <f t="shared" si="0"/>
        <v>Harrison</v>
      </c>
      <c r="F1296" s="83" t="str">
        <f t="shared" si="1"/>
        <v>Valley Springs,AR</v>
      </c>
      <c r="G1296" s="65" t="s">
        <v>7690</v>
      </c>
      <c r="H1296" s="65">
        <v>36.157572899999998</v>
      </c>
      <c r="I1296" s="65">
        <v>-92.992950800000003</v>
      </c>
      <c r="J1296" s="60" t="str">
        <f ca="1">IFERROR(__xludf.DUMMYFUNCTION("SPLIT(G1296,"","")"),"7349 School St")</f>
        <v>7349 School St</v>
      </c>
      <c r="K1296" s="2" t="str">
        <f ca="1">IFERROR(__xludf.DUMMYFUNCTION("""COMPUTED_VALUE""")," Harrison")</f>
        <v xml:space="preserve"> Harrison</v>
      </c>
      <c r="L1296" s="2" t="str">
        <f ca="1">IFERROR(__xludf.DUMMYFUNCTION("""COMPUTED_VALUE""")," AR 72601")</f>
        <v xml:space="preserve"> AR 72601</v>
      </c>
      <c r="M1296" s="2" t="str">
        <f ca="1">IFERROR(__xludf.DUMMYFUNCTION("""COMPUTED_VALUE""")," USA")</f>
        <v xml:space="preserve"> USA</v>
      </c>
      <c r="P1296" s="60"/>
    </row>
    <row r="1297" spans="1:16">
      <c r="A1297" s="60">
        <v>1296</v>
      </c>
      <c r="B1297" s="79" t="s">
        <v>7694</v>
      </c>
      <c r="C1297" s="60" t="s">
        <v>191</v>
      </c>
      <c r="D1297" s="93" t="s">
        <v>7695</v>
      </c>
      <c r="E1297" s="48" t="str">
        <f t="shared" si="0"/>
        <v>Pewamo</v>
      </c>
      <c r="F1297" s="83" t="str">
        <f t="shared" si="1"/>
        <v>Pewamo-Westphalia (Pewamo),MI</v>
      </c>
      <c r="G1297" s="60" t="s">
        <v>7697</v>
      </c>
      <c r="H1297" s="60">
        <v>43.001144199999999</v>
      </c>
      <c r="I1297" s="60">
        <v>-84.846942299999995</v>
      </c>
      <c r="J1297" s="60" t="str">
        <f ca="1">IFERROR(__xludf.DUMMYFUNCTION("SPLIT(G1297,"","")"),"120 S State St")</f>
        <v>120 S State St</v>
      </c>
      <c r="K1297" s="2" t="str">
        <f ca="1">IFERROR(__xludf.DUMMYFUNCTION("""COMPUTED_VALUE""")," Pewamo")</f>
        <v xml:space="preserve"> Pewamo</v>
      </c>
      <c r="L1297" s="2" t="str">
        <f ca="1">IFERROR(__xludf.DUMMYFUNCTION("""COMPUTED_VALUE""")," MI 48873")</f>
        <v xml:space="preserve"> MI 48873</v>
      </c>
      <c r="M1297" s="2" t="str">
        <f ca="1">IFERROR(__xludf.DUMMYFUNCTION("""COMPUTED_VALUE""")," USA")</f>
        <v xml:space="preserve"> USA</v>
      </c>
      <c r="P1297" s="60"/>
    </row>
    <row r="1298" spans="1:16">
      <c r="A1298" s="65">
        <v>1297</v>
      </c>
      <c r="B1298" s="80" t="s">
        <v>7700</v>
      </c>
      <c r="C1298" s="65" t="s">
        <v>71</v>
      </c>
      <c r="D1298" s="93" t="s">
        <v>2828</v>
      </c>
      <c r="E1298" s="48" t="str">
        <f t="shared" si="0"/>
        <v>Mesa</v>
      </c>
      <c r="F1298" s="83" t="str">
        <f t="shared" si="1"/>
        <v>Heritage Academy (Mesa),AZ</v>
      </c>
      <c r="G1298" s="65" t="s">
        <v>7702</v>
      </c>
      <c r="H1298" s="65">
        <v>33.4141932</v>
      </c>
      <c r="I1298" s="65">
        <v>-111.8317189</v>
      </c>
      <c r="J1298" s="60" t="str">
        <f ca="1">IFERROR(__xludf.DUMMYFUNCTION("SPLIT(G1298,"","")"),"32 S Center St")</f>
        <v>32 S Center St</v>
      </c>
      <c r="K1298" s="2" t="str">
        <f ca="1">IFERROR(__xludf.DUMMYFUNCTION("""COMPUTED_VALUE""")," Mesa")</f>
        <v xml:space="preserve"> Mesa</v>
      </c>
      <c r="L1298" s="2" t="str">
        <f ca="1">IFERROR(__xludf.DUMMYFUNCTION("""COMPUTED_VALUE""")," AZ 85210")</f>
        <v xml:space="preserve"> AZ 85210</v>
      </c>
      <c r="M1298" s="2" t="str">
        <f ca="1">IFERROR(__xludf.DUMMYFUNCTION("""COMPUTED_VALUE""")," USA")</f>
        <v xml:space="preserve"> USA</v>
      </c>
      <c r="P1298" s="60"/>
    </row>
    <row r="1299" spans="1:16">
      <c r="A1299" s="60">
        <v>1298</v>
      </c>
      <c r="B1299" s="79" t="s">
        <v>7706</v>
      </c>
      <c r="C1299" s="60" t="s">
        <v>183</v>
      </c>
      <c r="D1299" s="93" t="s">
        <v>1399</v>
      </c>
      <c r="E1299" s="48" t="str">
        <f t="shared" si="0"/>
        <v>Brooklyn</v>
      </c>
      <c r="F1299" s="83" t="str">
        <f t="shared" si="1"/>
        <v>Boys &amp; Girls (Brooklyn),NY</v>
      </c>
      <c r="G1299" s="60" t="s">
        <v>7708</v>
      </c>
      <c r="H1299" s="60">
        <v>40.686515</v>
      </c>
      <c r="I1299" s="60">
        <v>-73.969200999999998</v>
      </c>
      <c r="J1299" s="60" t="str">
        <f ca="1">IFERROR(__xludf.DUMMYFUNCTION("SPLIT(G1299,"","")"),"367 Clermont Ave")</f>
        <v>367 Clermont Ave</v>
      </c>
      <c r="K1299" s="2" t="str">
        <f ca="1">IFERROR(__xludf.DUMMYFUNCTION("""COMPUTED_VALUE""")," Brooklyn")</f>
        <v xml:space="preserve"> Brooklyn</v>
      </c>
      <c r="L1299" s="2" t="str">
        <f ca="1">IFERROR(__xludf.DUMMYFUNCTION("""COMPUTED_VALUE""")," NY 11238")</f>
        <v xml:space="preserve"> NY 11238</v>
      </c>
      <c r="M1299" s="2" t="str">
        <f ca="1">IFERROR(__xludf.DUMMYFUNCTION("""COMPUTED_VALUE""")," USA")</f>
        <v xml:space="preserve"> USA</v>
      </c>
      <c r="P1299" s="60"/>
    </row>
    <row r="1300" spans="1:16">
      <c r="A1300" s="65">
        <v>1299</v>
      </c>
      <c r="B1300" s="80" t="s">
        <v>342</v>
      </c>
      <c r="C1300" s="65" t="s">
        <v>183</v>
      </c>
      <c r="D1300" s="93" t="s">
        <v>7712</v>
      </c>
      <c r="E1300" s="48" t="str">
        <f t="shared" si="0"/>
        <v>Norwich</v>
      </c>
      <c r="F1300" s="83" t="str">
        <f t="shared" si="1"/>
        <v>Norwich,NY</v>
      </c>
      <c r="G1300" s="65" t="s">
        <v>7713</v>
      </c>
      <c r="H1300" s="65">
        <v>42.531184000000003</v>
      </c>
      <c r="I1300" s="65">
        <v>-75.523514899999995</v>
      </c>
      <c r="J1300" s="60" t="str">
        <f ca="1">IFERROR(__xludf.DUMMYFUNCTION("SPLIT(G1300,"","")"),"1 S Broad St")</f>
        <v>1 S Broad St</v>
      </c>
      <c r="K1300" s="2" t="str">
        <f ca="1">IFERROR(__xludf.DUMMYFUNCTION("""COMPUTED_VALUE""")," Norwich")</f>
        <v xml:space="preserve"> Norwich</v>
      </c>
      <c r="L1300" s="2" t="str">
        <f ca="1">IFERROR(__xludf.DUMMYFUNCTION("""COMPUTED_VALUE""")," NY 13815")</f>
        <v xml:space="preserve"> NY 13815</v>
      </c>
      <c r="M1300" s="2" t="str">
        <f ca="1">IFERROR(__xludf.DUMMYFUNCTION("""COMPUTED_VALUE""")," USA")</f>
        <v xml:space="preserve"> USA</v>
      </c>
      <c r="P1300" s="60"/>
    </row>
    <row r="1301" spans="1:16">
      <c r="A1301" s="97">
        <v>1300</v>
      </c>
      <c r="B1301" s="99" t="s">
        <v>7717</v>
      </c>
      <c r="C1301" s="97" t="s">
        <v>1094</v>
      </c>
      <c r="D1301" s="93" t="s">
        <v>7718</v>
      </c>
      <c r="E1301" s="48" t="str">
        <f t="shared" si="0"/>
        <v>Bangor</v>
      </c>
      <c r="F1301" s="83" t="str">
        <f t="shared" si="1"/>
        <v>Bangor,ME</v>
      </c>
      <c r="G1301" s="97" t="s">
        <v>7719</v>
      </c>
      <c r="H1301" s="97">
        <v>44.801612800000001</v>
      </c>
      <c r="I1301" s="97">
        <v>-68.771225700000002</v>
      </c>
      <c r="J1301" s="60" t="str">
        <f ca="1">IFERROR(__xludf.DUMMYFUNCTION("SPLIT(G1301,"","")"),"1 Main St")</f>
        <v>1 Main St</v>
      </c>
      <c r="K1301" s="2" t="str">
        <f ca="1">IFERROR(__xludf.DUMMYFUNCTION("""COMPUTED_VALUE""")," Bangor")</f>
        <v xml:space="preserve"> Bangor</v>
      </c>
      <c r="L1301" s="2" t="str">
        <f ca="1">IFERROR(__xludf.DUMMYFUNCTION("""COMPUTED_VALUE""")," ME 04401")</f>
        <v xml:space="preserve"> ME 04401</v>
      </c>
      <c r="M1301" s="2" t="str">
        <f ca="1">IFERROR(__xludf.DUMMYFUNCTION("""COMPUTED_VALUE""")," USA")</f>
        <v xml:space="preserve"> USA</v>
      </c>
      <c r="P1301" s="60"/>
    </row>
    <row r="1302" spans="1:16">
      <c r="A1302" s="60">
        <v>1301</v>
      </c>
      <c r="B1302" s="79" t="s">
        <v>7722</v>
      </c>
      <c r="C1302" s="60" t="s">
        <v>174</v>
      </c>
      <c r="D1302" s="93" t="s">
        <v>1966</v>
      </c>
      <c r="E1302" s="48" t="str">
        <f t="shared" si="0"/>
        <v>Mentor</v>
      </c>
      <c r="F1302" s="83" t="str">
        <f t="shared" si="1"/>
        <v>Lake Catholic (Mentor),OH</v>
      </c>
      <c r="G1302" s="60" t="s">
        <v>7723</v>
      </c>
      <c r="H1302" s="60">
        <v>41.687777199999999</v>
      </c>
      <c r="I1302" s="60">
        <v>-81.374854200000001</v>
      </c>
      <c r="J1302" s="60" t="str">
        <f ca="1">IFERROR(__xludf.DUMMYFUNCTION("SPLIT(G1302,"","")"),"6733 Reynolds Rd")</f>
        <v>6733 Reynolds Rd</v>
      </c>
      <c r="K1302" s="2" t="str">
        <f ca="1">IFERROR(__xludf.DUMMYFUNCTION("""COMPUTED_VALUE""")," Mentor")</f>
        <v xml:space="preserve"> Mentor</v>
      </c>
      <c r="L1302" s="2" t="str">
        <f ca="1">IFERROR(__xludf.DUMMYFUNCTION("""COMPUTED_VALUE""")," OH 44060")</f>
        <v xml:space="preserve"> OH 44060</v>
      </c>
      <c r="M1302" s="2" t="str">
        <f ca="1">IFERROR(__xludf.DUMMYFUNCTION("""COMPUTED_VALUE""")," USA")</f>
        <v xml:space="preserve"> USA</v>
      </c>
      <c r="P1302" s="60"/>
    </row>
    <row r="1303" spans="1:16">
      <c r="A1303" s="65">
        <v>1302</v>
      </c>
      <c r="B1303" s="80" t="s">
        <v>7726</v>
      </c>
      <c r="C1303" s="65" t="s">
        <v>71</v>
      </c>
      <c r="D1303" s="93" t="s">
        <v>1152</v>
      </c>
      <c r="E1303" s="48" t="str">
        <f t="shared" si="0"/>
        <v>Phoenix</v>
      </c>
      <c r="F1303" s="83" t="str">
        <f t="shared" si="1"/>
        <v>Arcadia (Phoenix),AZ</v>
      </c>
      <c r="G1303" s="65" t="s">
        <v>7727</v>
      </c>
      <c r="H1303" s="65">
        <v>33.494109000000002</v>
      </c>
      <c r="I1303" s="65">
        <v>-111.9611919</v>
      </c>
      <c r="J1303" s="60" t="str">
        <f ca="1">IFERROR(__xludf.DUMMYFUNCTION("SPLIT(G1303,"","")"),"5529 E Lafayette Blvd")</f>
        <v>5529 E Lafayette Blvd</v>
      </c>
      <c r="K1303" s="2" t="str">
        <f ca="1">IFERROR(__xludf.DUMMYFUNCTION("""COMPUTED_VALUE""")," Phoenix")</f>
        <v xml:space="preserve"> Phoenix</v>
      </c>
      <c r="L1303" s="2" t="str">
        <f ca="1">IFERROR(__xludf.DUMMYFUNCTION("""COMPUTED_VALUE""")," AZ 85018")</f>
        <v xml:space="preserve"> AZ 85018</v>
      </c>
      <c r="M1303" s="2" t="str">
        <f ca="1">IFERROR(__xludf.DUMMYFUNCTION("""COMPUTED_VALUE""")," USA")</f>
        <v xml:space="preserve"> USA</v>
      </c>
      <c r="P1303" s="60"/>
    </row>
    <row r="1304" spans="1:16">
      <c r="A1304" s="60">
        <v>1303</v>
      </c>
      <c r="B1304" s="79" t="s">
        <v>7730</v>
      </c>
      <c r="C1304" s="60" t="s">
        <v>136</v>
      </c>
      <c r="D1304" s="93" t="s">
        <v>7731</v>
      </c>
      <c r="E1304" s="48" t="str">
        <f t="shared" si="0"/>
        <v>Coral Springs</v>
      </c>
      <c r="F1304" s="83" t="str">
        <f t="shared" si="1"/>
        <v>Taravella (Coral Springs),FL</v>
      </c>
      <c r="G1304" s="60" t="s">
        <v>7732</v>
      </c>
      <c r="H1304" s="60">
        <v>26.232346499999998</v>
      </c>
      <c r="I1304" s="60">
        <v>-80.267914599999997</v>
      </c>
      <c r="J1304" s="60" t="str">
        <f ca="1">IFERROR(__xludf.DUMMYFUNCTION("SPLIT(G1304,"","")"),"10600 Riverside Dr")</f>
        <v>10600 Riverside Dr</v>
      </c>
      <c r="K1304" s="2" t="str">
        <f ca="1">IFERROR(__xludf.DUMMYFUNCTION("""COMPUTED_VALUE""")," Coral Springs")</f>
        <v xml:space="preserve"> Coral Springs</v>
      </c>
      <c r="L1304" s="2" t="str">
        <f ca="1">IFERROR(__xludf.DUMMYFUNCTION("""COMPUTED_VALUE""")," FL 33071")</f>
        <v xml:space="preserve"> FL 33071</v>
      </c>
      <c r="M1304" s="2" t="str">
        <f ca="1">IFERROR(__xludf.DUMMYFUNCTION("""COMPUTED_VALUE""")," USA")</f>
        <v xml:space="preserve"> USA</v>
      </c>
      <c r="P1304" s="60"/>
    </row>
    <row r="1305" spans="1:16">
      <c r="A1305" s="65">
        <v>1304</v>
      </c>
      <c r="B1305" s="80" t="s">
        <v>7735</v>
      </c>
      <c r="C1305" s="65" t="s">
        <v>796</v>
      </c>
      <c r="D1305" s="93" t="s">
        <v>7736</v>
      </c>
      <c r="E1305" s="48" t="str">
        <f t="shared" si="0"/>
        <v>Beloit</v>
      </c>
      <c r="F1305" s="83" t="str">
        <f t="shared" si="1"/>
        <v>Beloit,KS</v>
      </c>
      <c r="G1305" s="65" t="s">
        <v>7738</v>
      </c>
      <c r="H1305" s="65">
        <v>39.456117800000008</v>
      </c>
      <c r="I1305" s="65">
        <v>-98.10615949999999</v>
      </c>
      <c r="J1305" s="60" t="str">
        <f ca="1">IFERROR(__xludf.DUMMYFUNCTION("SPLIT(G1305,"","")"),"100-198 E Clinton St")</f>
        <v>100-198 E Clinton St</v>
      </c>
      <c r="K1305" s="2" t="str">
        <f ca="1">IFERROR(__xludf.DUMMYFUNCTION("""COMPUTED_VALUE""")," Beloit")</f>
        <v xml:space="preserve"> Beloit</v>
      </c>
      <c r="L1305" s="2" t="str">
        <f ca="1">IFERROR(__xludf.DUMMYFUNCTION("""COMPUTED_VALUE""")," KS 67420")</f>
        <v xml:space="preserve"> KS 67420</v>
      </c>
      <c r="M1305" s="2" t="str">
        <f ca="1">IFERROR(__xludf.DUMMYFUNCTION("""COMPUTED_VALUE""")," USA")</f>
        <v xml:space="preserve"> USA</v>
      </c>
      <c r="P1305" s="60"/>
    </row>
    <row r="1306" spans="1:16">
      <c r="A1306" s="60">
        <v>1305</v>
      </c>
      <c r="B1306" s="79" t="s">
        <v>7740</v>
      </c>
      <c r="C1306" s="60" t="s">
        <v>675</v>
      </c>
      <c r="D1306" s="93" t="s">
        <v>7742</v>
      </c>
      <c r="E1306" s="48" t="str">
        <f t="shared" si="0"/>
        <v>Natrona Heights</v>
      </c>
      <c r="F1306" s="83" t="str">
        <f t="shared" si="1"/>
        <v>Highlands (Natrona Heights),PA</v>
      </c>
      <c r="G1306" s="60" t="s">
        <v>7743</v>
      </c>
      <c r="H1306" s="60">
        <v>40.617725100000001</v>
      </c>
      <c r="I1306" s="60">
        <v>-79.726566699999992</v>
      </c>
      <c r="J1306" s="60" t="str">
        <f ca="1">IFERROR(__xludf.DUMMYFUNCTION("SPLIT(G1306,"","")"),"1500 Pacific Ave")</f>
        <v>1500 Pacific Ave</v>
      </c>
      <c r="K1306" s="2" t="str">
        <f ca="1">IFERROR(__xludf.DUMMYFUNCTION("""COMPUTED_VALUE""")," Natrona Heights")</f>
        <v xml:space="preserve"> Natrona Heights</v>
      </c>
      <c r="L1306" s="2" t="str">
        <f ca="1">IFERROR(__xludf.DUMMYFUNCTION("""COMPUTED_VALUE""")," PA 15065")</f>
        <v xml:space="preserve"> PA 15065</v>
      </c>
      <c r="M1306" s="2" t="str">
        <f ca="1">IFERROR(__xludf.DUMMYFUNCTION("""COMPUTED_VALUE""")," USA")</f>
        <v xml:space="preserve"> USA</v>
      </c>
      <c r="P1306" s="60"/>
    </row>
    <row r="1307" spans="1:16">
      <c r="A1307" s="65">
        <v>1306</v>
      </c>
      <c r="B1307" s="80" t="s">
        <v>7747</v>
      </c>
      <c r="C1307" s="65" t="s">
        <v>136</v>
      </c>
      <c r="D1307" s="93" t="s">
        <v>847</v>
      </c>
      <c r="E1307" s="48" t="str">
        <f t="shared" si="0"/>
        <v>Tampa</v>
      </c>
      <c r="F1307" s="83" t="str">
        <f t="shared" si="1"/>
        <v>Berkeley Prep (Tampa),FL</v>
      </c>
      <c r="G1307" s="65" t="s">
        <v>7748</v>
      </c>
      <c r="H1307" s="65">
        <v>27.989958000000001</v>
      </c>
      <c r="I1307" s="65">
        <v>-82.563339999999997</v>
      </c>
      <c r="J1307" s="60" t="str">
        <f ca="1">IFERROR(__xludf.DUMMYFUNCTION("SPLIT(G1307,"","")"),"4811 Kelly Rd")</f>
        <v>4811 Kelly Rd</v>
      </c>
      <c r="K1307" s="2" t="str">
        <f ca="1">IFERROR(__xludf.DUMMYFUNCTION("""COMPUTED_VALUE""")," Tampa")</f>
        <v xml:space="preserve"> Tampa</v>
      </c>
      <c r="L1307" s="2" t="str">
        <f ca="1">IFERROR(__xludf.DUMMYFUNCTION("""COMPUTED_VALUE""")," FL 33615")</f>
        <v xml:space="preserve"> FL 33615</v>
      </c>
      <c r="M1307" s="2" t="str">
        <f ca="1">IFERROR(__xludf.DUMMYFUNCTION("""COMPUTED_VALUE""")," USA")</f>
        <v xml:space="preserve"> USA</v>
      </c>
      <c r="P1307" s="60"/>
    </row>
    <row r="1308" spans="1:16">
      <c r="A1308" s="60">
        <v>1307</v>
      </c>
      <c r="B1308" s="79" t="s">
        <v>7750</v>
      </c>
      <c r="C1308" s="60" t="s">
        <v>1055</v>
      </c>
      <c r="D1308" s="93" t="s">
        <v>7752</v>
      </c>
      <c r="E1308" s="48" t="str">
        <f t="shared" si="0"/>
        <v>Broken Arrow</v>
      </c>
      <c r="F1308" s="83" t="str">
        <f t="shared" si="1"/>
        <v>Broken Arrow,OK</v>
      </c>
      <c r="G1308" s="60" t="s">
        <v>7753</v>
      </c>
      <c r="H1308" s="60">
        <v>36.060949000000001</v>
      </c>
      <c r="I1308" s="60">
        <v>-95.7974526</v>
      </c>
      <c r="J1308" s="60" t="str">
        <f ca="1">IFERROR(__xludf.DUMMYFUNCTION("SPLIT(G1308,"","")"),"919 N Elm Pl")</f>
        <v>919 N Elm Pl</v>
      </c>
      <c r="K1308" s="2" t="str">
        <f ca="1">IFERROR(__xludf.DUMMYFUNCTION("""COMPUTED_VALUE""")," Broken Arrow")</f>
        <v xml:space="preserve"> Broken Arrow</v>
      </c>
      <c r="L1308" s="2" t="str">
        <f ca="1">IFERROR(__xludf.DUMMYFUNCTION("""COMPUTED_VALUE""")," OK 74012")</f>
        <v xml:space="preserve"> OK 74012</v>
      </c>
      <c r="M1308" s="2" t="str">
        <f ca="1">IFERROR(__xludf.DUMMYFUNCTION("""COMPUTED_VALUE""")," USA")</f>
        <v xml:space="preserve"> USA</v>
      </c>
      <c r="P1308" s="60"/>
    </row>
    <row r="1309" spans="1:16">
      <c r="A1309" s="65">
        <v>1308</v>
      </c>
      <c r="B1309" s="80" t="s">
        <v>7757</v>
      </c>
      <c r="C1309" s="65" t="s">
        <v>897</v>
      </c>
      <c r="D1309" s="93" t="s">
        <v>1401</v>
      </c>
      <c r="E1309" s="48" t="str">
        <f t="shared" si="0"/>
        <v>Riverside</v>
      </c>
      <c r="F1309" s="83" t="str">
        <f t="shared" si="1"/>
        <v>Park Hill South (Riverside),MO</v>
      </c>
      <c r="G1309" s="65" t="s">
        <v>7758</v>
      </c>
      <c r="H1309" s="65">
        <v>39.175997799999998</v>
      </c>
      <c r="I1309" s="65">
        <v>-94.625270200000003</v>
      </c>
      <c r="J1309" s="60" t="str">
        <f ca="1">IFERROR(__xludf.DUMMYFUNCTION("SPLIT(G1309,"","")"),"4500 River Park Dr")</f>
        <v>4500 River Park Dr</v>
      </c>
      <c r="K1309" s="2" t="str">
        <f ca="1">IFERROR(__xludf.DUMMYFUNCTION("""COMPUTED_VALUE""")," Riverside")</f>
        <v xml:space="preserve"> Riverside</v>
      </c>
      <c r="L1309" s="2" t="str">
        <f ca="1">IFERROR(__xludf.DUMMYFUNCTION("""COMPUTED_VALUE""")," MO 64150")</f>
        <v xml:space="preserve"> MO 64150</v>
      </c>
      <c r="M1309" s="2" t="str">
        <f ca="1">IFERROR(__xludf.DUMMYFUNCTION("""COMPUTED_VALUE""")," USA")</f>
        <v xml:space="preserve"> USA</v>
      </c>
      <c r="P1309" s="60"/>
    </row>
    <row r="1310" spans="1:16">
      <c r="A1310" s="60">
        <v>1309</v>
      </c>
      <c r="B1310" s="79" t="s">
        <v>7638</v>
      </c>
      <c r="C1310" s="60" t="s">
        <v>1322</v>
      </c>
      <c r="D1310" s="93" t="s">
        <v>2658</v>
      </c>
      <c r="E1310" s="48" t="str">
        <f t="shared" si="0"/>
        <v>Boulder</v>
      </c>
      <c r="F1310" s="83" t="str">
        <f t="shared" si="1"/>
        <v>Boulder,CO</v>
      </c>
      <c r="G1310" s="60" t="s">
        <v>7766</v>
      </c>
      <c r="H1310" s="60">
        <v>40.014985600000003</v>
      </c>
      <c r="I1310" s="60">
        <v>-105.27054560000001</v>
      </c>
      <c r="J1310" s="60" t="str">
        <f ca="1">IFERROR(__xludf.DUMMYFUNCTION("SPLIT(G1310,"","")"),"1515 19th St")</f>
        <v>1515 19th St</v>
      </c>
      <c r="K1310" s="2" t="str">
        <f ca="1">IFERROR(__xludf.DUMMYFUNCTION("""COMPUTED_VALUE""")," Boulder")</f>
        <v xml:space="preserve"> Boulder</v>
      </c>
      <c r="L1310" s="2" t="str">
        <f ca="1">IFERROR(__xludf.DUMMYFUNCTION("""COMPUTED_VALUE""")," CO 80302")</f>
        <v xml:space="preserve"> CO 80302</v>
      </c>
      <c r="M1310" s="2" t="str">
        <f ca="1">IFERROR(__xludf.DUMMYFUNCTION("""COMPUTED_VALUE""")," USA")</f>
        <v xml:space="preserve"> USA</v>
      </c>
      <c r="P1310" s="60"/>
    </row>
    <row r="1311" spans="1:16">
      <c r="A1311" s="65">
        <v>1310</v>
      </c>
      <c r="B1311" s="80" t="s">
        <v>7771</v>
      </c>
      <c r="C1311" s="65" t="s">
        <v>608</v>
      </c>
      <c r="D1311" s="93" t="s">
        <v>6765</v>
      </c>
      <c r="E1311" s="48" t="str">
        <f t="shared" si="0"/>
        <v>Cambridge</v>
      </c>
      <c r="F1311" s="83" t="str">
        <f t="shared" si="1"/>
        <v>Cambridge-Isanti (Cambridge),MN</v>
      </c>
      <c r="G1311" s="65" t="s">
        <v>7774</v>
      </c>
      <c r="H1311" s="65">
        <v>45.515925899999999</v>
      </c>
      <c r="I1311" s="65">
        <v>-93.281876499999996</v>
      </c>
      <c r="J1311" s="60" t="str">
        <f ca="1">IFERROR(__xludf.DUMMYFUNCTION("SPLIT(G1311,"","")"),"30175 Norway Dr NW")</f>
        <v>30175 Norway Dr NW</v>
      </c>
      <c r="K1311" s="2" t="str">
        <f ca="1">IFERROR(__xludf.DUMMYFUNCTION("""COMPUTED_VALUE""")," Cambridge")</f>
        <v xml:space="preserve"> Cambridge</v>
      </c>
      <c r="L1311" s="2" t="str">
        <f ca="1">IFERROR(__xludf.DUMMYFUNCTION("""COMPUTED_VALUE""")," MN 55008")</f>
        <v xml:space="preserve"> MN 55008</v>
      </c>
      <c r="M1311" s="2" t="str">
        <f ca="1">IFERROR(__xludf.DUMMYFUNCTION("""COMPUTED_VALUE""")," USA")</f>
        <v xml:space="preserve"> USA</v>
      </c>
      <c r="P1311" s="60"/>
    </row>
    <row r="1312" spans="1:16">
      <c r="A1312" s="60">
        <v>1311</v>
      </c>
      <c r="B1312" s="79" t="s">
        <v>7779</v>
      </c>
      <c r="C1312" s="60" t="s">
        <v>881</v>
      </c>
      <c r="D1312" s="93" t="s">
        <v>5884</v>
      </c>
      <c r="E1312" s="48" t="str">
        <f t="shared" si="0"/>
        <v>Paris</v>
      </c>
      <c r="F1312" s="83" t="str">
        <f t="shared" si="1"/>
        <v>Bourbon County (Paris),KY</v>
      </c>
      <c r="G1312" s="60" t="s">
        <v>7780</v>
      </c>
      <c r="H1312" s="60">
        <v>38.2097987</v>
      </c>
      <c r="I1312" s="60">
        <v>-84.252986899999996</v>
      </c>
      <c r="J1312" s="60" t="str">
        <f ca="1">IFERROR(__xludf.DUMMYFUNCTION("SPLIT(G1312,"","")"),"800 High St")</f>
        <v>800 High St</v>
      </c>
      <c r="K1312" s="2" t="str">
        <f ca="1">IFERROR(__xludf.DUMMYFUNCTION("""COMPUTED_VALUE""")," Paris")</f>
        <v xml:space="preserve"> Paris</v>
      </c>
      <c r="L1312" s="2" t="str">
        <f ca="1">IFERROR(__xludf.DUMMYFUNCTION("""COMPUTED_VALUE""")," KY 40361")</f>
        <v xml:space="preserve"> KY 40361</v>
      </c>
      <c r="M1312" s="2" t="str">
        <f ca="1">IFERROR(__xludf.DUMMYFUNCTION("""COMPUTED_VALUE""")," USA")</f>
        <v xml:space="preserve"> USA</v>
      </c>
      <c r="P1312" s="60"/>
    </row>
    <row r="1313" spans="1:16">
      <c r="A1313" s="65">
        <v>1312</v>
      </c>
      <c r="B1313" s="80" t="s">
        <v>7782</v>
      </c>
      <c r="C1313" s="65" t="s">
        <v>602</v>
      </c>
      <c r="D1313" s="93" t="s">
        <v>810</v>
      </c>
      <c r="E1313" s="48" t="str">
        <f t="shared" si="0"/>
        <v>Alexandria</v>
      </c>
      <c r="F1313" s="83" t="str">
        <f t="shared" si="1"/>
        <v>Bishop Ireton (Alexandria),VA</v>
      </c>
      <c r="G1313" s="65" t="s">
        <v>7784</v>
      </c>
      <c r="H1313" s="65">
        <v>38.809097399999999</v>
      </c>
      <c r="I1313" s="65">
        <v>-77.080923999999996</v>
      </c>
      <c r="J1313" s="60" t="str">
        <f ca="1">IFERROR(__xludf.DUMMYFUNCTION("SPLIT(G1313,"","")"),"201 Cambridge Rd")</f>
        <v>201 Cambridge Rd</v>
      </c>
      <c r="K1313" s="2" t="str">
        <f ca="1">IFERROR(__xludf.DUMMYFUNCTION("""COMPUTED_VALUE""")," Alexandria")</f>
        <v xml:space="preserve"> Alexandria</v>
      </c>
      <c r="L1313" s="2" t="str">
        <f ca="1">IFERROR(__xludf.DUMMYFUNCTION("""COMPUTED_VALUE""")," VA 22314")</f>
        <v xml:space="preserve"> VA 22314</v>
      </c>
      <c r="M1313" s="2" t="str">
        <f ca="1">IFERROR(__xludf.DUMMYFUNCTION("""COMPUTED_VALUE""")," USA")</f>
        <v xml:space="preserve"> USA</v>
      </c>
      <c r="P1313" s="60"/>
    </row>
    <row r="1314" spans="1:16">
      <c r="A1314" s="60">
        <v>1313</v>
      </c>
      <c r="B1314" s="79" t="s">
        <v>7787</v>
      </c>
      <c r="C1314" s="60" t="s">
        <v>604</v>
      </c>
      <c r="D1314" s="93" t="s">
        <v>7788</v>
      </c>
      <c r="E1314" s="48" t="str">
        <f t="shared" si="0"/>
        <v>Buffalo Grove</v>
      </c>
      <c r="F1314" s="83" t="str">
        <f t="shared" si="1"/>
        <v>Buffalo Grove,IL</v>
      </c>
      <c r="G1314" s="60" t="s">
        <v>7791</v>
      </c>
      <c r="H1314" s="60">
        <v>42.166283100000001</v>
      </c>
      <c r="I1314" s="60">
        <v>-87.963130800000002</v>
      </c>
      <c r="J1314" s="60" t="str">
        <f ca="1">IFERROR(__xludf.DUMMYFUNCTION("SPLIT(G1314,"","")"),"255 N BUFF ALO GROVE RD SUITE NUMBER 4831 IN POSTAL 60089 hL")</f>
        <v>255 N BUFF ALO GROVE RD SUITE NUMBER 4831 IN POSTAL 60089 hL</v>
      </c>
      <c r="K1314" s="2" t="str">
        <f ca="1">IFERROR(__xludf.DUMMYFUNCTION("""COMPUTED_VALUE""")," Buffalo Grove")</f>
        <v xml:space="preserve"> Buffalo Grove</v>
      </c>
      <c r="L1314" s="2" t="str">
        <f ca="1">IFERROR(__xludf.DUMMYFUNCTION("""COMPUTED_VALUE""")," IL 60089")</f>
        <v xml:space="preserve"> IL 60089</v>
      </c>
      <c r="M1314" s="2" t="str">
        <f ca="1">IFERROR(__xludf.DUMMYFUNCTION("""COMPUTED_VALUE""")," USA")</f>
        <v xml:space="preserve"> USA</v>
      </c>
      <c r="P1314" s="60"/>
    </row>
    <row r="1315" spans="1:16">
      <c r="A1315" s="65">
        <v>1314</v>
      </c>
      <c r="B1315" s="80" t="s">
        <v>7794</v>
      </c>
      <c r="C1315" s="65" t="s">
        <v>745</v>
      </c>
      <c r="D1315" s="93" t="s">
        <v>7795</v>
      </c>
      <c r="E1315" s="48" t="str">
        <f t="shared" si="0"/>
        <v>Pasco</v>
      </c>
      <c r="F1315" s="83" t="str">
        <f t="shared" si="1"/>
        <v>Chiawana (Pasco),WA</v>
      </c>
      <c r="G1315" s="65" t="s">
        <v>7797</v>
      </c>
      <c r="H1315" s="65">
        <v>46.257444199999988</v>
      </c>
      <c r="I1315" s="65">
        <v>-119.1969749</v>
      </c>
      <c r="J1315" s="60" t="str">
        <f ca="1">IFERROR(__xludf.DUMMYFUNCTION("SPLIT(G1315,"","")"),"8125 W Argent Rd")</f>
        <v>8125 W Argent Rd</v>
      </c>
      <c r="K1315" s="2" t="str">
        <f ca="1">IFERROR(__xludf.DUMMYFUNCTION("""COMPUTED_VALUE""")," Pasco")</f>
        <v xml:space="preserve"> Pasco</v>
      </c>
      <c r="L1315" s="2" t="str">
        <f ca="1">IFERROR(__xludf.DUMMYFUNCTION("""COMPUTED_VALUE""")," WA 99301")</f>
        <v xml:space="preserve"> WA 99301</v>
      </c>
      <c r="M1315" s="2" t="str">
        <f ca="1">IFERROR(__xludf.DUMMYFUNCTION("""COMPUTED_VALUE""")," USA")</f>
        <v xml:space="preserve"> USA</v>
      </c>
      <c r="P1315" s="60"/>
    </row>
    <row r="1316" spans="1:16">
      <c r="A1316" s="60">
        <v>1315</v>
      </c>
      <c r="B1316" s="79" t="s">
        <v>7799</v>
      </c>
      <c r="C1316" s="60" t="s">
        <v>588</v>
      </c>
      <c r="D1316" s="93" t="s">
        <v>2406</v>
      </c>
      <c r="E1316" s="48" t="str">
        <f t="shared" si="0"/>
        <v>Stockton</v>
      </c>
      <c r="F1316" s="83" t="str">
        <f t="shared" si="1"/>
        <v>Lincoln (Stockton),CA</v>
      </c>
      <c r="G1316" s="60" t="s">
        <v>7801</v>
      </c>
      <c r="H1316" s="60">
        <v>38.010634000000003</v>
      </c>
      <c r="I1316" s="60">
        <v>-121.33794570000001</v>
      </c>
      <c r="J1316" s="60" t="str">
        <f ca="1">IFERROR(__xludf.DUMMYFUNCTION("SPLIT(G1316,"","")"),"6844 Alexandria Pl")</f>
        <v>6844 Alexandria Pl</v>
      </c>
      <c r="K1316" s="2" t="str">
        <f ca="1">IFERROR(__xludf.DUMMYFUNCTION("""COMPUTED_VALUE""")," Stockton")</f>
        <v xml:space="preserve"> Stockton</v>
      </c>
      <c r="L1316" s="2" t="str">
        <f ca="1">IFERROR(__xludf.DUMMYFUNCTION("""COMPUTED_VALUE""")," CA 95207")</f>
        <v xml:space="preserve"> CA 95207</v>
      </c>
      <c r="M1316" s="2" t="str">
        <f ca="1">IFERROR(__xludf.DUMMYFUNCTION("""COMPUTED_VALUE""")," USA")</f>
        <v xml:space="preserve"> USA</v>
      </c>
      <c r="P1316" s="60"/>
    </row>
    <row r="1317" spans="1:16">
      <c r="A1317" s="65">
        <v>1316</v>
      </c>
      <c r="B1317" s="80" t="s">
        <v>7805</v>
      </c>
      <c r="C1317" s="65" t="s">
        <v>693</v>
      </c>
      <c r="D1317" s="93" t="s">
        <v>7806</v>
      </c>
      <c r="E1317" s="48" t="str">
        <f t="shared" si="0"/>
        <v>Clarksdale</v>
      </c>
      <c r="F1317" s="83" t="str">
        <f t="shared" si="1"/>
        <v>Coahoma Agricultural (Clarksdale),MS</v>
      </c>
      <c r="G1317" s="65" t="s">
        <v>7807</v>
      </c>
      <c r="H1317" s="65">
        <v>34.208054400000002</v>
      </c>
      <c r="I1317" s="65">
        <v>-90.607855100000009</v>
      </c>
      <c r="J1317" s="60" t="str">
        <f ca="1">IFERROR(__xludf.DUMMYFUNCTION("SPLIT(G1317,"","")"),"1535 W Lee Dr")</f>
        <v>1535 W Lee Dr</v>
      </c>
      <c r="K1317" s="2" t="str">
        <f ca="1">IFERROR(__xludf.DUMMYFUNCTION("""COMPUTED_VALUE""")," Clarksdale")</f>
        <v xml:space="preserve"> Clarksdale</v>
      </c>
      <c r="L1317" s="2" t="str">
        <f ca="1">IFERROR(__xludf.DUMMYFUNCTION("""COMPUTED_VALUE""")," MS 38614")</f>
        <v xml:space="preserve"> MS 38614</v>
      </c>
      <c r="M1317" s="2" t="str">
        <f ca="1">IFERROR(__xludf.DUMMYFUNCTION("""COMPUTED_VALUE""")," USA")</f>
        <v xml:space="preserve"> USA</v>
      </c>
      <c r="P1317" s="60"/>
    </row>
    <row r="1318" spans="1:16">
      <c r="A1318" s="60">
        <v>1317</v>
      </c>
      <c r="B1318" s="79" t="s">
        <v>7810</v>
      </c>
      <c r="C1318" s="60" t="s">
        <v>897</v>
      </c>
      <c r="D1318" s="93" t="s">
        <v>7811</v>
      </c>
      <c r="E1318" s="48" t="str">
        <f t="shared" si="0"/>
        <v>St Peters</v>
      </c>
      <c r="F1318" s="83" t="str">
        <f t="shared" si="1"/>
        <v>Living Word Christian (O'Fallon),MO</v>
      </c>
      <c r="G1318" s="60" t="s">
        <v>7813</v>
      </c>
      <c r="H1318" s="60">
        <v>38.7937911</v>
      </c>
      <c r="I1318" s="60">
        <v>-90.65885879999999</v>
      </c>
      <c r="J1318" s="60" t="str">
        <f ca="1">IFERROR(__xludf.DUMMYFUNCTION("SPLIT(G1318,"","")"),"555 Salt Lick Rd")</f>
        <v>555 Salt Lick Rd</v>
      </c>
      <c r="K1318" s="2" t="str">
        <f ca="1">IFERROR(__xludf.DUMMYFUNCTION("""COMPUTED_VALUE""")," St Peters")</f>
        <v xml:space="preserve"> St Peters</v>
      </c>
      <c r="L1318" s="2" t="str">
        <f ca="1">IFERROR(__xludf.DUMMYFUNCTION("""COMPUTED_VALUE""")," MO 63376")</f>
        <v xml:space="preserve"> MO 63376</v>
      </c>
      <c r="M1318" s="2" t="str">
        <f ca="1">IFERROR(__xludf.DUMMYFUNCTION("""COMPUTED_VALUE""")," USA")</f>
        <v xml:space="preserve"> USA</v>
      </c>
      <c r="P1318" s="60"/>
    </row>
    <row r="1319" spans="1:16">
      <c r="A1319" s="65">
        <v>1318</v>
      </c>
      <c r="B1319" s="80" t="s">
        <v>7815</v>
      </c>
      <c r="C1319" s="65" t="s">
        <v>1039</v>
      </c>
      <c r="D1319" s="93" t="s">
        <v>7816</v>
      </c>
      <c r="E1319" s="48" t="str">
        <f t="shared" si="0"/>
        <v>Needham</v>
      </c>
      <c r="F1319" s="83" t="str">
        <f t="shared" si="1"/>
        <v>Needham,MA</v>
      </c>
      <c r="G1319" s="65" t="s">
        <v>7818</v>
      </c>
      <c r="H1319" s="65">
        <v>42.280928500000002</v>
      </c>
      <c r="I1319" s="65">
        <v>-71.23775479999999</v>
      </c>
      <c r="J1319" s="60" t="str">
        <f ca="1">IFERROR(__xludf.DUMMYFUNCTION("SPLIT(G1319,"","")"),"Needham Center")</f>
        <v>Needham Center</v>
      </c>
      <c r="K1319" s="2" t="str">
        <f ca="1">IFERROR(__xludf.DUMMYFUNCTION("""COMPUTED_VALUE""")," Great Plain Ave")</f>
        <v xml:space="preserve"> Great Plain Ave</v>
      </c>
      <c r="L1319" s="2" t="str">
        <f ca="1">IFERROR(__xludf.DUMMYFUNCTION("""COMPUTED_VALUE""")," Eaton Rd")</f>
        <v xml:space="preserve"> Eaton Rd</v>
      </c>
      <c r="M1319" s="2" t="str">
        <f ca="1">IFERROR(__xludf.DUMMYFUNCTION("""COMPUTED_VALUE""")," Needham")</f>
        <v xml:space="preserve"> Needham</v>
      </c>
      <c r="N1319" s="2" t="str">
        <f ca="1">IFERROR(__xludf.DUMMYFUNCTION("""COMPUTED_VALUE""")," MA 02492")</f>
        <v xml:space="preserve"> MA 02492</v>
      </c>
      <c r="O1319" s="2" t="str">
        <f ca="1">IFERROR(__xludf.DUMMYFUNCTION("""COMPUTED_VALUE""")," USA")</f>
        <v xml:space="preserve"> USA</v>
      </c>
      <c r="P1319" s="60"/>
    </row>
    <row r="1320" spans="1:16">
      <c r="A1320" s="60">
        <v>1319</v>
      </c>
      <c r="B1320" s="79" t="s">
        <v>7822</v>
      </c>
      <c r="C1320" s="60" t="s">
        <v>1325</v>
      </c>
      <c r="D1320" s="93" t="s">
        <v>7823</v>
      </c>
      <c r="E1320" s="48" t="str">
        <f t="shared" si="0"/>
        <v>West Haven</v>
      </c>
      <c r="F1320" s="83" t="str">
        <f t="shared" si="1"/>
        <v>Notre Dame (West Haven),CT</v>
      </c>
      <c r="G1320" s="60" t="s">
        <v>7825</v>
      </c>
      <c r="H1320" s="60">
        <v>41.287927199999999</v>
      </c>
      <c r="I1320" s="60">
        <v>-72.960899599999991</v>
      </c>
      <c r="J1320" s="60" t="str">
        <f ca="1">IFERROR(__xludf.DUMMYFUNCTION("SPLIT(G1320,"","")"),"1 Notre Dame Way")</f>
        <v>1 Notre Dame Way</v>
      </c>
      <c r="K1320" s="2" t="str">
        <f ca="1">IFERROR(__xludf.DUMMYFUNCTION("""COMPUTED_VALUE""")," West Haven")</f>
        <v xml:space="preserve"> West Haven</v>
      </c>
      <c r="L1320" s="2" t="str">
        <f ca="1">IFERROR(__xludf.DUMMYFUNCTION("""COMPUTED_VALUE""")," CT 06516")</f>
        <v xml:space="preserve"> CT 06516</v>
      </c>
      <c r="M1320" s="2" t="str">
        <f ca="1">IFERROR(__xludf.DUMMYFUNCTION("""COMPUTED_VALUE""")," USA")</f>
        <v xml:space="preserve"> USA</v>
      </c>
      <c r="P1320" s="60"/>
    </row>
    <row r="1321" spans="1:16">
      <c r="A1321" s="65">
        <v>1320</v>
      </c>
      <c r="B1321" s="80" t="s">
        <v>4145</v>
      </c>
      <c r="C1321" s="65" t="s">
        <v>675</v>
      </c>
      <c r="D1321" s="93" t="s">
        <v>7828</v>
      </c>
      <c r="E1321" s="48" t="str">
        <f t="shared" si="0"/>
        <v>Pottsville</v>
      </c>
      <c r="F1321" s="83" t="str">
        <f t="shared" si="1"/>
        <v>Pottsville,PA</v>
      </c>
      <c r="G1321" s="65" t="s">
        <v>7830</v>
      </c>
      <c r="H1321" s="65">
        <v>40.685645600000001</v>
      </c>
      <c r="I1321" s="65">
        <v>-76.195498999999998</v>
      </c>
      <c r="J1321" s="60" t="str">
        <f ca="1">IFERROR(__xludf.DUMMYFUNCTION("SPLIT(G1321,"","")"),"18 N Centre St")</f>
        <v>18 N Centre St</v>
      </c>
      <c r="K1321" s="2" t="str">
        <f ca="1">IFERROR(__xludf.DUMMYFUNCTION("""COMPUTED_VALUE""")," Pottsville")</f>
        <v xml:space="preserve"> Pottsville</v>
      </c>
      <c r="L1321" s="2" t="str">
        <f ca="1">IFERROR(__xludf.DUMMYFUNCTION("""COMPUTED_VALUE""")," PA 17901")</f>
        <v xml:space="preserve"> PA 17901</v>
      </c>
      <c r="M1321" s="2" t="str">
        <f ca="1">IFERROR(__xludf.DUMMYFUNCTION("""COMPUTED_VALUE""")," USA")</f>
        <v xml:space="preserve"> USA</v>
      </c>
      <c r="P1321" s="60"/>
    </row>
    <row r="1322" spans="1:16">
      <c r="A1322" s="60">
        <v>1321</v>
      </c>
      <c r="B1322" s="79" t="s">
        <v>7832</v>
      </c>
      <c r="C1322" s="60" t="s">
        <v>624</v>
      </c>
      <c r="D1322" s="93" t="s">
        <v>7833</v>
      </c>
      <c r="E1322" s="48" t="str">
        <f t="shared" si="0"/>
        <v>Metairie</v>
      </c>
      <c r="F1322" s="83" t="str">
        <f t="shared" si="1"/>
        <v>Crescent City Christian (Metairie),LA</v>
      </c>
      <c r="G1322" s="60" t="s">
        <v>7834</v>
      </c>
      <c r="H1322" s="60">
        <v>30.000265899999999</v>
      </c>
      <c r="I1322" s="60">
        <v>-90.190732999999994</v>
      </c>
      <c r="J1322" s="60" t="str">
        <f ca="1">IFERROR(__xludf.DUMMYFUNCTION("SPLIT(G1322,"","")"),"4833 Utica St")</f>
        <v>4833 Utica St</v>
      </c>
      <c r="K1322" s="2" t="str">
        <f ca="1">IFERROR(__xludf.DUMMYFUNCTION("""COMPUTED_VALUE""")," Metairie")</f>
        <v xml:space="preserve"> Metairie</v>
      </c>
      <c r="L1322" s="2" t="str">
        <f ca="1">IFERROR(__xludf.DUMMYFUNCTION("""COMPUTED_VALUE""")," LA 70006")</f>
        <v xml:space="preserve"> LA 70006</v>
      </c>
      <c r="M1322" s="2" t="str">
        <f ca="1">IFERROR(__xludf.DUMMYFUNCTION("""COMPUTED_VALUE""")," USA")</f>
        <v xml:space="preserve"> USA</v>
      </c>
      <c r="P1322" s="60"/>
    </row>
    <row r="1323" spans="1:16">
      <c r="A1323" s="65">
        <v>1322</v>
      </c>
      <c r="B1323" s="80" t="s">
        <v>7836</v>
      </c>
      <c r="C1323" s="65" t="s">
        <v>191</v>
      </c>
      <c r="D1323" s="93" t="s">
        <v>7837</v>
      </c>
      <c r="E1323" s="48" t="str">
        <f t="shared" si="0"/>
        <v>Dutton</v>
      </c>
      <c r="F1323" s="83" t="str">
        <f t="shared" si="1"/>
        <v>South Christian (Grand Rapids),MI</v>
      </c>
      <c r="G1323" s="65" t="s">
        <v>7839</v>
      </c>
      <c r="H1323" s="65">
        <v>42.819152799999998</v>
      </c>
      <c r="I1323" s="65">
        <v>-85.628280599999997</v>
      </c>
      <c r="J1323" s="60" t="str">
        <f ca="1">IFERROR(__xludf.DUMMYFUNCTION("SPLIT(G1323,"","")"),"7895 Kalamazoo Ave SE")</f>
        <v>7895 Kalamazoo Ave SE</v>
      </c>
      <c r="K1323" s="2" t="str">
        <f ca="1">IFERROR(__xludf.DUMMYFUNCTION("""COMPUTED_VALUE""")," Dutton")</f>
        <v xml:space="preserve"> Dutton</v>
      </c>
      <c r="L1323" s="2" t="str">
        <f ca="1">IFERROR(__xludf.DUMMYFUNCTION("""COMPUTED_VALUE""")," MI 49316")</f>
        <v xml:space="preserve"> MI 49316</v>
      </c>
      <c r="M1323" s="2" t="str">
        <f ca="1">IFERROR(__xludf.DUMMYFUNCTION("""COMPUTED_VALUE""")," USA")</f>
        <v xml:space="preserve"> USA</v>
      </c>
      <c r="P1323" s="60"/>
    </row>
    <row r="1324" spans="1:16">
      <c r="A1324" s="60">
        <v>1323</v>
      </c>
      <c r="B1324" s="79" t="s">
        <v>7840</v>
      </c>
      <c r="C1324" s="60" t="s">
        <v>604</v>
      </c>
      <c r="D1324" s="93" t="s">
        <v>4716</v>
      </c>
      <c r="E1324" s="48" t="str">
        <f t="shared" si="0"/>
        <v>Normal</v>
      </c>
      <c r="F1324" s="83" t="str">
        <f t="shared" si="1"/>
        <v>Normal Community (Normal),IL</v>
      </c>
      <c r="G1324" s="60" t="s">
        <v>7842</v>
      </c>
      <c r="H1324" s="60">
        <v>40.533144900000003</v>
      </c>
      <c r="I1324" s="60">
        <v>-88.914877700000005</v>
      </c>
      <c r="J1324" s="60" t="str">
        <f ca="1">IFERROR(__xludf.DUMMYFUNCTION("SPLIT(G1324,"","")"),"3900 E Raab Rd")</f>
        <v>3900 E Raab Rd</v>
      </c>
      <c r="K1324" s="2" t="str">
        <f ca="1">IFERROR(__xludf.DUMMYFUNCTION("""COMPUTED_VALUE""")," Normal")</f>
        <v xml:space="preserve"> Normal</v>
      </c>
      <c r="L1324" s="2" t="str">
        <f ca="1">IFERROR(__xludf.DUMMYFUNCTION("""COMPUTED_VALUE""")," IL 61761")</f>
        <v xml:space="preserve"> IL 61761</v>
      </c>
      <c r="M1324" s="2" t="str">
        <f ca="1">IFERROR(__xludf.DUMMYFUNCTION("""COMPUTED_VALUE""")," USA")</f>
        <v xml:space="preserve"> USA</v>
      </c>
      <c r="P1324" s="60"/>
    </row>
    <row r="1325" spans="1:16">
      <c r="A1325" s="65">
        <v>1324</v>
      </c>
      <c r="B1325" s="80" t="s">
        <v>7846</v>
      </c>
      <c r="C1325" s="65" t="s">
        <v>608</v>
      </c>
      <c r="D1325" s="93" t="s">
        <v>7847</v>
      </c>
      <c r="E1325" s="48" t="str">
        <f t="shared" si="0"/>
        <v>Fergus Falls</v>
      </c>
      <c r="F1325" s="83" t="str">
        <f t="shared" si="1"/>
        <v>Fergus Falls,MN</v>
      </c>
      <c r="G1325" s="65" t="s">
        <v>7848</v>
      </c>
      <c r="H1325" s="65">
        <v>46.283521200000003</v>
      </c>
      <c r="I1325" s="65">
        <v>-96.077788699999999</v>
      </c>
      <c r="J1325" s="60" t="str">
        <f ca="1">IFERROR(__xludf.DUMMYFUNCTION("SPLIT(G1325,"","")"),"109 N Union Ave")</f>
        <v>109 N Union Ave</v>
      </c>
      <c r="K1325" s="2" t="str">
        <f ca="1">IFERROR(__xludf.DUMMYFUNCTION("""COMPUTED_VALUE""")," Fergus Falls")</f>
        <v xml:space="preserve"> Fergus Falls</v>
      </c>
      <c r="L1325" s="2" t="str">
        <f ca="1">IFERROR(__xludf.DUMMYFUNCTION("""COMPUTED_VALUE""")," MN 56537")</f>
        <v xml:space="preserve"> MN 56537</v>
      </c>
      <c r="M1325" s="2" t="str">
        <f ca="1">IFERROR(__xludf.DUMMYFUNCTION("""COMPUTED_VALUE""")," USA")</f>
        <v xml:space="preserve"> USA</v>
      </c>
      <c r="P1325" s="60"/>
    </row>
    <row r="1326" spans="1:16">
      <c r="A1326" s="97">
        <v>1325</v>
      </c>
      <c r="B1326" s="99" t="s">
        <v>7853</v>
      </c>
      <c r="C1326" s="97" t="s">
        <v>881</v>
      </c>
      <c r="D1326" s="93" t="s">
        <v>7855</v>
      </c>
      <c r="E1326" s="48" t="str">
        <f t="shared" si="0"/>
        <v>Paducah</v>
      </c>
      <c r="F1326" s="83" t="str">
        <f t="shared" si="1"/>
        <v>McCracken County (Paducah),KY</v>
      </c>
      <c r="G1326" s="97" t="s">
        <v>7856</v>
      </c>
      <c r="H1326" s="97">
        <v>37.0833893</v>
      </c>
      <c r="I1326" s="97">
        <v>-88.600047799999999</v>
      </c>
      <c r="J1326" s="60" t="str">
        <f ca="1">IFERROR(__xludf.DUMMYFUNCTION("SPLIT(G1326,"","")"),"621 Washington St")</f>
        <v>621 Washington St</v>
      </c>
      <c r="K1326" s="2" t="str">
        <f ca="1">IFERROR(__xludf.DUMMYFUNCTION("""COMPUTED_VALUE""")," Paducah")</f>
        <v xml:space="preserve"> Paducah</v>
      </c>
      <c r="L1326" s="2" t="str">
        <f ca="1">IFERROR(__xludf.DUMMYFUNCTION("""COMPUTED_VALUE""")," KY 42003")</f>
        <v xml:space="preserve"> KY 42003</v>
      </c>
      <c r="M1326" s="2" t="str">
        <f ca="1">IFERROR(__xludf.DUMMYFUNCTION("""COMPUTED_VALUE""")," USA")</f>
        <v xml:space="preserve"> USA</v>
      </c>
      <c r="P1326" s="60"/>
    </row>
    <row r="1327" spans="1:16">
      <c r="A1327" s="60">
        <v>1326</v>
      </c>
      <c r="B1327" s="79" t="s">
        <v>7861</v>
      </c>
      <c r="C1327" s="60" t="s">
        <v>71</v>
      </c>
      <c r="D1327" s="93" t="s">
        <v>7862</v>
      </c>
      <c r="E1327" s="48" t="str">
        <f t="shared" si="0"/>
        <v>Cave Creek</v>
      </c>
      <c r="F1327" s="83" t="str">
        <f t="shared" si="1"/>
        <v>Cactus Shadows (Cave Creek),AZ</v>
      </c>
      <c r="G1327" s="60" t="s">
        <v>7864</v>
      </c>
      <c r="H1327" s="60">
        <v>33.784814699999998</v>
      </c>
      <c r="I1327" s="60">
        <v>-111.9562547</v>
      </c>
      <c r="J1327" s="60" t="str">
        <f ca="1">IFERROR(__xludf.DUMMYFUNCTION("SPLIT(G1327,"","")"),"5802 E Dove Valley Rd")</f>
        <v>5802 E Dove Valley Rd</v>
      </c>
      <c r="K1327" s="2" t="str">
        <f ca="1">IFERROR(__xludf.DUMMYFUNCTION("""COMPUTED_VALUE""")," Cave Creek")</f>
        <v xml:space="preserve"> Cave Creek</v>
      </c>
      <c r="L1327" s="2" t="str">
        <f ca="1">IFERROR(__xludf.DUMMYFUNCTION("""COMPUTED_VALUE""")," AZ 85331")</f>
        <v xml:space="preserve"> AZ 85331</v>
      </c>
      <c r="M1327" s="2" t="str">
        <f ca="1">IFERROR(__xludf.DUMMYFUNCTION("""COMPUTED_VALUE""")," USA")</f>
        <v xml:space="preserve"> USA</v>
      </c>
      <c r="P1327" s="60"/>
    </row>
    <row r="1328" spans="1:16">
      <c r="A1328" s="65">
        <v>1327</v>
      </c>
      <c r="B1328" s="80" t="s">
        <v>7868</v>
      </c>
      <c r="C1328" s="65" t="s">
        <v>1325</v>
      </c>
      <c r="D1328" s="93" t="s">
        <v>7712</v>
      </c>
      <c r="E1328" s="48" t="str">
        <f t="shared" si="0"/>
        <v>Norwich</v>
      </c>
      <c r="F1328" s="83" t="str">
        <f t="shared" si="1"/>
        <v>Norwich Free Academy (Norwich),CT</v>
      </c>
      <c r="G1328" s="65" t="s">
        <v>7870</v>
      </c>
      <c r="H1328" s="65">
        <v>41.536985000000001</v>
      </c>
      <c r="I1328" s="65">
        <v>-72.082521999999997</v>
      </c>
      <c r="J1328" s="60" t="str">
        <f ca="1">IFERROR(__xludf.DUMMYFUNCTION("SPLIT(G1328,"","")"),"305 Broadway")</f>
        <v>305 Broadway</v>
      </c>
      <c r="K1328" s="2" t="str">
        <f ca="1">IFERROR(__xludf.DUMMYFUNCTION("""COMPUTED_VALUE""")," Norwich")</f>
        <v xml:space="preserve"> Norwich</v>
      </c>
      <c r="L1328" s="2" t="str">
        <f ca="1">IFERROR(__xludf.DUMMYFUNCTION("""COMPUTED_VALUE""")," CT 06360")</f>
        <v xml:space="preserve"> CT 06360</v>
      </c>
      <c r="M1328" s="2" t="str">
        <f ca="1">IFERROR(__xludf.DUMMYFUNCTION("""COMPUTED_VALUE""")," USA")</f>
        <v xml:space="preserve"> USA</v>
      </c>
      <c r="P1328" s="60"/>
    </row>
    <row r="1329" spans="1:16">
      <c r="A1329" s="60">
        <v>1328</v>
      </c>
      <c r="B1329" s="79" t="s">
        <v>7873</v>
      </c>
      <c r="C1329" s="60" t="s">
        <v>191</v>
      </c>
      <c r="D1329" s="93" t="s">
        <v>6845</v>
      </c>
      <c r="E1329" s="48" t="str">
        <f t="shared" si="0"/>
        <v>Traverse City</v>
      </c>
      <c r="F1329" s="83" t="str">
        <f t="shared" si="1"/>
        <v>St. Francis (Traverse City),MI</v>
      </c>
      <c r="G1329" s="60" t="s">
        <v>7874</v>
      </c>
      <c r="H1329" s="60">
        <v>44.755983499999999</v>
      </c>
      <c r="I1329" s="60">
        <v>-85.6221326</v>
      </c>
      <c r="J1329" s="60" t="str">
        <f ca="1">IFERROR(__xludf.DUMMYFUNCTION("SPLIT(G1329,"","")"),"123 E Eleventh St")</f>
        <v>123 E Eleventh St</v>
      </c>
      <c r="K1329" s="2" t="str">
        <f ca="1">IFERROR(__xludf.DUMMYFUNCTION("""COMPUTED_VALUE""")," Traverse City")</f>
        <v xml:space="preserve"> Traverse City</v>
      </c>
      <c r="L1329" s="2" t="str">
        <f ca="1">IFERROR(__xludf.DUMMYFUNCTION("""COMPUTED_VALUE""")," MI 49684")</f>
        <v xml:space="preserve"> MI 49684</v>
      </c>
      <c r="M1329" s="2" t="str">
        <f ca="1">IFERROR(__xludf.DUMMYFUNCTION("""COMPUTED_VALUE""")," USA")</f>
        <v xml:space="preserve"> USA</v>
      </c>
      <c r="P1329" s="60"/>
    </row>
    <row r="1330" spans="1:16">
      <c r="A1330" s="65">
        <v>1329</v>
      </c>
      <c r="B1330" s="80" t="s">
        <v>7879</v>
      </c>
      <c r="C1330" s="65" t="s">
        <v>69</v>
      </c>
      <c r="D1330" s="93" t="s">
        <v>7881</v>
      </c>
      <c r="E1330" s="48" t="str">
        <f t="shared" si="0"/>
        <v>Alabaster</v>
      </c>
      <c r="F1330" s="83" t="str">
        <f t="shared" si="1"/>
        <v>Thompson (Alabaster),AL</v>
      </c>
      <c r="G1330" s="65" t="s">
        <v>7882</v>
      </c>
      <c r="H1330" s="65">
        <v>33.216248399999998</v>
      </c>
      <c r="I1330" s="65">
        <v>-86.838775700000014</v>
      </c>
      <c r="J1330" s="60" t="str">
        <f ca="1">IFERROR(__xludf.DUMMYFUNCTION("SPLIT(G1330,"","")"),"1509 Kent Dairy Rd")</f>
        <v>1509 Kent Dairy Rd</v>
      </c>
      <c r="K1330" s="2" t="str">
        <f ca="1">IFERROR(__xludf.DUMMYFUNCTION("""COMPUTED_VALUE""")," Alabaster")</f>
        <v xml:space="preserve"> Alabaster</v>
      </c>
      <c r="L1330" s="2" t="str">
        <f ca="1">IFERROR(__xludf.DUMMYFUNCTION("""COMPUTED_VALUE""")," AL 35007")</f>
        <v xml:space="preserve"> AL 35007</v>
      </c>
      <c r="M1330" s="2" t="str">
        <f ca="1">IFERROR(__xludf.DUMMYFUNCTION("""COMPUTED_VALUE""")," USA")</f>
        <v xml:space="preserve"> USA</v>
      </c>
      <c r="P1330" s="60"/>
    </row>
    <row r="1331" spans="1:16">
      <c r="A1331" s="60">
        <v>1330</v>
      </c>
      <c r="B1331" s="79" t="s">
        <v>7886</v>
      </c>
      <c r="C1331" s="60" t="s">
        <v>624</v>
      </c>
      <c r="D1331" s="93" t="s">
        <v>6702</v>
      </c>
      <c r="E1331" s="48" t="str">
        <f t="shared" si="0"/>
        <v>Shreveport</v>
      </c>
      <c r="F1331" s="83" t="str">
        <f t="shared" si="1"/>
        <v>Southwood (Shreveport),LA</v>
      </c>
      <c r="G1331" s="60" t="s">
        <v>7887</v>
      </c>
      <c r="H1331" s="60">
        <v>32.408853000000001</v>
      </c>
      <c r="I1331" s="60">
        <v>-93.817137599999995</v>
      </c>
      <c r="J1331" s="60" t="str">
        <f ca="1">IFERROR(__xludf.DUMMYFUNCTION("SPLIT(G1331,"","")"),"9000 Walker Rd")</f>
        <v>9000 Walker Rd</v>
      </c>
      <c r="K1331" s="2" t="str">
        <f ca="1">IFERROR(__xludf.DUMMYFUNCTION("""COMPUTED_VALUE""")," Shreveport")</f>
        <v xml:space="preserve"> Shreveport</v>
      </c>
      <c r="L1331" s="2" t="str">
        <f ca="1">IFERROR(__xludf.DUMMYFUNCTION("""COMPUTED_VALUE""")," LA 71118")</f>
        <v xml:space="preserve"> LA 71118</v>
      </c>
      <c r="M1331" s="2" t="str">
        <f ca="1">IFERROR(__xludf.DUMMYFUNCTION("""COMPUTED_VALUE""")," USA")</f>
        <v xml:space="preserve"> USA</v>
      </c>
      <c r="P1331" s="60"/>
    </row>
    <row r="1332" spans="1:16">
      <c r="A1332" s="65">
        <v>1331</v>
      </c>
      <c r="B1332" s="80" t="s">
        <v>7891</v>
      </c>
      <c r="C1332" s="65" t="s">
        <v>598</v>
      </c>
      <c r="D1332" s="93" t="s">
        <v>5977</v>
      </c>
      <c r="E1332" s="48" t="str">
        <f t="shared" si="0"/>
        <v>Jefferson</v>
      </c>
      <c r="F1332" s="83" t="str">
        <f t="shared" si="1"/>
        <v>Jefferson,GA</v>
      </c>
      <c r="G1332" s="65" t="s">
        <v>7893</v>
      </c>
      <c r="H1332" s="65">
        <v>34.1170537</v>
      </c>
      <c r="I1332" s="65">
        <v>-83.572387599999999</v>
      </c>
      <c r="J1332" s="60" t="str">
        <f ca="1">IFERROR(__xludf.DUMMYFUNCTION("SPLIT(G1332,"","")"),"36 W Public Square")</f>
        <v>36 W Public Square</v>
      </c>
      <c r="K1332" s="2" t="str">
        <f ca="1">IFERROR(__xludf.DUMMYFUNCTION("""COMPUTED_VALUE""")," Jefferson")</f>
        <v xml:space="preserve"> Jefferson</v>
      </c>
      <c r="L1332" s="2" t="str">
        <f ca="1">IFERROR(__xludf.DUMMYFUNCTION("""COMPUTED_VALUE""")," GA 30549")</f>
        <v xml:space="preserve"> GA 30549</v>
      </c>
      <c r="M1332" s="2" t="str">
        <f ca="1">IFERROR(__xludf.DUMMYFUNCTION("""COMPUTED_VALUE""")," USA")</f>
        <v xml:space="preserve"> USA</v>
      </c>
      <c r="P1332" s="60"/>
    </row>
    <row r="1333" spans="1:16">
      <c r="A1333" s="60">
        <v>1332</v>
      </c>
      <c r="B1333" s="79" t="s">
        <v>7898</v>
      </c>
      <c r="C1333" s="60" t="s">
        <v>745</v>
      </c>
      <c r="D1333" s="93" t="s">
        <v>7899</v>
      </c>
      <c r="E1333" s="48" t="str">
        <f t="shared" si="0"/>
        <v>Kennewick</v>
      </c>
      <c r="F1333" s="83" t="str">
        <f t="shared" si="1"/>
        <v>Kamiakin (Kennewick),WA</v>
      </c>
      <c r="G1333" s="60" t="s">
        <v>7900</v>
      </c>
      <c r="H1333" s="60">
        <v>46.216791999999998</v>
      </c>
      <c r="I1333" s="60">
        <v>-119.1869781</v>
      </c>
      <c r="J1333" s="60" t="str">
        <f ca="1">IFERROR(__xludf.DUMMYFUNCTION("SPLIT(G1333,"","")"),"600 N Arthur St")</f>
        <v>600 N Arthur St</v>
      </c>
      <c r="K1333" s="2" t="str">
        <f ca="1">IFERROR(__xludf.DUMMYFUNCTION("""COMPUTED_VALUE""")," Kennewick")</f>
        <v xml:space="preserve"> Kennewick</v>
      </c>
      <c r="L1333" s="2" t="str">
        <f ca="1">IFERROR(__xludf.DUMMYFUNCTION("""COMPUTED_VALUE""")," WA 99336")</f>
        <v xml:space="preserve"> WA 99336</v>
      </c>
      <c r="M1333" s="2" t="str">
        <f ca="1">IFERROR(__xludf.DUMMYFUNCTION("""COMPUTED_VALUE""")," USA")</f>
        <v xml:space="preserve"> USA</v>
      </c>
      <c r="P1333" s="60"/>
    </row>
    <row r="1334" spans="1:16">
      <c r="A1334" s="65">
        <v>1333</v>
      </c>
      <c r="B1334" s="80" t="s">
        <v>7903</v>
      </c>
      <c r="C1334" s="65" t="s">
        <v>136</v>
      </c>
      <c r="D1334" s="93" t="s">
        <v>1103</v>
      </c>
      <c r="E1334" s="48" t="str">
        <f t="shared" si="0"/>
        <v>Jacksonville</v>
      </c>
      <c r="F1334" s="83" t="str">
        <f t="shared" si="1"/>
        <v>Potter's House Christian (Jacksonville),FL</v>
      </c>
      <c r="G1334" s="65" t="s">
        <v>7905</v>
      </c>
      <c r="H1334" s="65">
        <v>30.3040764</v>
      </c>
      <c r="I1334" s="65">
        <v>-81.75223969999999</v>
      </c>
      <c r="J1334" s="60" t="str">
        <f ca="1">IFERROR(__xludf.DUMMYFUNCTION("SPLIT(G1334,"","")"),"1150 Lane Ave S")</f>
        <v>1150 Lane Ave S</v>
      </c>
      <c r="K1334" s="2" t="str">
        <f ca="1">IFERROR(__xludf.DUMMYFUNCTION("""COMPUTED_VALUE""")," Jacksonville")</f>
        <v xml:space="preserve"> Jacksonville</v>
      </c>
      <c r="L1334" s="2" t="str">
        <f ca="1">IFERROR(__xludf.DUMMYFUNCTION("""COMPUTED_VALUE""")," FL 32205")</f>
        <v xml:space="preserve"> FL 32205</v>
      </c>
      <c r="M1334" s="2" t="str">
        <f ca="1">IFERROR(__xludf.DUMMYFUNCTION("""COMPUTED_VALUE""")," USA")</f>
        <v xml:space="preserve"> USA</v>
      </c>
      <c r="P1334" s="60"/>
    </row>
    <row r="1335" spans="1:16">
      <c r="A1335" s="60">
        <v>1334</v>
      </c>
      <c r="B1335" s="79" t="s">
        <v>7908</v>
      </c>
      <c r="C1335" s="60" t="s">
        <v>595</v>
      </c>
      <c r="D1335" s="93" t="s">
        <v>2998</v>
      </c>
      <c r="E1335" s="48" t="str">
        <f t="shared" si="0"/>
        <v>Mansfield</v>
      </c>
      <c r="F1335" s="83" t="str">
        <f t="shared" si="1"/>
        <v>Lake Ridge (Mansfield),TX</v>
      </c>
      <c r="G1335" s="60" t="s">
        <v>7910</v>
      </c>
      <c r="H1335" s="60">
        <v>32.571365499999999</v>
      </c>
      <c r="I1335" s="60">
        <v>-97.055784599999996</v>
      </c>
      <c r="J1335" s="60" t="str">
        <f ca="1">IFERROR(__xludf.DUMMYFUNCTION("SPLIT(G1335,"","")"),"101 Day Miar Rd")</f>
        <v>101 Day Miar Rd</v>
      </c>
      <c r="K1335" s="2" t="str">
        <f ca="1">IFERROR(__xludf.DUMMYFUNCTION("""COMPUTED_VALUE""")," Mansfield")</f>
        <v xml:space="preserve"> Mansfield</v>
      </c>
      <c r="L1335" s="2" t="str">
        <f ca="1">IFERROR(__xludf.DUMMYFUNCTION("""COMPUTED_VALUE""")," TX 76063")</f>
        <v xml:space="preserve"> TX 76063</v>
      </c>
      <c r="M1335" s="2" t="str">
        <f ca="1">IFERROR(__xludf.DUMMYFUNCTION("""COMPUTED_VALUE""")," USA")</f>
        <v xml:space="preserve"> USA</v>
      </c>
      <c r="P1335" s="60"/>
    </row>
    <row r="1336" spans="1:16">
      <c r="A1336" s="65">
        <v>1335</v>
      </c>
      <c r="B1336" s="80" t="s">
        <v>7915</v>
      </c>
      <c r="C1336" s="65" t="s">
        <v>588</v>
      </c>
      <c r="D1336" s="93" t="s">
        <v>3018</v>
      </c>
      <c r="E1336" s="48" t="str">
        <f t="shared" si="0"/>
        <v>Anaheim</v>
      </c>
      <c r="F1336" s="83" t="str">
        <f t="shared" si="1"/>
        <v>Servite (Anaheim),CA</v>
      </c>
      <c r="G1336" s="65" t="s">
        <v>7916</v>
      </c>
      <c r="H1336" s="65">
        <v>33.846796300000001</v>
      </c>
      <c r="I1336" s="65">
        <v>-117.94917959999999</v>
      </c>
      <c r="J1336" s="60" t="str">
        <f ca="1">IFERROR(__xludf.DUMMYFUNCTION("SPLIT(G1336,"","")"),"1952 W La Palma Ave")</f>
        <v>1952 W La Palma Ave</v>
      </c>
      <c r="K1336" s="2" t="str">
        <f ca="1">IFERROR(__xludf.DUMMYFUNCTION("""COMPUTED_VALUE""")," Anaheim")</f>
        <v xml:space="preserve"> Anaheim</v>
      </c>
      <c r="L1336" s="2" t="str">
        <f ca="1">IFERROR(__xludf.DUMMYFUNCTION("""COMPUTED_VALUE""")," CA 92801")</f>
        <v xml:space="preserve"> CA 92801</v>
      </c>
      <c r="M1336" s="2" t="str">
        <f ca="1">IFERROR(__xludf.DUMMYFUNCTION("""COMPUTED_VALUE""")," USA")</f>
        <v xml:space="preserve"> USA</v>
      </c>
      <c r="P1336" s="60"/>
    </row>
    <row r="1337" spans="1:16">
      <c r="A1337" s="60">
        <v>1336</v>
      </c>
      <c r="B1337" s="79" t="s">
        <v>1640</v>
      </c>
      <c r="C1337" s="60" t="s">
        <v>179</v>
      </c>
      <c r="D1337" s="93" t="s">
        <v>7919</v>
      </c>
      <c r="E1337" s="48" t="str">
        <f t="shared" si="0"/>
        <v>Clayton</v>
      </c>
      <c r="F1337" s="83" t="str">
        <f t="shared" si="1"/>
        <v>Clayton,NC</v>
      </c>
      <c r="G1337" s="60" t="s">
        <v>7922</v>
      </c>
      <c r="H1337" s="60">
        <v>35.650711000000001</v>
      </c>
      <c r="I1337" s="60">
        <v>-78.456391400000001</v>
      </c>
      <c r="J1337" s="60" t="str">
        <f ca="1">IFERROR(__xludf.DUMMYFUNCTION("SPLIT(G1337,"","")"),"137 N Lombard St")</f>
        <v>137 N Lombard St</v>
      </c>
      <c r="K1337" s="2" t="str">
        <f ca="1">IFERROR(__xludf.DUMMYFUNCTION("""COMPUTED_VALUE""")," Clayton")</f>
        <v xml:space="preserve"> Clayton</v>
      </c>
      <c r="L1337" s="2" t="str">
        <f ca="1">IFERROR(__xludf.DUMMYFUNCTION("""COMPUTED_VALUE""")," NC 27520")</f>
        <v xml:space="preserve"> NC 27520</v>
      </c>
      <c r="M1337" s="2" t="str">
        <f ca="1">IFERROR(__xludf.DUMMYFUNCTION("""COMPUTED_VALUE""")," USA")</f>
        <v xml:space="preserve"> USA</v>
      </c>
      <c r="P1337" s="60"/>
    </row>
    <row r="1338" spans="1:16">
      <c r="A1338" s="65">
        <v>1337</v>
      </c>
      <c r="B1338" s="80" t="s">
        <v>1866</v>
      </c>
      <c r="C1338" s="65" t="s">
        <v>69</v>
      </c>
      <c r="D1338" s="93" t="s">
        <v>7926</v>
      </c>
      <c r="E1338" s="48" t="str">
        <f t="shared" si="0"/>
        <v>Hoover</v>
      </c>
      <c r="F1338" s="83" t="str">
        <f t="shared" si="1"/>
        <v>Hoover,AL</v>
      </c>
      <c r="G1338" s="65" t="s">
        <v>7927</v>
      </c>
      <c r="H1338" s="65">
        <v>33.405386700000001</v>
      </c>
      <c r="I1338" s="65">
        <v>-86.811378099999999</v>
      </c>
      <c r="J1338" s="60" t="str">
        <f ca="1">IFERROR(__xludf.DUMMYFUNCTION("SPLIT(G1338,"","")"),"2 Chase Corporate Center Dr")</f>
        <v>2 Chase Corporate Center Dr</v>
      </c>
      <c r="K1338" s="2" t="str">
        <f ca="1">IFERROR(__xludf.DUMMYFUNCTION("""COMPUTED_VALUE""")," Hoover")</f>
        <v xml:space="preserve"> Hoover</v>
      </c>
      <c r="L1338" s="2" t="str">
        <f ca="1">IFERROR(__xludf.DUMMYFUNCTION("""COMPUTED_VALUE""")," AL 35226")</f>
        <v xml:space="preserve"> AL 35226</v>
      </c>
      <c r="M1338" s="2" t="str">
        <f ca="1">IFERROR(__xludf.DUMMYFUNCTION("""COMPUTED_VALUE""")," USA")</f>
        <v xml:space="preserve"> USA</v>
      </c>
      <c r="P1338" s="60"/>
    </row>
    <row r="1339" spans="1:16">
      <c r="A1339" s="60">
        <v>1338</v>
      </c>
      <c r="B1339" s="79" t="s">
        <v>7931</v>
      </c>
      <c r="C1339" s="60" t="s">
        <v>1067</v>
      </c>
      <c r="D1339" s="93" t="s">
        <v>7933</v>
      </c>
      <c r="E1339" s="48" t="str">
        <f t="shared" si="0"/>
        <v>Ashburnham</v>
      </c>
      <c r="F1339" s="83" t="str">
        <f t="shared" si="1"/>
        <v>Cushing Academy (Ashburnham),PS</v>
      </c>
      <c r="G1339" s="60" t="s">
        <v>7936</v>
      </c>
      <c r="H1339" s="60">
        <v>42.632999499999997</v>
      </c>
      <c r="I1339" s="60">
        <v>-71.912647300000003</v>
      </c>
      <c r="J1339" s="60" t="str">
        <f ca="1">IFERROR(__xludf.DUMMYFUNCTION("SPLIT(G1339,"","")"),"39 School St")</f>
        <v>39 School St</v>
      </c>
      <c r="K1339" s="2" t="str">
        <f ca="1">IFERROR(__xludf.DUMMYFUNCTION("""COMPUTED_VALUE""")," Ashburnham")</f>
        <v xml:space="preserve"> Ashburnham</v>
      </c>
      <c r="L1339" s="2" t="str">
        <f ca="1">IFERROR(__xludf.DUMMYFUNCTION("""COMPUTED_VALUE""")," MA 01430")</f>
        <v xml:space="preserve"> MA 01430</v>
      </c>
      <c r="M1339" s="2" t="str">
        <f ca="1">IFERROR(__xludf.DUMMYFUNCTION("""COMPUTED_VALUE""")," USA")</f>
        <v xml:space="preserve"> USA</v>
      </c>
      <c r="P1339" s="60"/>
    </row>
    <row r="1340" spans="1:16">
      <c r="A1340" s="65">
        <v>1339</v>
      </c>
      <c r="B1340" s="80" t="s">
        <v>7940</v>
      </c>
      <c r="C1340" s="65" t="s">
        <v>598</v>
      </c>
      <c r="D1340" s="93" t="s">
        <v>7941</v>
      </c>
      <c r="E1340" s="48" t="str">
        <f t="shared" si="0"/>
        <v>Newnan</v>
      </c>
      <c r="F1340" s="83" t="str">
        <f t="shared" si="1"/>
        <v>Heritage (Newnan),GA</v>
      </c>
      <c r="G1340" s="65" t="s">
        <v>7942</v>
      </c>
      <c r="H1340" s="65">
        <v>33.429032200000002</v>
      </c>
      <c r="I1340" s="65">
        <v>-84.757483100000002</v>
      </c>
      <c r="J1340" s="60" t="str">
        <f ca="1">IFERROR(__xludf.DUMMYFUNCTION("SPLIT(G1340,"","")"),"2093 US-29")</f>
        <v>2093 US-29</v>
      </c>
      <c r="K1340" s="2" t="str">
        <f ca="1">IFERROR(__xludf.DUMMYFUNCTION("""COMPUTED_VALUE""")," Newnan")</f>
        <v xml:space="preserve"> Newnan</v>
      </c>
      <c r="L1340" s="2" t="str">
        <f ca="1">IFERROR(__xludf.DUMMYFUNCTION("""COMPUTED_VALUE""")," GA 30263")</f>
        <v xml:space="preserve"> GA 30263</v>
      </c>
      <c r="M1340" s="2" t="str">
        <f ca="1">IFERROR(__xludf.DUMMYFUNCTION("""COMPUTED_VALUE""")," USA")</f>
        <v xml:space="preserve"> USA</v>
      </c>
      <c r="P1340" s="60"/>
    </row>
    <row r="1341" spans="1:16">
      <c r="A1341" s="60">
        <v>1340</v>
      </c>
      <c r="B1341" s="79" t="s">
        <v>7923</v>
      </c>
      <c r="C1341" s="60" t="s">
        <v>595</v>
      </c>
      <c r="D1341" s="93" t="s">
        <v>3416</v>
      </c>
      <c r="E1341" s="48" t="str">
        <f t="shared" si="0"/>
        <v>Frisco</v>
      </c>
      <c r="F1341" s="83" t="str">
        <f t="shared" si="1"/>
        <v>Frisco,TX</v>
      </c>
      <c r="G1341" s="60" t="s">
        <v>7947</v>
      </c>
      <c r="H1341" s="60">
        <v>33.1506744</v>
      </c>
      <c r="I1341" s="60">
        <v>-96.823611599999992</v>
      </c>
      <c r="J1341" s="60" t="str">
        <f ca="1">IFERROR(__xludf.DUMMYFUNCTION("SPLIT(G1341,"","")"),"7026 Main St")</f>
        <v>7026 Main St</v>
      </c>
      <c r="K1341" s="2" t="str">
        <f ca="1">IFERROR(__xludf.DUMMYFUNCTION("""COMPUTED_VALUE""")," Frisco")</f>
        <v xml:space="preserve"> Frisco</v>
      </c>
      <c r="L1341" s="2" t="str">
        <f ca="1">IFERROR(__xludf.DUMMYFUNCTION("""COMPUTED_VALUE""")," TX 75033")</f>
        <v xml:space="preserve"> TX 75033</v>
      </c>
      <c r="M1341" s="2" t="str">
        <f ca="1">IFERROR(__xludf.DUMMYFUNCTION("""COMPUTED_VALUE""")," USA")</f>
        <v xml:space="preserve"> USA</v>
      </c>
      <c r="P1341" s="60"/>
    </row>
    <row r="1342" spans="1:16">
      <c r="A1342" s="65">
        <v>1341</v>
      </c>
      <c r="B1342" s="80" t="s">
        <v>7950</v>
      </c>
      <c r="C1342" s="65" t="s">
        <v>588</v>
      </c>
      <c r="D1342" s="93" t="s">
        <v>7951</v>
      </c>
      <c r="E1342" s="48" t="str">
        <f t="shared" si="0"/>
        <v>Rolling Hills Estates</v>
      </c>
      <c r="F1342" s="83" t="str">
        <f t="shared" si="1"/>
        <v>Peninsula (Rolling Hills Estates),CA</v>
      </c>
      <c r="G1342" s="65" t="s">
        <v>7952</v>
      </c>
      <c r="H1342" s="65">
        <v>33.770204900000003</v>
      </c>
      <c r="I1342" s="65">
        <v>-118.3700032</v>
      </c>
      <c r="J1342" s="60" t="str">
        <f ca="1">IFERROR(__xludf.DUMMYFUNCTION("SPLIT(G1342,"","")"),"728 Deep Valley Dr")</f>
        <v>728 Deep Valley Dr</v>
      </c>
      <c r="K1342" s="2" t="str">
        <f ca="1">IFERROR(__xludf.DUMMYFUNCTION("""COMPUTED_VALUE""")," Rolling Hills Estates")</f>
        <v xml:space="preserve"> Rolling Hills Estates</v>
      </c>
      <c r="L1342" s="2" t="str">
        <f ca="1">IFERROR(__xludf.DUMMYFUNCTION("""COMPUTED_VALUE""")," CA 90274")</f>
        <v xml:space="preserve"> CA 90274</v>
      </c>
      <c r="M1342" s="2" t="str">
        <f ca="1">IFERROR(__xludf.DUMMYFUNCTION("""COMPUTED_VALUE""")," USA")</f>
        <v xml:space="preserve"> USA</v>
      </c>
      <c r="P1342" s="60"/>
    </row>
    <row r="1343" spans="1:16">
      <c r="A1343" s="60">
        <v>1342</v>
      </c>
      <c r="B1343" s="79" t="s">
        <v>7956</v>
      </c>
      <c r="C1343" s="60" t="s">
        <v>618</v>
      </c>
      <c r="D1343" s="93" t="s">
        <v>7957</v>
      </c>
      <c r="E1343" s="48" t="str">
        <f t="shared" si="0"/>
        <v>Middlebury</v>
      </c>
      <c r="F1343" s="83" t="str">
        <f t="shared" si="1"/>
        <v>Northridge (Middlebury),IN</v>
      </c>
      <c r="G1343" s="60" t="s">
        <v>7960</v>
      </c>
      <c r="H1343" s="60">
        <v>41.669641000000013</v>
      </c>
      <c r="I1343" s="60">
        <v>-85.7351776</v>
      </c>
      <c r="J1343" s="60" t="str">
        <f ca="1">IFERROR(__xludf.DUMMYFUNCTION("SPLIT(G1343,"","")"),"56779 Northridge Dr")</f>
        <v>56779 Northridge Dr</v>
      </c>
      <c r="K1343" s="2" t="str">
        <f ca="1">IFERROR(__xludf.DUMMYFUNCTION("""COMPUTED_VALUE""")," Middlebury")</f>
        <v xml:space="preserve"> Middlebury</v>
      </c>
      <c r="L1343" s="2" t="str">
        <f ca="1">IFERROR(__xludf.DUMMYFUNCTION("""COMPUTED_VALUE""")," IN 46540")</f>
        <v xml:space="preserve"> IN 46540</v>
      </c>
      <c r="M1343" s="2" t="str">
        <f ca="1">IFERROR(__xludf.DUMMYFUNCTION("""COMPUTED_VALUE""")," USA")</f>
        <v xml:space="preserve"> USA</v>
      </c>
      <c r="P1343" s="60"/>
    </row>
    <row r="1344" spans="1:16">
      <c r="A1344" s="65">
        <v>1343</v>
      </c>
      <c r="B1344" s="80" t="s">
        <v>7964</v>
      </c>
      <c r="C1344" s="65" t="s">
        <v>606</v>
      </c>
      <c r="D1344" s="93" t="s">
        <v>7965</v>
      </c>
      <c r="E1344" s="48" t="str">
        <f t="shared" si="0"/>
        <v>Taylors</v>
      </c>
      <c r="F1344" s="83" t="str">
        <f t="shared" si="1"/>
        <v>Wade Hampton (Greenville),SC</v>
      </c>
      <c r="G1344" s="65" t="s">
        <v>7968</v>
      </c>
      <c r="H1344" s="65">
        <v>34.903728200000003</v>
      </c>
      <c r="I1344" s="65">
        <v>-82.333173299999999</v>
      </c>
      <c r="J1344" s="60" t="str">
        <f ca="1">IFERROR(__xludf.DUMMYFUNCTION("SPLIT(G1344,"","")"),"2905 Wade Hampton Blvd")</f>
        <v>2905 Wade Hampton Blvd</v>
      </c>
      <c r="K1344" s="2" t="str">
        <f ca="1">IFERROR(__xludf.DUMMYFUNCTION("""COMPUTED_VALUE""")," Taylors")</f>
        <v xml:space="preserve"> Taylors</v>
      </c>
      <c r="L1344" s="2" t="str">
        <f ca="1">IFERROR(__xludf.DUMMYFUNCTION("""COMPUTED_VALUE""")," SC 29687")</f>
        <v xml:space="preserve"> SC 29687</v>
      </c>
      <c r="M1344" s="2" t="str">
        <f ca="1">IFERROR(__xludf.DUMMYFUNCTION("""COMPUTED_VALUE""")," USA")</f>
        <v xml:space="preserve"> USA</v>
      </c>
      <c r="P1344" s="60"/>
    </row>
    <row r="1345" spans="1:16">
      <c r="A1345" s="60">
        <v>1344</v>
      </c>
      <c r="B1345" s="79" t="s">
        <v>7971</v>
      </c>
      <c r="C1345" s="60" t="s">
        <v>1055</v>
      </c>
      <c r="D1345" s="93" t="s">
        <v>7973</v>
      </c>
      <c r="E1345" s="48" t="str">
        <f t="shared" si="0"/>
        <v>Hooker</v>
      </c>
      <c r="F1345" s="83" t="str">
        <f t="shared" si="1"/>
        <v>Hooker,OK</v>
      </c>
      <c r="G1345" s="60" t="s">
        <v>7975</v>
      </c>
      <c r="H1345" s="60">
        <v>36.860026100000013</v>
      </c>
      <c r="I1345" s="60">
        <v>-101.2134954</v>
      </c>
      <c r="J1345" s="60" t="str">
        <f ca="1">IFERROR(__xludf.DUMMYFUNCTION("SPLIT(G1345,"","")"),"102 Glaydas St")</f>
        <v>102 Glaydas St</v>
      </c>
      <c r="K1345" s="2" t="str">
        <f ca="1">IFERROR(__xludf.DUMMYFUNCTION("""COMPUTED_VALUE""")," Hooker")</f>
        <v xml:space="preserve"> Hooker</v>
      </c>
      <c r="L1345" s="2" t="str">
        <f ca="1">IFERROR(__xludf.DUMMYFUNCTION("""COMPUTED_VALUE""")," OK 73945")</f>
        <v xml:space="preserve"> OK 73945</v>
      </c>
      <c r="M1345" s="2" t="str">
        <f ca="1">IFERROR(__xludf.DUMMYFUNCTION("""COMPUTED_VALUE""")," USA")</f>
        <v xml:space="preserve"> USA</v>
      </c>
      <c r="P1345" s="60"/>
    </row>
    <row r="1346" spans="1:16">
      <c r="A1346" s="65">
        <v>1345</v>
      </c>
      <c r="B1346" s="80" t="s">
        <v>5417</v>
      </c>
      <c r="C1346" s="65" t="s">
        <v>588</v>
      </c>
      <c r="D1346" s="93" t="s">
        <v>7979</v>
      </c>
      <c r="E1346" s="48" t="str">
        <f t="shared" si="0"/>
        <v>Laguna Beach</v>
      </c>
      <c r="F1346" s="83" t="str">
        <f t="shared" si="1"/>
        <v>Laguna Beach,CA</v>
      </c>
      <c r="G1346" s="65" t="s">
        <v>7980</v>
      </c>
      <c r="H1346" s="65">
        <v>33.542718899999997</v>
      </c>
      <c r="I1346" s="65">
        <v>-117.7853568</v>
      </c>
      <c r="J1346" s="60" t="str">
        <f ca="1">IFERROR(__xludf.DUMMYFUNCTION("SPLIT(G1346,"","")"),"100 S Coast Hwy")</f>
        <v>100 S Coast Hwy</v>
      </c>
      <c r="K1346" s="2" t="str">
        <f ca="1">IFERROR(__xludf.DUMMYFUNCTION("""COMPUTED_VALUE""")," Laguna Beach")</f>
        <v xml:space="preserve"> Laguna Beach</v>
      </c>
      <c r="L1346" s="2" t="str">
        <f ca="1">IFERROR(__xludf.DUMMYFUNCTION("""COMPUTED_VALUE""")," CA 92651")</f>
        <v xml:space="preserve"> CA 92651</v>
      </c>
      <c r="M1346" s="2" t="str">
        <f ca="1">IFERROR(__xludf.DUMMYFUNCTION("""COMPUTED_VALUE""")," USA")</f>
        <v xml:space="preserve"> USA</v>
      </c>
      <c r="P1346" s="60"/>
    </row>
    <row r="1347" spans="1:16">
      <c r="A1347" s="60">
        <v>1346</v>
      </c>
      <c r="B1347" s="79" t="s">
        <v>7986</v>
      </c>
      <c r="C1347" s="60" t="s">
        <v>174</v>
      </c>
      <c r="D1347" s="93" t="s">
        <v>7987</v>
      </c>
      <c r="E1347" s="48" t="str">
        <f t="shared" si="0"/>
        <v>Parma Heights</v>
      </c>
      <c r="F1347" s="83" t="str">
        <f t="shared" si="1"/>
        <v>Holy Name (Parma Heights),OH</v>
      </c>
      <c r="G1347" s="60" t="s">
        <v>7990</v>
      </c>
      <c r="H1347" s="60">
        <v>41.402365400000001</v>
      </c>
      <c r="I1347" s="60">
        <v>-81.762253999999999</v>
      </c>
      <c r="J1347" s="60" t="str">
        <f ca="1">IFERROR(__xludf.DUMMYFUNCTION("SPLIT(G1347,"","")"),"6000 Queens Hwy")</f>
        <v>6000 Queens Hwy</v>
      </c>
      <c r="K1347" s="2" t="str">
        <f ca="1">IFERROR(__xludf.DUMMYFUNCTION("""COMPUTED_VALUE""")," Parma Heights")</f>
        <v xml:space="preserve"> Parma Heights</v>
      </c>
      <c r="L1347" s="2" t="str">
        <f ca="1">IFERROR(__xludf.DUMMYFUNCTION("""COMPUTED_VALUE""")," OH 44130")</f>
        <v xml:space="preserve"> OH 44130</v>
      </c>
      <c r="M1347" s="2" t="str">
        <f ca="1">IFERROR(__xludf.DUMMYFUNCTION("""COMPUTED_VALUE""")," USA")</f>
        <v xml:space="preserve"> USA</v>
      </c>
      <c r="P1347" s="60"/>
    </row>
    <row r="1348" spans="1:16">
      <c r="A1348" s="65">
        <v>1347</v>
      </c>
      <c r="B1348" s="80" t="s">
        <v>7995</v>
      </c>
      <c r="C1348" s="65" t="s">
        <v>179</v>
      </c>
      <c r="D1348" s="93" t="s">
        <v>7996</v>
      </c>
      <c r="E1348" s="48" t="str">
        <f t="shared" si="0"/>
        <v>Weddington</v>
      </c>
      <c r="F1348" s="83" t="str">
        <f t="shared" si="1"/>
        <v>Weddington (Matthews),NC</v>
      </c>
      <c r="G1348" s="65" t="s">
        <v>7997</v>
      </c>
      <c r="H1348" s="65">
        <v>35.022370799999997</v>
      </c>
      <c r="I1348" s="65">
        <v>-80.760903499999998</v>
      </c>
      <c r="J1348" s="60" t="str">
        <f ca="1">IFERROR(__xludf.DUMMYFUNCTION("SPLIT(G1348,"","")"),"1936 Weddington Rd")</f>
        <v>1936 Weddington Rd</v>
      </c>
      <c r="K1348" s="2" t="str">
        <f ca="1">IFERROR(__xludf.DUMMYFUNCTION("""COMPUTED_VALUE""")," Weddington")</f>
        <v xml:space="preserve"> Weddington</v>
      </c>
      <c r="L1348" s="2" t="str">
        <f ca="1">IFERROR(__xludf.DUMMYFUNCTION("""COMPUTED_VALUE""")," NC 28104")</f>
        <v xml:space="preserve"> NC 28104</v>
      </c>
      <c r="M1348" s="2" t="str">
        <f ca="1">IFERROR(__xludf.DUMMYFUNCTION("""COMPUTED_VALUE""")," USA")</f>
        <v xml:space="preserve"> USA</v>
      </c>
      <c r="P1348" s="60"/>
    </row>
    <row r="1349" spans="1:16">
      <c r="A1349" s="60">
        <v>1348</v>
      </c>
      <c r="B1349" s="79" t="s">
        <v>3820</v>
      </c>
      <c r="C1349" s="60" t="s">
        <v>618</v>
      </c>
      <c r="D1349" s="93" t="s">
        <v>5842</v>
      </c>
      <c r="E1349" s="48" t="str">
        <f t="shared" si="0"/>
        <v>Greenwood</v>
      </c>
      <c r="F1349" s="83" t="str">
        <f t="shared" si="1"/>
        <v>Greenwood,IN</v>
      </c>
      <c r="G1349" s="60" t="s">
        <v>8001</v>
      </c>
      <c r="H1349" s="60">
        <v>39.613657799999999</v>
      </c>
      <c r="I1349" s="60">
        <v>-86.10665259999999</v>
      </c>
      <c r="J1349" s="60" t="str">
        <f ca="1">IFERROR(__xludf.DUMMYFUNCTION("SPLIT(G1349,"","")"),"1 West Main Street")</f>
        <v>1 West Main Street</v>
      </c>
      <c r="K1349" s="2" t="str">
        <f ca="1">IFERROR(__xludf.DUMMYFUNCTION("""COMPUTED_VALUE""")," Greenwood")</f>
        <v xml:space="preserve"> Greenwood</v>
      </c>
      <c r="L1349" s="2" t="str">
        <f ca="1">IFERROR(__xludf.DUMMYFUNCTION("""COMPUTED_VALUE""")," IN 46142")</f>
        <v xml:space="preserve"> IN 46142</v>
      </c>
      <c r="M1349" s="2" t="str">
        <f ca="1">IFERROR(__xludf.DUMMYFUNCTION("""COMPUTED_VALUE""")," USA")</f>
        <v xml:space="preserve"> USA</v>
      </c>
      <c r="P1349" s="60"/>
    </row>
    <row r="1350" spans="1:16">
      <c r="A1350" s="65">
        <v>1349</v>
      </c>
      <c r="B1350" s="80" t="s">
        <v>8006</v>
      </c>
      <c r="C1350" s="65" t="s">
        <v>174</v>
      </c>
      <c r="D1350" s="93" t="s">
        <v>3410</v>
      </c>
      <c r="E1350" s="48" t="str">
        <f t="shared" si="0"/>
        <v>Youngstown</v>
      </c>
      <c r="F1350" s="83" t="str">
        <f t="shared" si="1"/>
        <v>Chaney (Youngstown),OH</v>
      </c>
      <c r="G1350" s="65" t="s">
        <v>8007</v>
      </c>
      <c r="H1350" s="65">
        <v>41.091890599999999</v>
      </c>
      <c r="I1350" s="65">
        <v>-80.695614499999991</v>
      </c>
      <c r="J1350" s="60" t="str">
        <f ca="1">IFERROR(__xludf.DUMMYFUNCTION("SPLIT(G1350,"","")"),"Chaney High School")</f>
        <v>Chaney High School</v>
      </c>
      <c r="K1350" s="2" t="str">
        <f ca="1">IFERROR(__xludf.DUMMYFUNCTION("""COMPUTED_VALUE""")," Youngstown")</f>
        <v xml:space="preserve"> Youngstown</v>
      </c>
      <c r="L1350" s="2" t="str">
        <f ca="1">IFERROR(__xludf.DUMMYFUNCTION("""COMPUTED_VALUE""")," OH 44509")</f>
        <v xml:space="preserve"> OH 44509</v>
      </c>
      <c r="M1350" s="2" t="str">
        <f ca="1">IFERROR(__xludf.DUMMYFUNCTION("""COMPUTED_VALUE""")," USA")</f>
        <v xml:space="preserve"> USA</v>
      </c>
      <c r="P1350" s="60"/>
    </row>
    <row r="1351" spans="1:16">
      <c r="A1351" s="97">
        <v>1350</v>
      </c>
      <c r="B1351" s="99" t="s">
        <v>8012</v>
      </c>
      <c r="C1351" s="97" t="s">
        <v>737</v>
      </c>
      <c r="D1351" s="93" t="s">
        <v>8013</v>
      </c>
      <c r="E1351" s="48" t="str">
        <f t="shared" si="0"/>
        <v>Holmdel</v>
      </c>
      <c r="F1351" s="83" t="str">
        <f t="shared" si="1"/>
        <v>Holmdel,NJ</v>
      </c>
      <c r="G1351" s="97" t="s">
        <v>8014</v>
      </c>
      <c r="H1351" s="97">
        <v>40.3451095</v>
      </c>
      <c r="I1351" s="97">
        <v>-74.18403219999999</v>
      </c>
      <c r="J1351" s="60" t="str">
        <f ca="1">IFERROR(__xludf.DUMMYFUNCTION("SPLIT(G1351,"","")"),"45 Newman Springs Rd")</f>
        <v>45 Newman Springs Rd</v>
      </c>
      <c r="K1351" s="2" t="str">
        <f ca="1">IFERROR(__xludf.DUMMYFUNCTION("""COMPUTED_VALUE""")," Holmdel")</f>
        <v xml:space="preserve"> Holmdel</v>
      </c>
      <c r="L1351" s="2" t="str">
        <f ca="1">IFERROR(__xludf.DUMMYFUNCTION("""COMPUTED_VALUE""")," NJ 07733")</f>
        <v xml:space="preserve"> NJ 07733</v>
      </c>
      <c r="M1351" s="2" t="str">
        <f ca="1">IFERROR(__xludf.DUMMYFUNCTION("""COMPUTED_VALUE""")," USA")</f>
        <v xml:space="preserve"> USA</v>
      </c>
      <c r="P1351" s="60"/>
    </row>
    <row r="1352" spans="1:16">
      <c r="A1352" s="60">
        <v>1351</v>
      </c>
      <c r="B1352" s="79" t="s">
        <v>8019</v>
      </c>
      <c r="C1352" s="60" t="s">
        <v>595</v>
      </c>
      <c r="D1352" s="93" t="s">
        <v>8020</v>
      </c>
      <c r="E1352" s="48" t="str">
        <f t="shared" si="0"/>
        <v>Adkins</v>
      </c>
      <c r="F1352" s="83" t="str">
        <f t="shared" si="1"/>
        <v>East Central (San Antonio),TX</v>
      </c>
      <c r="G1352" s="60" t="s">
        <v>8023</v>
      </c>
      <c r="H1352" s="60">
        <v>29.393419699999999</v>
      </c>
      <c r="I1352" s="60">
        <v>-98.265057999999996</v>
      </c>
      <c r="J1352" s="60" t="str">
        <f ca="1">IFERROR(__xludf.DUMMYFUNCTION("SPLIT(G1352,"","")"),"3048 Rakowitz Rd")</f>
        <v>3048 Rakowitz Rd</v>
      </c>
      <c r="K1352" s="2" t="str">
        <f ca="1">IFERROR(__xludf.DUMMYFUNCTION("""COMPUTED_VALUE""")," Adkins")</f>
        <v xml:space="preserve"> Adkins</v>
      </c>
      <c r="L1352" s="2" t="str">
        <f ca="1">IFERROR(__xludf.DUMMYFUNCTION("""COMPUTED_VALUE""")," TX 78101")</f>
        <v xml:space="preserve"> TX 78101</v>
      </c>
      <c r="M1352" s="2" t="str">
        <f ca="1">IFERROR(__xludf.DUMMYFUNCTION("""COMPUTED_VALUE""")," USA")</f>
        <v xml:space="preserve"> USA</v>
      </c>
      <c r="P1352" s="60"/>
    </row>
    <row r="1353" spans="1:16">
      <c r="A1353" s="65">
        <v>1352</v>
      </c>
      <c r="B1353" s="80" t="s">
        <v>8028</v>
      </c>
      <c r="C1353" s="65" t="s">
        <v>595</v>
      </c>
      <c r="D1353" s="93" t="s">
        <v>7062</v>
      </c>
      <c r="E1353" s="48" t="str">
        <f t="shared" si="0"/>
        <v>Laredo</v>
      </c>
      <c r="F1353" s="83" t="str">
        <f t="shared" si="1"/>
        <v>Alexander (Laredo),TX</v>
      </c>
      <c r="G1353" s="65" t="s">
        <v>8029</v>
      </c>
      <c r="H1353" s="65">
        <v>27.5817798</v>
      </c>
      <c r="I1353" s="65">
        <v>-99.447434199999989</v>
      </c>
      <c r="J1353" s="60" t="str">
        <f ca="1">IFERROR(__xludf.DUMMYFUNCTION("SPLIT(G1353,"","")"),"3600 E Del Mar Blvd")</f>
        <v>3600 E Del Mar Blvd</v>
      </c>
      <c r="K1353" s="2" t="str">
        <f ca="1">IFERROR(__xludf.DUMMYFUNCTION("""COMPUTED_VALUE""")," Laredo")</f>
        <v xml:space="preserve"> Laredo</v>
      </c>
      <c r="L1353" s="2" t="str">
        <f ca="1">IFERROR(__xludf.DUMMYFUNCTION("""COMPUTED_VALUE""")," TX 78041")</f>
        <v xml:space="preserve"> TX 78041</v>
      </c>
      <c r="M1353" s="2" t="str">
        <f ca="1">IFERROR(__xludf.DUMMYFUNCTION("""COMPUTED_VALUE""")," USA")</f>
        <v xml:space="preserve"> USA</v>
      </c>
      <c r="P1353" s="60"/>
    </row>
    <row r="1354" spans="1:16">
      <c r="A1354" s="60">
        <v>1353</v>
      </c>
      <c r="B1354" s="79" t="s">
        <v>8035</v>
      </c>
      <c r="C1354" s="60" t="s">
        <v>796</v>
      </c>
      <c r="D1354" s="93" t="s">
        <v>8036</v>
      </c>
      <c r="E1354" s="48" t="str">
        <f t="shared" si="0"/>
        <v>Goddard</v>
      </c>
      <c r="F1354" s="83" t="str">
        <f t="shared" si="1"/>
        <v>Eisenhower (Goddard),KS</v>
      </c>
      <c r="G1354" s="60" t="s">
        <v>8037</v>
      </c>
      <c r="H1354" s="60">
        <v>37.670695899999998</v>
      </c>
      <c r="I1354" s="60">
        <v>-97.532861699999998</v>
      </c>
      <c r="J1354" s="60" t="str">
        <f ca="1">IFERROR(__xludf.DUMMYFUNCTION("SPLIT(G1354,"","")"),"670 S 167th St W")</f>
        <v>670 S 167th St W</v>
      </c>
      <c r="K1354" s="2" t="str">
        <f ca="1">IFERROR(__xludf.DUMMYFUNCTION("""COMPUTED_VALUE""")," Goddard")</f>
        <v xml:space="preserve"> Goddard</v>
      </c>
      <c r="L1354" s="2" t="str">
        <f ca="1">IFERROR(__xludf.DUMMYFUNCTION("""COMPUTED_VALUE""")," KS 67052")</f>
        <v xml:space="preserve"> KS 67052</v>
      </c>
      <c r="M1354" s="2" t="str">
        <f ca="1">IFERROR(__xludf.DUMMYFUNCTION("""COMPUTED_VALUE""")," USA")</f>
        <v xml:space="preserve"> USA</v>
      </c>
      <c r="P1354" s="60"/>
    </row>
    <row r="1355" spans="1:16">
      <c r="A1355" s="65">
        <v>1354</v>
      </c>
      <c r="B1355" s="80" t="s">
        <v>8040</v>
      </c>
      <c r="C1355" s="65" t="s">
        <v>1331</v>
      </c>
      <c r="D1355" s="93" t="s">
        <v>8041</v>
      </c>
      <c r="E1355" s="48" t="str">
        <f t="shared" si="0"/>
        <v>Plummer</v>
      </c>
      <c r="F1355" s="83" t="str">
        <f t="shared" si="1"/>
        <v>Lakeside (Plummer),ID</v>
      </c>
      <c r="G1355" s="65" t="s">
        <v>8042</v>
      </c>
      <c r="H1355" s="65">
        <v>47.3327904</v>
      </c>
      <c r="I1355" s="65">
        <v>-116.8937121</v>
      </c>
      <c r="J1355" s="60" t="str">
        <f ca="1">IFERROR(__xludf.DUMMYFUNCTION("SPLIT(G1355,"","")"),"1345 E St")</f>
        <v>1345 E St</v>
      </c>
      <c r="K1355" s="2" t="str">
        <f ca="1">IFERROR(__xludf.DUMMYFUNCTION("""COMPUTED_VALUE""")," Plummer")</f>
        <v xml:space="preserve"> Plummer</v>
      </c>
      <c r="L1355" s="2" t="str">
        <f ca="1">IFERROR(__xludf.DUMMYFUNCTION("""COMPUTED_VALUE""")," ID 83851")</f>
        <v xml:space="preserve"> ID 83851</v>
      </c>
      <c r="M1355" s="2" t="str">
        <f ca="1">IFERROR(__xludf.DUMMYFUNCTION("""COMPUTED_VALUE""")," USA")</f>
        <v xml:space="preserve"> USA</v>
      </c>
      <c r="P1355" s="60"/>
    </row>
    <row r="1356" spans="1:16">
      <c r="A1356" s="60">
        <v>1355</v>
      </c>
      <c r="B1356" s="79" t="s">
        <v>8044</v>
      </c>
      <c r="C1356" s="60" t="s">
        <v>590</v>
      </c>
      <c r="D1356" s="93" t="s">
        <v>8046</v>
      </c>
      <c r="E1356" s="48" t="str">
        <f t="shared" si="0"/>
        <v>Fairmount Heights</v>
      </c>
      <c r="F1356" s="83" t="str">
        <f t="shared" si="1"/>
        <v>Fairmont Heights (Capitol Heights),MD</v>
      </c>
      <c r="G1356" s="60" t="s">
        <v>8047</v>
      </c>
      <c r="H1356" s="60">
        <v>38.900945200000002</v>
      </c>
      <c r="I1356" s="60">
        <v>-76.915529100000001</v>
      </c>
      <c r="J1356" s="60" t="str">
        <f ca="1">IFERROR(__xludf.DUMMYFUNCTION("SPLIT(G1356,"","")"),"727 59th Ave")</f>
        <v>727 59th Ave</v>
      </c>
      <c r="K1356" s="2" t="str">
        <f ca="1">IFERROR(__xludf.DUMMYFUNCTION("""COMPUTED_VALUE""")," Fairmount Heights")</f>
        <v xml:space="preserve"> Fairmount Heights</v>
      </c>
      <c r="L1356" s="2" t="str">
        <f ca="1">IFERROR(__xludf.DUMMYFUNCTION("""COMPUTED_VALUE""")," MD 20743")</f>
        <v xml:space="preserve"> MD 20743</v>
      </c>
      <c r="M1356" s="2" t="str">
        <f ca="1">IFERROR(__xludf.DUMMYFUNCTION("""COMPUTED_VALUE""")," USA")</f>
        <v xml:space="preserve"> USA</v>
      </c>
      <c r="P1356" s="60"/>
    </row>
    <row r="1357" spans="1:16">
      <c r="A1357" s="65">
        <v>1356</v>
      </c>
      <c r="B1357" s="80" t="s">
        <v>8049</v>
      </c>
      <c r="C1357" s="65" t="s">
        <v>606</v>
      </c>
      <c r="D1357" s="93" t="s">
        <v>8050</v>
      </c>
      <c r="E1357" s="48" t="str">
        <f t="shared" si="0"/>
        <v>Aiken</v>
      </c>
      <c r="F1357" s="83" t="str">
        <f t="shared" si="1"/>
        <v>Aiken,SC</v>
      </c>
      <c r="G1357" s="65" t="s">
        <v>8052</v>
      </c>
      <c r="H1357" s="65">
        <v>33.560416799999999</v>
      </c>
      <c r="I1357" s="65">
        <v>-81.719553300000001</v>
      </c>
      <c r="J1357" s="60" t="str">
        <f ca="1">IFERROR(__xludf.DUMMYFUNCTION("SPLIT(G1357,"","")"),"540 beaverdam Rd")</f>
        <v>540 beaverdam Rd</v>
      </c>
      <c r="K1357" s="2" t="str">
        <f ca="1">IFERROR(__xludf.DUMMYFUNCTION("""COMPUTED_VALUE""")," Aiken")</f>
        <v xml:space="preserve"> Aiken</v>
      </c>
      <c r="L1357" s="2" t="str">
        <f ca="1">IFERROR(__xludf.DUMMYFUNCTION("""COMPUTED_VALUE""")," SC 29801")</f>
        <v xml:space="preserve"> SC 29801</v>
      </c>
      <c r="M1357" s="2" t="str">
        <f ca="1">IFERROR(__xludf.DUMMYFUNCTION("""COMPUTED_VALUE""")," USA")</f>
        <v xml:space="preserve"> USA</v>
      </c>
      <c r="P1357" s="60"/>
    </row>
    <row r="1358" spans="1:16">
      <c r="A1358" s="60">
        <v>1357</v>
      </c>
      <c r="B1358" s="79" t="s">
        <v>8053</v>
      </c>
      <c r="C1358" s="60" t="s">
        <v>1039</v>
      </c>
      <c r="D1358" s="93" t="s">
        <v>8056</v>
      </c>
      <c r="E1358" s="48" t="str">
        <f t="shared" si="0"/>
        <v>West Roxbury</v>
      </c>
      <c r="F1358" s="83" t="str">
        <f t="shared" si="1"/>
        <v>Catholic Memorial (West Roxbury),MA</v>
      </c>
      <c r="G1358" s="60" t="s">
        <v>8057</v>
      </c>
      <c r="H1358" s="60">
        <v>42.277641600000003</v>
      </c>
      <c r="I1358" s="60">
        <v>-71.1660234</v>
      </c>
      <c r="J1358" s="60" t="str">
        <f ca="1">IFERROR(__xludf.DUMMYFUNCTION("SPLIT(G1358,"","")"),"235 Baker St")</f>
        <v>235 Baker St</v>
      </c>
      <c r="K1358" s="2" t="str">
        <f ca="1">IFERROR(__xludf.DUMMYFUNCTION("""COMPUTED_VALUE""")," West Roxbury")</f>
        <v xml:space="preserve"> West Roxbury</v>
      </c>
      <c r="L1358" s="2" t="str">
        <f ca="1">IFERROR(__xludf.DUMMYFUNCTION("""COMPUTED_VALUE""")," MA 02132")</f>
        <v xml:space="preserve"> MA 02132</v>
      </c>
      <c r="M1358" s="2" t="str">
        <f ca="1">IFERROR(__xludf.DUMMYFUNCTION("""COMPUTED_VALUE""")," USA")</f>
        <v xml:space="preserve"> USA</v>
      </c>
      <c r="P1358" s="60"/>
    </row>
    <row r="1359" spans="1:16">
      <c r="A1359" s="65">
        <v>1358</v>
      </c>
      <c r="B1359" s="80" t="s">
        <v>8061</v>
      </c>
      <c r="C1359" s="65" t="s">
        <v>646</v>
      </c>
      <c r="D1359" s="93" t="s">
        <v>1082</v>
      </c>
      <c r="E1359" s="48" t="str">
        <f t="shared" si="0"/>
        <v>Billings</v>
      </c>
      <c r="F1359" s="83" t="str">
        <f t="shared" si="1"/>
        <v>Billings Central Catholic (Billings),MT</v>
      </c>
      <c r="G1359" s="65" t="s">
        <v>8064</v>
      </c>
      <c r="H1359" s="65">
        <v>45.777710900000002</v>
      </c>
      <c r="I1359" s="65">
        <v>-108.51586829999999</v>
      </c>
      <c r="J1359" s="60" t="str">
        <f ca="1">IFERROR(__xludf.DUMMYFUNCTION("SPLIT(G1359,"","")"),"3 Broadwater Ave")</f>
        <v>3 Broadwater Ave</v>
      </c>
      <c r="K1359" s="2" t="str">
        <f ca="1">IFERROR(__xludf.DUMMYFUNCTION("""COMPUTED_VALUE""")," Billings")</f>
        <v xml:space="preserve"> Billings</v>
      </c>
      <c r="L1359" s="2" t="str">
        <f ca="1">IFERROR(__xludf.DUMMYFUNCTION("""COMPUTED_VALUE""")," MT 59101")</f>
        <v xml:space="preserve"> MT 59101</v>
      </c>
      <c r="M1359" s="2" t="str">
        <f ca="1">IFERROR(__xludf.DUMMYFUNCTION("""COMPUTED_VALUE""")," USA")</f>
        <v xml:space="preserve"> USA</v>
      </c>
      <c r="P1359" s="60"/>
    </row>
    <row r="1360" spans="1:16">
      <c r="A1360" s="60">
        <v>1359</v>
      </c>
      <c r="B1360" s="79" t="s">
        <v>8068</v>
      </c>
      <c r="C1360" s="60" t="s">
        <v>796</v>
      </c>
      <c r="D1360" s="93" t="s">
        <v>8069</v>
      </c>
      <c r="E1360" s="48" t="str">
        <f t="shared" si="0"/>
        <v>Elbing</v>
      </c>
      <c r="F1360" s="83" t="str">
        <f t="shared" si="1"/>
        <v>Berean Academy (Elbing),KS</v>
      </c>
      <c r="G1360" s="60" t="s">
        <v>8071</v>
      </c>
      <c r="H1360" s="60">
        <v>38.0501662</v>
      </c>
      <c r="I1360" s="60">
        <v>-97.127472400000016</v>
      </c>
      <c r="J1360" s="60" t="str">
        <f ca="1">IFERROR(__xludf.DUMMYFUNCTION("SPLIT(G1360,"","")"),"201 Elbing Rd")</f>
        <v>201 Elbing Rd</v>
      </c>
      <c r="K1360" s="2" t="str">
        <f ca="1">IFERROR(__xludf.DUMMYFUNCTION("""COMPUTED_VALUE""")," Elbing")</f>
        <v xml:space="preserve"> Elbing</v>
      </c>
      <c r="L1360" s="2" t="str">
        <f ca="1">IFERROR(__xludf.DUMMYFUNCTION("""COMPUTED_VALUE""")," KS 67041")</f>
        <v xml:space="preserve"> KS 67041</v>
      </c>
      <c r="M1360" s="2" t="str">
        <f ca="1">IFERROR(__xludf.DUMMYFUNCTION("""COMPUTED_VALUE""")," USA")</f>
        <v xml:space="preserve"> USA</v>
      </c>
      <c r="P1360" s="60"/>
    </row>
    <row r="1361" spans="1:16">
      <c r="A1361" s="65">
        <v>1360</v>
      </c>
      <c r="B1361" s="80" t="s">
        <v>8074</v>
      </c>
      <c r="C1361" s="65" t="s">
        <v>595</v>
      </c>
      <c r="D1361" s="93" t="s">
        <v>8075</v>
      </c>
      <c r="E1361" s="48" t="str">
        <f t="shared" si="0"/>
        <v>Manvel</v>
      </c>
      <c r="F1361" s="83" t="str">
        <f t="shared" si="1"/>
        <v>Manvel,TX</v>
      </c>
      <c r="G1361" s="65" t="s">
        <v>8077</v>
      </c>
      <c r="H1361" s="65">
        <v>29.462736499999998</v>
      </c>
      <c r="I1361" s="65">
        <v>-95.357993999999991</v>
      </c>
      <c r="J1361" s="60" t="str">
        <f ca="1">IFERROR(__xludf.DUMMYFUNCTION("SPLIT(G1361,"","")"),"7820 County Rd 67")</f>
        <v>7820 County Rd 67</v>
      </c>
      <c r="K1361" s="2" t="str">
        <f ca="1">IFERROR(__xludf.DUMMYFUNCTION("""COMPUTED_VALUE""")," Manvel")</f>
        <v xml:space="preserve"> Manvel</v>
      </c>
      <c r="L1361" s="2" t="str">
        <f ca="1">IFERROR(__xludf.DUMMYFUNCTION("""COMPUTED_VALUE""")," TX 77578")</f>
        <v xml:space="preserve"> TX 77578</v>
      </c>
      <c r="M1361" s="2" t="str">
        <f ca="1">IFERROR(__xludf.DUMMYFUNCTION("""COMPUTED_VALUE""")," USA")</f>
        <v xml:space="preserve"> USA</v>
      </c>
      <c r="P1361" s="60"/>
    </row>
    <row r="1362" spans="1:16">
      <c r="A1362" s="60">
        <v>1361</v>
      </c>
      <c r="B1362" s="79" t="s">
        <v>8080</v>
      </c>
      <c r="C1362" s="60" t="s">
        <v>595</v>
      </c>
      <c r="D1362" s="93" t="s">
        <v>8081</v>
      </c>
      <c r="E1362" s="48" t="str">
        <f t="shared" si="0"/>
        <v>Temple</v>
      </c>
      <c r="F1362" s="83" t="str">
        <f t="shared" si="1"/>
        <v>Temple,TX</v>
      </c>
      <c r="G1362" s="60" t="s">
        <v>8082</v>
      </c>
      <c r="H1362" s="60">
        <v>31.098234399999999</v>
      </c>
      <c r="I1362" s="60">
        <v>-97.342782</v>
      </c>
      <c r="J1362" s="60" t="str">
        <f ca="1">IFERROR(__xludf.DUMMYFUNCTION("SPLIT(G1362,"","")"),"204 E Adams Ave")</f>
        <v>204 E Adams Ave</v>
      </c>
      <c r="K1362" s="2" t="str">
        <f ca="1">IFERROR(__xludf.DUMMYFUNCTION("""COMPUTED_VALUE""")," Temple")</f>
        <v xml:space="preserve"> Temple</v>
      </c>
      <c r="L1362" s="2" t="str">
        <f ca="1">IFERROR(__xludf.DUMMYFUNCTION("""COMPUTED_VALUE""")," TX 76501")</f>
        <v xml:space="preserve"> TX 76501</v>
      </c>
      <c r="M1362" s="2" t="str">
        <f ca="1">IFERROR(__xludf.DUMMYFUNCTION("""COMPUTED_VALUE""")," USA")</f>
        <v xml:space="preserve"> USA</v>
      </c>
      <c r="P1362" s="60"/>
    </row>
    <row r="1363" spans="1:16">
      <c r="A1363" s="65">
        <v>1362</v>
      </c>
      <c r="B1363" s="80" t="s">
        <v>8084</v>
      </c>
      <c r="C1363" s="65" t="s">
        <v>136</v>
      </c>
      <c r="D1363" s="93" t="s">
        <v>2839</v>
      </c>
      <c r="E1363" s="48" t="str">
        <f t="shared" si="0"/>
        <v>Miami</v>
      </c>
      <c r="F1363" s="83" t="str">
        <f t="shared" si="1"/>
        <v>Coral Gables,FL</v>
      </c>
      <c r="G1363" s="65" t="s">
        <v>8086</v>
      </c>
      <c r="H1363" s="65">
        <v>25.7491968</v>
      </c>
      <c r="I1363" s="65">
        <v>-80.263541099999998</v>
      </c>
      <c r="J1363" s="60" t="str">
        <f ca="1">IFERROR(__xludf.DUMMYFUNCTION("SPLIT(G1363,"","")"),"440 Coral Way")</f>
        <v>440 Coral Way</v>
      </c>
      <c r="K1363" s="2" t="str">
        <f ca="1">IFERROR(__xludf.DUMMYFUNCTION("""COMPUTED_VALUE""")," Miami")</f>
        <v xml:space="preserve"> Miami</v>
      </c>
      <c r="L1363" s="2" t="str">
        <f ca="1">IFERROR(__xludf.DUMMYFUNCTION("""COMPUTED_VALUE""")," FL 33145")</f>
        <v xml:space="preserve"> FL 33145</v>
      </c>
      <c r="M1363" s="2" t="str">
        <f ca="1">IFERROR(__xludf.DUMMYFUNCTION("""COMPUTED_VALUE""")," USA")</f>
        <v xml:space="preserve"> USA</v>
      </c>
      <c r="P1363" s="60"/>
    </row>
    <row r="1364" spans="1:16">
      <c r="A1364" s="60">
        <v>1363</v>
      </c>
      <c r="B1364" s="79" t="s">
        <v>4418</v>
      </c>
      <c r="C1364" s="60" t="s">
        <v>588</v>
      </c>
      <c r="D1364" s="93" t="s">
        <v>3537</v>
      </c>
      <c r="E1364" s="48" t="str">
        <f t="shared" si="0"/>
        <v>Bakersfield</v>
      </c>
      <c r="F1364" s="83" t="str">
        <f t="shared" si="1"/>
        <v>Bakersfield,CA</v>
      </c>
      <c r="G1364" s="60" t="s">
        <v>8088</v>
      </c>
      <c r="H1364" s="60">
        <v>35.3732921</v>
      </c>
      <c r="I1364" s="60">
        <v>-119.01871250000001</v>
      </c>
      <c r="J1364" s="60" t="str">
        <f ca="1">IFERROR(__xludf.DUMMYFUNCTION("SPLIT(G1364,"","")"),"1401-1499 Truxtun Ave")</f>
        <v>1401-1499 Truxtun Ave</v>
      </c>
      <c r="K1364" s="2" t="str">
        <f ca="1">IFERROR(__xludf.DUMMYFUNCTION("""COMPUTED_VALUE""")," Bakersfield")</f>
        <v xml:space="preserve"> Bakersfield</v>
      </c>
      <c r="L1364" s="2" t="str">
        <f ca="1">IFERROR(__xludf.DUMMYFUNCTION("""COMPUTED_VALUE""")," CA 93301")</f>
        <v xml:space="preserve"> CA 93301</v>
      </c>
      <c r="M1364" s="2" t="str">
        <f ca="1">IFERROR(__xludf.DUMMYFUNCTION("""COMPUTED_VALUE""")," USA")</f>
        <v xml:space="preserve"> USA</v>
      </c>
      <c r="P1364" s="60"/>
    </row>
    <row r="1365" spans="1:16">
      <c r="A1365" s="65">
        <v>1364</v>
      </c>
      <c r="B1365" s="80" t="s">
        <v>8091</v>
      </c>
      <c r="C1365" s="65" t="s">
        <v>608</v>
      </c>
      <c r="D1365" s="93" t="s">
        <v>8092</v>
      </c>
      <c r="E1365" s="48" t="str">
        <f t="shared" si="0"/>
        <v>Edgerton</v>
      </c>
      <c r="F1365" s="83" t="str">
        <f t="shared" si="1"/>
        <v>Southwest Minnesota Christian (Edgerton),MN</v>
      </c>
      <c r="G1365" s="65" t="s">
        <v>8093</v>
      </c>
      <c r="H1365" s="65">
        <v>43.8762702</v>
      </c>
      <c r="I1365" s="65">
        <v>-96.136779699999991</v>
      </c>
      <c r="J1365" s="60" t="str">
        <f ca="1">IFERROR(__xludf.DUMMYFUNCTION("SPLIT(G1365,"","")"),"550 Elizabeth St")</f>
        <v>550 Elizabeth St</v>
      </c>
      <c r="K1365" s="2" t="str">
        <f ca="1">IFERROR(__xludf.DUMMYFUNCTION("""COMPUTED_VALUE""")," Edgerton")</f>
        <v xml:space="preserve"> Edgerton</v>
      </c>
      <c r="L1365" s="2" t="str">
        <f ca="1">IFERROR(__xludf.DUMMYFUNCTION("""COMPUTED_VALUE""")," MN 56128")</f>
        <v xml:space="preserve"> MN 56128</v>
      </c>
      <c r="M1365" s="2" t="str">
        <f ca="1">IFERROR(__xludf.DUMMYFUNCTION("""COMPUTED_VALUE""")," USA")</f>
        <v xml:space="preserve"> USA</v>
      </c>
      <c r="P1365" s="60"/>
    </row>
    <row r="1366" spans="1:16">
      <c r="A1366" s="60">
        <v>1365</v>
      </c>
      <c r="B1366" s="79" t="s">
        <v>8098</v>
      </c>
      <c r="C1366" s="60" t="s">
        <v>183</v>
      </c>
      <c r="D1366" s="93" t="s">
        <v>1399</v>
      </c>
      <c r="E1366" s="48" t="str">
        <f t="shared" si="0"/>
        <v>Brooklyn</v>
      </c>
      <c r="F1366" s="83" t="str">
        <f t="shared" si="1"/>
        <v>Summit Academy (Brooklyn),NY</v>
      </c>
      <c r="G1366" s="60" t="s">
        <v>8101</v>
      </c>
      <c r="H1366" s="60">
        <v>40.677586900000001</v>
      </c>
      <c r="I1366" s="60">
        <v>-74.004700200000002</v>
      </c>
      <c r="J1366" s="60" t="str">
        <f ca="1">IFERROR(__xludf.DUMMYFUNCTION("SPLIT(G1366,"","")"),"27 Huntington St")</f>
        <v>27 Huntington St</v>
      </c>
      <c r="K1366" s="2" t="str">
        <f ca="1">IFERROR(__xludf.DUMMYFUNCTION("""COMPUTED_VALUE""")," Brooklyn")</f>
        <v xml:space="preserve"> Brooklyn</v>
      </c>
      <c r="L1366" s="2" t="str">
        <f ca="1">IFERROR(__xludf.DUMMYFUNCTION("""COMPUTED_VALUE""")," NY 11231")</f>
        <v xml:space="preserve"> NY 11231</v>
      </c>
      <c r="M1366" s="2" t="str">
        <f ca="1">IFERROR(__xludf.DUMMYFUNCTION("""COMPUTED_VALUE""")," USA")</f>
        <v xml:space="preserve"> USA</v>
      </c>
      <c r="P1366" s="60"/>
    </row>
    <row r="1367" spans="1:16">
      <c r="A1367" s="65">
        <v>1366</v>
      </c>
      <c r="B1367" s="80" t="s">
        <v>8108</v>
      </c>
      <c r="C1367" s="65" t="s">
        <v>1210</v>
      </c>
      <c r="D1367" s="93" t="s">
        <v>8110</v>
      </c>
      <c r="E1367" s="48" t="str">
        <f t="shared" si="0"/>
        <v>Fair Haven</v>
      </c>
      <c r="F1367" s="83" t="str">
        <f t="shared" si="1"/>
        <v>Fair Haven,VT</v>
      </c>
      <c r="G1367" s="65" t="s">
        <v>8111</v>
      </c>
      <c r="H1367" s="65">
        <v>43.594800999999997</v>
      </c>
      <c r="I1367" s="65">
        <v>-73.265715499999999</v>
      </c>
      <c r="J1367" s="60" t="str">
        <f ca="1">IFERROR(__xludf.DUMMYFUNCTION("SPLIT(G1367,"","")"),"339 Main St")</f>
        <v>339 Main St</v>
      </c>
      <c r="K1367" s="2" t="str">
        <f ca="1">IFERROR(__xludf.DUMMYFUNCTION("""COMPUTED_VALUE""")," Fair Haven")</f>
        <v xml:space="preserve"> Fair Haven</v>
      </c>
      <c r="L1367" s="2" t="str">
        <f ca="1">IFERROR(__xludf.DUMMYFUNCTION("""COMPUTED_VALUE""")," VT 05743")</f>
        <v xml:space="preserve"> VT 05743</v>
      </c>
      <c r="M1367" s="2" t="str">
        <f ca="1">IFERROR(__xludf.DUMMYFUNCTION("""COMPUTED_VALUE""")," USA")</f>
        <v xml:space="preserve"> USA</v>
      </c>
      <c r="P1367" s="60"/>
    </row>
    <row r="1368" spans="1:16">
      <c r="A1368" s="60">
        <v>1367</v>
      </c>
      <c r="B1368" s="79" t="s">
        <v>8116</v>
      </c>
      <c r="C1368" s="60" t="s">
        <v>183</v>
      </c>
      <c r="D1368" s="93" t="s">
        <v>4753</v>
      </c>
      <c r="E1368" s="48" t="str">
        <f t="shared" si="0"/>
        <v>Rochester</v>
      </c>
      <c r="F1368" s="83" t="str">
        <f t="shared" si="1"/>
        <v>McQuaid Jesuit (Rochester),NY</v>
      </c>
      <c r="G1368" s="60" t="s">
        <v>8120</v>
      </c>
      <c r="H1368" s="60">
        <v>43.123834899999999</v>
      </c>
      <c r="I1368" s="60">
        <v>-77.593049800000003</v>
      </c>
      <c r="J1368" s="60" t="str">
        <f ca="1">IFERROR(__xludf.DUMMYFUNCTION("SPLIT(G1368,"","")"),"1800 County Rd 100")</f>
        <v>1800 County Rd 100</v>
      </c>
      <c r="K1368" s="2" t="str">
        <f ca="1">IFERROR(__xludf.DUMMYFUNCTION("""COMPUTED_VALUE""")," Rochester")</f>
        <v xml:space="preserve"> Rochester</v>
      </c>
      <c r="L1368" s="2" t="str">
        <f ca="1">IFERROR(__xludf.DUMMYFUNCTION("""COMPUTED_VALUE""")," NY 14618")</f>
        <v xml:space="preserve"> NY 14618</v>
      </c>
      <c r="M1368" s="2" t="str">
        <f ca="1">IFERROR(__xludf.DUMMYFUNCTION("""COMPUTED_VALUE""")," USA")</f>
        <v xml:space="preserve"> USA</v>
      </c>
      <c r="P1368" s="60"/>
    </row>
    <row r="1369" spans="1:16">
      <c r="A1369" s="65">
        <v>1368</v>
      </c>
      <c r="B1369" s="80" t="s">
        <v>8124</v>
      </c>
      <c r="C1369" s="65" t="s">
        <v>646</v>
      </c>
      <c r="D1369" s="93" t="s">
        <v>8125</v>
      </c>
      <c r="E1369" s="48" t="str">
        <f t="shared" si="0"/>
        <v>Three Forks</v>
      </c>
      <c r="F1369" s="83" t="str">
        <f t="shared" si="1"/>
        <v>Three Forks,MT</v>
      </c>
      <c r="G1369" s="65" t="s">
        <v>8128</v>
      </c>
      <c r="H1369" s="65">
        <v>45.892428000000002</v>
      </c>
      <c r="I1369" s="65">
        <v>-111.5521925</v>
      </c>
      <c r="J1369" s="60" t="str">
        <f ca="1">IFERROR(__xludf.DUMMYFUNCTION("SPLIT(G1369,"","")"),"215 Frontage Rd")</f>
        <v>215 Frontage Rd</v>
      </c>
      <c r="K1369" s="2" t="str">
        <f ca="1">IFERROR(__xludf.DUMMYFUNCTION("""COMPUTED_VALUE""")," Three Forks")</f>
        <v xml:space="preserve"> Three Forks</v>
      </c>
      <c r="L1369" s="2" t="str">
        <f ca="1">IFERROR(__xludf.DUMMYFUNCTION("""COMPUTED_VALUE""")," MT 59752")</f>
        <v xml:space="preserve"> MT 59752</v>
      </c>
      <c r="M1369" s="2" t="str">
        <f ca="1">IFERROR(__xludf.DUMMYFUNCTION("""COMPUTED_VALUE""")," USA")</f>
        <v xml:space="preserve"> USA</v>
      </c>
      <c r="P1369" s="60"/>
    </row>
    <row r="1370" spans="1:16">
      <c r="A1370" s="60">
        <v>1369</v>
      </c>
      <c r="B1370" s="79" t="s">
        <v>8131</v>
      </c>
      <c r="C1370" s="60" t="s">
        <v>693</v>
      </c>
      <c r="D1370" s="93" t="s">
        <v>8133</v>
      </c>
      <c r="E1370" s="48" t="str">
        <f t="shared" si="0"/>
        <v>Holly Springs</v>
      </c>
      <c r="F1370" s="83" t="str">
        <f t="shared" si="1"/>
        <v>Holly Springs,MS</v>
      </c>
      <c r="G1370" s="60" t="s">
        <v>8135</v>
      </c>
      <c r="H1370" s="60">
        <v>34.767596700000013</v>
      </c>
      <c r="I1370" s="60">
        <v>-89.448689399999992</v>
      </c>
      <c r="J1370" s="60" t="str">
        <f ca="1">IFERROR(__xludf.DUMMYFUNCTION("SPLIT(G1370,"","")"),"73 MS-4")</f>
        <v>73 MS-4</v>
      </c>
      <c r="K1370" s="2" t="str">
        <f ca="1">IFERROR(__xludf.DUMMYFUNCTION("""COMPUTED_VALUE""")," Holly Springs")</f>
        <v xml:space="preserve"> Holly Springs</v>
      </c>
      <c r="L1370" s="2" t="str">
        <f ca="1">IFERROR(__xludf.DUMMYFUNCTION("""COMPUTED_VALUE""")," MS 38635")</f>
        <v xml:space="preserve"> MS 38635</v>
      </c>
      <c r="M1370" s="2" t="str">
        <f ca="1">IFERROR(__xludf.DUMMYFUNCTION("""COMPUTED_VALUE""")," USA")</f>
        <v xml:space="preserve"> USA</v>
      </c>
      <c r="P1370" s="60"/>
    </row>
    <row r="1371" spans="1:16">
      <c r="A1371" s="65">
        <v>1370</v>
      </c>
      <c r="B1371" s="80" t="s">
        <v>8140</v>
      </c>
      <c r="C1371" s="65" t="s">
        <v>69</v>
      </c>
      <c r="D1371" s="93" t="s">
        <v>8142</v>
      </c>
      <c r="E1371" s="48" t="str">
        <f t="shared" si="0"/>
        <v>Harvest</v>
      </c>
      <c r="F1371" s="83" t="str">
        <f t="shared" si="1"/>
        <v>Sparkman (Harvest),AL</v>
      </c>
      <c r="G1371" s="65" t="s">
        <v>8144</v>
      </c>
      <c r="H1371" s="65">
        <v>34.834296399999999</v>
      </c>
      <c r="I1371" s="65">
        <v>-86.716085300000003</v>
      </c>
      <c r="J1371" s="60" t="str">
        <f ca="1">IFERROR(__xludf.DUMMYFUNCTION("SPLIT(G1371,"","")"),"2616 Jeff Rd NW")</f>
        <v>2616 Jeff Rd NW</v>
      </c>
      <c r="K1371" s="2" t="str">
        <f ca="1">IFERROR(__xludf.DUMMYFUNCTION("""COMPUTED_VALUE""")," Harvest")</f>
        <v xml:space="preserve"> Harvest</v>
      </c>
      <c r="L1371" s="2" t="str">
        <f ca="1">IFERROR(__xludf.DUMMYFUNCTION("""COMPUTED_VALUE""")," AL 35749")</f>
        <v xml:space="preserve"> AL 35749</v>
      </c>
      <c r="M1371" s="2" t="str">
        <f ca="1">IFERROR(__xludf.DUMMYFUNCTION("""COMPUTED_VALUE""")," USA")</f>
        <v xml:space="preserve"> USA</v>
      </c>
      <c r="P1371" s="60"/>
    </row>
    <row r="1372" spans="1:16">
      <c r="A1372" s="60">
        <v>1371</v>
      </c>
      <c r="B1372" s="79" t="s">
        <v>8149</v>
      </c>
      <c r="C1372" s="60" t="s">
        <v>1370</v>
      </c>
      <c r="D1372" s="93" t="s">
        <v>8152</v>
      </c>
      <c r="E1372" s="48" t="str">
        <f t="shared" si="0"/>
        <v>De Smet</v>
      </c>
      <c r="F1372" s="83" t="str">
        <f t="shared" si="1"/>
        <v>DeSmet,SD</v>
      </c>
      <c r="G1372" s="60" t="s">
        <v>8153</v>
      </c>
      <c r="H1372" s="60">
        <v>44.387469600000003</v>
      </c>
      <c r="I1372" s="60">
        <v>-97.550354099999993</v>
      </c>
      <c r="J1372" s="60" t="str">
        <f ca="1">IFERROR(__xludf.DUMMYFUNCTION("SPLIT(G1372,"","")"),"112 1st St SW")</f>
        <v>112 1st St SW</v>
      </c>
      <c r="K1372" s="2" t="str">
        <f ca="1">IFERROR(__xludf.DUMMYFUNCTION("""COMPUTED_VALUE""")," De Smet")</f>
        <v xml:space="preserve"> De Smet</v>
      </c>
      <c r="L1372" s="2" t="str">
        <f ca="1">IFERROR(__xludf.DUMMYFUNCTION("""COMPUTED_VALUE""")," SD 57231")</f>
        <v xml:space="preserve"> SD 57231</v>
      </c>
      <c r="M1372" s="2" t="str">
        <f ca="1">IFERROR(__xludf.DUMMYFUNCTION("""COMPUTED_VALUE""")," USA")</f>
        <v xml:space="preserve"> USA</v>
      </c>
      <c r="P1372" s="60"/>
    </row>
    <row r="1373" spans="1:16">
      <c r="A1373" s="65">
        <v>1372</v>
      </c>
      <c r="B1373" s="80" t="s">
        <v>8159</v>
      </c>
      <c r="C1373" s="65" t="s">
        <v>183</v>
      </c>
      <c r="D1373" s="93" t="s">
        <v>8160</v>
      </c>
      <c r="E1373" s="48" t="str">
        <f t="shared" si="0"/>
        <v>New Rochelle</v>
      </c>
      <c r="F1373" s="83" t="str">
        <f t="shared" si="1"/>
        <v>New Rochelle,NY</v>
      </c>
      <c r="G1373" s="65" t="s">
        <v>8161</v>
      </c>
      <c r="H1373" s="65">
        <v>40.911488200000001</v>
      </c>
      <c r="I1373" s="65">
        <v>-73.782354900000001</v>
      </c>
      <c r="J1373" s="60" t="str">
        <f ca="1">IFERROR(__xludf.DUMMYFUNCTION("SPLIT(G1373,"","")"),"276 North Ave")</f>
        <v>276 North Ave</v>
      </c>
      <c r="K1373" s="2" t="str">
        <f ca="1">IFERROR(__xludf.DUMMYFUNCTION("""COMPUTED_VALUE""")," New Rochelle")</f>
        <v xml:space="preserve"> New Rochelle</v>
      </c>
      <c r="L1373" s="2" t="str">
        <f ca="1">IFERROR(__xludf.DUMMYFUNCTION("""COMPUTED_VALUE""")," NY 10801")</f>
        <v xml:space="preserve"> NY 10801</v>
      </c>
      <c r="M1373" s="2" t="str">
        <f ca="1">IFERROR(__xludf.DUMMYFUNCTION("""COMPUTED_VALUE""")," USA")</f>
        <v xml:space="preserve"> USA</v>
      </c>
      <c r="P1373" s="60"/>
    </row>
    <row r="1374" spans="1:16">
      <c r="A1374" s="60">
        <v>1373</v>
      </c>
      <c r="B1374" s="79" t="s">
        <v>8167</v>
      </c>
      <c r="C1374" s="60" t="s">
        <v>595</v>
      </c>
      <c r="D1374" s="93" t="s">
        <v>8169</v>
      </c>
      <c r="E1374" s="48" t="str">
        <f t="shared" si="0"/>
        <v>Friendswood</v>
      </c>
      <c r="F1374" s="83" t="str">
        <f t="shared" si="1"/>
        <v>Clear Brook (Friendswood),TX</v>
      </c>
      <c r="G1374" s="60" t="s">
        <v>8171</v>
      </c>
      <c r="H1374" s="60">
        <v>29.5480184</v>
      </c>
      <c r="I1374" s="60">
        <v>-95.186709699999994</v>
      </c>
      <c r="J1374" s="60" t="str">
        <f ca="1">IFERROR(__xludf.DUMMYFUNCTION("SPLIT(G1374,"","")"),"4607 FM 2351")</f>
        <v>4607 FM 2351</v>
      </c>
      <c r="K1374" s="2" t="str">
        <f ca="1">IFERROR(__xludf.DUMMYFUNCTION("""COMPUTED_VALUE""")," Friendswood")</f>
        <v xml:space="preserve"> Friendswood</v>
      </c>
      <c r="L1374" s="2" t="str">
        <f ca="1">IFERROR(__xludf.DUMMYFUNCTION("""COMPUTED_VALUE""")," TX 77546")</f>
        <v xml:space="preserve"> TX 77546</v>
      </c>
      <c r="M1374" s="2" t="str">
        <f ca="1">IFERROR(__xludf.DUMMYFUNCTION("""COMPUTED_VALUE""")," USA")</f>
        <v xml:space="preserve"> USA</v>
      </c>
      <c r="P1374" s="60"/>
    </row>
    <row r="1375" spans="1:16">
      <c r="A1375" s="97">
        <v>1374</v>
      </c>
      <c r="B1375" s="99" t="s">
        <v>8176</v>
      </c>
      <c r="C1375" s="97" t="s">
        <v>1273</v>
      </c>
      <c r="D1375" s="93" t="s">
        <v>6014</v>
      </c>
      <c r="E1375" s="48" t="str">
        <f t="shared" si="0"/>
        <v>Ankeny</v>
      </c>
      <c r="F1375" s="83" t="str">
        <f t="shared" si="1"/>
        <v>Ankeny,IA</v>
      </c>
      <c r="G1375" s="97" t="s">
        <v>8177</v>
      </c>
      <c r="H1375" s="97">
        <v>41.731788399999999</v>
      </c>
      <c r="I1375" s="97">
        <v>-93.600127799999996</v>
      </c>
      <c r="J1375" s="60" t="str">
        <f ca="1">IFERROR(__xludf.DUMMYFUNCTION("SPLIT(G1375,"","")"),"101 S Ankeny Blvd")</f>
        <v>101 S Ankeny Blvd</v>
      </c>
      <c r="K1375" s="2" t="str">
        <f ca="1">IFERROR(__xludf.DUMMYFUNCTION("""COMPUTED_VALUE""")," Ankeny")</f>
        <v xml:space="preserve"> Ankeny</v>
      </c>
      <c r="L1375" s="2" t="str">
        <f ca="1">IFERROR(__xludf.DUMMYFUNCTION("""COMPUTED_VALUE""")," IA 50023")</f>
        <v xml:space="preserve"> IA 50023</v>
      </c>
      <c r="M1375" s="2" t="str">
        <f ca="1">IFERROR(__xludf.DUMMYFUNCTION("""COMPUTED_VALUE""")," USA")</f>
        <v xml:space="preserve"> USA</v>
      </c>
      <c r="P1375" s="60"/>
    </row>
    <row r="1376" spans="1:16">
      <c r="A1376" s="60">
        <v>1375</v>
      </c>
      <c r="B1376" s="79" t="s">
        <v>4815</v>
      </c>
      <c r="C1376" s="60" t="s">
        <v>588</v>
      </c>
      <c r="D1376" s="93" t="s">
        <v>8179</v>
      </c>
      <c r="E1376" s="48" t="str">
        <f t="shared" si="0"/>
        <v>Davis</v>
      </c>
      <c r="F1376" s="83" t="str">
        <f t="shared" si="1"/>
        <v>Davis,CA</v>
      </c>
      <c r="G1376" s="60" t="s">
        <v>8180</v>
      </c>
      <c r="H1376" s="60">
        <v>38.544906500000003</v>
      </c>
      <c r="I1376" s="60">
        <v>-121.7405167</v>
      </c>
      <c r="J1376" s="60" t="str">
        <f ca="1">IFERROR(__xludf.DUMMYFUNCTION("SPLIT(G1376,"","")"),"615 3rd St")</f>
        <v>615 3rd St</v>
      </c>
      <c r="K1376" s="2" t="str">
        <f ca="1">IFERROR(__xludf.DUMMYFUNCTION("""COMPUTED_VALUE""")," Davis")</f>
        <v xml:space="preserve"> Davis</v>
      </c>
      <c r="L1376" s="2" t="str">
        <f ca="1">IFERROR(__xludf.DUMMYFUNCTION("""COMPUTED_VALUE""")," CA 95616")</f>
        <v xml:space="preserve"> CA 95616</v>
      </c>
      <c r="M1376" s="2" t="str">
        <f ca="1">IFERROR(__xludf.DUMMYFUNCTION("""COMPUTED_VALUE""")," USA")</f>
        <v xml:space="preserve"> USA</v>
      </c>
      <c r="P1376" s="60"/>
    </row>
    <row r="1377" spans="1:16">
      <c r="A1377" s="60">
        <v>1376</v>
      </c>
      <c r="B1377" s="79" t="s">
        <v>8182</v>
      </c>
      <c r="C1377" s="60" t="s">
        <v>136</v>
      </c>
      <c r="D1377" s="93" t="s">
        <v>8183</v>
      </c>
      <c r="E1377" s="48" t="str">
        <f t="shared" si="0"/>
        <v>Okeechobee</v>
      </c>
      <c r="F1377" s="83" t="str">
        <f t="shared" si="1"/>
        <v>Okeechobee,FL</v>
      </c>
      <c r="G1377" s="60" t="s">
        <v>8186</v>
      </c>
      <c r="H1377" s="60">
        <v>27.243934899999999</v>
      </c>
      <c r="I1377" s="60">
        <v>-80.82978279999999</v>
      </c>
      <c r="J1377" s="60" t="str">
        <f ca="1">IFERROR(__xludf.DUMMYFUNCTION("SPLIT(G1377,"","")"),"106 N Parrott Ave")</f>
        <v>106 N Parrott Ave</v>
      </c>
      <c r="K1377" s="2" t="str">
        <f ca="1">IFERROR(__xludf.DUMMYFUNCTION("""COMPUTED_VALUE""")," Okeechobee")</f>
        <v xml:space="preserve"> Okeechobee</v>
      </c>
      <c r="L1377" s="2" t="str">
        <f ca="1">IFERROR(__xludf.DUMMYFUNCTION("""COMPUTED_VALUE""")," FL 34972")</f>
        <v xml:space="preserve"> FL 34972</v>
      </c>
      <c r="M1377" s="2" t="str">
        <f ca="1">IFERROR(__xludf.DUMMYFUNCTION("""COMPUTED_VALUE""")," USA")</f>
        <v xml:space="preserve"> USA</v>
      </c>
      <c r="P1377" s="60"/>
    </row>
    <row r="1378" spans="1:16">
      <c r="A1378" s="65">
        <v>1377</v>
      </c>
      <c r="B1378" s="80" t="s">
        <v>8189</v>
      </c>
      <c r="C1378" s="65" t="s">
        <v>682</v>
      </c>
      <c r="D1378" s="93" t="s">
        <v>7736</v>
      </c>
      <c r="E1378" s="48" t="str">
        <f t="shared" si="0"/>
        <v>Beloit</v>
      </c>
      <c r="F1378" s="83" t="str">
        <f t="shared" si="1"/>
        <v>Turner (Beloit),WI</v>
      </c>
      <c r="G1378" s="65" t="s">
        <v>8191</v>
      </c>
      <c r="H1378" s="65">
        <v>42.555016199999997</v>
      </c>
      <c r="I1378" s="65">
        <v>-89.018883599999995</v>
      </c>
      <c r="J1378" s="60" t="str">
        <f ca="1">IFERROR(__xludf.DUMMYFUNCTION("SPLIT(G1378,"","")"),"1231 E Inman Pkwy")</f>
        <v>1231 E Inman Pkwy</v>
      </c>
      <c r="K1378" s="2" t="str">
        <f ca="1">IFERROR(__xludf.DUMMYFUNCTION("""COMPUTED_VALUE""")," Beloit")</f>
        <v xml:space="preserve"> Beloit</v>
      </c>
      <c r="L1378" s="2" t="str">
        <f ca="1">IFERROR(__xludf.DUMMYFUNCTION("""COMPUTED_VALUE""")," WI 53511")</f>
        <v xml:space="preserve"> WI 53511</v>
      </c>
      <c r="M1378" s="2" t="str">
        <f ca="1">IFERROR(__xludf.DUMMYFUNCTION("""COMPUTED_VALUE""")," USA")</f>
        <v xml:space="preserve"> USA</v>
      </c>
      <c r="P1378" s="60"/>
    </row>
    <row r="1379" spans="1:16">
      <c r="A1379" s="60">
        <v>1378</v>
      </c>
      <c r="B1379" s="79" t="s">
        <v>8195</v>
      </c>
      <c r="C1379" s="60" t="s">
        <v>675</v>
      </c>
      <c r="D1379" s="93" t="s">
        <v>8196</v>
      </c>
      <c r="E1379" s="48" t="str">
        <f t="shared" si="0"/>
        <v>Moon</v>
      </c>
      <c r="F1379" s="83" t="str">
        <f t="shared" si="1"/>
        <v>Our Lady of the Sacred Heart (Coraopolis),PA</v>
      </c>
      <c r="G1379" s="60" t="s">
        <v>8197</v>
      </c>
      <c r="H1379" s="60">
        <v>40.502204700000007</v>
      </c>
      <c r="I1379" s="60">
        <v>-80.156551399999998</v>
      </c>
      <c r="J1379" s="60" t="str">
        <f ca="1">IFERROR(__xludf.DUMMYFUNCTION("SPLIT(G1379,"","")"),"1504 Woodcrest Ave")</f>
        <v>1504 Woodcrest Ave</v>
      </c>
      <c r="K1379" s="2" t="str">
        <f ca="1">IFERROR(__xludf.DUMMYFUNCTION("""COMPUTED_VALUE""")," Moon")</f>
        <v xml:space="preserve"> Moon</v>
      </c>
      <c r="L1379" s="2" t="str">
        <f ca="1">IFERROR(__xludf.DUMMYFUNCTION("""COMPUTED_VALUE""")," PA 15108")</f>
        <v xml:space="preserve"> PA 15108</v>
      </c>
      <c r="M1379" s="2" t="str">
        <f ca="1">IFERROR(__xludf.DUMMYFUNCTION("""COMPUTED_VALUE""")," USA")</f>
        <v xml:space="preserve"> USA</v>
      </c>
      <c r="P1379" s="60"/>
    </row>
    <row r="1380" spans="1:16">
      <c r="A1380" s="65">
        <v>1379</v>
      </c>
      <c r="B1380" s="80" t="s">
        <v>8198</v>
      </c>
      <c r="C1380" s="65" t="s">
        <v>675</v>
      </c>
      <c r="D1380" s="93" t="s">
        <v>8199</v>
      </c>
      <c r="E1380" s="48" t="str">
        <f t="shared" si="0"/>
        <v>Bethlehem</v>
      </c>
      <c r="F1380" s="83" t="str">
        <f t="shared" si="1"/>
        <v>Liberty (Bethlehem),PA</v>
      </c>
      <c r="G1380" s="65" t="s">
        <v>8200</v>
      </c>
      <c r="H1380" s="65">
        <v>40.629331499999999</v>
      </c>
      <c r="I1380" s="65">
        <v>-75.372005599999994</v>
      </c>
      <c r="J1380" s="60" t="str">
        <f ca="1">IFERROR(__xludf.DUMMYFUNCTION("SPLIT(G1380,"","")"),"1115 Linden St")</f>
        <v>1115 Linden St</v>
      </c>
      <c r="K1380" s="2" t="str">
        <f ca="1">IFERROR(__xludf.DUMMYFUNCTION("""COMPUTED_VALUE""")," Bethlehem")</f>
        <v xml:space="preserve"> Bethlehem</v>
      </c>
      <c r="L1380" s="2" t="str">
        <f ca="1">IFERROR(__xludf.DUMMYFUNCTION("""COMPUTED_VALUE""")," PA 18018")</f>
        <v xml:space="preserve"> PA 18018</v>
      </c>
      <c r="M1380" s="2" t="str">
        <f ca="1">IFERROR(__xludf.DUMMYFUNCTION("""COMPUTED_VALUE""")," USA")</f>
        <v xml:space="preserve"> USA</v>
      </c>
      <c r="P1380" s="60"/>
    </row>
    <row r="1381" spans="1:16">
      <c r="A1381" s="60">
        <v>1380</v>
      </c>
      <c r="B1381" s="79" t="s">
        <v>8203</v>
      </c>
      <c r="C1381" s="60" t="s">
        <v>174</v>
      </c>
      <c r="D1381" s="93" t="s">
        <v>8205</v>
      </c>
      <c r="E1381" s="48" t="str">
        <f t="shared" si="0"/>
        <v>Cuyahoga Falls</v>
      </c>
      <c r="F1381" s="83" t="str">
        <f t="shared" si="1"/>
        <v>Walsh Jesuit (Cuyahoga Falls),OH</v>
      </c>
      <c r="G1381" s="60" t="s">
        <v>8206</v>
      </c>
      <c r="H1381" s="60">
        <v>41.192488399999988</v>
      </c>
      <c r="I1381" s="60">
        <v>-81.495395799999997</v>
      </c>
      <c r="J1381" s="60" t="str">
        <f ca="1">IFERROR(__xludf.DUMMYFUNCTION("SPLIT(G1381,"","")"),"4550 Wyoga Lake Rd")</f>
        <v>4550 Wyoga Lake Rd</v>
      </c>
      <c r="K1381" s="2" t="str">
        <f ca="1">IFERROR(__xludf.DUMMYFUNCTION("""COMPUTED_VALUE""")," Cuyahoga Falls")</f>
        <v xml:space="preserve"> Cuyahoga Falls</v>
      </c>
      <c r="L1381" s="2" t="str">
        <f ca="1">IFERROR(__xludf.DUMMYFUNCTION("""COMPUTED_VALUE""")," OH 44224")</f>
        <v xml:space="preserve"> OH 44224</v>
      </c>
      <c r="M1381" s="2" t="str">
        <f ca="1">IFERROR(__xludf.DUMMYFUNCTION("""COMPUTED_VALUE""")," USA")</f>
        <v xml:space="preserve"> USA</v>
      </c>
      <c r="P1381" s="60"/>
    </row>
    <row r="1382" spans="1:16">
      <c r="A1382" s="65">
        <v>1381</v>
      </c>
      <c r="B1382" s="80" t="s">
        <v>8210</v>
      </c>
      <c r="C1382" s="65" t="s">
        <v>693</v>
      </c>
      <c r="D1382" s="93" t="s">
        <v>5155</v>
      </c>
      <c r="E1382" s="48" t="str">
        <f t="shared" si="0"/>
        <v>Columbus</v>
      </c>
      <c r="F1382" s="83" t="str">
        <f t="shared" si="1"/>
        <v>New Hope (Columbus),MS</v>
      </c>
      <c r="G1382" s="65" t="s">
        <v>8213</v>
      </c>
      <c r="H1382" s="65">
        <v>33.446728</v>
      </c>
      <c r="I1382" s="65">
        <v>-88.32636029999999</v>
      </c>
      <c r="J1382" s="60" t="str">
        <f ca="1">IFERROR(__xludf.DUMMYFUNCTION("SPLIT(G1382,"","")"),"191 Reeves Rd")</f>
        <v>191 Reeves Rd</v>
      </c>
      <c r="K1382" s="2" t="str">
        <f ca="1">IFERROR(__xludf.DUMMYFUNCTION("""COMPUTED_VALUE""")," Columbus")</f>
        <v xml:space="preserve"> Columbus</v>
      </c>
      <c r="L1382" s="2" t="str">
        <f ca="1">IFERROR(__xludf.DUMMYFUNCTION("""COMPUTED_VALUE""")," MS 39702")</f>
        <v xml:space="preserve"> MS 39702</v>
      </c>
      <c r="M1382" s="2" t="str">
        <f ca="1">IFERROR(__xludf.DUMMYFUNCTION("""COMPUTED_VALUE""")," USA")</f>
        <v xml:space="preserve"> USA</v>
      </c>
      <c r="P1382" s="60"/>
    </row>
    <row r="1383" spans="1:16">
      <c r="A1383" s="60">
        <v>1382</v>
      </c>
      <c r="B1383" s="79" t="s">
        <v>4991</v>
      </c>
      <c r="C1383" s="60" t="s">
        <v>1353</v>
      </c>
      <c r="D1383" s="93" t="s">
        <v>8218</v>
      </c>
      <c r="E1383" s="48" t="str">
        <f t="shared" si="0"/>
        <v>Exeter</v>
      </c>
      <c r="F1383" s="83" t="str">
        <f t="shared" si="1"/>
        <v>Exeter,NH</v>
      </c>
      <c r="G1383" s="60" t="s">
        <v>8221</v>
      </c>
      <c r="H1383" s="60">
        <v>42.981429200000001</v>
      </c>
      <c r="I1383" s="60">
        <v>-70.947754599999996</v>
      </c>
      <c r="J1383" s="60" t="str">
        <f ca="1">IFERROR(__xludf.DUMMYFUNCTION("SPLIT(G1383,"","")"),"130 Water St")</f>
        <v>130 Water St</v>
      </c>
      <c r="K1383" s="2" t="str">
        <f ca="1">IFERROR(__xludf.DUMMYFUNCTION("""COMPUTED_VALUE""")," Exeter")</f>
        <v xml:space="preserve"> Exeter</v>
      </c>
      <c r="L1383" s="2" t="str">
        <f ca="1">IFERROR(__xludf.DUMMYFUNCTION("""COMPUTED_VALUE""")," NH 03833")</f>
        <v xml:space="preserve"> NH 03833</v>
      </c>
      <c r="M1383" s="2" t="str">
        <f ca="1">IFERROR(__xludf.DUMMYFUNCTION("""COMPUTED_VALUE""")," USA")</f>
        <v xml:space="preserve"> USA</v>
      </c>
      <c r="P1383" s="60"/>
    </row>
    <row r="1384" spans="1:16">
      <c r="A1384" s="65">
        <v>1383</v>
      </c>
      <c r="B1384" s="80" t="s">
        <v>8225</v>
      </c>
      <c r="C1384" s="65" t="s">
        <v>183</v>
      </c>
      <c r="D1384" s="93" t="s">
        <v>8226</v>
      </c>
      <c r="E1384" s="48" t="str">
        <f t="shared" si="0"/>
        <v>Queens</v>
      </c>
      <c r="F1384" s="83" t="str">
        <f t="shared" si="1"/>
        <v>Bowne (Flushing),NY</v>
      </c>
      <c r="G1384" s="65" t="s">
        <v>8229</v>
      </c>
      <c r="H1384" s="65">
        <v>40.756028299999997</v>
      </c>
      <c r="I1384" s="65">
        <v>-73.820855600000002</v>
      </c>
      <c r="J1384" s="60" t="str">
        <f ca="1">IFERROR(__xludf.DUMMYFUNCTION("SPLIT(G1384,"","")"),"Bowne St/Beech Av")</f>
        <v>Bowne St/Beech Av</v>
      </c>
      <c r="K1384" s="2" t="str">
        <f ca="1">IFERROR(__xludf.DUMMYFUNCTION("""COMPUTED_VALUE""")," Queens")</f>
        <v xml:space="preserve"> Queens</v>
      </c>
      <c r="L1384" s="2" t="str">
        <f ca="1">IFERROR(__xludf.DUMMYFUNCTION("""COMPUTED_VALUE""")," NY 11355")</f>
        <v xml:space="preserve"> NY 11355</v>
      </c>
      <c r="M1384" s="2" t="str">
        <f ca="1">IFERROR(__xludf.DUMMYFUNCTION("""COMPUTED_VALUE""")," USA")</f>
        <v xml:space="preserve"> USA</v>
      </c>
      <c r="P1384" s="60"/>
    </row>
    <row r="1385" spans="1:16">
      <c r="A1385" s="60">
        <v>1384</v>
      </c>
      <c r="B1385" s="79" t="s">
        <v>8232</v>
      </c>
      <c r="C1385" s="60" t="s">
        <v>745</v>
      </c>
      <c r="D1385" s="93" t="s">
        <v>7013</v>
      </c>
      <c r="E1385" s="48" t="str">
        <f t="shared" si="0"/>
        <v>Spokane</v>
      </c>
      <c r="F1385" s="83" t="str">
        <f t="shared" si="1"/>
        <v>St. George's (Spokane),WA</v>
      </c>
      <c r="G1385" s="60" t="s">
        <v>8235</v>
      </c>
      <c r="H1385" s="60">
        <v>47.766793100000001</v>
      </c>
      <c r="I1385" s="60">
        <v>-117.46973300000001</v>
      </c>
      <c r="J1385" s="60" t="str">
        <f ca="1">IFERROR(__xludf.DUMMYFUNCTION("SPLIT(G1385,"","")"),"2929 W Waikiki Rd")</f>
        <v>2929 W Waikiki Rd</v>
      </c>
      <c r="K1385" s="2" t="str">
        <f ca="1">IFERROR(__xludf.DUMMYFUNCTION("""COMPUTED_VALUE""")," Spokane")</f>
        <v xml:space="preserve"> Spokane</v>
      </c>
      <c r="L1385" s="2" t="str">
        <f ca="1">IFERROR(__xludf.DUMMYFUNCTION("""COMPUTED_VALUE""")," WA 99208")</f>
        <v xml:space="preserve"> WA 99208</v>
      </c>
      <c r="M1385" s="2" t="str">
        <f ca="1">IFERROR(__xludf.DUMMYFUNCTION("""COMPUTED_VALUE""")," USA")</f>
        <v xml:space="preserve"> USA</v>
      </c>
      <c r="P1385" s="60"/>
    </row>
    <row r="1386" spans="1:16">
      <c r="A1386" s="65">
        <v>1385</v>
      </c>
      <c r="B1386" s="80" t="s">
        <v>8238</v>
      </c>
      <c r="C1386" s="65" t="s">
        <v>675</v>
      </c>
      <c r="D1386" s="93" t="s">
        <v>8240</v>
      </c>
      <c r="E1386" s="48" t="str">
        <f t="shared" si="0"/>
        <v>Harrisburg</v>
      </c>
      <c r="F1386" s="83" t="str">
        <f t="shared" si="1"/>
        <v>Bishop McDevitt (Harrisburg),PA</v>
      </c>
      <c r="G1386" s="65" t="s">
        <v>8241</v>
      </c>
      <c r="H1386" s="65">
        <v>40.274852000000003</v>
      </c>
      <c r="I1386" s="65">
        <v>-76.791511</v>
      </c>
      <c r="J1386" s="60" t="str">
        <f ca="1">IFERROR(__xludf.DUMMYFUNCTION("SPLIT(G1386,"","")"),"1 Crusader Way")</f>
        <v>1 Crusader Way</v>
      </c>
      <c r="K1386" s="2" t="str">
        <f ca="1">IFERROR(__xludf.DUMMYFUNCTION("""COMPUTED_VALUE""")," Harrisburg")</f>
        <v xml:space="preserve"> Harrisburg</v>
      </c>
      <c r="L1386" s="2" t="str">
        <f ca="1">IFERROR(__xludf.DUMMYFUNCTION("""COMPUTED_VALUE""")," PA 17111")</f>
        <v xml:space="preserve"> PA 17111</v>
      </c>
      <c r="M1386" s="2" t="str">
        <f ca="1">IFERROR(__xludf.DUMMYFUNCTION("""COMPUTED_VALUE""")," USA")</f>
        <v xml:space="preserve"> USA</v>
      </c>
      <c r="P1386" s="60"/>
    </row>
    <row r="1387" spans="1:16">
      <c r="A1387" s="60">
        <v>1386</v>
      </c>
      <c r="B1387" s="79" t="s">
        <v>8245</v>
      </c>
      <c r="C1387" s="60" t="s">
        <v>881</v>
      </c>
      <c r="D1387" s="93" t="s">
        <v>8246</v>
      </c>
      <c r="E1387" s="48" t="str">
        <f t="shared" si="0"/>
        <v>Hebron</v>
      </c>
      <c r="F1387" s="83" t="str">
        <f t="shared" si="1"/>
        <v>Conner (Hebron),KY</v>
      </c>
      <c r="G1387" s="60" t="s">
        <v>8249</v>
      </c>
      <c r="H1387" s="60">
        <v>39.060074200000003</v>
      </c>
      <c r="I1387" s="60">
        <v>-84.6932738</v>
      </c>
      <c r="J1387" s="60" t="str">
        <f ca="1">IFERROR(__xludf.DUMMYFUNCTION("SPLIT(G1387,"","")"),"1734 Conner Rd")</f>
        <v>1734 Conner Rd</v>
      </c>
      <c r="K1387" s="2" t="str">
        <f ca="1">IFERROR(__xludf.DUMMYFUNCTION("""COMPUTED_VALUE""")," Hebron")</f>
        <v xml:space="preserve"> Hebron</v>
      </c>
      <c r="L1387" s="2" t="str">
        <f ca="1">IFERROR(__xludf.DUMMYFUNCTION("""COMPUTED_VALUE""")," KY 41048")</f>
        <v xml:space="preserve"> KY 41048</v>
      </c>
      <c r="M1387" s="2" t="str">
        <f ca="1">IFERROR(__xludf.DUMMYFUNCTION("""COMPUTED_VALUE""")," USA")</f>
        <v xml:space="preserve"> USA</v>
      </c>
      <c r="P1387" s="60"/>
    </row>
    <row r="1388" spans="1:16">
      <c r="A1388" s="65">
        <v>1387</v>
      </c>
      <c r="B1388" s="80" t="s">
        <v>8254</v>
      </c>
      <c r="C1388" s="65" t="s">
        <v>595</v>
      </c>
      <c r="D1388" s="93" t="s">
        <v>8255</v>
      </c>
      <c r="E1388" s="48" t="str">
        <f t="shared" si="0"/>
        <v>Buda</v>
      </c>
      <c r="F1388" s="83" t="str">
        <f t="shared" si="1"/>
        <v>Hays (Buda),TX</v>
      </c>
      <c r="G1388" s="65" t="s">
        <v>8256</v>
      </c>
      <c r="H1388" s="65">
        <v>30.081723100000001</v>
      </c>
      <c r="I1388" s="65">
        <v>-97.842892699999993</v>
      </c>
      <c r="J1388" s="60" t="str">
        <f ca="1">IFERROR(__xludf.DUMMYFUNCTION("SPLIT(G1388,"","")"),"16228 Remuda Trail")</f>
        <v>16228 Remuda Trail</v>
      </c>
      <c r="K1388" s="2" t="str">
        <f ca="1">IFERROR(__xludf.DUMMYFUNCTION("""COMPUTED_VALUE""")," Buda")</f>
        <v xml:space="preserve"> Buda</v>
      </c>
      <c r="L1388" s="2" t="str">
        <f ca="1">IFERROR(__xludf.DUMMYFUNCTION("""COMPUTED_VALUE""")," TX 78610")</f>
        <v xml:space="preserve"> TX 78610</v>
      </c>
      <c r="M1388" s="2" t="str">
        <f ca="1">IFERROR(__xludf.DUMMYFUNCTION("""COMPUTED_VALUE""")," USA")</f>
        <v xml:space="preserve"> USA</v>
      </c>
      <c r="P1388" s="60"/>
    </row>
    <row r="1389" spans="1:16">
      <c r="A1389" s="60">
        <v>1388</v>
      </c>
      <c r="B1389" s="79" t="s">
        <v>8263</v>
      </c>
      <c r="C1389" s="60" t="s">
        <v>796</v>
      </c>
      <c r="D1389" s="93" t="s">
        <v>1408</v>
      </c>
      <c r="E1389" s="48" t="str">
        <f t="shared" si="0"/>
        <v>Wichita</v>
      </c>
      <c r="F1389" s="83" t="str">
        <f t="shared" si="1"/>
        <v>Kapaun Mt. Carmel (Wichita),KS</v>
      </c>
      <c r="G1389" s="60" t="s">
        <v>8264</v>
      </c>
      <c r="H1389" s="60">
        <v>37.694844499999988</v>
      </c>
      <c r="I1389" s="60">
        <v>-97.238158299999995</v>
      </c>
      <c r="J1389" s="60" t="str">
        <f ca="1">IFERROR(__xludf.DUMMYFUNCTION("SPLIT(G1389,"","")"),"8506 E Central Ave")</f>
        <v>8506 E Central Ave</v>
      </c>
      <c r="K1389" s="2" t="str">
        <f ca="1">IFERROR(__xludf.DUMMYFUNCTION("""COMPUTED_VALUE""")," Wichita")</f>
        <v xml:space="preserve"> Wichita</v>
      </c>
      <c r="L1389" s="2" t="str">
        <f ca="1">IFERROR(__xludf.DUMMYFUNCTION("""COMPUTED_VALUE""")," KS 67206")</f>
        <v xml:space="preserve"> KS 67206</v>
      </c>
      <c r="M1389" s="2" t="str">
        <f ca="1">IFERROR(__xludf.DUMMYFUNCTION("""COMPUTED_VALUE""")," USA")</f>
        <v xml:space="preserve"> USA</v>
      </c>
      <c r="P1389" s="60"/>
    </row>
    <row r="1390" spans="1:16">
      <c r="A1390" s="65">
        <v>1389</v>
      </c>
      <c r="B1390" s="80" t="s">
        <v>8267</v>
      </c>
      <c r="C1390" s="65" t="s">
        <v>598</v>
      </c>
      <c r="D1390" s="93" t="s">
        <v>4939</v>
      </c>
      <c r="E1390" s="48" t="str">
        <f t="shared" si="0"/>
        <v>Savannah</v>
      </c>
      <c r="F1390" s="83" t="str">
        <f t="shared" si="1"/>
        <v>Johnson (Savannah),GA</v>
      </c>
      <c r="G1390" s="65" t="s">
        <v>8269</v>
      </c>
      <c r="H1390" s="65">
        <v>31.999731799999999</v>
      </c>
      <c r="I1390" s="65">
        <v>-81.110946200000001</v>
      </c>
      <c r="J1390" s="60" t="str">
        <f ca="1">IFERROR(__xludf.DUMMYFUNCTION("SPLIT(G1390,"","")"),"121 Oglethorpe Ct")</f>
        <v>121 Oglethorpe Ct</v>
      </c>
      <c r="K1390" s="2" t="str">
        <f ca="1">IFERROR(__xludf.DUMMYFUNCTION("""COMPUTED_VALUE""")," Savannah")</f>
        <v xml:space="preserve"> Savannah</v>
      </c>
      <c r="L1390" s="2" t="str">
        <f ca="1">IFERROR(__xludf.DUMMYFUNCTION("""COMPUTED_VALUE""")," GA 31406")</f>
        <v xml:space="preserve"> GA 31406</v>
      </c>
      <c r="M1390" s="2" t="str">
        <f ca="1">IFERROR(__xludf.DUMMYFUNCTION("""COMPUTED_VALUE""")," USA")</f>
        <v xml:space="preserve"> USA</v>
      </c>
      <c r="P1390" s="60"/>
    </row>
    <row r="1391" spans="1:16">
      <c r="A1391" s="60">
        <v>1390</v>
      </c>
      <c r="B1391" s="79" t="s">
        <v>289</v>
      </c>
      <c r="C1391" s="60" t="s">
        <v>618</v>
      </c>
      <c r="D1391" s="93" t="s">
        <v>8274</v>
      </c>
      <c r="E1391" s="48" t="str">
        <f t="shared" si="0"/>
        <v>Hammond</v>
      </c>
      <c r="F1391" s="83" t="str">
        <f t="shared" si="1"/>
        <v>Hammond,IN</v>
      </c>
      <c r="G1391" s="60" t="s">
        <v>8277</v>
      </c>
      <c r="H1391" s="60">
        <v>41.583368800000002</v>
      </c>
      <c r="I1391" s="60">
        <v>-87.500041199999998</v>
      </c>
      <c r="J1391" s="60" t="str">
        <f ca="1">IFERROR(__xludf.DUMMYFUNCTION("SPLIT(G1391,"","")"),"7141 Columbia Ave")</f>
        <v>7141 Columbia Ave</v>
      </c>
      <c r="K1391" s="2" t="str">
        <f ca="1">IFERROR(__xludf.DUMMYFUNCTION("""COMPUTED_VALUE""")," Hammond")</f>
        <v xml:space="preserve"> Hammond</v>
      </c>
      <c r="L1391" s="2" t="str">
        <f ca="1">IFERROR(__xludf.DUMMYFUNCTION("""COMPUTED_VALUE""")," IN 46324")</f>
        <v xml:space="preserve"> IN 46324</v>
      </c>
      <c r="M1391" s="2" t="str">
        <f ca="1">IFERROR(__xludf.DUMMYFUNCTION("""COMPUTED_VALUE""")," USA")</f>
        <v xml:space="preserve"> USA</v>
      </c>
      <c r="P1391" s="60"/>
    </row>
    <row r="1392" spans="1:16">
      <c r="A1392" s="65">
        <v>1391</v>
      </c>
      <c r="B1392" s="80" t="s">
        <v>8282</v>
      </c>
      <c r="C1392" s="65" t="s">
        <v>588</v>
      </c>
      <c r="D1392" s="93" t="s">
        <v>7314</v>
      </c>
      <c r="E1392" s="48" t="str">
        <f t="shared" si="0"/>
        <v>Modesto</v>
      </c>
      <c r="F1392" s="83" t="str">
        <f t="shared" si="1"/>
        <v>Central Catholic (Modesto),CA</v>
      </c>
      <c r="G1392" s="65" t="s">
        <v>8284</v>
      </c>
      <c r="H1392" s="65">
        <v>37.636374099999998</v>
      </c>
      <c r="I1392" s="65">
        <v>-121.0298437</v>
      </c>
      <c r="J1392" s="60" t="str">
        <f ca="1">IFERROR(__xludf.DUMMYFUNCTION("SPLIT(G1392,"","")"),"200 S Carpenter Rd")</f>
        <v>200 S Carpenter Rd</v>
      </c>
      <c r="K1392" s="2" t="str">
        <f ca="1">IFERROR(__xludf.DUMMYFUNCTION("""COMPUTED_VALUE""")," Modesto")</f>
        <v xml:space="preserve"> Modesto</v>
      </c>
      <c r="L1392" s="2" t="str">
        <f ca="1">IFERROR(__xludf.DUMMYFUNCTION("""COMPUTED_VALUE""")," CA 95351")</f>
        <v xml:space="preserve"> CA 95351</v>
      </c>
      <c r="M1392" s="2" t="str">
        <f ca="1">IFERROR(__xludf.DUMMYFUNCTION("""COMPUTED_VALUE""")," USA")</f>
        <v xml:space="preserve"> USA</v>
      </c>
      <c r="P1392" s="60"/>
    </row>
    <row r="1393" spans="1:16">
      <c r="A1393" s="60">
        <v>1392</v>
      </c>
      <c r="B1393" s="79" t="s">
        <v>8288</v>
      </c>
      <c r="C1393" s="60" t="s">
        <v>745</v>
      </c>
      <c r="D1393" s="93" t="s">
        <v>8290</v>
      </c>
      <c r="E1393" s="48" t="str">
        <f t="shared" si="0"/>
        <v>Mead</v>
      </c>
      <c r="F1393" s="83" t="str">
        <f t="shared" si="1"/>
        <v>Mt. Spokane (Mead),WA</v>
      </c>
      <c r="G1393" s="60" t="s">
        <v>8291</v>
      </c>
      <c r="H1393" s="60">
        <v>47.788208399999988</v>
      </c>
      <c r="I1393" s="60">
        <v>-117.32303210000001</v>
      </c>
      <c r="J1393" s="60" t="str">
        <f ca="1">IFERROR(__xludf.DUMMYFUNCTION("SPLIT(G1393,"","")"),"6015 E Mt Spokane Park Dr")</f>
        <v>6015 E Mt Spokane Park Dr</v>
      </c>
      <c r="K1393" s="2" t="str">
        <f ca="1">IFERROR(__xludf.DUMMYFUNCTION("""COMPUTED_VALUE""")," Mead")</f>
        <v xml:space="preserve"> Mead</v>
      </c>
      <c r="L1393" s="2" t="str">
        <f ca="1">IFERROR(__xludf.DUMMYFUNCTION("""COMPUTED_VALUE""")," WA 99021")</f>
        <v xml:space="preserve"> WA 99021</v>
      </c>
      <c r="M1393" s="2" t="str">
        <f ca="1">IFERROR(__xludf.DUMMYFUNCTION("""COMPUTED_VALUE""")," USA")</f>
        <v xml:space="preserve"> USA</v>
      </c>
      <c r="P1393" s="60"/>
    </row>
    <row r="1394" spans="1:16">
      <c r="A1394" s="65">
        <v>1393</v>
      </c>
      <c r="B1394" s="80" t="s">
        <v>8294</v>
      </c>
      <c r="C1394" s="65" t="s">
        <v>604</v>
      </c>
      <c r="D1394" s="93" t="s">
        <v>8295</v>
      </c>
      <c r="E1394" s="48" t="str">
        <f t="shared" si="0"/>
        <v>Belleville</v>
      </c>
      <c r="F1394" s="83" t="str">
        <f t="shared" si="1"/>
        <v>Belleville West (Belleville),IL</v>
      </c>
      <c r="G1394" s="65" t="s">
        <v>8296</v>
      </c>
      <c r="H1394" s="65">
        <v>38.518975999999988</v>
      </c>
      <c r="I1394" s="65">
        <v>-90.037909999999997</v>
      </c>
      <c r="J1394" s="60" t="str">
        <f ca="1">IFERROR(__xludf.DUMMYFUNCTION("SPLIT(G1394,"","")"),"4063 Frank Scott Pkwy W")</f>
        <v>4063 Frank Scott Pkwy W</v>
      </c>
      <c r="K1394" s="2" t="str">
        <f ca="1">IFERROR(__xludf.DUMMYFUNCTION("""COMPUTED_VALUE""")," Belleville")</f>
        <v xml:space="preserve"> Belleville</v>
      </c>
      <c r="L1394" s="2" t="str">
        <f ca="1">IFERROR(__xludf.DUMMYFUNCTION("""COMPUTED_VALUE""")," IL 62223")</f>
        <v xml:space="preserve"> IL 62223</v>
      </c>
      <c r="M1394" s="2" t="str">
        <f ca="1">IFERROR(__xludf.DUMMYFUNCTION("""COMPUTED_VALUE""")," USA")</f>
        <v xml:space="preserve"> USA</v>
      </c>
      <c r="P1394" s="60"/>
    </row>
    <row r="1395" spans="1:16">
      <c r="A1395" s="60">
        <v>1394</v>
      </c>
      <c r="B1395" s="79" t="s">
        <v>8299</v>
      </c>
      <c r="C1395" s="60" t="s">
        <v>595</v>
      </c>
      <c r="D1395" s="93" t="s">
        <v>3151</v>
      </c>
      <c r="E1395" s="48" t="str">
        <f t="shared" si="0"/>
        <v>Fort Worth</v>
      </c>
      <c r="F1395" s="83" t="str">
        <f t="shared" si="1"/>
        <v>Timber Creek (Fort Worth),TX</v>
      </c>
      <c r="G1395" s="60" t="s">
        <v>8300</v>
      </c>
      <c r="H1395" s="60">
        <v>32.949715500000003</v>
      </c>
      <c r="I1395" s="60">
        <v>-97.287317599999994</v>
      </c>
      <c r="J1395" s="60" t="str">
        <f ca="1">IFERROR(__xludf.DUMMYFUNCTION("SPLIT(G1395,"","")"),"12350 Timberland Blvd")</f>
        <v>12350 Timberland Blvd</v>
      </c>
      <c r="K1395" s="2" t="str">
        <f ca="1">IFERROR(__xludf.DUMMYFUNCTION("""COMPUTED_VALUE""")," Fort Worth")</f>
        <v xml:space="preserve"> Fort Worth</v>
      </c>
      <c r="L1395" s="2" t="str">
        <f ca="1">IFERROR(__xludf.DUMMYFUNCTION("""COMPUTED_VALUE""")," TX 76244")</f>
        <v xml:space="preserve"> TX 76244</v>
      </c>
      <c r="M1395" s="2" t="str">
        <f ca="1">IFERROR(__xludf.DUMMYFUNCTION("""COMPUTED_VALUE""")," USA")</f>
        <v xml:space="preserve"> USA</v>
      </c>
      <c r="P1395" s="60"/>
    </row>
    <row r="1396" spans="1:16">
      <c r="A1396" s="65">
        <v>1395</v>
      </c>
      <c r="B1396" s="80" t="s">
        <v>8305</v>
      </c>
      <c r="C1396" s="65" t="s">
        <v>604</v>
      </c>
      <c r="D1396" s="93" t="s">
        <v>2239</v>
      </c>
      <c r="E1396" s="48" t="str">
        <f t="shared" si="0"/>
        <v>Aurora</v>
      </c>
      <c r="F1396" s="83" t="str">
        <f t="shared" si="1"/>
        <v>Aurora Christian (Aurora),IL</v>
      </c>
      <c r="G1396" s="65" t="s">
        <v>8308</v>
      </c>
      <c r="H1396" s="65">
        <v>41.7898481</v>
      </c>
      <c r="I1396" s="65">
        <v>-88.367069499999999</v>
      </c>
      <c r="J1396" s="60" t="str">
        <f ca="1">IFERROR(__xludf.DUMMYFUNCTION("SPLIT(G1396,"","")"),"2255 Sullivan Rd")</f>
        <v>2255 Sullivan Rd</v>
      </c>
      <c r="K1396" s="2" t="str">
        <f ca="1">IFERROR(__xludf.DUMMYFUNCTION("""COMPUTED_VALUE""")," Aurora")</f>
        <v xml:space="preserve"> Aurora</v>
      </c>
      <c r="L1396" s="2" t="str">
        <f ca="1">IFERROR(__xludf.DUMMYFUNCTION("""COMPUTED_VALUE""")," IL 60506")</f>
        <v xml:space="preserve"> IL 60506</v>
      </c>
      <c r="M1396" s="2" t="str">
        <f ca="1">IFERROR(__xludf.DUMMYFUNCTION("""COMPUTED_VALUE""")," USA")</f>
        <v xml:space="preserve"> USA</v>
      </c>
      <c r="P1396" s="60"/>
    </row>
    <row r="1397" spans="1:16">
      <c r="A1397" s="60">
        <v>1396</v>
      </c>
      <c r="B1397" s="79" t="s">
        <v>8310</v>
      </c>
      <c r="C1397" s="60" t="s">
        <v>901</v>
      </c>
      <c r="D1397" s="93" t="s">
        <v>6859</v>
      </c>
      <c r="E1397" s="48" t="str">
        <f t="shared" si="0"/>
        <v>Jonesboro</v>
      </c>
      <c r="F1397" s="83" t="str">
        <f t="shared" si="1"/>
        <v>Westside (Jonesboro),AR</v>
      </c>
      <c r="G1397" s="60" t="s">
        <v>8311</v>
      </c>
      <c r="H1397" s="60">
        <v>35.856251399999998</v>
      </c>
      <c r="I1397" s="60">
        <v>-90.80265829999999</v>
      </c>
      <c r="J1397" s="60" t="str">
        <f ca="1">IFERROR(__xludf.DUMMYFUNCTION("SPLIT(G1397,"","")"),"1630 AR-91")</f>
        <v>1630 AR-91</v>
      </c>
      <c r="K1397" s="2" t="str">
        <f ca="1">IFERROR(__xludf.DUMMYFUNCTION("""COMPUTED_VALUE""")," Jonesboro")</f>
        <v xml:space="preserve"> Jonesboro</v>
      </c>
      <c r="L1397" s="2" t="str">
        <f ca="1">IFERROR(__xludf.DUMMYFUNCTION("""COMPUTED_VALUE""")," AR 72404")</f>
        <v xml:space="preserve"> AR 72404</v>
      </c>
      <c r="M1397" s="2" t="str">
        <f ca="1">IFERROR(__xludf.DUMMYFUNCTION("""COMPUTED_VALUE""")," USA")</f>
        <v xml:space="preserve"> USA</v>
      </c>
      <c r="P1397" s="60"/>
    </row>
    <row r="1398" spans="1:16">
      <c r="A1398" s="65">
        <v>1397</v>
      </c>
      <c r="B1398" s="80" t="s">
        <v>8316</v>
      </c>
      <c r="C1398" s="65" t="s">
        <v>598</v>
      </c>
      <c r="D1398" s="93" t="s">
        <v>8317</v>
      </c>
      <c r="E1398" s="48" t="str">
        <f t="shared" si="0"/>
        <v>Kathleen</v>
      </c>
      <c r="F1398" s="83" t="str">
        <f t="shared" si="1"/>
        <v>Veterans (Kathleen),GA</v>
      </c>
      <c r="G1398" s="65" t="s">
        <v>8319</v>
      </c>
      <c r="H1398" s="65">
        <v>32.513935200000013</v>
      </c>
      <c r="I1398" s="65">
        <v>-83.613002699999996</v>
      </c>
      <c r="J1398" s="60" t="str">
        <f ca="1">IFERROR(__xludf.DUMMYFUNCTION("SPLIT(G1398,"","")"),"340 Piney Grove Rd")</f>
        <v>340 Piney Grove Rd</v>
      </c>
      <c r="K1398" s="2" t="str">
        <f ca="1">IFERROR(__xludf.DUMMYFUNCTION("""COMPUTED_VALUE""")," Kathleen")</f>
        <v xml:space="preserve"> Kathleen</v>
      </c>
      <c r="L1398" s="2" t="str">
        <f ca="1">IFERROR(__xludf.DUMMYFUNCTION("""COMPUTED_VALUE""")," GA 31047")</f>
        <v xml:space="preserve"> GA 31047</v>
      </c>
      <c r="M1398" s="2" t="str">
        <f ca="1">IFERROR(__xludf.DUMMYFUNCTION("""COMPUTED_VALUE""")," USA")</f>
        <v xml:space="preserve"> USA</v>
      </c>
      <c r="P1398" s="60"/>
    </row>
    <row r="1399" spans="1:16">
      <c r="A1399" s="60">
        <v>1398</v>
      </c>
      <c r="B1399" s="79" t="s">
        <v>8323</v>
      </c>
      <c r="C1399" s="60" t="s">
        <v>70</v>
      </c>
      <c r="D1399" s="93" t="s">
        <v>3334</v>
      </c>
      <c r="E1399" s="48" t="str">
        <f t="shared" si="0"/>
        <v>Anchorage</v>
      </c>
      <c r="F1399" s="83" t="str">
        <f t="shared" si="1"/>
        <v>Lumen Christi (Anchorage),AK</v>
      </c>
      <c r="G1399" s="60" t="s">
        <v>8325</v>
      </c>
      <c r="H1399" s="60">
        <v>61.147104799999987</v>
      </c>
      <c r="I1399" s="60">
        <v>-149.95558829999999</v>
      </c>
      <c r="J1399" s="60" t="str">
        <f ca="1">IFERROR(__xludf.DUMMYFUNCTION("SPLIT(G1399,"","")"),"8110 Jewel Lake Rd")</f>
        <v>8110 Jewel Lake Rd</v>
      </c>
      <c r="K1399" s="2" t="str">
        <f ca="1">IFERROR(__xludf.DUMMYFUNCTION("""COMPUTED_VALUE""")," Anchorage")</f>
        <v xml:space="preserve"> Anchorage</v>
      </c>
      <c r="L1399" s="2" t="str">
        <f ca="1">IFERROR(__xludf.DUMMYFUNCTION("""COMPUTED_VALUE""")," AK 99502")</f>
        <v xml:space="preserve"> AK 99502</v>
      </c>
      <c r="M1399" s="2" t="str">
        <f ca="1">IFERROR(__xludf.DUMMYFUNCTION("""COMPUTED_VALUE""")," USA")</f>
        <v xml:space="preserve"> USA</v>
      </c>
      <c r="P1399" s="60"/>
    </row>
    <row r="1400" spans="1:16">
      <c r="A1400" s="65">
        <v>1399</v>
      </c>
      <c r="B1400" s="80" t="s">
        <v>8327</v>
      </c>
      <c r="C1400" s="65" t="s">
        <v>770</v>
      </c>
      <c r="D1400" s="93" t="s">
        <v>875</v>
      </c>
      <c r="E1400" s="48" t="str">
        <f t="shared" si="0"/>
        <v>Memphis</v>
      </c>
      <c r="F1400" s="83" t="str">
        <f t="shared" si="1"/>
        <v>Memphis Central (Memphis),TN</v>
      </c>
      <c r="G1400" s="65" t="s">
        <v>8329</v>
      </c>
      <c r="H1400" s="65">
        <v>35.133896999999997</v>
      </c>
      <c r="I1400" s="65">
        <v>-90.019802999999996</v>
      </c>
      <c r="J1400" s="60" t="str">
        <f ca="1">IFERROR(__xludf.DUMMYFUNCTION("SPLIT(G1400,"","")"),"306 S Bellevue Blvd")</f>
        <v>306 S Bellevue Blvd</v>
      </c>
      <c r="K1400" s="2" t="str">
        <f ca="1">IFERROR(__xludf.DUMMYFUNCTION("""COMPUTED_VALUE""")," Memphis")</f>
        <v xml:space="preserve"> Memphis</v>
      </c>
      <c r="L1400" s="2" t="str">
        <f ca="1">IFERROR(__xludf.DUMMYFUNCTION("""COMPUTED_VALUE""")," TN 38104")</f>
        <v xml:space="preserve"> TN 38104</v>
      </c>
      <c r="M1400" s="2" t="str">
        <f ca="1">IFERROR(__xludf.DUMMYFUNCTION("""COMPUTED_VALUE""")," USA")</f>
        <v xml:space="preserve"> USA</v>
      </c>
      <c r="P1400" s="60"/>
    </row>
    <row r="1401" spans="1:16">
      <c r="A1401" s="97">
        <v>1400</v>
      </c>
      <c r="B1401" s="99" t="s">
        <v>8334</v>
      </c>
      <c r="C1401" s="97" t="s">
        <v>682</v>
      </c>
      <c r="D1401" s="93" t="s">
        <v>8335</v>
      </c>
      <c r="E1401" s="48" t="str">
        <f t="shared" si="0"/>
        <v>New Richmond</v>
      </c>
      <c r="F1401" s="83" t="str">
        <f t="shared" si="1"/>
        <v>New Richmond,WI</v>
      </c>
      <c r="G1401" s="97" t="s">
        <v>8336</v>
      </c>
      <c r="H1401" s="97">
        <v>45.123021299999998</v>
      </c>
      <c r="I1401" s="97">
        <v>-92.536586499999999</v>
      </c>
      <c r="J1401" s="60" t="str">
        <f ca="1">IFERROR(__xludf.DUMMYFUNCTION("SPLIT(G1401,"","")"),"155 E 1st St")</f>
        <v>155 E 1st St</v>
      </c>
      <c r="K1401" s="2" t="str">
        <f ca="1">IFERROR(__xludf.DUMMYFUNCTION("""COMPUTED_VALUE""")," New Richmond")</f>
        <v xml:space="preserve"> New Richmond</v>
      </c>
      <c r="L1401" s="2" t="str">
        <f ca="1">IFERROR(__xludf.DUMMYFUNCTION("""COMPUTED_VALUE""")," WI 54017")</f>
        <v xml:space="preserve"> WI 54017</v>
      </c>
      <c r="M1401" s="2" t="str">
        <f ca="1">IFERROR(__xludf.DUMMYFUNCTION("""COMPUTED_VALUE""")," USA")</f>
        <v xml:space="preserve"> USA</v>
      </c>
      <c r="P1401" s="60"/>
    </row>
    <row r="1402" spans="1:16">
      <c r="A1402" s="60">
        <v>1401</v>
      </c>
      <c r="B1402" s="79" t="s">
        <v>8340</v>
      </c>
      <c r="C1402" s="60" t="s">
        <v>136</v>
      </c>
      <c r="D1402" s="93" t="s">
        <v>1022</v>
      </c>
      <c r="E1402" s="48" t="str">
        <f t="shared" si="0"/>
        <v>Lakeland</v>
      </c>
      <c r="F1402" s="83" t="str">
        <f t="shared" si="1"/>
        <v>George Jenkins (Lakeland),FL</v>
      </c>
      <c r="G1402" s="60" t="s">
        <v>8341</v>
      </c>
      <c r="H1402" s="60">
        <v>27.9576268</v>
      </c>
      <c r="I1402" s="60">
        <v>-81.920784999999995</v>
      </c>
      <c r="J1402" s="60" t="str">
        <f ca="1">IFERROR(__xludf.DUMMYFUNCTION("SPLIT(G1402,"","")"),"6000 Lakeland Highlands Rd")</f>
        <v>6000 Lakeland Highlands Rd</v>
      </c>
      <c r="K1402" s="2" t="str">
        <f ca="1">IFERROR(__xludf.DUMMYFUNCTION("""COMPUTED_VALUE""")," Lakeland")</f>
        <v xml:space="preserve"> Lakeland</v>
      </c>
      <c r="L1402" s="2" t="str">
        <f ca="1">IFERROR(__xludf.DUMMYFUNCTION("""COMPUTED_VALUE""")," FL 33813")</f>
        <v xml:space="preserve"> FL 33813</v>
      </c>
      <c r="M1402" s="2" t="str">
        <f ca="1">IFERROR(__xludf.DUMMYFUNCTION("""COMPUTED_VALUE""")," USA")</f>
        <v xml:space="preserve"> USA</v>
      </c>
      <c r="P1402" s="60"/>
    </row>
    <row r="1403" spans="1:16">
      <c r="A1403" s="65">
        <v>1402</v>
      </c>
      <c r="B1403" s="80" t="s">
        <v>525</v>
      </c>
      <c r="C1403" s="65" t="s">
        <v>1039</v>
      </c>
      <c r="D1403" s="93" t="s">
        <v>8346</v>
      </c>
      <c r="E1403" s="48" t="str">
        <f t="shared" si="0"/>
        <v>Franklin</v>
      </c>
      <c r="F1403" s="83" t="str">
        <f t="shared" si="1"/>
        <v>Franklin,MA</v>
      </c>
      <c r="G1403" s="65" t="s">
        <v>8347</v>
      </c>
      <c r="H1403" s="65">
        <v>42.083431300000001</v>
      </c>
      <c r="I1403" s="65">
        <v>-71.396725000000004</v>
      </c>
      <c r="J1403" s="60" t="str">
        <f ca="1">IFERROR(__xludf.DUMMYFUNCTION("SPLIT(G1403,"","")"),"Franklin")</f>
        <v>Franklin</v>
      </c>
      <c r="K1403" s="2" t="str">
        <f ca="1">IFERROR(__xludf.DUMMYFUNCTION("""COMPUTED_VALUE""")," 75 Depot St")</f>
        <v xml:space="preserve"> 75 Depot St</v>
      </c>
      <c r="L1403" s="2" t="str">
        <f ca="1">IFERROR(__xludf.DUMMYFUNCTION("""COMPUTED_VALUE""")," Franklin")</f>
        <v xml:space="preserve"> Franklin</v>
      </c>
      <c r="M1403" s="2" t="str">
        <f ca="1">IFERROR(__xludf.DUMMYFUNCTION("""COMPUTED_VALUE""")," MA 02038")</f>
        <v xml:space="preserve"> MA 02038</v>
      </c>
      <c r="N1403" s="2" t="str">
        <f ca="1">IFERROR(__xludf.DUMMYFUNCTION("""COMPUTED_VALUE""")," USA")</f>
        <v xml:space="preserve"> USA</v>
      </c>
      <c r="P1403" s="60"/>
    </row>
    <row r="1404" spans="1:16">
      <c r="A1404" s="60">
        <v>1403</v>
      </c>
      <c r="B1404" s="79" t="s">
        <v>8351</v>
      </c>
      <c r="C1404" s="60" t="s">
        <v>588</v>
      </c>
      <c r="D1404" s="93" t="s">
        <v>5022</v>
      </c>
      <c r="E1404" s="48" t="str">
        <f t="shared" si="0"/>
        <v>Danville</v>
      </c>
      <c r="F1404" s="83" t="str">
        <f t="shared" si="1"/>
        <v>Monte Vista (Danville),CA</v>
      </c>
      <c r="G1404" s="60" t="s">
        <v>8354</v>
      </c>
      <c r="H1404" s="60">
        <v>37.843856700000003</v>
      </c>
      <c r="I1404" s="60">
        <v>-121.9817525</v>
      </c>
      <c r="J1404" s="60" t="str">
        <f ca="1">IFERROR(__xludf.DUMMYFUNCTION("SPLIT(G1404,"","")"),"3131 Stone Valley Rd")</f>
        <v>3131 Stone Valley Rd</v>
      </c>
      <c r="K1404" s="2" t="str">
        <f ca="1">IFERROR(__xludf.DUMMYFUNCTION("""COMPUTED_VALUE""")," Danville")</f>
        <v xml:space="preserve"> Danville</v>
      </c>
      <c r="L1404" s="2" t="str">
        <f ca="1">IFERROR(__xludf.DUMMYFUNCTION("""COMPUTED_VALUE""")," CA 94526")</f>
        <v xml:space="preserve"> CA 94526</v>
      </c>
      <c r="M1404" s="2" t="str">
        <f ca="1">IFERROR(__xludf.DUMMYFUNCTION("""COMPUTED_VALUE""")," USA")</f>
        <v xml:space="preserve"> USA</v>
      </c>
      <c r="P1404" s="60"/>
    </row>
    <row r="1405" spans="1:16">
      <c r="A1405" s="65">
        <v>1404</v>
      </c>
      <c r="B1405" s="80" t="s">
        <v>8356</v>
      </c>
      <c r="C1405" s="65" t="s">
        <v>183</v>
      </c>
      <c r="D1405" s="93" t="s">
        <v>8358</v>
      </c>
      <c r="E1405" s="48" t="str">
        <f t="shared" si="0"/>
        <v>Newfield</v>
      </c>
      <c r="F1405" s="83" t="str">
        <f t="shared" si="1"/>
        <v>Newfield,NY</v>
      </c>
      <c r="G1405" s="65" t="s">
        <v>8359</v>
      </c>
      <c r="H1405" s="65">
        <v>42.347121600000001</v>
      </c>
      <c r="I1405" s="65">
        <v>-76.595055500000001</v>
      </c>
      <c r="J1405" s="60" t="str">
        <f ca="1">IFERROR(__xludf.DUMMYFUNCTION("SPLIT(G1405,"","")"),"130 Benjamin Hill Rd")</f>
        <v>130 Benjamin Hill Rd</v>
      </c>
      <c r="K1405" s="2" t="str">
        <f ca="1">IFERROR(__xludf.DUMMYFUNCTION("""COMPUTED_VALUE""")," Newfield")</f>
        <v xml:space="preserve"> Newfield</v>
      </c>
      <c r="L1405" s="2" t="str">
        <f ca="1">IFERROR(__xludf.DUMMYFUNCTION("""COMPUTED_VALUE""")," NY 14867")</f>
        <v xml:space="preserve"> NY 14867</v>
      </c>
      <c r="M1405" s="2" t="str">
        <f ca="1">IFERROR(__xludf.DUMMYFUNCTION("""COMPUTED_VALUE""")," USA")</f>
        <v xml:space="preserve"> USA</v>
      </c>
      <c r="P1405" s="60"/>
    </row>
    <row r="1406" spans="1:16">
      <c r="A1406" s="60">
        <v>1405</v>
      </c>
      <c r="B1406" s="79" t="s">
        <v>4784</v>
      </c>
      <c r="C1406" s="60" t="s">
        <v>595</v>
      </c>
      <c r="D1406" s="93" t="s">
        <v>8362</v>
      </c>
      <c r="E1406" s="48" t="str">
        <f t="shared" si="0"/>
        <v>Crockett</v>
      </c>
      <c r="F1406" s="83" t="str">
        <f t="shared" si="1"/>
        <v>Crockett,TX</v>
      </c>
      <c r="G1406" s="60" t="s">
        <v>8363</v>
      </c>
      <c r="H1406" s="60">
        <v>31.318235900000001</v>
      </c>
      <c r="I1406" s="60">
        <v>-95.456613599999997</v>
      </c>
      <c r="J1406" s="60" t="str">
        <f ca="1">IFERROR(__xludf.DUMMYFUNCTION("SPLIT(G1406,"","")"),"516 E Houston Ave")</f>
        <v>516 E Houston Ave</v>
      </c>
      <c r="K1406" s="2" t="str">
        <f ca="1">IFERROR(__xludf.DUMMYFUNCTION("""COMPUTED_VALUE""")," Crockett")</f>
        <v xml:space="preserve"> Crockett</v>
      </c>
      <c r="L1406" s="2" t="str">
        <f ca="1">IFERROR(__xludf.DUMMYFUNCTION("""COMPUTED_VALUE""")," TX 75835")</f>
        <v xml:space="preserve"> TX 75835</v>
      </c>
      <c r="M1406" s="2" t="str">
        <f ca="1">IFERROR(__xludf.DUMMYFUNCTION("""COMPUTED_VALUE""")," USA")</f>
        <v xml:space="preserve"> USA</v>
      </c>
      <c r="P1406" s="60"/>
    </row>
    <row r="1407" spans="1:16">
      <c r="A1407" s="65">
        <v>1406</v>
      </c>
      <c r="B1407" s="80" t="s">
        <v>8365</v>
      </c>
      <c r="C1407" s="65" t="s">
        <v>595</v>
      </c>
      <c r="D1407" s="93" t="s">
        <v>8367</v>
      </c>
      <c r="E1407" s="48" t="str">
        <f t="shared" si="0"/>
        <v>Universal City</v>
      </c>
      <c r="F1407" s="83" t="str">
        <f t="shared" si="1"/>
        <v>Randolph (Universal City),TX</v>
      </c>
      <c r="G1407" s="65" t="s">
        <v>8368</v>
      </c>
      <c r="H1407" s="65">
        <v>29.5480071</v>
      </c>
      <c r="I1407" s="65">
        <v>-98.291123499999998</v>
      </c>
      <c r="J1407" s="60" t="str">
        <f ca="1">IFERROR(__xludf.DUMMYFUNCTION("SPLIT(G1407,"","")"),"5th Street Hangar 7")</f>
        <v>5th Street Hangar 7</v>
      </c>
      <c r="K1407" s="2" t="str">
        <f ca="1">IFERROR(__xludf.DUMMYFUNCTION("""COMPUTED_VALUE""")," Universal City")</f>
        <v xml:space="preserve"> Universal City</v>
      </c>
      <c r="L1407" s="2" t="str">
        <f ca="1">IFERROR(__xludf.DUMMYFUNCTION("""COMPUTED_VALUE""")," TX 78148")</f>
        <v xml:space="preserve"> TX 78148</v>
      </c>
      <c r="M1407" s="2" t="str">
        <f ca="1">IFERROR(__xludf.DUMMYFUNCTION("""COMPUTED_VALUE""")," USA")</f>
        <v xml:space="preserve"> USA</v>
      </c>
      <c r="P1407" s="60"/>
    </row>
    <row r="1408" spans="1:16">
      <c r="A1408" s="60">
        <v>1407</v>
      </c>
      <c r="B1408" s="79" t="s">
        <v>8370</v>
      </c>
      <c r="C1408" s="60" t="s">
        <v>1322</v>
      </c>
      <c r="D1408" s="93" t="s">
        <v>8371</v>
      </c>
      <c r="E1408" s="48" t="str">
        <f t="shared" si="0"/>
        <v>Colorado Springs</v>
      </c>
      <c r="F1408" s="83" t="str">
        <f t="shared" si="1"/>
        <v>The Vanguard School (Colorado Springs),CO</v>
      </c>
      <c r="G1408" s="60" t="s">
        <v>8373</v>
      </c>
      <c r="H1408" s="60">
        <v>38.8111751</v>
      </c>
      <c r="I1408" s="60">
        <v>-104.8156627</v>
      </c>
      <c r="J1408" s="60" t="str">
        <f ca="1">IFERROR(__xludf.DUMMYFUNCTION("SPLIT(G1408,"","")"),"1605 S Corona Ave")</f>
        <v>1605 S Corona Ave</v>
      </c>
      <c r="K1408" s="2" t="str">
        <f ca="1">IFERROR(__xludf.DUMMYFUNCTION("""COMPUTED_VALUE""")," Colorado Springs")</f>
        <v xml:space="preserve"> Colorado Springs</v>
      </c>
      <c r="L1408" s="2" t="str">
        <f ca="1">IFERROR(__xludf.DUMMYFUNCTION("""COMPUTED_VALUE""")," CO 80905")</f>
        <v xml:space="preserve"> CO 80905</v>
      </c>
      <c r="M1408" s="2" t="str">
        <f ca="1">IFERROR(__xludf.DUMMYFUNCTION("""COMPUTED_VALUE""")," USA")</f>
        <v xml:space="preserve"> USA</v>
      </c>
      <c r="P1408" s="60"/>
    </row>
    <row r="1409" spans="1:16">
      <c r="A1409" s="65">
        <v>1408</v>
      </c>
      <c r="B1409" s="80" t="s">
        <v>574</v>
      </c>
      <c r="C1409" s="65" t="s">
        <v>608</v>
      </c>
      <c r="D1409" s="93" t="s">
        <v>1063</v>
      </c>
      <c r="E1409" s="48" t="str">
        <f t="shared" si="0"/>
        <v>Austin</v>
      </c>
      <c r="F1409" s="83" t="str">
        <f t="shared" si="1"/>
        <v>Austin,MN</v>
      </c>
      <c r="G1409" s="65" t="s">
        <v>8376</v>
      </c>
      <c r="H1409" s="65">
        <v>43.6666296</v>
      </c>
      <c r="I1409" s="65">
        <v>-92.974636699999991</v>
      </c>
      <c r="J1409" s="60" t="str">
        <f ca="1">IFERROR(__xludf.DUMMYFUNCTION("SPLIT(G1409,"","")"),"100 Main St S")</f>
        <v>100 Main St S</v>
      </c>
      <c r="K1409" s="2" t="str">
        <f ca="1">IFERROR(__xludf.DUMMYFUNCTION("""COMPUTED_VALUE""")," Austin")</f>
        <v xml:space="preserve"> Austin</v>
      </c>
      <c r="L1409" s="2" t="str">
        <f ca="1">IFERROR(__xludf.DUMMYFUNCTION("""COMPUTED_VALUE""")," MN 55912")</f>
        <v xml:space="preserve"> MN 55912</v>
      </c>
      <c r="M1409" s="2" t="str">
        <f ca="1">IFERROR(__xludf.DUMMYFUNCTION("""COMPUTED_VALUE""")," USA")</f>
        <v xml:space="preserve"> USA</v>
      </c>
      <c r="P1409" s="60"/>
    </row>
    <row r="1410" spans="1:16">
      <c r="A1410" s="60">
        <v>1409</v>
      </c>
      <c r="B1410" s="79" t="s">
        <v>8380</v>
      </c>
      <c r="C1410" s="60" t="s">
        <v>595</v>
      </c>
      <c r="D1410" s="93" t="s">
        <v>8381</v>
      </c>
      <c r="E1410" s="48" t="str">
        <f t="shared" si="0"/>
        <v>Dripping Springs</v>
      </c>
      <c r="F1410" s="83" t="str">
        <f t="shared" si="1"/>
        <v>Dripping Springs,TX</v>
      </c>
      <c r="G1410" s="60" t="s">
        <v>8384</v>
      </c>
      <c r="H1410" s="60">
        <v>30.190206700000001</v>
      </c>
      <c r="I1410" s="60">
        <v>-98.0866781</v>
      </c>
      <c r="J1410" s="60" t="str">
        <f ca="1">IFERROR(__xludf.DUMMYFUNCTION("SPLIT(G1410,"","")"),"27490 Ranch Rd 12")</f>
        <v>27490 Ranch Rd 12</v>
      </c>
      <c r="K1410" s="2" t="str">
        <f ca="1">IFERROR(__xludf.DUMMYFUNCTION("""COMPUTED_VALUE""")," Dripping Springs")</f>
        <v xml:space="preserve"> Dripping Springs</v>
      </c>
      <c r="L1410" s="2" t="str">
        <f ca="1">IFERROR(__xludf.DUMMYFUNCTION("""COMPUTED_VALUE""")," TX 78620")</f>
        <v xml:space="preserve"> TX 78620</v>
      </c>
      <c r="M1410" s="2" t="str">
        <f ca="1">IFERROR(__xludf.DUMMYFUNCTION("""COMPUTED_VALUE""")," USA")</f>
        <v xml:space="preserve"> USA</v>
      </c>
      <c r="P1410" s="60"/>
    </row>
    <row r="1411" spans="1:16">
      <c r="A1411" s="65">
        <v>1410</v>
      </c>
      <c r="B1411" s="80" t="s">
        <v>8387</v>
      </c>
      <c r="C1411" s="65" t="s">
        <v>593</v>
      </c>
      <c r="D1411" s="93" t="s">
        <v>630</v>
      </c>
      <c r="E1411" s="48" t="str">
        <f t="shared" si="0"/>
        <v>Las Vegas</v>
      </c>
      <c r="F1411" s="83" t="str">
        <f t="shared" si="1"/>
        <v>Arbor View (Las Vegas),NV</v>
      </c>
      <c r="G1411" s="65" t="s">
        <v>8390</v>
      </c>
      <c r="H1411" s="65">
        <v>36.302296599999998</v>
      </c>
      <c r="I1411" s="65">
        <v>-115.2577852</v>
      </c>
      <c r="J1411" s="60" t="str">
        <f ca="1">IFERROR(__xludf.DUMMYFUNCTION("SPLIT(G1411,"","")"),"7500 Whispering Sands Dr")</f>
        <v>7500 Whispering Sands Dr</v>
      </c>
      <c r="K1411" s="2" t="str">
        <f ca="1">IFERROR(__xludf.DUMMYFUNCTION("""COMPUTED_VALUE""")," Las Vegas")</f>
        <v xml:space="preserve"> Las Vegas</v>
      </c>
      <c r="L1411" s="2" t="str">
        <f ca="1">IFERROR(__xludf.DUMMYFUNCTION("""COMPUTED_VALUE""")," NV 89131")</f>
        <v xml:space="preserve"> NV 89131</v>
      </c>
      <c r="M1411" s="2" t="str">
        <f ca="1">IFERROR(__xludf.DUMMYFUNCTION("""COMPUTED_VALUE""")," USA")</f>
        <v xml:space="preserve"> USA</v>
      </c>
      <c r="P1411" s="60"/>
    </row>
    <row r="1412" spans="1:16">
      <c r="A1412" s="60">
        <v>1411</v>
      </c>
      <c r="B1412" s="79" t="s">
        <v>8394</v>
      </c>
      <c r="C1412" s="60" t="s">
        <v>588</v>
      </c>
      <c r="D1412" s="93" t="s">
        <v>2406</v>
      </c>
      <c r="E1412" s="48" t="str">
        <f t="shared" si="0"/>
        <v>Stockton</v>
      </c>
      <c r="F1412" s="83" t="str">
        <f t="shared" si="1"/>
        <v>Brookside Christian (Stockton),CA</v>
      </c>
      <c r="G1412" s="60" t="s">
        <v>8395</v>
      </c>
      <c r="H1412" s="60">
        <v>37.988455999999999</v>
      </c>
      <c r="I1412" s="60">
        <v>-121.315978</v>
      </c>
      <c r="J1412" s="60" t="str">
        <f ca="1">IFERROR(__xludf.DUMMYFUNCTION("SPLIT(G1412,"","")"),"915 Rosemarie Ln")</f>
        <v>915 Rosemarie Ln</v>
      </c>
      <c r="K1412" s="2" t="str">
        <f ca="1">IFERROR(__xludf.DUMMYFUNCTION("""COMPUTED_VALUE""")," Stockton")</f>
        <v xml:space="preserve"> Stockton</v>
      </c>
      <c r="L1412" s="2" t="str">
        <f ca="1">IFERROR(__xludf.DUMMYFUNCTION("""COMPUTED_VALUE""")," CA 95207")</f>
        <v xml:space="preserve"> CA 95207</v>
      </c>
      <c r="M1412" s="2" t="str">
        <f ca="1">IFERROR(__xludf.DUMMYFUNCTION("""COMPUTED_VALUE""")," USA")</f>
        <v xml:space="preserve"> USA</v>
      </c>
      <c r="P1412" s="60"/>
    </row>
    <row r="1413" spans="1:16">
      <c r="A1413" s="65">
        <v>1412</v>
      </c>
      <c r="B1413" s="80" t="s">
        <v>8400</v>
      </c>
      <c r="C1413" s="65" t="s">
        <v>1358</v>
      </c>
      <c r="D1413" s="93" t="s">
        <v>8401</v>
      </c>
      <c r="E1413" s="48" t="str">
        <f t="shared" si="0"/>
        <v>Rugby</v>
      </c>
      <c r="F1413" s="83" t="str">
        <f t="shared" si="1"/>
        <v>Rugby,ND</v>
      </c>
      <c r="G1413" s="65" t="s">
        <v>8402</v>
      </c>
      <c r="H1413" s="65">
        <v>48.368887600000001</v>
      </c>
      <c r="I1413" s="65">
        <v>-99.996246299999996</v>
      </c>
      <c r="J1413" s="60" t="str">
        <f ca="1">IFERROR(__xludf.DUMMYFUNCTION("SPLIT(G1413,"","")"),"108 2nd St NE")</f>
        <v>108 2nd St NE</v>
      </c>
      <c r="K1413" s="2" t="str">
        <f ca="1">IFERROR(__xludf.DUMMYFUNCTION("""COMPUTED_VALUE""")," Rugby")</f>
        <v xml:space="preserve"> Rugby</v>
      </c>
      <c r="L1413" s="2" t="str">
        <f ca="1">IFERROR(__xludf.DUMMYFUNCTION("""COMPUTED_VALUE""")," ND 58368")</f>
        <v xml:space="preserve"> ND 58368</v>
      </c>
      <c r="M1413" s="2" t="str">
        <f ca="1">IFERROR(__xludf.DUMMYFUNCTION("""COMPUTED_VALUE""")," USA")</f>
        <v xml:space="preserve"> USA</v>
      </c>
      <c r="P1413" s="60"/>
    </row>
    <row r="1414" spans="1:16">
      <c r="A1414" s="60">
        <v>1413</v>
      </c>
      <c r="B1414" s="79" t="s">
        <v>8407</v>
      </c>
      <c r="C1414" s="60" t="s">
        <v>737</v>
      </c>
      <c r="D1414" s="93" t="s">
        <v>8408</v>
      </c>
      <c r="E1414" s="48" t="str">
        <f t="shared" si="0"/>
        <v>Morganville</v>
      </c>
      <c r="F1414" s="83" t="str">
        <f t="shared" si="1"/>
        <v>Marlboro,NJ</v>
      </c>
      <c r="G1414" s="60" t="s">
        <v>8411</v>
      </c>
      <c r="H1414" s="60">
        <v>40.338094900000002</v>
      </c>
      <c r="I1414" s="60">
        <v>-74.268729100000016</v>
      </c>
      <c r="J1414" s="60" t="str">
        <f ca="1">IFERROR(__xludf.DUMMYFUNCTION("SPLIT(G1414,"","")"),"3 Quoque Ct")</f>
        <v>3 Quoque Ct</v>
      </c>
      <c r="K1414" s="2" t="str">
        <f ca="1">IFERROR(__xludf.DUMMYFUNCTION("""COMPUTED_VALUE""")," Morganville")</f>
        <v xml:space="preserve"> Morganville</v>
      </c>
      <c r="L1414" s="2" t="str">
        <f ca="1">IFERROR(__xludf.DUMMYFUNCTION("""COMPUTED_VALUE""")," NJ 07751")</f>
        <v xml:space="preserve"> NJ 07751</v>
      </c>
      <c r="M1414" s="2" t="str">
        <f ca="1">IFERROR(__xludf.DUMMYFUNCTION("""COMPUTED_VALUE""")," USA")</f>
        <v xml:space="preserve"> USA</v>
      </c>
      <c r="P1414" s="60"/>
    </row>
    <row r="1415" spans="1:16">
      <c r="A1415" s="65">
        <v>1414</v>
      </c>
      <c r="B1415" s="80" t="s">
        <v>8415</v>
      </c>
      <c r="C1415" s="65" t="s">
        <v>179</v>
      </c>
      <c r="D1415" s="93" t="s">
        <v>8417</v>
      </c>
      <c r="E1415" s="48" t="str">
        <f t="shared" si="0"/>
        <v>Apex</v>
      </c>
      <c r="F1415" s="83" t="str">
        <f t="shared" si="1"/>
        <v>Apex Friendship (Apex),NC</v>
      </c>
      <c r="G1415" s="65" t="s">
        <v>8418</v>
      </c>
      <c r="H1415" s="65">
        <v>35.702551700000001</v>
      </c>
      <c r="I1415" s="65">
        <v>-78.9098714</v>
      </c>
      <c r="J1415" s="60" t="str">
        <f ca="1">IFERROR(__xludf.DUMMYFUNCTION("SPLIT(G1415,"","")"),"7801 Humie Olive Rd")</f>
        <v>7801 Humie Olive Rd</v>
      </c>
      <c r="K1415" s="2" t="str">
        <f ca="1">IFERROR(__xludf.DUMMYFUNCTION("""COMPUTED_VALUE""")," Apex")</f>
        <v xml:space="preserve"> Apex</v>
      </c>
      <c r="L1415" s="2" t="str">
        <f ca="1">IFERROR(__xludf.DUMMYFUNCTION("""COMPUTED_VALUE""")," NC 27502")</f>
        <v xml:space="preserve"> NC 27502</v>
      </c>
      <c r="M1415" s="2" t="str">
        <f ca="1">IFERROR(__xludf.DUMMYFUNCTION("""COMPUTED_VALUE""")," USA")</f>
        <v xml:space="preserve"> USA</v>
      </c>
      <c r="P1415" s="60"/>
    </row>
    <row r="1416" spans="1:16">
      <c r="A1416" s="60">
        <v>1415</v>
      </c>
      <c r="B1416" s="79" t="s">
        <v>8422</v>
      </c>
      <c r="C1416" s="60" t="s">
        <v>590</v>
      </c>
      <c r="D1416" s="93" t="s">
        <v>1522</v>
      </c>
      <c r="E1416" s="48" t="str">
        <f t="shared" si="0"/>
        <v>Upper Marlboro</v>
      </c>
      <c r="F1416" s="83" t="str">
        <f t="shared" si="1"/>
        <v>Riverdale Baptist (Upper Marlboro),MD</v>
      </c>
      <c r="G1416" s="60" t="s">
        <v>8424</v>
      </c>
      <c r="H1416" s="60">
        <v>38.872859400000003</v>
      </c>
      <c r="I1416" s="60">
        <v>-76.789154999999994</v>
      </c>
      <c r="J1416" s="60" t="str">
        <f ca="1">IFERROR(__xludf.DUMMYFUNCTION("SPLIT(G1416,"","")"),"1133 Largo Rd")</f>
        <v>1133 Largo Rd</v>
      </c>
      <c r="K1416" s="2" t="str">
        <f ca="1">IFERROR(__xludf.DUMMYFUNCTION("""COMPUTED_VALUE""")," Upper Marlboro")</f>
        <v xml:space="preserve"> Upper Marlboro</v>
      </c>
      <c r="L1416" s="2" t="str">
        <f ca="1">IFERROR(__xludf.DUMMYFUNCTION("""COMPUTED_VALUE""")," MD 20774")</f>
        <v xml:space="preserve"> MD 20774</v>
      </c>
      <c r="M1416" s="2" t="str">
        <f ca="1">IFERROR(__xludf.DUMMYFUNCTION("""COMPUTED_VALUE""")," USA")</f>
        <v xml:space="preserve"> USA</v>
      </c>
      <c r="P1416" s="60"/>
    </row>
    <row r="1417" spans="1:16">
      <c r="A1417" s="65">
        <v>1416</v>
      </c>
      <c r="B1417" s="80" t="s">
        <v>8428</v>
      </c>
      <c r="C1417" s="65" t="s">
        <v>1055</v>
      </c>
      <c r="D1417" s="93" t="s">
        <v>8429</v>
      </c>
      <c r="E1417" s="48" t="str">
        <f t="shared" si="0"/>
        <v>Leedey</v>
      </c>
      <c r="F1417" s="83" t="str">
        <f t="shared" si="1"/>
        <v>Leedey,OK</v>
      </c>
      <c r="G1417" s="65" t="s">
        <v>8431</v>
      </c>
      <c r="H1417" s="65">
        <v>35.870046299999998</v>
      </c>
      <c r="I1417" s="65">
        <v>-99.346770499999991</v>
      </c>
      <c r="J1417" s="60" t="str">
        <f ca="1">IFERROR(__xludf.DUMMYFUNCTION("SPLIT(G1417,"","")"),"8501 OK-34")</f>
        <v>8501 OK-34</v>
      </c>
      <c r="K1417" s="2" t="str">
        <f ca="1">IFERROR(__xludf.DUMMYFUNCTION("""COMPUTED_VALUE""")," Leedey")</f>
        <v xml:space="preserve"> Leedey</v>
      </c>
      <c r="L1417" s="2" t="str">
        <f ca="1">IFERROR(__xludf.DUMMYFUNCTION("""COMPUTED_VALUE""")," OK 73654")</f>
        <v xml:space="preserve"> OK 73654</v>
      </c>
      <c r="M1417" s="2" t="str">
        <f ca="1">IFERROR(__xludf.DUMMYFUNCTION("""COMPUTED_VALUE""")," USA")</f>
        <v xml:space="preserve"> USA</v>
      </c>
      <c r="P1417" s="60"/>
    </row>
    <row r="1418" spans="1:16">
      <c r="A1418" s="97">
        <v>1417</v>
      </c>
      <c r="B1418" s="99" t="s">
        <v>8435</v>
      </c>
      <c r="C1418" s="97" t="s">
        <v>765</v>
      </c>
      <c r="D1418" s="93" t="s">
        <v>8436</v>
      </c>
      <c r="E1418" s="48" t="str">
        <f t="shared" si="0"/>
        <v>Orem</v>
      </c>
      <c r="F1418" s="83" t="str">
        <f t="shared" si="1"/>
        <v>Orem,UT</v>
      </c>
      <c r="G1418" s="97" t="s">
        <v>8437</v>
      </c>
      <c r="H1418" s="97">
        <v>40.296897899999998</v>
      </c>
      <c r="I1418" s="97">
        <v>-111.6946475</v>
      </c>
      <c r="J1418" s="60" t="str">
        <f ca="1">IFERROR(__xludf.DUMMYFUNCTION("SPLIT(G1418,"","")"),"15 US-89")</f>
        <v>15 US-89</v>
      </c>
      <c r="K1418" s="2" t="str">
        <f ca="1">IFERROR(__xludf.DUMMYFUNCTION("""COMPUTED_VALUE""")," Orem")</f>
        <v xml:space="preserve"> Orem</v>
      </c>
      <c r="L1418" s="2" t="str">
        <f ca="1">IFERROR(__xludf.DUMMYFUNCTION("""COMPUTED_VALUE""")," UT 84058")</f>
        <v xml:space="preserve"> UT 84058</v>
      </c>
      <c r="M1418" s="2" t="str">
        <f ca="1">IFERROR(__xludf.DUMMYFUNCTION("""COMPUTED_VALUE""")," USA")</f>
        <v xml:space="preserve"> USA</v>
      </c>
      <c r="P1418" s="60"/>
    </row>
    <row r="1419" spans="1:16">
      <c r="A1419" s="65">
        <v>1418</v>
      </c>
      <c r="B1419" s="80" t="s">
        <v>8440</v>
      </c>
      <c r="C1419" s="65" t="s">
        <v>595</v>
      </c>
      <c r="D1419" s="93" t="s">
        <v>961</v>
      </c>
      <c r="E1419" s="48" t="str">
        <f t="shared" si="0"/>
        <v>Dallas</v>
      </c>
      <c r="F1419" s="83" t="str">
        <f t="shared" si="1"/>
        <v>South Oak Cliff (Dallas),TX</v>
      </c>
      <c r="G1419" s="65" t="s">
        <v>8443</v>
      </c>
      <c r="H1419" s="65">
        <v>32.6996702</v>
      </c>
      <c r="I1419" s="65">
        <v>-96.815757199999993</v>
      </c>
      <c r="J1419" s="60" t="str">
        <f ca="1">IFERROR(__xludf.DUMMYFUNCTION("SPLIT(G1419,"","")"),"3601 S Marsalis Ave")</f>
        <v>3601 S Marsalis Ave</v>
      </c>
      <c r="K1419" s="2" t="str">
        <f ca="1">IFERROR(__xludf.DUMMYFUNCTION("""COMPUTED_VALUE""")," Dallas")</f>
        <v xml:space="preserve"> Dallas</v>
      </c>
      <c r="L1419" s="2" t="str">
        <f ca="1">IFERROR(__xludf.DUMMYFUNCTION("""COMPUTED_VALUE""")," TX 75216")</f>
        <v xml:space="preserve"> TX 75216</v>
      </c>
      <c r="M1419" s="2" t="str">
        <f ca="1">IFERROR(__xludf.DUMMYFUNCTION("""COMPUTED_VALUE""")," USA")</f>
        <v xml:space="preserve"> USA</v>
      </c>
      <c r="P1419" s="60"/>
    </row>
    <row r="1420" spans="1:16">
      <c r="A1420" s="60">
        <v>1419</v>
      </c>
      <c r="B1420" s="79" t="s">
        <v>8447</v>
      </c>
      <c r="C1420" s="60" t="s">
        <v>796</v>
      </c>
      <c r="D1420" s="93" t="s">
        <v>8449</v>
      </c>
      <c r="E1420" s="48" t="str">
        <f t="shared" si="0"/>
        <v>Hays</v>
      </c>
      <c r="F1420" s="83" t="str">
        <f t="shared" si="1"/>
        <v>Hays,KS</v>
      </c>
      <c r="G1420" s="60" t="s">
        <v>8450</v>
      </c>
      <c r="H1420" s="60">
        <v>38.8791783</v>
      </c>
      <c r="I1420" s="60">
        <v>-99.326770199999999</v>
      </c>
      <c r="J1420" s="60" t="str">
        <f ca="1">IFERROR(__xludf.DUMMYFUNCTION("SPLIT(G1420,"","")"),"109 W 19th St")</f>
        <v>109 W 19th St</v>
      </c>
      <c r="K1420" s="2" t="str">
        <f ca="1">IFERROR(__xludf.DUMMYFUNCTION("""COMPUTED_VALUE""")," Hays")</f>
        <v xml:space="preserve"> Hays</v>
      </c>
      <c r="L1420" s="2" t="str">
        <f ca="1">IFERROR(__xludf.DUMMYFUNCTION("""COMPUTED_VALUE""")," KS 67601")</f>
        <v xml:space="preserve"> KS 67601</v>
      </c>
      <c r="M1420" s="2" t="str">
        <f ca="1">IFERROR(__xludf.DUMMYFUNCTION("""COMPUTED_VALUE""")," USA")</f>
        <v xml:space="preserve"> USA</v>
      </c>
      <c r="P1420" s="60"/>
    </row>
    <row r="1421" spans="1:16">
      <c r="A1421" s="65">
        <v>1420</v>
      </c>
      <c r="B1421" s="80" t="s">
        <v>8455</v>
      </c>
      <c r="C1421" s="65" t="s">
        <v>136</v>
      </c>
      <c r="D1421" s="93" t="s">
        <v>8456</v>
      </c>
      <c r="E1421" s="48" t="str">
        <f t="shared" si="0"/>
        <v>The Villages</v>
      </c>
      <c r="F1421" s="83" t="str">
        <f t="shared" si="1"/>
        <v>The Villages Charter (The Villages),FL</v>
      </c>
      <c r="G1421" s="65" t="s">
        <v>8458</v>
      </c>
      <c r="H1421" s="65">
        <v>28.924837799999999</v>
      </c>
      <c r="I1421" s="65">
        <v>-82.027774999999991</v>
      </c>
      <c r="J1421" s="60" t="str">
        <f ca="1">IFERROR(__xludf.DUMMYFUNCTION("SPLIT(G1421,"","")"),"450 Village Campus Cir")</f>
        <v>450 Village Campus Cir</v>
      </c>
      <c r="K1421" s="2" t="str">
        <f ca="1">IFERROR(__xludf.DUMMYFUNCTION("""COMPUTED_VALUE""")," The Villages")</f>
        <v xml:space="preserve"> The Villages</v>
      </c>
      <c r="L1421" s="2" t="str">
        <f ca="1">IFERROR(__xludf.DUMMYFUNCTION("""COMPUTED_VALUE""")," FL 32162")</f>
        <v xml:space="preserve"> FL 32162</v>
      </c>
      <c r="M1421" s="2" t="str">
        <f ca="1">IFERROR(__xludf.DUMMYFUNCTION("""COMPUTED_VALUE""")," USA")</f>
        <v xml:space="preserve"> USA</v>
      </c>
      <c r="P1421" s="60"/>
    </row>
    <row r="1422" spans="1:16">
      <c r="A1422" s="60">
        <v>1421</v>
      </c>
      <c r="B1422" s="79" t="s">
        <v>8460</v>
      </c>
      <c r="C1422" s="60" t="s">
        <v>179</v>
      </c>
      <c r="D1422" s="93" t="s">
        <v>8462</v>
      </c>
      <c r="E1422" s="48" t="str">
        <f t="shared" si="0"/>
        <v>Cornelius</v>
      </c>
      <c r="F1422" s="83" t="str">
        <f t="shared" si="1"/>
        <v>Hough (Cornelius),NC</v>
      </c>
      <c r="G1422" s="60" t="s">
        <v>8463</v>
      </c>
      <c r="H1422" s="60">
        <v>35.467192900000001</v>
      </c>
      <c r="I1422" s="60">
        <v>-80.828580899999992</v>
      </c>
      <c r="J1422" s="60" t="str">
        <f ca="1">IFERROR(__xludf.DUMMYFUNCTION("SPLIT(G1422,"","")"),"12420 Bailey Rd")</f>
        <v>12420 Bailey Rd</v>
      </c>
      <c r="K1422" s="2" t="str">
        <f ca="1">IFERROR(__xludf.DUMMYFUNCTION("""COMPUTED_VALUE""")," Cornelius")</f>
        <v xml:space="preserve"> Cornelius</v>
      </c>
      <c r="L1422" s="2" t="str">
        <f ca="1">IFERROR(__xludf.DUMMYFUNCTION("""COMPUTED_VALUE""")," NC 28031")</f>
        <v xml:space="preserve"> NC 28031</v>
      </c>
      <c r="M1422" s="2" t="str">
        <f ca="1">IFERROR(__xludf.DUMMYFUNCTION("""COMPUTED_VALUE""")," USA")</f>
        <v xml:space="preserve"> USA</v>
      </c>
      <c r="P1422" s="60"/>
    </row>
    <row r="1423" spans="1:16">
      <c r="A1423" s="65">
        <v>1422</v>
      </c>
      <c r="B1423" s="80" t="s">
        <v>8467</v>
      </c>
      <c r="C1423" s="65" t="s">
        <v>1094</v>
      </c>
      <c r="D1423" s="93" t="s">
        <v>8468</v>
      </c>
      <c r="E1423" s="48" t="str">
        <f t="shared" si="0"/>
        <v>Saco</v>
      </c>
      <c r="F1423" s="83" t="str">
        <f t="shared" si="1"/>
        <v>Thornton Academy (Saco),ME</v>
      </c>
      <c r="G1423" s="65" t="s">
        <v>8471</v>
      </c>
      <c r="H1423" s="65">
        <v>43.505382999999988</v>
      </c>
      <c r="I1423" s="65">
        <v>-70.439059</v>
      </c>
      <c r="J1423" s="60" t="str">
        <f ca="1">IFERROR(__xludf.DUMMYFUNCTION("SPLIT(G1423,"","")"),"438 Main St")</f>
        <v>438 Main St</v>
      </c>
      <c r="K1423" s="2" t="str">
        <f ca="1">IFERROR(__xludf.DUMMYFUNCTION("""COMPUTED_VALUE""")," Saco")</f>
        <v xml:space="preserve"> Saco</v>
      </c>
      <c r="L1423" s="2" t="str">
        <f ca="1">IFERROR(__xludf.DUMMYFUNCTION("""COMPUTED_VALUE""")," ME 04072")</f>
        <v xml:space="preserve"> ME 04072</v>
      </c>
      <c r="M1423" s="2" t="str">
        <f ca="1">IFERROR(__xludf.DUMMYFUNCTION("""COMPUTED_VALUE""")," USA")</f>
        <v xml:space="preserve"> USA</v>
      </c>
      <c r="P1423" s="60"/>
    </row>
    <row r="1424" spans="1:16">
      <c r="A1424" s="60">
        <v>1423</v>
      </c>
      <c r="B1424" s="79" t="s">
        <v>8473</v>
      </c>
      <c r="C1424" s="60" t="s">
        <v>602</v>
      </c>
      <c r="D1424" s="93" t="s">
        <v>8475</v>
      </c>
      <c r="E1424" s="48" t="str">
        <f t="shared" si="0"/>
        <v>Charlottesville</v>
      </c>
      <c r="F1424" s="83" t="str">
        <f t="shared" si="1"/>
        <v>St. Anne's-Belfield (Charlottesville),VA</v>
      </c>
      <c r="G1424" s="60" t="s">
        <v>8477</v>
      </c>
      <c r="H1424" s="60">
        <v>38.042620800000002</v>
      </c>
      <c r="I1424" s="60">
        <v>-78.515506399999992</v>
      </c>
      <c r="J1424" s="60" t="str">
        <f ca="1">IFERROR(__xludf.DUMMYFUNCTION("SPLIT(G1424,"","")"),"2132 Ivy Rd")</f>
        <v>2132 Ivy Rd</v>
      </c>
      <c r="K1424" s="2" t="str">
        <f ca="1">IFERROR(__xludf.DUMMYFUNCTION("""COMPUTED_VALUE""")," Charlottesville")</f>
        <v xml:space="preserve"> Charlottesville</v>
      </c>
      <c r="L1424" s="2" t="str">
        <f ca="1">IFERROR(__xludf.DUMMYFUNCTION("""COMPUTED_VALUE""")," VA 22903")</f>
        <v xml:space="preserve"> VA 22903</v>
      </c>
      <c r="M1424" s="2" t="str">
        <f ca="1">IFERROR(__xludf.DUMMYFUNCTION("""COMPUTED_VALUE""")," USA")</f>
        <v xml:space="preserve"> USA</v>
      </c>
      <c r="P1424" s="60"/>
    </row>
    <row r="1425" spans="1:16">
      <c r="A1425" s="65">
        <v>1424</v>
      </c>
      <c r="B1425" s="80" t="s">
        <v>8482</v>
      </c>
      <c r="C1425" s="65" t="s">
        <v>598</v>
      </c>
      <c r="D1425" s="93" t="s">
        <v>8483</v>
      </c>
      <c r="E1425" s="48" t="str">
        <f t="shared" si="0"/>
        <v>Hiram</v>
      </c>
      <c r="F1425" s="83" t="str">
        <f t="shared" si="1"/>
        <v>Hiram,GA</v>
      </c>
      <c r="G1425" s="65" t="s">
        <v>8484</v>
      </c>
      <c r="H1425" s="65">
        <v>33.875660099999997</v>
      </c>
      <c r="I1425" s="65">
        <v>-84.762159199999999</v>
      </c>
      <c r="J1425" s="60" t="str">
        <f ca="1">IFERROR(__xludf.DUMMYFUNCTION("SPLIT(G1425,"","")"),"101 Beatty St")</f>
        <v>101 Beatty St</v>
      </c>
      <c r="K1425" s="2" t="str">
        <f ca="1">IFERROR(__xludf.DUMMYFUNCTION("""COMPUTED_VALUE""")," Hiram")</f>
        <v xml:space="preserve"> Hiram</v>
      </c>
      <c r="L1425" s="2" t="str">
        <f ca="1">IFERROR(__xludf.DUMMYFUNCTION("""COMPUTED_VALUE""")," GA 30141")</f>
        <v xml:space="preserve"> GA 30141</v>
      </c>
      <c r="M1425" s="2" t="str">
        <f ca="1">IFERROR(__xludf.DUMMYFUNCTION("""COMPUTED_VALUE""")," USA")</f>
        <v xml:space="preserve"> USA</v>
      </c>
      <c r="P1425" s="60"/>
    </row>
    <row r="1426" spans="1:16">
      <c r="A1426" s="60">
        <v>1425</v>
      </c>
      <c r="B1426" s="79" t="s">
        <v>8488</v>
      </c>
      <c r="C1426" s="60" t="s">
        <v>136</v>
      </c>
      <c r="D1426" s="93" t="s">
        <v>1463</v>
      </c>
      <c r="E1426" s="48" t="str">
        <f t="shared" si="0"/>
        <v>Kissimmee</v>
      </c>
      <c r="F1426" s="83" t="str">
        <f t="shared" si="1"/>
        <v>Osceola (Kissimmee),FL</v>
      </c>
      <c r="G1426" s="60" t="s">
        <v>8490</v>
      </c>
      <c r="H1426" s="60">
        <v>28.291955699999999</v>
      </c>
      <c r="I1426" s="60">
        <v>-81.40757099999999</v>
      </c>
      <c r="J1426" s="60" t="str">
        <f ca="1">IFERROR(__xludf.DUMMYFUNCTION("SPLIT(G1426,"","")"),"Robards Number Four Heliport")</f>
        <v>Robards Number Four Heliport</v>
      </c>
      <c r="K1426" s="2" t="str">
        <f ca="1">IFERROR(__xludf.DUMMYFUNCTION("""COMPUTED_VALUE""")," Kissimmee")</f>
        <v xml:space="preserve"> Kissimmee</v>
      </c>
      <c r="L1426" s="2" t="str">
        <f ca="1">IFERROR(__xludf.DUMMYFUNCTION("""COMPUTED_VALUE""")," FL 34746")</f>
        <v xml:space="preserve"> FL 34746</v>
      </c>
      <c r="M1426" s="2" t="str">
        <f ca="1">IFERROR(__xludf.DUMMYFUNCTION("""COMPUTED_VALUE""")," USA")</f>
        <v xml:space="preserve"> USA</v>
      </c>
      <c r="P1426" s="60"/>
    </row>
    <row r="1427" spans="1:16">
      <c r="A1427" s="60">
        <v>1426</v>
      </c>
      <c r="B1427" s="79" t="s">
        <v>8493</v>
      </c>
      <c r="C1427" s="60" t="s">
        <v>191</v>
      </c>
      <c r="D1427" s="93" t="s">
        <v>8495</v>
      </c>
      <c r="E1427" s="48" t="str">
        <f t="shared" si="0"/>
        <v>Charlevoix</v>
      </c>
      <c r="F1427" s="83" t="str">
        <f t="shared" si="1"/>
        <v>Charlevoix,MI</v>
      </c>
      <c r="G1427" s="60" t="s">
        <v>8496</v>
      </c>
      <c r="H1427" s="60">
        <v>45.318063199999997</v>
      </c>
      <c r="I1427" s="60">
        <v>-85.258400399999999</v>
      </c>
      <c r="J1427" s="60" t="str">
        <f ca="1">IFERROR(__xludf.DUMMYFUNCTION("SPLIT(G1427,"","")"),"111 Bridge Park Dr")</f>
        <v>111 Bridge Park Dr</v>
      </c>
      <c r="K1427" s="2" t="str">
        <f ca="1">IFERROR(__xludf.DUMMYFUNCTION("""COMPUTED_VALUE""")," Charlevoix")</f>
        <v xml:space="preserve"> Charlevoix</v>
      </c>
      <c r="L1427" s="2" t="str">
        <f ca="1">IFERROR(__xludf.DUMMYFUNCTION("""COMPUTED_VALUE""")," MI 49720")</f>
        <v xml:space="preserve"> MI 49720</v>
      </c>
      <c r="M1427" s="2" t="str">
        <f ca="1">IFERROR(__xludf.DUMMYFUNCTION("""COMPUTED_VALUE""")," USA")</f>
        <v xml:space="preserve"> USA</v>
      </c>
      <c r="P1427" s="60"/>
    </row>
    <row r="1428" spans="1:16">
      <c r="A1428" s="65">
        <v>1427</v>
      </c>
      <c r="B1428" s="80" t="s">
        <v>282</v>
      </c>
      <c r="C1428" s="65" t="s">
        <v>598</v>
      </c>
      <c r="D1428" s="93" t="s">
        <v>8499</v>
      </c>
      <c r="E1428" s="48" t="str">
        <f t="shared" si="0"/>
        <v>Warner Robins</v>
      </c>
      <c r="F1428" s="83" t="str">
        <f t="shared" si="1"/>
        <v>Warner Robins,GA</v>
      </c>
      <c r="G1428" s="65" t="s">
        <v>8501</v>
      </c>
      <c r="H1428" s="65">
        <v>32.613000700000001</v>
      </c>
      <c r="I1428" s="65">
        <v>-83.624200999999999</v>
      </c>
      <c r="J1428" s="60" t="str">
        <f ca="1">IFERROR(__xludf.DUMMYFUNCTION("SPLIT(G1428,"","")"),"205 S Pleasant Hill Rd")</f>
        <v>205 S Pleasant Hill Rd</v>
      </c>
      <c r="K1428" s="2" t="str">
        <f ca="1">IFERROR(__xludf.DUMMYFUNCTION("""COMPUTED_VALUE""")," Warner Robins")</f>
        <v xml:space="preserve"> Warner Robins</v>
      </c>
      <c r="L1428" s="2" t="str">
        <f ca="1">IFERROR(__xludf.DUMMYFUNCTION("""COMPUTED_VALUE""")," GA 31088")</f>
        <v xml:space="preserve"> GA 31088</v>
      </c>
      <c r="M1428" s="2" t="str">
        <f ca="1">IFERROR(__xludf.DUMMYFUNCTION("""COMPUTED_VALUE""")," USA")</f>
        <v xml:space="preserve"> USA</v>
      </c>
      <c r="P1428" s="60"/>
    </row>
    <row r="1429" spans="1:16">
      <c r="A1429" s="60">
        <v>1428</v>
      </c>
      <c r="B1429" s="79" t="s">
        <v>8503</v>
      </c>
      <c r="C1429" s="60" t="s">
        <v>940</v>
      </c>
      <c r="D1429" s="93" t="s">
        <v>941</v>
      </c>
      <c r="E1429" s="48" t="str">
        <f t="shared" si="0"/>
        <v>Omaha</v>
      </c>
      <c r="F1429" s="83" t="str">
        <f t="shared" si="1"/>
        <v>Creighton Prep (Omaha),NE</v>
      </c>
      <c r="G1429" s="60" t="s">
        <v>8505</v>
      </c>
      <c r="H1429" s="60">
        <v>41.271469600000003</v>
      </c>
      <c r="I1429" s="60">
        <v>-96.026632399999997</v>
      </c>
      <c r="J1429" s="60" t="str">
        <f ca="1">IFERROR(__xludf.DUMMYFUNCTION("SPLIT(G1429,"","")"),"7400 Western Ave")</f>
        <v>7400 Western Ave</v>
      </c>
      <c r="K1429" s="2" t="str">
        <f ca="1">IFERROR(__xludf.DUMMYFUNCTION("""COMPUTED_VALUE""")," Omaha")</f>
        <v xml:space="preserve"> Omaha</v>
      </c>
      <c r="L1429" s="2" t="str">
        <f ca="1">IFERROR(__xludf.DUMMYFUNCTION("""COMPUTED_VALUE""")," NE 68114")</f>
        <v xml:space="preserve"> NE 68114</v>
      </c>
      <c r="M1429" s="2" t="str">
        <f ca="1">IFERROR(__xludf.DUMMYFUNCTION("""COMPUTED_VALUE""")," USA")</f>
        <v xml:space="preserve"> USA</v>
      </c>
      <c r="P1429" s="60"/>
    </row>
    <row r="1430" spans="1:16">
      <c r="A1430" s="65">
        <v>1429</v>
      </c>
      <c r="B1430" s="80" t="s">
        <v>8508</v>
      </c>
      <c r="C1430" s="65" t="s">
        <v>595</v>
      </c>
      <c r="D1430" s="93" t="s">
        <v>8510</v>
      </c>
      <c r="E1430" s="48" t="str">
        <f t="shared" si="0"/>
        <v>Red Oak</v>
      </c>
      <c r="F1430" s="83" t="str">
        <f t="shared" si="1"/>
        <v>Red Oak,TX</v>
      </c>
      <c r="G1430" s="65" t="s">
        <v>8511</v>
      </c>
      <c r="H1430" s="65">
        <v>32.533210099999998</v>
      </c>
      <c r="I1430" s="65">
        <v>-96.815299999999993</v>
      </c>
      <c r="J1430" s="60" t="str">
        <f ca="1">IFERROR(__xludf.DUMMYFUNCTION("SPLIT(G1430,"","")"),"Reese Dr")</f>
        <v>Reese Dr</v>
      </c>
      <c r="K1430" s="2" t="str">
        <f ca="1">IFERROR(__xludf.DUMMYFUNCTION("""COMPUTED_VALUE""")," Red Oak")</f>
        <v xml:space="preserve"> Red Oak</v>
      </c>
      <c r="L1430" s="2" t="str">
        <f ca="1">IFERROR(__xludf.DUMMYFUNCTION("""COMPUTED_VALUE""")," TX 75154")</f>
        <v xml:space="preserve"> TX 75154</v>
      </c>
      <c r="M1430" s="2" t="str">
        <f ca="1">IFERROR(__xludf.DUMMYFUNCTION("""COMPUTED_VALUE""")," USA")</f>
        <v xml:space="preserve"> USA</v>
      </c>
      <c r="P1430" s="60"/>
    </row>
    <row r="1431" spans="1:16">
      <c r="A1431" s="60">
        <v>1430</v>
      </c>
      <c r="B1431" s="79" t="s">
        <v>8515</v>
      </c>
      <c r="C1431" s="60" t="s">
        <v>179</v>
      </c>
      <c r="D1431" s="93" t="s">
        <v>1412</v>
      </c>
      <c r="E1431" s="48" t="str">
        <f t="shared" si="0"/>
        <v>Fayetteville</v>
      </c>
      <c r="F1431" s="83" t="str">
        <f t="shared" si="1"/>
        <v>Freedom Christian Academy (Fayetteville),NC</v>
      </c>
      <c r="G1431" s="60" t="s">
        <v>8518</v>
      </c>
      <c r="H1431" s="60">
        <v>34.994042499999999</v>
      </c>
      <c r="I1431" s="60">
        <v>-78.903459699999999</v>
      </c>
      <c r="J1431" s="60" t="str">
        <f ca="1">IFERROR(__xludf.DUMMYFUNCTION("SPLIT(G1431,"","")"),"3126 Gillespie St")</f>
        <v>3126 Gillespie St</v>
      </c>
      <c r="K1431" s="2" t="str">
        <f ca="1">IFERROR(__xludf.DUMMYFUNCTION("""COMPUTED_VALUE""")," Fayetteville")</f>
        <v xml:space="preserve"> Fayetteville</v>
      </c>
      <c r="L1431" s="2" t="str">
        <f ca="1">IFERROR(__xludf.DUMMYFUNCTION("""COMPUTED_VALUE""")," NC 28306")</f>
        <v xml:space="preserve"> NC 28306</v>
      </c>
      <c r="M1431" s="2" t="str">
        <f ca="1">IFERROR(__xludf.DUMMYFUNCTION("""COMPUTED_VALUE""")," USA")</f>
        <v xml:space="preserve"> USA</v>
      </c>
      <c r="P1431" s="60"/>
    </row>
    <row r="1432" spans="1:16">
      <c r="A1432" s="65">
        <v>1431</v>
      </c>
      <c r="B1432" s="80" t="s">
        <v>8522</v>
      </c>
      <c r="C1432" s="65" t="s">
        <v>136</v>
      </c>
      <c r="D1432" s="93" t="s">
        <v>8523</v>
      </c>
      <c r="E1432" s="48" t="str">
        <f t="shared" si="0"/>
        <v>Wellington</v>
      </c>
      <c r="F1432" s="83" t="str">
        <f t="shared" si="1"/>
        <v>Wellington,FL</v>
      </c>
      <c r="G1432" s="65" t="s">
        <v>8526</v>
      </c>
      <c r="H1432" s="65">
        <v>26.661763499999999</v>
      </c>
      <c r="I1432" s="65">
        <v>-80.268357100000003</v>
      </c>
      <c r="J1432" s="60" t="str">
        <f ca="1">IFERROR(__xludf.DUMMYFUNCTION("SPLIT(G1432,"","")"),"1397 Greenview Shores Blvd")</f>
        <v>1397 Greenview Shores Blvd</v>
      </c>
      <c r="K1432" s="2" t="str">
        <f ca="1">IFERROR(__xludf.DUMMYFUNCTION("""COMPUTED_VALUE""")," Wellington")</f>
        <v xml:space="preserve"> Wellington</v>
      </c>
      <c r="L1432" s="2" t="str">
        <f ca="1">IFERROR(__xludf.DUMMYFUNCTION("""COMPUTED_VALUE""")," FL 33414")</f>
        <v xml:space="preserve"> FL 33414</v>
      </c>
      <c r="M1432" s="2" t="str">
        <f ca="1">IFERROR(__xludf.DUMMYFUNCTION("""COMPUTED_VALUE""")," USA")</f>
        <v xml:space="preserve"> USA</v>
      </c>
      <c r="P1432" s="60"/>
    </row>
    <row r="1433" spans="1:16">
      <c r="A1433" s="60">
        <v>1432</v>
      </c>
      <c r="B1433" s="79" t="s">
        <v>8530</v>
      </c>
      <c r="C1433" s="60" t="s">
        <v>646</v>
      </c>
      <c r="D1433" s="93" t="s">
        <v>8532</v>
      </c>
      <c r="E1433" s="48" t="str">
        <f t="shared" si="0"/>
        <v>Twin Bridges</v>
      </c>
      <c r="F1433" s="83" t="str">
        <f t="shared" si="1"/>
        <v>Twin Bridges,MT</v>
      </c>
      <c r="G1433" s="60" t="s">
        <v>8533</v>
      </c>
      <c r="H1433" s="60">
        <v>45.544260000000001</v>
      </c>
      <c r="I1433" s="60">
        <v>-112.33103989999999</v>
      </c>
      <c r="J1433" s="60" t="str">
        <f ca="1">IFERROR(__xludf.DUMMYFUNCTION("SPLIT(G1433,"","")"),"104 W 4th Ave")</f>
        <v>104 W 4th Ave</v>
      </c>
      <c r="K1433" s="2" t="str">
        <f ca="1">IFERROR(__xludf.DUMMYFUNCTION("""COMPUTED_VALUE""")," Twin Bridges")</f>
        <v xml:space="preserve"> Twin Bridges</v>
      </c>
      <c r="L1433" s="2" t="str">
        <f ca="1">IFERROR(__xludf.DUMMYFUNCTION("""COMPUTED_VALUE""")," MT 59754")</f>
        <v xml:space="preserve"> MT 59754</v>
      </c>
      <c r="M1433" s="2" t="str">
        <f ca="1">IFERROR(__xludf.DUMMYFUNCTION("""COMPUTED_VALUE""")," USA")</f>
        <v xml:space="preserve"> USA</v>
      </c>
      <c r="P1433" s="60"/>
    </row>
    <row r="1434" spans="1:16">
      <c r="A1434" s="65">
        <v>1433</v>
      </c>
      <c r="B1434" s="80" t="s">
        <v>8536</v>
      </c>
      <c r="C1434" s="65" t="s">
        <v>897</v>
      </c>
      <c r="D1434" s="93" t="s">
        <v>8537</v>
      </c>
      <c r="E1434" s="48" t="str">
        <f t="shared" si="0"/>
        <v>North Kansas City</v>
      </c>
      <c r="F1434" s="83" t="str">
        <f t="shared" si="1"/>
        <v>North Kansas City,MO</v>
      </c>
      <c r="G1434" s="65" t="s">
        <v>8539</v>
      </c>
      <c r="H1434" s="65">
        <v>39.142908100000007</v>
      </c>
      <c r="I1434" s="65">
        <v>-94.5729781</v>
      </c>
      <c r="J1434" s="60" t="str">
        <f ca="1">IFERROR(__xludf.DUMMYFUNCTION("SPLIT(G1434,"","")"),"2010 Howell St")</f>
        <v>2010 Howell St</v>
      </c>
      <c r="K1434" s="2" t="str">
        <f ca="1">IFERROR(__xludf.DUMMYFUNCTION("""COMPUTED_VALUE""")," North Kansas City")</f>
        <v xml:space="preserve"> North Kansas City</v>
      </c>
      <c r="L1434" s="2" t="str">
        <f ca="1">IFERROR(__xludf.DUMMYFUNCTION("""COMPUTED_VALUE""")," MO 64116")</f>
        <v xml:space="preserve"> MO 64116</v>
      </c>
      <c r="M1434" s="2" t="str">
        <f ca="1">IFERROR(__xludf.DUMMYFUNCTION("""COMPUTED_VALUE""")," USA")</f>
        <v xml:space="preserve"> USA</v>
      </c>
      <c r="P1434" s="60"/>
    </row>
    <row r="1435" spans="1:16">
      <c r="A1435" s="60">
        <v>1434</v>
      </c>
      <c r="B1435" s="79" t="s">
        <v>8542</v>
      </c>
      <c r="C1435" s="60" t="s">
        <v>1050</v>
      </c>
      <c r="D1435" s="93" t="s">
        <v>8545</v>
      </c>
      <c r="E1435" s="48" t="str">
        <f t="shared" si="0"/>
        <v>Wheeling</v>
      </c>
      <c r="F1435" s="83" t="str">
        <f t="shared" si="1"/>
        <v>Wheeling Park (Wheeling),WV</v>
      </c>
      <c r="G1435" s="60" t="s">
        <v>8546</v>
      </c>
      <c r="H1435" s="60">
        <v>40.0587521</v>
      </c>
      <c r="I1435" s="60">
        <v>-80.667071300000003</v>
      </c>
      <c r="J1435" s="60" t="str">
        <f ca="1">IFERROR(__xludf.DUMMYFUNCTION("SPLIT(G1435,"","")"),"Wheeling Park")</f>
        <v>Wheeling Park</v>
      </c>
      <c r="K1435" s="2" t="str">
        <f ca="1">IFERROR(__xludf.DUMMYFUNCTION("""COMPUTED_VALUE""")," 1801 National Rd")</f>
        <v xml:space="preserve"> 1801 National Rd</v>
      </c>
      <c r="L1435" s="2" t="str">
        <f ca="1">IFERROR(__xludf.DUMMYFUNCTION("""COMPUTED_VALUE""")," Wheeling")</f>
        <v xml:space="preserve"> Wheeling</v>
      </c>
      <c r="M1435" s="2" t="str">
        <f ca="1">IFERROR(__xludf.DUMMYFUNCTION("""COMPUTED_VALUE""")," WV 26003")</f>
        <v xml:space="preserve"> WV 26003</v>
      </c>
      <c r="N1435" s="2" t="str">
        <f ca="1">IFERROR(__xludf.DUMMYFUNCTION("""COMPUTED_VALUE""")," USA")</f>
        <v xml:space="preserve"> USA</v>
      </c>
      <c r="P1435" s="60"/>
    </row>
    <row r="1436" spans="1:16">
      <c r="A1436" s="65">
        <v>1435</v>
      </c>
      <c r="B1436" s="80" t="s">
        <v>8548</v>
      </c>
      <c r="C1436" s="65" t="s">
        <v>595</v>
      </c>
      <c r="D1436" s="93" t="s">
        <v>8549</v>
      </c>
      <c r="E1436" s="48" t="str">
        <f t="shared" si="0"/>
        <v>Gruver</v>
      </c>
      <c r="F1436" s="83" t="str">
        <f t="shared" si="1"/>
        <v>Gruver,TX</v>
      </c>
      <c r="G1436" s="65" t="s">
        <v>8550</v>
      </c>
      <c r="H1436" s="65">
        <v>36.265031399999998</v>
      </c>
      <c r="I1436" s="65">
        <v>-101.4062723</v>
      </c>
      <c r="J1436" s="60" t="str">
        <f ca="1">IFERROR(__xludf.DUMMYFUNCTION("SPLIT(G1436,"","")"),"401 Main St")</f>
        <v>401 Main St</v>
      </c>
      <c r="K1436" s="2" t="str">
        <f ca="1">IFERROR(__xludf.DUMMYFUNCTION("""COMPUTED_VALUE""")," Gruver")</f>
        <v xml:space="preserve"> Gruver</v>
      </c>
      <c r="L1436" s="2" t="str">
        <f ca="1">IFERROR(__xludf.DUMMYFUNCTION("""COMPUTED_VALUE""")," TX 79040")</f>
        <v xml:space="preserve"> TX 79040</v>
      </c>
      <c r="M1436" s="2" t="str">
        <f ca="1">IFERROR(__xludf.DUMMYFUNCTION("""COMPUTED_VALUE""")," USA")</f>
        <v xml:space="preserve"> USA</v>
      </c>
      <c r="P1436" s="60"/>
    </row>
    <row r="1437" spans="1:16">
      <c r="A1437" s="60">
        <v>1436</v>
      </c>
      <c r="B1437" s="79" t="s">
        <v>8554</v>
      </c>
      <c r="C1437" s="60" t="s">
        <v>179</v>
      </c>
      <c r="D1437" s="93" t="s">
        <v>2025</v>
      </c>
      <c r="E1437" s="48" t="str">
        <f t="shared" si="0"/>
        <v>Raleigh</v>
      </c>
      <c r="F1437" s="83" t="str">
        <f t="shared" si="1"/>
        <v>Word of God Christian Academy (Raleigh),NC</v>
      </c>
      <c r="G1437" s="60" t="s">
        <v>8556</v>
      </c>
      <c r="H1437" s="60">
        <v>35.746205000000003</v>
      </c>
      <c r="I1437" s="60">
        <v>-78.597577000000015</v>
      </c>
      <c r="J1437" s="60" t="str">
        <f ca="1">IFERROR(__xludf.DUMMYFUNCTION("SPLIT(G1437,"","")"),"3000 Rock Quarry Rd")</f>
        <v>3000 Rock Quarry Rd</v>
      </c>
      <c r="K1437" s="2" t="str">
        <f ca="1">IFERROR(__xludf.DUMMYFUNCTION("""COMPUTED_VALUE""")," Raleigh")</f>
        <v xml:space="preserve"> Raleigh</v>
      </c>
      <c r="L1437" s="2" t="str">
        <f ca="1">IFERROR(__xludf.DUMMYFUNCTION("""COMPUTED_VALUE""")," NC 27610")</f>
        <v xml:space="preserve"> NC 27610</v>
      </c>
      <c r="M1437" s="2" t="str">
        <f ca="1">IFERROR(__xludf.DUMMYFUNCTION("""COMPUTED_VALUE""")," USA")</f>
        <v xml:space="preserve"> USA</v>
      </c>
      <c r="P1437" s="60"/>
    </row>
    <row r="1438" spans="1:16">
      <c r="A1438" s="65">
        <v>1437</v>
      </c>
      <c r="B1438" s="80" t="s">
        <v>8559</v>
      </c>
      <c r="C1438" s="65" t="s">
        <v>604</v>
      </c>
      <c r="D1438" s="93" t="s">
        <v>8560</v>
      </c>
      <c r="E1438" s="48" t="str">
        <f t="shared" si="0"/>
        <v>Cicero</v>
      </c>
      <c r="F1438" s="83" t="str">
        <f t="shared" si="1"/>
        <v>Berwyn/Cicero Morton (Cicero),IL</v>
      </c>
      <c r="G1438" s="65" t="s">
        <v>8563</v>
      </c>
      <c r="H1438" s="65">
        <v>41.8464551</v>
      </c>
      <c r="I1438" s="65">
        <v>-87.771874800000006</v>
      </c>
      <c r="J1438" s="60" t="str">
        <f ca="1">IFERROR(__xludf.DUMMYFUNCTION("SPLIT(G1438,"","")"),"2440 S 59th Ct")</f>
        <v>2440 S 59th Ct</v>
      </c>
      <c r="K1438" s="2" t="str">
        <f ca="1">IFERROR(__xludf.DUMMYFUNCTION("""COMPUTED_VALUE""")," Cicero")</f>
        <v xml:space="preserve"> Cicero</v>
      </c>
      <c r="L1438" s="2" t="str">
        <f ca="1">IFERROR(__xludf.DUMMYFUNCTION("""COMPUTED_VALUE""")," IL 60804")</f>
        <v xml:space="preserve"> IL 60804</v>
      </c>
      <c r="M1438" s="2" t="str">
        <f ca="1">IFERROR(__xludf.DUMMYFUNCTION("""COMPUTED_VALUE""")," USA")</f>
        <v xml:space="preserve"> USA</v>
      </c>
      <c r="P1438" s="60"/>
    </row>
    <row r="1439" spans="1:16">
      <c r="A1439" s="60">
        <v>1438</v>
      </c>
      <c r="B1439" s="79" t="s">
        <v>8567</v>
      </c>
      <c r="C1439" s="60" t="s">
        <v>604</v>
      </c>
      <c r="D1439" s="93" t="s">
        <v>652</v>
      </c>
      <c r="E1439" s="48" t="str">
        <f t="shared" si="0"/>
        <v>Chicago</v>
      </c>
      <c r="F1439" s="83" t="str">
        <f t="shared" si="1"/>
        <v>St. Patrick (Chicago),IL</v>
      </c>
      <c r="G1439" s="60" t="s">
        <v>8569</v>
      </c>
      <c r="H1439" s="60">
        <v>41.939121900000004</v>
      </c>
      <c r="I1439" s="60">
        <v>-87.775969599999996</v>
      </c>
      <c r="J1439" s="60" t="str">
        <f ca="1">IFERROR(__xludf.DUMMYFUNCTION("SPLIT(G1439,"","")"),"5900 W Belmont Ave")</f>
        <v>5900 W Belmont Ave</v>
      </c>
      <c r="K1439" s="2" t="str">
        <f ca="1">IFERROR(__xludf.DUMMYFUNCTION("""COMPUTED_VALUE""")," Chicago")</f>
        <v xml:space="preserve"> Chicago</v>
      </c>
      <c r="L1439" s="2" t="str">
        <f ca="1">IFERROR(__xludf.DUMMYFUNCTION("""COMPUTED_VALUE""")," IL 60634")</f>
        <v xml:space="preserve"> IL 60634</v>
      </c>
      <c r="M1439" s="2" t="str">
        <f ca="1">IFERROR(__xludf.DUMMYFUNCTION("""COMPUTED_VALUE""")," USA")</f>
        <v xml:space="preserve"> USA</v>
      </c>
      <c r="P1439" s="60"/>
    </row>
    <row r="1440" spans="1:16">
      <c r="A1440" s="65">
        <v>1439</v>
      </c>
      <c r="B1440" s="80" t="s">
        <v>8574</v>
      </c>
      <c r="C1440" s="65" t="s">
        <v>765</v>
      </c>
      <c r="D1440" s="93" t="s">
        <v>8575</v>
      </c>
      <c r="E1440" s="48" t="str">
        <f t="shared" si="0"/>
        <v>Bountiful</v>
      </c>
      <c r="F1440" s="83" t="str">
        <f t="shared" si="1"/>
        <v>Bountiful,UT</v>
      </c>
      <c r="G1440" s="65" t="s">
        <v>8576</v>
      </c>
      <c r="H1440" s="65">
        <v>40.8893895</v>
      </c>
      <c r="I1440" s="65">
        <v>-111.880771</v>
      </c>
      <c r="J1440" s="60" t="str">
        <f ca="1">IFERROR(__xludf.DUMMYFUNCTION("SPLIT(G1440,"","")"),"Main St @ 1 N (Bountiful)")</f>
        <v>Main St @ 1 N (Bountiful)</v>
      </c>
      <c r="K1440" s="2" t="str">
        <f ca="1">IFERROR(__xludf.DUMMYFUNCTION("""COMPUTED_VALUE""")," Bountiful")</f>
        <v xml:space="preserve"> Bountiful</v>
      </c>
      <c r="L1440" s="2" t="str">
        <f ca="1">IFERROR(__xludf.DUMMYFUNCTION("""COMPUTED_VALUE""")," UT 84010")</f>
        <v xml:space="preserve"> UT 84010</v>
      </c>
      <c r="M1440" s="2" t="str">
        <f ca="1">IFERROR(__xludf.DUMMYFUNCTION("""COMPUTED_VALUE""")," USA")</f>
        <v xml:space="preserve"> USA</v>
      </c>
      <c r="P1440" s="60"/>
    </row>
    <row r="1441" spans="1:16">
      <c r="A1441" s="60">
        <v>1440</v>
      </c>
      <c r="B1441" s="79" t="s">
        <v>8579</v>
      </c>
      <c r="C1441" s="60" t="s">
        <v>69</v>
      </c>
      <c r="D1441" s="93" t="s">
        <v>670</v>
      </c>
      <c r="E1441" s="48" t="str">
        <f t="shared" si="0"/>
        <v>Birmingham</v>
      </c>
      <c r="F1441" s="83" t="str">
        <f t="shared" si="1"/>
        <v>Spain Park (Hoover),AL</v>
      </c>
      <c r="G1441" s="60" t="s">
        <v>8581</v>
      </c>
      <c r="H1441" s="60">
        <v>33.393072400000001</v>
      </c>
      <c r="I1441" s="60">
        <v>-86.725747299999995</v>
      </c>
      <c r="J1441" s="60" t="str">
        <f ca="1">IFERROR(__xludf.DUMMYFUNCTION("SPLIT(G1441,"","")"),"4700 Valleydale Rd")</f>
        <v>4700 Valleydale Rd</v>
      </c>
      <c r="K1441" s="2" t="str">
        <f ca="1">IFERROR(__xludf.DUMMYFUNCTION("""COMPUTED_VALUE""")," Birmingham")</f>
        <v xml:space="preserve"> Birmingham</v>
      </c>
      <c r="L1441" s="2" t="str">
        <f ca="1">IFERROR(__xludf.DUMMYFUNCTION("""COMPUTED_VALUE""")," AL 35242")</f>
        <v xml:space="preserve"> AL 35242</v>
      </c>
      <c r="M1441" s="2" t="str">
        <f ca="1">IFERROR(__xludf.DUMMYFUNCTION("""COMPUTED_VALUE""")," USA")</f>
        <v xml:space="preserve"> USA</v>
      </c>
      <c r="P1441" s="60"/>
    </row>
    <row r="1442" spans="1:16">
      <c r="A1442" s="65">
        <v>1441</v>
      </c>
      <c r="B1442" s="80" t="s">
        <v>8584</v>
      </c>
      <c r="C1442" s="65" t="s">
        <v>595</v>
      </c>
      <c r="D1442" s="93" t="s">
        <v>8585</v>
      </c>
      <c r="E1442" s="48" t="str">
        <f t="shared" si="0"/>
        <v>Clint</v>
      </c>
      <c r="F1442" s="83" t="str">
        <f t="shared" si="1"/>
        <v>Clint,TX</v>
      </c>
      <c r="G1442" s="65" t="s">
        <v>8586</v>
      </c>
      <c r="H1442" s="65">
        <v>31.592337000000001</v>
      </c>
      <c r="I1442" s="65">
        <v>-106.2241449</v>
      </c>
      <c r="J1442" s="60" t="str">
        <f ca="1">IFERROR(__xludf.DUMMYFUNCTION("SPLIT(G1442,"","")"),"813 FM1110")</f>
        <v>813 FM1110</v>
      </c>
      <c r="K1442" s="2" t="str">
        <f ca="1">IFERROR(__xludf.DUMMYFUNCTION("""COMPUTED_VALUE""")," Clint")</f>
        <v xml:space="preserve"> Clint</v>
      </c>
      <c r="L1442" s="2" t="str">
        <f ca="1">IFERROR(__xludf.DUMMYFUNCTION("""COMPUTED_VALUE""")," TX 79836")</f>
        <v xml:space="preserve"> TX 79836</v>
      </c>
      <c r="M1442" s="2" t="str">
        <f ca="1">IFERROR(__xludf.DUMMYFUNCTION("""COMPUTED_VALUE""")," USA")</f>
        <v xml:space="preserve"> USA</v>
      </c>
      <c r="P1442" s="60"/>
    </row>
    <row r="1443" spans="1:16">
      <c r="A1443" s="60">
        <v>1442</v>
      </c>
      <c r="B1443" s="79" t="s">
        <v>382</v>
      </c>
      <c r="C1443" s="60" t="s">
        <v>682</v>
      </c>
      <c r="D1443" s="93" t="s">
        <v>8589</v>
      </c>
      <c r="E1443" s="48" t="str">
        <f t="shared" si="0"/>
        <v>Prescott</v>
      </c>
      <c r="F1443" s="83" t="str">
        <f t="shared" si="1"/>
        <v>Prescott,WI</v>
      </c>
      <c r="G1443" s="60" t="s">
        <v>8591</v>
      </c>
      <c r="H1443" s="60">
        <v>44.748856500000002</v>
      </c>
      <c r="I1443" s="60">
        <v>-92.802147099999999</v>
      </c>
      <c r="J1443" s="60" t="str">
        <f ca="1">IFERROR(__xludf.DUMMYFUNCTION("SPLIT(G1443,"","")"),"w11598 US-10")</f>
        <v>w11598 US-10</v>
      </c>
      <c r="K1443" s="2" t="str">
        <f ca="1">IFERROR(__xludf.DUMMYFUNCTION("""COMPUTED_VALUE""")," Prescott")</f>
        <v xml:space="preserve"> Prescott</v>
      </c>
      <c r="L1443" s="2" t="str">
        <f ca="1">IFERROR(__xludf.DUMMYFUNCTION("""COMPUTED_VALUE""")," WI 54021")</f>
        <v xml:space="preserve"> WI 54021</v>
      </c>
      <c r="M1443" s="2" t="str">
        <f ca="1">IFERROR(__xludf.DUMMYFUNCTION("""COMPUTED_VALUE""")," USA")</f>
        <v xml:space="preserve"> USA</v>
      </c>
      <c r="P1443" s="60"/>
    </row>
    <row r="1444" spans="1:16">
      <c r="A1444" s="65">
        <v>1443</v>
      </c>
      <c r="B1444" s="80" t="s">
        <v>8593</v>
      </c>
      <c r="C1444" s="65" t="s">
        <v>136</v>
      </c>
      <c r="D1444" s="93" t="s">
        <v>8594</v>
      </c>
      <c r="E1444" s="48" t="str">
        <f t="shared" si="0"/>
        <v>Fort Walton Beach</v>
      </c>
      <c r="F1444" s="83" t="str">
        <f t="shared" si="1"/>
        <v>Choctawhatchee (Fort Walton Beach),FL</v>
      </c>
      <c r="G1444" s="65" t="s">
        <v>8597</v>
      </c>
      <c r="H1444" s="65">
        <v>30.4501721</v>
      </c>
      <c r="I1444" s="65">
        <v>-86.618489999999994</v>
      </c>
      <c r="J1444" s="60" t="str">
        <f ca="1">IFERROR(__xludf.DUMMYFUNCTION("SPLIT(G1444,"","")"),"110 Racetrack Rd NW")</f>
        <v>110 Racetrack Rd NW</v>
      </c>
      <c r="K1444" s="2" t="str">
        <f ca="1">IFERROR(__xludf.DUMMYFUNCTION("""COMPUTED_VALUE""")," Fort Walton Beach")</f>
        <v xml:space="preserve"> Fort Walton Beach</v>
      </c>
      <c r="L1444" s="2" t="str">
        <f ca="1">IFERROR(__xludf.DUMMYFUNCTION("""COMPUTED_VALUE""")," FL 32547")</f>
        <v xml:space="preserve"> FL 32547</v>
      </c>
      <c r="M1444" s="2" t="str">
        <f ca="1">IFERROR(__xludf.DUMMYFUNCTION("""COMPUTED_VALUE""")," USA")</f>
        <v xml:space="preserve"> USA</v>
      </c>
      <c r="P1444" s="60"/>
    </row>
    <row r="1445" spans="1:16">
      <c r="A1445" s="60">
        <v>1444</v>
      </c>
      <c r="B1445" s="79" t="s">
        <v>8601</v>
      </c>
      <c r="C1445" s="60" t="s">
        <v>737</v>
      </c>
      <c r="D1445" s="93" t="s">
        <v>8602</v>
      </c>
      <c r="E1445" s="48" t="str">
        <f t="shared" si="0"/>
        <v>Hackensack</v>
      </c>
      <c r="F1445" s="83" t="str">
        <f t="shared" si="1"/>
        <v>Hackensack,NJ</v>
      </c>
      <c r="G1445" s="60" t="s">
        <v>8604</v>
      </c>
      <c r="H1445" s="60">
        <v>40.885932500000003</v>
      </c>
      <c r="I1445" s="60">
        <v>-74.043473599999999</v>
      </c>
      <c r="J1445" s="60" t="str">
        <f ca="1">IFERROR(__xludf.DUMMYFUNCTION("SPLIT(G1445,"","")"),"236 State St")</f>
        <v>236 State St</v>
      </c>
      <c r="K1445" s="2" t="str">
        <f ca="1">IFERROR(__xludf.DUMMYFUNCTION("""COMPUTED_VALUE""")," Hackensack")</f>
        <v xml:space="preserve"> Hackensack</v>
      </c>
      <c r="L1445" s="2" t="str">
        <f ca="1">IFERROR(__xludf.DUMMYFUNCTION("""COMPUTED_VALUE""")," NJ 07601")</f>
        <v xml:space="preserve"> NJ 07601</v>
      </c>
      <c r="M1445" s="2" t="str">
        <f ca="1">IFERROR(__xludf.DUMMYFUNCTION("""COMPUTED_VALUE""")," USA")</f>
        <v xml:space="preserve"> USA</v>
      </c>
      <c r="P1445" s="60"/>
    </row>
    <row r="1446" spans="1:16">
      <c r="A1446" s="65">
        <v>1445</v>
      </c>
      <c r="B1446" s="80" t="s">
        <v>8610</v>
      </c>
      <c r="C1446" s="65" t="s">
        <v>174</v>
      </c>
      <c r="D1446" s="93" t="s">
        <v>8612</v>
      </c>
      <c r="E1446" s="48" t="str">
        <f t="shared" si="0"/>
        <v>Lyndhurst</v>
      </c>
      <c r="F1446" s="83" t="str">
        <f t="shared" si="1"/>
        <v>Brush (Lyndhurst),OH</v>
      </c>
      <c r="G1446" s="65" t="s">
        <v>8613</v>
      </c>
      <c r="H1446" s="65">
        <v>41.522032299999999</v>
      </c>
      <c r="I1446" s="65">
        <v>-81.505297200000001</v>
      </c>
      <c r="J1446" s="60" t="str">
        <f ca="1">IFERROR(__xludf.DUMMYFUNCTION("SPLIT(G1446,"","")"),"4875 Glenlyn Rd")</f>
        <v>4875 Glenlyn Rd</v>
      </c>
      <c r="K1446" s="2" t="str">
        <f ca="1">IFERROR(__xludf.DUMMYFUNCTION("""COMPUTED_VALUE""")," Lyndhurst")</f>
        <v xml:space="preserve"> Lyndhurst</v>
      </c>
      <c r="L1446" s="2" t="str">
        <f ca="1">IFERROR(__xludf.DUMMYFUNCTION("""COMPUTED_VALUE""")," OH 44124")</f>
        <v xml:space="preserve"> OH 44124</v>
      </c>
      <c r="M1446" s="2" t="str">
        <f ca="1">IFERROR(__xludf.DUMMYFUNCTION("""COMPUTED_VALUE""")," USA")</f>
        <v xml:space="preserve"> USA</v>
      </c>
      <c r="P1446" s="60"/>
    </row>
    <row r="1447" spans="1:16">
      <c r="A1447" s="60">
        <v>1446</v>
      </c>
      <c r="B1447" s="79" t="s">
        <v>6981</v>
      </c>
      <c r="C1447" s="60" t="s">
        <v>588</v>
      </c>
      <c r="D1447" s="93" t="s">
        <v>8619</v>
      </c>
      <c r="E1447" s="48" t="str">
        <f t="shared" si="0"/>
        <v>San Marcos</v>
      </c>
      <c r="F1447" s="83" t="str">
        <f t="shared" si="1"/>
        <v>San Marcos,CA</v>
      </c>
      <c r="G1447" s="60" t="s">
        <v>8620</v>
      </c>
      <c r="H1447" s="60">
        <v>33.143372300000003</v>
      </c>
      <c r="I1447" s="60">
        <v>-117.16614490000001</v>
      </c>
      <c r="J1447" s="60" t="str">
        <f ca="1">IFERROR(__xludf.DUMMYFUNCTION("SPLIT(G1447,"","")"),"298 Pico Ave")</f>
        <v>298 Pico Ave</v>
      </c>
      <c r="K1447" s="2" t="str">
        <f ca="1">IFERROR(__xludf.DUMMYFUNCTION("""COMPUTED_VALUE""")," San Marcos")</f>
        <v xml:space="preserve"> San Marcos</v>
      </c>
      <c r="L1447" s="2" t="str">
        <f ca="1">IFERROR(__xludf.DUMMYFUNCTION("""COMPUTED_VALUE""")," CA 92069")</f>
        <v xml:space="preserve"> CA 92069</v>
      </c>
      <c r="M1447" s="2" t="str">
        <f ca="1">IFERROR(__xludf.DUMMYFUNCTION("""COMPUTED_VALUE""")," USA")</f>
        <v xml:space="preserve"> USA</v>
      </c>
      <c r="P1447" s="60"/>
    </row>
    <row r="1448" spans="1:16">
      <c r="A1448" s="65">
        <v>1447</v>
      </c>
      <c r="B1448" s="80" t="s">
        <v>8623</v>
      </c>
      <c r="C1448" s="65" t="s">
        <v>602</v>
      </c>
      <c r="D1448" s="93" t="s">
        <v>8624</v>
      </c>
      <c r="E1448" s="48" t="str">
        <f t="shared" si="0"/>
        <v>Newport News</v>
      </c>
      <c r="F1448" s="83" t="str">
        <f t="shared" si="1"/>
        <v>Menchville (Newport News),VA</v>
      </c>
      <c r="G1448" s="65" t="s">
        <v>8626</v>
      </c>
      <c r="H1448" s="65">
        <v>37.087369000000002</v>
      </c>
      <c r="I1448" s="65">
        <v>-76.52800719999999</v>
      </c>
      <c r="J1448" s="60" t="str">
        <f ca="1">IFERROR(__xludf.DUMMYFUNCTION("SPLIT(G1448,"","")"),"364 Old Menchville Rd")</f>
        <v>364 Old Menchville Rd</v>
      </c>
      <c r="K1448" s="2" t="str">
        <f ca="1">IFERROR(__xludf.DUMMYFUNCTION("""COMPUTED_VALUE""")," Newport News")</f>
        <v xml:space="preserve"> Newport News</v>
      </c>
      <c r="L1448" s="2" t="str">
        <f ca="1">IFERROR(__xludf.DUMMYFUNCTION("""COMPUTED_VALUE""")," VA 23602")</f>
        <v xml:space="preserve"> VA 23602</v>
      </c>
      <c r="M1448" s="2" t="str">
        <f ca="1">IFERROR(__xludf.DUMMYFUNCTION("""COMPUTED_VALUE""")," USA")</f>
        <v xml:space="preserve"> USA</v>
      </c>
      <c r="P1448" s="60"/>
    </row>
    <row r="1449" spans="1:16">
      <c r="A1449" s="60">
        <v>1448</v>
      </c>
      <c r="B1449" s="79" t="s">
        <v>8630</v>
      </c>
      <c r="C1449" s="60" t="s">
        <v>179</v>
      </c>
      <c r="D1449" s="93" t="s">
        <v>8632</v>
      </c>
      <c r="E1449" s="48" t="str">
        <f t="shared" si="0"/>
        <v>Denver</v>
      </c>
      <c r="F1449" s="83" t="str">
        <f t="shared" si="1"/>
        <v>Lincoln Charter (Denver),NC</v>
      </c>
      <c r="G1449" s="60" t="s">
        <v>8634</v>
      </c>
      <c r="H1449" s="60">
        <v>35.486623199999997</v>
      </c>
      <c r="I1449" s="60">
        <v>-80.997725899999992</v>
      </c>
      <c r="J1449" s="60" t="str">
        <f ca="1">IFERROR(__xludf.DUMMYFUNCTION("SPLIT(G1449,"","")"),"7834 Galway Ln")</f>
        <v>7834 Galway Ln</v>
      </c>
      <c r="K1449" s="2" t="str">
        <f ca="1">IFERROR(__xludf.DUMMYFUNCTION("""COMPUTED_VALUE""")," Denver")</f>
        <v xml:space="preserve"> Denver</v>
      </c>
      <c r="L1449" s="2" t="str">
        <f ca="1">IFERROR(__xludf.DUMMYFUNCTION("""COMPUTED_VALUE""")," NC 28037")</f>
        <v xml:space="preserve"> NC 28037</v>
      </c>
      <c r="M1449" s="2" t="str">
        <f ca="1">IFERROR(__xludf.DUMMYFUNCTION("""COMPUTED_VALUE""")," USA")</f>
        <v xml:space="preserve"> USA</v>
      </c>
      <c r="P1449" s="60"/>
    </row>
    <row r="1450" spans="1:16">
      <c r="A1450" s="65">
        <v>1449</v>
      </c>
      <c r="B1450" s="80" t="s">
        <v>8637</v>
      </c>
      <c r="C1450" s="65" t="s">
        <v>1358</v>
      </c>
      <c r="D1450" s="93" t="s">
        <v>8638</v>
      </c>
      <c r="E1450" s="48" t="str">
        <f t="shared" si="0"/>
        <v>Beulah</v>
      </c>
      <c r="F1450" s="83" t="str">
        <f t="shared" si="1"/>
        <v>Beulah,ND</v>
      </c>
      <c r="G1450" s="65" t="s">
        <v>8639</v>
      </c>
      <c r="H1450" s="65">
        <v>47.263340300000003</v>
      </c>
      <c r="I1450" s="65">
        <v>-101.7779462</v>
      </c>
      <c r="J1450" s="60" t="str">
        <f ca="1">IFERROR(__xludf.DUMMYFUNCTION("SPLIT(G1450,"","")"),"109 Main St W")</f>
        <v>109 Main St W</v>
      </c>
      <c r="K1450" s="2" t="str">
        <f ca="1">IFERROR(__xludf.DUMMYFUNCTION("""COMPUTED_VALUE""")," Beulah")</f>
        <v xml:space="preserve"> Beulah</v>
      </c>
      <c r="L1450" s="2" t="str">
        <f ca="1">IFERROR(__xludf.DUMMYFUNCTION("""COMPUTED_VALUE""")," ND 58523")</f>
        <v xml:space="preserve"> ND 58523</v>
      </c>
      <c r="M1450" s="2" t="str">
        <f ca="1">IFERROR(__xludf.DUMMYFUNCTION("""COMPUTED_VALUE""")," USA")</f>
        <v xml:space="preserve"> USA</v>
      </c>
    </row>
    <row r="1451" spans="1:16">
      <c r="A1451" s="97">
        <v>1450</v>
      </c>
      <c r="B1451" s="99" t="s">
        <v>8644</v>
      </c>
      <c r="C1451" s="97" t="s">
        <v>901</v>
      </c>
      <c r="D1451" s="93" t="s">
        <v>8647</v>
      </c>
      <c r="E1451" s="48" t="str">
        <f t="shared" si="0"/>
        <v>Rosston</v>
      </c>
      <c r="F1451" s="83" t="str">
        <f t="shared" si="1"/>
        <v>Nevada (Rosston),AR</v>
      </c>
      <c r="G1451" s="97" t="s">
        <v>8648</v>
      </c>
      <c r="H1451" s="97">
        <v>33.592616700000001</v>
      </c>
      <c r="I1451" s="97">
        <v>-93.276558000000009</v>
      </c>
      <c r="J1451" s="60" t="str">
        <f ca="1">IFERROR(__xludf.DUMMYFUNCTION("SPLIT(G1451,"","")"),"5410 US-278")</f>
        <v>5410 US-278</v>
      </c>
      <c r="K1451" s="2" t="str">
        <f ca="1">IFERROR(__xludf.DUMMYFUNCTION("""COMPUTED_VALUE""")," Rosston")</f>
        <v xml:space="preserve"> Rosston</v>
      </c>
      <c r="L1451" s="2" t="str">
        <f ca="1">IFERROR(__xludf.DUMMYFUNCTION("""COMPUTED_VALUE""")," AR 71858")</f>
        <v xml:space="preserve"> AR 71858</v>
      </c>
      <c r="M1451" s="2" t="str">
        <f ca="1">IFERROR(__xludf.DUMMYFUNCTION("""COMPUTED_VALUE""")," USA")</f>
        <v xml:space="preserve"> USA</v>
      </c>
    </row>
    <row r="1452" spans="1:16">
      <c r="A1452" s="60">
        <v>1451</v>
      </c>
      <c r="B1452" s="79" t="s">
        <v>8652</v>
      </c>
      <c r="C1452" s="60" t="s">
        <v>940</v>
      </c>
      <c r="D1452" s="93" t="s">
        <v>8653</v>
      </c>
      <c r="E1452" s="48" t="str">
        <f t="shared" si="0"/>
        <v>North Bend</v>
      </c>
      <c r="F1452" s="83" t="str">
        <f t="shared" si="1"/>
        <v>North Bend Central (North Bend),NE</v>
      </c>
      <c r="G1452" s="60" t="s">
        <v>8654</v>
      </c>
      <c r="H1452" s="60">
        <v>41.4691647</v>
      </c>
      <c r="I1452" s="60">
        <v>-96.785991499999994</v>
      </c>
      <c r="J1452" s="60" t="str">
        <f ca="1">IFERROR(__xludf.DUMMYFUNCTION("SPLIT(G1452,"","")"),"1320 Walnut St")</f>
        <v>1320 Walnut St</v>
      </c>
      <c r="K1452" s="2" t="str">
        <f ca="1">IFERROR(__xludf.DUMMYFUNCTION("""COMPUTED_VALUE""")," North Bend")</f>
        <v xml:space="preserve"> North Bend</v>
      </c>
      <c r="L1452" s="2" t="str">
        <f ca="1">IFERROR(__xludf.DUMMYFUNCTION("""COMPUTED_VALUE""")," NE 68649")</f>
        <v xml:space="preserve"> NE 68649</v>
      </c>
      <c r="M1452" s="2" t="str">
        <f ca="1">IFERROR(__xludf.DUMMYFUNCTION("""COMPUTED_VALUE""")," USA")</f>
        <v xml:space="preserve"> USA</v>
      </c>
    </row>
    <row r="1453" spans="1:16">
      <c r="A1453" s="65">
        <v>1452</v>
      </c>
      <c r="B1453" s="80" t="s">
        <v>8659</v>
      </c>
      <c r="C1453" s="65" t="s">
        <v>881</v>
      </c>
      <c r="D1453" s="93" t="s">
        <v>8661</v>
      </c>
      <c r="E1453" s="48" t="str">
        <f t="shared" si="0"/>
        <v>Crestwood</v>
      </c>
      <c r="F1453" s="83" t="str">
        <f t="shared" si="1"/>
        <v>South Oldham (Crestwood),KY</v>
      </c>
      <c r="G1453" s="65" t="s">
        <v>8663</v>
      </c>
      <c r="H1453" s="65">
        <v>38.331907200000003</v>
      </c>
      <c r="I1453" s="65">
        <v>-85.469139200000001</v>
      </c>
      <c r="J1453" s="60" t="str">
        <f ca="1">IFERROR(__xludf.DUMMYFUNCTION("SPLIT(G1453,"","")"),"5901 Veterans Memorial Pkwy")</f>
        <v>5901 Veterans Memorial Pkwy</v>
      </c>
      <c r="K1453" s="2" t="str">
        <f ca="1">IFERROR(__xludf.DUMMYFUNCTION("""COMPUTED_VALUE""")," Crestwood")</f>
        <v xml:space="preserve"> Crestwood</v>
      </c>
      <c r="L1453" s="2" t="str">
        <f ca="1">IFERROR(__xludf.DUMMYFUNCTION("""COMPUTED_VALUE""")," KY 40014")</f>
        <v xml:space="preserve"> KY 40014</v>
      </c>
      <c r="M1453" s="2" t="str">
        <f ca="1">IFERROR(__xludf.DUMMYFUNCTION("""COMPUTED_VALUE""")," USA")</f>
        <v xml:space="preserve"> USA</v>
      </c>
    </row>
    <row r="1454" spans="1:16">
      <c r="A1454" s="60">
        <v>1453</v>
      </c>
      <c r="B1454" s="79" t="s">
        <v>8668</v>
      </c>
      <c r="C1454" s="60" t="s">
        <v>174</v>
      </c>
      <c r="D1454" s="93" t="s">
        <v>701</v>
      </c>
      <c r="E1454" s="48" t="str">
        <f t="shared" si="0"/>
        <v>Cincinnati</v>
      </c>
      <c r="F1454" s="83" t="str">
        <f t="shared" si="1"/>
        <v>Elder (Cincinnati),OH</v>
      </c>
      <c r="G1454" s="60" t="s">
        <v>8671</v>
      </c>
      <c r="H1454" s="60">
        <v>39.115187300000002</v>
      </c>
      <c r="I1454" s="60">
        <v>-84.519033399999998</v>
      </c>
      <c r="J1454" s="60" t="str">
        <f ca="1">IFERROR(__xludf.DUMMYFUNCTION("SPLIT(G1454,"","")"),"1801 Race St")</f>
        <v>1801 Race St</v>
      </c>
      <c r="K1454" s="2" t="str">
        <f ca="1">IFERROR(__xludf.DUMMYFUNCTION("""COMPUTED_VALUE""")," Cincinnati")</f>
        <v xml:space="preserve"> Cincinnati</v>
      </c>
      <c r="L1454" s="2" t="str">
        <f ca="1">IFERROR(__xludf.DUMMYFUNCTION("""COMPUTED_VALUE""")," OH 45202")</f>
        <v xml:space="preserve"> OH 45202</v>
      </c>
      <c r="M1454" s="2" t="str">
        <f ca="1">IFERROR(__xludf.DUMMYFUNCTION("""COMPUTED_VALUE""")," USA")</f>
        <v xml:space="preserve"> USA</v>
      </c>
    </row>
    <row r="1455" spans="1:16">
      <c r="A1455" s="65">
        <v>1454</v>
      </c>
      <c r="B1455" s="80" t="s">
        <v>416</v>
      </c>
      <c r="C1455" s="65" t="s">
        <v>608</v>
      </c>
      <c r="D1455" s="93" t="s">
        <v>1088</v>
      </c>
      <c r="E1455" s="48" t="str">
        <f t="shared" si="0"/>
        <v>Springfield</v>
      </c>
      <c r="F1455" s="83" t="str">
        <f t="shared" si="1"/>
        <v>Springfield,MN</v>
      </c>
      <c r="G1455" s="65" t="s">
        <v>8678</v>
      </c>
      <c r="H1455" s="65">
        <v>44.238827099999988</v>
      </c>
      <c r="I1455" s="65">
        <v>-94.97416539999999</v>
      </c>
      <c r="J1455" s="60" t="str">
        <f ca="1">IFERROR(__xludf.DUMMYFUNCTION("SPLIT(G1455,"","")"),"3 N Cass Ave")</f>
        <v>3 N Cass Ave</v>
      </c>
      <c r="K1455" s="2" t="str">
        <f ca="1">IFERROR(__xludf.DUMMYFUNCTION("""COMPUTED_VALUE""")," Springfield")</f>
        <v xml:space="preserve"> Springfield</v>
      </c>
      <c r="L1455" s="2" t="str">
        <f ca="1">IFERROR(__xludf.DUMMYFUNCTION("""COMPUTED_VALUE""")," MN 56087")</f>
        <v xml:space="preserve"> MN 56087</v>
      </c>
      <c r="M1455" s="2" t="str">
        <f ca="1">IFERROR(__xludf.DUMMYFUNCTION("""COMPUTED_VALUE""")," USA")</f>
        <v xml:space="preserve"> USA</v>
      </c>
    </row>
    <row r="1456" spans="1:16">
      <c r="A1456" s="60">
        <v>1455</v>
      </c>
      <c r="B1456" s="79" t="s">
        <v>8681</v>
      </c>
      <c r="C1456" s="60" t="s">
        <v>590</v>
      </c>
      <c r="D1456" s="93" t="s">
        <v>749</v>
      </c>
      <c r="E1456" s="48" t="str">
        <f t="shared" si="0"/>
        <v>Baltimore</v>
      </c>
      <c r="F1456" s="83" t="str">
        <f t="shared" si="1"/>
        <v>Gilman (Baltimore),MD</v>
      </c>
      <c r="G1456" s="60" t="s">
        <v>8684</v>
      </c>
      <c r="H1456" s="60">
        <v>39.360243800000013</v>
      </c>
      <c r="I1456" s="60">
        <v>-76.634067700000003</v>
      </c>
      <c r="J1456" s="60" t="str">
        <f ca="1">IFERROR(__xludf.DUMMYFUNCTION("SPLIT(G1456,"","")"),"5407 Roland Ave")</f>
        <v>5407 Roland Ave</v>
      </c>
      <c r="K1456" s="2" t="str">
        <f ca="1">IFERROR(__xludf.DUMMYFUNCTION("""COMPUTED_VALUE""")," Baltimore")</f>
        <v xml:space="preserve"> Baltimore</v>
      </c>
      <c r="L1456" s="2" t="str">
        <f ca="1">IFERROR(__xludf.DUMMYFUNCTION("""COMPUTED_VALUE""")," MD 21210")</f>
        <v xml:space="preserve"> MD 21210</v>
      </c>
      <c r="M1456" s="2" t="str">
        <f ca="1">IFERROR(__xludf.DUMMYFUNCTION("""COMPUTED_VALUE""")," USA")</f>
        <v xml:space="preserve"> USA</v>
      </c>
    </row>
    <row r="1457" spans="1:14">
      <c r="A1457" s="65">
        <v>1456</v>
      </c>
      <c r="B1457" s="80" t="s">
        <v>8687</v>
      </c>
      <c r="C1457" s="65" t="s">
        <v>881</v>
      </c>
      <c r="D1457" s="93" t="s">
        <v>8688</v>
      </c>
      <c r="E1457" s="48" t="str">
        <f t="shared" si="0"/>
        <v>Bowling Green</v>
      </c>
      <c r="F1457" s="83" t="str">
        <f t="shared" si="1"/>
        <v>Warren Central (Bowling Green),KY</v>
      </c>
      <c r="G1457" s="65" t="s">
        <v>8690</v>
      </c>
      <c r="H1457" s="65">
        <v>36.983379800000002</v>
      </c>
      <c r="I1457" s="65">
        <v>-86.471943299999992</v>
      </c>
      <c r="J1457" s="60" t="str">
        <f ca="1">IFERROR(__xludf.DUMMYFUNCTION("SPLIT(G1457,"","")"),"559 Morgantown Rd")</f>
        <v>559 Morgantown Rd</v>
      </c>
      <c r="K1457" s="2" t="str">
        <f ca="1">IFERROR(__xludf.DUMMYFUNCTION("""COMPUTED_VALUE""")," Bowling Green")</f>
        <v xml:space="preserve"> Bowling Green</v>
      </c>
      <c r="L1457" s="2" t="str">
        <f ca="1">IFERROR(__xludf.DUMMYFUNCTION("""COMPUTED_VALUE""")," KY 42101")</f>
        <v xml:space="preserve"> KY 42101</v>
      </c>
      <c r="M1457" s="2" t="str">
        <f ca="1">IFERROR(__xludf.DUMMYFUNCTION("""COMPUTED_VALUE""")," USA")</f>
        <v xml:space="preserve"> USA</v>
      </c>
    </row>
    <row r="1458" spans="1:14">
      <c r="A1458" s="60">
        <v>1457</v>
      </c>
      <c r="B1458" s="79" t="s">
        <v>8693</v>
      </c>
      <c r="C1458" s="60" t="s">
        <v>940</v>
      </c>
      <c r="D1458" s="93" t="s">
        <v>8695</v>
      </c>
      <c r="E1458" s="48" t="str">
        <f t="shared" si="0"/>
        <v>Firth</v>
      </c>
      <c r="F1458" s="83" t="str">
        <f t="shared" si="1"/>
        <v>Norris (Firth),NE</v>
      </c>
      <c r="G1458" s="60" t="s">
        <v>8696</v>
      </c>
      <c r="H1458" s="60">
        <v>40.563023000000001</v>
      </c>
      <c r="I1458" s="60">
        <v>-96.630302999999998</v>
      </c>
      <c r="J1458" s="60" t="str">
        <f ca="1">IFERROR(__xludf.DUMMYFUNCTION("SPLIT(G1458,"","")"),"25211 S 68th St")</f>
        <v>25211 S 68th St</v>
      </c>
      <c r="K1458" s="2" t="str">
        <f ca="1">IFERROR(__xludf.DUMMYFUNCTION("""COMPUTED_VALUE""")," Firth")</f>
        <v xml:space="preserve"> Firth</v>
      </c>
      <c r="L1458" s="2" t="str">
        <f ca="1">IFERROR(__xludf.DUMMYFUNCTION("""COMPUTED_VALUE""")," NE 68358")</f>
        <v xml:space="preserve"> NE 68358</v>
      </c>
      <c r="M1458" s="2" t="str">
        <f ca="1">IFERROR(__xludf.DUMMYFUNCTION("""COMPUTED_VALUE""")," USA")</f>
        <v xml:space="preserve"> USA</v>
      </c>
    </row>
    <row r="1459" spans="1:14">
      <c r="A1459" s="65">
        <v>1458</v>
      </c>
      <c r="B1459" s="80" t="s">
        <v>8700</v>
      </c>
      <c r="C1459" s="65" t="s">
        <v>897</v>
      </c>
      <c r="D1459" s="93" t="s">
        <v>2747</v>
      </c>
      <c r="E1459" s="48" t="str">
        <f t="shared" si="0"/>
        <v>Cape Girardeau</v>
      </c>
      <c r="F1459" s="83" t="str">
        <f t="shared" si="1"/>
        <v>Central (Cape Girardeau),MO</v>
      </c>
      <c r="G1459" s="65" t="s">
        <v>8702</v>
      </c>
      <c r="H1459" s="65">
        <v>37.276827500000003</v>
      </c>
      <c r="I1459" s="65">
        <v>-89.565235299999998</v>
      </c>
      <c r="J1459" s="60" t="str">
        <f ca="1">IFERROR(__xludf.DUMMYFUNCTION("SPLIT(G1459,"","")"),"8 S Silver Springs Rd")</f>
        <v>8 S Silver Springs Rd</v>
      </c>
      <c r="K1459" s="2" t="str">
        <f ca="1">IFERROR(__xludf.DUMMYFUNCTION("""COMPUTED_VALUE""")," Cape Girardeau")</f>
        <v xml:space="preserve"> Cape Girardeau</v>
      </c>
      <c r="L1459" s="2" t="str">
        <f ca="1">IFERROR(__xludf.DUMMYFUNCTION("""COMPUTED_VALUE""")," MO 63703")</f>
        <v xml:space="preserve"> MO 63703</v>
      </c>
      <c r="M1459" s="2" t="str">
        <f ca="1">IFERROR(__xludf.DUMMYFUNCTION("""COMPUTED_VALUE""")," USA")</f>
        <v xml:space="preserve"> USA</v>
      </c>
    </row>
    <row r="1460" spans="1:14">
      <c r="A1460" s="60">
        <v>1459</v>
      </c>
      <c r="B1460" s="79" t="s">
        <v>8706</v>
      </c>
      <c r="C1460" s="60" t="s">
        <v>588</v>
      </c>
      <c r="D1460" s="93" t="s">
        <v>663</v>
      </c>
      <c r="E1460" s="48" t="str">
        <f t="shared" si="0"/>
        <v>Lancaster</v>
      </c>
      <c r="F1460" s="83" t="str">
        <f t="shared" si="1"/>
        <v>Paraclete (Lancaster),CA</v>
      </c>
      <c r="G1460" s="60" t="s">
        <v>8712</v>
      </c>
      <c r="H1460" s="60">
        <v>34.648190300000003</v>
      </c>
      <c r="I1460" s="60">
        <v>-118.1838587</v>
      </c>
      <c r="J1460" s="60" t="str">
        <f ca="1">IFERROR(__xludf.DUMMYFUNCTION("SPLIT(G1460,"","")"),"42145 30th St W")</f>
        <v>42145 30th St W</v>
      </c>
      <c r="K1460" s="2" t="str">
        <f ca="1">IFERROR(__xludf.DUMMYFUNCTION("""COMPUTED_VALUE""")," Lancaster")</f>
        <v xml:space="preserve"> Lancaster</v>
      </c>
      <c r="L1460" s="2" t="str">
        <f ca="1">IFERROR(__xludf.DUMMYFUNCTION("""COMPUTED_VALUE""")," CA 93536")</f>
        <v xml:space="preserve"> CA 93536</v>
      </c>
      <c r="M1460" s="2" t="str">
        <f ca="1">IFERROR(__xludf.DUMMYFUNCTION("""COMPUTED_VALUE""")," USA")</f>
        <v xml:space="preserve"> USA</v>
      </c>
    </row>
    <row r="1461" spans="1:14">
      <c r="A1461" s="65">
        <v>1460</v>
      </c>
      <c r="B1461" s="80" t="s">
        <v>488</v>
      </c>
      <c r="C1461" s="65" t="s">
        <v>1370</v>
      </c>
      <c r="D1461" s="93" t="s">
        <v>1270</v>
      </c>
      <c r="E1461" s="48" t="str">
        <f t="shared" si="0"/>
        <v>Madison</v>
      </c>
      <c r="F1461" s="83" t="str">
        <f t="shared" si="1"/>
        <v>Madison,SD</v>
      </c>
      <c r="G1461" s="65" t="s">
        <v>8718</v>
      </c>
      <c r="H1461" s="65">
        <v>44.006084700000002</v>
      </c>
      <c r="I1461" s="65">
        <v>-97.113949599999998</v>
      </c>
      <c r="J1461" s="60" t="str">
        <f ca="1">IFERROR(__xludf.DUMMYFUNCTION("SPLIT(G1461,"","")"),"171 Egan Ave N")</f>
        <v>171 Egan Ave N</v>
      </c>
      <c r="K1461" s="2" t="str">
        <f ca="1">IFERROR(__xludf.DUMMYFUNCTION("""COMPUTED_VALUE""")," Madison")</f>
        <v xml:space="preserve"> Madison</v>
      </c>
      <c r="L1461" s="2" t="str">
        <f ca="1">IFERROR(__xludf.DUMMYFUNCTION("""COMPUTED_VALUE""")," SD 57042")</f>
        <v xml:space="preserve"> SD 57042</v>
      </c>
      <c r="M1461" s="2" t="str">
        <f ca="1">IFERROR(__xludf.DUMMYFUNCTION("""COMPUTED_VALUE""")," USA")</f>
        <v xml:space="preserve"> USA</v>
      </c>
    </row>
    <row r="1462" spans="1:14">
      <c r="A1462" s="60">
        <v>1461</v>
      </c>
      <c r="B1462" s="79" t="s">
        <v>8722</v>
      </c>
      <c r="C1462" s="60" t="s">
        <v>1325</v>
      </c>
      <c r="D1462" s="93" t="s">
        <v>8723</v>
      </c>
      <c r="E1462" s="48" t="str">
        <f t="shared" si="0"/>
        <v>West Hartford</v>
      </c>
      <c r="F1462" s="83" t="str">
        <f t="shared" si="1"/>
        <v>Northwest Catholic (West Hartford),CT</v>
      </c>
      <c r="G1462" s="60" t="s">
        <v>8724</v>
      </c>
      <c r="H1462" s="60">
        <v>41.799348999999999</v>
      </c>
      <c r="I1462" s="60">
        <v>-72.752471999999997</v>
      </c>
      <c r="J1462" s="60" t="str">
        <f ca="1">IFERROR(__xludf.DUMMYFUNCTION("SPLIT(G1462,"","")"),"29 Wampanoag Dr")</f>
        <v>29 Wampanoag Dr</v>
      </c>
      <c r="K1462" s="2" t="str">
        <f ca="1">IFERROR(__xludf.DUMMYFUNCTION("""COMPUTED_VALUE""")," West Hartford")</f>
        <v xml:space="preserve"> West Hartford</v>
      </c>
      <c r="L1462" s="2" t="str">
        <f ca="1">IFERROR(__xludf.DUMMYFUNCTION("""COMPUTED_VALUE""")," CT 06117")</f>
        <v xml:space="preserve"> CT 06117</v>
      </c>
      <c r="M1462" s="2" t="str">
        <f ca="1">IFERROR(__xludf.DUMMYFUNCTION("""COMPUTED_VALUE""")," USA")</f>
        <v xml:space="preserve"> USA</v>
      </c>
    </row>
    <row r="1463" spans="1:14">
      <c r="A1463" s="65">
        <v>1462</v>
      </c>
      <c r="B1463" s="80" t="s">
        <v>8726</v>
      </c>
      <c r="C1463" s="65" t="s">
        <v>1055</v>
      </c>
      <c r="D1463" s="50" t="s">
        <v>8728</v>
      </c>
      <c r="E1463" s="48" t="str">
        <f t="shared" si="0"/>
        <v>Choctaw</v>
      </c>
      <c r="F1463" s="83" t="str">
        <f t="shared" si="1"/>
        <v>Choctaw,OK</v>
      </c>
      <c r="G1463" s="65" t="s">
        <v>8729</v>
      </c>
      <c r="H1463" s="65">
        <v>35.497562500000001</v>
      </c>
      <c r="I1463" s="65">
        <v>-97.268921199999994</v>
      </c>
      <c r="J1463" s="60" t="str">
        <f ca="1">IFERROR(__xludf.DUMMYFUNCTION("SPLIT(G1463,"","")"),"#REF!")</f>
        <v>#REF!</v>
      </c>
      <c r="K1463" s="3" t="s">
        <v>8728</v>
      </c>
      <c r="L1463" s="2" t="s">
        <v>8728</v>
      </c>
      <c r="M1463" s="2" t="s">
        <v>8731</v>
      </c>
      <c r="N1463" s="2" t="s">
        <v>8732</v>
      </c>
    </row>
    <row r="1464" spans="1:14">
      <c r="A1464" s="60">
        <v>1463</v>
      </c>
      <c r="B1464" s="79" t="s">
        <v>8733</v>
      </c>
      <c r="C1464" s="60" t="s">
        <v>1366</v>
      </c>
      <c r="D1464" s="93" t="s">
        <v>8734</v>
      </c>
      <c r="E1464" s="48" t="str">
        <f t="shared" si="0"/>
        <v>Warwick</v>
      </c>
      <c r="F1464" s="83" t="str">
        <f t="shared" si="1"/>
        <v>Bishop Hendricken (Warwick),RI</v>
      </c>
      <c r="G1464" s="60" t="s">
        <v>8735</v>
      </c>
      <c r="H1464" s="60">
        <v>41.7056684</v>
      </c>
      <c r="I1464" s="60">
        <v>-71.396122399999996</v>
      </c>
      <c r="J1464" s="60" t="str">
        <f ca="1">IFERROR(__xludf.DUMMYFUNCTION("SPLIT(G1464,"","")"),"2615 Warwick Ave")</f>
        <v>2615 Warwick Ave</v>
      </c>
      <c r="K1464" s="2" t="str">
        <f ca="1">IFERROR(__xludf.DUMMYFUNCTION("""COMPUTED_VALUE""")," Warwick")</f>
        <v xml:space="preserve"> Warwick</v>
      </c>
      <c r="L1464" s="2" t="str">
        <f ca="1">IFERROR(__xludf.DUMMYFUNCTION("""COMPUTED_VALUE""")," RI 02889")</f>
        <v xml:space="preserve"> RI 02889</v>
      </c>
      <c r="M1464" s="2" t="str">
        <f ca="1">IFERROR(__xludf.DUMMYFUNCTION("""COMPUTED_VALUE""")," USA")</f>
        <v xml:space="preserve"> USA</v>
      </c>
    </row>
    <row r="1465" spans="1:14">
      <c r="A1465" s="65">
        <v>1464</v>
      </c>
      <c r="B1465" s="80" t="s">
        <v>7524</v>
      </c>
      <c r="C1465" s="65" t="s">
        <v>1325</v>
      </c>
      <c r="D1465" s="93" t="s">
        <v>8740</v>
      </c>
      <c r="E1465" s="48" t="str">
        <f t="shared" si="0"/>
        <v>Windsor</v>
      </c>
      <c r="F1465" s="83" t="str">
        <f t="shared" si="1"/>
        <v>Windsor,CT</v>
      </c>
      <c r="G1465" s="65" t="s">
        <v>8741</v>
      </c>
      <c r="H1465" s="65">
        <v>41.852598399999998</v>
      </c>
      <c r="I1465" s="65">
        <v>-72.643702199999993</v>
      </c>
      <c r="J1465" s="60" t="str">
        <f ca="1">IFERROR(__xludf.DUMMYFUNCTION("SPLIT(G1465,"","")"),"148 Broad St")</f>
        <v>148 Broad St</v>
      </c>
      <c r="K1465" s="2" t="str">
        <f ca="1">IFERROR(__xludf.DUMMYFUNCTION("""COMPUTED_VALUE""")," Windsor")</f>
        <v xml:space="preserve"> Windsor</v>
      </c>
      <c r="L1465" s="2" t="str">
        <f ca="1">IFERROR(__xludf.DUMMYFUNCTION("""COMPUTED_VALUE""")," CT 06095")</f>
        <v xml:space="preserve"> CT 06095</v>
      </c>
      <c r="M1465" s="2" t="str">
        <f ca="1">IFERROR(__xludf.DUMMYFUNCTION("""COMPUTED_VALUE""")," USA")</f>
        <v xml:space="preserve"> USA</v>
      </c>
    </row>
    <row r="1466" spans="1:14">
      <c r="A1466" s="60">
        <v>1465</v>
      </c>
      <c r="B1466" s="79" t="s">
        <v>8745</v>
      </c>
      <c r="C1466" s="60" t="s">
        <v>595</v>
      </c>
      <c r="D1466" s="93" t="s">
        <v>1448</v>
      </c>
      <c r="E1466" s="48" t="str">
        <f t="shared" si="0"/>
        <v>Houston</v>
      </c>
      <c r="F1466" s="83" t="str">
        <f t="shared" si="1"/>
        <v>Benjamin Davis (Houston),TX</v>
      </c>
      <c r="G1466" s="60" t="s">
        <v>8747</v>
      </c>
      <c r="H1466" s="60">
        <v>29.954538100000001</v>
      </c>
      <c r="I1466" s="60">
        <v>-95.433145199999998</v>
      </c>
      <c r="J1466" s="60" t="str">
        <f ca="1">IFERROR(__xludf.DUMMYFUNCTION("SPLIT(G1466,"","")"),"12525 Ella Blvd")</f>
        <v>12525 Ella Blvd</v>
      </c>
      <c r="K1466" s="2" t="str">
        <f ca="1">IFERROR(__xludf.DUMMYFUNCTION("""COMPUTED_VALUE""")," Houston")</f>
        <v xml:space="preserve"> Houston</v>
      </c>
      <c r="L1466" s="2" t="str">
        <f ca="1">IFERROR(__xludf.DUMMYFUNCTION("""COMPUTED_VALUE""")," TX 77067")</f>
        <v xml:space="preserve"> TX 77067</v>
      </c>
      <c r="M1466" s="2" t="str">
        <f ca="1">IFERROR(__xludf.DUMMYFUNCTION("""COMPUTED_VALUE""")," USA")</f>
        <v xml:space="preserve"> USA</v>
      </c>
    </row>
    <row r="1467" spans="1:14">
      <c r="A1467" s="65">
        <v>1466</v>
      </c>
      <c r="B1467" s="80" t="s">
        <v>8751</v>
      </c>
      <c r="C1467" s="65" t="s">
        <v>940</v>
      </c>
      <c r="D1467" s="93" t="s">
        <v>1479</v>
      </c>
      <c r="E1467" s="48" t="str">
        <f t="shared" si="0"/>
        <v>Lincoln</v>
      </c>
      <c r="F1467" s="83" t="str">
        <f t="shared" si="1"/>
        <v>Lincoln Christian (Lincoln),NE</v>
      </c>
      <c r="G1467" s="65" t="s">
        <v>8753</v>
      </c>
      <c r="H1467" s="65">
        <v>40.754165800000003</v>
      </c>
      <c r="I1467" s="65">
        <v>-96.607667800000002</v>
      </c>
      <c r="J1467" s="60" t="str">
        <f ca="1">IFERROR(__xludf.DUMMYFUNCTION("SPLIT(G1467,"","")"),"5801 S 84th St")</f>
        <v>5801 S 84th St</v>
      </c>
      <c r="K1467" s="2" t="str">
        <f ca="1">IFERROR(__xludf.DUMMYFUNCTION("""COMPUTED_VALUE""")," Lincoln")</f>
        <v xml:space="preserve"> Lincoln</v>
      </c>
      <c r="L1467" s="2" t="str">
        <f ca="1">IFERROR(__xludf.DUMMYFUNCTION("""COMPUTED_VALUE""")," NE 68516")</f>
        <v xml:space="preserve"> NE 68516</v>
      </c>
      <c r="M1467" s="2" t="str">
        <f ca="1">IFERROR(__xludf.DUMMYFUNCTION("""COMPUTED_VALUE""")," USA")</f>
        <v xml:space="preserve"> USA</v>
      </c>
    </row>
    <row r="1468" spans="1:14">
      <c r="A1468" s="60">
        <v>1467</v>
      </c>
      <c r="B1468" s="79" t="s">
        <v>8757</v>
      </c>
      <c r="C1468" s="60" t="s">
        <v>595</v>
      </c>
      <c r="D1468" s="50" t="s">
        <v>368</v>
      </c>
      <c r="E1468" s="48" t="str">
        <f t="shared" si="0"/>
        <v>Houston</v>
      </c>
      <c r="F1468" s="83" t="str">
        <f t="shared" si="1"/>
        <v>Cypress Creek (Houston),TX</v>
      </c>
      <c r="G1468" s="60" t="s">
        <v>29491</v>
      </c>
      <c r="H1468" s="60">
        <v>29.992322399999999</v>
      </c>
      <c r="I1468" s="60">
        <v>-95.490169299999991</v>
      </c>
      <c r="J1468" s="60" t="str">
        <f ca="1">IFERROR(__xludf.DUMMYFUNCTION("SPLIT(G1468,"","")"),"#REF!")</f>
        <v>#REF!</v>
      </c>
      <c r="K1468" s="3" t="s">
        <v>368</v>
      </c>
    </row>
    <row r="1469" spans="1:14">
      <c r="A1469" s="65">
        <v>1468</v>
      </c>
      <c r="B1469" s="80" t="s">
        <v>8763</v>
      </c>
      <c r="C1469" s="65" t="s">
        <v>588</v>
      </c>
      <c r="D1469" s="93" t="s">
        <v>2943</v>
      </c>
      <c r="E1469" s="48" t="str">
        <f t="shared" si="0"/>
        <v>Atherton</v>
      </c>
      <c r="F1469" s="83" t="str">
        <f t="shared" si="1"/>
        <v>Menlo School (Atherton),CA</v>
      </c>
      <c r="G1469" s="65" t="s">
        <v>8764</v>
      </c>
      <c r="H1469" s="65">
        <v>37.453262299999999</v>
      </c>
      <c r="I1469" s="65">
        <v>-122.1912193</v>
      </c>
      <c r="J1469" s="60" t="str">
        <f ca="1">IFERROR(__xludf.DUMMYFUNCTION("SPLIT(G1469,"","")"),"50 Valparaiso Ave")</f>
        <v>50 Valparaiso Ave</v>
      </c>
      <c r="K1469" s="2" t="str">
        <f ca="1">IFERROR(__xludf.DUMMYFUNCTION("""COMPUTED_VALUE""")," Atherton")</f>
        <v xml:space="preserve"> Atherton</v>
      </c>
      <c r="L1469" s="2" t="str">
        <f ca="1">IFERROR(__xludf.DUMMYFUNCTION("""COMPUTED_VALUE""")," CA 94027")</f>
        <v xml:space="preserve"> CA 94027</v>
      </c>
      <c r="M1469" s="2" t="str">
        <f ca="1">IFERROR(__xludf.DUMMYFUNCTION("""COMPUTED_VALUE""")," USA")</f>
        <v xml:space="preserve"> USA</v>
      </c>
    </row>
    <row r="1470" spans="1:14">
      <c r="A1470" s="60">
        <v>1469</v>
      </c>
      <c r="B1470" s="79" t="s">
        <v>8768</v>
      </c>
      <c r="C1470" s="60" t="s">
        <v>745</v>
      </c>
      <c r="D1470" s="93" t="s">
        <v>8769</v>
      </c>
      <c r="E1470" s="48" t="str">
        <f t="shared" si="0"/>
        <v>Marysville</v>
      </c>
      <c r="F1470" s="83" t="str">
        <f t="shared" si="1"/>
        <v>Marysville-Pilchuck (Marysville),WA</v>
      </c>
      <c r="G1470" s="60" t="s">
        <v>8770</v>
      </c>
      <c r="H1470" s="60">
        <v>48.0962113</v>
      </c>
      <c r="I1470" s="60">
        <v>-122.1545265</v>
      </c>
      <c r="J1470" s="60" t="str">
        <f ca="1">IFERROR(__xludf.DUMMYFUNCTION("SPLIT(G1470,"","")"),"5611 108th St NE")</f>
        <v>5611 108th St NE</v>
      </c>
      <c r="K1470" s="2" t="str">
        <f ca="1">IFERROR(__xludf.DUMMYFUNCTION("""COMPUTED_VALUE""")," Marysville")</f>
        <v xml:space="preserve"> Marysville</v>
      </c>
      <c r="L1470" s="2" t="str">
        <f ca="1">IFERROR(__xludf.DUMMYFUNCTION("""COMPUTED_VALUE""")," WA 98271")</f>
        <v xml:space="preserve"> WA 98271</v>
      </c>
      <c r="M1470" s="2" t="str">
        <f ca="1">IFERROR(__xludf.DUMMYFUNCTION("""COMPUTED_VALUE""")," USA")</f>
        <v xml:space="preserve"> USA</v>
      </c>
    </row>
    <row r="1471" spans="1:14">
      <c r="A1471" s="65">
        <v>1470</v>
      </c>
      <c r="B1471" s="80" t="s">
        <v>8774</v>
      </c>
      <c r="C1471" s="65" t="s">
        <v>1331</v>
      </c>
      <c r="D1471" s="93" t="s">
        <v>8776</v>
      </c>
      <c r="E1471" s="48" t="str">
        <f t="shared" si="0"/>
        <v>Lapwai</v>
      </c>
      <c r="F1471" s="83" t="str">
        <f t="shared" si="1"/>
        <v>Lapwai,ID</v>
      </c>
      <c r="G1471" s="65" t="s">
        <v>8777</v>
      </c>
      <c r="H1471" s="65">
        <v>46.404886500000003</v>
      </c>
      <c r="I1471" s="65">
        <v>-116.8048733</v>
      </c>
      <c r="J1471" s="60" t="str">
        <f ca="1">IFERROR(__xludf.DUMMYFUNCTION("SPLIT(G1471,"","")"),"102 S Main St")</f>
        <v>102 S Main St</v>
      </c>
      <c r="K1471" s="2" t="str">
        <f ca="1">IFERROR(__xludf.DUMMYFUNCTION("""COMPUTED_VALUE""")," Lapwai")</f>
        <v xml:space="preserve"> Lapwai</v>
      </c>
      <c r="L1471" s="2" t="str">
        <f ca="1">IFERROR(__xludf.DUMMYFUNCTION("""COMPUTED_VALUE""")," ID 83540")</f>
        <v xml:space="preserve"> ID 83540</v>
      </c>
      <c r="M1471" s="2" t="str">
        <f ca="1">IFERROR(__xludf.DUMMYFUNCTION("""COMPUTED_VALUE""")," USA")</f>
        <v xml:space="preserve"> USA</v>
      </c>
    </row>
    <row r="1472" spans="1:14">
      <c r="A1472" s="60">
        <v>1471</v>
      </c>
      <c r="B1472" s="79" t="s">
        <v>8780</v>
      </c>
      <c r="C1472" s="60" t="s">
        <v>71</v>
      </c>
      <c r="D1472" s="93" t="s">
        <v>2323</v>
      </c>
      <c r="E1472" s="48" t="str">
        <f t="shared" si="0"/>
        <v>Gilbert</v>
      </c>
      <c r="F1472" s="83" t="str">
        <f t="shared" si="1"/>
        <v>Highland (Gilbert),AZ</v>
      </c>
      <c r="G1472" s="60" t="s">
        <v>8783</v>
      </c>
      <c r="H1472" s="60">
        <v>33.363675100000002</v>
      </c>
      <c r="I1472" s="60">
        <v>-111.6980473</v>
      </c>
      <c r="J1472" s="60" t="str">
        <f ca="1">IFERROR(__xludf.DUMMYFUNCTION("SPLIT(G1472,"","")"),"4301 E Guadalupe Rd")</f>
        <v>4301 E Guadalupe Rd</v>
      </c>
      <c r="K1472" s="2" t="str">
        <f ca="1">IFERROR(__xludf.DUMMYFUNCTION("""COMPUTED_VALUE""")," Gilbert")</f>
        <v xml:space="preserve"> Gilbert</v>
      </c>
      <c r="L1472" s="2" t="str">
        <f ca="1">IFERROR(__xludf.DUMMYFUNCTION("""COMPUTED_VALUE""")," AZ 85234")</f>
        <v xml:space="preserve"> AZ 85234</v>
      </c>
      <c r="M1472" s="2" t="str">
        <f ca="1">IFERROR(__xludf.DUMMYFUNCTION("""COMPUTED_VALUE""")," USA")</f>
        <v xml:space="preserve"> USA</v>
      </c>
    </row>
    <row r="1473" spans="1:13">
      <c r="A1473" s="65">
        <v>1472</v>
      </c>
      <c r="B1473" s="80" t="s">
        <v>8786</v>
      </c>
      <c r="C1473" s="65" t="s">
        <v>595</v>
      </c>
      <c r="D1473" s="93" t="s">
        <v>8787</v>
      </c>
      <c r="E1473" s="48" t="str">
        <f t="shared" si="0"/>
        <v>Cibolo</v>
      </c>
      <c r="F1473" s="83" t="str">
        <f t="shared" si="1"/>
        <v>Steele (Cibolo),TX</v>
      </c>
      <c r="G1473" s="65" t="s">
        <v>8790</v>
      </c>
      <c r="H1473" s="65">
        <v>29.576390199999999</v>
      </c>
      <c r="I1473" s="65">
        <v>-98.21595769999999</v>
      </c>
      <c r="J1473" s="60" t="str">
        <f ca="1">IFERROR(__xludf.DUMMYFUNCTION("SPLIT(G1473,"","")"),"1300 FM1103")</f>
        <v>1300 FM1103</v>
      </c>
      <c r="K1473" s="2" t="str">
        <f ca="1">IFERROR(__xludf.DUMMYFUNCTION("""COMPUTED_VALUE""")," Cibolo")</f>
        <v xml:space="preserve"> Cibolo</v>
      </c>
      <c r="L1473" s="2" t="str">
        <f ca="1">IFERROR(__xludf.DUMMYFUNCTION("""COMPUTED_VALUE""")," TX 78108")</f>
        <v xml:space="preserve"> TX 78108</v>
      </c>
      <c r="M1473" s="2" t="str">
        <f ca="1">IFERROR(__xludf.DUMMYFUNCTION("""COMPUTED_VALUE""")," USA")</f>
        <v xml:space="preserve"> USA</v>
      </c>
    </row>
    <row r="1474" spans="1:13">
      <c r="A1474" s="60">
        <v>1473</v>
      </c>
      <c r="B1474" s="79" t="s">
        <v>8793</v>
      </c>
      <c r="C1474" s="60" t="s">
        <v>588</v>
      </c>
      <c r="D1474" s="93" t="s">
        <v>8794</v>
      </c>
      <c r="E1474" s="48" t="str">
        <f t="shared" si="0"/>
        <v>Santa Barbara</v>
      </c>
      <c r="F1474" s="83" t="str">
        <f t="shared" si="1"/>
        <v>San Marcos (Santa Barbara),CA</v>
      </c>
      <c r="G1474" s="60" t="s">
        <v>8796</v>
      </c>
      <c r="H1474" s="60">
        <v>34.437551200000001</v>
      </c>
      <c r="I1474" s="60">
        <v>-119.7871595</v>
      </c>
      <c r="J1474" s="60" t="str">
        <f ca="1">IFERROR(__xludf.DUMMYFUNCTION("SPLIT(G1474,"","")"),"4750 Hollister Ave")</f>
        <v>4750 Hollister Ave</v>
      </c>
      <c r="K1474" s="2" t="str">
        <f ca="1">IFERROR(__xludf.DUMMYFUNCTION("""COMPUTED_VALUE""")," Santa Barbara")</f>
        <v xml:space="preserve"> Santa Barbara</v>
      </c>
      <c r="L1474" s="2" t="str">
        <f ca="1">IFERROR(__xludf.DUMMYFUNCTION("""COMPUTED_VALUE""")," CA 93110")</f>
        <v xml:space="preserve"> CA 93110</v>
      </c>
      <c r="M1474" s="2" t="str">
        <f ca="1">IFERROR(__xludf.DUMMYFUNCTION("""COMPUTED_VALUE""")," USA")</f>
        <v xml:space="preserve"> USA</v>
      </c>
    </row>
    <row r="1475" spans="1:13">
      <c r="A1475" s="65">
        <v>1474</v>
      </c>
      <c r="B1475" s="80" t="s">
        <v>8800</v>
      </c>
      <c r="C1475" s="65" t="s">
        <v>179</v>
      </c>
      <c r="D1475" s="93" t="s">
        <v>8801</v>
      </c>
      <c r="E1475" s="48" t="str">
        <f t="shared" si="0"/>
        <v>Swannanoa</v>
      </c>
      <c r="F1475" s="83" t="str">
        <f t="shared" si="1"/>
        <v>Asheville Christian Academy (Swannanoa),NC</v>
      </c>
      <c r="G1475" s="65" t="s">
        <v>8802</v>
      </c>
      <c r="H1475" s="65">
        <v>35.604585999999998</v>
      </c>
      <c r="I1475" s="65">
        <v>-82.409981000000002</v>
      </c>
      <c r="J1475" s="60" t="str">
        <f ca="1">IFERROR(__xludf.DUMMYFUNCTION("SPLIT(G1475,"","")"),"74 Riverwood Rd")</f>
        <v>74 Riverwood Rd</v>
      </c>
      <c r="K1475" s="2" t="str">
        <f ca="1">IFERROR(__xludf.DUMMYFUNCTION("""COMPUTED_VALUE""")," Swannanoa")</f>
        <v xml:space="preserve"> Swannanoa</v>
      </c>
      <c r="L1475" s="2" t="str">
        <f ca="1">IFERROR(__xludf.DUMMYFUNCTION("""COMPUTED_VALUE""")," NC 28778")</f>
        <v xml:space="preserve"> NC 28778</v>
      </c>
      <c r="M1475" s="2" t="str">
        <f ca="1">IFERROR(__xludf.DUMMYFUNCTION("""COMPUTED_VALUE""")," USA")</f>
        <v xml:space="preserve"> USA</v>
      </c>
    </row>
    <row r="1476" spans="1:13">
      <c r="A1476" s="97">
        <v>1475</v>
      </c>
      <c r="B1476" s="99" t="s">
        <v>8805</v>
      </c>
      <c r="C1476" s="97" t="s">
        <v>595</v>
      </c>
      <c r="D1476" s="93" t="s">
        <v>2998</v>
      </c>
      <c r="E1476" s="48" t="str">
        <f t="shared" si="0"/>
        <v>Mansfield</v>
      </c>
      <c r="F1476" s="83" t="str">
        <f t="shared" si="1"/>
        <v>North Texas United (Mansfield),TX</v>
      </c>
      <c r="G1476" s="97" t="s">
        <v>8807</v>
      </c>
      <c r="H1476" s="97">
        <v>32.563192399999998</v>
      </c>
      <c r="I1476" s="97">
        <v>-97.141676799999999</v>
      </c>
      <c r="J1476" s="60" t="str">
        <f ca="1">IFERROR(__xludf.DUMMYFUNCTION("SPLIT(G1476,"","")"),"100 E Broad St")</f>
        <v>100 E Broad St</v>
      </c>
      <c r="K1476" s="2" t="str">
        <f ca="1">IFERROR(__xludf.DUMMYFUNCTION("""COMPUTED_VALUE""")," Mansfield")</f>
        <v xml:space="preserve"> Mansfield</v>
      </c>
      <c r="L1476" s="2" t="str">
        <f ca="1">IFERROR(__xludf.DUMMYFUNCTION("""COMPUTED_VALUE""")," TX 76063")</f>
        <v xml:space="preserve"> TX 76063</v>
      </c>
      <c r="M1476" s="2" t="str">
        <f ca="1">IFERROR(__xludf.DUMMYFUNCTION("""COMPUTED_VALUE""")," USA")</f>
        <v xml:space="preserve"> USA</v>
      </c>
    </row>
    <row r="1477" spans="1:13">
      <c r="A1477" s="60">
        <v>1476</v>
      </c>
      <c r="B1477" s="79" t="s">
        <v>8811</v>
      </c>
      <c r="C1477" s="60" t="s">
        <v>595</v>
      </c>
      <c r="D1477" s="93" t="s">
        <v>3416</v>
      </c>
      <c r="E1477" s="48" t="str">
        <f t="shared" si="0"/>
        <v>Frisco</v>
      </c>
      <c r="F1477" s="83" t="str">
        <f t="shared" si="1"/>
        <v>Centennial (Frisco),TX</v>
      </c>
      <c r="G1477" s="60" t="s">
        <v>8813</v>
      </c>
      <c r="H1477" s="60">
        <v>33.136330000000001</v>
      </c>
      <c r="I1477" s="60">
        <v>-96.768729999999991</v>
      </c>
      <c r="J1477" s="60" t="str">
        <f ca="1">IFERROR(__xludf.DUMMYFUNCTION("SPLIT(G1477,"","")"),"6901 Coit Rd")</f>
        <v>6901 Coit Rd</v>
      </c>
      <c r="K1477" s="2" t="str">
        <f ca="1">IFERROR(__xludf.DUMMYFUNCTION("""COMPUTED_VALUE""")," Frisco")</f>
        <v xml:space="preserve"> Frisco</v>
      </c>
      <c r="L1477" s="2" t="str">
        <f ca="1">IFERROR(__xludf.DUMMYFUNCTION("""COMPUTED_VALUE""")," TX 75035")</f>
        <v xml:space="preserve"> TX 75035</v>
      </c>
      <c r="M1477" s="2" t="str">
        <f ca="1">IFERROR(__xludf.DUMMYFUNCTION("""COMPUTED_VALUE""")," USA")</f>
        <v xml:space="preserve"> USA</v>
      </c>
    </row>
    <row r="1478" spans="1:13">
      <c r="A1478" s="65">
        <v>1477</v>
      </c>
      <c r="B1478" s="80" t="s">
        <v>8815</v>
      </c>
      <c r="C1478" s="65" t="s">
        <v>179</v>
      </c>
      <c r="D1478" s="93" t="s">
        <v>8817</v>
      </c>
      <c r="E1478" s="48" t="str">
        <f t="shared" si="0"/>
        <v>King</v>
      </c>
      <c r="F1478" s="83" t="str">
        <f t="shared" si="1"/>
        <v>West Stokes (King),NC</v>
      </c>
      <c r="G1478" s="65" t="s">
        <v>8819</v>
      </c>
      <c r="H1478" s="65">
        <v>36.3135172</v>
      </c>
      <c r="I1478" s="65">
        <v>-80.375992499999995</v>
      </c>
      <c r="J1478" s="60" t="str">
        <f ca="1">IFERROR(__xludf.DUMMYFUNCTION("SPLIT(G1478,"","")"),"1400 Priddy Rd")</f>
        <v>1400 Priddy Rd</v>
      </c>
      <c r="K1478" s="2" t="str">
        <f ca="1">IFERROR(__xludf.DUMMYFUNCTION("""COMPUTED_VALUE""")," King")</f>
        <v xml:space="preserve"> King</v>
      </c>
      <c r="L1478" s="2" t="str">
        <f ca="1">IFERROR(__xludf.DUMMYFUNCTION("""COMPUTED_VALUE""")," NC 27021")</f>
        <v xml:space="preserve"> NC 27021</v>
      </c>
      <c r="M1478" s="2" t="str">
        <f ca="1">IFERROR(__xludf.DUMMYFUNCTION("""COMPUTED_VALUE""")," USA")</f>
        <v xml:space="preserve"> USA</v>
      </c>
    </row>
    <row r="1479" spans="1:13">
      <c r="A1479" s="60">
        <v>1478</v>
      </c>
      <c r="B1479" s="79" t="s">
        <v>8821</v>
      </c>
      <c r="C1479" s="60" t="s">
        <v>588</v>
      </c>
      <c r="D1479" s="93" t="s">
        <v>8822</v>
      </c>
      <c r="E1479" s="48" t="str">
        <f t="shared" si="0"/>
        <v>Hacienda Heights</v>
      </c>
      <c r="F1479" s="83" t="str">
        <f t="shared" si="1"/>
        <v>Los Altos (Hacienda Heights),CA</v>
      </c>
      <c r="G1479" s="60" t="s">
        <v>8824</v>
      </c>
      <c r="H1479" s="60">
        <v>34.007751900000002</v>
      </c>
      <c r="I1479" s="60">
        <v>-117.977114</v>
      </c>
      <c r="J1479" s="60" t="str">
        <f ca="1">IFERROR(__xludf.DUMMYFUNCTION("SPLIT(G1479,"","")"),"15325 Los Robles Ave")</f>
        <v>15325 Los Robles Ave</v>
      </c>
      <c r="K1479" s="2" t="str">
        <f ca="1">IFERROR(__xludf.DUMMYFUNCTION("""COMPUTED_VALUE""")," Hacienda Heights")</f>
        <v xml:space="preserve"> Hacienda Heights</v>
      </c>
      <c r="L1479" s="2" t="str">
        <f ca="1">IFERROR(__xludf.DUMMYFUNCTION("""COMPUTED_VALUE""")," CA 91745")</f>
        <v xml:space="preserve"> CA 91745</v>
      </c>
      <c r="M1479" s="2" t="str">
        <f ca="1">IFERROR(__xludf.DUMMYFUNCTION("""COMPUTED_VALUE""")," USA")</f>
        <v xml:space="preserve"> USA</v>
      </c>
    </row>
    <row r="1480" spans="1:13">
      <c r="A1480" s="65">
        <v>1479</v>
      </c>
      <c r="B1480" s="80" t="s">
        <v>5573</v>
      </c>
      <c r="C1480" s="65" t="s">
        <v>588</v>
      </c>
      <c r="D1480" s="93" t="s">
        <v>8829</v>
      </c>
      <c r="E1480" s="48" t="str">
        <f t="shared" si="0"/>
        <v>Los Alamitos</v>
      </c>
      <c r="F1480" s="83" t="str">
        <f t="shared" si="1"/>
        <v>Los Alamitos,CA</v>
      </c>
      <c r="G1480" s="65" t="s">
        <v>8830</v>
      </c>
      <c r="H1480" s="65">
        <v>33.8032009</v>
      </c>
      <c r="I1480" s="65">
        <v>-118.0718894</v>
      </c>
      <c r="J1480" s="60" t="str">
        <f ca="1">IFERROR(__xludf.DUMMYFUNCTION("SPLIT(G1480,"","")"),"Katella-Los Alamitos")</f>
        <v>Katella-Los Alamitos</v>
      </c>
      <c r="K1480" s="2" t="str">
        <f ca="1">IFERROR(__xludf.DUMMYFUNCTION("""COMPUTED_VALUE""")," Los Alamitos")</f>
        <v xml:space="preserve"> Los Alamitos</v>
      </c>
      <c r="L1480" s="2" t="str">
        <f ca="1">IFERROR(__xludf.DUMMYFUNCTION("""COMPUTED_VALUE""")," CA 90720")</f>
        <v xml:space="preserve"> CA 90720</v>
      </c>
      <c r="M1480" s="2" t="str">
        <f ca="1">IFERROR(__xludf.DUMMYFUNCTION("""COMPUTED_VALUE""")," USA")</f>
        <v xml:space="preserve"> USA</v>
      </c>
    </row>
    <row r="1481" spans="1:13">
      <c r="A1481" s="60">
        <v>1480</v>
      </c>
      <c r="B1481" s="79" t="s">
        <v>8833</v>
      </c>
      <c r="C1481" s="60" t="s">
        <v>588</v>
      </c>
      <c r="D1481" s="93" t="s">
        <v>1348</v>
      </c>
      <c r="E1481" s="48" t="str">
        <f t="shared" si="0"/>
        <v>Long Beach</v>
      </c>
      <c r="F1481" s="83" t="str">
        <f t="shared" si="1"/>
        <v>Long Beach Poly (Long Beach),CA</v>
      </c>
      <c r="G1481" s="60" t="s">
        <v>8835</v>
      </c>
      <c r="H1481" s="60">
        <v>33.786804500000002</v>
      </c>
      <c r="I1481" s="60">
        <v>-118.18293629999999</v>
      </c>
      <c r="J1481" s="60" t="str">
        <f ca="1">IFERROR(__xludf.DUMMYFUNCTION("SPLIT(G1481,"","")"),"1600 Atlantic Ave")</f>
        <v>1600 Atlantic Ave</v>
      </c>
      <c r="K1481" s="2" t="str">
        <f ca="1">IFERROR(__xludf.DUMMYFUNCTION("""COMPUTED_VALUE""")," Long Beach")</f>
        <v xml:space="preserve"> Long Beach</v>
      </c>
      <c r="L1481" s="2" t="str">
        <f ca="1">IFERROR(__xludf.DUMMYFUNCTION("""COMPUTED_VALUE""")," CA 90813")</f>
        <v xml:space="preserve"> CA 90813</v>
      </c>
      <c r="M1481" s="2" t="str">
        <f ca="1">IFERROR(__xludf.DUMMYFUNCTION("""COMPUTED_VALUE""")," USA")</f>
        <v xml:space="preserve"> USA</v>
      </c>
    </row>
    <row r="1482" spans="1:13">
      <c r="A1482" s="65">
        <v>1481</v>
      </c>
      <c r="B1482" s="80" t="s">
        <v>8838</v>
      </c>
      <c r="C1482" s="65" t="s">
        <v>595</v>
      </c>
      <c r="D1482" s="93" t="s">
        <v>1109</v>
      </c>
      <c r="E1482" s="48" t="str">
        <f t="shared" si="0"/>
        <v>Arlington</v>
      </c>
      <c r="F1482" s="83" t="str">
        <f t="shared" si="1"/>
        <v>Oakridge (Arlington),TX</v>
      </c>
      <c r="G1482" s="65" t="s">
        <v>8839</v>
      </c>
      <c r="H1482" s="65">
        <v>32.723717000000001</v>
      </c>
      <c r="I1482" s="65">
        <v>-97.194206999999992</v>
      </c>
      <c r="J1482" s="60" t="str">
        <f ca="1">IFERROR(__xludf.DUMMYFUNCTION("SPLIT(G1482,"","")"),"5900 W Pioneer Pkwy")</f>
        <v>5900 W Pioneer Pkwy</v>
      </c>
      <c r="K1482" s="2" t="str">
        <f ca="1">IFERROR(__xludf.DUMMYFUNCTION("""COMPUTED_VALUE""")," Arlington")</f>
        <v xml:space="preserve"> Arlington</v>
      </c>
      <c r="L1482" s="2" t="str">
        <f ca="1">IFERROR(__xludf.DUMMYFUNCTION("""COMPUTED_VALUE""")," TX 76013")</f>
        <v xml:space="preserve"> TX 76013</v>
      </c>
      <c r="M1482" s="2" t="str">
        <f ca="1">IFERROR(__xludf.DUMMYFUNCTION("""COMPUTED_VALUE""")," USA")</f>
        <v xml:space="preserve"> USA</v>
      </c>
    </row>
    <row r="1483" spans="1:13">
      <c r="A1483" s="60">
        <v>1482</v>
      </c>
      <c r="B1483" s="79" t="s">
        <v>8843</v>
      </c>
      <c r="C1483" s="60" t="s">
        <v>595</v>
      </c>
      <c r="D1483" s="93" t="s">
        <v>1448</v>
      </c>
      <c r="E1483" s="48" t="str">
        <f t="shared" si="0"/>
        <v>Houston</v>
      </c>
      <c r="F1483" s="83" t="str">
        <f t="shared" si="1"/>
        <v>Westbury Christian (Houston),TX</v>
      </c>
      <c r="G1483" s="60" t="s">
        <v>8846</v>
      </c>
      <c r="H1483" s="60">
        <v>29.667645700000001</v>
      </c>
      <c r="I1483" s="60">
        <v>-95.493174400000001</v>
      </c>
      <c r="J1483" s="60" t="str">
        <f ca="1">IFERROR(__xludf.DUMMYFUNCTION("SPLIT(G1483,"","")"),"10424 Hillcroft St")</f>
        <v>10424 Hillcroft St</v>
      </c>
      <c r="K1483" s="2" t="str">
        <f ca="1">IFERROR(__xludf.DUMMYFUNCTION("""COMPUTED_VALUE""")," Houston")</f>
        <v xml:space="preserve"> Houston</v>
      </c>
      <c r="L1483" s="2" t="str">
        <f ca="1">IFERROR(__xludf.DUMMYFUNCTION("""COMPUTED_VALUE""")," TX 77096")</f>
        <v xml:space="preserve"> TX 77096</v>
      </c>
      <c r="M1483" s="2" t="str">
        <f ca="1">IFERROR(__xludf.DUMMYFUNCTION("""COMPUTED_VALUE""")," USA")</f>
        <v xml:space="preserve"> USA</v>
      </c>
    </row>
    <row r="1484" spans="1:13">
      <c r="A1484" s="65">
        <v>1483</v>
      </c>
      <c r="B1484" s="80" t="s">
        <v>8848</v>
      </c>
      <c r="C1484" s="65" t="s">
        <v>1055</v>
      </c>
      <c r="D1484" s="93" t="s">
        <v>8849</v>
      </c>
      <c r="E1484" s="48" t="str">
        <f t="shared" si="0"/>
        <v>Garber</v>
      </c>
      <c r="F1484" s="83" t="str">
        <f t="shared" si="1"/>
        <v>Garber,OK</v>
      </c>
      <c r="G1484" s="65" t="s">
        <v>8852</v>
      </c>
      <c r="H1484" s="65">
        <v>36.436978600000003</v>
      </c>
      <c r="I1484" s="65">
        <v>-97.585605300000012</v>
      </c>
      <c r="J1484" s="60" t="str">
        <f ca="1">IFERROR(__xludf.DUMMYFUNCTION("SPLIT(G1484,"","")"),"501 Cheyenne St")</f>
        <v>501 Cheyenne St</v>
      </c>
      <c r="K1484" s="2" t="str">
        <f ca="1">IFERROR(__xludf.DUMMYFUNCTION("""COMPUTED_VALUE""")," Garber")</f>
        <v xml:space="preserve"> Garber</v>
      </c>
      <c r="L1484" s="2" t="str">
        <f ca="1">IFERROR(__xludf.DUMMYFUNCTION("""COMPUTED_VALUE""")," OK 73738")</f>
        <v xml:space="preserve"> OK 73738</v>
      </c>
      <c r="M1484" s="2" t="str">
        <f ca="1">IFERROR(__xludf.DUMMYFUNCTION("""COMPUTED_VALUE""")," USA")</f>
        <v xml:space="preserve"> USA</v>
      </c>
    </row>
    <row r="1485" spans="1:13">
      <c r="A1485" s="60">
        <v>1484</v>
      </c>
      <c r="B1485" s="79" t="s">
        <v>8854</v>
      </c>
      <c r="C1485" s="60" t="s">
        <v>693</v>
      </c>
      <c r="D1485" s="93" t="s">
        <v>8855</v>
      </c>
      <c r="E1485" s="48" t="str">
        <f t="shared" si="0"/>
        <v>Tupelo</v>
      </c>
      <c r="F1485" s="83" t="str">
        <f t="shared" si="1"/>
        <v>Tupelo,MS</v>
      </c>
      <c r="G1485" s="60" t="s">
        <v>8856</v>
      </c>
      <c r="H1485" s="60">
        <v>34.257606600000003</v>
      </c>
      <c r="I1485" s="60">
        <v>-88.703385900000001</v>
      </c>
      <c r="J1485" s="60" t="str">
        <f ca="1">IFERROR(__xludf.DUMMYFUNCTION("SPLIT(G1485,"","")"),"110 MS-6")</f>
        <v>110 MS-6</v>
      </c>
      <c r="K1485" s="2" t="str">
        <f ca="1">IFERROR(__xludf.DUMMYFUNCTION("""COMPUTED_VALUE""")," Tupelo")</f>
        <v xml:space="preserve"> Tupelo</v>
      </c>
      <c r="L1485" s="2" t="str">
        <f ca="1">IFERROR(__xludf.DUMMYFUNCTION("""COMPUTED_VALUE""")," MS 38801")</f>
        <v xml:space="preserve"> MS 38801</v>
      </c>
      <c r="M1485" s="2" t="str">
        <f ca="1">IFERROR(__xludf.DUMMYFUNCTION("""COMPUTED_VALUE""")," USA")</f>
        <v xml:space="preserve"> USA</v>
      </c>
    </row>
    <row r="1486" spans="1:13">
      <c r="A1486" s="65">
        <v>1485</v>
      </c>
      <c r="B1486" s="80" t="s">
        <v>8859</v>
      </c>
      <c r="C1486" s="65" t="s">
        <v>588</v>
      </c>
      <c r="D1486" s="93" t="s">
        <v>8860</v>
      </c>
      <c r="E1486" s="48" t="str">
        <f t="shared" si="0"/>
        <v>Corona Del Mar</v>
      </c>
      <c r="F1486" s="83" t="str">
        <f t="shared" si="1"/>
        <v>Newport Harbor (Newport Beach),CA</v>
      </c>
      <c r="G1486" s="65" t="s">
        <v>8861</v>
      </c>
      <c r="H1486" s="65">
        <v>33.603230600000003</v>
      </c>
      <c r="I1486" s="65">
        <v>-117.88344480000001</v>
      </c>
      <c r="J1486" s="60" t="str">
        <f ca="1">IFERROR(__xludf.DUMMYFUNCTION("SPLIT(G1486,"","")"),"1901 Bayside Dr")</f>
        <v>1901 Bayside Dr</v>
      </c>
      <c r="K1486" s="2" t="str">
        <f ca="1">IFERROR(__xludf.DUMMYFUNCTION("""COMPUTED_VALUE""")," Corona Del Mar")</f>
        <v xml:space="preserve"> Corona Del Mar</v>
      </c>
      <c r="L1486" s="2" t="str">
        <f ca="1">IFERROR(__xludf.DUMMYFUNCTION("""COMPUTED_VALUE""")," CA 92625")</f>
        <v xml:space="preserve"> CA 92625</v>
      </c>
      <c r="M1486" s="2" t="str">
        <f ca="1">IFERROR(__xludf.DUMMYFUNCTION("""COMPUTED_VALUE""")," USA")</f>
        <v xml:space="preserve"> USA</v>
      </c>
    </row>
    <row r="1487" spans="1:13">
      <c r="A1487" s="60">
        <v>1486</v>
      </c>
      <c r="B1487" s="79" t="s">
        <v>8864</v>
      </c>
      <c r="C1487" s="60" t="s">
        <v>1050</v>
      </c>
      <c r="D1487" s="93" t="s">
        <v>8865</v>
      </c>
      <c r="E1487" s="48" t="str">
        <f t="shared" si="0"/>
        <v>Parkersburg</v>
      </c>
      <c r="F1487" s="83" t="str">
        <f t="shared" si="1"/>
        <v>Parkersburg South (Parkersburg),WV</v>
      </c>
      <c r="G1487" s="60" t="s">
        <v>8866</v>
      </c>
      <c r="H1487" s="60">
        <v>39.236742100000001</v>
      </c>
      <c r="I1487" s="60">
        <v>-81.542345999999995</v>
      </c>
      <c r="J1487" s="60" t="str">
        <f ca="1">IFERROR(__xludf.DUMMYFUNCTION("SPLIT(G1487,"","")"),"2004 Blizzard Dr")</f>
        <v>2004 Blizzard Dr</v>
      </c>
      <c r="K1487" s="2" t="str">
        <f ca="1">IFERROR(__xludf.DUMMYFUNCTION("""COMPUTED_VALUE""")," Parkersburg")</f>
        <v xml:space="preserve"> Parkersburg</v>
      </c>
      <c r="L1487" s="2" t="str">
        <f ca="1">IFERROR(__xludf.DUMMYFUNCTION("""COMPUTED_VALUE""")," WV 26101")</f>
        <v xml:space="preserve"> WV 26101</v>
      </c>
      <c r="M1487" s="2" t="str">
        <f ca="1">IFERROR(__xludf.DUMMYFUNCTION("""COMPUTED_VALUE""")," USA")</f>
        <v xml:space="preserve"> USA</v>
      </c>
    </row>
    <row r="1488" spans="1:13">
      <c r="A1488" s="65">
        <v>1487</v>
      </c>
      <c r="B1488" s="80" t="s">
        <v>8869</v>
      </c>
      <c r="C1488" s="65" t="s">
        <v>682</v>
      </c>
      <c r="D1488" s="93" t="s">
        <v>8870</v>
      </c>
      <c r="E1488" s="48" t="str">
        <f t="shared" si="0"/>
        <v>River Falls</v>
      </c>
      <c r="F1488" s="83" t="str">
        <f t="shared" si="1"/>
        <v>River Falls,WI</v>
      </c>
      <c r="G1488" s="65" t="s">
        <v>8872</v>
      </c>
      <c r="H1488" s="65">
        <v>44.861356299999997</v>
      </c>
      <c r="I1488" s="65">
        <v>-92.623808199999999</v>
      </c>
      <c r="J1488" s="60" t="str">
        <f ca="1">IFERROR(__xludf.DUMMYFUNCTION("SPLIT(G1488,"","")"),"316 N Main St")</f>
        <v>316 N Main St</v>
      </c>
      <c r="K1488" s="2" t="str">
        <f ca="1">IFERROR(__xludf.DUMMYFUNCTION("""COMPUTED_VALUE""")," River Falls")</f>
        <v xml:space="preserve"> River Falls</v>
      </c>
      <c r="L1488" s="2" t="str">
        <f ca="1">IFERROR(__xludf.DUMMYFUNCTION("""COMPUTED_VALUE""")," WI 54022")</f>
        <v xml:space="preserve"> WI 54022</v>
      </c>
      <c r="M1488" s="2" t="str">
        <f ca="1">IFERROR(__xludf.DUMMYFUNCTION("""COMPUTED_VALUE""")," USA")</f>
        <v xml:space="preserve"> USA</v>
      </c>
    </row>
    <row r="1489" spans="1:13">
      <c r="A1489" s="60">
        <v>1488</v>
      </c>
      <c r="B1489" s="79" t="s">
        <v>8874</v>
      </c>
      <c r="C1489" s="60" t="s">
        <v>608</v>
      </c>
      <c r="D1489" s="93" t="s">
        <v>8875</v>
      </c>
      <c r="E1489" s="48" t="str">
        <f t="shared" si="0"/>
        <v>Melrose</v>
      </c>
      <c r="F1489" s="83" t="str">
        <f t="shared" si="1"/>
        <v>Melrose,MN</v>
      </c>
      <c r="G1489" s="60" t="s">
        <v>8877</v>
      </c>
      <c r="H1489" s="60">
        <v>45.674687300000002</v>
      </c>
      <c r="I1489" s="60">
        <v>-94.807515199999997</v>
      </c>
      <c r="J1489" s="60" t="str">
        <f ca="1">IFERROR(__xludf.DUMMYFUNCTION("SPLIT(G1489,"","")"),"420 E Main St")</f>
        <v>420 E Main St</v>
      </c>
      <c r="K1489" s="2" t="str">
        <f ca="1">IFERROR(__xludf.DUMMYFUNCTION("""COMPUTED_VALUE""")," Melrose")</f>
        <v xml:space="preserve"> Melrose</v>
      </c>
      <c r="L1489" s="2" t="str">
        <f ca="1">IFERROR(__xludf.DUMMYFUNCTION("""COMPUTED_VALUE""")," MN 56352")</f>
        <v xml:space="preserve"> MN 56352</v>
      </c>
      <c r="M1489" s="2" t="str">
        <f ca="1">IFERROR(__xludf.DUMMYFUNCTION("""COMPUTED_VALUE""")," USA")</f>
        <v xml:space="preserve"> USA</v>
      </c>
    </row>
    <row r="1490" spans="1:13">
      <c r="A1490" s="65">
        <v>1489</v>
      </c>
      <c r="B1490" s="80" t="s">
        <v>8879</v>
      </c>
      <c r="C1490" s="65" t="s">
        <v>69</v>
      </c>
      <c r="D1490" s="93" t="s">
        <v>7080</v>
      </c>
      <c r="E1490" s="48" t="str">
        <f t="shared" si="0"/>
        <v>Mobile</v>
      </c>
      <c r="F1490" s="83" t="str">
        <f t="shared" si="1"/>
        <v>Rain (Mobile),AL</v>
      </c>
      <c r="G1490" s="65" t="s">
        <v>8881</v>
      </c>
      <c r="H1490" s="65">
        <v>30.607563800000001</v>
      </c>
      <c r="I1490" s="65">
        <v>-88.07356879999999</v>
      </c>
      <c r="J1490" s="60" t="str">
        <f ca="1">IFERROR(__xludf.DUMMYFUNCTION("SPLIT(G1490,"","")"),"3125 Dauphin Island Pkwy")</f>
        <v>3125 Dauphin Island Pkwy</v>
      </c>
      <c r="K1490" s="2" t="str">
        <f ca="1">IFERROR(__xludf.DUMMYFUNCTION("""COMPUTED_VALUE""")," Mobile")</f>
        <v xml:space="preserve"> Mobile</v>
      </c>
      <c r="L1490" s="2" t="str">
        <f ca="1">IFERROR(__xludf.DUMMYFUNCTION("""COMPUTED_VALUE""")," AL 36605")</f>
        <v xml:space="preserve"> AL 36605</v>
      </c>
      <c r="M1490" s="2" t="str">
        <f ca="1">IFERROR(__xludf.DUMMYFUNCTION("""COMPUTED_VALUE""")," USA")</f>
        <v xml:space="preserve"> USA</v>
      </c>
    </row>
    <row r="1491" spans="1:13">
      <c r="A1491" s="60">
        <v>1490</v>
      </c>
      <c r="B1491" s="79" t="s">
        <v>8884</v>
      </c>
      <c r="C1491" s="60" t="s">
        <v>675</v>
      </c>
      <c r="D1491" s="93" t="s">
        <v>8886</v>
      </c>
      <c r="E1491" s="48" t="str">
        <f t="shared" si="0"/>
        <v>Royersford</v>
      </c>
      <c r="F1491" s="83" t="str">
        <f t="shared" si="1"/>
        <v>Pope John Paul II (Royersford),PA</v>
      </c>
      <c r="G1491" s="60" t="s">
        <v>8887</v>
      </c>
      <c r="H1491" s="60">
        <v>40.1982979</v>
      </c>
      <c r="I1491" s="60">
        <v>-75.5089313</v>
      </c>
      <c r="J1491" s="60" t="str">
        <f ca="1">IFERROR(__xludf.DUMMYFUNCTION("SPLIT(G1491,"","")"),"181 Rittenhouse Rd")</f>
        <v>181 Rittenhouse Rd</v>
      </c>
      <c r="K1491" s="2" t="str">
        <f ca="1">IFERROR(__xludf.DUMMYFUNCTION("""COMPUTED_VALUE""")," Royersford")</f>
        <v xml:space="preserve"> Royersford</v>
      </c>
      <c r="L1491" s="2" t="str">
        <f ca="1">IFERROR(__xludf.DUMMYFUNCTION("""COMPUTED_VALUE""")," PA 19468")</f>
        <v xml:space="preserve"> PA 19468</v>
      </c>
      <c r="M1491" s="2" t="str">
        <f ca="1">IFERROR(__xludf.DUMMYFUNCTION("""COMPUTED_VALUE""")," USA")</f>
        <v xml:space="preserve"> USA</v>
      </c>
    </row>
    <row r="1492" spans="1:13">
      <c r="A1492" s="65">
        <v>1491</v>
      </c>
      <c r="B1492" s="80" t="s">
        <v>8891</v>
      </c>
      <c r="C1492" s="65" t="s">
        <v>604</v>
      </c>
      <c r="D1492" s="93" t="s">
        <v>1088</v>
      </c>
      <c r="E1492" s="48" t="str">
        <f t="shared" si="0"/>
        <v>Springfield</v>
      </c>
      <c r="F1492" s="83" t="str">
        <f t="shared" si="1"/>
        <v>Sacred Heart-Griffin (Springfield),IL</v>
      </c>
      <c r="G1492" s="65" t="s">
        <v>8892</v>
      </c>
      <c r="H1492" s="65">
        <v>39.801150300000003</v>
      </c>
      <c r="I1492" s="65">
        <v>-89.674220599999998</v>
      </c>
      <c r="J1492" s="60" t="str">
        <f ca="1">IFERROR(__xludf.DUMMYFUNCTION("SPLIT(G1492,"","")"),"1200 W Washington St")</f>
        <v>1200 W Washington St</v>
      </c>
      <c r="K1492" s="2" t="str">
        <f ca="1">IFERROR(__xludf.DUMMYFUNCTION("""COMPUTED_VALUE""")," Springfield")</f>
        <v xml:space="preserve"> Springfield</v>
      </c>
      <c r="L1492" s="2" t="str">
        <f ca="1">IFERROR(__xludf.DUMMYFUNCTION("""COMPUTED_VALUE""")," IL 62702")</f>
        <v xml:space="preserve"> IL 62702</v>
      </c>
      <c r="M1492" s="2" t="str">
        <f ca="1">IFERROR(__xludf.DUMMYFUNCTION("""COMPUTED_VALUE""")," USA")</f>
        <v xml:space="preserve"> USA</v>
      </c>
    </row>
    <row r="1493" spans="1:13">
      <c r="A1493" s="60">
        <v>1492</v>
      </c>
      <c r="B1493" s="79" t="s">
        <v>8895</v>
      </c>
      <c r="C1493" s="60" t="s">
        <v>602</v>
      </c>
      <c r="D1493" s="93" t="s">
        <v>8897</v>
      </c>
      <c r="E1493" s="48" t="str">
        <f t="shared" si="0"/>
        <v>Crozet</v>
      </c>
      <c r="F1493" s="83" t="str">
        <f t="shared" si="1"/>
        <v>Western Albemarle (Crozet),VA</v>
      </c>
      <c r="G1493" s="60" t="s">
        <v>8898</v>
      </c>
      <c r="H1493" s="60">
        <v>38.047229000000002</v>
      </c>
      <c r="I1493" s="60">
        <v>-78.707227399999994</v>
      </c>
      <c r="J1493" s="60" t="str">
        <f ca="1">IFERROR(__xludf.DUMMYFUNCTION("SPLIT(G1493,"","")"),"5941 Rockfish Gap Turnpike")</f>
        <v>5941 Rockfish Gap Turnpike</v>
      </c>
      <c r="K1493" s="2" t="str">
        <f ca="1">IFERROR(__xludf.DUMMYFUNCTION("""COMPUTED_VALUE""")," Crozet")</f>
        <v xml:space="preserve"> Crozet</v>
      </c>
      <c r="L1493" s="2" t="str">
        <f ca="1">IFERROR(__xludf.DUMMYFUNCTION("""COMPUTED_VALUE""")," VA 22932")</f>
        <v xml:space="preserve"> VA 22932</v>
      </c>
      <c r="M1493" s="2" t="str">
        <f ca="1">IFERROR(__xludf.DUMMYFUNCTION("""COMPUTED_VALUE""")," USA")</f>
        <v xml:space="preserve"> USA</v>
      </c>
    </row>
    <row r="1494" spans="1:13">
      <c r="A1494" s="65">
        <v>1493</v>
      </c>
      <c r="B1494" s="80" t="s">
        <v>8901</v>
      </c>
      <c r="C1494" s="65" t="s">
        <v>682</v>
      </c>
      <c r="D1494" s="93" t="s">
        <v>8902</v>
      </c>
      <c r="E1494" s="48" t="str">
        <f t="shared" si="0"/>
        <v>Oostburg</v>
      </c>
      <c r="F1494" s="83" t="str">
        <f t="shared" si="1"/>
        <v>Oostburg,WI</v>
      </c>
      <c r="G1494" s="65" t="s">
        <v>8903</v>
      </c>
      <c r="H1494" s="65">
        <v>43.622774799999988</v>
      </c>
      <c r="I1494" s="65">
        <v>-87.7945323</v>
      </c>
      <c r="J1494" s="60" t="str">
        <f ca="1">IFERROR(__xludf.DUMMYFUNCTION("SPLIT(G1494,"","")"),"10 S 8th St")</f>
        <v>10 S 8th St</v>
      </c>
      <c r="K1494" s="2" t="str">
        <f ca="1">IFERROR(__xludf.DUMMYFUNCTION("""COMPUTED_VALUE""")," Oostburg")</f>
        <v xml:space="preserve"> Oostburg</v>
      </c>
      <c r="L1494" s="2" t="str">
        <f ca="1">IFERROR(__xludf.DUMMYFUNCTION("""COMPUTED_VALUE""")," WI 53070")</f>
        <v xml:space="preserve"> WI 53070</v>
      </c>
      <c r="M1494" s="2" t="str">
        <f ca="1">IFERROR(__xludf.DUMMYFUNCTION("""COMPUTED_VALUE""")," USA")</f>
        <v xml:space="preserve"> USA</v>
      </c>
    </row>
    <row r="1495" spans="1:13">
      <c r="A1495" s="60">
        <v>1494</v>
      </c>
      <c r="B1495" s="79" t="s">
        <v>8907</v>
      </c>
      <c r="C1495" s="60" t="s">
        <v>675</v>
      </c>
      <c r="D1495" s="50" t="s">
        <v>8908</v>
      </c>
      <c r="E1495" s="48" t="str">
        <f t="shared" si="0"/>
        <v>Huntingdon</v>
      </c>
      <c r="F1495" s="83" t="str">
        <f t="shared" si="1"/>
        <v>Huntingdon,PA</v>
      </c>
      <c r="G1495" s="60" t="s">
        <v>8909</v>
      </c>
      <c r="H1495" s="60">
        <v>40.484795899999988</v>
      </c>
      <c r="I1495" s="60">
        <v>-78.010281300000003</v>
      </c>
      <c r="J1495" s="60" t="str">
        <f ca="1">IFERROR(__xludf.DUMMYFUNCTION("SPLIT(G1495,"","")"),"#REF!")</f>
        <v>#REF!</v>
      </c>
      <c r="K1495" s="3" t="s">
        <v>8908</v>
      </c>
    </row>
    <row r="1496" spans="1:13">
      <c r="A1496" s="65">
        <v>1495</v>
      </c>
      <c r="B1496" s="80" t="s">
        <v>8912</v>
      </c>
      <c r="C1496" s="65" t="s">
        <v>682</v>
      </c>
      <c r="D1496" s="93" t="s">
        <v>8914</v>
      </c>
      <c r="E1496" s="48" t="str">
        <f t="shared" si="0"/>
        <v>Waunakee</v>
      </c>
      <c r="F1496" s="83" t="str">
        <f t="shared" si="1"/>
        <v>Waunakee,WI</v>
      </c>
      <c r="G1496" s="65" t="s">
        <v>8915</v>
      </c>
      <c r="H1496" s="65">
        <v>43.191937299999999</v>
      </c>
      <c r="I1496" s="65">
        <v>-89.455674899999991</v>
      </c>
      <c r="J1496" s="60" t="str">
        <f ca="1">IFERROR(__xludf.DUMMYFUNCTION("SPLIT(G1496,"","")"),"115b W Main St")</f>
        <v>115b W Main St</v>
      </c>
      <c r="K1496" s="2" t="str">
        <f ca="1">IFERROR(__xludf.DUMMYFUNCTION("""COMPUTED_VALUE""")," Waunakee")</f>
        <v xml:space="preserve"> Waunakee</v>
      </c>
      <c r="L1496" s="2" t="str">
        <f ca="1">IFERROR(__xludf.DUMMYFUNCTION("""COMPUTED_VALUE""")," WI 53597")</f>
        <v xml:space="preserve"> WI 53597</v>
      </c>
      <c r="M1496" s="2" t="str">
        <f ca="1">IFERROR(__xludf.DUMMYFUNCTION("""COMPUTED_VALUE""")," USA")</f>
        <v xml:space="preserve"> USA</v>
      </c>
    </row>
    <row r="1497" spans="1:13">
      <c r="A1497" s="60">
        <v>1496</v>
      </c>
      <c r="B1497" s="79" t="s">
        <v>8918</v>
      </c>
      <c r="C1497" s="60" t="s">
        <v>608</v>
      </c>
      <c r="D1497" s="93" t="s">
        <v>5809</v>
      </c>
      <c r="E1497" s="48" t="str">
        <f t="shared" si="0"/>
        <v>Lakeville</v>
      </c>
      <c r="F1497" s="83" t="str">
        <f t="shared" si="1"/>
        <v>Lakeville North (Lakeville),MN</v>
      </c>
      <c r="G1497" s="60" t="s">
        <v>8920</v>
      </c>
      <c r="H1497" s="60">
        <v>44.665078000000001</v>
      </c>
      <c r="I1497" s="60">
        <v>-93.257432699999995</v>
      </c>
      <c r="J1497" s="60" t="str">
        <f ca="1">IFERROR(__xludf.DUMMYFUNCTION("SPLIT(G1497,"","")"),"19600 Ipava Ave")</f>
        <v>19600 Ipava Ave</v>
      </c>
      <c r="K1497" s="2" t="str">
        <f ca="1">IFERROR(__xludf.DUMMYFUNCTION("""COMPUTED_VALUE""")," Lakeville")</f>
        <v xml:space="preserve"> Lakeville</v>
      </c>
      <c r="L1497" s="2" t="str">
        <f ca="1">IFERROR(__xludf.DUMMYFUNCTION("""COMPUTED_VALUE""")," MN 55044")</f>
        <v xml:space="preserve"> MN 55044</v>
      </c>
      <c r="M1497" s="2" t="str">
        <f ca="1">IFERROR(__xludf.DUMMYFUNCTION("""COMPUTED_VALUE""")," USA")</f>
        <v xml:space="preserve"> USA</v>
      </c>
    </row>
    <row r="1498" spans="1:13">
      <c r="A1498" s="65">
        <v>1497</v>
      </c>
      <c r="B1498" s="80" t="s">
        <v>8923</v>
      </c>
      <c r="C1498" s="65" t="s">
        <v>71</v>
      </c>
      <c r="D1498" s="93" t="s">
        <v>1152</v>
      </c>
      <c r="E1498" s="48" t="str">
        <f t="shared" si="0"/>
        <v>Phoenix</v>
      </c>
      <c r="F1498" s="83" t="str">
        <f t="shared" si="1"/>
        <v>Mountain Pointe (Phoenix),AZ</v>
      </c>
      <c r="G1498" s="65" t="s">
        <v>8924</v>
      </c>
      <c r="H1498" s="65">
        <v>33.3259495</v>
      </c>
      <c r="I1498" s="65">
        <v>-111.9906404</v>
      </c>
      <c r="J1498" s="60" t="str">
        <f ca="1">IFERROR(__xludf.DUMMYFUNCTION("SPLIT(G1498,"","")"),"4201 E Knox Rd")</f>
        <v>4201 E Knox Rd</v>
      </c>
      <c r="K1498" s="2" t="str">
        <f ca="1">IFERROR(__xludf.DUMMYFUNCTION("""COMPUTED_VALUE""")," Phoenix")</f>
        <v xml:space="preserve"> Phoenix</v>
      </c>
      <c r="L1498" s="2" t="str">
        <f ca="1">IFERROR(__xludf.DUMMYFUNCTION("""COMPUTED_VALUE""")," AZ 85044")</f>
        <v xml:space="preserve"> AZ 85044</v>
      </c>
      <c r="M1498" s="2" t="str">
        <f ca="1">IFERROR(__xludf.DUMMYFUNCTION("""COMPUTED_VALUE""")," USA")</f>
        <v xml:space="preserve"> USA</v>
      </c>
    </row>
    <row r="1499" spans="1:13">
      <c r="A1499" s="60">
        <v>1498</v>
      </c>
      <c r="B1499" s="79" t="s">
        <v>8926</v>
      </c>
      <c r="C1499" s="60" t="s">
        <v>737</v>
      </c>
      <c r="D1499" s="93" t="s">
        <v>8928</v>
      </c>
      <c r="E1499" s="48" t="str">
        <f t="shared" si="0"/>
        <v>Moorestown</v>
      </c>
      <c r="F1499" s="83" t="str">
        <f t="shared" si="1"/>
        <v>Moorestown,NJ</v>
      </c>
      <c r="G1499" s="60" t="s">
        <v>8929</v>
      </c>
      <c r="H1499" s="60">
        <v>39.968881699999997</v>
      </c>
      <c r="I1499" s="60">
        <v>-74.948886000000002</v>
      </c>
      <c r="J1499" s="60" t="str">
        <f ca="1">IFERROR(__xludf.DUMMYFUNCTION("SPLIT(G1499,"","")"),"19 E Central Ave")</f>
        <v>19 E Central Ave</v>
      </c>
      <c r="K1499" s="2" t="str">
        <f ca="1">IFERROR(__xludf.DUMMYFUNCTION("""COMPUTED_VALUE""")," Moorestown")</f>
        <v xml:space="preserve"> Moorestown</v>
      </c>
      <c r="L1499" s="2" t="str">
        <f ca="1">IFERROR(__xludf.DUMMYFUNCTION("""COMPUTED_VALUE""")," NJ 08057")</f>
        <v xml:space="preserve"> NJ 08057</v>
      </c>
      <c r="M1499" s="2" t="str">
        <f ca="1">IFERROR(__xludf.DUMMYFUNCTION("""COMPUTED_VALUE""")," USA")</f>
        <v xml:space="preserve"> USA</v>
      </c>
    </row>
    <row r="1500" spans="1:13">
      <c r="A1500" s="65">
        <v>1499</v>
      </c>
      <c r="B1500" s="80" t="s">
        <v>7044</v>
      </c>
      <c r="C1500" s="65" t="s">
        <v>588</v>
      </c>
      <c r="D1500" s="93" t="s">
        <v>8794</v>
      </c>
      <c r="E1500" s="48" t="str">
        <f t="shared" si="0"/>
        <v>Santa Barbara</v>
      </c>
      <c r="F1500" s="83" t="str">
        <f t="shared" si="1"/>
        <v>Santa Barbara,CA</v>
      </c>
      <c r="G1500" s="65" t="s">
        <v>8933</v>
      </c>
      <c r="H1500" s="65">
        <v>34.420830500000001</v>
      </c>
      <c r="I1500" s="65">
        <v>-119.69819010000001</v>
      </c>
      <c r="J1500" s="60" t="str">
        <f ca="1">IFERROR(__xludf.DUMMYFUNCTION("SPLIT(G1500,"","")"),"1117 State St")</f>
        <v>1117 State St</v>
      </c>
      <c r="K1500" s="2" t="str">
        <f ca="1">IFERROR(__xludf.DUMMYFUNCTION("""COMPUTED_VALUE""")," Santa Barbara")</f>
        <v xml:space="preserve"> Santa Barbara</v>
      </c>
      <c r="L1500" s="2" t="str">
        <f ca="1">IFERROR(__xludf.DUMMYFUNCTION("""COMPUTED_VALUE""")," CA 93101")</f>
        <v xml:space="preserve"> CA 93101</v>
      </c>
      <c r="M1500" s="2" t="str">
        <f ca="1">IFERROR(__xludf.DUMMYFUNCTION("""COMPUTED_VALUE""")," USA")</f>
        <v xml:space="preserve"> USA</v>
      </c>
    </row>
    <row r="1501" spans="1:13">
      <c r="A1501" s="60">
        <v>1500</v>
      </c>
      <c r="B1501" s="79" t="s">
        <v>8936</v>
      </c>
      <c r="C1501" s="60" t="s">
        <v>598</v>
      </c>
      <c r="D1501" s="93" t="s">
        <v>8938</v>
      </c>
      <c r="E1501" s="48" t="str">
        <f t="shared" si="0"/>
        <v>Dawsonville</v>
      </c>
      <c r="F1501" s="83" t="str">
        <f t="shared" si="1"/>
        <v>Dawson County (Dawsonville),GA</v>
      </c>
      <c r="G1501" s="60" t="s">
        <v>8939</v>
      </c>
      <c r="H1501" s="60">
        <v>34.421205200000003</v>
      </c>
      <c r="I1501" s="60">
        <v>-84.119080400000001</v>
      </c>
      <c r="J1501" s="60" t="str">
        <f ca="1">IFERROR(__xludf.DUMMYFUNCTION("SPLIT(G1501,"","")"),"31 Main St")</f>
        <v>31 Main St</v>
      </c>
      <c r="K1501" s="2" t="str">
        <f ca="1">IFERROR(__xludf.DUMMYFUNCTION("""COMPUTED_VALUE""")," Dawsonville")</f>
        <v xml:space="preserve"> Dawsonville</v>
      </c>
      <c r="L1501" s="2" t="str">
        <f ca="1">IFERROR(__xludf.DUMMYFUNCTION("""COMPUTED_VALUE""")," GA 30534")</f>
        <v xml:space="preserve"> GA 30534</v>
      </c>
      <c r="M1501" s="2" t="str">
        <f ca="1">IFERROR(__xludf.DUMMYFUNCTION("""COMPUTED_VALUE""")," USA")</f>
        <v xml:space="preserve"> USA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000"/>
  <sheetViews>
    <sheetView workbookViewId="0"/>
  </sheetViews>
  <sheetFormatPr defaultColWidth="14.44140625" defaultRowHeight="15.75" customHeight="1"/>
  <cols>
    <col min="2" max="2" width="17" customWidth="1"/>
  </cols>
  <sheetData>
    <row r="1" spans="1:2">
      <c r="A1" s="105" t="s">
        <v>1313</v>
      </c>
      <c r="B1" s="106" t="s">
        <v>1315</v>
      </c>
    </row>
    <row r="2" spans="1:2">
      <c r="A2" s="107" t="s">
        <v>69</v>
      </c>
      <c r="B2" s="108" t="s">
        <v>1317</v>
      </c>
    </row>
    <row r="3" spans="1:2">
      <c r="A3" s="107" t="s">
        <v>70</v>
      </c>
      <c r="B3" s="108" t="s">
        <v>1318</v>
      </c>
    </row>
    <row r="4" spans="1:2">
      <c r="A4" s="107" t="s">
        <v>71</v>
      </c>
      <c r="B4" s="108" t="s">
        <v>1319</v>
      </c>
    </row>
    <row r="5" spans="1:2">
      <c r="A5" s="107" t="s">
        <v>901</v>
      </c>
      <c r="B5" s="108" t="s">
        <v>1320</v>
      </c>
    </row>
    <row r="6" spans="1:2">
      <c r="A6" s="107" t="s">
        <v>588</v>
      </c>
      <c r="B6" s="108" t="s">
        <v>1321</v>
      </c>
    </row>
    <row r="7" spans="1:2">
      <c r="A7" s="107" t="s">
        <v>1322</v>
      </c>
      <c r="B7" s="108" t="s">
        <v>1323</v>
      </c>
    </row>
    <row r="8" spans="1:2">
      <c r="A8" s="107" t="s">
        <v>1325</v>
      </c>
      <c r="B8" s="108" t="s">
        <v>1326</v>
      </c>
    </row>
    <row r="9" spans="1:2">
      <c r="A9" s="107" t="s">
        <v>97</v>
      </c>
      <c r="B9" s="108" t="s">
        <v>1327</v>
      </c>
    </row>
    <row r="10" spans="1:2">
      <c r="A10" s="107" t="s">
        <v>136</v>
      </c>
      <c r="B10" s="108" t="s">
        <v>1328</v>
      </c>
    </row>
    <row r="11" spans="1:2">
      <c r="A11" s="107" t="s">
        <v>598</v>
      </c>
      <c r="B11" s="108" t="s">
        <v>1329</v>
      </c>
    </row>
    <row r="12" spans="1:2">
      <c r="A12" s="107" t="s">
        <v>98</v>
      </c>
      <c r="B12" s="108" t="s">
        <v>1330</v>
      </c>
    </row>
    <row r="13" spans="1:2">
      <c r="A13" s="107" t="s">
        <v>1331</v>
      </c>
      <c r="B13" s="108" t="s">
        <v>1332</v>
      </c>
    </row>
    <row r="14" spans="1:2">
      <c r="A14" s="107" t="s">
        <v>604</v>
      </c>
      <c r="B14" s="108" t="s">
        <v>1333</v>
      </c>
    </row>
    <row r="15" spans="1:2">
      <c r="A15" s="107" t="s">
        <v>618</v>
      </c>
      <c r="B15" s="108" t="s">
        <v>1334</v>
      </c>
    </row>
    <row r="16" spans="1:2">
      <c r="A16" s="107" t="s">
        <v>1273</v>
      </c>
      <c r="B16" s="108" t="s">
        <v>1335</v>
      </c>
    </row>
    <row r="17" spans="1:2">
      <c r="A17" s="107" t="s">
        <v>796</v>
      </c>
      <c r="B17" s="108" t="s">
        <v>1337</v>
      </c>
    </row>
    <row r="18" spans="1:2">
      <c r="A18" s="107" t="s">
        <v>881</v>
      </c>
      <c r="B18" s="108" t="s">
        <v>1338</v>
      </c>
    </row>
    <row r="19" spans="1:2">
      <c r="A19" s="107" t="s">
        <v>624</v>
      </c>
      <c r="B19" s="108" t="s">
        <v>1340</v>
      </c>
    </row>
    <row r="20" spans="1:2">
      <c r="A20" s="107" t="s">
        <v>1094</v>
      </c>
      <c r="B20" s="108" t="s">
        <v>1341</v>
      </c>
    </row>
    <row r="21" spans="1:2">
      <c r="A21" s="107" t="s">
        <v>590</v>
      </c>
      <c r="B21" s="108" t="s">
        <v>1342</v>
      </c>
    </row>
    <row r="22" spans="1:2">
      <c r="A22" s="107" t="s">
        <v>1039</v>
      </c>
      <c r="B22" s="108" t="s">
        <v>1343</v>
      </c>
    </row>
    <row r="23" spans="1:2">
      <c r="A23" s="107" t="s">
        <v>191</v>
      </c>
      <c r="B23" s="108" t="s">
        <v>1344</v>
      </c>
    </row>
    <row r="24" spans="1:2">
      <c r="A24" s="107" t="s">
        <v>608</v>
      </c>
      <c r="B24" s="108" t="s">
        <v>1345</v>
      </c>
    </row>
    <row r="25" spans="1:2">
      <c r="A25" s="107" t="s">
        <v>693</v>
      </c>
      <c r="B25" s="108" t="s">
        <v>1346</v>
      </c>
    </row>
    <row r="26" spans="1:2">
      <c r="A26" s="107" t="s">
        <v>897</v>
      </c>
      <c r="B26" s="108" t="s">
        <v>1347</v>
      </c>
    </row>
    <row r="27" spans="1:2">
      <c r="A27" s="107" t="s">
        <v>646</v>
      </c>
      <c r="B27" s="108" t="s">
        <v>1349</v>
      </c>
    </row>
    <row r="28" spans="1:2">
      <c r="A28" s="107" t="s">
        <v>940</v>
      </c>
      <c r="B28" s="108" t="s">
        <v>1350</v>
      </c>
    </row>
    <row r="29" spans="1:2">
      <c r="A29" s="107" t="s">
        <v>593</v>
      </c>
      <c r="B29" s="108" t="s">
        <v>1352</v>
      </c>
    </row>
    <row r="30" spans="1:2">
      <c r="A30" s="107" t="s">
        <v>1353</v>
      </c>
      <c r="B30" s="108" t="s">
        <v>1354</v>
      </c>
    </row>
    <row r="31" spans="1:2">
      <c r="A31" s="107" t="s">
        <v>737</v>
      </c>
      <c r="B31" s="108" t="s">
        <v>1355</v>
      </c>
    </row>
    <row r="32" spans="1:2">
      <c r="A32" s="107" t="s">
        <v>975</v>
      </c>
      <c r="B32" s="108" t="s">
        <v>1356</v>
      </c>
    </row>
    <row r="33" spans="1:2">
      <c r="A33" s="107" t="s">
        <v>183</v>
      </c>
      <c r="B33" s="108" t="s">
        <v>188</v>
      </c>
    </row>
    <row r="34" spans="1:2">
      <c r="A34" s="107" t="s">
        <v>179</v>
      </c>
      <c r="B34" s="108" t="s">
        <v>1357</v>
      </c>
    </row>
    <row r="35" spans="1:2">
      <c r="A35" s="107" t="s">
        <v>1358</v>
      </c>
      <c r="B35" s="108" t="s">
        <v>1359</v>
      </c>
    </row>
    <row r="36" spans="1:2">
      <c r="A36" s="107" t="s">
        <v>174</v>
      </c>
      <c r="B36" s="108" t="s">
        <v>1361</v>
      </c>
    </row>
    <row r="37" spans="1:2">
      <c r="A37" s="107" t="s">
        <v>1055</v>
      </c>
      <c r="B37" s="108" t="s">
        <v>1362</v>
      </c>
    </row>
    <row r="38" spans="1:2">
      <c r="A38" s="107" t="s">
        <v>1296</v>
      </c>
      <c r="B38" s="108" t="s">
        <v>1363</v>
      </c>
    </row>
    <row r="39" spans="1:2">
      <c r="A39" s="107" t="s">
        <v>675</v>
      </c>
      <c r="B39" s="108" t="s">
        <v>1364</v>
      </c>
    </row>
    <row r="40" spans="1:2">
      <c r="A40" s="107" t="s">
        <v>1366</v>
      </c>
      <c r="B40" s="108" t="s">
        <v>1367</v>
      </c>
    </row>
    <row r="41" spans="1:2">
      <c r="A41" s="107" t="s">
        <v>606</v>
      </c>
      <c r="B41" s="108" t="s">
        <v>1368</v>
      </c>
    </row>
    <row r="42" spans="1:2">
      <c r="A42" s="107" t="s">
        <v>1370</v>
      </c>
      <c r="B42" s="108" t="s">
        <v>1371</v>
      </c>
    </row>
    <row r="43" spans="1:2">
      <c r="A43" s="107" t="s">
        <v>770</v>
      </c>
      <c r="B43" s="108" t="s">
        <v>1372</v>
      </c>
    </row>
    <row r="44" spans="1:2">
      <c r="A44" s="107" t="s">
        <v>595</v>
      </c>
      <c r="B44" s="108" t="s">
        <v>1373</v>
      </c>
    </row>
    <row r="45" spans="1:2">
      <c r="A45" s="107" t="s">
        <v>765</v>
      </c>
      <c r="B45" s="108" t="s">
        <v>1374</v>
      </c>
    </row>
    <row r="46" spans="1:2">
      <c r="A46" s="107" t="s">
        <v>1210</v>
      </c>
      <c r="B46" s="108" t="s">
        <v>1375</v>
      </c>
    </row>
    <row r="47" spans="1:2">
      <c r="A47" s="107" t="s">
        <v>602</v>
      </c>
      <c r="B47" s="108" t="s">
        <v>1376</v>
      </c>
    </row>
    <row r="48" spans="1:2">
      <c r="A48" s="107" t="s">
        <v>745</v>
      </c>
      <c r="B48" s="108" t="s">
        <v>276</v>
      </c>
    </row>
    <row r="49" spans="1:2">
      <c r="A49" s="107" t="s">
        <v>1050</v>
      </c>
      <c r="B49" s="108" t="s">
        <v>1377</v>
      </c>
    </row>
    <row r="50" spans="1:2">
      <c r="A50" s="107" t="s">
        <v>682</v>
      </c>
      <c r="B50" s="108" t="s">
        <v>1378</v>
      </c>
    </row>
    <row r="51" spans="1:2">
      <c r="A51" s="107" t="s">
        <v>1379</v>
      </c>
      <c r="B51" s="108" t="s">
        <v>1380</v>
      </c>
    </row>
    <row r="52" spans="1:2">
      <c r="A52" s="3" t="s">
        <v>712</v>
      </c>
      <c r="B52" s="108" t="s">
        <v>1382</v>
      </c>
    </row>
    <row r="53" spans="1:2">
      <c r="B53" s="109"/>
    </row>
    <row r="54" spans="1:2">
      <c r="B54" s="109"/>
    </row>
    <row r="55" spans="1:2">
      <c r="B55" s="109"/>
    </row>
    <row r="56" spans="1:2">
      <c r="B56" s="109"/>
    </row>
    <row r="57" spans="1:2">
      <c r="B57" s="109"/>
    </row>
    <row r="58" spans="1:2">
      <c r="B58" s="109"/>
    </row>
    <row r="59" spans="1:2">
      <c r="B59" s="109"/>
    </row>
    <row r="60" spans="1:2">
      <c r="B60" s="109"/>
    </row>
    <row r="61" spans="1:2">
      <c r="B61" s="109"/>
    </row>
    <row r="62" spans="1:2">
      <c r="B62" s="109"/>
    </row>
    <row r="63" spans="1:2">
      <c r="B63" s="109"/>
    </row>
    <row r="64" spans="1:2">
      <c r="B64" s="109"/>
    </row>
    <row r="65" spans="2:2">
      <c r="B65" s="109"/>
    </row>
    <row r="66" spans="2:2">
      <c r="B66" s="109"/>
    </row>
    <row r="67" spans="2:2">
      <c r="B67" s="109"/>
    </row>
    <row r="68" spans="2:2">
      <c r="B68" s="109"/>
    </row>
    <row r="69" spans="2:2">
      <c r="B69" s="109"/>
    </row>
    <row r="70" spans="2:2">
      <c r="B70" s="109"/>
    </row>
    <row r="71" spans="2:2">
      <c r="B71" s="109"/>
    </row>
    <row r="72" spans="2:2">
      <c r="B72" s="109"/>
    </row>
    <row r="73" spans="2:2">
      <c r="B73" s="109"/>
    </row>
    <row r="74" spans="2:2">
      <c r="B74" s="109"/>
    </row>
    <row r="75" spans="2:2">
      <c r="B75" s="109"/>
    </row>
    <row r="76" spans="2:2">
      <c r="B76" s="109"/>
    </row>
    <row r="77" spans="2:2">
      <c r="B77" s="109"/>
    </row>
    <row r="78" spans="2:2">
      <c r="B78" s="109"/>
    </row>
    <row r="79" spans="2:2">
      <c r="B79" s="109"/>
    </row>
    <row r="80" spans="2:2">
      <c r="B80" s="109"/>
    </row>
    <row r="81" spans="2:2">
      <c r="B81" s="109"/>
    </row>
    <row r="82" spans="2:2">
      <c r="B82" s="109"/>
    </row>
    <row r="83" spans="2:2">
      <c r="B83" s="109"/>
    </row>
    <row r="84" spans="2:2">
      <c r="B84" s="109"/>
    </row>
    <row r="85" spans="2:2">
      <c r="B85" s="109"/>
    </row>
    <row r="86" spans="2:2">
      <c r="B86" s="109"/>
    </row>
    <row r="87" spans="2:2">
      <c r="B87" s="109"/>
    </row>
    <row r="88" spans="2:2">
      <c r="B88" s="109"/>
    </row>
    <row r="89" spans="2:2">
      <c r="B89" s="109"/>
    </row>
    <row r="90" spans="2:2">
      <c r="B90" s="109"/>
    </row>
    <row r="91" spans="2:2">
      <c r="B91" s="109"/>
    </row>
    <row r="92" spans="2:2">
      <c r="B92" s="109"/>
    </row>
    <row r="93" spans="2:2">
      <c r="B93" s="109"/>
    </row>
    <row r="94" spans="2:2">
      <c r="B94" s="109"/>
    </row>
    <row r="95" spans="2:2">
      <c r="B95" s="109"/>
    </row>
    <row r="96" spans="2:2">
      <c r="B96" s="109"/>
    </row>
    <row r="97" spans="2:2">
      <c r="B97" s="109"/>
    </row>
    <row r="98" spans="2:2">
      <c r="B98" s="109"/>
    </row>
    <row r="99" spans="2:2">
      <c r="B99" s="109"/>
    </row>
    <row r="100" spans="2:2">
      <c r="B100" s="109"/>
    </row>
    <row r="101" spans="2:2">
      <c r="B101" s="109"/>
    </row>
    <row r="102" spans="2:2">
      <c r="B102" s="109"/>
    </row>
    <row r="103" spans="2:2">
      <c r="B103" s="109"/>
    </row>
    <row r="104" spans="2:2">
      <c r="B104" s="109"/>
    </row>
    <row r="105" spans="2:2">
      <c r="B105" s="109"/>
    </row>
    <row r="106" spans="2:2">
      <c r="B106" s="109"/>
    </row>
    <row r="107" spans="2:2">
      <c r="B107" s="109"/>
    </row>
    <row r="108" spans="2:2">
      <c r="B108" s="109"/>
    </row>
    <row r="109" spans="2:2">
      <c r="B109" s="109"/>
    </row>
    <row r="110" spans="2:2">
      <c r="B110" s="109"/>
    </row>
    <row r="111" spans="2:2">
      <c r="B111" s="109"/>
    </row>
    <row r="112" spans="2:2">
      <c r="B112" s="109"/>
    </row>
    <row r="113" spans="2:2">
      <c r="B113" s="109"/>
    </row>
    <row r="114" spans="2:2">
      <c r="B114" s="109"/>
    </row>
    <row r="115" spans="2:2">
      <c r="B115" s="109"/>
    </row>
    <row r="116" spans="2:2">
      <c r="B116" s="109"/>
    </row>
    <row r="117" spans="2:2">
      <c r="B117" s="109"/>
    </row>
    <row r="118" spans="2:2">
      <c r="B118" s="109"/>
    </row>
    <row r="119" spans="2:2">
      <c r="B119" s="109"/>
    </row>
    <row r="120" spans="2:2">
      <c r="B120" s="109"/>
    </row>
    <row r="121" spans="2:2">
      <c r="B121" s="109"/>
    </row>
    <row r="122" spans="2:2">
      <c r="B122" s="109"/>
    </row>
    <row r="123" spans="2:2">
      <c r="B123" s="109"/>
    </row>
    <row r="124" spans="2:2">
      <c r="B124" s="109"/>
    </row>
    <row r="125" spans="2:2">
      <c r="B125" s="109"/>
    </row>
    <row r="126" spans="2:2">
      <c r="B126" s="109"/>
    </row>
    <row r="127" spans="2:2">
      <c r="B127" s="109"/>
    </row>
    <row r="128" spans="2:2">
      <c r="B128" s="109"/>
    </row>
    <row r="129" spans="2:2">
      <c r="B129" s="109"/>
    </row>
    <row r="130" spans="2:2">
      <c r="B130" s="109"/>
    </row>
    <row r="131" spans="2:2">
      <c r="B131" s="109"/>
    </row>
    <row r="132" spans="2:2">
      <c r="B132" s="109"/>
    </row>
    <row r="133" spans="2:2">
      <c r="B133" s="109"/>
    </row>
    <row r="134" spans="2:2">
      <c r="B134" s="109"/>
    </row>
    <row r="135" spans="2:2">
      <c r="B135" s="109"/>
    </row>
    <row r="136" spans="2:2">
      <c r="B136" s="109"/>
    </row>
    <row r="137" spans="2:2">
      <c r="B137" s="109"/>
    </row>
    <row r="138" spans="2:2">
      <c r="B138" s="109"/>
    </row>
    <row r="139" spans="2:2">
      <c r="B139" s="109"/>
    </row>
    <row r="140" spans="2:2">
      <c r="B140" s="109"/>
    </row>
    <row r="141" spans="2:2">
      <c r="B141" s="109"/>
    </row>
    <row r="142" spans="2:2">
      <c r="B142" s="109"/>
    </row>
    <row r="143" spans="2:2">
      <c r="B143" s="109"/>
    </row>
    <row r="144" spans="2:2">
      <c r="B144" s="109"/>
    </row>
    <row r="145" spans="2:2">
      <c r="B145" s="109"/>
    </row>
    <row r="146" spans="2:2">
      <c r="B146" s="109"/>
    </row>
    <row r="147" spans="2:2">
      <c r="B147" s="109"/>
    </row>
    <row r="148" spans="2:2">
      <c r="B148" s="109"/>
    </row>
    <row r="149" spans="2:2">
      <c r="B149" s="109"/>
    </row>
    <row r="150" spans="2:2">
      <c r="B150" s="109"/>
    </row>
    <row r="151" spans="2:2">
      <c r="B151" s="109"/>
    </row>
    <row r="152" spans="2:2">
      <c r="B152" s="109"/>
    </row>
    <row r="153" spans="2:2">
      <c r="B153" s="109"/>
    </row>
    <row r="154" spans="2:2">
      <c r="B154" s="109"/>
    </row>
    <row r="155" spans="2:2">
      <c r="B155" s="109"/>
    </row>
    <row r="156" spans="2:2">
      <c r="B156" s="109"/>
    </row>
    <row r="157" spans="2:2">
      <c r="B157" s="109"/>
    </row>
    <row r="158" spans="2:2">
      <c r="B158" s="109"/>
    </row>
    <row r="159" spans="2:2">
      <c r="B159" s="109"/>
    </row>
    <row r="160" spans="2:2">
      <c r="B160" s="109"/>
    </row>
    <row r="161" spans="2:2">
      <c r="B161" s="109"/>
    </row>
    <row r="162" spans="2:2">
      <c r="B162" s="109"/>
    </row>
    <row r="163" spans="2:2">
      <c r="B163" s="109"/>
    </row>
    <row r="164" spans="2:2">
      <c r="B164" s="109"/>
    </row>
    <row r="165" spans="2:2">
      <c r="B165" s="109"/>
    </row>
    <row r="166" spans="2:2">
      <c r="B166" s="109"/>
    </row>
    <row r="167" spans="2:2">
      <c r="B167" s="109"/>
    </row>
    <row r="168" spans="2:2">
      <c r="B168" s="109"/>
    </row>
    <row r="169" spans="2:2">
      <c r="B169" s="109"/>
    </row>
    <row r="170" spans="2:2">
      <c r="B170" s="109"/>
    </row>
    <row r="171" spans="2:2">
      <c r="B171" s="109"/>
    </row>
    <row r="172" spans="2:2">
      <c r="B172" s="109"/>
    </row>
    <row r="173" spans="2:2">
      <c r="B173" s="109"/>
    </row>
    <row r="174" spans="2:2">
      <c r="B174" s="109"/>
    </row>
    <row r="175" spans="2:2">
      <c r="B175" s="109"/>
    </row>
    <row r="176" spans="2:2">
      <c r="B176" s="109"/>
    </row>
    <row r="177" spans="2:2">
      <c r="B177" s="109"/>
    </row>
    <row r="178" spans="2:2">
      <c r="B178" s="109"/>
    </row>
    <row r="179" spans="2:2">
      <c r="B179" s="109"/>
    </row>
    <row r="180" spans="2:2">
      <c r="B180" s="109"/>
    </row>
    <row r="181" spans="2:2">
      <c r="B181" s="109"/>
    </row>
    <row r="182" spans="2:2">
      <c r="B182" s="109"/>
    </row>
    <row r="183" spans="2:2">
      <c r="B183" s="109"/>
    </row>
    <row r="184" spans="2:2">
      <c r="B184" s="109"/>
    </row>
    <row r="185" spans="2:2">
      <c r="B185" s="109"/>
    </row>
    <row r="186" spans="2:2">
      <c r="B186" s="109"/>
    </row>
    <row r="187" spans="2:2">
      <c r="B187" s="109"/>
    </row>
    <row r="188" spans="2:2">
      <c r="B188" s="109"/>
    </row>
    <row r="189" spans="2:2">
      <c r="B189" s="109"/>
    </row>
    <row r="190" spans="2:2">
      <c r="B190" s="109"/>
    </row>
    <row r="191" spans="2:2">
      <c r="B191" s="109"/>
    </row>
    <row r="192" spans="2:2">
      <c r="B192" s="109"/>
    </row>
    <row r="193" spans="2:2">
      <c r="B193" s="109"/>
    </row>
    <row r="194" spans="2:2">
      <c r="B194" s="109"/>
    </row>
    <row r="195" spans="2:2">
      <c r="B195" s="109"/>
    </row>
    <row r="196" spans="2:2">
      <c r="B196" s="109"/>
    </row>
    <row r="197" spans="2:2">
      <c r="B197" s="109"/>
    </row>
    <row r="198" spans="2:2">
      <c r="B198" s="109"/>
    </row>
    <row r="199" spans="2:2">
      <c r="B199" s="109"/>
    </row>
    <row r="200" spans="2:2">
      <c r="B200" s="109"/>
    </row>
    <row r="201" spans="2:2">
      <c r="B201" s="109"/>
    </row>
    <row r="202" spans="2:2">
      <c r="B202" s="109"/>
    </row>
    <row r="203" spans="2:2">
      <c r="B203" s="109"/>
    </row>
    <row r="204" spans="2:2">
      <c r="B204" s="109"/>
    </row>
    <row r="205" spans="2:2">
      <c r="B205" s="109"/>
    </row>
    <row r="206" spans="2:2">
      <c r="B206" s="109"/>
    </row>
    <row r="207" spans="2:2">
      <c r="B207" s="109"/>
    </row>
    <row r="208" spans="2:2">
      <c r="B208" s="109"/>
    </row>
    <row r="209" spans="2:2">
      <c r="B209" s="109"/>
    </row>
    <row r="210" spans="2:2">
      <c r="B210" s="109"/>
    </row>
    <row r="211" spans="2:2">
      <c r="B211" s="109"/>
    </row>
    <row r="212" spans="2:2">
      <c r="B212" s="109"/>
    </row>
    <row r="213" spans="2:2">
      <c r="B213" s="109"/>
    </row>
    <row r="214" spans="2:2">
      <c r="B214" s="109"/>
    </row>
    <row r="215" spans="2:2">
      <c r="B215" s="109"/>
    </row>
    <row r="216" spans="2:2">
      <c r="B216" s="109"/>
    </row>
    <row r="217" spans="2:2">
      <c r="B217" s="109"/>
    </row>
    <row r="218" spans="2:2">
      <c r="B218" s="109"/>
    </row>
    <row r="219" spans="2:2">
      <c r="B219" s="109"/>
    </row>
    <row r="220" spans="2:2">
      <c r="B220" s="109"/>
    </row>
    <row r="221" spans="2:2">
      <c r="B221" s="109"/>
    </row>
    <row r="222" spans="2:2">
      <c r="B222" s="109"/>
    </row>
    <row r="223" spans="2:2">
      <c r="B223" s="109"/>
    </row>
    <row r="224" spans="2:2">
      <c r="B224" s="109"/>
    </row>
    <row r="225" spans="2:2">
      <c r="B225" s="109"/>
    </row>
    <row r="226" spans="2:2">
      <c r="B226" s="109"/>
    </row>
    <row r="227" spans="2:2">
      <c r="B227" s="109"/>
    </row>
    <row r="228" spans="2:2">
      <c r="B228" s="109"/>
    </row>
    <row r="229" spans="2:2">
      <c r="B229" s="109"/>
    </row>
    <row r="230" spans="2:2">
      <c r="B230" s="109"/>
    </row>
    <row r="231" spans="2:2">
      <c r="B231" s="109"/>
    </row>
    <row r="232" spans="2:2">
      <c r="B232" s="109"/>
    </row>
    <row r="233" spans="2:2">
      <c r="B233" s="109"/>
    </row>
    <row r="234" spans="2:2">
      <c r="B234" s="109"/>
    </row>
    <row r="235" spans="2:2">
      <c r="B235" s="109"/>
    </row>
    <row r="236" spans="2:2">
      <c r="B236" s="109"/>
    </row>
    <row r="237" spans="2:2">
      <c r="B237" s="109"/>
    </row>
    <row r="238" spans="2:2">
      <c r="B238" s="109"/>
    </row>
    <row r="239" spans="2:2">
      <c r="B239" s="109"/>
    </row>
    <row r="240" spans="2:2">
      <c r="B240" s="109"/>
    </row>
    <row r="241" spans="2:2">
      <c r="B241" s="109"/>
    </row>
    <row r="242" spans="2:2">
      <c r="B242" s="109"/>
    </row>
    <row r="243" spans="2:2">
      <c r="B243" s="109"/>
    </row>
    <row r="244" spans="2:2">
      <c r="B244" s="109"/>
    </row>
    <row r="245" spans="2:2">
      <c r="B245" s="109"/>
    </row>
    <row r="246" spans="2:2">
      <c r="B246" s="109"/>
    </row>
    <row r="247" spans="2:2">
      <c r="B247" s="109"/>
    </row>
    <row r="248" spans="2:2">
      <c r="B248" s="109"/>
    </row>
    <row r="249" spans="2:2">
      <c r="B249" s="109"/>
    </row>
    <row r="250" spans="2:2">
      <c r="B250" s="109"/>
    </row>
    <row r="251" spans="2:2">
      <c r="B251" s="109"/>
    </row>
    <row r="252" spans="2:2">
      <c r="B252" s="109"/>
    </row>
    <row r="253" spans="2:2">
      <c r="B253" s="109"/>
    </row>
    <row r="254" spans="2:2">
      <c r="B254" s="109"/>
    </row>
    <row r="255" spans="2:2">
      <c r="B255" s="109"/>
    </row>
    <row r="256" spans="2:2">
      <c r="B256" s="109"/>
    </row>
    <row r="257" spans="2:2">
      <c r="B257" s="109"/>
    </row>
    <row r="258" spans="2:2">
      <c r="B258" s="109"/>
    </row>
    <row r="259" spans="2:2">
      <c r="B259" s="109"/>
    </row>
    <row r="260" spans="2:2">
      <c r="B260" s="109"/>
    </row>
    <row r="261" spans="2:2">
      <c r="B261" s="109"/>
    </row>
    <row r="262" spans="2:2">
      <c r="B262" s="109"/>
    </row>
    <row r="263" spans="2:2">
      <c r="B263" s="109"/>
    </row>
    <row r="264" spans="2:2">
      <c r="B264" s="109"/>
    </row>
    <row r="265" spans="2:2">
      <c r="B265" s="109"/>
    </row>
    <row r="266" spans="2:2">
      <c r="B266" s="109"/>
    </row>
    <row r="267" spans="2:2">
      <c r="B267" s="109"/>
    </row>
    <row r="268" spans="2:2">
      <c r="B268" s="109"/>
    </row>
    <row r="269" spans="2:2">
      <c r="B269" s="109"/>
    </row>
    <row r="270" spans="2:2">
      <c r="B270" s="109"/>
    </row>
    <row r="271" spans="2:2">
      <c r="B271" s="109"/>
    </row>
    <row r="272" spans="2:2">
      <c r="B272" s="109"/>
    </row>
    <row r="273" spans="2:2">
      <c r="B273" s="109"/>
    </row>
    <row r="274" spans="2:2">
      <c r="B274" s="109"/>
    </row>
    <row r="275" spans="2:2">
      <c r="B275" s="109"/>
    </row>
    <row r="276" spans="2:2">
      <c r="B276" s="109"/>
    </row>
    <row r="277" spans="2:2">
      <c r="B277" s="109"/>
    </row>
    <row r="278" spans="2:2">
      <c r="B278" s="109"/>
    </row>
    <row r="279" spans="2:2">
      <c r="B279" s="109"/>
    </row>
    <row r="280" spans="2:2">
      <c r="B280" s="109"/>
    </row>
    <row r="281" spans="2:2">
      <c r="B281" s="109"/>
    </row>
    <row r="282" spans="2:2">
      <c r="B282" s="109"/>
    </row>
    <row r="283" spans="2:2">
      <c r="B283" s="109"/>
    </row>
    <row r="284" spans="2:2">
      <c r="B284" s="109"/>
    </row>
    <row r="285" spans="2:2">
      <c r="B285" s="109"/>
    </row>
    <row r="286" spans="2:2">
      <c r="B286" s="109"/>
    </row>
    <row r="287" spans="2:2">
      <c r="B287" s="109"/>
    </row>
    <row r="288" spans="2:2">
      <c r="B288" s="109"/>
    </row>
    <row r="289" spans="2:2">
      <c r="B289" s="109"/>
    </row>
    <row r="290" spans="2:2">
      <c r="B290" s="109"/>
    </row>
    <row r="291" spans="2:2">
      <c r="B291" s="109"/>
    </row>
    <row r="292" spans="2:2">
      <c r="B292" s="109"/>
    </row>
    <row r="293" spans="2:2">
      <c r="B293" s="109"/>
    </row>
    <row r="294" spans="2:2">
      <c r="B294" s="109"/>
    </row>
    <row r="295" spans="2:2">
      <c r="B295" s="109"/>
    </row>
    <row r="296" spans="2:2">
      <c r="B296" s="109"/>
    </row>
    <row r="297" spans="2:2">
      <c r="B297" s="109"/>
    </row>
    <row r="298" spans="2:2">
      <c r="B298" s="109"/>
    </row>
    <row r="299" spans="2:2">
      <c r="B299" s="109"/>
    </row>
    <row r="300" spans="2:2">
      <c r="B300" s="109"/>
    </row>
    <row r="301" spans="2:2">
      <c r="B301" s="109"/>
    </row>
    <row r="302" spans="2:2">
      <c r="B302" s="109"/>
    </row>
    <row r="303" spans="2:2">
      <c r="B303" s="109"/>
    </row>
    <row r="304" spans="2:2">
      <c r="B304" s="109"/>
    </row>
    <row r="305" spans="2:2">
      <c r="B305" s="109"/>
    </row>
    <row r="306" spans="2:2">
      <c r="B306" s="109"/>
    </row>
    <row r="307" spans="2:2">
      <c r="B307" s="109"/>
    </row>
    <row r="308" spans="2:2">
      <c r="B308" s="109"/>
    </row>
    <row r="309" spans="2:2">
      <c r="B309" s="109"/>
    </row>
    <row r="310" spans="2:2">
      <c r="B310" s="109"/>
    </row>
    <row r="311" spans="2:2">
      <c r="B311" s="109"/>
    </row>
    <row r="312" spans="2:2">
      <c r="B312" s="109"/>
    </row>
    <row r="313" spans="2:2">
      <c r="B313" s="109"/>
    </row>
    <row r="314" spans="2:2">
      <c r="B314" s="109"/>
    </row>
    <row r="315" spans="2:2">
      <c r="B315" s="109"/>
    </row>
    <row r="316" spans="2:2">
      <c r="B316" s="109"/>
    </row>
    <row r="317" spans="2:2">
      <c r="B317" s="109"/>
    </row>
    <row r="318" spans="2:2">
      <c r="B318" s="109"/>
    </row>
    <row r="319" spans="2:2">
      <c r="B319" s="109"/>
    </row>
    <row r="320" spans="2:2">
      <c r="B320" s="109"/>
    </row>
    <row r="321" spans="2:2">
      <c r="B321" s="109"/>
    </row>
    <row r="322" spans="2:2">
      <c r="B322" s="109"/>
    </row>
    <row r="323" spans="2:2">
      <c r="B323" s="109"/>
    </row>
    <row r="324" spans="2:2">
      <c r="B324" s="109"/>
    </row>
    <row r="325" spans="2:2">
      <c r="B325" s="109"/>
    </row>
    <row r="326" spans="2:2">
      <c r="B326" s="109"/>
    </row>
    <row r="327" spans="2:2">
      <c r="B327" s="109"/>
    </row>
    <row r="328" spans="2:2">
      <c r="B328" s="109"/>
    </row>
    <row r="329" spans="2:2">
      <c r="B329" s="109"/>
    </row>
    <row r="330" spans="2:2">
      <c r="B330" s="109"/>
    </row>
    <row r="331" spans="2:2">
      <c r="B331" s="109"/>
    </row>
    <row r="332" spans="2:2">
      <c r="B332" s="109"/>
    </row>
    <row r="333" spans="2:2">
      <c r="B333" s="109"/>
    </row>
    <row r="334" spans="2:2">
      <c r="B334" s="109"/>
    </row>
    <row r="335" spans="2:2">
      <c r="B335" s="109"/>
    </row>
    <row r="336" spans="2:2">
      <c r="B336" s="109"/>
    </row>
    <row r="337" spans="2:2">
      <c r="B337" s="109"/>
    </row>
    <row r="338" spans="2:2">
      <c r="B338" s="109"/>
    </row>
    <row r="339" spans="2:2">
      <c r="B339" s="109"/>
    </row>
    <row r="340" spans="2:2">
      <c r="B340" s="109"/>
    </row>
    <row r="341" spans="2:2">
      <c r="B341" s="109"/>
    </row>
    <row r="342" spans="2:2">
      <c r="B342" s="109"/>
    </row>
    <row r="343" spans="2:2">
      <c r="B343" s="109"/>
    </row>
    <row r="344" spans="2:2">
      <c r="B344" s="109"/>
    </row>
    <row r="345" spans="2:2">
      <c r="B345" s="109"/>
    </row>
    <row r="346" spans="2:2">
      <c r="B346" s="109"/>
    </row>
    <row r="347" spans="2:2">
      <c r="B347" s="109"/>
    </row>
    <row r="348" spans="2:2">
      <c r="B348" s="109"/>
    </row>
    <row r="349" spans="2:2">
      <c r="B349" s="109"/>
    </row>
    <row r="350" spans="2:2">
      <c r="B350" s="109"/>
    </row>
    <row r="351" spans="2:2">
      <c r="B351" s="109"/>
    </row>
    <row r="352" spans="2:2">
      <c r="B352" s="109"/>
    </row>
    <row r="353" spans="2:2">
      <c r="B353" s="109"/>
    </row>
    <row r="354" spans="2:2">
      <c r="B354" s="109"/>
    </row>
    <row r="355" spans="2:2">
      <c r="B355" s="109"/>
    </row>
    <row r="356" spans="2:2">
      <c r="B356" s="109"/>
    </row>
    <row r="357" spans="2:2">
      <c r="B357" s="109"/>
    </row>
    <row r="358" spans="2:2">
      <c r="B358" s="109"/>
    </row>
    <row r="359" spans="2:2">
      <c r="B359" s="109"/>
    </row>
    <row r="360" spans="2:2">
      <c r="B360" s="109"/>
    </row>
    <row r="361" spans="2:2">
      <c r="B361" s="109"/>
    </row>
    <row r="362" spans="2:2">
      <c r="B362" s="109"/>
    </row>
    <row r="363" spans="2:2">
      <c r="B363" s="109"/>
    </row>
    <row r="364" spans="2:2">
      <c r="B364" s="109"/>
    </row>
    <row r="365" spans="2:2">
      <c r="B365" s="109"/>
    </row>
    <row r="366" spans="2:2">
      <c r="B366" s="109"/>
    </row>
    <row r="367" spans="2:2">
      <c r="B367" s="109"/>
    </row>
    <row r="368" spans="2:2">
      <c r="B368" s="109"/>
    </row>
    <row r="369" spans="2:2">
      <c r="B369" s="109"/>
    </row>
    <row r="370" spans="2:2">
      <c r="B370" s="109"/>
    </row>
    <row r="371" spans="2:2">
      <c r="B371" s="109"/>
    </row>
    <row r="372" spans="2:2">
      <c r="B372" s="109"/>
    </row>
    <row r="373" spans="2:2">
      <c r="B373" s="109"/>
    </row>
    <row r="374" spans="2:2">
      <c r="B374" s="109"/>
    </row>
    <row r="375" spans="2:2">
      <c r="B375" s="109"/>
    </row>
    <row r="376" spans="2:2">
      <c r="B376" s="109"/>
    </row>
    <row r="377" spans="2:2">
      <c r="B377" s="109"/>
    </row>
    <row r="378" spans="2:2">
      <c r="B378" s="109"/>
    </row>
    <row r="379" spans="2:2">
      <c r="B379" s="109"/>
    </row>
    <row r="380" spans="2:2">
      <c r="B380" s="109"/>
    </row>
    <row r="381" spans="2:2">
      <c r="B381" s="109"/>
    </row>
    <row r="382" spans="2:2">
      <c r="B382" s="109"/>
    </row>
    <row r="383" spans="2:2">
      <c r="B383" s="109"/>
    </row>
    <row r="384" spans="2:2">
      <c r="B384" s="109"/>
    </row>
    <row r="385" spans="2:2">
      <c r="B385" s="109"/>
    </row>
    <row r="386" spans="2:2">
      <c r="B386" s="109"/>
    </row>
    <row r="387" spans="2:2">
      <c r="B387" s="109"/>
    </row>
    <row r="388" spans="2:2">
      <c r="B388" s="109"/>
    </row>
    <row r="389" spans="2:2">
      <c r="B389" s="109"/>
    </row>
    <row r="390" spans="2:2">
      <c r="B390" s="109"/>
    </row>
    <row r="391" spans="2:2">
      <c r="B391" s="109"/>
    </row>
    <row r="392" spans="2:2">
      <c r="B392" s="109"/>
    </row>
    <row r="393" spans="2:2">
      <c r="B393" s="109"/>
    </row>
    <row r="394" spans="2:2">
      <c r="B394" s="109"/>
    </row>
    <row r="395" spans="2:2">
      <c r="B395" s="109"/>
    </row>
    <row r="396" spans="2:2">
      <c r="B396" s="109"/>
    </row>
    <row r="397" spans="2:2">
      <c r="B397" s="109"/>
    </row>
    <row r="398" spans="2:2">
      <c r="B398" s="109"/>
    </row>
    <row r="399" spans="2:2">
      <c r="B399" s="109"/>
    </row>
    <row r="400" spans="2:2">
      <c r="B400" s="109"/>
    </row>
    <row r="401" spans="2:2">
      <c r="B401" s="109"/>
    </row>
    <row r="402" spans="2:2">
      <c r="B402" s="109"/>
    </row>
    <row r="403" spans="2:2">
      <c r="B403" s="109"/>
    </row>
    <row r="404" spans="2:2">
      <c r="B404" s="109"/>
    </row>
    <row r="405" spans="2:2">
      <c r="B405" s="109"/>
    </row>
    <row r="406" spans="2:2">
      <c r="B406" s="109"/>
    </row>
    <row r="407" spans="2:2">
      <c r="B407" s="109"/>
    </row>
    <row r="408" spans="2:2">
      <c r="B408" s="109"/>
    </row>
    <row r="409" spans="2:2">
      <c r="B409" s="109"/>
    </row>
    <row r="410" spans="2:2">
      <c r="B410" s="109"/>
    </row>
    <row r="411" spans="2:2">
      <c r="B411" s="109"/>
    </row>
    <row r="412" spans="2:2">
      <c r="B412" s="109"/>
    </row>
    <row r="413" spans="2:2">
      <c r="B413" s="109"/>
    </row>
    <row r="414" spans="2:2">
      <c r="B414" s="109"/>
    </row>
    <row r="415" spans="2:2">
      <c r="B415" s="109"/>
    </row>
    <row r="416" spans="2:2">
      <c r="B416" s="109"/>
    </row>
    <row r="417" spans="2:2">
      <c r="B417" s="109"/>
    </row>
    <row r="418" spans="2:2">
      <c r="B418" s="109"/>
    </row>
    <row r="419" spans="2:2">
      <c r="B419" s="109"/>
    </row>
    <row r="420" spans="2:2">
      <c r="B420" s="109"/>
    </row>
    <row r="421" spans="2:2">
      <c r="B421" s="109"/>
    </row>
    <row r="422" spans="2:2">
      <c r="B422" s="109"/>
    </row>
    <row r="423" spans="2:2">
      <c r="B423" s="109"/>
    </row>
    <row r="424" spans="2:2">
      <c r="B424" s="109"/>
    </row>
    <row r="425" spans="2:2">
      <c r="B425" s="109"/>
    </row>
    <row r="426" spans="2:2">
      <c r="B426" s="109"/>
    </row>
    <row r="427" spans="2:2">
      <c r="B427" s="109"/>
    </row>
    <row r="428" spans="2:2">
      <c r="B428" s="109"/>
    </row>
    <row r="429" spans="2:2">
      <c r="B429" s="109"/>
    </row>
    <row r="430" spans="2:2">
      <c r="B430" s="109"/>
    </row>
    <row r="431" spans="2:2">
      <c r="B431" s="109"/>
    </row>
    <row r="432" spans="2:2">
      <c r="B432" s="109"/>
    </row>
    <row r="433" spans="2:2">
      <c r="B433" s="109"/>
    </row>
    <row r="434" spans="2:2">
      <c r="B434" s="109"/>
    </row>
    <row r="435" spans="2:2">
      <c r="B435" s="109"/>
    </row>
    <row r="436" spans="2:2">
      <c r="B436" s="109"/>
    </row>
    <row r="437" spans="2:2">
      <c r="B437" s="109"/>
    </row>
    <row r="438" spans="2:2">
      <c r="B438" s="109"/>
    </row>
    <row r="439" spans="2:2">
      <c r="B439" s="109"/>
    </row>
    <row r="440" spans="2:2">
      <c r="B440" s="109"/>
    </row>
    <row r="441" spans="2:2">
      <c r="B441" s="109"/>
    </row>
    <row r="442" spans="2:2">
      <c r="B442" s="109"/>
    </row>
    <row r="443" spans="2:2">
      <c r="B443" s="109"/>
    </row>
    <row r="444" spans="2:2">
      <c r="B444" s="109"/>
    </row>
    <row r="445" spans="2:2">
      <c r="B445" s="109"/>
    </row>
    <row r="446" spans="2:2">
      <c r="B446" s="109"/>
    </row>
    <row r="447" spans="2:2">
      <c r="B447" s="109"/>
    </row>
    <row r="448" spans="2:2">
      <c r="B448" s="109"/>
    </row>
    <row r="449" spans="2:2">
      <c r="B449" s="109"/>
    </row>
    <row r="450" spans="2:2">
      <c r="B450" s="109"/>
    </row>
    <row r="451" spans="2:2">
      <c r="B451" s="109"/>
    </row>
    <row r="452" spans="2:2">
      <c r="B452" s="109"/>
    </row>
    <row r="453" spans="2:2">
      <c r="B453" s="109"/>
    </row>
    <row r="454" spans="2:2">
      <c r="B454" s="109"/>
    </row>
    <row r="455" spans="2:2">
      <c r="B455" s="109"/>
    </row>
    <row r="456" spans="2:2">
      <c r="B456" s="109"/>
    </row>
    <row r="457" spans="2:2">
      <c r="B457" s="109"/>
    </row>
    <row r="458" spans="2:2">
      <c r="B458" s="109"/>
    </row>
    <row r="459" spans="2:2">
      <c r="B459" s="109"/>
    </row>
    <row r="460" spans="2:2">
      <c r="B460" s="109"/>
    </row>
    <row r="461" spans="2:2">
      <c r="B461" s="109"/>
    </row>
    <row r="462" spans="2:2">
      <c r="B462" s="109"/>
    </row>
    <row r="463" spans="2:2">
      <c r="B463" s="109"/>
    </row>
    <row r="464" spans="2:2">
      <c r="B464" s="109"/>
    </row>
    <row r="465" spans="2:2">
      <c r="B465" s="109"/>
    </row>
    <row r="466" spans="2:2">
      <c r="B466" s="109"/>
    </row>
    <row r="467" spans="2:2">
      <c r="B467" s="109"/>
    </row>
    <row r="468" spans="2:2">
      <c r="B468" s="109"/>
    </row>
    <row r="469" spans="2:2">
      <c r="B469" s="109"/>
    </row>
    <row r="470" spans="2:2">
      <c r="B470" s="109"/>
    </row>
    <row r="471" spans="2:2">
      <c r="B471" s="109"/>
    </row>
    <row r="472" spans="2:2">
      <c r="B472" s="109"/>
    </row>
    <row r="473" spans="2:2">
      <c r="B473" s="109"/>
    </row>
    <row r="474" spans="2:2">
      <c r="B474" s="109"/>
    </row>
    <row r="475" spans="2:2">
      <c r="B475" s="109"/>
    </row>
    <row r="476" spans="2:2">
      <c r="B476" s="109"/>
    </row>
    <row r="477" spans="2:2">
      <c r="B477" s="109"/>
    </row>
    <row r="478" spans="2:2">
      <c r="B478" s="109"/>
    </row>
    <row r="479" spans="2:2">
      <c r="B479" s="109"/>
    </row>
    <row r="480" spans="2:2">
      <c r="B480" s="109"/>
    </row>
    <row r="481" spans="2:2">
      <c r="B481" s="109"/>
    </row>
    <row r="482" spans="2:2">
      <c r="B482" s="109"/>
    </row>
    <row r="483" spans="2:2">
      <c r="B483" s="109"/>
    </row>
    <row r="484" spans="2:2">
      <c r="B484" s="109"/>
    </row>
    <row r="485" spans="2:2">
      <c r="B485" s="109"/>
    </row>
    <row r="486" spans="2:2">
      <c r="B486" s="109"/>
    </row>
    <row r="487" spans="2:2">
      <c r="B487" s="109"/>
    </row>
    <row r="488" spans="2:2">
      <c r="B488" s="109"/>
    </row>
    <row r="489" spans="2:2">
      <c r="B489" s="109"/>
    </row>
    <row r="490" spans="2:2">
      <c r="B490" s="109"/>
    </row>
    <row r="491" spans="2:2">
      <c r="B491" s="109"/>
    </row>
    <row r="492" spans="2:2">
      <c r="B492" s="109"/>
    </row>
    <row r="493" spans="2:2">
      <c r="B493" s="109"/>
    </row>
    <row r="494" spans="2:2">
      <c r="B494" s="109"/>
    </row>
    <row r="495" spans="2:2">
      <c r="B495" s="109"/>
    </row>
    <row r="496" spans="2:2">
      <c r="B496" s="109"/>
    </row>
    <row r="497" spans="2:2">
      <c r="B497" s="109"/>
    </row>
    <row r="498" spans="2:2">
      <c r="B498" s="109"/>
    </row>
    <row r="499" spans="2:2">
      <c r="B499" s="109"/>
    </row>
    <row r="500" spans="2:2">
      <c r="B500" s="109"/>
    </row>
    <row r="501" spans="2:2">
      <c r="B501" s="109"/>
    </row>
    <row r="502" spans="2:2">
      <c r="B502" s="109"/>
    </row>
    <row r="503" spans="2:2">
      <c r="B503" s="109"/>
    </row>
    <row r="504" spans="2:2">
      <c r="B504" s="109"/>
    </row>
    <row r="505" spans="2:2">
      <c r="B505" s="109"/>
    </row>
    <row r="506" spans="2:2">
      <c r="B506" s="109"/>
    </row>
    <row r="507" spans="2:2">
      <c r="B507" s="109"/>
    </row>
    <row r="508" spans="2:2">
      <c r="B508" s="109"/>
    </row>
    <row r="509" spans="2:2">
      <c r="B509" s="109"/>
    </row>
    <row r="510" spans="2:2">
      <c r="B510" s="109"/>
    </row>
    <row r="511" spans="2:2">
      <c r="B511" s="109"/>
    </row>
    <row r="512" spans="2:2">
      <c r="B512" s="109"/>
    </row>
    <row r="513" spans="2:2">
      <c r="B513" s="109"/>
    </row>
    <row r="514" spans="2:2">
      <c r="B514" s="109"/>
    </row>
    <row r="515" spans="2:2">
      <c r="B515" s="109"/>
    </row>
    <row r="516" spans="2:2">
      <c r="B516" s="109"/>
    </row>
    <row r="517" spans="2:2">
      <c r="B517" s="109"/>
    </row>
    <row r="518" spans="2:2">
      <c r="B518" s="109"/>
    </row>
    <row r="519" spans="2:2">
      <c r="B519" s="109"/>
    </row>
    <row r="520" spans="2:2">
      <c r="B520" s="109"/>
    </row>
    <row r="521" spans="2:2">
      <c r="B521" s="109"/>
    </row>
    <row r="522" spans="2:2">
      <c r="B522" s="109"/>
    </row>
    <row r="523" spans="2:2">
      <c r="B523" s="109"/>
    </row>
    <row r="524" spans="2:2">
      <c r="B524" s="109"/>
    </row>
    <row r="525" spans="2:2">
      <c r="B525" s="109"/>
    </row>
    <row r="526" spans="2:2">
      <c r="B526" s="109"/>
    </row>
    <row r="527" spans="2:2">
      <c r="B527" s="109"/>
    </row>
    <row r="528" spans="2:2">
      <c r="B528" s="109"/>
    </row>
    <row r="529" spans="2:2">
      <c r="B529" s="109"/>
    </row>
    <row r="530" spans="2:2">
      <c r="B530" s="109"/>
    </row>
    <row r="531" spans="2:2">
      <c r="B531" s="109"/>
    </row>
    <row r="532" spans="2:2">
      <c r="B532" s="109"/>
    </row>
    <row r="533" spans="2:2">
      <c r="B533" s="109"/>
    </row>
    <row r="534" spans="2:2">
      <c r="B534" s="109"/>
    </row>
    <row r="535" spans="2:2">
      <c r="B535" s="109"/>
    </row>
    <row r="536" spans="2:2">
      <c r="B536" s="109"/>
    </row>
    <row r="537" spans="2:2">
      <c r="B537" s="109"/>
    </row>
    <row r="538" spans="2:2">
      <c r="B538" s="109"/>
    </row>
    <row r="539" spans="2:2">
      <c r="B539" s="109"/>
    </row>
    <row r="540" spans="2:2">
      <c r="B540" s="109"/>
    </row>
    <row r="541" spans="2:2">
      <c r="B541" s="109"/>
    </row>
    <row r="542" spans="2:2">
      <c r="B542" s="109"/>
    </row>
    <row r="543" spans="2:2">
      <c r="B543" s="109"/>
    </row>
    <row r="544" spans="2:2">
      <c r="B544" s="109"/>
    </row>
    <row r="545" spans="2:2">
      <c r="B545" s="109"/>
    </row>
    <row r="546" spans="2:2">
      <c r="B546" s="109"/>
    </row>
    <row r="547" spans="2:2">
      <c r="B547" s="109"/>
    </row>
    <row r="548" spans="2:2">
      <c r="B548" s="109"/>
    </row>
    <row r="549" spans="2:2">
      <c r="B549" s="109"/>
    </row>
    <row r="550" spans="2:2">
      <c r="B550" s="109"/>
    </row>
    <row r="551" spans="2:2">
      <c r="B551" s="109"/>
    </row>
    <row r="552" spans="2:2">
      <c r="B552" s="109"/>
    </row>
    <row r="553" spans="2:2">
      <c r="B553" s="109"/>
    </row>
    <row r="554" spans="2:2">
      <c r="B554" s="109"/>
    </row>
    <row r="555" spans="2:2">
      <c r="B555" s="109"/>
    </row>
    <row r="556" spans="2:2">
      <c r="B556" s="109"/>
    </row>
    <row r="557" spans="2:2">
      <c r="B557" s="109"/>
    </row>
    <row r="558" spans="2:2">
      <c r="B558" s="109"/>
    </row>
    <row r="559" spans="2:2">
      <c r="B559" s="109"/>
    </row>
    <row r="560" spans="2:2">
      <c r="B560" s="109"/>
    </row>
    <row r="561" spans="2:2">
      <c r="B561" s="109"/>
    </row>
    <row r="562" spans="2:2">
      <c r="B562" s="109"/>
    </row>
    <row r="563" spans="2:2">
      <c r="B563" s="109"/>
    </row>
    <row r="564" spans="2:2">
      <c r="B564" s="109"/>
    </row>
    <row r="565" spans="2:2">
      <c r="B565" s="109"/>
    </row>
    <row r="566" spans="2:2">
      <c r="B566" s="109"/>
    </row>
    <row r="567" spans="2:2">
      <c r="B567" s="109"/>
    </row>
    <row r="568" spans="2:2">
      <c r="B568" s="109"/>
    </row>
    <row r="569" spans="2:2">
      <c r="B569" s="109"/>
    </row>
    <row r="570" spans="2:2">
      <c r="B570" s="109"/>
    </row>
    <row r="571" spans="2:2">
      <c r="B571" s="109"/>
    </row>
    <row r="572" spans="2:2">
      <c r="B572" s="109"/>
    </row>
    <row r="573" spans="2:2">
      <c r="B573" s="109"/>
    </row>
    <row r="574" spans="2:2">
      <c r="B574" s="109"/>
    </row>
    <row r="575" spans="2:2">
      <c r="B575" s="109"/>
    </row>
    <row r="576" spans="2:2">
      <c r="B576" s="109"/>
    </row>
    <row r="577" spans="2:2">
      <c r="B577" s="109"/>
    </row>
    <row r="578" spans="2:2">
      <c r="B578" s="109"/>
    </row>
    <row r="579" spans="2:2">
      <c r="B579" s="109"/>
    </row>
    <row r="580" spans="2:2">
      <c r="B580" s="109"/>
    </row>
    <row r="581" spans="2:2">
      <c r="B581" s="109"/>
    </row>
    <row r="582" spans="2:2">
      <c r="B582" s="109"/>
    </row>
    <row r="583" spans="2:2">
      <c r="B583" s="109"/>
    </row>
    <row r="584" spans="2:2">
      <c r="B584" s="109"/>
    </row>
    <row r="585" spans="2:2">
      <c r="B585" s="109"/>
    </row>
    <row r="586" spans="2:2">
      <c r="B586" s="109"/>
    </row>
    <row r="587" spans="2:2">
      <c r="B587" s="109"/>
    </row>
    <row r="588" spans="2:2">
      <c r="B588" s="109"/>
    </row>
    <row r="589" spans="2:2">
      <c r="B589" s="109"/>
    </row>
    <row r="590" spans="2:2">
      <c r="B590" s="109"/>
    </row>
    <row r="591" spans="2:2">
      <c r="B591" s="109"/>
    </row>
    <row r="592" spans="2:2">
      <c r="B592" s="109"/>
    </row>
    <row r="593" spans="2:2">
      <c r="B593" s="109"/>
    </row>
    <row r="594" spans="2:2">
      <c r="B594" s="109"/>
    </row>
    <row r="595" spans="2:2">
      <c r="B595" s="109"/>
    </row>
    <row r="596" spans="2:2">
      <c r="B596" s="109"/>
    </row>
    <row r="597" spans="2:2">
      <c r="B597" s="109"/>
    </row>
    <row r="598" spans="2:2">
      <c r="B598" s="109"/>
    </row>
    <row r="599" spans="2:2">
      <c r="B599" s="109"/>
    </row>
    <row r="600" spans="2:2">
      <c r="B600" s="109"/>
    </row>
    <row r="601" spans="2:2">
      <c r="B601" s="109"/>
    </row>
    <row r="602" spans="2:2">
      <c r="B602" s="109"/>
    </row>
    <row r="603" spans="2:2">
      <c r="B603" s="109"/>
    </row>
    <row r="604" spans="2:2">
      <c r="B604" s="109"/>
    </row>
    <row r="605" spans="2:2">
      <c r="B605" s="109"/>
    </row>
    <row r="606" spans="2:2">
      <c r="B606" s="109"/>
    </row>
    <row r="607" spans="2:2">
      <c r="B607" s="109"/>
    </row>
    <row r="608" spans="2:2">
      <c r="B608" s="109"/>
    </row>
    <row r="609" spans="2:2">
      <c r="B609" s="109"/>
    </row>
    <row r="610" spans="2:2">
      <c r="B610" s="109"/>
    </row>
    <row r="611" spans="2:2">
      <c r="B611" s="109"/>
    </row>
    <row r="612" spans="2:2">
      <c r="B612" s="109"/>
    </row>
    <row r="613" spans="2:2">
      <c r="B613" s="109"/>
    </row>
    <row r="614" spans="2:2">
      <c r="B614" s="109"/>
    </row>
    <row r="615" spans="2:2">
      <c r="B615" s="109"/>
    </row>
    <row r="616" spans="2:2">
      <c r="B616" s="109"/>
    </row>
    <row r="617" spans="2:2">
      <c r="B617" s="109"/>
    </row>
    <row r="618" spans="2:2">
      <c r="B618" s="109"/>
    </row>
    <row r="619" spans="2:2">
      <c r="B619" s="109"/>
    </row>
    <row r="620" spans="2:2">
      <c r="B620" s="109"/>
    </row>
    <row r="621" spans="2:2">
      <c r="B621" s="109"/>
    </row>
    <row r="622" spans="2:2">
      <c r="B622" s="109"/>
    </row>
    <row r="623" spans="2:2">
      <c r="B623" s="109"/>
    </row>
    <row r="624" spans="2:2">
      <c r="B624" s="109"/>
    </row>
    <row r="625" spans="2:2">
      <c r="B625" s="109"/>
    </row>
    <row r="626" spans="2:2">
      <c r="B626" s="109"/>
    </row>
    <row r="627" spans="2:2">
      <c r="B627" s="109"/>
    </row>
    <row r="628" spans="2:2">
      <c r="B628" s="109"/>
    </row>
    <row r="629" spans="2:2">
      <c r="B629" s="109"/>
    </row>
    <row r="630" spans="2:2">
      <c r="B630" s="109"/>
    </row>
    <row r="631" spans="2:2">
      <c r="B631" s="109"/>
    </row>
    <row r="632" spans="2:2">
      <c r="B632" s="109"/>
    </row>
    <row r="633" spans="2:2">
      <c r="B633" s="109"/>
    </row>
    <row r="634" spans="2:2">
      <c r="B634" s="109"/>
    </row>
    <row r="635" spans="2:2">
      <c r="B635" s="109"/>
    </row>
    <row r="636" spans="2:2">
      <c r="B636" s="109"/>
    </row>
    <row r="637" spans="2:2">
      <c r="B637" s="109"/>
    </row>
    <row r="638" spans="2:2">
      <c r="B638" s="109"/>
    </row>
    <row r="639" spans="2:2">
      <c r="B639" s="109"/>
    </row>
    <row r="640" spans="2:2">
      <c r="B640" s="109"/>
    </row>
    <row r="641" spans="2:2">
      <c r="B641" s="109"/>
    </row>
    <row r="642" spans="2:2">
      <c r="B642" s="109"/>
    </row>
    <row r="643" spans="2:2">
      <c r="B643" s="109"/>
    </row>
    <row r="644" spans="2:2">
      <c r="B644" s="109"/>
    </row>
    <row r="645" spans="2:2">
      <c r="B645" s="109"/>
    </row>
    <row r="646" spans="2:2">
      <c r="B646" s="109"/>
    </row>
    <row r="647" spans="2:2">
      <c r="B647" s="109"/>
    </row>
    <row r="648" spans="2:2">
      <c r="B648" s="109"/>
    </row>
    <row r="649" spans="2:2">
      <c r="B649" s="109"/>
    </row>
    <row r="650" spans="2:2">
      <c r="B650" s="109"/>
    </row>
    <row r="651" spans="2:2">
      <c r="B651" s="109"/>
    </row>
    <row r="652" spans="2:2">
      <c r="B652" s="109"/>
    </row>
    <row r="653" spans="2:2">
      <c r="B653" s="109"/>
    </row>
    <row r="654" spans="2:2">
      <c r="B654" s="109"/>
    </row>
    <row r="655" spans="2:2">
      <c r="B655" s="109"/>
    </row>
    <row r="656" spans="2:2">
      <c r="B656" s="109"/>
    </row>
    <row r="657" spans="2:2">
      <c r="B657" s="109"/>
    </row>
    <row r="658" spans="2:2">
      <c r="B658" s="109"/>
    </row>
    <row r="659" spans="2:2">
      <c r="B659" s="109"/>
    </row>
    <row r="660" spans="2:2">
      <c r="B660" s="109"/>
    </row>
    <row r="661" spans="2:2">
      <c r="B661" s="109"/>
    </row>
    <row r="662" spans="2:2">
      <c r="B662" s="109"/>
    </row>
    <row r="663" spans="2:2">
      <c r="B663" s="109"/>
    </row>
    <row r="664" spans="2:2">
      <c r="B664" s="109"/>
    </row>
    <row r="665" spans="2:2">
      <c r="B665" s="109"/>
    </row>
    <row r="666" spans="2:2">
      <c r="B666" s="109"/>
    </row>
    <row r="667" spans="2:2">
      <c r="B667" s="109"/>
    </row>
    <row r="668" spans="2:2">
      <c r="B668" s="109"/>
    </row>
    <row r="669" spans="2:2">
      <c r="B669" s="109"/>
    </row>
    <row r="670" spans="2:2">
      <c r="B670" s="109"/>
    </row>
    <row r="671" spans="2:2">
      <c r="B671" s="109"/>
    </row>
    <row r="672" spans="2:2">
      <c r="B672" s="109"/>
    </row>
    <row r="673" spans="2:2">
      <c r="B673" s="109"/>
    </row>
    <row r="674" spans="2:2">
      <c r="B674" s="109"/>
    </row>
    <row r="675" spans="2:2">
      <c r="B675" s="109"/>
    </row>
    <row r="676" spans="2:2">
      <c r="B676" s="109"/>
    </row>
    <row r="677" spans="2:2">
      <c r="B677" s="109"/>
    </row>
    <row r="678" spans="2:2">
      <c r="B678" s="109"/>
    </row>
    <row r="679" spans="2:2">
      <c r="B679" s="109"/>
    </row>
    <row r="680" spans="2:2">
      <c r="B680" s="109"/>
    </row>
    <row r="681" spans="2:2">
      <c r="B681" s="109"/>
    </row>
    <row r="682" spans="2:2">
      <c r="B682" s="109"/>
    </row>
    <row r="683" spans="2:2">
      <c r="B683" s="109"/>
    </row>
    <row r="684" spans="2:2">
      <c r="B684" s="109"/>
    </row>
    <row r="685" spans="2:2">
      <c r="B685" s="109"/>
    </row>
    <row r="686" spans="2:2">
      <c r="B686" s="109"/>
    </row>
    <row r="687" spans="2:2">
      <c r="B687" s="109"/>
    </row>
    <row r="688" spans="2:2">
      <c r="B688" s="109"/>
    </row>
    <row r="689" spans="2:2">
      <c r="B689" s="109"/>
    </row>
    <row r="690" spans="2:2">
      <c r="B690" s="109"/>
    </row>
    <row r="691" spans="2:2">
      <c r="B691" s="109"/>
    </row>
    <row r="692" spans="2:2">
      <c r="B692" s="109"/>
    </row>
    <row r="693" spans="2:2">
      <c r="B693" s="109"/>
    </row>
    <row r="694" spans="2:2">
      <c r="B694" s="109"/>
    </row>
    <row r="695" spans="2:2">
      <c r="B695" s="109"/>
    </row>
    <row r="696" spans="2:2">
      <c r="B696" s="109"/>
    </row>
    <row r="697" spans="2:2">
      <c r="B697" s="109"/>
    </row>
    <row r="698" spans="2:2">
      <c r="B698" s="109"/>
    </row>
    <row r="699" spans="2:2">
      <c r="B699" s="109"/>
    </row>
    <row r="700" spans="2:2">
      <c r="B700" s="109"/>
    </row>
    <row r="701" spans="2:2">
      <c r="B701" s="109"/>
    </row>
    <row r="702" spans="2:2">
      <c r="B702" s="109"/>
    </row>
    <row r="703" spans="2:2">
      <c r="B703" s="109"/>
    </row>
    <row r="704" spans="2:2">
      <c r="B704" s="109"/>
    </row>
    <row r="705" spans="2:2">
      <c r="B705" s="109"/>
    </row>
    <row r="706" spans="2:2">
      <c r="B706" s="109"/>
    </row>
    <row r="707" spans="2:2">
      <c r="B707" s="109"/>
    </row>
    <row r="708" spans="2:2">
      <c r="B708" s="109"/>
    </row>
    <row r="709" spans="2:2">
      <c r="B709" s="109"/>
    </row>
    <row r="710" spans="2:2">
      <c r="B710" s="109"/>
    </row>
    <row r="711" spans="2:2">
      <c r="B711" s="109"/>
    </row>
    <row r="712" spans="2:2">
      <c r="B712" s="109"/>
    </row>
    <row r="713" spans="2:2">
      <c r="B713" s="109"/>
    </row>
    <row r="714" spans="2:2">
      <c r="B714" s="109"/>
    </row>
    <row r="715" spans="2:2">
      <c r="B715" s="109"/>
    </row>
    <row r="716" spans="2:2">
      <c r="B716" s="109"/>
    </row>
    <row r="717" spans="2:2">
      <c r="B717" s="109"/>
    </row>
    <row r="718" spans="2:2">
      <c r="B718" s="109"/>
    </row>
    <row r="719" spans="2:2">
      <c r="B719" s="109"/>
    </row>
    <row r="720" spans="2:2">
      <c r="B720" s="109"/>
    </row>
    <row r="721" spans="2:2">
      <c r="B721" s="109"/>
    </row>
    <row r="722" spans="2:2">
      <c r="B722" s="109"/>
    </row>
    <row r="723" spans="2:2">
      <c r="B723" s="109"/>
    </row>
    <row r="724" spans="2:2">
      <c r="B724" s="109"/>
    </row>
    <row r="725" spans="2:2">
      <c r="B725" s="109"/>
    </row>
    <row r="726" spans="2:2">
      <c r="B726" s="109"/>
    </row>
    <row r="727" spans="2:2">
      <c r="B727" s="109"/>
    </row>
    <row r="728" spans="2:2">
      <c r="B728" s="109"/>
    </row>
    <row r="729" spans="2:2">
      <c r="B729" s="109"/>
    </row>
    <row r="730" spans="2:2">
      <c r="B730" s="109"/>
    </row>
    <row r="731" spans="2:2">
      <c r="B731" s="109"/>
    </row>
    <row r="732" spans="2:2">
      <c r="B732" s="109"/>
    </row>
    <row r="733" spans="2:2">
      <c r="B733" s="109"/>
    </row>
    <row r="734" spans="2:2">
      <c r="B734" s="109"/>
    </row>
    <row r="735" spans="2:2">
      <c r="B735" s="109"/>
    </row>
    <row r="736" spans="2:2">
      <c r="B736" s="109"/>
    </row>
    <row r="737" spans="2:2">
      <c r="B737" s="109"/>
    </row>
    <row r="738" spans="2:2">
      <c r="B738" s="109"/>
    </row>
    <row r="739" spans="2:2">
      <c r="B739" s="109"/>
    </row>
    <row r="740" spans="2:2">
      <c r="B740" s="109"/>
    </row>
    <row r="741" spans="2:2">
      <c r="B741" s="109"/>
    </row>
    <row r="742" spans="2:2">
      <c r="B742" s="109"/>
    </row>
    <row r="743" spans="2:2">
      <c r="B743" s="109"/>
    </row>
    <row r="744" spans="2:2">
      <c r="B744" s="109"/>
    </row>
    <row r="745" spans="2:2">
      <c r="B745" s="109"/>
    </row>
    <row r="746" spans="2:2">
      <c r="B746" s="109"/>
    </row>
    <row r="747" spans="2:2">
      <c r="B747" s="109"/>
    </row>
    <row r="748" spans="2:2">
      <c r="B748" s="109"/>
    </row>
    <row r="749" spans="2:2">
      <c r="B749" s="109"/>
    </row>
    <row r="750" spans="2:2">
      <c r="B750" s="109"/>
    </row>
    <row r="751" spans="2:2">
      <c r="B751" s="109"/>
    </row>
    <row r="752" spans="2:2">
      <c r="B752" s="109"/>
    </row>
    <row r="753" spans="2:2">
      <c r="B753" s="109"/>
    </row>
    <row r="754" spans="2:2">
      <c r="B754" s="109"/>
    </row>
    <row r="755" spans="2:2">
      <c r="B755" s="109"/>
    </row>
    <row r="756" spans="2:2">
      <c r="B756" s="109"/>
    </row>
    <row r="757" spans="2:2">
      <c r="B757" s="109"/>
    </row>
    <row r="758" spans="2:2">
      <c r="B758" s="109"/>
    </row>
    <row r="759" spans="2:2">
      <c r="B759" s="109"/>
    </row>
    <row r="760" spans="2:2">
      <c r="B760" s="109"/>
    </row>
    <row r="761" spans="2:2">
      <c r="B761" s="109"/>
    </row>
    <row r="762" spans="2:2">
      <c r="B762" s="109"/>
    </row>
    <row r="763" spans="2:2">
      <c r="B763" s="109"/>
    </row>
    <row r="764" spans="2:2">
      <c r="B764" s="109"/>
    </row>
    <row r="765" spans="2:2">
      <c r="B765" s="109"/>
    </row>
    <row r="766" spans="2:2">
      <c r="B766" s="109"/>
    </row>
    <row r="767" spans="2:2">
      <c r="B767" s="109"/>
    </row>
    <row r="768" spans="2:2">
      <c r="B768" s="109"/>
    </row>
    <row r="769" spans="2:2">
      <c r="B769" s="109"/>
    </row>
    <row r="770" spans="2:2">
      <c r="B770" s="109"/>
    </row>
    <row r="771" spans="2:2">
      <c r="B771" s="109"/>
    </row>
    <row r="772" spans="2:2">
      <c r="B772" s="109"/>
    </row>
    <row r="773" spans="2:2">
      <c r="B773" s="109"/>
    </row>
    <row r="774" spans="2:2">
      <c r="B774" s="109"/>
    </row>
    <row r="775" spans="2:2">
      <c r="B775" s="109"/>
    </row>
    <row r="776" spans="2:2">
      <c r="B776" s="109"/>
    </row>
    <row r="777" spans="2:2">
      <c r="B777" s="109"/>
    </row>
    <row r="778" spans="2:2">
      <c r="B778" s="109"/>
    </row>
    <row r="779" spans="2:2">
      <c r="B779" s="109"/>
    </row>
    <row r="780" spans="2:2">
      <c r="B780" s="109"/>
    </row>
    <row r="781" spans="2:2">
      <c r="B781" s="109"/>
    </row>
    <row r="782" spans="2:2">
      <c r="B782" s="109"/>
    </row>
    <row r="783" spans="2:2">
      <c r="B783" s="109"/>
    </row>
    <row r="784" spans="2:2">
      <c r="B784" s="109"/>
    </row>
    <row r="785" spans="2:2">
      <c r="B785" s="109"/>
    </row>
    <row r="786" spans="2:2">
      <c r="B786" s="109"/>
    </row>
    <row r="787" spans="2:2">
      <c r="B787" s="109"/>
    </row>
    <row r="788" spans="2:2">
      <c r="B788" s="109"/>
    </row>
    <row r="789" spans="2:2">
      <c r="B789" s="109"/>
    </row>
    <row r="790" spans="2:2">
      <c r="B790" s="109"/>
    </row>
    <row r="791" spans="2:2">
      <c r="B791" s="109"/>
    </row>
    <row r="792" spans="2:2">
      <c r="B792" s="109"/>
    </row>
    <row r="793" spans="2:2">
      <c r="B793" s="109"/>
    </row>
    <row r="794" spans="2:2">
      <c r="B794" s="109"/>
    </row>
    <row r="795" spans="2:2">
      <c r="B795" s="109"/>
    </row>
    <row r="796" spans="2:2">
      <c r="B796" s="109"/>
    </row>
    <row r="797" spans="2:2">
      <c r="B797" s="109"/>
    </row>
    <row r="798" spans="2:2">
      <c r="B798" s="109"/>
    </row>
    <row r="799" spans="2:2">
      <c r="B799" s="109"/>
    </row>
    <row r="800" spans="2:2">
      <c r="B800" s="109"/>
    </row>
    <row r="801" spans="2:2">
      <c r="B801" s="109"/>
    </row>
    <row r="802" spans="2:2">
      <c r="B802" s="109"/>
    </row>
    <row r="803" spans="2:2">
      <c r="B803" s="109"/>
    </row>
    <row r="804" spans="2:2">
      <c r="B804" s="109"/>
    </row>
    <row r="805" spans="2:2">
      <c r="B805" s="109"/>
    </row>
    <row r="806" spans="2:2">
      <c r="B806" s="109"/>
    </row>
    <row r="807" spans="2:2">
      <c r="B807" s="109"/>
    </row>
    <row r="808" spans="2:2">
      <c r="B808" s="109"/>
    </row>
    <row r="809" spans="2:2">
      <c r="B809" s="109"/>
    </row>
    <row r="810" spans="2:2">
      <c r="B810" s="109"/>
    </row>
    <row r="811" spans="2:2">
      <c r="B811" s="109"/>
    </row>
    <row r="812" spans="2:2">
      <c r="B812" s="109"/>
    </row>
    <row r="813" spans="2:2">
      <c r="B813" s="109"/>
    </row>
    <row r="814" spans="2:2">
      <c r="B814" s="109"/>
    </row>
    <row r="815" spans="2:2">
      <c r="B815" s="109"/>
    </row>
    <row r="816" spans="2:2">
      <c r="B816" s="109"/>
    </row>
    <row r="817" spans="2:2">
      <c r="B817" s="109"/>
    </row>
    <row r="818" spans="2:2">
      <c r="B818" s="109"/>
    </row>
    <row r="819" spans="2:2">
      <c r="B819" s="109"/>
    </row>
    <row r="820" spans="2:2">
      <c r="B820" s="109"/>
    </row>
    <row r="821" spans="2:2">
      <c r="B821" s="109"/>
    </row>
    <row r="822" spans="2:2">
      <c r="B822" s="109"/>
    </row>
    <row r="823" spans="2:2">
      <c r="B823" s="109"/>
    </row>
    <row r="824" spans="2:2">
      <c r="B824" s="109"/>
    </row>
    <row r="825" spans="2:2">
      <c r="B825" s="109"/>
    </row>
    <row r="826" spans="2:2">
      <c r="B826" s="109"/>
    </row>
    <row r="827" spans="2:2">
      <c r="B827" s="109"/>
    </row>
    <row r="828" spans="2:2">
      <c r="B828" s="109"/>
    </row>
    <row r="829" spans="2:2">
      <c r="B829" s="109"/>
    </row>
    <row r="830" spans="2:2">
      <c r="B830" s="109"/>
    </row>
    <row r="831" spans="2:2">
      <c r="B831" s="109"/>
    </row>
    <row r="832" spans="2:2">
      <c r="B832" s="109"/>
    </row>
    <row r="833" spans="2:2">
      <c r="B833" s="109"/>
    </row>
    <row r="834" spans="2:2">
      <c r="B834" s="109"/>
    </row>
    <row r="835" spans="2:2">
      <c r="B835" s="109"/>
    </row>
    <row r="836" spans="2:2">
      <c r="B836" s="109"/>
    </row>
    <row r="837" spans="2:2">
      <c r="B837" s="109"/>
    </row>
    <row r="838" spans="2:2">
      <c r="B838" s="109"/>
    </row>
    <row r="839" spans="2:2">
      <c r="B839" s="109"/>
    </row>
    <row r="840" spans="2:2">
      <c r="B840" s="109"/>
    </row>
    <row r="841" spans="2:2">
      <c r="B841" s="109"/>
    </row>
    <row r="842" spans="2:2">
      <c r="B842" s="109"/>
    </row>
    <row r="843" spans="2:2">
      <c r="B843" s="109"/>
    </row>
    <row r="844" spans="2:2">
      <c r="B844" s="109"/>
    </row>
    <row r="845" spans="2:2">
      <c r="B845" s="109"/>
    </row>
    <row r="846" spans="2:2">
      <c r="B846" s="109"/>
    </row>
    <row r="847" spans="2:2">
      <c r="B847" s="109"/>
    </row>
    <row r="848" spans="2:2">
      <c r="B848" s="109"/>
    </row>
    <row r="849" spans="2:2">
      <c r="B849" s="109"/>
    </row>
    <row r="850" spans="2:2">
      <c r="B850" s="109"/>
    </row>
    <row r="851" spans="2:2">
      <c r="B851" s="109"/>
    </row>
    <row r="852" spans="2:2">
      <c r="B852" s="109"/>
    </row>
    <row r="853" spans="2:2">
      <c r="B853" s="109"/>
    </row>
    <row r="854" spans="2:2">
      <c r="B854" s="109"/>
    </row>
    <row r="855" spans="2:2">
      <c r="B855" s="109"/>
    </row>
    <row r="856" spans="2:2">
      <c r="B856" s="109"/>
    </row>
    <row r="857" spans="2:2">
      <c r="B857" s="109"/>
    </row>
    <row r="858" spans="2:2">
      <c r="B858" s="109"/>
    </row>
    <row r="859" spans="2:2">
      <c r="B859" s="109"/>
    </row>
    <row r="860" spans="2:2">
      <c r="B860" s="109"/>
    </row>
    <row r="861" spans="2:2">
      <c r="B861" s="109"/>
    </row>
    <row r="862" spans="2:2">
      <c r="B862" s="109"/>
    </row>
    <row r="863" spans="2:2">
      <c r="B863" s="109"/>
    </row>
    <row r="864" spans="2:2">
      <c r="B864" s="109"/>
    </row>
    <row r="865" spans="2:2">
      <c r="B865" s="109"/>
    </row>
    <row r="866" spans="2:2">
      <c r="B866" s="109"/>
    </row>
    <row r="867" spans="2:2">
      <c r="B867" s="109"/>
    </row>
    <row r="868" spans="2:2">
      <c r="B868" s="109"/>
    </row>
    <row r="869" spans="2:2">
      <c r="B869" s="109"/>
    </row>
    <row r="870" spans="2:2">
      <c r="B870" s="109"/>
    </row>
    <row r="871" spans="2:2">
      <c r="B871" s="109"/>
    </row>
    <row r="872" spans="2:2">
      <c r="B872" s="109"/>
    </row>
    <row r="873" spans="2:2">
      <c r="B873" s="109"/>
    </row>
    <row r="874" spans="2:2">
      <c r="B874" s="109"/>
    </row>
    <row r="875" spans="2:2">
      <c r="B875" s="109"/>
    </row>
    <row r="876" spans="2:2">
      <c r="B876" s="109"/>
    </row>
    <row r="877" spans="2:2">
      <c r="B877" s="109"/>
    </row>
    <row r="878" spans="2:2">
      <c r="B878" s="109"/>
    </row>
    <row r="879" spans="2:2">
      <c r="B879" s="109"/>
    </row>
    <row r="880" spans="2:2">
      <c r="B880" s="109"/>
    </row>
    <row r="881" spans="2:2">
      <c r="B881" s="109"/>
    </row>
    <row r="882" spans="2:2">
      <c r="B882" s="109"/>
    </row>
    <row r="883" spans="2:2">
      <c r="B883" s="109"/>
    </row>
    <row r="884" spans="2:2">
      <c r="B884" s="109"/>
    </row>
    <row r="885" spans="2:2">
      <c r="B885" s="109"/>
    </row>
    <row r="886" spans="2:2">
      <c r="B886" s="109"/>
    </row>
    <row r="887" spans="2:2">
      <c r="B887" s="109"/>
    </row>
    <row r="888" spans="2:2">
      <c r="B888" s="109"/>
    </row>
    <row r="889" spans="2:2">
      <c r="B889" s="109"/>
    </row>
    <row r="890" spans="2:2">
      <c r="B890" s="109"/>
    </row>
    <row r="891" spans="2:2">
      <c r="B891" s="109"/>
    </row>
    <row r="892" spans="2:2">
      <c r="B892" s="109"/>
    </row>
    <row r="893" spans="2:2">
      <c r="B893" s="109"/>
    </row>
    <row r="894" spans="2:2">
      <c r="B894" s="109"/>
    </row>
    <row r="895" spans="2:2">
      <c r="B895" s="109"/>
    </row>
    <row r="896" spans="2:2">
      <c r="B896" s="109"/>
    </row>
    <row r="897" spans="2:2">
      <c r="B897" s="109"/>
    </row>
    <row r="898" spans="2:2">
      <c r="B898" s="109"/>
    </row>
    <row r="899" spans="2:2">
      <c r="B899" s="109"/>
    </row>
    <row r="900" spans="2:2">
      <c r="B900" s="109"/>
    </row>
    <row r="901" spans="2:2">
      <c r="B901" s="109"/>
    </row>
    <row r="902" spans="2:2">
      <c r="B902" s="109"/>
    </row>
    <row r="903" spans="2:2">
      <c r="B903" s="109"/>
    </row>
    <row r="904" spans="2:2">
      <c r="B904" s="109"/>
    </row>
    <row r="905" spans="2:2">
      <c r="B905" s="109"/>
    </row>
    <row r="906" spans="2:2">
      <c r="B906" s="109"/>
    </row>
    <row r="907" spans="2:2">
      <c r="B907" s="109"/>
    </row>
    <row r="908" spans="2:2">
      <c r="B908" s="109"/>
    </row>
    <row r="909" spans="2:2">
      <c r="B909" s="109"/>
    </row>
    <row r="910" spans="2:2">
      <c r="B910" s="109"/>
    </row>
    <row r="911" spans="2:2">
      <c r="B911" s="109"/>
    </row>
    <row r="912" spans="2:2">
      <c r="B912" s="109"/>
    </row>
    <row r="913" spans="2:2">
      <c r="B913" s="109"/>
    </row>
    <row r="914" spans="2:2">
      <c r="B914" s="109"/>
    </row>
    <row r="915" spans="2:2">
      <c r="B915" s="109"/>
    </row>
    <row r="916" spans="2:2">
      <c r="B916" s="109"/>
    </row>
    <row r="917" spans="2:2">
      <c r="B917" s="109"/>
    </row>
    <row r="918" spans="2:2">
      <c r="B918" s="109"/>
    </row>
    <row r="919" spans="2:2">
      <c r="B919" s="109"/>
    </row>
    <row r="920" spans="2:2">
      <c r="B920" s="109"/>
    </row>
    <row r="921" spans="2:2">
      <c r="B921" s="109"/>
    </row>
    <row r="922" spans="2:2">
      <c r="B922" s="109"/>
    </row>
    <row r="923" spans="2:2">
      <c r="B923" s="109"/>
    </row>
    <row r="924" spans="2:2">
      <c r="B924" s="109"/>
    </row>
    <row r="925" spans="2:2">
      <c r="B925" s="109"/>
    </row>
    <row r="926" spans="2:2">
      <c r="B926" s="109"/>
    </row>
    <row r="927" spans="2:2">
      <c r="B927" s="109"/>
    </row>
    <row r="928" spans="2:2">
      <c r="B928" s="109"/>
    </row>
    <row r="929" spans="2:2">
      <c r="B929" s="109"/>
    </row>
    <row r="930" spans="2:2">
      <c r="B930" s="109"/>
    </row>
    <row r="931" spans="2:2">
      <c r="B931" s="109"/>
    </row>
    <row r="932" spans="2:2">
      <c r="B932" s="109"/>
    </row>
    <row r="933" spans="2:2">
      <c r="B933" s="109"/>
    </row>
    <row r="934" spans="2:2">
      <c r="B934" s="109"/>
    </row>
    <row r="935" spans="2:2">
      <c r="B935" s="109"/>
    </row>
    <row r="936" spans="2:2">
      <c r="B936" s="109"/>
    </row>
    <row r="937" spans="2:2">
      <c r="B937" s="109"/>
    </row>
    <row r="938" spans="2:2">
      <c r="B938" s="109"/>
    </row>
    <row r="939" spans="2:2">
      <c r="B939" s="109"/>
    </row>
    <row r="940" spans="2:2">
      <c r="B940" s="109"/>
    </row>
    <row r="941" spans="2:2">
      <c r="B941" s="109"/>
    </row>
    <row r="942" spans="2:2">
      <c r="B942" s="109"/>
    </row>
    <row r="943" spans="2:2">
      <c r="B943" s="109"/>
    </row>
    <row r="944" spans="2:2">
      <c r="B944" s="109"/>
    </row>
    <row r="945" spans="2:2">
      <c r="B945" s="109"/>
    </row>
    <row r="946" spans="2:2">
      <c r="B946" s="109"/>
    </row>
    <row r="947" spans="2:2">
      <c r="B947" s="109"/>
    </row>
    <row r="948" spans="2:2">
      <c r="B948" s="109"/>
    </row>
    <row r="949" spans="2:2">
      <c r="B949" s="109"/>
    </row>
    <row r="950" spans="2:2">
      <c r="B950" s="109"/>
    </row>
    <row r="951" spans="2:2">
      <c r="B951" s="109"/>
    </row>
    <row r="952" spans="2:2">
      <c r="B952" s="109"/>
    </row>
    <row r="953" spans="2:2">
      <c r="B953" s="109"/>
    </row>
    <row r="954" spans="2:2">
      <c r="B954" s="109"/>
    </row>
    <row r="955" spans="2:2">
      <c r="B955" s="109"/>
    </row>
    <row r="956" spans="2:2">
      <c r="B956" s="109"/>
    </row>
    <row r="957" spans="2:2">
      <c r="B957" s="109"/>
    </row>
    <row r="958" spans="2:2">
      <c r="B958" s="109"/>
    </row>
    <row r="959" spans="2:2">
      <c r="B959" s="109"/>
    </row>
    <row r="960" spans="2:2">
      <c r="B960" s="109"/>
    </row>
    <row r="961" spans="2:2">
      <c r="B961" s="109"/>
    </row>
    <row r="962" spans="2:2">
      <c r="B962" s="109"/>
    </row>
    <row r="963" spans="2:2">
      <c r="B963" s="109"/>
    </row>
    <row r="964" spans="2:2">
      <c r="B964" s="109"/>
    </row>
    <row r="965" spans="2:2">
      <c r="B965" s="109"/>
    </row>
    <row r="966" spans="2:2">
      <c r="B966" s="109"/>
    </row>
    <row r="967" spans="2:2">
      <c r="B967" s="109"/>
    </row>
    <row r="968" spans="2:2">
      <c r="B968" s="109"/>
    </row>
    <row r="969" spans="2:2">
      <c r="B969" s="109"/>
    </row>
    <row r="970" spans="2:2">
      <c r="B970" s="109"/>
    </row>
    <row r="971" spans="2:2">
      <c r="B971" s="109"/>
    </row>
    <row r="972" spans="2:2">
      <c r="B972" s="109"/>
    </row>
    <row r="973" spans="2:2">
      <c r="B973" s="109"/>
    </row>
    <row r="974" spans="2:2">
      <c r="B974" s="109"/>
    </row>
    <row r="975" spans="2:2">
      <c r="B975" s="109"/>
    </row>
    <row r="976" spans="2:2">
      <c r="B976" s="109"/>
    </row>
    <row r="977" spans="2:2">
      <c r="B977" s="109"/>
    </row>
    <row r="978" spans="2:2">
      <c r="B978" s="109"/>
    </row>
    <row r="979" spans="2:2">
      <c r="B979" s="109"/>
    </row>
    <row r="980" spans="2:2">
      <c r="B980" s="109"/>
    </row>
    <row r="981" spans="2:2">
      <c r="B981" s="109"/>
    </row>
    <row r="982" spans="2:2">
      <c r="B982" s="109"/>
    </row>
    <row r="983" spans="2:2">
      <c r="B983" s="109"/>
    </row>
    <row r="984" spans="2:2">
      <c r="B984" s="109"/>
    </row>
    <row r="985" spans="2:2">
      <c r="B985" s="109"/>
    </row>
    <row r="986" spans="2:2">
      <c r="B986" s="109"/>
    </row>
    <row r="987" spans="2:2">
      <c r="B987" s="109"/>
    </row>
    <row r="988" spans="2:2">
      <c r="B988" s="109"/>
    </row>
    <row r="989" spans="2:2">
      <c r="B989" s="109"/>
    </row>
    <row r="990" spans="2:2">
      <c r="B990" s="109"/>
    </row>
    <row r="991" spans="2:2">
      <c r="B991" s="109"/>
    </row>
    <row r="992" spans="2:2">
      <c r="B992" s="109"/>
    </row>
    <row r="993" spans="2:2">
      <c r="B993" s="109"/>
    </row>
    <row r="994" spans="2:2">
      <c r="B994" s="109"/>
    </row>
    <row r="995" spans="2:2">
      <c r="B995" s="109"/>
    </row>
    <row r="996" spans="2:2">
      <c r="B996" s="109"/>
    </row>
    <row r="997" spans="2:2">
      <c r="B997" s="109"/>
    </row>
    <row r="998" spans="2:2">
      <c r="B998" s="109"/>
    </row>
    <row r="999" spans="2:2">
      <c r="B999" s="109"/>
    </row>
    <row r="1000" spans="2:2">
      <c r="B1000" s="10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17719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/>
  <cols>
    <col min="1" max="1" width="79.6640625" customWidth="1"/>
    <col min="2" max="2" width="19.109375" customWidth="1"/>
    <col min="3" max="5" width="22.33203125" customWidth="1"/>
  </cols>
  <sheetData>
    <row r="1" spans="1:5">
      <c r="A1" s="14" t="s">
        <v>1465</v>
      </c>
      <c r="B1" s="14" t="s">
        <v>1466</v>
      </c>
      <c r="C1" s="14" t="s">
        <v>1467</v>
      </c>
      <c r="D1" s="14" t="s">
        <v>1468</v>
      </c>
      <c r="E1" s="14" t="s">
        <v>1469</v>
      </c>
    </row>
    <row r="2" spans="1:5">
      <c r="A2" s="3" t="s">
        <v>1470</v>
      </c>
      <c r="B2" s="110" t="s">
        <v>1317</v>
      </c>
      <c r="C2" s="111" t="s">
        <v>1473</v>
      </c>
      <c r="D2" s="111" t="str">
        <f t="shared" ref="D2:E2" si="0">TRIM(B2)</f>
        <v>Alabama</v>
      </c>
      <c r="E2" s="111" t="str">
        <f t="shared" si="0"/>
        <v>Abbeville</v>
      </c>
    </row>
    <row r="3" spans="1:5">
      <c r="A3" s="3" t="s">
        <v>1474</v>
      </c>
      <c r="B3" s="110" t="s">
        <v>1317</v>
      </c>
      <c r="C3" s="111" t="s">
        <v>1476</v>
      </c>
      <c r="D3" s="111" t="str">
        <f t="shared" ref="D3:E3" si="1">TRIM(B3)</f>
        <v>Alabama</v>
      </c>
      <c r="E3" s="111" t="str">
        <f t="shared" si="1"/>
        <v>Adamsville</v>
      </c>
    </row>
    <row r="4" spans="1:5">
      <c r="A4" s="3" t="s">
        <v>1477</v>
      </c>
      <c r="B4" s="110" t="s">
        <v>1317</v>
      </c>
      <c r="C4" s="111" t="s">
        <v>1478</v>
      </c>
      <c r="D4" s="111" t="str">
        <f t="shared" ref="D4:E4" si="2">TRIM(B4)</f>
        <v>Alabama</v>
      </c>
      <c r="E4" s="111" t="str">
        <f t="shared" si="2"/>
        <v>Addison</v>
      </c>
    </row>
    <row r="5" spans="1:5">
      <c r="A5" s="3" t="s">
        <v>1480</v>
      </c>
      <c r="B5" s="110" t="s">
        <v>1317</v>
      </c>
      <c r="C5" s="111" t="s">
        <v>1481</v>
      </c>
      <c r="D5" s="111" t="str">
        <f t="shared" ref="D5:E5" si="3">TRIM(B5)</f>
        <v>Alabama</v>
      </c>
      <c r="E5" s="111" t="str">
        <f t="shared" si="3"/>
        <v>Alabaster</v>
      </c>
    </row>
    <row r="6" spans="1:5">
      <c r="A6" s="3" t="s">
        <v>1484</v>
      </c>
      <c r="B6" s="110" t="s">
        <v>1317</v>
      </c>
      <c r="C6" s="111" t="s">
        <v>1485</v>
      </c>
      <c r="D6" s="111" t="str">
        <f t="shared" ref="D6:E6" si="4">TRIM(B6)</f>
        <v>Alabama</v>
      </c>
      <c r="E6" s="111" t="str">
        <f t="shared" si="4"/>
        <v>Albertville</v>
      </c>
    </row>
    <row r="7" spans="1:5">
      <c r="A7" s="3" t="s">
        <v>1486</v>
      </c>
      <c r="B7" s="110" t="s">
        <v>1317</v>
      </c>
      <c r="C7" s="111" t="s">
        <v>1485</v>
      </c>
      <c r="D7" s="111" t="str">
        <f t="shared" ref="D7:E7" si="5">TRIM(B7)</f>
        <v>Alabama</v>
      </c>
      <c r="E7" s="111" t="str">
        <f t="shared" si="5"/>
        <v>Albertville</v>
      </c>
    </row>
    <row r="8" spans="1:5">
      <c r="A8" s="3" t="s">
        <v>1488</v>
      </c>
      <c r="B8" s="110" t="s">
        <v>1317</v>
      </c>
      <c r="C8" s="111" t="s">
        <v>1489</v>
      </c>
      <c r="D8" s="111" t="str">
        <f t="shared" ref="D8:E8" si="6">TRIM(B8)</f>
        <v>Alabama</v>
      </c>
      <c r="E8" s="111" t="str">
        <f t="shared" si="6"/>
        <v>Alexander City</v>
      </c>
    </row>
    <row r="9" spans="1:5">
      <c r="A9" s="3" t="s">
        <v>1491</v>
      </c>
      <c r="B9" s="110" t="s">
        <v>1317</v>
      </c>
      <c r="C9" s="111" t="s">
        <v>831</v>
      </c>
      <c r="D9" s="111" t="str">
        <f t="shared" ref="D9:E9" si="7">TRIM(B9)</f>
        <v>Alabama</v>
      </c>
      <c r="E9" s="111" t="str">
        <f t="shared" si="7"/>
        <v>Alexandria</v>
      </c>
    </row>
    <row r="10" spans="1:5">
      <c r="A10" s="3" t="s">
        <v>1492</v>
      </c>
      <c r="B10" s="110" t="s">
        <v>1317</v>
      </c>
      <c r="C10" s="111" t="s">
        <v>1493</v>
      </c>
      <c r="D10" s="111" t="str">
        <f t="shared" ref="D10:E10" si="8">TRIM(B10)</f>
        <v>Alabama</v>
      </c>
      <c r="E10" s="111" t="str">
        <f t="shared" si="8"/>
        <v>Aliceville</v>
      </c>
    </row>
    <row r="11" spans="1:5">
      <c r="A11" s="3" t="s">
        <v>1495</v>
      </c>
      <c r="B11" s="110" t="s">
        <v>1317</v>
      </c>
      <c r="C11" s="111" t="s">
        <v>1496</v>
      </c>
      <c r="D11" s="111" t="str">
        <f t="shared" ref="D11:E11" si="9">TRIM(B11)</f>
        <v>Alabama</v>
      </c>
      <c r="E11" s="111" t="str">
        <f t="shared" si="9"/>
        <v>Alpine</v>
      </c>
    </row>
    <row r="12" spans="1:5">
      <c r="A12" s="3" t="s">
        <v>1498</v>
      </c>
      <c r="B12" s="110" t="s">
        <v>1317</v>
      </c>
      <c r="C12" s="111" t="s">
        <v>526</v>
      </c>
      <c r="D12" s="111" t="str">
        <f t="shared" ref="D12:E12" si="10">TRIM(B12)</f>
        <v>Alabama</v>
      </c>
      <c r="E12" s="111" t="str">
        <f t="shared" si="10"/>
        <v>Andalusia</v>
      </c>
    </row>
    <row r="13" spans="1:5">
      <c r="A13" s="3" t="s">
        <v>1499</v>
      </c>
      <c r="B13" s="110" t="s">
        <v>1317</v>
      </c>
      <c r="C13" s="111" t="s">
        <v>526</v>
      </c>
      <c r="D13" s="111" t="str">
        <f t="shared" ref="D13:E13" si="11">TRIM(B13)</f>
        <v>Alabama</v>
      </c>
      <c r="E13" s="111" t="str">
        <f t="shared" si="11"/>
        <v>Andalusia</v>
      </c>
    </row>
    <row r="14" spans="1:5">
      <c r="A14" s="3" t="s">
        <v>1500</v>
      </c>
      <c r="B14" s="110" t="s">
        <v>1317</v>
      </c>
      <c r="C14" s="111" t="s">
        <v>1502</v>
      </c>
      <c r="D14" s="111" t="str">
        <f t="shared" ref="D14:E14" si="12">TRIM(B14)</f>
        <v>Alabama</v>
      </c>
      <c r="E14" s="111" t="str">
        <f t="shared" si="12"/>
        <v>Anniston</v>
      </c>
    </row>
    <row r="15" spans="1:5">
      <c r="A15" s="3" t="s">
        <v>1503</v>
      </c>
      <c r="B15" s="110" t="s">
        <v>1317</v>
      </c>
      <c r="C15" s="111" t="s">
        <v>1502</v>
      </c>
      <c r="D15" s="111" t="str">
        <f t="shared" ref="D15:E15" si="13">TRIM(B15)</f>
        <v>Alabama</v>
      </c>
      <c r="E15" s="111" t="str">
        <f t="shared" si="13"/>
        <v>Anniston</v>
      </c>
    </row>
    <row r="16" spans="1:5">
      <c r="A16" s="3" t="s">
        <v>1504</v>
      </c>
      <c r="B16" s="110" t="s">
        <v>1317</v>
      </c>
      <c r="C16" s="111" t="s">
        <v>1502</v>
      </c>
      <c r="D16" s="111" t="str">
        <f t="shared" ref="D16:E16" si="14">TRIM(B16)</f>
        <v>Alabama</v>
      </c>
      <c r="E16" s="111" t="str">
        <f t="shared" si="14"/>
        <v>Anniston</v>
      </c>
    </row>
    <row r="17" spans="1:5">
      <c r="A17" s="3" t="s">
        <v>1507</v>
      </c>
      <c r="B17" s="110" t="s">
        <v>1317</v>
      </c>
      <c r="C17" s="111" t="s">
        <v>1502</v>
      </c>
      <c r="D17" s="111" t="str">
        <f t="shared" ref="D17:E17" si="15">TRIM(B17)</f>
        <v>Alabama</v>
      </c>
      <c r="E17" s="111" t="str">
        <f t="shared" si="15"/>
        <v>Anniston</v>
      </c>
    </row>
    <row r="18" spans="1:5">
      <c r="A18" s="3" t="s">
        <v>1508</v>
      </c>
      <c r="B18" s="110" t="s">
        <v>1317</v>
      </c>
      <c r="C18" s="111" t="s">
        <v>1509</v>
      </c>
      <c r="D18" s="111" t="str">
        <f t="shared" ref="D18:E18" si="16">TRIM(B18)</f>
        <v>Alabama</v>
      </c>
      <c r="E18" s="111" t="str">
        <f t="shared" si="16"/>
        <v>Arab</v>
      </c>
    </row>
    <row r="19" spans="1:5">
      <c r="A19" s="3" t="s">
        <v>1510</v>
      </c>
      <c r="B19" s="110" t="s">
        <v>1317</v>
      </c>
      <c r="C19" s="111" t="s">
        <v>1511</v>
      </c>
      <c r="D19" s="111" t="str">
        <f t="shared" ref="D19:E19" si="17">TRIM(B19)</f>
        <v>Alabama</v>
      </c>
      <c r="E19" s="111" t="str">
        <f t="shared" si="17"/>
        <v>Ardmore</v>
      </c>
    </row>
    <row r="20" spans="1:5">
      <c r="A20" s="3" t="s">
        <v>1513</v>
      </c>
      <c r="B20" s="110" t="s">
        <v>1317</v>
      </c>
      <c r="C20" s="111" t="s">
        <v>1514</v>
      </c>
      <c r="D20" s="111" t="str">
        <f t="shared" ref="D20:E20" si="18">TRIM(B20)</f>
        <v>Alabama</v>
      </c>
      <c r="E20" s="111" t="str">
        <f t="shared" si="18"/>
        <v>Arley</v>
      </c>
    </row>
    <row r="21" spans="1:5">
      <c r="A21" s="3" t="s">
        <v>1516</v>
      </c>
      <c r="B21" s="110" t="s">
        <v>1317</v>
      </c>
      <c r="C21" s="111" t="s">
        <v>1517</v>
      </c>
      <c r="D21" s="111" t="str">
        <f t="shared" ref="D21:E21" si="19">TRIM(B21)</f>
        <v>Alabama</v>
      </c>
      <c r="E21" s="111" t="str">
        <f t="shared" si="19"/>
        <v>Ashford</v>
      </c>
    </row>
    <row r="22" spans="1:5">
      <c r="A22" s="3" t="s">
        <v>1518</v>
      </c>
      <c r="B22" s="110" t="s">
        <v>1317</v>
      </c>
      <c r="C22" s="111" t="s">
        <v>1519</v>
      </c>
      <c r="D22" s="111" t="str">
        <f t="shared" ref="D22:E22" si="20">TRIM(B22)</f>
        <v>Alabama</v>
      </c>
      <c r="E22" s="111" t="str">
        <f t="shared" si="20"/>
        <v>Ashville</v>
      </c>
    </row>
    <row r="23" spans="1:5">
      <c r="A23" s="3" t="s">
        <v>1520</v>
      </c>
      <c r="B23" s="110" t="s">
        <v>1317</v>
      </c>
      <c r="C23" s="111" t="s">
        <v>327</v>
      </c>
      <c r="D23" s="111" t="str">
        <f t="shared" ref="D23:E23" si="21">TRIM(B23)</f>
        <v>Alabama</v>
      </c>
      <c r="E23" s="111" t="str">
        <f t="shared" si="21"/>
        <v>Athens</v>
      </c>
    </row>
    <row r="24" spans="1:5">
      <c r="A24" s="3" t="s">
        <v>1523</v>
      </c>
      <c r="B24" s="110" t="s">
        <v>1317</v>
      </c>
      <c r="C24" s="111" t="s">
        <v>327</v>
      </c>
      <c r="D24" s="111" t="str">
        <f t="shared" ref="D24:E24" si="22">TRIM(B24)</f>
        <v>Alabama</v>
      </c>
      <c r="E24" s="111" t="str">
        <f t="shared" si="22"/>
        <v>Athens</v>
      </c>
    </row>
    <row r="25" spans="1:5">
      <c r="A25" s="3" t="s">
        <v>1525</v>
      </c>
      <c r="B25" s="110" t="s">
        <v>1317</v>
      </c>
      <c r="C25" s="111" t="s">
        <v>327</v>
      </c>
      <c r="D25" s="111" t="str">
        <f t="shared" ref="D25:E25" si="23">TRIM(B25)</f>
        <v>Alabama</v>
      </c>
      <c r="E25" s="111" t="str">
        <f t="shared" si="23"/>
        <v>Athens</v>
      </c>
    </row>
    <row r="26" spans="1:5">
      <c r="A26" s="3" t="s">
        <v>1526</v>
      </c>
      <c r="B26" s="110" t="s">
        <v>1317</v>
      </c>
      <c r="C26" s="111" t="s">
        <v>1527</v>
      </c>
      <c r="D26" s="111" t="str">
        <f t="shared" ref="D26:E26" si="24">TRIM(B26)</f>
        <v>Alabama</v>
      </c>
      <c r="E26" s="111" t="str">
        <f t="shared" si="24"/>
        <v>Atmore</v>
      </c>
    </row>
    <row r="27" spans="1:5">
      <c r="A27" s="3" t="s">
        <v>1530</v>
      </c>
      <c r="B27" s="110" t="s">
        <v>1317</v>
      </c>
      <c r="C27" s="111" t="s">
        <v>1531</v>
      </c>
      <c r="D27" s="111" t="str">
        <f t="shared" ref="D27:E27" si="25">TRIM(B27)</f>
        <v>Alabama</v>
      </c>
      <c r="E27" s="111" t="str">
        <f t="shared" si="25"/>
        <v>Attalla</v>
      </c>
    </row>
    <row r="28" spans="1:5">
      <c r="A28" s="3" t="s">
        <v>1532</v>
      </c>
      <c r="B28" s="110" t="s">
        <v>1317</v>
      </c>
      <c r="C28" s="111" t="s">
        <v>211</v>
      </c>
      <c r="D28" s="111" t="str">
        <f t="shared" ref="D28:E28" si="26">TRIM(B28)</f>
        <v>Alabama</v>
      </c>
      <c r="E28" s="111" t="str">
        <f t="shared" si="26"/>
        <v>Auburn</v>
      </c>
    </row>
    <row r="29" spans="1:5">
      <c r="A29" s="3" t="s">
        <v>1533</v>
      </c>
      <c r="B29" s="110" t="s">
        <v>1317</v>
      </c>
      <c r="C29" s="111" t="s">
        <v>1535</v>
      </c>
      <c r="D29" s="111" t="str">
        <f t="shared" ref="D29:E29" si="27">TRIM(B29)</f>
        <v>Alabama</v>
      </c>
      <c r="E29" s="111" t="str">
        <f t="shared" si="27"/>
        <v>Bay Minette</v>
      </c>
    </row>
    <row r="30" spans="1:5">
      <c r="A30" s="3" t="s">
        <v>1537</v>
      </c>
      <c r="B30" s="110" t="s">
        <v>1317</v>
      </c>
      <c r="C30" s="111" t="s">
        <v>1538</v>
      </c>
      <c r="D30" s="111" t="str">
        <f t="shared" ref="D30:E30" si="28">TRIM(B30)</f>
        <v>Alabama</v>
      </c>
      <c r="E30" s="111" t="str">
        <f t="shared" si="28"/>
        <v>Bear Creek</v>
      </c>
    </row>
    <row r="31" spans="1:5">
      <c r="A31" s="3" t="s">
        <v>1540</v>
      </c>
      <c r="B31" s="110" t="s">
        <v>1317</v>
      </c>
      <c r="C31" s="111" t="s">
        <v>1541</v>
      </c>
      <c r="D31" s="111" t="str">
        <f t="shared" ref="D31:E31" si="29">TRIM(B31)</f>
        <v>Alabama</v>
      </c>
      <c r="E31" s="111" t="str">
        <f t="shared" si="29"/>
        <v>Berry</v>
      </c>
    </row>
    <row r="32" spans="1:5">
      <c r="A32" s="3" t="s">
        <v>1543</v>
      </c>
      <c r="B32" s="110" t="s">
        <v>1317</v>
      </c>
      <c r="C32" s="111" t="s">
        <v>1545</v>
      </c>
      <c r="D32" s="111" t="str">
        <f t="shared" ref="D32:E32" si="30">TRIM(B32)</f>
        <v>Alabama</v>
      </c>
      <c r="E32" s="111" t="str">
        <f t="shared" si="30"/>
        <v>Bessemer</v>
      </c>
    </row>
    <row r="33" spans="1:5">
      <c r="A33" s="3" t="s">
        <v>1547</v>
      </c>
      <c r="B33" s="110" t="s">
        <v>1317</v>
      </c>
      <c r="C33" s="111" t="s">
        <v>1545</v>
      </c>
      <c r="D33" s="111" t="str">
        <f t="shared" ref="D33:E33" si="31">TRIM(B33)</f>
        <v>Alabama</v>
      </c>
      <c r="E33" s="111" t="str">
        <f t="shared" si="31"/>
        <v>Bessemer</v>
      </c>
    </row>
    <row r="34" spans="1:5">
      <c r="A34" s="3" t="s">
        <v>1551</v>
      </c>
      <c r="B34" s="110" t="s">
        <v>1317</v>
      </c>
      <c r="C34" s="111" t="s">
        <v>612</v>
      </c>
      <c r="D34" s="111" t="str">
        <f t="shared" ref="D34:E34" si="32">TRIM(B34)</f>
        <v>Alabama</v>
      </c>
      <c r="E34" s="111" t="str">
        <f t="shared" si="32"/>
        <v>Birmingham</v>
      </c>
    </row>
    <row r="35" spans="1:5">
      <c r="A35" s="3" t="s">
        <v>1552</v>
      </c>
      <c r="B35" s="110" t="s">
        <v>1317</v>
      </c>
      <c r="C35" s="111" t="s">
        <v>612</v>
      </c>
      <c r="D35" s="111" t="str">
        <f t="shared" ref="D35:E35" si="33">TRIM(B35)</f>
        <v>Alabama</v>
      </c>
      <c r="E35" s="111" t="str">
        <f t="shared" si="33"/>
        <v>Birmingham</v>
      </c>
    </row>
    <row r="36" spans="1:5">
      <c r="A36" s="3" t="s">
        <v>1556</v>
      </c>
      <c r="B36" s="110" t="s">
        <v>1317</v>
      </c>
      <c r="C36" s="111" t="s">
        <v>612</v>
      </c>
      <c r="D36" s="111" t="str">
        <f t="shared" ref="D36:E36" si="34">TRIM(B36)</f>
        <v>Alabama</v>
      </c>
      <c r="E36" s="111" t="str">
        <f t="shared" si="34"/>
        <v>Birmingham</v>
      </c>
    </row>
    <row r="37" spans="1:5">
      <c r="A37" s="3" t="s">
        <v>1557</v>
      </c>
      <c r="B37" s="110" t="s">
        <v>1317</v>
      </c>
      <c r="C37" s="111" t="s">
        <v>612</v>
      </c>
      <c r="D37" s="111" t="str">
        <f t="shared" ref="D37:E37" si="35">TRIM(B37)</f>
        <v>Alabama</v>
      </c>
      <c r="E37" s="111" t="str">
        <f t="shared" si="35"/>
        <v>Birmingham</v>
      </c>
    </row>
    <row r="38" spans="1:5">
      <c r="A38" s="3" t="s">
        <v>1560</v>
      </c>
      <c r="B38" s="110" t="s">
        <v>1317</v>
      </c>
      <c r="C38" s="111" t="s">
        <v>612</v>
      </c>
      <c r="D38" s="111" t="str">
        <f t="shared" ref="D38:E38" si="36">TRIM(B38)</f>
        <v>Alabama</v>
      </c>
      <c r="E38" s="111" t="str">
        <f t="shared" si="36"/>
        <v>Birmingham</v>
      </c>
    </row>
    <row r="39" spans="1:5">
      <c r="A39" s="3" t="s">
        <v>1562</v>
      </c>
      <c r="B39" s="110" t="s">
        <v>1317</v>
      </c>
      <c r="C39" s="111" t="s">
        <v>612</v>
      </c>
      <c r="D39" s="111" t="str">
        <f t="shared" ref="D39:E39" si="37">TRIM(B39)</f>
        <v>Alabama</v>
      </c>
      <c r="E39" s="111" t="str">
        <f t="shared" si="37"/>
        <v>Birmingham</v>
      </c>
    </row>
    <row r="40" spans="1:5">
      <c r="A40" s="3" t="s">
        <v>1563</v>
      </c>
      <c r="B40" s="110" t="s">
        <v>1317</v>
      </c>
      <c r="C40" s="111" t="s">
        <v>612</v>
      </c>
      <c r="D40" s="111" t="str">
        <f t="shared" ref="D40:E40" si="38">TRIM(B40)</f>
        <v>Alabama</v>
      </c>
      <c r="E40" s="111" t="str">
        <f t="shared" si="38"/>
        <v>Birmingham</v>
      </c>
    </row>
    <row r="41" spans="1:5">
      <c r="A41" s="3" t="s">
        <v>1567</v>
      </c>
      <c r="B41" s="110" t="s">
        <v>1317</v>
      </c>
      <c r="C41" s="111" t="s">
        <v>612</v>
      </c>
      <c r="D41" s="111" t="str">
        <f t="shared" ref="D41:E41" si="39">TRIM(B41)</f>
        <v>Alabama</v>
      </c>
      <c r="E41" s="111" t="str">
        <f t="shared" si="39"/>
        <v>Birmingham</v>
      </c>
    </row>
    <row r="42" spans="1:5">
      <c r="A42" s="3" t="s">
        <v>1568</v>
      </c>
      <c r="B42" s="110" t="s">
        <v>1317</v>
      </c>
      <c r="C42" s="111" t="s">
        <v>612</v>
      </c>
      <c r="D42" s="111" t="str">
        <f t="shared" ref="D42:E42" si="40">TRIM(B42)</f>
        <v>Alabama</v>
      </c>
      <c r="E42" s="111" t="str">
        <f t="shared" si="40"/>
        <v>Birmingham</v>
      </c>
    </row>
    <row r="43" spans="1:5">
      <c r="A43" s="3" t="s">
        <v>1572</v>
      </c>
      <c r="B43" s="110" t="s">
        <v>1317</v>
      </c>
      <c r="C43" s="111" t="s">
        <v>612</v>
      </c>
      <c r="D43" s="111" t="str">
        <f t="shared" ref="D43:E43" si="41">TRIM(B43)</f>
        <v>Alabama</v>
      </c>
      <c r="E43" s="111" t="str">
        <f t="shared" si="41"/>
        <v>Birmingham</v>
      </c>
    </row>
    <row r="44" spans="1:5">
      <c r="A44" s="3" t="s">
        <v>1576</v>
      </c>
      <c r="B44" s="110" t="s">
        <v>1317</v>
      </c>
      <c r="C44" s="111" t="s">
        <v>1577</v>
      </c>
      <c r="D44" s="111" t="str">
        <f t="shared" ref="D44:E44" si="42">TRIM(B44)</f>
        <v>Alabama</v>
      </c>
      <c r="E44" s="111" t="str">
        <f t="shared" si="42"/>
        <v>Blountsville</v>
      </c>
    </row>
    <row r="45" spans="1:5">
      <c r="A45" s="3" t="s">
        <v>1578</v>
      </c>
      <c r="B45" s="110" t="s">
        <v>1317</v>
      </c>
      <c r="C45" s="111" t="s">
        <v>1577</v>
      </c>
      <c r="D45" s="111" t="str">
        <f t="shared" ref="D45:E45" si="43">TRIM(B45)</f>
        <v>Alabama</v>
      </c>
      <c r="E45" s="111" t="str">
        <f t="shared" si="43"/>
        <v>Blountsville</v>
      </c>
    </row>
    <row r="46" spans="1:5">
      <c r="A46" s="3" t="s">
        <v>1580</v>
      </c>
      <c r="B46" s="110" t="s">
        <v>1317</v>
      </c>
      <c r="C46" s="111" t="s">
        <v>1582</v>
      </c>
      <c r="D46" s="111" t="str">
        <f t="shared" ref="D46:E46" si="44">TRIM(B46)</f>
        <v>Alabama</v>
      </c>
      <c r="E46" s="111" t="str">
        <f t="shared" si="44"/>
        <v>Boaz</v>
      </c>
    </row>
    <row r="47" spans="1:5">
      <c r="A47" s="3" t="s">
        <v>1584</v>
      </c>
      <c r="B47" s="110" t="s">
        <v>1317</v>
      </c>
      <c r="C47" s="111" t="s">
        <v>1585</v>
      </c>
      <c r="D47" s="111" t="str">
        <f t="shared" ref="D47:E47" si="45">TRIM(B47)</f>
        <v>Alabama</v>
      </c>
      <c r="E47" s="111" t="str">
        <f t="shared" si="45"/>
        <v>Bremen</v>
      </c>
    </row>
    <row r="48" spans="1:5">
      <c r="A48" s="3" t="s">
        <v>1586</v>
      </c>
      <c r="B48" s="110" t="s">
        <v>1317</v>
      </c>
      <c r="C48" s="111" t="s">
        <v>1587</v>
      </c>
      <c r="D48" s="111" t="str">
        <f t="shared" ref="D48:E48" si="46">TRIM(B48)</f>
        <v>Alabama</v>
      </c>
      <c r="E48" s="111" t="str">
        <f t="shared" si="46"/>
        <v>Brewton</v>
      </c>
    </row>
    <row r="49" spans="1:5">
      <c r="A49" s="3" t="s">
        <v>1588</v>
      </c>
      <c r="B49" s="110" t="s">
        <v>1317</v>
      </c>
      <c r="C49" s="111" t="s">
        <v>1590</v>
      </c>
      <c r="D49" s="111" t="str">
        <f t="shared" ref="D49:E49" si="47">TRIM(B49)</f>
        <v>Alabama</v>
      </c>
      <c r="E49" s="111" t="str">
        <f t="shared" si="47"/>
        <v>Brookwood</v>
      </c>
    </row>
    <row r="50" spans="1:5">
      <c r="A50" s="3" t="s">
        <v>1593</v>
      </c>
      <c r="B50" s="110" t="s">
        <v>1317</v>
      </c>
      <c r="C50" s="111" t="s">
        <v>1594</v>
      </c>
      <c r="D50" s="111" t="str">
        <f t="shared" ref="D50:E50" si="48">TRIM(B50)</f>
        <v>Alabama</v>
      </c>
      <c r="E50" s="111" t="str">
        <f t="shared" si="48"/>
        <v>Brundidge</v>
      </c>
    </row>
    <row r="51" spans="1:5">
      <c r="A51" s="3" t="s">
        <v>1595</v>
      </c>
      <c r="B51" s="110" t="s">
        <v>1317</v>
      </c>
      <c r="C51" s="111" t="s">
        <v>1596</v>
      </c>
      <c r="D51" s="111" t="str">
        <f t="shared" ref="D51:E51" si="49">TRIM(B51)</f>
        <v>Alabama</v>
      </c>
      <c r="E51" s="111" t="str">
        <f t="shared" si="49"/>
        <v>Buhl</v>
      </c>
    </row>
    <row r="52" spans="1:5">
      <c r="A52" s="3" t="s">
        <v>1598</v>
      </c>
      <c r="B52" s="110" t="s">
        <v>1317</v>
      </c>
      <c r="C52" s="111" t="s">
        <v>1600</v>
      </c>
      <c r="D52" s="111" t="str">
        <f t="shared" ref="D52:E52" si="50">TRIM(B52)</f>
        <v>Alabama</v>
      </c>
      <c r="E52" s="111" t="str">
        <f t="shared" si="50"/>
        <v>Butler</v>
      </c>
    </row>
    <row r="53" spans="1:5">
      <c r="A53" s="3" t="s">
        <v>1602</v>
      </c>
      <c r="B53" s="110" t="s">
        <v>1317</v>
      </c>
      <c r="C53" s="111" t="s">
        <v>1603</v>
      </c>
      <c r="D53" s="111" t="str">
        <f t="shared" ref="D53:E53" si="51">TRIM(B53)</f>
        <v>Alabama</v>
      </c>
      <c r="E53" s="111" t="str">
        <f t="shared" si="51"/>
        <v>Calera</v>
      </c>
    </row>
    <row r="54" spans="1:5">
      <c r="A54" s="3" t="s">
        <v>1604</v>
      </c>
      <c r="B54" s="110" t="s">
        <v>1317</v>
      </c>
      <c r="C54" s="111" t="s">
        <v>773</v>
      </c>
      <c r="D54" s="111" t="str">
        <f t="shared" ref="D54:E54" si="52">TRIM(B54)</f>
        <v>Alabama</v>
      </c>
      <c r="E54" s="111" t="str">
        <f t="shared" si="52"/>
        <v>Camden</v>
      </c>
    </row>
    <row r="55" spans="1:5">
      <c r="A55" s="3" t="s">
        <v>1607</v>
      </c>
      <c r="B55" s="110" t="s">
        <v>1317</v>
      </c>
      <c r="C55" s="111" t="s">
        <v>1609</v>
      </c>
      <c r="D55" s="111" t="str">
        <f t="shared" ref="D55:E55" si="53">TRIM(B55)</f>
        <v>Alabama</v>
      </c>
      <c r="E55" s="111" t="str">
        <f t="shared" si="53"/>
        <v>Carbon Hill</v>
      </c>
    </row>
    <row r="56" spans="1:5">
      <c r="A56" s="3" t="s">
        <v>1610</v>
      </c>
      <c r="B56" s="110" t="s">
        <v>1317</v>
      </c>
      <c r="C56" s="111" t="s">
        <v>1611</v>
      </c>
      <c r="D56" s="111" t="str">
        <f t="shared" ref="D56:E56" si="54">TRIM(B56)</f>
        <v>Alabama</v>
      </c>
      <c r="E56" s="111" t="str">
        <f t="shared" si="54"/>
        <v>Center Point</v>
      </c>
    </row>
    <row r="57" spans="1:5">
      <c r="A57" s="3" t="s">
        <v>1614</v>
      </c>
      <c r="B57" s="110" t="s">
        <v>1317</v>
      </c>
      <c r="C57" s="111" t="s">
        <v>1615</v>
      </c>
      <c r="D57" s="111" t="str">
        <f t="shared" ref="D57:E57" si="55">TRIM(B57)</f>
        <v>Alabama</v>
      </c>
      <c r="E57" s="111" t="str">
        <f t="shared" si="55"/>
        <v>Centre</v>
      </c>
    </row>
    <row r="58" spans="1:5">
      <c r="A58" s="3" t="s">
        <v>1618</v>
      </c>
      <c r="B58" s="110" t="s">
        <v>1317</v>
      </c>
      <c r="C58" s="111" t="s">
        <v>1619</v>
      </c>
      <c r="D58" s="111" t="str">
        <f t="shared" ref="D58:E58" si="56">TRIM(B58)</f>
        <v>Alabama</v>
      </c>
      <c r="E58" s="111" t="str">
        <f t="shared" si="56"/>
        <v>Centreville</v>
      </c>
    </row>
    <row r="59" spans="1:5">
      <c r="A59" s="3" t="s">
        <v>1620</v>
      </c>
      <c r="B59" s="110" t="s">
        <v>1317</v>
      </c>
      <c r="C59" s="111" t="s">
        <v>1621</v>
      </c>
      <c r="D59" s="111" t="str">
        <f t="shared" ref="D59:E59" si="57">TRIM(B59)</f>
        <v>Alabama</v>
      </c>
      <c r="E59" s="111" t="str">
        <f t="shared" si="57"/>
        <v>Chatom</v>
      </c>
    </row>
    <row r="60" spans="1:5">
      <c r="A60" s="3" t="s">
        <v>1622</v>
      </c>
      <c r="B60" s="110" t="s">
        <v>1317</v>
      </c>
      <c r="C60" s="111" t="s">
        <v>1624</v>
      </c>
      <c r="D60" s="111" t="str">
        <f t="shared" ref="D60:E60" si="58">TRIM(B60)</f>
        <v>Alabama</v>
      </c>
      <c r="E60" s="111" t="str">
        <f t="shared" si="58"/>
        <v>Chelsea</v>
      </c>
    </row>
    <row r="61" spans="1:5">
      <c r="A61" s="3" t="s">
        <v>1625</v>
      </c>
      <c r="B61" s="110" t="s">
        <v>1317</v>
      </c>
      <c r="C61" s="111" t="s">
        <v>1626</v>
      </c>
      <c r="D61" s="111" t="str">
        <f t="shared" ref="D61:E61" si="59">TRIM(B61)</f>
        <v>Alabama</v>
      </c>
      <c r="E61" s="111" t="str">
        <f t="shared" si="59"/>
        <v>Cherokee</v>
      </c>
    </row>
    <row r="62" spans="1:5">
      <c r="A62" s="3" t="s">
        <v>1628</v>
      </c>
      <c r="B62" s="110" t="s">
        <v>1317</v>
      </c>
      <c r="C62" s="111" t="s">
        <v>1629</v>
      </c>
      <c r="D62" s="111" t="str">
        <f t="shared" ref="D62:E62" si="60">TRIM(B62)</f>
        <v>Alabama</v>
      </c>
      <c r="E62" s="111" t="str">
        <f t="shared" si="60"/>
        <v>Chickasaw</v>
      </c>
    </row>
    <row r="63" spans="1:5">
      <c r="A63" s="3" t="s">
        <v>1630</v>
      </c>
      <c r="B63" s="110" t="s">
        <v>1317</v>
      </c>
      <c r="C63" s="111" t="s">
        <v>1631</v>
      </c>
      <c r="D63" s="111" t="str">
        <f t="shared" ref="D63:E63" si="61">TRIM(B63)</f>
        <v>Alabama</v>
      </c>
      <c r="E63" s="111" t="str">
        <f t="shared" si="61"/>
        <v>Childersburg</v>
      </c>
    </row>
    <row r="64" spans="1:5">
      <c r="A64" s="3" t="s">
        <v>1634</v>
      </c>
      <c r="B64" s="110" t="s">
        <v>1317</v>
      </c>
      <c r="C64" s="111" t="s">
        <v>1635</v>
      </c>
      <c r="D64" s="111" t="str">
        <f t="shared" ref="D64:E64" si="62">TRIM(B64)</f>
        <v>Alabama</v>
      </c>
      <c r="E64" s="111" t="str">
        <f t="shared" si="62"/>
        <v>Citronelle</v>
      </c>
    </row>
    <row r="65" spans="1:5">
      <c r="A65" s="3" t="s">
        <v>1637</v>
      </c>
      <c r="B65" s="110" t="s">
        <v>1317</v>
      </c>
      <c r="C65" s="111" t="s">
        <v>1638</v>
      </c>
      <c r="D65" s="111" t="str">
        <f t="shared" ref="D65:E65" si="63">TRIM(B65)</f>
        <v>Alabama</v>
      </c>
      <c r="E65" s="111" t="str">
        <f t="shared" si="63"/>
        <v>Clanton</v>
      </c>
    </row>
    <row r="66" spans="1:5">
      <c r="A66" s="3" t="s">
        <v>1639</v>
      </c>
      <c r="B66" s="110" t="s">
        <v>1317</v>
      </c>
      <c r="C66" s="111" t="s">
        <v>1640</v>
      </c>
      <c r="D66" s="111" t="str">
        <f t="shared" ref="D66:E66" si="64">TRIM(B66)</f>
        <v>Alabama</v>
      </c>
      <c r="E66" s="111" t="str">
        <f t="shared" si="64"/>
        <v>Clayton</v>
      </c>
    </row>
    <row r="67" spans="1:5">
      <c r="A67" s="3" t="s">
        <v>1642</v>
      </c>
      <c r="B67" s="110" t="s">
        <v>1317</v>
      </c>
      <c r="C67" s="111" t="s">
        <v>127</v>
      </c>
      <c r="D67" s="111" t="str">
        <f t="shared" ref="D67:E67" si="65">TRIM(B67)</f>
        <v>Alabama</v>
      </c>
      <c r="E67" s="111" t="str">
        <f t="shared" si="65"/>
        <v>Cleveland</v>
      </c>
    </row>
    <row r="68" spans="1:5">
      <c r="A68" s="3" t="s">
        <v>1645</v>
      </c>
      <c r="B68" s="110" t="s">
        <v>1317</v>
      </c>
      <c r="C68" s="111" t="s">
        <v>356</v>
      </c>
      <c r="D68" s="111" t="str">
        <f t="shared" ref="D68:E68" si="66">TRIM(B68)</f>
        <v>Alabama</v>
      </c>
      <c r="E68" s="111" t="str">
        <f t="shared" si="66"/>
        <v>Columbia</v>
      </c>
    </row>
    <row r="69" spans="1:5">
      <c r="A69" s="3" t="s">
        <v>1646</v>
      </c>
      <c r="B69" s="110" t="s">
        <v>1317</v>
      </c>
      <c r="C69" s="111" t="s">
        <v>1647</v>
      </c>
      <c r="D69" s="111" t="str">
        <f t="shared" ref="D69:E69" si="67">TRIM(B69)</f>
        <v>Alabama</v>
      </c>
      <c r="E69" s="111" t="str">
        <f t="shared" si="67"/>
        <v>Columbiana</v>
      </c>
    </row>
    <row r="70" spans="1:5">
      <c r="A70" s="3" t="s">
        <v>1649</v>
      </c>
      <c r="B70" s="110" t="s">
        <v>1317</v>
      </c>
      <c r="C70" s="111" t="s">
        <v>1650</v>
      </c>
      <c r="D70" s="111" t="str">
        <f t="shared" ref="D70:E70" si="68">TRIM(B70)</f>
        <v>Alabama</v>
      </c>
      <c r="E70" s="111" t="str">
        <f t="shared" si="68"/>
        <v>Cordova</v>
      </c>
    </row>
    <row r="71" spans="1:5">
      <c r="A71" s="3" t="s">
        <v>1652</v>
      </c>
      <c r="B71" s="110" t="s">
        <v>1317</v>
      </c>
      <c r="C71" s="111" t="s">
        <v>1653</v>
      </c>
      <c r="D71" s="111" t="str">
        <f t="shared" ref="D71:E71" si="69">TRIM(B71)</f>
        <v>Alabama</v>
      </c>
      <c r="E71" s="111" t="str">
        <f t="shared" si="69"/>
        <v>Cottondale</v>
      </c>
    </row>
    <row r="72" spans="1:5">
      <c r="A72" s="3" t="s">
        <v>1654</v>
      </c>
      <c r="B72" s="110" t="s">
        <v>1317</v>
      </c>
      <c r="C72" s="111" t="s">
        <v>1655</v>
      </c>
      <c r="D72" s="111" t="str">
        <f t="shared" ref="D72:E72" si="70">TRIM(B72)</f>
        <v>Alabama</v>
      </c>
      <c r="E72" s="111" t="str">
        <f t="shared" si="70"/>
        <v>Courtland</v>
      </c>
    </row>
    <row r="73" spans="1:5">
      <c r="A73" s="3" t="s">
        <v>1657</v>
      </c>
      <c r="B73" s="110" t="s">
        <v>1317</v>
      </c>
      <c r="C73" s="111" t="s">
        <v>1659</v>
      </c>
      <c r="D73" s="111" t="str">
        <f t="shared" ref="D73:E73" si="71">TRIM(B73)</f>
        <v>Alabama</v>
      </c>
      <c r="E73" s="111" t="str">
        <f t="shared" si="71"/>
        <v>Crossville</v>
      </c>
    </row>
    <row r="74" spans="1:5">
      <c r="A74" s="3" t="s">
        <v>1661</v>
      </c>
      <c r="B74" s="110" t="s">
        <v>1317</v>
      </c>
      <c r="C74" s="111" t="s">
        <v>1662</v>
      </c>
      <c r="D74" s="111" t="str">
        <f t="shared" ref="D74:E74" si="72">TRIM(B74)</f>
        <v>Alabama</v>
      </c>
      <c r="E74" s="111" t="str">
        <f t="shared" si="72"/>
        <v>Cullman</v>
      </c>
    </row>
    <row r="75" spans="1:5">
      <c r="A75" s="3" t="s">
        <v>1663</v>
      </c>
      <c r="B75" s="110" t="s">
        <v>1317</v>
      </c>
      <c r="C75" s="111" t="s">
        <v>1662</v>
      </c>
      <c r="D75" s="111" t="str">
        <f t="shared" ref="D75:E75" si="73">TRIM(B75)</f>
        <v>Alabama</v>
      </c>
      <c r="E75" s="111" t="str">
        <f t="shared" si="73"/>
        <v>Cullman</v>
      </c>
    </row>
    <row r="76" spans="1:5">
      <c r="A76" s="3" t="s">
        <v>1664</v>
      </c>
      <c r="B76" s="110" t="s">
        <v>1317</v>
      </c>
      <c r="C76" s="111" t="s">
        <v>1662</v>
      </c>
      <c r="D76" s="111" t="str">
        <f t="shared" ref="D76:E76" si="74">TRIM(B76)</f>
        <v>Alabama</v>
      </c>
      <c r="E76" s="111" t="str">
        <f t="shared" si="74"/>
        <v>Cullman</v>
      </c>
    </row>
    <row r="77" spans="1:5">
      <c r="A77" s="3" t="s">
        <v>1668</v>
      </c>
      <c r="B77" s="110" t="s">
        <v>1317</v>
      </c>
      <c r="C77" s="111" t="s">
        <v>1662</v>
      </c>
      <c r="D77" s="111" t="str">
        <f t="shared" ref="D77:E77" si="75">TRIM(B77)</f>
        <v>Alabama</v>
      </c>
      <c r="E77" s="111" t="str">
        <f t="shared" si="75"/>
        <v>Cullman</v>
      </c>
    </row>
    <row r="78" spans="1:5">
      <c r="A78" s="3" t="s">
        <v>1669</v>
      </c>
      <c r="B78" s="110" t="s">
        <v>1317</v>
      </c>
      <c r="C78" s="111" t="s">
        <v>1670</v>
      </c>
      <c r="D78" s="111" t="str">
        <f t="shared" ref="D78:E78" si="76">TRIM(B78)</f>
        <v>Alabama</v>
      </c>
      <c r="E78" s="111" t="str">
        <f t="shared" si="76"/>
        <v>Dadeville</v>
      </c>
    </row>
    <row r="79" spans="1:5">
      <c r="A79" s="3" t="s">
        <v>1673</v>
      </c>
      <c r="B79" s="110" t="s">
        <v>1317</v>
      </c>
      <c r="C79" s="111" t="s">
        <v>1675</v>
      </c>
      <c r="D79" s="111" t="str">
        <f t="shared" ref="D79:E79" si="77">TRIM(B79)</f>
        <v>Alabama</v>
      </c>
      <c r="E79" s="111" t="str">
        <f t="shared" si="77"/>
        <v>Daleville</v>
      </c>
    </row>
    <row r="80" spans="1:5">
      <c r="A80" s="3" t="s">
        <v>1676</v>
      </c>
      <c r="B80" s="110" t="s">
        <v>1317</v>
      </c>
      <c r="C80" s="111" t="s">
        <v>529</v>
      </c>
      <c r="D80" s="111" t="str">
        <f t="shared" ref="D80:E80" si="78">TRIM(B80)</f>
        <v>Alabama</v>
      </c>
      <c r="E80" s="111" t="str">
        <f t="shared" si="78"/>
        <v>Danville</v>
      </c>
    </row>
    <row r="81" spans="1:5">
      <c r="A81" s="3" t="s">
        <v>1677</v>
      </c>
      <c r="B81" s="110" t="s">
        <v>1317</v>
      </c>
      <c r="C81" s="111" t="s">
        <v>1678</v>
      </c>
      <c r="D81" s="111" t="str">
        <f t="shared" ref="D81:E81" si="79">TRIM(B81)</f>
        <v>Alabama</v>
      </c>
      <c r="E81" s="111" t="str">
        <f t="shared" si="79"/>
        <v>Daphne</v>
      </c>
    </row>
    <row r="82" spans="1:5">
      <c r="A82" s="3" t="s">
        <v>1681</v>
      </c>
      <c r="B82" s="110" t="s">
        <v>1317</v>
      </c>
      <c r="C82" s="111" t="s">
        <v>1682</v>
      </c>
      <c r="D82" s="111" t="str">
        <f t="shared" ref="D82:E82" si="80">TRIM(B82)</f>
        <v>Alabama</v>
      </c>
      <c r="E82" s="111" t="str">
        <f t="shared" si="80"/>
        <v>Deatsville</v>
      </c>
    </row>
    <row r="83" spans="1:5">
      <c r="A83" s="3" t="s">
        <v>1683</v>
      </c>
      <c r="B83" s="110" t="s">
        <v>1317</v>
      </c>
      <c r="C83" s="111" t="s">
        <v>1682</v>
      </c>
      <c r="D83" s="111" t="str">
        <f t="shared" ref="D83:E83" si="81">TRIM(B83)</f>
        <v>Alabama</v>
      </c>
      <c r="E83" s="111" t="str">
        <f t="shared" si="81"/>
        <v>Deatsville</v>
      </c>
    </row>
    <row r="84" spans="1:5">
      <c r="A84" s="3" t="s">
        <v>1684</v>
      </c>
      <c r="B84" s="110" t="s">
        <v>1317</v>
      </c>
      <c r="C84" s="111" t="s">
        <v>1686</v>
      </c>
      <c r="D84" s="111" t="str">
        <f t="shared" ref="D84:E84" si="82">TRIM(B84)</f>
        <v>Alabama</v>
      </c>
      <c r="E84" s="111" t="str">
        <f t="shared" si="82"/>
        <v>Decatur</v>
      </c>
    </row>
    <row r="85" spans="1:5">
      <c r="A85" s="3" t="s">
        <v>1688</v>
      </c>
      <c r="B85" s="110" t="s">
        <v>1317</v>
      </c>
      <c r="C85" s="111" t="s">
        <v>1686</v>
      </c>
      <c r="D85" s="111" t="str">
        <f t="shared" ref="D85:E85" si="83">TRIM(B85)</f>
        <v>Alabama</v>
      </c>
      <c r="E85" s="111" t="str">
        <f t="shared" si="83"/>
        <v>Decatur</v>
      </c>
    </row>
    <row r="86" spans="1:5">
      <c r="A86" s="3" t="s">
        <v>1689</v>
      </c>
      <c r="B86" s="110" t="s">
        <v>1317</v>
      </c>
      <c r="C86" s="111" t="s">
        <v>1686</v>
      </c>
      <c r="D86" s="111" t="str">
        <f t="shared" ref="D86:E86" si="84">TRIM(B86)</f>
        <v>Alabama</v>
      </c>
      <c r="E86" s="111" t="str">
        <f t="shared" si="84"/>
        <v>Decatur</v>
      </c>
    </row>
    <row r="87" spans="1:5">
      <c r="A87" s="3" t="s">
        <v>1691</v>
      </c>
      <c r="B87" s="110" t="s">
        <v>1317</v>
      </c>
      <c r="C87" s="111" t="s">
        <v>1692</v>
      </c>
      <c r="D87" s="111" t="str">
        <f t="shared" ref="D87:E87" si="85">TRIM(B87)</f>
        <v>Alabama</v>
      </c>
      <c r="E87" s="111" t="str">
        <f t="shared" si="85"/>
        <v>Demopolis</v>
      </c>
    </row>
    <row r="88" spans="1:5">
      <c r="A88" s="3" t="s">
        <v>1694</v>
      </c>
      <c r="B88" s="110" t="s">
        <v>1317</v>
      </c>
      <c r="C88" s="111" t="s">
        <v>1695</v>
      </c>
      <c r="D88" s="111" t="str">
        <f t="shared" ref="D88:E88" si="86">TRIM(B88)</f>
        <v>Alabama</v>
      </c>
      <c r="E88" s="111" t="str">
        <f t="shared" si="86"/>
        <v>Dora</v>
      </c>
    </row>
    <row r="89" spans="1:5">
      <c r="A89" s="3" t="s">
        <v>1696</v>
      </c>
      <c r="B89" s="110" t="s">
        <v>1317</v>
      </c>
      <c r="C89" s="111" t="s">
        <v>1695</v>
      </c>
      <c r="D89" s="111" t="str">
        <f t="shared" ref="D89:E89" si="87">TRIM(B89)</f>
        <v>Alabama</v>
      </c>
      <c r="E89" s="111" t="str">
        <f t="shared" si="87"/>
        <v>Dora</v>
      </c>
    </row>
    <row r="90" spans="1:5">
      <c r="A90" s="3" t="s">
        <v>1697</v>
      </c>
      <c r="B90" s="110" t="s">
        <v>1317</v>
      </c>
      <c r="C90" s="111" t="s">
        <v>448</v>
      </c>
      <c r="D90" s="111" t="str">
        <f t="shared" ref="D90:E90" si="88">TRIM(B90)</f>
        <v>Alabama</v>
      </c>
      <c r="E90" s="111" t="str">
        <f t="shared" si="88"/>
        <v>Dothan</v>
      </c>
    </row>
    <row r="91" spans="1:5">
      <c r="A91" s="3" t="s">
        <v>1700</v>
      </c>
      <c r="B91" s="110" t="s">
        <v>1317</v>
      </c>
      <c r="C91" s="111" t="s">
        <v>448</v>
      </c>
      <c r="D91" s="111" t="str">
        <f t="shared" ref="D91:E91" si="89">TRIM(B91)</f>
        <v>Alabama</v>
      </c>
      <c r="E91" s="111" t="str">
        <f t="shared" si="89"/>
        <v>Dothan</v>
      </c>
    </row>
    <row r="92" spans="1:5">
      <c r="A92" s="3" t="s">
        <v>1702</v>
      </c>
      <c r="B92" s="110" t="s">
        <v>1317</v>
      </c>
      <c r="C92" s="111" t="s">
        <v>448</v>
      </c>
      <c r="D92" s="111" t="str">
        <f t="shared" ref="D92:E92" si="90">TRIM(B92)</f>
        <v>Alabama</v>
      </c>
      <c r="E92" s="111" t="str">
        <f t="shared" si="90"/>
        <v>Dothan</v>
      </c>
    </row>
    <row r="93" spans="1:5">
      <c r="A93" s="3" t="s">
        <v>1703</v>
      </c>
      <c r="B93" s="110" t="s">
        <v>1317</v>
      </c>
      <c r="C93" s="111" t="s">
        <v>1704</v>
      </c>
      <c r="D93" s="111" t="str">
        <f t="shared" ref="D93:E93" si="91">TRIM(B93)</f>
        <v>Alabama</v>
      </c>
      <c r="E93" s="111" t="str">
        <f t="shared" si="91"/>
        <v>Double Springs</v>
      </c>
    </row>
    <row r="94" spans="1:5">
      <c r="A94" s="3" t="s">
        <v>1707</v>
      </c>
      <c r="B94" s="110" t="s">
        <v>1317</v>
      </c>
      <c r="C94" s="111" t="s">
        <v>1708</v>
      </c>
      <c r="D94" s="111" t="str">
        <f t="shared" ref="D94:E94" si="92">TRIM(B94)</f>
        <v>Alabama</v>
      </c>
      <c r="E94" s="111" t="str">
        <f t="shared" si="92"/>
        <v>Douglas</v>
      </c>
    </row>
    <row r="95" spans="1:5">
      <c r="A95" s="3" t="s">
        <v>1710</v>
      </c>
      <c r="B95" s="110" t="s">
        <v>1317</v>
      </c>
      <c r="C95" s="111" t="s">
        <v>1711</v>
      </c>
      <c r="D95" s="111" t="str">
        <f t="shared" ref="D95:E95" si="93">TRIM(B95)</f>
        <v>Alabama</v>
      </c>
      <c r="E95" s="111" t="str">
        <f t="shared" si="93"/>
        <v>East Brewton</v>
      </c>
    </row>
    <row r="96" spans="1:5">
      <c r="A96" s="3" t="s">
        <v>1713</v>
      </c>
      <c r="B96" s="110" t="s">
        <v>1317</v>
      </c>
      <c r="C96" s="111" t="s">
        <v>1714</v>
      </c>
      <c r="D96" s="111" t="str">
        <f t="shared" ref="D96:E96" si="94">TRIM(B96)</f>
        <v>Alabama</v>
      </c>
      <c r="E96" s="111" t="str">
        <f t="shared" si="94"/>
        <v>Eclectic</v>
      </c>
    </row>
    <row r="97" spans="1:5">
      <c r="A97" s="3" t="s">
        <v>1717</v>
      </c>
      <c r="B97" s="110" t="s">
        <v>1317</v>
      </c>
      <c r="C97" s="111" t="s">
        <v>1718</v>
      </c>
      <c r="D97" s="111" t="str">
        <f t="shared" ref="D97:E97" si="95">TRIM(B97)</f>
        <v>Alabama</v>
      </c>
      <c r="E97" s="111" t="str">
        <f t="shared" si="95"/>
        <v>Eight Mile</v>
      </c>
    </row>
    <row r="98" spans="1:5">
      <c r="A98" s="3" t="s">
        <v>1720</v>
      </c>
      <c r="B98" s="110" t="s">
        <v>1317</v>
      </c>
      <c r="C98" s="111" t="s">
        <v>1721</v>
      </c>
      <c r="D98" s="111" t="str">
        <f t="shared" ref="D98:E98" si="96">TRIM(B98)</f>
        <v>Alabama</v>
      </c>
      <c r="E98" s="111" t="str">
        <f t="shared" si="96"/>
        <v>Elba</v>
      </c>
    </row>
    <row r="99" spans="1:5">
      <c r="A99" s="3" t="s">
        <v>1722</v>
      </c>
      <c r="B99" s="110" t="s">
        <v>1317</v>
      </c>
      <c r="C99" s="112" t="s">
        <v>1723</v>
      </c>
      <c r="D99" s="111" t="str">
        <f t="shared" ref="D99:E99" si="97">TRIM(B99)</f>
        <v>Alabama</v>
      </c>
      <c r="E99" s="111" t="str">
        <f t="shared" si="97"/>
        <v>Elkmont</v>
      </c>
    </row>
    <row r="100" spans="1:5">
      <c r="A100" s="3" t="s">
        <v>1727</v>
      </c>
      <c r="B100" s="110" t="s">
        <v>1317</v>
      </c>
      <c r="C100" s="111" t="s">
        <v>1728</v>
      </c>
      <c r="D100" s="111" t="str">
        <f t="shared" ref="D100:E100" si="98">TRIM(B100)</f>
        <v>Alabama</v>
      </c>
      <c r="E100" s="111" t="str">
        <f t="shared" si="98"/>
        <v>Enterprise</v>
      </c>
    </row>
    <row r="101" spans="1:5">
      <c r="A101" s="3" t="s">
        <v>1729</v>
      </c>
      <c r="B101" s="110" t="s">
        <v>1317</v>
      </c>
      <c r="C101" s="111" t="s">
        <v>1730</v>
      </c>
      <c r="D101" s="111" t="str">
        <f t="shared" ref="D101:E101" si="99">TRIM(B101)</f>
        <v>Alabama</v>
      </c>
      <c r="E101" s="111" t="str">
        <f t="shared" si="99"/>
        <v>Eufaula</v>
      </c>
    </row>
    <row r="102" spans="1:5">
      <c r="A102" s="3" t="s">
        <v>1733</v>
      </c>
      <c r="B102" s="110" t="s">
        <v>1317</v>
      </c>
      <c r="C102" s="111" t="s">
        <v>1735</v>
      </c>
      <c r="D102" s="111" t="str">
        <f t="shared" ref="D102:E102" si="100">TRIM(B102)</f>
        <v>Alabama</v>
      </c>
      <c r="E102" s="111" t="str">
        <f t="shared" si="100"/>
        <v>Eutaw</v>
      </c>
    </row>
    <row r="103" spans="1:5">
      <c r="A103" s="3" t="s">
        <v>1736</v>
      </c>
      <c r="B103" s="110" t="s">
        <v>1317</v>
      </c>
      <c r="C103" s="111" t="s">
        <v>1737</v>
      </c>
      <c r="D103" s="111" t="str">
        <f t="shared" ref="D103:E103" si="101">TRIM(B103)</f>
        <v>Alabama</v>
      </c>
      <c r="E103" s="111" t="str">
        <f t="shared" si="101"/>
        <v>Evergreen</v>
      </c>
    </row>
    <row r="104" spans="1:5">
      <c r="A104" s="3" t="s">
        <v>1738</v>
      </c>
      <c r="B104" s="110" t="s">
        <v>1317</v>
      </c>
      <c r="C104" s="111" t="s">
        <v>303</v>
      </c>
      <c r="D104" s="111" t="str">
        <f t="shared" ref="D104:E104" si="102">TRIM(B104)</f>
        <v>Alabama</v>
      </c>
      <c r="E104" s="111" t="str">
        <f t="shared" si="102"/>
        <v>Fairfield</v>
      </c>
    </row>
    <row r="105" spans="1:5">
      <c r="A105" s="3" t="s">
        <v>1741</v>
      </c>
      <c r="B105" s="110" t="s">
        <v>1317</v>
      </c>
      <c r="C105" s="111" t="s">
        <v>1743</v>
      </c>
      <c r="D105" s="111" t="str">
        <f t="shared" ref="D105:E105" si="103">TRIM(B105)</f>
        <v>Alabama</v>
      </c>
      <c r="E105" s="111" t="str">
        <f t="shared" si="103"/>
        <v>Fairhope</v>
      </c>
    </row>
    <row r="106" spans="1:5">
      <c r="A106" s="3" t="s">
        <v>1744</v>
      </c>
      <c r="B106" s="110" t="s">
        <v>1317</v>
      </c>
      <c r="C106" s="111" t="s">
        <v>1745</v>
      </c>
      <c r="D106" s="111" t="str">
        <f t="shared" ref="D106:E106" si="104">TRIM(B106)</f>
        <v>Alabama</v>
      </c>
      <c r="E106" s="111" t="str">
        <f t="shared" si="104"/>
        <v>Falkville</v>
      </c>
    </row>
    <row r="107" spans="1:5">
      <c r="A107" s="3" t="s">
        <v>1746</v>
      </c>
      <c r="B107" s="110" t="s">
        <v>1317</v>
      </c>
      <c r="C107" s="111" t="s">
        <v>1747</v>
      </c>
      <c r="D107" s="111" t="str">
        <f t="shared" ref="D107:E107" si="105">TRIM(B107)</f>
        <v>Alabama</v>
      </c>
      <c r="E107" s="111" t="str">
        <f t="shared" si="105"/>
        <v>Fayette</v>
      </c>
    </row>
    <row r="108" spans="1:5">
      <c r="A108" s="3" t="s">
        <v>1751</v>
      </c>
      <c r="B108" s="110" t="s">
        <v>1317</v>
      </c>
      <c r="C108" s="111" t="s">
        <v>1752</v>
      </c>
      <c r="D108" s="111" t="str">
        <f t="shared" ref="D108:E108" si="106">TRIM(B108)</f>
        <v>Alabama</v>
      </c>
      <c r="E108" s="111" t="str">
        <f t="shared" si="106"/>
        <v>Flomaton</v>
      </c>
    </row>
    <row r="109" spans="1:5">
      <c r="A109" s="3" t="s">
        <v>1753</v>
      </c>
      <c r="B109" s="110" t="s">
        <v>1317</v>
      </c>
      <c r="C109" s="111" t="s">
        <v>277</v>
      </c>
      <c r="D109" s="111" t="str">
        <f t="shared" ref="D109:E109" si="107">TRIM(B109)</f>
        <v>Alabama</v>
      </c>
      <c r="E109" s="111" t="str">
        <f t="shared" si="107"/>
        <v>Florala</v>
      </c>
    </row>
    <row r="110" spans="1:5">
      <c r="A110" s="3" t="s">
        <v>1754</v>
      </c>
      <c r="B110" s="110" t="s">
        <v>1317</v>
      </c>
      <c r="C110" s="111" t="s">
        <v>1756</v>
      </c>
      <c r="D110" s="111" t="str">
        <f t="shared" ref="D110:E110" si="108">TRIM(B110)</f>
        <v>Alabama</v>
      </c>
      <c r="E110" s="111" t="str">
        <f t="shared" si="108"/>
        <v>Florence</v>
      </c>
    </row>
    <row r="111" spans="1:5">
      <c r="A111" s="3" t="s">
        <v>1759</v>
      </c>
      <c r="B111" s="110" t="s">
        <v>1317</v>
      </c>
      <c r="C111" s="111" t="s">
        <v>1760</v>
      </c>
      <c r="D111" s="111" t="str">
        <f t="shared" ref="D111:E111" si="109">TRIM(B111)</f>
        <v>Alabama</v>
      </c>
      <c r="E111" s="111" t="str">
        <f t="shared" si="109"/>
        <v>Foley</v>
      </c>
    </row>
    <row r="112" spans="1:5">
      <c r="A112" s="3" t="s">
        <v>1761</v>
      </c>
      <c r="B112" s="110" t="s">
        <v>1317</v>
      </c>
      <c r="C112" s="111" t="s">
        <v>1762</v>
      </c>
      <c r="D112" s="111" t="str">
        <f t="shared" ref="D112:E112" si="110">TRIM(B112)</f>
        <v>Alabama</v>
      </c>
      <c r="E112" s="111" t="str">
        <f t="shared" si="110"/>
        <v>Fort Payne</v>
      </c>
    </row>
    <row r="113" spans="1:5">
      <c r="A113" s="3" t="s">
        <v>1763</v>
      </c>
      <c r="B113" s="110" t="s">
        <v>1317</v>
      </c>
      <c r="C113" s="111" t="s">
        <v>1764</v>
      </c>
      <c r="D113" s="111" t="str">
        <f t="shared" ref="D113:E113" si="111">TRIM(B113)</f>
        <v>Alabama</v>
      </c>
      <c r="E113" s="111" t="str">
        <f t="shared" si="111"/>
        <v>Gadsden</v>
      </c>
    </row>
    <row r="114" spans="1:5">
      <c r="A114" s="3" t="s">
        <v>1768</v>
      </c>
      <c r="B114" s="110" t="s">
        <v>1317</v>
      </c>
      <c r="C114" s="111" t="s">
        <v>1764</v>
      </c>
      <c r="D114" s="111" t="str">
        <f t="shared" ref="D114:E114" si="112">TRIM(B114)</f>
        <v>Alabama</v>
      </c>
      <c r="E114" s="111" t="str">
        <f t="shared" si="112"/>
        <v>Gadsden</v>
      </c>
    </row>
    <row r="115" spans="1:5">
      <c r="A115" s="3" t="s">
        <v>1769</v>
      </c>
      <c r="B115" s="110" t="s">
        <v>1317</v>
      </c>
      <c r="C115" s="111" t="s">
        <v>1770</v>
      </c>
      <c r="D115" s="111" t="str">
        <f t="shared" ref="D115:E115" si="113">TRIM(B115)</f>
        <v>Alabama</v>
      </c>
      <c r="E115" s="111" t="str">
        <f t="shared" si="113"/>
        <v>Gardendale</v>
      </c>
    </row>
    <row r="116" spans="1:5">
      <c r="A116" s="3" t="s">
        <v>1772</v>
      </c>
      <c r="B116" s="110" t="s">
        <v>1317</v>
      </c>
      <c r="C116" s="111" t="s">
        <v>1773</v>
      </c>
      <c r="D116" s="111" t="str">
        <f t="shared" ref="D116:E116" si="114">TRIM(B116)</f>
        <v>Alabama</v>
      </c>
      <c r="E116" s="111" t="str">
        <f t="shared" si="114"/>
        <v>Geneva</v>
      </c>
    </row>
    <row r="117" spans="1:5">
      <c r="A117" s="3" t="s">
        <v>1776</v>
      </c>
      <c r="B117" s="110" t="s">
        <v>1317</v>
      </c>
      <c r="C117" s="111" t="s">
        <v>1777</v>
      </c>
      <c r="D117" s="111" t="str">
        <f t="shared" ref="D117:E117" si="115">TRIM(B117)</f>
        <v>Alabama</v>
      </c>
      <c r="E117" s="111" t="str">
        <f t="shared" si="115"/>
        <v>Gilbertown</v>
      </c>
    </row>
    <row r="118" spans="1:5">
      <c r="A118" s="3" t="s">
        <v>1779</v>
      </c>
      <c r="B118" s="110" t="s">
        <v>1317</v>
      </c>
      <c r="C118" s="111" t="s">
        <v>1780</v>
      </c>
      <c r="D118" s="111" t="str">
        <f t="shared" ref="D118:E118" si="116">TRIM(B118)</f>
        <v>Alabama</v>
      </c>
      <c r="E118" s="111" t="str">
        <f t="shared" si="116"/>
        <v>Glencoe</v>
      </c>
    </row>
    <row r="119" spans="1:5">
      <c r="A119" s="3" t="s">
        <v>1781</v>
      </c>
      <c r="B119" s="110" t="s">
        <v>1317</v>
      </c>
      <c r="C119" s="111" t="s">
        <v>1783</v>
      </c>
      <c r="D119" s="111" t="str">
        <f t="shared" ref="D119:E119" si="117">TRIM(B119)</f>
        <v>Alabama</v>
      </c>
      <c r="E119" s="111" t="str">
        <f t="shared" si="117"/>
        <v>Gordo</v>
      </c>
    </row>
    <row r="120" spans="1:5">
      <c r="A120" s="3" t="s">
        <v>1795</v>
      </c>
      <c r="B120" s="110" t="s">
        <v>1317</v>
      </c>
      <c r="C120" s="111" t="s">
        <v>1796</v>
      </c>
      <c r="D120" s="111" t="str">
        <f t="shared" ref="D120:E120" si="118">TRIM(B120)</f>
        <v>Alabama</v>
      </c>
      <c r="E120" s="111" t="str">
        <f t="shared" si="118"/>
        <v>Goshen</v>
      </c>
    </row>
    <row r="121" spans="1:5">
      <c r="A121" s="3" t="s">
        <v>1797</v>
      </c>
      <c r="B121" s="110" t="s">
        <v>1317</v>
      </c>
      <c r="C121" s="111" t="s">
        <v>1798</v>
      </c>
      <c r="D121" s="111" t="str">
        <f t="shared" ref="D121:E121" si="119">TRIM(B121)</f>
        <v>Alabama</v>
      </c>
      <c r="E121" s="111" t="str">
        <f t="shared" si="119"/>
        <v>Grant</v>
      </c>
    </row>
    <row r="122" spans="1:5">
      <c r="A122" s="3" t="s">
        <v>1802</v>
      </c>
      <c r="B122" s="110" t="s">
        <v>1317</v>
      </c>
      <c r="C122" s="111" t="s">
        <v>178</v>
      </c>
      <c r="D122" s="111" t="str">
        <f t="shared" ref="D122:E122" si="120">TRIM(B122)</f>
        <v>Alabama</v>
      </c>
      <c r="E122" s="111" t="str">
        <f t="shared" si="120"/>
        <v>Greensboro</v>
      </c>
    </row>
    <row r="123" spans="1:5">
      <c r="A123" s="3" t="s">
        <v>1803</v>
      </c>
      <c r="B123" s="110" t="s">
        <v>1317</v>
      </c>
      <c r="C123" s="111" t="s">
        <v>1804</v>
      </c>
      <c r="D123" s="111" t="str">
        <f t="shared" ref="D123:E123" si="121">TRIM(B123)</f>
        <v>Alabama</v>
      </c>
      <c r="E123" s="111" t="str">
        <f t="shared" si="121"/>
        <v>Greenville</v>
      </c>
    </row>
    <row r="124" spans="1:5">
      <c r="A124" s="3" t="s">
        <v>1805</v>
      </c>
      <c r="B124" s="110" t="s">
        <v>1317</v>
      </c>
      <c r="C124" s="111" t="s">
        <v>1806</v>
      </c>
      <c r="D124" s="111" t="str">
        <f t="shared" ref="D124:E124" si="122">TRIM(B124)</f>
        <v>Alabama</v>
      </c>
      <c r="E124" s="111" t="str">
        <f t="shared" si="122"/>
        <v>Grove Hill</v>
      </c>
    </row>
    <row r="125" spans="1:5">
      <c r="A125" s="3" t="s">
        <v>1808</v>
      </c>
      <c r="B125" s="110" t="s">
        <v>1317</v>
      </c>
      <c r="C125" s="111" t="s">
        <v>1810</v>
      </c>
      <c r="D125" s="111" t="str">
        <f t="shared" ref="D125:E125" si="123">TRIM(B125)</f>
        <v>Alabama</v>
      </c>
      <c r="E125" s="111" t="str">
        <f t="shared" si="123"/>
        <v>Guin</v>
      </c>
    </row>
    <row r="126" spans="1:5">
      <c r="A126" s="3" t="s">
        <v>1811</v>
      </c>
      <c r="B126" s="110" t="s">
        <v>1317</v>
      </c>
      <c r="C126" s="111" t="s">
        <v>1812</v>
      </c>
      <c r="D126" s="111" t="str">
        <f t="shared" ref="D126:E126" si="124">TRIM(B126)</f>
        <v>Alabama</v>
      </c>
      <c r="E126" s="111" t="str">
        <f t="shared" si="124"/>
        <v>Gulf Shores</v>
      </c>
    </row>
    <row r="127" spans="1:5">
      <c r="A127" s="3" t="s">
        <v>1814</v>
      </c>
      <c r="B127" s="110" t="s">
        <v>1317</v>
      </c>
      <c r="C127" s="111" t="s">
        <v>1815</v>
      </c>
      <c r="D127" s="111" t="str">
        <f t="shared" ref="D127:E127" si="125">TRIM(B127)</f>
        <v>Alabama</v>
      </c>
      <c r="E127" s="111" t="str">
        <f t="shared" si="125"/>
        <v>Guntersville</v>
      </c>
    </row>
    <row r="128" spans="1:5">
      <c r="A128" s="3" t="s">
        <v>1817</v>
      </c>
      <c r="B128" s="110" t="s">
        <v>1317</v>
      </c>
      <c r="C128" s="111" t="s">
        <v>1815</v>
      </c>
      <c r="D128" s="111" t="str">
        <f t="shared" ref="D128:E128" si="126">TRIM(B128)</f>
        <v>Alabama</v>
      </c>
      <c r="E128" s="111" t="str">
        <f t="shared" si="126"/>
        <v>Guntersville</v>
      </c>
    </row>
    <row r="129" spans="1:5">
      <c r="A129" s="3" t="s">
        <v>1818</v>
      </c>
      <c r="B129" s="110" t="s">
        <v>1317</v>
      </c>
      <c r="C129" s="111" t="s">
        <v>1819</v>
      </c>
      <c r="D129" s="111" t="str">
        <f t="shared" ref="D129:E129" si="127">TRIM(B129)</f>
        <v>Alabama</v>
      </c>
      <c r="E129" s="111" t="str">
        <f t="shared" si="127"/>
        <v>Gurley</v>
      </c>
    </row>
    <row r="130" spans="1:5">
      <c r="A130" s="3" t="s">
        <v>1821</v>
      </c>
      <c r="B130" s="110" t="s">
        <v>1317</v>
      </c>
      <c r="C130" s="111" t="s">
        <v>1822</v>
      </c>
      <c r="D130" s="111" t="str">
        <f t="shared" ref="D130:E130" si="128">TRIM(B130)</f>
        <v>Alabama</v>
      </c>
      <c r="E130" s="111" t="str">
        <f t="shared" si="128"/>
        <v>Hackleburg</v>
      </c>
    </row>
    <row r="131" spans="1:5">
      <c r="A131" s="3" t="s">
        <v>1825</v>
      </c>
      <c r="B131" s="110" t="s">
        <v>1317</v>
      </c>
      <c r="C131" s="111" t="s">
        <v>1826</v>
      </c>
      <c r="D131" s="111" t="str">
        <f t="shared" ref="D131:E131" si="129">TRIM(B131)</f>
        <v>Alabama</v>
      </c>
      <c r="E131" s="111" t="str">
        <f t="shared" si="129"/>
        <v>Haleyville</v>
      </c>
    </row>
    <row r="132" spans="1:5">
      <c r="A132" s="3" t="s">
        <v>1827</v>
      </c>
      <c r="B132" s="110" t="s">
        <v>1317</v>
      </c>
      <c r="C132" s="111" t="s">
        <v>344</v>
      </c>
      <c r="D132" s="111" t="str">
        <f t="shared" ref="D132:E132" si="130">TRIM(B132)</f>
        <v>Alabama</v>
      </c>
      <c r="E132" s="111" t="str">
        <f t="shared" si="130"/>
        <v>Hamilton</v>
      </c>
    </row>
    <row r="133" spans="1:5">
      <c r="A133" s="3" t="s">
        <v>1829</v>
      </c>
      <c r="B133" s="110" t="s">
        <v>1317</v>
      </c>
      <c r="C133" s="111" t="s">
        <v>1830</v>
      </c>
      <c r="D133" s="111" t="str">
        <f t="shared" ref="D133:E133" si="131">TRIM(B133)</f>
        <v>Alabama</v>
      </c>
      <c r="E133" s="111" t="str">
        <f t="shared" si="131"/>
        <v>Hanceville</v>
      </c>
    </row>
    <row r="134" spans="1:5">
      <c r="A134" s="3" t="s">
        <v>1831</v>
      </c>
      <c r="B134" s="110" t="s">
        <v>1317</v>
      </c>
      <c r="C134" s="111" t="s">
        <v>1832</v>
      </c>
      <c r="D134" s="111" t="str">
        <f t="shared" ref="D134:E134" si="132">TRIM(B134)</f>
        <v>Alabama</v>
      </c>
      <c r="E134" s="111" t="str">
        <f t="shared" si="132"/>
        <v>Hartford</v>
      </c>
    </row>
    <row r="135" spans="1:5">
      <c r="A135" s="3" t="s">
        <v>1834</v>
      </c>
      <c r="B135" s="110" t="s">
        <v>1317</v>
      </c>
      <c r="C135" s="111" t="s">
        <v>1835</v>
      </c>
      <c r="D135" s="111" t="str">
        <f t="shared" ref="D135:E135" si="133">TRIM(B135)</f>
        <v>Alabama</v>
      </c>
      <c r="E135" s="111" t="str">
        <f t="shared" si="133"/>
        <v>Hartselle</v>
      </c>
    </row>
    <row r="136" spans="1:5">
      <c r="A136" s="3" t="s">
        <v>1836</v>
      </c>
      <c r="B136" s="110" t="s">
        <v>1317</v>
      </c>
      <c r="C136" s="111" t="s">
        <v>1837</v>
      </c>
      <c r="D136" s="111" t="str">
        <f t="shared" ref="D136:E136" si="134">TRIM(B136)</f>
        <v>Alabama</v>
      </c>
      <c r="E136" s="111" t="str">
        <f t="shared" si="134"/>
        <v>Harvest</v>
      </c>
    </row>
    <row r="137" spans="1:5">
      <c r="A137" s="3" t="s">
        <v>1840</v>
      </c>
      <c r="B137" s="110" t="s">
        <v>1317</v>
      </c>
      <c r="C137" s="111" t="s">
        <v>1842</v>
      </c>
      <c r="D137" s="111" t="str">
        <f t="shared" ref="D137:E137" si="135">TRIM(B137)</f>
        <v>Alabama</v>
      </c>
      <c r="E137" s="111" t="str">
        <f t="shared" si="135"/>
        <v>Hayden</v>
      </c>
    </row>
    <row r="138" spans="1:5">
      <c r="A138" s="3" t="s">
        <v>1843</v>
      </c>
      <c r="B138" s="110" t="s">
        <v>1317</v>
      </c>
      <c r="C138" s="111" t="s">
        <v>1844</v>
      </c>
      <c r="D138" s="111" t="str">
        <f t="shared" ref="D138:E138" si="136">TRIM(B138)</f>
        <v>Alabama</v>
      </c>
      <c r="E138" s="111" t="str">
        <f t="shared" si="136"/>
        <v>Hayneville</v>
      </c>
    </row>
    <row r="139" spans="1:5">
      <c r="A139" s="3" t="s">
        <v>1845</v>
      </c>
      <c r="B139" s="110" t="s">
        <v>1317</v>
      </c>
      <c r="C139" s="111" t="s">
        <v>1847</v>
      </c>
      <c r="D139" s="111" t="str">
        <f t="shared" ref="D139:E139" si="137">TRIM(B139)</f>
        <v>Alabama</v>
      </c>
      <c r="E139" s="111" t="str">
        <f t="shared" si="137"/>
        <v>Hazel Green</v>
      </c>
    </row>
    <row r="140" spans="1:5">
      <c r="A140" s="3" t="s">
        <v>1849</v>
      </c>
      <c r="B140" s="110" t="s">
        <v>1317</v>
      </c>
      <c r="C140" s="111" t="s">
        <v>1851</v>
      </c>
      <c r="D140" s="111" t="str">
        <f t="shared" ref="D140:E140" si="138">TRIM(B140)</f>
        <v>Alabama</v>
      </c>
      <c r="E140" s="111" t="str">
        <f t="shared" si="138"/>
        <v>Headland</v>
      </c>
    </row>
    <row r="141" spans="1:5">
      <c r="A141" s="3" t="s">
        <v>1852</v>
      </c>
      <c r="B141" s="110" t="s">
        <v>1317</v>
      </c>
      <c r="C141" s="111" t="s">
        <v>1853</v>
      </c>
      <c r="D141" s="111" t="str">
        <f t="shared" ref="D141:E141" si="139">TRIM(B141)</f>
        <v>Alabama</v>
      </c>
      <c r="E141" s="111" t="str">
        <f t="shared" si="139"/>
        <v>Heflin</v>
      </c>
    </row>
    <row r="142" spans="1:5">
      <c r="A142" s="3" t="s">
        <v>1854</v>
      </c>
      <c r="B142" s="110" t="s">
        <v>1317</v>
      </c>
      <c r="C142" s="111" t="s">
        <v>493</v>
      </c>
      <c r="D142" s="111" t="str">
        <f t="shared" ref="D142:E142" si="140">TRIM(B142)</f>
        <v>Alabama</v>
      </c>
      <c r="E142" s="111" t="str">
        <f t="shared" si="140"/>
        <v>Helena</v>
      </c>
    </row>
    <row r="143" spans="1:5">
      <c r="A143" s="3" t="s">
        <v>1856</v>
      </c>
      <c r="B143" s="110" t="s">
        <v>1317</v>
      </c>
      <c r="C143" s="111" t="s">
        <v>1857</v>
      </c>
      <c r="D143" s="111" t="str">
        <f t="shared" ref="D143:E143" si="141">TRIM(B143)</f>
        <v>Alabama</v>
      </c>
      <c r="E143" s="111" t="str">
        <f t="shared" si="141"/>
        <v>Hokes Bluff</v>
      </c>
    </row>
    <row r="144" spans="1:5">
      <c r="A144" s="3" t="s">
        <v>1859</v>
      </c>
      <c r="B144" s="110" t="s">
        <v>1317</v>
      </c>
      <c r="C144" s="111" t="s">
        <v>1860</v>
      </c>
      <c r="D144" s="111" t="str">
        <f t="shared" ref="D144:E144" si="142">TRIM(B144)</f>
        <v>Alabama</v>
      </c>
      <c r="E144" s="111" t="str">
        <f t="shared" si="142"/>
        <v>Holly Pond</v>
      </c>
    </row>
    <row r="145" spans="1:5">
      <c r="A145" s="3" t="s">
        <v>1862</v>
      </c>
      <c r="B145" s="110" t="s">
        <v>1317</v>
      </c>
      <c r="C145" s="111" t="s">
        <v>1863</v>
      </c>
      <c r="D145" s="111" t="str">
        <f t="shared" ref="D145:E145" si="143">TRIM(B145)</f>
        <v>Alabama</v>
      </c>
      <c r="E145" s="111" t="str">
        <f t="shared" si="143"/>
        <v>Homewood</v>
      </c>
    </row>
    <row r="146" spans="1:5">
      <c r="A146" s="3" t="s">
        <v>1865</v>
      </c>
      <c r="B146" s="110" t="s">
        <v>1317</v>
      </c>
      <c r="C146" s="111" t="s">
        <v>1866</v>
      </c>
      <c r="D146" s="111" t="str">
        <f t="shared" ref="D146:E146" si="144">TRIM(B146)</f>
        <v>Alabama</v>
      </c>
      <c r="E146" s="111" t="str">
        <f t="shared" si="144"/>
        <v>Hoover</v>
      </c>
    </row>
    <row r="147" spans="1:5">
      <c r="A147" s="3" t="s">
        <v>1867</v>
      </c>
      <c r="B147" s="110" t="s">
        <v>1317</v>
      </c>
      <c r="C147" s="111" t="s">
        <v>1868</v>
      </c>
      <c r="D147" s="111" t="str">
        <f t="shared" ref="D147:E147" si="145">TRIM(B147)</f>
        <v>Alabama</v>
      </c>
      <c r="E147" s="111" t="str">
        <f t="shared" si="145"/>
        <v>Hueytown</v>
      </c>
    </row>
    <row r="148" spans="1:5">
      <c r="A148" s="3" t="s">
        <v>1870</v>
      </c>
      <c r="B148" s="110" t="s">
        <v>1317</v>
      </c>
      <c r="C148" s="111" t="s">
        <v>472</v>
      </c>
      <c r="D148" s="111" t="str">
        <f t="shared" ref="D148:E148" si="146">TRIM(B148)</f>
        <v>Alabama</v>
      </c>
      <c r="E148" s="111" t="str">
        <f t="shared" si="146"/>
        <v>Huntsville</v>
      </c>
    </row>
    <row r="149" spans="1:5">
      <c r="A149" s="3" t="s">
        <v>1873</v>
      </c>
      <c r="B149" s="110" t="s">
        <v>1317</v>
      </c>
      <c r="C149" s="111" t="s">
        <v>472</v>
      </c>
      <c r="D149" s="111" t="str">
        <f t="shared" ref="D149:E149" si="147">TRIM(B149)</f>
        <v>Alabama</v>
      </c>
      <c r="E149" s="111" t="str">
        <f t="shared" si="147"/>
        <v>Huntsville</v>
      </c>
    </row>
    <row r="150" spans="1:5">
      <c r="A150" s="3" t="s">
        <v>1874</v>
      </c>
      <c r="B150" s="110" t="s">
        <v>1317</v>
      </c>
      <c r="C150" s="111" t="s">
        <v>472</v>
      </c>
      <c r="D150" s="111" t="str">
        <f t="shared" ref="D150:E150" si="148">TRIM(B150)</f>
        <v>Alabama</v>
      </c>
      <c r="E150" s="111" t="str">
        <f t="shared" si="148"/>
        <v>Huntsville</v>
      </c>
    </row>
    <row r="151" spans="1:5">
      <c r="A151" s="3" t="s">
        <v>1878</v>
      </c>
      <c r="B151" s="110" t="s">
        <v>1317</v>
      </c>
      <c r="C151" s="111" t="s">
        <v>472</v>
      </c>
      <c r="D151" s="111" t="str">
        <f t="shared" ref="D151:E151" si="149">TRIM(B151)</f>
        <v>Alabama</v>
      </c>
      <c r="E151" s="111" t="str">
        <f t="shared" si="149"/>
        <v>Huntsville</v>
      </c>
    </row>
    <row r="152" spans="1:5">
      <c r="A152" s="3" t="s">
        <v>1880</v>
      </c>
      <c r="B152" s="110" t="s">
        <v>1317</v>
      </c>
      <c r="C152" s="111" t="s">
        <v>472</v>
      </c>
      <c r="D152" s="111" t="str">
        <f t="shared" ref="D152:E152" si="150">TRIM(B152)</f>
        <v>Alabama</v>
      </c>
      <c r="E152" s="111" t="str">
        <f t="shared" si="150"/>
        <v>Huntsville</v>
      </c>
    </row>
    <row r="153" spans="1:5">
      <c r="A153" s="3" t="s">
        <v>1882</v>
      </c>
      <c r="B153" s="110" t="s">
        <v>1317</v>
      </c>
      <c r="C153" s="111" t="s">
        <v>472</v>
      </c>
      <c r="D153" s="111" t="str">
        <f t="shared" ref="D153:E153" si="151">TRIM(B153)</f>
        <v>Alabama</v>
      </c>
      <c r="E153" s="111" t="str">
        <f t="shared" si="151"/>
        <v>Huntsville</v>
      </c>
    </row>
    <row r="154" spans="1:5">
      <c r="A154" s="3" t="s">
        <v>1884</v>
      </c>
      <c r="B154" s="110" t="s">
        <v>1317</v>
      </c>
      <c r="C154" s="111" t="s">
        <v>1885</v>
      </c>
      <c r="D154" s="111" t="str">
        <f t="shared" ref="D154:E154" si="152">TRIM(B154)</f>
        <v>Alabama</v>
      </c>
      <c r="E154" s="111" t="str">
        <f t="shared" si="152"/>
        <v>Irondale</v>
      </c>
    </row>
    <row r="155" spans="1:5">
      <c r="A155" s="3" t="s">
        <v>1886</v>
      </c>
      <c r="B155" s="110" t="s">
        <v>1317</v>
      </c>
      <c r="C155" s="111" t="s">
        <v>1887</v>
      </c>
      <c r="D155" s="111" t="str">
        <f t="shared" ref="D155:E155" si="153">TRIM(B155)</f>
        <v>Alabama</v>
      </c>
      <c r="E155" s="111" t="str">
        <f t="shared" si="153"/>
        <v>Irvington</v>
      </c>
    </row>
    <row r="156" spans="1:5">
      <c r="A156" s="3" t="s">
        <v>1890</v>
      </c>
      <c r="B156" s="110" t="s">
        <v>1317</v>
      </c>
      <c r="C156" s="111" t="s">
        <v>297</v>
      </c>
      <c r="D156" s="111" t="str">
        <f t="shared" ref="D156:E156" si="154">TRIM(B156)</f>
        <v>Alabama</v>
      </c>
      <c r="E156" s="111" t="str">
        <f t="shared" si="154"/>
        <v>Jackson</v>
      </c>
    </row>
    <row r="157" spans="1:5">
      <c r="A157" s="3" t="s">
        <v>1892</v>
      </c>
      <c r="B157" s="110" t="s">
        <v>1317</v>
      </c>
      <c r="C157" s="111" t="s">
        <v>1045</v>
      </c>
      <c r="D157" s="111" t="str">
        <f t="shared" ref="D157:E157" si="155">TRIM(B157)</f>
        <v>Alabama</v>
      </c>
      <c r="E157" s="111" t="str">
        <f t="shared" si="155"/>
        <v>Jacksonville</v>
      </c>
    </row>
    <row r="158" spans="1:5">
      <c r="A158" s="3" t="s">
        <v>1893</v>
      </c>
      <c r="B158" s="110" t="s">
        <v>1317</v>
      </c>
      <c r="C158" s="111" t="s">
        <v>1045</v>
      </c>
      <c r="D158" s="111" t="str">
        <f t="shared" ref="D158:E158" si="156">TRIM(B158)</f>
        <v>Alabama</v>
      </c>
      <c r="E158" s="111" t="str">
        <f t="shared" si="156"/>
        <v>Jacksonville</v>
      </c>
    </row>
    <row r="159" spans="1:5">
      <c r="A159" s="3" t="s">
        <v>1896</v>
      </c>
      <c r="B159" s="110" t="s">
        <v>1317</v>
      </c>
      <c r="C159" s="111" t="s">
        <v>263</v>
      </c>
      <c r="D159" s="111" t="str">
        <f t="shared" ref="D159:E159" si="157">TRIM(B159)</f>
        <v>Alabama</v>
      </c>
      <c r="E159" s="111" t="str">
        <f t="shared" si="157"/>
        <v>Jasper</v>
      </c>
    </row>
    <row r="160" spans="1:5">
      <c r="A160" s="3" t="s">
        <v>1898</v>
      </c>
      <c r="B160" s="110" t="s">
        <v>1317</v>
      </c>
      <c r="C160" s="111" t="s">
        <v>263</v>
      </c>
      <c r="D160" s="111" t="str">
        <f t="shared" ref="D160:E160" si="158">TRIM(B160)</f>
        <v>Alabama</v>
      </c>
      <c r="E160" s="111" t="str">
        <f t="shared" si="158"/>
        <v>Jasper</v>
      </c>
    </row>
    <row r="161" spans="1:5">
      <c r="A161" s="3" t="s">
        <v>1874</v>
      </c>
      <c r="B161" s="110" t="s">
        <v>1317</v>
      </c>
      <c r="C161" s="111" t="s">
        <v>1900</v>
      </c>
      <c r="D161" s="111" t="str">
        <f t="shared" ref="D161:E161" si="159">TRIM(B161)</f>
        <v>Alabama</v>
      </c>
      <c r="E161" s="111" t="str">
        <f t="shared" si="159"/>
        <v>Jemison</v>
      </c>
    </row>
    <row r="162" spans="1:5">
      <c r="A162" s="3" t="s">
        <v>1902</v>
      </c>
      <c r="B162" s="110" t="s">
        <v>1317</v>
      </c>
      <c r="C162" s="111" t="s">
        <v>1903</v>
      </c>
      <c r="D162" s="111" t="str">
        <f t="shared" ref="D162:E162" si="160">TRIM(B162)</f>
        <v>Alabama</v>
      </c>
      <c r="E162" s="111" t="str">
        <f t="shared" si="160"/>
        <v>Killen</v>
      </c>
    </row>
    <row r="163" spans="1:5">
      <c r="A163" s="3" t="s">
        <v>1904</v>
      </c>
      <c r="B163" s="110" t="s">
        <v>1317</v>
      </c>
      <c r="C163" s="111" t="s">
        <v>1166</v>
      </c>
      <c r="D163" s="111" t="str">
        <f t="shared" ref="D163:E163" si="161">TRIM(B163)</f>
        <v>Alabama</v>
      </c>
      <c r="E163" s="111" t="str">
        <f t="shared" si="161"/>
        <v>Kimberly</v>
      </c>
    </row>
    <row r="164" spans="1:5">
      <c r="A164" s="3" t="s">
        <v>1907</v>
      </c>
      <c r="B164" s="110" t="s">
        <v>1317</v>
      </c>
      <c r="C164" s="111" t="s">
        <v>236</v>
      </c>
      <c r="D164" s="111" t="str">
        <f t="shared" ref="D164:E164" si="162">TRIM(B164)</f>
        <v>Alabama</v>
      </c>
      <c r="E164" s="111" t="str">
        <f t="shared" si="162"/>
        <v>Lafayette</v>
      </c>
    </row>
    <row r="165" spans="1:5">
      <c r="A165" s="3" t="s">
        <v>1908</v>
      </c>
      <c r="B165" s="110" t="s">
        <v>1317</v>
      </c>
      <c r="C165" s="111" t="s">
        <v>1909</v>
      </c>
      <c r="D165" s="111" t="str">
        <f t="shared" ref="D165:E165" si="163">TRIM(B165)</f>
        <v>Alabama</v>
      </c>
      <c r="E165" s="111" t="str">
        <f t="shared" si="163"/>
        <v>Lanett</v>
      </c>
    </row>
    <row r="166" spans="1:5">
      <c r="A166" s="3" t="s">
        <v>1910</v>
      </c>
      <c r="B166" s="110" t="s">
        <v>1317</v>
      </c>
      <c r="C166" s="111" t="s">
        <v>1912</v>
      </c>
      <c r="D166" s="111" t="str">
        <f t="shared" ref="D166:E166" si="164">TRIM(B166)</f>
        <v>Alabama</v>
      </c>
      <c r="E166" s="111" t="str">
        <f t="shared" si="164"/>
        <v>Leeds</v>
      </c>
    </row>
    <row r="167" spans="1:5">
      <c r="A167" s="3" t="s">
        <v>1915</v>
      </c>
      <c r="B167" s="110" t="s">
        <v>1317</v>
      </c>
      <c r="C167" s="111" t="s">
        <v>1916</v>
      </c>
      <c r="D167" s="111" t="str">
        <f t="shared" ref="D167:E167" si="165">TRIM(B167)</f>
        <v>Alabama</v>
      </c>
      <c r="E167" s="111" t="str">
        <f t="shared" si="165"/>
        <v>Leighton</v>
      </c>
    </row>
    <row r="168" spans="1:5">
      <c r="A168" s="3" t="s">
        <v>1917</v>
      </c>
      <c r="B168" s="110" t="s">
        <v>1317</v>
      </c>
      <c r="C168" s="111" t="s">
        <v>1918</v>
      </c>
      <c r="D168" s="111" t="str">
        <f t="shared" ref="D168:E168" si="166">TRIM(B168)</f>
        <v>Alabama</v>
      </c>
      <c r="E168" s="111" t="str">
        <f t="shared" si="166"/>
        <v>Lester</v>
      </c>
    </row>
    <row r="169" spans="1:5">
      <c r="A169" s="3" t="s">
        <v>1922</v>
      </c>
      <c r="B169" s="110" t="s">
        <v>1317</v>
      </c>
      <c r="C169" s="111" t="s">
        <v>1923</v>
      </c>
      <c r="D169" s="111" t="str">
        <f t="shared" ref="D169:E169" si="167">TRIM(B169)</f>
        <v>Alabama</v>
      </c>
      <c r="E169" s="111" t="str">
        <f t="shared" si="167"/>
        <v>Letohatchee</v>
      </c>
    </row>
    <row r="170" spans="1:5">
      <c r="A170" s="3" t="s">
        <v>1925</v>
      </c>
      <c r="B170" s="110" t="s">
        <v>1317</v>
      </c>
      <c r="C170" s="111" t="s">
        <v>1283</v>
      </c>
      <c r="D170" s="111" t="str">
        <f t="shared" ref="D170:E170" si="168">TRIM(B170)</f>
        <v>Alabama</v>
      </c>
      <c r="E170" s="111" t="str">
        <f t="shared" si="168"/>
        <v>Lincoln</v>
      </c>
    </row>
    <row r="171" spans="1:5">
      <c r="A171" s="3" t="s">
        <v>1926</v>
      </c>
      <c r="B171" s="110" t="s">
        <v>1317</v>
      </c>
      <c r="C171" s="111" t="s">
        <v>298</v>
      </c>
      <c r="D171" s="111" t="str">
        <f t="shared" ref="D171:E171" si="169">TRIM(B171)</f>
        <v>Alabama</v>
      </c>
      <c r="E171" s="111" t="str">
        <f t="shared" si="169"/>
        <v>Linden</v>
      </c>
    </row>
    <row r="172" spans="1:5">
      <c r="A172" s="3" t="s">
        <v>1929</v>
      </c>
      <c r="B172" s="110" t="s">
        <v>1317</v>
      </c>
      <c r="C172" s="111" t="s">
        <v>1930</v>
      </c>
      <c r="D172" s="111" t="str">
        <f t="shared" ref="D172:E172" si="170">TRIM(B172)</f>
        <v>Alabama</v>
      </c>
      <c r="E172" s="111" t="str">
        <f t="shared" si="170"/>
        <v>Lineville</v>
      </c>
    </row>
    <row r="173" spans="1:5">
      <c r="A173" s="3" t="s">
        <v>1932</v>
      </c>
      <c r="B173" s="110" t="s">
        <v>1317</v>
      </c>
      <c r="C173" s="111" t="s">
        <v>1933</v>
      </c>
      <c r="D173" s="111" t="str">
        <f t="shared" ref="D173:E173" si="171">TRIM(B173)</f>
        <v>Alabama</v>
      </c>
      <c r="E173" s="111" t="str">
        <f t="shared" si="171"/>
        <v>Loachapoka</v>
      </c>
    </row>
    <row r="174" spans="1:5">
      <c r="A174" s="3" t="s">
        <v>1934</v>
      </c>
      <c r="B174" s="110" t="s">
        <v>1317</v>
      </c>
      <c r="C174" s="111" t="s">
        <v>1935</v>
      </c>
      <c r="D174" s="111" t="str">
        <f t="shared" ref="D174:E174" si="172">TRIM(B174)</f>
        <v>Alabama</v>
      </c>
      <c r="E174" s="111" t="str">
        <f t="shared" si="172"/>
        <v>Locust Fork</v>
      </c>
    </row>
    <row r="175" spans="1:5">
      <c r="A175" s="3" t="s">
        <v>1938</v>
      </c>
      <c r="B175" s="110" t="s">
        <v>1317</v>
      </c>
      <c r="C175" s="111" t="s">
        <v>1939</v>
      </c>
      <c r="D175" s="111" t="str">
        <f t="shared" ref="D175:E175" si="173">TRIM(B175)</f>
        <v>Alabama</v>
      </c>
      <c r="E175" s="111" t="str">
        <f t="shared" si="173"/>
        <v>Lynn</v>
      </c>
    </row>
    <row r="176" spans="1:5">
      <c r="A176" s="3" t="s">
        <v>1941</v>
      </c>
      <c r="B176" s="110" t="s">
        <v>1317</v>
      </c>
      <c r="C176" s="111" t="s">
        <v>488</v>
      </c>
      <c r="D176" s="111" t="str">
        <f t="shared" ref="D176:E176" si="174">TRIM(B176)</f>
        <v>Alabama</v>
      </c>
      <c r="E176" s="111" t="str">
        <f t="shared" si="174"/>
        <v>Madison</v>
      </c>
    </row>
    <row r="177" spans="1:5">
      <c r="A177" s="3" t="s">
        <v>1942</v>
      </c>
      <c r="B177" s="110" t="s">
        <v>1317</v>
      </c>
      <c r="C177" s="111" t="s">
        <v>488</v>
      </c>
      <c r="D177" s="111" t="str">
        <f t="shared" ref="D177:E177" si="175">TRIM(B177)</f>
        <v>Alabama</v>
      </c>
      <c r="E177" s="111" t="str">
        <f t="shared" si="175"/>
        <v>Madison</v>
      </c>
    </row>
    <row r="178" spans="1:5">
      <c r="A178" s="3" t="s">
        <v>1944</v>
      </c>
      <c r="B178" s="110" t="s">
        <v>1317</v>
      </c>
      <c r="C178" s="111" t="s">
        <v>1945</v>
      </c>
      <c r="D178" s="111" t="str">
        <f t="shared" ref="D178:E178" si="176">TRIM(B178)</f>
        <v>Alabama</v>
      </c>
      <c r="E178" s="111" t="str">
        <f t="shared" si="176"/>
        <v>Mc Calla</v>
      </c>
    </row>
    <row r="179" spans="1:5">
      <c r="A179" s="3" t="s">
        <v>1947</v>
      </c>
      <c r="B179" s="110" t="s">
        <v>1317</v>
      </c>
      <c r="C179" s="111" t="s">
        <v>1948</v>
      </c>
      <c r="D179" s="111" t="str">
        <f t="shared" ref="D179:E179" si="177">TRIM(B179)</f>
        <v>Alabama</v>
      </c>
      <c r="E179" s="111" t="str">
        <f t="shared" si="177"/>
        <v>Mc Intosh</v>
      </c>
    </row>
    <row r="180" spans="1:5">
      <c r="A180" s="3" t="s">
        <v>1949</v>
      </c>
      <c r="B180" s="110" t="s">
        <v>1317</v>
      </c>
      <c r="C180" s="111" t="s">
        <v>1950</v>
      </c>
      <c r="D180" s="111" t="str">
        <f t="shared" ref="D180:E180" si="178">TRIM(B180)</f>
        <v>Alabama</v>
      </c>
      <c r="E180" s="111" t="str">
        <f t="shared" si="178"/>
        <v>Midfield</v>
      </c>
    </row>
    <row r="181" spans="1:5">
      <c r="A181" s="3" t="s">
        <v>1951</v>
      </c>
      <c r="B181" s="110" t="s">
        <v>1317</v>
      </c>
      <c r="C181" s="111" t="s">
        <v>1953</v>
      </c>
      <c r="D181" s="111" t="str">
        <f t="shared" ref="D181:E181" si="179">TRIM(B181)</f>
        <v>Alabama</v>
      </c>
      <c r="E181" s="111" t="str">
        <f t="shared" si="179"/>
        <v>Midland City</v>
      </c>
    </row>
    <row r="182" spans="1:5">
      <c r="A182" s="3" t="s">
        <v>1956</v>
      </c>
      <c r="B182" s="110" t="s">
        <v>1317</v>
      </c>
      <c r="C182" s="111" t="s">
        <v>1957</v>
      </c>
      <c r="D182" s="111" t="str">
        <f t="shared" ref="D182:E182" si="180">TRIM(B182)</f>
        <v>Alabama</v>
      </c>
      <c r="E182" s="111" t="str">
        <f t="shared" si="180"/>
        <v>Millbrook</v>
      </c>
    </row>
    <row r="183" spans="1:5">
      <c r="A183" s="3" t="s">
        <v>1958</v>
      </c>
      <c r="B183" s="110" t="s">
        <v>1317</v>
      </c>
      <c r="C183" s="111" t="s">
        <v>1959</v>
      </c>
      <c r="D183" s="111" t="str">
        <f t="shared" ref="D183:E183" si="181">TRIM(B183)</f>
        <v>Alabama</v>
      </c>
      <c r="E183" s="111" t="str">
        <f t="shared" si="181"/>
        <v>Mobile</v>
      </c>
    </row>
    <row r="184" spans="1:5">
      <c r="A184" s="3" t="s">
        <v>1961</v>
      </c>
      <c r="B184" s="110" t="s">
        <v>1317</v>
      </c>
      <c r="C184" s="111" t="s">
        <v>1959</v>
      </c>
      <c r="D184" s="111" t="str">
        <f t="shared" ref="D184:E184" si="182">TRIM(B184)</f>
        <v>Alabama</v>
      </c>
      <c r="E184" s="111" t="str">
        <f t="shared" si="182"/>
        <v>Mobile</v>
      </c>
    </row>
    <row r="185" spans="1:5">
      <c r="A185" s="3" t="s">
        <v>1963</v>
      </c>
      <c r="B185" s="110" t="s">
        <v>1317</v>
      </c>
      <c r="C185" s="111" t="s">
        <v>1959</v>
      </c>
      <c r="D185" s="111" t="str">
        <f t="shared" ref="D185:E185" si="183">TRIM(B185)</f>
        <v>Alabama</v>
      </c>
      <c r="E185" s="111" t="str">
        <f t="shared" si="183"/>
        <v>Mobile</v>
      </c>
    </row>
    <row r="186" spans="1:5">
      <c r="A186" s="110" t="s">
        <v>1964</v>
      </c>
      <c r="B186" s="110" t="s">
        <v>1317</v>
      </c>
      <c r="C186" s="111" t="s">
        <v>1959</v>
      </c>
      <c r="D186" s="111" t="str">
        <f t="shared" ref="D186:E186" si="184">TRIM(B186)</f>
        <v>Alabama</v>
      </c>
      <c r="E186" s="111" t="str">
        <f t="shared" si="184"/>
        <v>Mobile</v>
      </c>
    </row>
    <row r="187" spans="1:5">
      <c r="A187" s="3" t="s">
        <v>1967</v>
      </c>
      <c r="B187" s="110" t="s">
        <v>1317</v>
      </c>
      <c r="C187" s="111" t="s">
        <v>1959</v>
      </c>
      <c r="D187" s="111" t="str">
        <f t="shared" ref="D187:E187" si="185">TRIM(B187)</f>
        <v>Alabama</v>
      </c>
      <c r="E187" s="111" t="str">
        <f t="shared" si="185"/>
        <v>Mobile</v>
      </c>
    </row>
    <row r="188" spans="1:5">
      <c r="A188" s="3" t="s">
        <v>1969</v>
      </c>
      <c r="B188" s="110" t="s">
        <v>1317</v>
      </c>
      <c r="C188" s="111" t="s">
        <v>1959</v>
      </c>
      <c r="D188" s="111" t="str">
        <f t="shared" ref="D188:E188" si="186">TRIM(B188)</f>
        <v>Alabama</v>
      </c>
      <c r="E188" s="111" t="str">
        <f t="shared" si="186"/>
        <v>Mobile</v>
      </c>
    </row>
    <row r="189" spans="1:5">
      <c r="A189" s="3" t="s">
        <v>1971</v>
      </c>
      <c r="B189" s="110" t="s">
        <v>1317</v>
      </c>
      <c r="C189" s="111" t="s">
        <v>1959</v>
      </c>
      <c r="D189" s="111" t="str">
        <f t="shared" ref="D189:E189" si="187">TRIM(B189)</f>
        <v>Alabama</v>
      </c>
      <c r="E189" s="111" t="str">
        <f t="shared" si="187"/>
        <v>Mobile</v>
      </c>
    </row>
    <row r="190" spans="1:5">
      <c r="A190" s="3" t="s">
        <v>1974</v>
      </c>
      <c r="B190" s="110" t="s">
        <v>1317</v>
      </c>
      <c r="C190" s="111" t="s">
        <v>1975</v>
      </c>
      <c r="D190" s="111" t="str">
        <f t="shared" ref="D190:E190" si="188">TRIM(B190)</f>
        <v>Alabama</v>
      </c>
      <c r="E190" s="111" t="str">
        <f t="shared" si="188"/>
        <v>Monroeville</v>
      </c>
    </row>
    <row r="191" spans="1:5">
      <c r="A191" s="3" t="s">
        <v>1976</v>
      </c>
      <c r="B191" s="110" t="s">
        <v>1317</v>
      </c>
      <c r="C191" s="111" t="s">
        <v>1977</v>
      </c>
      <c r="D191" s="111" t="str">
        <f t="shared" ref="D191:E191" si="189">TRIM(B191)</f>
        <v>Alabama</v>
      </c>
      <c r="E191" s="111" t="str">
        <f t="shared" si="189"/>
        <v>Montevallo</v>
      </c>
    </row>
    <row r="192" spans="1:5">
      <c r="A192" s="3" t="s">
        <v>1978</v>
      </c>
      <c r="B192" s="110" t="s">
        <v>1317</v>
      </c>
      <c r="C192" s="111" t="s">
        <v>439</v>
      </c>
      <c r="D192" s="111" t="str">
        <f t="shared" ref="D192:E192" si="190">TRIM(B192)</f>
        <v>Alabama</v>
      </c>
      <c r="E192" s="111" t="str">
        <f t="shared" si="190"/>
        <v>Montgomery</v>
      </c>
    </row>
    <row r="193" spans="1:5">
      <c r="A193" s="3" t="s">
        <v>1981</v>
      </c>
      <c r="B193" s="110" t="s">
        <v>1317</v>
      </c>
      <c r="C193" s="111" t="s">
        <v>439</v>
      </c>
      <c r="D193" s="111" t="str">
        <f t="shared" ref="D193:E193" si="191">TRIM(B193)</f>
        <v>Alabama</v>
      </c>
      <c r="E193" s="111" t="str">
        <f t="shared" si="191"/>
        <v>Montgomery</v>
      </c>
    </row>
    <row r="194" spans="1:5">
      <c r="A194" s="3" t="s">
        <v>1983</v>
      </c>
      <c r="B194" s="110" t="s">
        <v>1317</v>
      </c>
      <c r="C194" s="111" t="s">
        <v>439</v>
      </c>
      <c r="D194" s="111" t="str">
        <f t="shared" ref="D194:E194" si="192">TRIM(B194)</f>
        <v>Alabama</v>
      </c>
      <c r="E194" s="111" t="str">
        <f t="shared" si="192"/>
        <v>Montgomery</v>
      </c>
    </row>
    <row r="195" spans="1:5">
      <c r="A195" s="3" t="s">
        <v>1984</v>
      </c>
      <c r="B195" s="110" t="s">
        <v>1317</v>
      </c>
      <c r="C195" s="111" t="s">
        <v>439</v>
      </c>
      <c r="D195" s="111" t="str">
        <f t="shared" ref="D195:E195" si="193">TRIM(B195)</f>
        <v>Alabama</v>
      </c>
      <c r="E195" s="111" t="str">
        <f t="shared" si="193"/>
        <v>Montgomery</v>
      </c>
    </row>
    <row r="196" spans="1:5">
      <c r="A196" s="3" t="s">
        <v>1987</v>
      </c>
      <c r="B196" s="110" t="s">
        <v>1317</v>
      </c>
      <c r="C196" s="111" t="s">
        <v>439</v>
      </c>
      <c r="D196" s="111" t="str">
        <f t="shared" ref="D196:E196" si="194">TRIM(B196)</f>
        <v>Alabama</v>
      </c>
      <c r="E196" s="111" t="str">
        <f t="shared" si="194"/>
        <v>Montgomery</v>
      </c>
    </row>
    <row r="197" spans="1:5">
      <c r="A197" s="3" t="s">
        <v>1878</v>
      </c>
      <c r="B197" s="110" t="s">
        <v>1317</v>
      </c>
      <c r="C197" s="111" t="s">
        <v>439</v>
      </c>
      <c r="D197" s="111" t="str">
        <f t="shared" ref="D197:E197" si="195">TRIM(B197)</f>
        <v>Alabama</v>
      </c>
      <c r="E197" s="111" t="str">
        <f t="shared" si="195"/>
        <v>Montgomery</v>
      </c>
    </row>
    <row r="198" spans="1:5">
      <c r="A198" s="3" t="s">
        <v>1989</v>
      </c>
      <c r="B198" s="110" t="s">
        <v>1317</v>
      </c>
      <c r="C198" s="111" t="s">
        <v>439</v>
      </c>
      <c r="D198" s="111" t="str">
        <f t="shared" ref="D198:E198" si="196">TRIM(B198)</f>
        <v>Alabama</v>
      </c>
      <c r="E198" s="111" t="str">
        <f t="shared" si="196"/>
        <v>Montgomery</v>
      </c>
    </row>
    <row r="199" spans="1:5">
      <c r="A199" s="3" t="s">
        <v>1993</v>
      </c>
      <c r="B199" s="110" t="s">
        <v>1317</v>
      </c>
      <c r="C199" s="111" t="s">
        <v>439</v>
      </c>
      <c r="D199" s="111" t="str">
        <f t="shared" ref="D199:E199" si="197">TRIM(B199)</f>
        <v>Alabama</v>
      </c>
      <c r="E199" s="111" t="str">
        <f t="shared" si="197"/>
        <v>Montgomery</v>
      </c>
    </row>
    <row r="200" spans="1:5">
      <c r="A200" s="3" t="s">
        <v>1994</v>
      </c>
      <c r="B200" s="110" t="s">
        <v>1317</v>
      </c>
      <c r="C200" s="111" t="s">
        <v>1995</v>
      </c>
      <c r="D200" s="111" t="str">
        <f t="shared" ref="D200:E200" si="198">TRIM(B200)</f>
        <v>Alabama</v>
      </c>
      <c r="E200" s="111" t="str">
        <f t="shared" si="198"/>
        <v>Moody</v>
      </c>
    </row>
    <row r="201" spans="1:5">
      <c r="A201" s="3" t="s">
        <v>1998</v>
      </c>
      <c r="B201" s="110" t="s">
        <v>1317</v>
      </c>
      <c r="C201" s="111" t="s">
        <v>1999</v>
      </c>
      <c r="D201" s="111" t="str">
        <f t="shared" ref="D201:E201" si="199">TRIM(B201)</f>
        <v>Alabama</v>
      </c>
      <c r="E201" s="111" t="str">
        <f t="shared" si="199"/>
        <v>Moulton</v>
      </c>
    </row>
    <row r="202" spans="1:5">
      <c r="A202" s="3" t="s">
        <v>2001</v>
      </c>
      <c r="B202" s="110" t="s">
        <v>1317</v>
      </c>
      <c r="C202" s="111" t="s">
        <v>2002</v>
      </c>
      <c r="D202" s="111" t="str">
        <f t="shared" ref="D202:E202" si="200">TRIM(B202)</f>
        <v>Alabama</v>
      </c>
      <c r="E202" s="111" t="str">
        <f t="shared" si="200"/>
        <v>Moundville</v>
      </c>
    </row>
    <row r="203" spans="1:5">
      <c r="A203" s="3" t="s">
        <v>2005</v>
      </c>
      <c r="B203" s="110" t="s">
        <v>1317</v>
      </c>
      <c r="C203" s="111" t="s">
        <v>2006</v>
      </c>
      <c r="D203" s="111" t="str">
        <f t="shared" ref="D203:E203" si="201">TRIM(B203)</f>
        <v>Alabama</v>
      </c>
      <c r="E203" s="111" t="str">
        <f t="shared" si="201"/>
        <v>Mountain Brk</v>
      </c>
    </row>
    <row r="204" spans="1:5">
      <c r="A204" s="3" t="s">
        <v>2008</v>
      </c>
      <c r="B204" s="110" t="s">
        <v>1317</v>
      </c>
      <c r="C204" s="111" t="s">
        <v>2009</v>
      </c>
      <c r="D204" s="111" t="str">
        <f t="shared" ref="D204:E204" si="202">TRIM(B204)</f>
        <v>Alabama</v>
      </c>
      <c r="E204" s="111" t="str">
        <f t="shared" si="202"/>
        <v>Munford</v>
      </c>
    </row>
    <row r="205" spans="1:5">
      <c r="A205" s="3" t="s">
        <v>2010</v>
      </c>
      <c r="B205" s="110" t="s">
        <v>1317</v>
      </c>
      <c r="C205" s="111" t="s">
        <v>2011</v>
      </c>
      <c r="D205" s="111" t="str">
        <f t="shared" ref="D205:E205" si="203">TRIM(B205)</f>
        <v>Alabama</v>
      </c>
      <c r="E205" s="111" t="str">
        <f t="shared" si="203"/>
        <v>Muscle Shoals</v>
      </c>
    </row>
    <row r="206" spans="1:5">
      <c r="A206" s="3" t="s">
        <v>2015</v>
      </c>
      <c r="B206" s="110" t="s">
        <v>1317</v>
      </c>
      <c r="C206" s="111" t="s">
        <v>2016</v>
      </c>
      <c r="D206" s="111" t="str">
        <f t="shared" ref="D206:E206" si="204">TRIM(B206)</f>
        <v>Alabama</v>
      </c>
      <c r="E206" s="111" t="str">
        <f t="shared" si="204"/>
        <v>New Brockton</v>
      </c>
    </row>
    <row r="207" spans="1:5">
      <c r="A207" s="3" t="s">
        <v>2018</v>
      </c>
      <c r="B207" s="110" t="s">
        <v>1317</v>
      </c>
      <c r="C207" s="111" t="s">
        <v>2020</v>
      </c>
      <c r="D207" s="111" t="str">
        <f t="shared" ref="D207:E207" si="205">TRIM(B207)</f>
        <v>Alabama</v>
      </c>
      <c r="E207" s="111" t="str">
        <f t="shared" si="205"/>
        <v>New Hope</v>
      </c>
    </row>
    <row r="208" spans="1:5">
      <c r="A208" s="3" t="s">
        <v>2022</v>
      </c>
      <c r="B208" s="110" t="s">
        <v>1317</v>
      </c>
      <c r="C208" s="111" t="s">
        <v>2023</v>
      </c>
      <c r="D208" s="111" t="str">
        <f t="shared" ref="D208:E208" si="206">TRIM(B208)</f>
        <v>Alabama</v>
      </c>
      <c r="E208" s="111" t="str">
        <f t="shared" si="206"/>
        <v>New Market</v>
      </c>
    </row>
    <row r="209" spans="1:5">
      <c r="A209" s="3" t="s">
        <v>2026</v>
      </c>
      <c r="B209" s="110" t="s">
        <v>1317</v>
      </c>
      <c r="C209" s="111" t="s">
        <v>2027</v>
      </c>
      <c r="D209" s="111" t="str">
        <f t="shared" ref="D209:E209" si="207">TRIM(B209)</f>
        <v>Alabama</v>
      </c>
      <c r="E209" s="111" t="str">
        <f t="shared" si="207"/>
        <v>Northport</v>
      </c>
    </row>
    <row r="210" spans="1:5">
      <c r="A210" s="3" t="s">
        <v>2029</v>
      </c>
      <c r="B210" s="110" t="s">
        <v>1317</v>
      </c>
      <c r="C210" s="111" t="s">
        <v>2027</v>
      </c>
      <c r="D210" s="111" t="str">
        <f t="shared" ref="D210:E210" si="208">TRIM(B210)</f>
        <v>Alabama</v>
      </c>
      <c r="E210" s="111" t="str">
        <f t="shared" si="208"/>
        <v>Northport</v>
      </c>
    </row>
    <row r="211" spans="1:5">
      <c r="A211" s="3" t="s">
        <v>2032</v>
      </c>
      <c r="B211" s="110" t="s">
        <v>1317</v>
      </c>
      <c r="C211" s="111" t="s">
        <v>2034</v>
      </c>
      <c r="D211" s="111" t="str">
        <f t="shared" ref="D211:E211" si="209">TRIM(B211)</f>
        <v>Alabama</v>
      </c>
      <c r="E211" s="111" t="str">
        <f t="shared" si="209"/>
        <v>Notasulga</v>
      </c>
    </row>
    <row r="212" spans="1:5">
      <c r="A212" s="3" t="s">
        <v>2035</v>
      </c>
      <c r="B212" s="110" t="s">
        <v>1317</v>
      </c>
      <c r="C212" s="111" t="s">
        <v>2036</v>
      </c>
      <c r="D212" s="111" t="str">
        <f t="shared" ref="D212:E212" si="210">TRIM(B212)</f>
        <v>Alabama</v>
      </c>
      <c r="E212" s="111" t="str">
        <f t="shared" si="210"/>
        <v>Oakman</v>
      </c>
    </row>
    <row r="213" spans="1:5">
      <c r="A213" s="3" t="s">
        <v>2039</v>
      </c>
      <c r="B213" s="110" t="s">
        <v>1317</v>
      </c>
      <c r="C213" s="111" t="s">
        <v>2040</v>
      </c>
      <c r="D213" s="111" t="str">
        <f t="shared" ref="D213:E213" si="211">TRIM(B213)</f>
        <v>Alabama</v>
      </c>
      <c r="E213" s="111" t="str">
        <f t="shared" si="211"/>
        <v>Odenville</v>
      </c>
    </row>
    <row r="214" spans="1:5">
      <c r="A214" s="3" t="s">
        <v>2042</v>
      </c>
      <c r="B214" s="110" t="s">
        <v>1317</v>
      </c>
      <c r="C214" s="111" t="s">
        <v>2043</v>
      </c>
      <c r="D214" s="111" t="str">
        <f t="shared" ref="D214:E214" si="212">TRIM(B214)</f>
        <v>Alabama</v>
      </c>
      <c r="E214" s="111" t="str">
        <f t="shared" si="212"/>
        <v>Ohatchee</v>
      </c>
    </row>
    <row r="215" spans="1:5">
      <c r="A215" s="3" t="s">
        <v>2045</v>
      </c>
      <c r="B215" s="110" t="s">
        <v>1317</v>
      </c>
      <c r="C215" s="111" t="s">
        <v>2046</v>
      </c>
      <c r="D215" s="111" t="str">
        <f t="shared" ref="D215:E215" si="213">TRIM(B215)</f>
        <v>Alabama</v>
      </c>
      <c r="E215" s="111" t="str">
        <f t="shared" si="213"/>
        <v>Oneonta</v>
      </c>
    </row>
    <row r="216" spans="1:5">
      <c r="A216" s="3" t="s">
        <v>2056</v>
      </c>
      <c r="B216" s="110" t="s">
        <v>1317</v>
      </c>
      <c r="C216" s="111" t="s">
        <v>2058</v>
      </c>
      <c r="D216" s="111" t="str">
        <f t="shared" ref="D216:E216" si="214">TRIM(B216)</f>
        <v>Alabama</v>
      </c>
      <c r="E216" s="111" t="str">
        <f t="shared" si="214"/>
        <v>Opelika</v>
      </c>
    </row>
    <row r="217" spans="1:5">
      <c r="A217" s="3" t="s">
        <v>2062</v>
      </c>
      <c r="B217" s="110" t="s">
        <v>1317</v>
      </c>
      <c r="C217" s="111" t="s">
        <v>2058</v>
      </c>
      <c r="D217" s="111" t="str">
        <f t="shared" ref="D217:E217" si="215">TRIM(B217)</f>
        <v>Alabama</v>
      </c>
      <c r="E217" s="111" t="str">
        <f t="shared" si="215"/>
        <v>Opelika</v>
      </c>
    </row>
    <row r="218" spans="1:5">
      <c r="A218" s="3" t="s">
        <v>2066</v>
      </c>
      <c r="B218" s="110" t="s">
        <v>1317</v>
      </c>
      <c r="C218" s="111" t="s">
        <v>2067</v>
      </c>
      <c r="D218" s="111" t="str">
        <f t="shared" ref="D218:E218" si="216">TRIM(B218)</f>
        <v>Alabama</v>
      </c>
      <c r="E218" s="111" t="str">
        <f t="shared" si="216"/>
        <v>Opp</v>
      </c>
    </row>
    <row r="219" spans="1:5">
      <c r="A219" s="3" t="s">
        <v>2068</v>
      </c>
      <c r="B219" s="110" t="s">
        <v>1317</v>
      </c>
      <c r="C219" s="111" t="s">
        <v>377</v>
      </c>
      <c r="D219" s="111" t="str">
        <f t="shared" ref="D219:E219" si="217">TRIM(B219)</f>
        <v>Alabama</v>
      </c>
      <c r="E219" s="111" t="str">
        <f t="shared" si="217"/>
        <v>Orrville</v>
      </c>
    </row>
    <row r="220" spans="1:5">
      <c r="A220" s="3" t="s">
        <v>2072</v>
      </c>
      <c r="B220" s="110" t="s">
        <v>1317</v>
      </c>
      <c r="C220" s="111" t="s">
        <v>279</v>
      </c>
      <c r="D220" s="111" t="str">
        <f t="shared" ref="D220:E220" si="218">TRIM(B220)</f>
        <v>Alabama</v>
      </c>
      <c r="E220" s="111" t="str">
        <f t="shared" si="218"/>
        <v>Oxford</v>
      </c>
    </row>
    <row r="221" spans="1:5">
      <c r="A221" s="3" t="s">
        <v>2074</v>
      </c>
      <c r="B221" s="110" t="s">
        <v>1317</v>
      </c>
      <c r="C221" s="111" t="s">
        <v>2075</v>
      </c>
      <c r="D221" s="111" t="str">
        <f t="shared" ref="D221:E221" si="219">TRIM(B221)</f>
        <v>Alabama</v>
      </c>
      <c r="E221" s="111" t="str">
        <f t="shared" si="219"/>
        <v>Ozark</v>
      </c>
    </row>
    <row r="222" spans="1:5">
      <c r="A222" s="3" t="s">
        <v>2078</v>
      </c>
      <c r="B222" s="110" t="s">
        <v>1317</v>
      </c>
      <c r="C222" s="111" t="s">
        <v>2079</v>
      </c>
      <c r="D222" s="111" t="str">
        <f t="shared" ref="D222:E222" si="220">TRIM(B222)</f>
        <v>Alabama</v>
      </c>
      <c r="E222" s="111" t="str">
        <f t="shared" si="220"/>
        <v>Pelham</v>
      </c>
    </row>
    <row r="223" spans="1:5">
      <c r="A223" s="3" t="s">
        <v>2081</v>
      </c>
      <c r="B223" s="110" t="s">
        <v>1317</v>
      </c>
      <c r="C223" s="111" t="s">
        <v>2082</v>
      </c>
      <c r="D223" s="111" t="str">
        <f t="shared" ref="D223:E223" si="221">TRIM(B223)</f>
        <v>Alabama</v>
      </c>
      <c r="E223" s="111" t="str">
        <f t="shared" si="221"/>
        <v>Pell City</v>
      </c>
    </row>
    <row r="224" spans="1:5">
      <c r="A224" s="3" t="s">
        <v>1843</v>
      </c>
      <c r="B224" s="110" t="s">
        <v>1317</v>
      </c>
      <c r="C224" s="111" t="s">
        <v>2085</v>
      </c>
      <c r="D224" s="111" t="str">
        <f t="shared" ref="D224:E224" si="222">TRIM(B224)</f>
        <v>Alabama</v>
      </c>
      <c r="E224" s="111" t="str">
        <f t="shared" si="222"/>
        <v>Phenix City</v>
      </c>
    </row>
    <row r="225" spans="1:5">
      <c r="A225" s="3" t="s">
        <v>2087</v>
      </c>
      <c r="B225" s="110" t="s">
        <v>1317</v>
      </c>
      <c r="C225" s="111" t="s">
        <v>2085</v>
      </c>
      <c r="D225" s="111" t="str">
        <f t="shared" ref="D225:E225" si="223">TRIM(B225)</f>
        <v>Alabama</v>
      </c>
      <c r="E225" s="111" t="str">
        <f t="shared" si="223"/>
        <v>Phenix City</v>
      </c>
    </row>
    <row r="226" spans="1:5">
      <c r="A226" s="3" t="s">
        <v>2088</v>
      </c>
      <c r="B226" s="110" t="s">
        <v>1317</v>
      </c>
      <c r="C226" s="111" t="s">
        <v>2089</v>
      </c>
      <c r="D226" s="111" t="str">
        <f t="shared" ref="D226:E226" si="224">TRIM(B226)</f>
        <v>Alabama</v>
      </c>
      <c r="E226" s="111" t="str">
        <f t="shared" si="224"/>
        <v>Phil Campbell</v>
      </c>
    </row>
    <row r="227" spans="1:5">
      <c r="A227" s="3" t="s">
        <v>2092</v>
      </c>
      <c r="B227" s="110" t="s">
        <v>1317</v>
      </c>
      <c r="C227" s="111" t="s">
        <v>2093</v>
      </c>
      <c r="D227" s="111" t="str">
        <f t="shared" ref="D227:E227" si="225">TRIM(B227)</f>
        <v>Alabama</v>
      </c>
      <c r="E227" s="111" t="str">
        <f t="shared" si="225"/>
        <v>Piedmont</v>
      </c>
    </row>
    <row r="228" spans="1:5">
      <c r="A228" s="3" t="s">
        <v>2094</v>
      </c>
      <c r="B228" s="110" t="s">
        <v>1317</v>
      </c>
      <c r="C228" s="111" t="s">
        <v>2095</v>
      </c>
      <c r="D228" s="111" t="str">
        <f t="shared" ref="D228:E228" si="226">TRIM(B228)</f>
        <v>Alabama</v>
      </c>
      <c r="E228" s="111" t="str">
        <f t="shared" si="226"/>
        <v>Pike Road</v>
      </c>
    </row>
    <row r="229" spans="1:5">
      <c r="A229" s="3" t="s">
        <v>2098</v>
      </c>
      <c r="B229" s="110" t="s">
        <v>1317</v>
      </c>
      <c r="C229" s="111" t="s">
        <v>2099</v>
      </c>
      <c r="D229" s="111" t="str">
        <f t="shared" ref="D229:E229" si="227">TRIM(B229)</f>
        <v>Alabama</v>
      </c>
      <c r="E229" s="111" t="str">
        <f t="shared" si="227"/>
        <v>Pinson</v>
      </c>
    </row>
    <row r="230" spans="1:5">
      <c r="A230" s="3" t="s">
        <v>2101</v>
      </c>
      <c r="B230" s="110" t="s">
        <v>1317</v>
      </c>
      <c r="C230" s="111" t="s">
        <v>2099</v>
      </c>
      <c r="D230" s="111" t="str">
        <f t="shared" ref="D230:E230" si="228">TRIM(B230)</f>
        <v>Alabama</v>
      </c>
      <c r="E230" s="111" t="str">
        <f t="shared" si="228"/>
        <v>Pinson</v>
      </c>
    </row>
    <row r="231" spans="1:5">
      <c r="A231" s="3" t="s">
        <v>2105</v>
      </c>
      <c r="B231" s="110" t="s">
        <v>1317</v>
      </c>
      <c r="C231" s="111" t="s">
        <v>2106</v>
      </c>
      <c r="D231" s="111" t="str">
        <f t="shared" ref="D231:E231" si="229">TRIM(B231)</f>
        <v>Alabama</v>
      </c>
      <c r="E231" s="111" t="str">
        <f t="shared" si="229"/>
        <v>Plantersville</v>
      </c>
    </row>
    <row r="232" spans="1:5">
      <c r="A232" s="3" t="s">
        <v>2107</v>
      </c>
      <c r="B232" s="110" t="s">
        <v>1317</v>
      </c>
      <c r="C232" s="111" t="s">
        <v>458</v>
      </c>
      <c r="D232" s="111" t="str">
        <f t="shared" ref="D232:E232" si="230">TRIM(B232)</f>
        <v>Alabama</v>
      </c>
      <c r="E232" s="111" t="str">
        <f t="shared" si="230"/>
        <v>Pleasant Grove</v>
      </c>
    </row>
    <row r="233" spans="1:5">
      <c r="A233" s="3" t="s">
        <v>2110</v>
      </c>
      <c r="B233" s="110" t="s">
        <v>1317</v>
      </c>
      <c r="C233" s="111" t="s">
        <v>2111</v>
      </c>
      <c r="D233" s="111" t="str">
        <f t="shared" ref="D233:E233" si="231">TRIM(B233)</f>
        <v>Alabama</v>
      </c>
      <c r="E233" s="111" t="str">
        <f t="shared" si="231"/>
        <v>Prattville</v>
      </c>
    </row>
    <row r="234" spans="1:5">
      <c r="A234" s="3" t="s">
        <v>2113</v>
      </c>
      <c r="B234" s="110" t="s">
        <v>1317</v>
      </c>
      <c r="C234" s="111" t="s">
        <v>2114</v>
      </c>
      <c r="D234" s="111" t="str">
        <f t="shared" ref="D234:E234" si="232">TRIM(B234)</f>
        <v>Alabama</v>
      </c>
      <c r="E234" s="111" t="str">
        <f t="shared" si="232"/>
        <v>Prichard</v>
      </c>
    </row>
    <row r="235" spans="1:5">
      <c r="A235" s="3" t="s">
        <v>2117</v>
      </c>
      <c r="B235" s="110" t="s">
        <v>1317</v>
      </c>
      <c r="C235" s="111" t="s">
        <v>2118</v>
      </c>
      <c r="D235" s="111" t="str">
        <f t="shared" ref="D235:E235" si="233">TRIM(B235)</f>
        <v>Alabama</v>
      </c>
      <c r="E235" s="111" t="str">
        <f t="shared" si="233"/>
        <v>Ranburne</v>
      </c>
    </row>
    <row r="236" spans="1:5">
      <c r="A236" s="3" t="s">
        <v>2121</v>
      </c>
      <c r="B236" s="110" t="s">
        <v>1317</v>
      </c>
      <c r="C236" s="111" t="s">
        <v>2122</v>
      </c>
      <c r="D236" s="111" t="str">
        <f t="shared" ref="D236:E236" si="234">TRIM(B236)</f>
        <v>Alabama</v>
      </c>
      <c r="E236" s="111" t="str">
        <f t="shared" si="234"/>
        <v>Red Level</v>
      </c>
    </row>
    <row r="237" spans="1:5">
      <c r="A237" s="3" t="s">
        <v>2123</v>
      </c>
      <c r="B237" s="110" t="s">
        <v>1317</v>
      </c>
      <c r="C237" s="111" t="s">
        <v>2124</v>
      </c>
      <c r="D237" s="111" t="str">
        <f t="shared" ref="D237:E237" si="235">TRIM(B237)</f>
        <v>Alabama</v>
      </c>
      <c r="E237" s="111" t="str">
        <f t="shared" si="235"/>
        <v>Reform</v>
      </c>
    </row>
    <row r="238" spans="1:5">
      <c r="A238" s="3" t="s">
        <v>2128</v>
      </c>
      <c r="B238" s="110" t="s">
        <v>1317</v>
      </c>
      <c r="C238" s="111" t="s">
        <v>2129</v>
      </c>
      <c r="D238" s="111" t="str">
        <f t="shared" ref="D238:E238" si="236">TRIM(B238)</f>
        <v>Alabama</v>
      </c>
      <c r="E238" s="111" t="str">
        <f t="shared" si="236"/>
        <v>Roanoke</v>
      </c>
    </row>
    <row r="239" spans="1:5">
      <c r="A239" s="3" t="s">
        <v>2130</v>
      </c>
      <c r="B239" s="110" t="s">
        <v>1317</v>
      </c>
      <c r="C239" s="111" t="s">
        <v>2131</v>
      </c>
      <c r="D239" s="111" t="str">
        <f t="shared" ref="D239:E239" si="237">TRIM(B239)</f>
        <v>Alabama</v>
      </c>
      <c r="E239" s="111" t="str">
        <f t="shared" si="237"/>
        <v>Robertsdale</v>
      </c>
    </row>
    <row r="240" spans="1:5">
      <c r="A240" s="3" t="s">
        <v>1843</v>
      </c>
      <c r="B240" s="110" t="s">
        <v>1317</v>
      </c>
      <c r="C240" s="111" t="s">
        <v>2134</v>
      </c>
      <c r="D240" s="111" t="str">
        <f t="shared" ref="D240:E240" si="238">TRIM(B240)</f>
        <v>Alabama</v>
      </c>
      <c r="E240" s="111" t="str">
        <f t="shared" si="238"/>
        <v>Rockford</v>
      </c>
    </row>
    <row r="241" spans="1:5">
      <c r="A241" s="3" t="s">
        <v>2136</v>
      </c>
      <c r="B241" s="110" t="s">
        <v>1317</v>
      </c>
      <c r="C241" s="111" t="s">
        <v>2137</v>
      </c>
      <c r="D241" s="111" t="str">
        <f t="shared" ref="D241:E241" si="239">TRIM(B241)</f>
        <v>Alabama</v>
      </c>
      <c r="E241" s="111" t="str">
        <f t="shared" si="239"/>
        <v>Russellville</v>
      </c>
    </row>
    <row r="242" spans="1:5">
      <c r="A242" s="3" t="s">
        <v>2138</v>
      </c>
      <c r="B242" s="110" t="s">
        <v>1317</v>
      </c>
      <c r="C242" s="111" t="s">
        <v>2137</v>
      </c>
      <c r="D242" s="111" t="str">
        <f t="shared" ref="D242:E242" si="240">TRIM(B242)</f>
        <v>Alabama</v>
      </c>
      <c r="E242" s="111" t="str">
        <f t="shared" si="240"/>
        <v>Russellville</v>
      </c>
    </row>
    <row r="243" spans="1:5">
      <c r="A243" s="3" t="s">
        <v>2139</v>
      </c>
      <c r="B243" s="110" t="s">
        <v>1317</v>
      </c>
      <c r="C243" s="111" t="s">
        <v>2140</v>
      </c>
      <c r="D243" s="111" t="str">
        <f t="shared" ref="D243:E243" si="241">TRIM(B243)</f>
        <v>Alabama</v>
      </c>
      <c r="E243" s="111" t="str">
        <f t="shared" si="241"/>
        <v>Samson</v>
      </c>
    </row>
    <row r="244" spans="1:5">
      <c r="A244" s="3" t="s">
        <v>2143</v>
      </c>
      <c r="B244" s="110" t="s">
        <v>1317</v>
      </c>
      <c r="C244" s="111" t="s">
        <v>2144</v>
      </c>
      <c r="D244" s="111" t="str">
        <f t="shared" ref="D244:E244" si="242">TRIM(B244)</f>
        <v>Alabama</v>
      </c>
      <c r="E244" s="111" t="str">
        <f t="shared" si="242"/>
        <v>Saraland</v>
      </c>
    </row>
    <row r="245" spans="1:5">
      <c r="A245" s="3" t="s">
        <v>2146</v>
      </c>
      <c r="B245" s="110" t="s">
        <v>1317</v>
      </c>
      <c r="C245" s="111" t="s">
        <v>2147</v>
      </c>
      <c r="D245" s="111" t="str">
        <f t="shared" ref="D245:E245" si="243">TRIM(B245)</f>
        <v>Alabama</v>
      </c>
      <c r="E245" s="111" t="str">
        <f t="shared" si="243"/>
        <v>Sardis City</v>
      </c>
    </row>
    <row r="246" spans="1:5">
      <c r="A246" s="3" t="s">
        <v>2148</v>
      </c>
      <c r="B246" s="110" t="s">
        <v>1317</v>
      </c>
      <c r="C246" s="111" t="s">
        <v>2150</v>
      </c>
      <c r="D246" s="111" t="str">
        <f t="shared" ref="D246:E246" si="244">TRIM(B246)</f>
        <v>Alabama</v>
      </c>
      <c r="E246" s="111" t="str">
        <f t="shared" si="244"/>
        <v>Satsuma</v>
      </c>
    </row>
    <row r="247" spans="1:5">
      <c r="A247" s="3" t="s">
        <v>2153</v>
      </c>
      <c r="B247" s="110" t="s">
        <v>1317</v>
      </c>
      <c r="C247" s="111" t="s">
        <v>2154</v>
      </c>
      <c r="D247" s="111" t="str">
        <f t="shared" ref="D247:E247" si="245">TRIM(B247)</f>
        <v>Alabama</v>
      </c>
      <c r="E247" s="111" t="str">
        <f t="shared" si="245"/>
        <v>Scottsboro</v>
      </c>
    </row>
    <row r="248" spans="1:5">
      <c r="A248" s="3" t="s">
        <v>2156</v>
      </c>
      <c r="B248" s="110" t="s">
        <v>1317</v>
      </c>
      <c r="C248" s="111" t="s">
        <v>2157</v>
      </c>
      <c r="D248" s="111" t="str">
        <f t="shared" ref="D248:E248" si="246">TRIM(B248)</f>
        <v>Alabama</v>
      </c>
      <c r="E248" s="111" t="str">
        <f t="shared" si="246"/>
        <v>Selma</v>
      </c>
    </row>
    <row r="249" spans="1:5">
      <c r="A249" s="3" t="s">
        <v>2160</v>
      </c>
      <c r="B249" s="110" t="s">
        <v>1317</v>
      </c>
      <c r="C249" s="111" t="s">
        <v>2157</v>
      </c>
      <c r="D249" s="111" t="str">
        <f t="shared" ref="D249:E249" si="247">TRIM(B249)</f>
        <v>Alabama</v>
      </c>
      <c r="E249" s="111" t="str">
        <f t="shared" si="247"/>
        <v>Selma</v>
      </c>
    </row>
    <row r="250" spans="1:5">
      <c r="A250" s="3" t="s">
        <v>2161</v>
      </c>
      <c r="B250" s="110" t="s">
        <v>1317</v>
      </c>
      <c r="C250" s="111" t="s">
        <v>2162</v>
      </c>
      <c r="D250" s="111" t="str">
        <f t="shared" ref="D250:E250" si="248">TRIM(B250)</f>
        <v>Alabama</v>
      </c>
      <c r="E250" s="111" t="str">
        <f t="shared" si="248"/>
        <v>Semmes</v>
      </c>
    </row>
    <row r="251" spans="1:5">
      <c r="A251" s="3" t="s">
        <v>2164</v>
      </c>
      <c r="B251" s="110" t="s">
        <v>1317</v>
      </c>
      <c r="C251" s="111" t="s">
        <v>2166</v>
      </c>
      <c r="D251" s="111" t="str">
        <f t="shared" ref="D251:E251" si="249">TRIM(B251)</f>
        <v>Alabama</v>
      </c>
      <c r="E251" s="111" t="str">
        <f t="shared" si="249"/>
        <v>Sheffield</v>
      </c>
    </row>
    <row r="252" spans="1:5">
      <c r="A252" s="3" t="s">
        <v>2168</v>
      </c>
      <c r="B252" s="110" t="s">
        <v>1317</v>
      </c>
      <c r="C252" s="111" t="s">
        <v>2169</v>
      </c>
      <c r="D252" s="111" t="str">
        <f t="shared" ref="D252:E252" si="250">TRIM(B252)</f>
        <v>Alabama</v>
      </c>
      <c r="E252" s="111" t="str">
        <f t="shared" si="250"/>
        <v>Skipperville</v>
      </c>
    </row>
    <row r="253" spans="1:5">
      <c r="A253" s="3" t="s">
        <v>2172</v>
      </c>
      <c r="B253" s="110" t="s">
        <v>1317</v>
      </c>
      <c r="C253" s="111" t="s">
        <v>2173</v>
      </c>
      <c r="D253" s="111" t="str">
        <f t="shared" ref="D253:E253" si="251">TRIM(B253)</f>
        <v>Alabama</v>
      </c>
      <c r="E253" s="111" t="str">
        <f t="shared" si="251"/>
        <v>Slocomb</v>
      </c>
    </row>
    <row r="254" spans="1:5">
      <c r="A254" s="3" t="s">
        <v>2175</v>
      </c>
      <c r="B254" s="110" t="s">
        <v>1317</v>
      </c>
      <c r="C254" s="111" t="s">
        <v>2176</v>
      </c>
      <c r="D254" s="111" t="str">
        <f t="shared" ref="D254:E254" si="252">TRIM(B254)</f>
        <v>Alabama</v>
      </c>
      <c r="E254" s="111" t="str">
        <f t="shared" si="252"/>
        <v>Smiths Station</v>
      </c>
    </row>
    <row r="255" spans="1:5">
      <c r="A255" s="3" t="s">
        <v>2177</v>
      </c>
      <c r="B255" s="110" t="s">
        <v>1317</v>
      </c>
      <c r="C255" s="111" t="s">
        <v>2178</v>
      </c>
      <c r="D255" s="111" t="str">
        <f t="shared" ref="D255:E255" si="253">TRIM(B255)</f>
        <v>Alabama</v>
      </c>
      <c r="E255" s="111" t="str">
        <f t="shared" si="253"/>
        <v>Somerville</v>
      </c>
    </row>
    <row r="256" spans="1:5">
      <c r="A256" s="3" t="s">
        <v>2160</v>
      </c>
      <c r="B256" s="110" t="s">
        <v>1317</v>
      </c>
      <c r="C256" s="112" t="s">
        <v>2181</v>
      </c>
      <c r="D256" s="111" t="str">
        <f t="shared" ref="D256:E256" si="254">TRIM(B256)</f>
        <v>Alabama</v>
      </c>
      <c r="E256" s="111" t="str">
        <f t="shared" si="254"/>
        <v>Southside</v>
      </c>
    </row>
    <row r="257" spans="1:5">
      <c r="A257" s="3" t="s">
        <v>2183</v>
      </c>
      <c r="B257" s="110" t="s">
        <v>1317</v>
      </c>
      <c r="C257" s="111" t="s">
        <v>2184</v>
      </c>
      <c r="D257" s="111" t="str">
        <f t="shared" ref="D257:E257" si="255">TRIM(B257)</f>
        <v>Alabama</v>
      </c>
      <c r="E257" s="111" t="str">
        <f t="shared" si="255"/>
        <v>Spanish Fort</v>
      </c>
    </row>
    <row r="258" spans="1:5">
      <c r="A258" s="3" t="s">
        <v>2187</v>
      </c>
      <c r="B258" s="110" t="s">
        <v>1317</v>
      </c>
      <c r="C258" s="111" t="s">
        <v>411</v>
      </c>
      <c r="D258" s="111" t="str">
        <f t="shared" ref="D258:E258" si="256">TRIM(B258)</f>
        <v>Alabama</v>
      </c>
      <c r="E258" s="111" t="str">
        <f t="shared" si="256"/>
        <v>Springville</v>
      </c>
    </row>
    <row r="259" spans="1:5">
      <c r="A259" s="3" t="s">
        <v>2189</v>
      </c>
      <c r="B259" s="110" t="s">
        <v>1317</v>
      </c>
      <c r="C259" s="111" t="s">
        <v>2190</v>
      </c>
      <c r="D259" s="111" t="str">
        <f t="shared" ref="D259:E259" si="257">TRIM(B259)</f>
        <v>Alabama</v>
      </c>
      <c r="E259" s="111" t="str">
        <f t="shared" si="257"/>
        <v>Stevenson</v>
      </c>
    </row>
    <row r="260" spans="1:5">
      <c r="A260" s="3" t="s">
        <v>2191</v>
      </c>
      <c r="B260" s="110" t="s">
        <v>1317</v>
      </c>
      <c r="C260" s="111" t="s">
        <v>2192</v>
      </c>
      <c r="D260" s="111" t="str">
        <f t="shared" ref="D260:E260" si="258">TRIM(B260)</f>
        <v>Alabama</v>
      </c>
      <c r="E260" s="111" t="str">
        <f t="shared" si="258"/>
        <v>Sylacauga</v>
      </c>
    </row>
    <row r="261" spans="1:5">
      <c r="A261" s="3" t="s">
        <v>2196</v>
      </c>
      <c r="B261" s="110" t="s">
        <v>1317</v>
      </c>
      <c r="C261" s="111" t="s">
        <v>2192</v>
      </c>
      <c r="D261" s="111" t="str">
        <f t="shared" ref="D261:E261" si="259">TRIM(B261)</f>
        <v>Alabama</v>
      </c>
      <c r="E261" s="111" t="str">
        <f t="shared" si="259"/>
        <v>Sylacauga</v>
      </c>
    </row>
    <row r="262" spans="1:5">
      <c r="A262" s="3" t="s">
        <v>2197</v>
      </c>
      <c r="B262" s="110" t="s">
        <v>1317</v>
      </c>
      <c r="C262" s="111" t="s">
        <v>2198</v>
      </c>
      <c r="D262" s="111" t="str">
        <f t="shared" ref="D262:E262" si="260">TRIM(B262)</f>
        <v>Alabama</v>
      </c>
      <c r="E262" s="111" t="str">
        <f t="shared" si="260"/>
        <v>Talladega</v>
      </c>
    </row>
    <row r="263" spans="1:5">
      <c r="A263" s="3" t="s">
        <v>2202</v>
      </c>
      <c r="B263" s="110" t="s">
        <v>1317</v>
      </c>
      <c r="C263" s="111" t="s">
        <v>2198</v>
      </c>
      <c r="D263" s="111" t="str">
        <f t="shared" ref="D263:E263" si="261">TRIM(B263)</f>
        <v>Alabama</v>
      </c>
      <c r="E263" s="111" t="str">
        <f t="shared" si="261"/>
        <v>Talladega</v>
      </c>
    </row>
    <row r="264" spans="1:5">
      <c r="A264" s="3" t="s">
        <v>2203</v>
      </c>
      <c r="B264" s="110" t="s">
        <v>1317</v>
      </c>
      <c r="C264" s="111" t="s">
        <v>2204</v>
      </c>
      <c r="D264" s="111" t="str">
        <f t="shared" ref="D264:E264" si="262">TRIM(B264)</f>
        <v>Alabama</v>
      </c>
      <c r="E264" s="111" t="str">
        <f t="shared" si="262"/>
        <v>Tallassee</v>
      </c>
    </row>
    <row r="265" spans="1:5">
      <c r="A265" s="3" t="s">
        <v>2207</v>
      </c>
      <c r="B265" s="110" t="s">
        <v>1317</v>
      </c>
      <c r="C265" s="111" t="s">
        <v>2209</v>
      </c>
      <c r="D265" s="111" t="str">
        <f t="shared" ref="D265:E265" si="263">TRIM(B265)</f>
        <v>Alabama</v>
      </c>
      <c r="E265" s="111" t="str">
        <f t="shared" si="263"/>
        <v>Tanner</v>
      </c>
    </row>
    <row r="266" spans="1:5">
      <c r="A266" s="3" t="s">
        <v>2210</v>
      </c>
      <c r="B266" s="110" t="s">
        <v>1317</v>
      </c>
      <c r="C266" s="111" t="s">
        <v>2211</v>
      </c>
      <c r="D266" s="111" t="str">
        <f t="shared" ref="D266:E266" si="264">TRIM(B266)</f>
        <v>Alabama</v>
      </c>
      <c r="E266" s="111" t="str">
        <f t="shared" si="264"/>
        <v>Tarrant</v>
      </c>
    </row>
    <row r="267" spans="1:5">
      <c r="A267" s="3" t="s">
        <v>2214</v>
      </c>
      <c r="B267" s="110" t="s">
        <v>1317</v>
      </c>
      <c r="C267" s="111" t="s">
        <v>2215</v>
      </c>
      <c r="D267" s="111" t="str">
        <f t="shared" ref="D267:E267" si="265">TRIM(B267)</f>
        <v>Alabama</v>
      </c>
      <c r="E267" s="111" t="str">
        <f t="shared" si="265"/>
        <v>Theodore</v>
      </c>
    </row>
    <row r="268" spans="1:5">
      <c r="A268" s="3" t="s">
        <v>2217</v>
      </c>
      <c r="B268" s="110" t="s">
        <v>1317</v>
      </c>
      <c r="C268" s="111" t="s">
        <v>2218</v>
      </c>
      <c r="D268" s="111" t="str">
        <f t="shared" ref="D268:E268" si="266">TRIM(B268)</f>
        <v>Alabama</v>
      </c>
      <c r="E268" s="111" t="str">
        <f t="shared" si="266"/>
        <v>Thomasville</v>
      </c>
    </row>
    <row r="269" spans="1:5">
      <c r="A269" s="3" t="s">
        <v>2219</v>
      </c>
      <c r="B269" s="110" t="s">
        <v>1317</v>
      </c>
      <c r="C269" s="111" t="s">
        <v>2221</v>
      </c>
      <c r="D269" s="111" t="str">
        <f t="shared" ref="D269:E269" si="267">TRIM(B269)</f>
        <v>Alabama</v>
      </c>
      <c r="E269" s="111" t="str">
        <f t="shared" si="267"/>
        <v>Town Creek</v>
      </c>
    </row>
    <row r="270" spans="1:5">
      <c r="A270" s="3" t="s">
        <v>2223</v>
      </c>
      <c r="B270" s="110" t="s">
        <v>1317</v>
      </c>
      <c r="C270" s="111" t="s">
        <v>2224</v>
      </c>
      <c r="D270" s="111" t="str">
        <f t="shared" ref="D270:E270" si="268">TRIM(B270)</f>
        <v>Alabama</v>
      </c>
      <c r="E270" s="111" t="str">
        <f t="shared" si="268"/>
        <v>Trinity</v>
      </c>
    </row>
    <row r="271" spans="1:5">
      <c r="A271" s="3" t="s">
        <v>2225</v>
      </c>
      <c r="B271" s="110" t="s">
        <v>1317</v>
      </c>
      <c r="C271" s="111" t="s">
        <v>2224</v>
      </c>
      <c r="D271" s="111" t="str">
        <f t="shared" ref="D271:E271" si="269">TRIM(B271)</f>
        <v>Alabama</v>
      </c>
      <c r="E271" s="111" t="str">
        <f t="shared" si="269"/>
        <v>Trinity</v>
      </c>
    </row>
    <row r="272" spans="1:5">
      <c r="A272" s="3" t="s">
        <v>2227</v>
      </c>
      <c r="B272" s="110" t="s">
        <v>1317</v>
      </c>
      <c r="C272" s="111" t="s">
        <v>2228</v>
      </c>
      <c r="D272" s="111" t="str">
        <f t="shared" ref="D272:E272" si="270">TRIM(B272)</f>
        <v>Alabama</v>
      </c>
      <c r="E272" s="111" t="str">
        <f t="shared" si="270"/>
        <v>Troy</v>
      </c>
    </row>
    <row r="273" spans="1:5">
      <c r="A273" s="3" t="s">
        <v>2231</v>
      </c>
      <c r="B273" s="110" t="s">
        <v>1317</v>
      </c>
      <c r="C273" s="111" t="s">
        <v>2232</v>
      </c>
      <c r="D273" s="111" t="str">
        <f t="shared" ref="D273:E273" si="271">TRIM(B273)</f>
        <v>Alabama</v>
      </c>
      <c r="E273" s="111" t="str">
        <f t="shared" si="271"/>
        <v>Trussville</v>
      </c>
    </row>
    <row r="274" spans="1:5">
      <c r="A274" s="3" t="s">
        <v>1843</v>
      </c>
      <c r="B274" s="110" t="s">
        <v>1317</v>
      </c>
      <c r="C274" s="111" t="s">
        <v>2233</v>
      </c>
      <c r="D274" s="111" t="str">
        <f t="shared" ref="D274:E274" si="272">TRIM(B274)</f>
        <v>Alabama</v>
      </c>
      <c r="E274" s="111" t="str">
        <f t="shared" si="272"/>
        <v>Tuscaloosa</v>
      </c>
    </row>
    <row r="275" spans="1:5">
      <c r="A275" s="3" t="s">
        <v>1736</v>
      </c>
      <c r="B275" s="110" t="s">
        <v>1317</v>
      </c>
      <c r="C275" s="111" t="s">
        <v>2233</v>
      </c>
      <c r="D275" s="111" t="str">
        <f t="shared" ref="D275:E275" si="273">TRIM(B275)</f>
        <v>Alabama</v>
      </c>
      <c r="E275" s="111" t="str">
        <f t="shared" si="273"/>
        <v>Tuscaloosa</v>
      </c>
    </row>
    <row r="276" spans="1:5">
      <c r="A276" s="3" t="s">
        <v>2237</v>
      </c>
      <c r="B276" s="110" t="s">
        <v>1317</v>
      </c>
      <c r="C276" s="111" t="s">
        <v>2233</v>
      </c>
      <c r="D276" s="111" t="str">
        <f t="shared" ref="D276:E276" si="274">TRIM(B276)</f>
        <v>Alabama</v>
      </c>
      <c r="E276" s="111" t="str">
        <f t="shared" si="274"/>
        <v>Tuscaloosa</v>
      </c>
    </row>
    <row r="277" spans="1:5">
      <c r="A277" s="3" t="s">
        <v>2240</v>
      </c>
      <c r="B277" s="110" t="s">
        <v>1317</v>
      </c>
      <c r="C277" s="111" t="s">
        <v>2233</v>
      </c>
      <c r="D277" s="111" t="str">
        <f t="shared" ref="D277:E277" si="275">TRIM(B277)</f>
        <v>Alabama</v>
      </c>
      <c r="E277" s="111" t="str">
        <f t="shared" si="275"/>
        <v>Tuscaloosa</v>
      </c>
    </row>
    <row r="278" spans="1:5">
      <c r="A278" s="3" t="s">
        <v>2242</v>
      </c>
      <c r="B278" s="110" t="s">
        <v>1317</v>
      </c>
      <c r="C278" s="111" t="s">
        <v>2243</v>
      </c>
      <c r="D278" s="111" t="str">
        <f t="shared" ref="D278:E278" si="276">TRIM(B278)</f>
        <v>Alabama</v>
      </c>
      <c r="E278" s="111" t="str">
        <f t="shared" si="276"/>
        <v>Tuscumbia</v>
      </c>
    </row>
    <row r="279" spans="1:5">
      <c r="A279" s="3" t="s">
        <v>2244</v>
      </c>
      <c r="B279" s="110" t="s">
        <v>1317</v>
      </c>
      <c r="C279" s="111" t="s">
        <v>2243</v>
      </c>
      <c r="D279" s="111" t="str">
        <f t="shared" ref="D279:E279" si="277">TRIM(B279)</f>
        <v>Alabama</v>
      </c>
      <c r="E279" s="111" t="str">
        <f t="shared" si="277"/>
        <v>Tuscumbia</v>
      </c>
    </row>
    <row r="280" spans="1:5">
      <c r="A280" s="3" t="s">
        <v>2245</v>
      </c>
      <c r="B280" s="110" t="s">
        <v>1317</v>
      </c>
      <c r="C280" s="111" t="s">
        <v>2247</v>
      </c>
      <c r="D280" s="111" t="str">
        <f t="shared" ref="D280:E280" si="278">TRIM(B280)</f>
        <v>Alabama</v>
      </c>
      <c r="E280" s="111" t="str">
        <f t="shared" si="278"/>
        <v>Tuskegee</v>
      </c>
    </row>
    <row r="281" spans="1:5">
      <c r="A281" s="3" t="s">
        <v>2250</v>
      </c>
      <c r="B281" s="110" t="s">
        <v>1317</v>
      </c>
      <c r="C281" s="111" t="s">
        <v>2251</v>
      </c>
      <c r="D281" s="111" t="str">
        <f t="shared" ref="D281:E281" si="279">TRIM(B281)</f>
        <v>Alabama</v>
      </c>
      <c r="E281" s="111" t="str">
        <f t="shared" si="279"/>
        <v>Union Springs</v>
      </c>
    </row>
    <row r="282" spans="1:5">
      <c r="A282" s="3" t="s">
        <v>2252</v>
      </c>
      <c r="B282" s="110" t="s">
        <v>1317</v>
      </c>
      <c r="C282" s="111" t="s">
        <v>2253</v>
      </c>
      <c r="D282" s="111" t="str">
        <f t="shared" ref="D282:E282" si="280">TRIM(B282)</f>
        <v>Alabama</v>
      </c>
      <c r="E282" s="111" t="str">
        <f t="shared" si="280"/>
        <v>Valley</v>
      </c>
    </row>
    <row r="283" spans="1:5">
      <c r="A283" s="3" t="s">
        <v>2256</v>
      </c>
      <c r="B283" s="110" t="s">
        <v>1317</v>
      </c>
      <c r="C283" s="111" t="s">
        <v>2253</v>
      </c>
      <c r="D283" s="111" t="str">
        <f t="shared" ref="D283:E283" si="281">TRIM(B283)</f>
        <v>Alabama</v>
      </c>
      <c r="E283" s="111" t="str">
        <f t="shared" si="281"/>
        <v>Valley</v>
      </c>
    </row>
    <row r="284" spans="1:5">
      <c r="A284" s="3" t="s">
        <v>2258</v>
      </c>
      <c r="B284" s="110" t="s">
        <v>1317</v>
      </c>
      <c r="C284" s="111" t="s">
        <v>2259</v>
      </c>
      <c r="D284" s="111" t="str">
        <f t="shared" ref="D284:E284" si="282">TRIM(B284)</f>
        <v>Alabama</v>
      </c>
      <c r="E284" s="111" t="str">
        <f t="shared" si="282"/>
        <v>Vestavia</v>
      </c>
    </row>
    <row r="285" spans="1:5">
      <c r="A285" s="3" t="s">
        <v>2260</v>
      </c>
      <c r="B285" s="110" t="s">
        <v>1317</v>
      </c>
      <c r="C285" s="111" t="s">
        <v>2261</v>
      </c>
      <c r="D285" s="111" t="str">
        <f t="shared" ref="D285:E285" si="283">TRIM(B285)</f>
        <v>Alabama</v>
      </c>
      <c r="E285" s="111" t="str">
        <f t="shared" si="283"/>
        <v>Vincent</v>
      </c>
    </row>
    <row r="286" spans="1:5">
      <c r="A286" s="3" t="s">
        <v>2264</v>
      </c>
      <c r="B286" s="110" t="s">
        <v>1317</v>
      </c>
      <c r="C286" s="111" t="s">
        <v>2265</v>
      </c>
      <c r="D286" s="111" t="str">
        <f t="shared" ref="D286:E286" si="284">TRIM(B286)</f>
        <v>Alabama</v>
      </c>
      <c r="E286" s="111" t="str">
        <f t="shared" si="284"/>
        <v>Vinemont</v>
      </c>
    </row>
    <row r="287" spans="1:5">
      <c r="A287" s="3" t="s">
        <v>2267</v>
      </c>
      <c r="B287" s="110" t="s">
        <v>1317</v>
      </c>
      <c r="C287" s="111" t="s">
        <v>2268</v>
      </c>
      <c r="D287" s="111" t="str">
        <f t="shared" ref="D287:E287" si="285">TRIM(B287)</f>
        <v>Alabama</v>
      </c>
      <c r="E287" s="111" t="str">
        <f t="shared" si="285"/>
        <v>Walnut Grove</v>
      </c>
    </row>
    <row r="288" spans="1:5">
      <c r="A288" s="3" t="s">
        <v>2269</v>
      </c>
      <c r="B288" s="110" t="s">
        <v>1317</v>
      </c>
      <c r="C288" s="111" t="s">
        <v>2270</v>
      </c>
      <c r="D288" s="111" t="str">
        <f t="shared" ref="D288:E288" si="286">TRIM(B288)</f>
        <v>Alabama</v>
      </c>
      <c r="E288" s="111" t="str">
        <f t="shared" si="286"/>
        <v>Weaver</v>
      </c>
    </row>
    <row r="289" spans="1:5">
      <c r="A289" s="3" t="s">
        <v>2273</v>
      </c>
      <c r="B289" s="110" t="s">
        <v>1317</v>
      </c>
      <c r="C289" s="111" t="s">
        <v>2275</v>
      </c>
      <c r="D289" s="111" t="str">
        <f t="shared" ref="D289:E289" si="287">TRIM(B289)</f>
        <v>Alabama</v>
      </c>
      <c r="E289" s="111" t="str">
        <f t="shared" si="287"/>
        <v>Wedowee</v>
      </c>
    </row>
    <row r="290" spans="1:5">
      <c r="A290" s="3" t="s">
        <v>2277</v>
      </c>
      <c r="B290" s="110" t="s">
        <v>1317</v>
      </c>
      <c r="C290" s="111" t="s">
        <v>2278</v>
      </c>
      <c r="D290" s="111" t="str">
        <f t="shared" ref="D290:E290" si="288">TRIM(B290)</f>
        <v>Alabama</v>
      </c>
      <c r="E290" s="111" t="str">
        <f t="shared" si="288"/>
        <v>West Blocton</v>
      </c>
    </row>
    <row r="291" spans="1:5">
      <c r="A291" s="3" t="s">
        <v>2279</v>
      </c>
      <c r="B291" s="110" t="s">
        <v>1317</v>
      </c>
      <c r="C291" s="111" t="s">
        <v>2280</v>
      </c>
      <c r="D291" s="111" t="str">
        <f t="shared" ref="D291:E291" si="289">TRIM(B291)</f>
        <v>Alabama</v>
      </c>
      <c r="E291" s="111" t="str">
        <f t="shared" si="289"/>
        <v>Wetumpka</v>
      </c>
    </row>
    <row r="292" spans="1:5">
      <c r="A292" s="3" t="s">
        <v>2282</v>
      </c>
      <c r="B292" s="110" t="s">
        <v>1317</v>
      </c>
      <c r="C292" s="111" t="s">
        <v>2284</v>
      </c>
      <c r="D292" s="111" t="str">
        <f t="shared" ref="D292:E292" si="290">TRIM(B292)</f>
        <v>Alabama</v>
      </c>
      <c r="E292" s="111" t="str">
        <f t="shared" si="290"/>
        <v>Winfield</v>
      </c>
    </row>
    <row r="293" spans="1:5">
      <c r="A293" s="3" t="s">
        <v>2285</v>
      </c>
      <c r="B293" s="110" t="s">
        <v>1317</v>
      </c>
      <c r="C293" s="111" t="s">
        <v>333</v>
      </c>
      <c r="D293" s="111" t="str">
        <f t="shared" ref="D293:E293" si="291">TRIM(B293)</f>
        <v>Alabama</v>
      </c>
      <c r="E293" s="111" t="str">
        <f t="shared" si="291"/>
        <v>Woodland</v>
      </c>
    </row>
    <row r="294" spans="1:5">
      <c r="A294" s="3" t="s">
        <v>2287</v>
      </c>
      <c r="B294" s="110" t="s">
        <v>1317</v>
      </c>
      <c r="C294" s="111" t="s">
        <v>567</v>
      </c>
      <c r="D294" s="111" t="str">
        <f t="shared" ref="D294:E294" si="292">TRIM(B294)</f>
        <v>Alabama</v>
      </c>
      <c r="E294" s="111" t="str">
        <f t="shared" si="292"/>
        <v>York</v>
      </c>
    </row>
    <row r="295" spans="1:5">
      <c r="A295" s="3" t="s">
        <v>2290</v>
      </c>
      <c r="B295" s="110" t="s">
        <v>1318</v>
      </c>
      <c r="C295" s="111" t="s">
        <v>2291</v>
      </c>
      <c r="D295" s="111" t="str">
        <f t="shared" ref="D295:E295" si="293">TRIM(B295)</f>
        <v>Alaska</v>
      </c>
      <c r="E295" s="111" t="str">
        <f t="shared" si="293"/>
        <v>Anchorage</v>
      </c>
    </row>
    <row r="296" spans="1:5">
      <c r="A296" s="3" t="s">
        <v>2292</v>
      </c>
      <c r="B296" s="110" t="s">
        <v>1318</v>
      </c>
      <c r="C296" s="111" t="s">
        <v>2291</v>
      </c>
      <c r="D296" s="111" t="str">
        <f t="shared" ref="D296:E296" si="294">TRIM(B296)</f>
        <v>Alaska</v>
      </c>
      <c r="E296" s="111" t="str">
        <f t="shared" si="294"/>
        <v>Anchorage</v>
      </c>
    </row>
    <row r="297" spans="1:5">
      <c r="A297" s="3" t="s">
        <v>2294</v>
      </c>
      <c r="B297" s="110" t="s">
        <v>1318</v>
      </c>
      <c r="C297" s="111" t="s">
        <v>2291</v>
      </c>
      <c r="D297" s="111" t="str">
        <f t="shared" ref="D297:E297" si="295">TRIM(B297)</f>
        <v>Alaska</v>
      </c>
      <c r="E297" s="111" t="str">
        <f t="shared" si="295"/>
        <v>Anchorage</v>
      </c>
    </row>
    <row r="298" spans="1:5">
      <c r="A298" s="3" t="s">
        <v>2295</v>
      </c>
      <c r="B298" s="110" t="s">
        <v>1318</v>
      </c>
      <c r="C298" s="111" t="s">
        <v>2291</v>
      </c>
      <c r="D298" s="111" t="str">
        <f t="shared" ref="D298:E298" si="296">TRIM(B298)</f>
        <v>Alaska</v>
      </c>
      <c r="E298" s="111" t="str">
        <f t="shared" si="296"/>
        <v>Anchorage</v>
      </c>
    </row>
    <row r="299" spans="1:5">
      <c r="A299" s="3" t="s">
        <v>2298</v>
      </c>
      <c r="B299" s="110" t="s">
        <v>1318</v>
      </c>
      <c r="C299" s="111" t="s">
        <v>2291</v>
      </c>
      <c r="D299" s="111" t="str">
        <f t="shared" ref="D299:E299" si="297">TRIM(B299)</f>
        <v>Alaska</v>
      </c>
      <c r="E299" s="111" t="str">
        <f t="shared" si="297"/>
        <v>Anchorage</v>
      </c>
    </row>
    <row r="300" spans="1:5">
      <c r="A300" s="3" t="s">
        <v>2300</v>
      </c>
      <c r="B300" s="110" t="s">
        <v>1318</v>
      </c>
      <c r="C300" s="111" t="s">
        <v>2291</v>
      </c>
      <c r="D300" s="111" t="str">
        <f t="shared" ref="D300:E300" si="298">TRIM(B300)</f>
        <v>Alaska</v>
      </c>
      <c r="E300" s="111" t="str">
        <f t="shared" si="298"/>
        <v>Anchorage</v>
      </c>
    </row>
    <row r="301" spans="1:5">
      <c r="A301" s="110" t="s">
        <v>2301</v>
      </c>
      <c r="B301" s="110" t="s">
        <v>1318</v>
      </c>
      <c r="C301" s="111" t="s">
        <v>2291</v>
      </c>
      <c r="D301" s="111" t="str">
        <f t="shared" ref="D301:E301" si="299">TRIM(B301)</f>
        <v>Alaska</v>
      </c>
      <c r="E301" s="111" t="str">
        <f t="shared" si="299"/>
        <v>Anchorage</v>
      </c>
    </row>
    <row r="302" spans="1:5">
      <c r="A302" s="3" t="s">
        <v>2304</v>
      </c>
      <c r="B302" s="110" t="s">
        <v>1318</v>
      </c>
      <c r="C302" s="111" t="s">
        <v>2291</v>
      </c>
      <c r="D302" s="111" t="str">
        <f t="shared" ref="D302:E302" si="300">TRIM(B302)</f>
        <v>Alaska</v>
      </c>
      <c r="E302" s="111" t="str">
        <f t="shared" si="300"/>
        <v>Anchorage</v>
      </c>
    </row>
    <row r="303" spans="1:5">
      <c r="A303" s="3" t="s">
        <v>2305</v>
      </c>
      <c r="B303" s="110" t="s">
        <v>1318</v>
      </c>
      <c r="C303" s="111" t="s">
        <v>2306</v>
      </c>
      <c r="D303" s="111" t="str">
        <f t="shared" ref="D303:E303" si="301">TRIM(B303)</f>
        <v>Alaska</v>
      </c>
      <c r="E303" s="111" t="str">
        <f t="shared" si="301"/>
        <v>Aniak</v>
      </c>
    </row>
    <row r="304" spans="1:5">
      <c r="A304" s="3" t="s">
        <v>2307</v>
      </c>
      <c r="B304" s="110" t="s">
        <v>1318</v>
      </c>
      <c r="C304" s="111" t="s">
        <v>2309</v>
      </c>
      <c r="D304" s="111" t="str">
        <f t="shared" ref="D304:E304" si="302">TRIM(B304)</f>
        <v>Alaska</v>
      </c>
      <c r="E304" s="111" t="str">
        <f t="shared" si="302"/>
        <v>Bethel</v>
      </c>
    </row>
    <row r="305" spans="1:5">
      <c r="A305" s="3" t="s">
        <v>2312</v>
      </c>
      <c r="B305" s="110" t="s">
        <v>1318</v>
      </c>
      <c r="C305" s="111" t="s">
        <v>2313</v>
      </c>
      <c r="D305" s="111" t="str">
        <f t="shared" ref="D305:E305" si="303">TRIM(B305)</f>
        <v>Alaska</v>
      </c>
      <c r="E305" s="111" t="str">
        <f t="shared" si="303"/>
        <v>Chugiak</v>
      </c>
    </row>
    <row r="306" spans="1:5">
      <c r="A306" s="3" t="s">
        <v>2314</v>
      </c>
      <c r="B306" s="110" t="s">
        <v>1318</v>
      </c>
      <c r="C306" s="111" t="s">
        <v>1650</v>
      </c>
      <c r="D306" s="111" t="str">
        <f t="shared" ref="D306:E306" si="304">TRIM(B306)</f>
        <v>Alaska</v>
      </c>
      <c r="E306" s="111" t="str">
        <f t="shared" si="304"/>
        <v>Cordova</v>
      </c>
    </row>
    <row r="307" spans="1:5">
      <c r="A307" s="3" t="s">
        <v>2318</v>
      </c>
      <c r="B307" s="110" t="s">
        <v>1318</v>
      </c>
      <c r="C307" s="111" t="s">
        <v>2319</v>
      </c>
      <c r="D307" s="111" t="str">
        <f t="shared" ref="D307:E307" si="305">TRIM(B307)</f>
        <v>Alaska</v>
      </c>
      <c r="E307" s="111" t="str">
        <f t="shared" si="305"/>
        <v>Craig</v>
      </c>
    </row>
    <row r="308" spans="1:5">
      <c r="A308" s="3" t="s">
        <v>2320</v>
      </c>
      <c r="B308" s="110" t="s">
        <v>1318</v>
      </c>
      <c r="C308" s="111" t="s">
        <v>2321</v>
      </c>
      <c r="D308" s="111" t="str">
        <f t="shared" ref="D308:E308" si="306">TRIM(B308)</f>
        <v>Alaska</v>
      </c>
      <c r="E308" s="111" t="str">
        <f t="shared" si="306"/>
        <v>Delta Junction</v>
      </c>
    </row>
    <row r="309" spans="1:5">
      <c r="A309" s="3" t="s">
        <v>2325</v>
      </c>
      <c r="B309" s="110" t="s">
        <v>1318</v>
      </c>
      <c r="C309" s="111" t="s">
        <v>2326</v>
      </c>
      <c r="D309" s="111" t="str">
        <f t="shared" ref="D309:E309" si="307">TRIM(B309)</f>
        <v>Alaska</v>
      </c>
      <c r="E309" s="111" t="str">
        <f t="shared" si="307"/>
        <v>Dillingham</v>
      </c>
    </row>
    <row r="310" spans="1:5">
      <c r="A310" s="110" t="s">
        <v>2329</v>
      </c>
      <c r="B310" s="110" t="s">
        <v>1318</v>
      </c>
      <c r="C310" s="111" t="s">
        <v>2330</v>
      </c>
      <c r="D310" s="111" t="str">
        <f t="shared" ref="D310:E310" si="308">TRIM(B310)</f>
        <v>Alaska</v>
      </c>
      <c r="E310" s="111" t="str">
        <f t="shared" si="308"/>
        <v>Eagle River</v>
      </c>
    </row>
    <row r="311" spans="1:5">
      <c r="A311" s="3" t="s">
        <v>2331</v>
      </c>
      <c r="B311" s="110" t="s">
        <v>1318</v>
      </c>
      <c r="C311" s="111" t="s">
        <v>2330</v>
      </c>
      <c r="D311" s="111" t="str">
        <f t="shared" ref="D311:E311" si="309">TRIM(B311)</f>
        <v>Alaska</v>
      </c>
      <c r="E311" s="111" t="str">
        <f t="shared" si="309"/>
        <v>Eagle River</v>
      </c>
    </row>
    <row r="312" spans="1:5">
      <c r="A312" s="3" t="s">
        <v>2334</v>
      </c>
      <c r="B312" s="110" t="s">
        <v>1318</v>
      </c>
      <c r="C312" s="111" t="s">
        <v>2335</v>
      </c>
      <c r="D312" s="111" t="str">
        <f t="shared" ref="D312:E312" si="310">TRIM(B312)</f>
        <v>Alaska</v>
      </c>
      <c r="E312" s="111" t="str">
        <f t="shared" si="310"/>
        <v>Eielson Afb</v>
      </c>
    </row>
    <row r="313" spans="1:5">
      <c r="A313" s="110" t="s">
        <v>2337</v>
      </c>
      <c r="B313" s="110" t="s">
        <v>1318</v>
      </c>
      <c r="C313" s="111" t="s">
        <v>2338</v>
      </c>
      <c r="D313" s="111" t="str">
        <f t="shared" ref="D313:E313" si="311">TRIM(B313)</f>
        <v>Alaska</v>
      </c>
      <c r="E313" s="111" t="str">
        <f t="shared" si="311"/>
        <v>Fairbanks</v>
      </c>
    </row>
    <row r="314" spans="1:5">
      <c r="A314" s="3" t="s">
        <v>2340</v>
      </c>
      <c r="B314" s="110" t="s">
        <v>1318</v>
      </c>
      <c r="C314" s="111" t="s">
        <v>2338</v>
      </c>
      <c r="D314" s="111" t="str">
        <f t="shared" ref="D314:E314" si="312">TRIM(B314)</f>
        <v>Alaska</v>
      </c>
      <c r="E314" s="111" t="str">
        <f t="shared" si="312"/>
        <v>Fairbanks</v>
      </c>
    </row>
    <row r="315" spans="1:5">
      <c r="A315" s="3" t="s">
        <v>2342</v>
      </c>
      <c r="B315" s="110" t="s">
        <v>1318</v>
      </c>
      <c r="C315" s="111" t="s">
        <v>2338</v>
      </c>
      <c r="D315" s="111" t="str">
        <f t="shared" ref="D315:E315" si="313">TRIM(B315)</f>
        <v>Alaska</v>
      </c>
      <c r="E315" s="111" t="str">
        <f t="shared" si="313"/>
        <v>Fairbanks</v>
      </c>
    </row>
    <row r="316" spans="1:5">
      <c r="A316" s="3" t="s">
        <v>2344</v>
      </c>
      <c r="B316" s="110" t="s">
        <v>1318</v>
      </c>
      <c r="C316" s="111" t="s">
        <v>2346</v>
      </c>
      <c r="D316" s="111" t="str">
        <f t="shared" ref="D316:E316" si="314">TRIM(B316)</f>
        <v>Alaska</v>
      </c>
      <c r="E316" s="111" t="str">
        <f t="shared" si="314"/>
        <v>Galena</v>
      </c>
    </row>
    <row r="317" spans="1:5">
      <c r="A317" s="3" t="s">
        <v>2348</v>
      </c>
      <c r="B317" s="110" t="s">
        <v>1318</v>
      </c>
      <c r="C317" s="111" t="s">
        <v>2346</v>
      </c>
      <c r="D317" s="111" t="str">
        <f t="shared" ref="D317:E317" si="315">TRIM(B317)</f>
        <v>Alaska</v>
      </c>
      <c r="E317" s="111" t="str">
        <f t="shared" si="315"/>
        <v>Galena</v>
      </c>
    </row>
    <row r="318" spans="1:5">
      <c r="A318" s="3" t="s">
        <v>2349</v>
      </c>
      <c r="B318" s="110" t="s">
        <v>1318</v>
      </c>
      <c r="C318" s="111" t="s">
        <v>2351</v>
      </c>
      <c r="D318" s="111" t="str">
        <f t="shared" ref="D318:E318" si="316">TRIM(B318)</f>
        <v>Alaska</v>
      </c>
      <c r="E318" s="111" t="str">
        <f t="shared" si="316"/>
        <v>Glennallen</v>
      </c>
    </row>
    <row r="319" spans="1:5">
      <c r="A319" s="3" t="s">
        <v>2353</v>
      </c>
      <c r="B319" s="110" t="s">
        <v>1318</v>
      </c>
      <c r="C319" s="111" t="s">
        <v>2354</v>
      </c>
      <c r="D319" s="111" t="str">
        <f t="shared" ref="D319:E319" si="317">TRIM(B319)</f>
        <v>Alaska</v>
      </c>
      <c r="E319" s="111" t="str">
        <f t="shared" si="317"/>
        <v>Haines</v>
      </c>
    </row>
    <row r="320" spans="1:5">
      <c r="A320" s="3" t="s">
        <v>2355</v>
      </c>
      <c r="B320" s="110" t="s">
        <v>1318</v>
      </c>
      <c r="C320" s="111" t="s">
        <v>239</v>
      </c>
      <c r="D320" s="111" t="str">
        <f t="shared" ref="D320:E320" si="318">TRIM(B320)</f>
        <v>Alaska</v>
      </c>
      <c r="E320" s="111" t="str">
        <f t="shared" si="318"/>
        <v>Homer</v>
      </c>
    </row>
    <row r="321" spans="1:5">
      <c r="A321" s="3" t="s">
        <v>2358</v>
      </c>
      <c r="B321" s="110" t="s">
        <v>1318</v>
      </c>
      <c r="C321" s="111" t="s">
        <v>368</v>
      </c>
      <c r="D321" s="111" t="str">
        <f t="shared" ref="D321:E321" si="319">TRIM(B321)</f>
        <v>Alaska</v>
      </c>
      <c r="E321" s="111" t="str">
        <f t="shared" si="319"/>
        <v>Houston</v>
      </c>
    </row>
    <row r="322" spans="1:5">
      <c r="A322" s="3" t="s">
        <v>2360</v>
      </c>
      <c r="B322" s="110" t="s">
        <v>1318</v>
      </c>
      <c r="C322" s="111" t="s">
        <v>381</v>
      </c>
      <c r="D322" s="111" t="str">
        <f t="shared" ref="D322:E322" si="320">TRIM(B322)</f>
        <v>Alaska</v>
      </c>
      <c r="E322" s="111" t="str">
        <f t="shared" si="320"/>
        <v>Juneau</v>
      </c>
    </row>
    <row r="323" spans="1:5">
      <c r="A323" s="3" t="s">
        <v>2362</v>
      </c>
      <c r="B323" s="110" t="s">
        <v>1318</v>
      </c>
      <c r="C323" s="111" t="s">
        <v>381</v>
      </c>
      <c r="D323" s="111" t="str">
        <f t="shared" ref="D323:E323" si="321">TRIM(B323)</f>
        <v>Alaska</v>
      </c>
      <c r="E323" s="111" t="str">
        <f t="shared" si="321"/>
        <v>Juneau</v>
      </c>
    </row>
    <row r="324" spans="1:5">
      <c r="A324" s="110" t="s">
        <v>2365</v>
      </c>
      <c r="B324" s="110" t="s">
        <v>1318</v>
      </c>
      <c r="C324" s="111" t="s">
        <v>2366</v>
      </c>
      <c r="D324" s="111" t="str">
        <f t="shared" ref="D324:E324" si="322">TRIM(B324)</f>
        <v>Alaska</v>
      </c>
      <c r="E324" s="111" t="str">
        <f t="shared" si="322"/>
        <v>Kalskag</v>
      </c>
    </row>
    <row r="325" spans="1:5">
      <c r="A325" s="3" t="s">
        <v>2367</v>
      </c>
      <c r="B325" s="110" t="s">
        <v>1318</v>
      </c>
      <c r="C325" s="111" t="s">
        <v>2368</v>
      </c>
      <c r="D325" s="111" t="str">
        <f t="shared" ref="D325:E325" si="323">TRIM(B325)</f>
        <v>Alaska</v>
      </c>
      <c r="E325" s="111" t="str">
        <f t="shared" si="323"/>
        <v>Kenai</v>
      </c>
    </row>
    <row r="326" spans="1:5">
      <c r="A326" s="3" t="s">
        <v>2371</v>
      </c>
      <c r="B326" s="110" t="s">
        <v>1318</v>
      </c>
      <c r="C326" s="111" t="s">
        <v>2373</v>
      </c>
      <c r="D326" s="111" t="str">
        <f t="shared" ref="D326:E326" si="324">TRIM(B326)</f>
        <v>Alaska</v>
      </c>
      <c r="E326" s="111" t="str">
        <f t="shared" si="324"/>
        <v>Ketchikan</v>
      </c>
    </row>
    <row r="327" spans="1:5">
      <c r="A327" s="3" t="s">
        <v>2374</v>
      </c>
      <c r="B327" s="110" t="s">
        <v>1318</v>
      </c>
      <c r="C327" s="111" t="s">
        <v>2375</v>
      </c>
      <c r="D327" s="111" t="str">
        <f t="shared" ref="D327:E327" si="325">TRIM(B327)</f>
        <v>Alaska</v>
      </c>
      <c r="E327" s="111" t="str">
        <f t="shared" si="325"/>
        <v>Kodiak</v>
      </c>
    </row>
    <row r="328" spans="1:5">
      <c r="A328" s="3" t="s">
        <v>2379</v>
      </c>
      <c r="B328" s="110" t="s">
        <v>1318</v>
      </c>
      <c r="C328" s="111" t="s">
        <v>2380</v>
      </c>
      <c r="D328" s="111" t="str">
        <f t="shared" ref="D328:E328" si="326">TRIM(B328)</f>
        <v>Alaska</v>
      </c>
      <c r="E328" s="111" t="str">
        <f t="shared" si="326"/>
        <v>Kotzebue</v>
      </c>
    </row>
    <row r="329" spans="1:5">
      <c r="A329" s="3" t="s">
        <v>2381</v>
      </c>
      <c r="B329" s="110" t="s">
        <v>1318</v>
      </c>
      <c r="C329" s="111" t="s">
        <v>2382</v>
      </c>
      <c r="D329" s="111" t="str">
        <f t="shared" ref="D329:E329" si="327">TRIM(B329)</f>
        <v>Alaska</v>
      </c>
      <c r="E329" s="111" t="str">
        <f t="shared" si="327"/>
        <v>Metlakatla</v>
      </c>
    </row>
    <row r="330" spans="1:5">
      <c r="A330" s="3" t="s">
        <v>2383</v>
      </c>
      <c r="B330" s="110" t="s">
        <v>1318</v>
      </c>
      <c r="C330" s="111" t="s">
        <v>2385</v>
      </c>
      <c r="D330" s="111" t="str">
        <f t="shared" ref="D330:E330" si="328">TRIM(B330)</f>
        <v>Alaska</v>
      </c>
      <c r="E330" s="111" t="str">
        <f t="shared" si="328"/>
        <v>Naknek</v>
      </c>
    </row>
    <row r="331" spans="1:5">
      <c r="A331" s="3" t="s">
        <v>2388</v>
      </c>
      <c r="B331" s="110" t="s">
        <v>1318</v>
      </c>
      <c r="C331" s="111" t="s">
        <v>2389</v>
      </c>
      <c r="D331" s="111" t="str">
        <f t="shared" ref="D331:E331" si="329">TRIM(B331)</f>
        <v>Alaska</v>
      </c>
      <c r="E331" s="111" t="str">
        <f t="shared" si="329"/>
        <v>Nikiski</v>
      </c>
    </row>
    <row r="332" spans="1:5">
      <c r="A332" s="3" t="s">
        <v>2390</v>
      </c>
      <c r="B332" s="110" t="s">
        <v>1318</v>
      </c>
      <c r="C332" s="111" t="s">
        <v>2392</v>
      </c>
      <c r="D332" s="111" t="str">
        <f t="shared" ref="D332:E332" si="330">TRIM(B332)</f>
        <v>Alaska</v>
      </c>
      <c r="E332" s="111" t="str">
        <f t="shared" si="330"/>
        <v>Nome</v>
      </c>
    </row>
    <row r="333" spans="1:5">
      <c r="A333" s="3" t="s">
        <v>2394</v>
      </c>
      <c r="B333" s="110" t="s">
        <v>1318</v>
      </c>
      <c r="C333" s="111" t="s">
        <v>2395</v>
      </c>
      <c r="D333" s="111" t="str">
        <f t="shared" ref="D333:E333" si="331">TRIM(B333)</f>
        <v>Alaska</v>
      </c>
      <c r="E333" s="111" t="str">
        <f t="shared" si="331"/>
        <v>North Pole</v>
      </c>
    </row>
    <row r="334" spans="1:5">
      <c r="A334" s="110" t="s">
        <v>2396</v>
      </c>
      <c r="B334" s="110" t="s">
        <v>1318</v>
      </c>
      <c r="C334" s="111" t="s">
        <v>2395</v>
      </c>
      <c r="D334" s="111" t="str">
        <f t="shared" ref="D334:E334" si="332">TRIM(B334)</f>
        <v>Alaska</v>
      </c>
      <c r="E334" s="111" t="str">
        <f t="shared" si="332"/>
        <v>North Pole</v>
      </c>
    </row>
    <row r="335" spans="1:5">
      <c r="A335" s="3" t="s">
        <v>2399</v>
      </c>
      <c r="B335" s="110" t="s">
        <v>1318</v>
      </c>
      <c r="C335" s="111" t="s">
        <v>2400</v>
      </c>
      <c r="D335" s="111" t="str">
        <f t="shared" ref="D335:E335" si="333">TRIM(B335)</f>
        <v>Alaska</v>
      </c>
      <c r="E335" s="111" t="str">
        <f t="shared" si="333"/>
        <v>Palmer</v>
      </c>
    </row>
    <row r="336" spans="1:5">
      <c r="A336" s="110" t="s">
        <v>2403</v>
      </c>
      <c r="B336" s="110" t="s">
        <v>1318</v>
      </c>
      <c r="C336" s="111" t="s">
        <v>2400</v>
      </c>
      <c r="D336" s="111" t="str">
        <f t="shared" ref="D336:E336" si="334">TRIM(B336)</f>
        <v>Alaska</v>
      </c>
      <c r="E336" s="111" t="str">
        <f t="shared" si="334"/>
        <v>Palmer</v>
      </c>
    </row>
    <row r="337" spans="1:5">
      <c r="A337" s="3" t="s">
        <v>2405</v>
      </c>
      <c r="B337" s="110" t="s">
        <v>1318</v>
      </c>
      <c r="C337" s="111" t="s">
        <v>2400</v>
      </c>
      <c r="D337" s="111" t="str">
        <f t="shared" ref="D337:E337" si="335">TRIM(B337)</f>
        <v>Alaska</v>
      </c>
      <c r="E337" s="111" t="str">
        <f t="shared" si="335"/>
        <v>Palmer</v>
      </c>
    </row>
    <row r="338" spans="1:5">
      <c r="A338" s="3" t="s">
        <v>2408</v>
      </c>
      <c r="B338" s="110" t="s">
        <v>1318</v>
      </c>
      <c r="C338" s="111" t="s">
        <v>2409</v>
      </c>
      <c r="D338" s="111" t="str">
        <f t="shared" ref="D338:E338" si="336">TRIM(B338)</f>
        <v>Alaska</v>
      </c>
      <c r="E338" s="111" t="str">
        <f t="shared" si="336"/>
        <v>Petersburg</v>
      </c>
    </row>
    <row r="339" spans="1:5">
      <c r="A339" s="3" t="s">
        <v>2410</v>
      </c>
      <c r="B339" s="110" t="s">
        <v>1318</v>
      </c>
      <c r="C339" s="111" t="s">
        <v>2411</v>
      </c>
      <c r="D339" s="111" t="str">
        <f t="shared" ref="D339:E339" si="337">TRIM(B339)</f>
        <v>Alaska</v>
      </c>
      <c r="E339" s="111" t="str">
        <f t="shared" si="337"/>
        <v>Seward</v>
      </c>
    </row>
    <row r="340" spans="1:5">
      <c r="A340" s="3" t="s">
        <v>2413</v>
      </c>
      <c r="B340" s="110" t="s">
        <v>1318</v>
      </c>
      <c r="C340" s="111" t="s">
        <v>2414</v>
      </c>
      <c r="D340" s="111" t="str">
        <f t="shared" ref="D340:E340" si="338">TRIM(B340)</f>
        <v>Alaska</v>
      </c>
      <c r="E340" s="111" t="str">
        <f t="shared" si="338"/>
        <v>Sitka</v>
      </c>
    </row>
    <row r="341" spans="1:5">
      <c r="A341" s="3" t="s">
        <v>2416</v>
      </c>
      <c r="B341" s="110" t="s">
        <v>1318</v>
      </c>
      <c r="C341" s="111" t="s">
        <v>2414</v>
      </c>
      <c r="D341" s="111" t="str">
        <f t="shared" ref="D341:E341" si="339">TRIM(B341)</f>
        <v>Alaska</v>
      </c>
      <c r="E341" s="111" t="str">
        <f t="shared" si="339"/>
        <v>Sitka</v>
      </c>
    </row>
    <row r="342" spans="1:5">
      <c r="A342" s="3" t="s">
        <v>2418</v>
      </c>
      <c r="B342" s="110" t="s">
        <v>1318</v>
      </c>
      <c r="C342" s="111" t="s">
        <v>2420</v>
      </c>
      <c r="D342" s="111" t="str">
        <f t="shared" ref="D342:E342" si="340">TRIM(B342)</f>
        <v>Alaska</v>
      </c>
      <c r="E342" s="111" t="str">
        <f t="shared" si="340"/>
        <v>Soldotna</v>
      </c>
    </row>
    <row r="343" spans="1:5">
      <c r="A343" s="3" t="s">
        <v>2422</v>
      </c>
      <c r="B343" s="110" t="s">
        <v>1318</v>
      </c>
      <c r="C343" s="111" t="s">
        <v>2420</v>
      </c>
      <c r="D343" s="111" t="str">
        <f t="shared" ref="D343:E343" si="341">TRIM(B343)</f>
        <v>Alaska</v>
      </c>
      <c r="E343" s="111" t="str">
        <f t="shared" si="341"/>
        <v>Soldotna</v>
      </c>
    </row>
    <row r="344" spans="1:5">
      <c r="A344" s="3" t="s">
        <v>2423</v>
      </c>
      <c r="B344" s="110" t="s">
        <v>1318</v>
      </c>
      <c r="C344" s="111" t="s">
        <v>2424</v>
      </c>
      <c r="D344" s="111" t="str">
        <f t="shared" ref="D344:E344" si="342">TRIM(B344)</f>
        <v>Alaska</v>
      </c>
      <c r="E344" s="111" t="str">
        <f t="shared" si="342"/>
        <v>Talkeetna</v>
      </c>
    </row>
    <row r="345" spans="1:5">
      <c r="A345" s="3" t="s">
        <v>2427</v>
      </c>
      <c r="B345" s="110" t="s">
        <v>1318</v>
      </c>
      <c r="C345" s="111" t="s">
        <v>2429</v>
      </c>
      <c r="D345" s="111" t="str">
        <f t="shared" ref="D345:E345" si="343">TRIM(B345)</f>
        <v>Alaska</v>
      </c>
      <c r="E345" s="111" t="str">
        <f t="shared" si="343"/>
        <v>Unalaska</v>
      </c>
    </row>
    <row r="346" spans="1:5">
      <c r="A346" s="3" t="s">
        <v>2430</v>
      </c>
      <c r="B346" s="110" t="s">
        <v>1318</v>
      </c>
      <c r="C346" s="111" t="s">
        <v>2431</v>
      </c>
      <c r="D346" s="111" t="str">
        <f t="shared" ref="D346:E346" si="344">TRIM(B346)</f>
        <v>Alaska</v>
      </c>
      <c r="E346" s="111" t="str">
        <f t="shared" si="344"/>
        <v>Utqiagvik</v>
      </c>
    </row>
    <row r="347" spans="1:5">
      <c r="A347" s="3" t="s">
        <v>2433</v>
      </c>
      <c r="B347" s="110" t="s">
        <v>1318</v>
      </c>
      <c r="C347" s="111" t="s">
        <v>2434</v>
      </c>
      <c r="D347" s="111" t="str">
        <f t="shared" ref="D347:E347" si="345">TRIM(B347)</f>
        <v>Alaska</v>
      </c>
      <c r="E347" s="111" t="str">
        <f t="shared" si="345"/>
        <v>Valdez</v>
      </c>
    </row>
    <row r="348" spans="1:5">
      <c r="A348" s="3" t="s">
        <v>2436</v>
      </c>
      <c r="B348" s="110" t="s">
        <v>1318</v>
      </c>
      <c r="C348" s="111" t="s">
        <v>2438</v>
      </c>
      <c r="D348" s="111" t="str">
        <f t="shared" ref="D348:E348" si="346">TRIM(B348)</f>
        <v>Alaska</v>
      </c>
      <c r="E348" s="111" t="str">
        <f t="shared" si="346"/>
        <v>Wasilla</v>
      </c>
    </row>
    <row r="349" spans="1:5">
      <c r="A349" s="3" t="s">
        <v>2439</v>
      </c>
      <c r="B349" s="110" t="s">
        <v>1318</v>
      </c>
      <c r="C349" s="111" t="s">
        <v>2438</v>
      </c>
      <c r="D349" s="111" t="str">
        <f t="shared" ref="D349:E349" si="347">TRIM(B349)</f>
        <v>Alaska</v>
      </c>
      <c r="E349" s="111" t="str">
        <f t="shared" si="347"/>
        <v>Wasilla</v>
      </c>
    </row>
    <row r="350" spans="1:5">
      <c r="A350" s="3" t="s">
        <v>2441</v>
      </c>
      <c r="B350" s="110" t="s">
        <v>1318</v>
      </c>
      <c r="C350" s="111" t="s">
        <v>2442</v>
      </c>
      <c r="D350" s="111" t="str">
        <f t="shared" ref="D350:E350" si="348">TRIM(B350)</f>
        <v>Alaska</v>
      </c>
      <c r="E350" s="111" t="str">
        <f t="shared" si="348"/>
        <v>Wrangell</v>
      </c>
    </row>
    <row r="351" spans="1:5">
      <c r="A351" s="3" t="s">
        <v>2445</v>
      </c>
      <c r="B351" s="110" t="s">
        <v>1319</v>
      </c>
      <c r="C351" s="111" t="s">
        <v>2446</v>
      </c>
      <c r="D351" s="111" t="str">
        <f t="shared" ref="D351:E351" si="349">TRIM(B351)</f>
        <v>Arizona</v>
      </c>
      <c r="E351" s="111" t="str">
        <f t="shared" si="349"/>
        <v>Ajo</v>
      </c>
    </row>
    <row r="352" spans="1:5">
      <c r="A352" s="3" t="s">
        <v>2449</v>
      </c>
      <c r="B352" s="110" t="s">
        <v>1319</v>
      </c>
      <c r="C352" s="111" t="s">
        <v>2450</v>
      </c>
      <c r="D352" s="111" t="str">
        <f t="shared" ref="D352:E352" si="350">TRIM(B352)</f>
        <v>Arizona</v>
      </c>
      <c r="E352" s="111" t="str">
        <f t="shared" si="350"/>
        <v>Anthem</v>
      </c>
    </row>
    <row r="353" spans="1:5">
      <c r="A353" s="3" t="s">
        <v>2451</v>
      </c>
      <c r="B353" s="110" t="s">
        <v>1319</v>
      </c>
      <c r="C353" s="111" t="s">
        <v>2452</v>
      </c>
      <c r="D353" s="111" t="str">
        <f t="shared" ref="D353:E353" si="351">TRIM(B353)</f>
        <v>Arizona</v>
      </c>
      <c r="E353" s="111" t="str">
        <f t="shared" si="351"/>
        <v>Apache Junction</v>
      </c>
    </row>
    <row r="354" spans="1:5">
      <c r="A354" s="3" t="s">
        <v>2454</v>
      </c>
      <c r="B354" s="110" t="s">
        <v>1319</v>
      </c>
      <c r="C354" s="111" t="s">
        <v>2452</v>
      </c>
      <c r="D354" s="111" t="str">
        <f t="shared" ref="D354:E354" si="352">TRIM(B354)</f>
        <v>Arizona</v>
      </c>
      <c r="E354" s="111" t="str">
        <f t="shared" si="352"/>
        <v>Apache Junction</v>
      </c>
    </row>
    <row r="355" spans="1:5">
      <c r="A355" s="110" t="s">
        <v>2456</v>
      </c>
      <c r="B355" s="110" t="s">
        <v>1319</v>
      </c>
      <c r="C355" s="111" t="s">
        <v>2452</v>
      </c>
      <c r="D355" s="111" t="str">
        <f t="shared" ref="D355:E355" si="353">TRIM(B355)</f>
        <v>Arizona</v>
      </c>
      <c r="E355" s="111" t="str">
        <f t="shared" si="353"/>
        <v>Apache Junction</v>
      </c>
    </row>
    <row r="356" spans="1:5">
      <c r="A356" s="3" t="s">
        <v>2458</v>
      </c>
      <c r="B356" s="110" t="s">
        <v>1319</v>
      </c>
      <c r="C356" s="111" t="s">
        <v>2459</v>
      </c>
      <c r="D356" s="111" t="str">
        <f t="shared" ref="D356:E356" si="354">TRIM(B356)</f>
        <v>Arizona</v>
      </c>
      <c r="E356" s="111" t="str">
        <f t="shared" si="354"/>
        <v>Ash Fork</v>
      </c>
    </row>
    <row r="357" spans="1:5">
      <c r="A357" s="3" t="s">
        <v>2460</v>
      </c>
      <c r="B357" s="110" t="s">
        <v>1319</v>
      </c>
      <c r="C357" s="111" t="s">
        <v>2461</v>
      </c>
      <c r="D357" s="111" t="str">
        <f t="shared" ref="D357:E357" si="355">TRIM(B357)</f>
        <v>Arizona</v>
      </c>
      <c r="E357" s="111" t="str">
        <f t="shared" si="355"/>
        <v>Avondale</v>
      </c>
    </row>
    <row r="358" spans="1:5">
      <c r="A358" s="3" t="s">
        <v>2463</v>
      </c>
      <c r="B358" s="110" t="s">
        <v>1319</v>
      </c>
      <c r="C358" s="111" t="s">
        <v>2461</v>
      </c>
      <c r="D358" s="111" t="str">
        <f t="shared" ref="D358:E358" si="356">TRIM(B358)</f>
        <v>Arizona</v>
      </c>
      <c r="E358" s="111" t="str">
        <f t="shared" si="356"/>
        <v>Avondale</v>
      </c>
    </row>
    <row r="359" spans="1:5">
      <c r="A359" s="3" t="s">
        <v>2465</v>
      </c>
      <c r="B359" s="110" t="s">
        <v>1319</v>
      </c>
      <c r="C359" s="111" t="s">
        <v>2461</v>
      </c>
      <c r="D359" s="111" t="str">
        <f t="shared" ref="D359:E359" si="357">TRIM(B359)</f>
        <v>Arizona</v>
      </c>
      <c r="E359" s="111" t="str">
        <f t="shared" si="357"/>
        <v>Avondale</v>
      </c>
    </row>
    <row r="360" spans="1:5">
      <c r="A360" s="3" t="s">
        <v>2466</v>
      </c>
      <c r="B360" s="110" t="s">
        <v>1319</v>
      </c>
      <c r="C360" s="111" t="s">
        <v>2461</v>
      </c>
      <c r="D360" s="111" t="str">
        <f t="shared" ref="D360:E360" si="358">TRIM(B360)</f>
        <v>Arizona</v>
      </c>
      <c r="E360" s="111" t="str">
        <f t="shared" si="358"/>
        <v>Avondale</v>
      </c>
    </row>
    <row r="361" spans="1:5">
      <c r="A361" s="3" t="s">
        <v>2468</v>
      </c>
      <c r="B361" s="110" t="s">
        <v>1319</v>
      </c>
      <c r="C361" s="111" t="s">
        <v>2470</v>
      </c>
      <c r="D361" s="111" t="str">
        <f t="shared" ref="D361:E361" si="359">TRIM(B361)</f>
        <v>Arizona</v>
      </c>
      <c r="E361" s="111" t="str">
        <f t="shared" si="359"/>
        <v>Bagdad</v>
      </c>
    </row>
    <row r="362" spans="1:5">
      <c r="A362" s="3" t="s">
        <v>2471</v>
      </c>
      <c r="B362" s="110" t="s">
        <v>1319</v>
      </c>
      <c r="C362" s="111" t="s">
        <v>2472</v>
      </c>
      <c r="D362" s="111" t="str">
        <f t="shared" ref="D362:E362" si="360">TRIM(B362)</f>
        <v>Arizona</v>
      </c>
      <c r="E362" s="111" t="str">
        <f t="shared" si="360"/>
        <v>Benson</v>
      </c>
    </row>
    <row r="363" spans="1:5">
      <c r="A363" s="3" t="s">
        <v>2476</v>
      </c>
      <c r="B363" s="110" t="s">
        <v>1319</v>
      </c>
      <c r="C363" s="111" t="s">
        <v>2472</v>
      </c>
      <c r="D363" s="111" t="str">
        <f t="shared" ref="D363:E363" si="361">TRIM(B363)</f>
        <v>Arizona</v>
      </c>
      <c r="E363" s="111" t="str">
        <f t="shared" si="361"/>
        <v>Benson</v>
      </c>
    </row>
    <row r="364" spans="1:5">
      <c r="A364" s="3" t="s">
        <v>2479</v>
      </c>
      <c r="B364" s="110" t="s">
        <v>1319</v>
      </c>
      <c r="C364" s="111" t="s">
        <v>2472</v>
      </c>
      <c r="D364" s="111" t="str">
        <f t="shared" ref="D364:E364" si="362">TRIM(B364)</f>
        <v>Arizona</v>
      </c>
      <c r="E364" s="111" t="str">
        <f t="shared" si="362"/>
        <v>Benson</v>
      </c>
    </row>
    <row r="365" spans="1:5">
      <c r="A365" s="3" t="s">
        <v>2481</v>
      </c>
      <c r="B365" s="110" t="s">
        <v>1319</v>
      </c>
      <c r="C365" s="111" t="s">
        <v>2482</v>
      </c>
      <c r="D365" s="111" t="str">
        <f t="shared" ref="D365:E365" si="363">TRIM(B365)</f>
        <v>Arizona</v>
      </c>
      <c r="E365" s="111" t="str">
        <f t="shared" si="363"/>
        <v>Bisbee</v>
      </c>
    </row>
    <row r="366" spans="1:5">
      <c r="A366" s="3" t="s">
        <v>2485</v>
      </c>
      <c r="B366" s="110" t="s">
        <v>1319</v>
      </c>
      <c r="C366" s="111" t="s">
        <v>2487</v>
      </c>
      <c r="D366" s="111" t="str">
        <f t="shared" ref="D366:E366" si="364">TRIM(B366)</f>
        <v>Arizona</v>
      </c>
      <c r="E366" s="111" t="str">
        <f t="shared" si="364"/>
        <v>Bowie</v>
      </c>
    </row>
    <row r="367" spans="1:5">
      <c r="A367" s="3" t="s">
        <v>2488</v>
      </c>
      <c r="B367" s="110" t="s">
        <v>1319</v>
      </c>
      <c r="C367" s="111" t="s">
        <v>2489</v>
      </c>
      <c r="D367" s="111" t="str">
        <f t="shared" ref="D367:E367" si="365">TRIM(B367)</f>
        <v>Arizona</v>
      </c>
      <c r="E367" s="111" t="str">
        <f t="shared" si="365"/>
        <v>Buckeye</v>
      </c>
    </row>
    <row r="368" spans="1:5">
      <c r="A368" s="3" t="s">
        <v>2493</v>
      </c>
      <c r="B368" s="110" t="s">
        <v>1319</v>
      </c>
      <c r="C368" s="111" t="s">
        <v>2489</v>
      </c>
      <c r="D368" s="111" t="str">
        <f t="shared" ref="D368:E368" si="366">TRIM(B368)</f>
        <v>Arizona</v>
      </c>
      <c r="E368" s="111" t="str">
        <f t="shared" si="366"/>
        <v>Buckeye</v>
      </c>
    </row>
    <row r="369" spans="1:5">
      <c r="A369" s="110" t="s">
        <v>2494</v>
      </c>
      <c r="B369" s="110" t="s">
        <v>1319</v>
      </c>
      <c r="C369" s="111" t="s">
        <v>2489</v>
      </c>
      <c r="D369" s="111" t="str">
        <f t="shared" ref="D369:E369" si="367">TRIM(B369)</f>
        <v>Arizona</v>
      </c>
      <c r="E369" s="111" t="str">
        <f t="shared" si="367"/>
        <v>Buckeye</v>
      </c>
    </row>
    <row r="370" spans="1:5">
      <c r="A370" s="3" t="s">
        <v>2497</v>
      </c>
      <c r="B370" s="110" t="s">
        <v>1319</v>
      </c>
      <c r="C370" s="111" t="s">
        <v>2489</v>
      </c>
      <c r="D370" s="111" t="str">
        <f t="shared" ref="D370:E370" si="368">TRIM(B370)</f>
        <v>Arizona</v>
      </c>
      <c r="E370" s="111" t="str">
        <f t="shared" si="368"/>
        <v>Buckeye</v>
      </c>
    </row>
    <row r="371" spans="1:5">
      <c r="A371" s="3" t="s">
        <v>2502</v>
      </c>
      <c r="B371" s="110" t="s">
        <v>1319</v>
      </c>
      <c r="C371" s="111" t="s">
        <v>2489</v>
      </c>
      <c r="D371" s="111" t="str">
        <f t="shared" ref="D371:E371" si="369">TRIM(B371)</f>
        <v>Arizona</v>
      </c>
      <c r="E371" s="111" t="str">
        <f t="shared" si="369"/>
        <v>Buckeye</v>
      </c>
    </row>
    <row r="372" spans="1:5">
      <c r="A372" s="3" t="s">
        <v>2504</v>
      </c>
      <c r="B372" s="110" t="s">
        <v>1319</v>
      </c>
      <c r="C372" s="111" t="s">
        <v>2489</v>
      </c>
      <c r="D372" s="111" t="str">
        <f t="shared" ref="D372:E372" si="370">TRIM(B372)</f>
        <v>Arizona</v>
      </c>
      <c r="E372" s="111" t="str">
        <f t="shared" si="370"/>
        <v>Buckeye</v>
      </c>
    </row>
    <row r="373" spans="1:5">
      <c r="A373" s="3" t="s">
        <v>2507</v>
      </c>
      <c r="B373" s="110" t="s">
        <v>1319</v>
      </c>
      <c r="C373" s="111" t="s">
        <v>2508</v>
      </c>
      <c r="D373" s="111" t="str">
        <f t="shared" ref="D373:E373" si="371">TRIM(B373)</f>
        <v>Arizona</v>
      </c>
      <c r="E373" s="111" t="str">
        <f t="shared" si="371"/>
        <v>Bullhead City</v>
      </c>
    </row>
    <row r="374" spans="1:5">
      <c r="A374" s="110" t="s">
        <v>2511</v>
      </c>
      <c r="B374" s="110" t="s">
        <v>1319</v>
      </c>
      <c r="C374" s="111" t="s">
        <v>2508</v>
      </c>
      <c r="D374" s="111" t="str">
        <f t="shared" ref="D374:E374" si="372">TRIM(B374)</f>
        <v>Arizona</v>
      </c>
      <c r="E374" s="111" t="str">
        <f t="shared" si="372"/>
        <v>Bullhead City</v>
      </c>
    </row>
    <row r="375" spans="1:5">
      <c r="A375" s="3" t="s">
        <v>2513</v>
      </c>
      <c r="B375" s="110" t="s">
        <v>1319</v>
      </c>
      <c r="C375" s="111" t="s">
        <v>2508</v>
      </c>
      <c r="D375" s="111" t="str">
        <f t="shared" ref="D375:E375" si="373">TRIM(B375)</f>
        <v>Arizona</v>
      </c>
      <c r="E375" s="111" t="str">
        <f t="shared" si="373"/>
        <v>Bullhead City</v>
      </c>
    </row>
    <row r="376" spans="1:5">
      <c r="A376" s="3" t="s">
        <v>2517</v>
      </c>
      <c r="B376" s="110" t="s">
        <v>1319</v>
      </c>
      <c r="C376" s="111" t="s">
        <v>2518</v>
      </c>
      <c r="D376" s="111" t="str">
        <f t="shared" ref="D376:E376" si="374">TRIM(B376)</f>
        <v>Arizona</v>
      </c>
      <c r="E376" s="111" t="str">
        <f t="shared" si="374"/>
        <v>Camp Verde</v>
      </c>
    </row>
    <row r="377" spans="1:5">
      <c r="A377" s="110" t="s">
        <v>2520</v>
      </c>
      <c r="B377" s="110" t="s">
        <v>1319</v>
      </c>
      <c r="C377" s="111" t="s">
        <v>2518</v>
      </c>
      <c r="D377" s="111" t="str">
        <f t="shared" ref="D377:E377" si="375">TRIM(B377)</f>
        <v>Arizona</v>
      </c>
      <c r="E377" s="111" t="str">
        <f t="shared" si="375"/>
        <v>Camp Verde</v>
      </c>
    </row>
    <row r="378" spans="1:5">
      <c r="A378" s="3" t="s">
        <v>2523</v>
      </c>
      <c r="B378" s="110" t="s">
        <v>1319</v>
      </c>
      <c r="C378" s="111" t="s">
        <v>2524</v>
      </c>
      <c r="D378" s="111" t="str">
        <f t="shared" ref="D378:E378" si="376">TRIM(B378)</f>
        <v>Arizona</v>
      </c>
      <c r="E378" s="111" t="str">
        <f t="shared" si="376"/>
        <v>Casa Grande</v>
      </c>
    </row>
    <row r="379" spans="1:5">
      <c r="A379" s="3" t="s">
        <v>2525</v>
      </c>
      <c r="B379" s="110" t="s">
        <v>1319</v>
      </c>
      <c r="C379" s="111" t="s">
        <v>2524</v>
      </c>
      <c r="D379" s="111" t="str">
        <f t="shared" ref="D379:E379" si="377">TRIM(B379)</f>
        <v>Arizona</v>
      </c>
      <c r="E379" s="111" t="str">
        <f t="shared" si="377"/>
        <v>Casa Grande</v>
      </c>
    </row>
    <row r="380" spans="1:5">
      <c r="A380" s="110" t="s">
        <v>2529</v>
      </c>
      <c r="B380" s="110" t="s">
        <v>1319</v>
      </c>
      <c r="C380" s="111" t="s">
        <v>2524</v>
      </c>
      <c r="D380" s="111" t="str">
        <f t="shared" ref="D380:E380" si="378">TRIM(B380)</f>
        <v>Arizona</v>
      </c>
      <c r="E380" s="111" t="str">
        <f t="shared" si="378"/>
        <v>Casa Grande</v>
      </c>
    </row>
    <row r="381" spans="1:5">
      <c r="A381" s="3" t="s">
        <v>2530</v>
      </c>
      <c r="B381" s="110" t="s">
        <v>1319</v>
      </c>
      <c r="C381" s="112" t="s">
        <v>2524</v>
      </c>
      <c r="D381" s="111" t="str">
        <f t="shared" ref="D381:E381" si="379">TRIM(B381)</f>
        <v>Arizona</v>
      </c>
      <c r="E381" s="111" t="str">
        <f t="shared" si="379"/>
        <v>Casa Grande</v>
      </c>
    </row>
    <row r="382" spans="1:5">
      <c r="A382" s="3" t="s">
        <v>2533</v>
      </c>
      <c r="B382" s="110" t="s">
        <v>1319</v>
      </c>
      <c r="C382" s="111" t="s">
        <v>2534</v>
      </c>
      <c r="D382" s="111" t="str">
        <f t="shared" ref="D382:E382" si="380">TRIM(B382)</f>
        <v>Arizona</v>
      </c>
      <c r="E382" s="111" t="str">
        <f t="shared" si="380"/>
        <v>Cave Creek</v>
      </c>
    </row>
    <row r="383" spans="1:5">
      <c r="A383" s="3" t="s">
        <v>2536</v>
      </c>
      <c r="B383" s="110" t="s">
        <v>1319</v>
      </c>
      <c r="C383" s="112" t="s">
        <v>2537</v>
      </c>
      <c r="D383" s="111" t="str">
        <f t="shared" ref="D383:E383" si="381">TRIM(B383)</f>
        <v>Arizona</v>
      </c>
      <c r="E383" s="111" t="str">
        <f t="shared" si="381"/>
        <v>Cave Creek Az</v>
      </c>
    </row>
    <row r="384" spans="1:5">
      <c r="A384" s="110" t="s">
        <v>2538</v>
      </c>
      <c r="B384" s="110" t="s">
        <v>1319</v>
      </c>
      <c r="C384" s="111" t="s">
        <v>2540</v>
      </c>
      <c r="D384" s="111" t="str">
        <f t="shared" ref="D384:E384" si="382">TRIM(B384)</f>
        <v>Arizona</v>
      </c>
      <c r="E384" s="111" t="str">
        <f t="shared" si="382"/>
        <v>Chandler</v>
      </c>
    </row>
    <row r="385" spans="1:5">
      <c r="A385" s="110" t="s">
        <v>2542</v>
      </c>
      <c r="B385" s="110" t="s">
        <v>1319</v>
      </c>
      <c r="C385" s="111" t="s">
        <v>2540</v>
      </c>
      <c r="D385" s="111" t="str">
        <f t="shared" ref="D385:E385" si="383">TRIM(B385)</f>
        <v>Arizona</v>
      </c>
      <c r="E385" s="111" t="str">
        <f t="shared" si="383"/>
        <v>Chandler</v>
      </c>
    </row>
    <row r="386" spans="1:5">
      <c r="A386" s="3" t="s">
        <v>2543</v>
      </c>
      <c r="B386" s="110" t="s">
        <v>1319</v>
      </c>
      <c r="C386" s="111" t="s">
        <v>2540</v>
      </c>
      <c r="D386" s="111" t="str">
        <f t="shared" ref="D386:E386" si="384">TRIM(B386)</f>
        <v>Arizona</v>
      </c>
      <c r="E386" s="111" t="str">
        <f t="shared" si="384"/>
        <v>Chandler</v>
      </c>
    </row>
    <row r="387" spans="1:5">
      <c r="A387" s="110" t="s">
        <v>2545</v>
      </c>
      <c r="B387" s="110" t="s">
        <v>1319</v>
      </c>
      <c r="C387" s="111" t="s">
        <v>2540</v>
      </c>
      <c r="D387" s="111" t="str">
        <f t="shared" ref="D387:E387" si="385">TRIM(B387)</f>
        <v>Arizona</v>
      </c>
      <c r="E387" s="111" t="str">
        <f t="shared" si="385"/>
        <v>Chandler</v>
      </c>
    </row>
    <row r="388" spans="1:5">
      <c r="A388" s="3" t="s">
        <v>2547</v>
      </c>
      <c r="B388" s="110" t="s">
        <v>1319</v>
      </c>
      <c r="C388" s="111" t="s">
        <v>2540</v>
      </c>
      <c r="D388" s="111" t="str">
        <f t="shared" ref="D388:E388" si="386">TRIM(B388)</f>
        <v>Arizona</v>
      </c>
      <c r="E388" s="111" t="str">
        <f t="shared" si="386"/>
        <v>Chandler</v>
      </c>
    </row>
    <row r="389" spans="1:5">
      <c r="A389" s="3" t="s">
        <v>2548</v>
      </c>
      <c r="B389" s="110" t="s">
        <v>1319</v>
      </c>
      <c r="C389" s="111" t="s">
        <v>2540</v>
      </c>
      <c r="D389" s="111" t="str">
        <f t="shared" ref="D389:E389" si="387">TRIM(B389)</f>
        <v>Arizona</v>
      </c>
      <c r="E389" s="111" t="str">
        <f t="shared" si="387"/>
        <v>Chandler</v>
      </c>
    </row>
    <row r="390" spans="1:5">
      <c r="A390" s="3" t="s">
        <v>2551</v>
      </c>
      <c r="B390" s="110" t="s">
        <v>1319</v>
      </c>
      <c r="C390" s="111" t="s">
        <v>2540</v>
      </c>
      <c r="D390" s="111" t="str">
        <f t="shared" ref="D390:E390" si="388">TRIM(B390)</f>
        <v>Arizona</v>
      </c>
      <c r="E390" s="111" t="str">
        <f t="shared" si="388"/>
        <v>Chandler</v>
      </c>
    </row>
    <row r="391" spans="1:5">
      <c r="A391" s="3" t="s">
        <v>1827</v>
      </c>
      <c r="B391" s="110" t="s">
        <v>1319</v>
      </c>
      <c r="C391" s="111" t="s">
        <v>2540</v>
      </c>
      <c r="D391" s="111" t="str">
        <f t="shared" ref="D391:E391" si="389">TRIM(B391)</f>
        <v>Arizona</v>
      </c>
      <c r="E391" s="111" t="str">
        <f t="shared" si="389"/>
        <v>Chandler</v>
      </c>
    </row>
    <row r="392" spans="1:5">
      <c r="A392" s="110" t="s">
        <v>2554</v>
      </c>
      <c r="B392" s="110" t="s">
        <v>1319</v>
      </c>
      <c r="C392" s="111" t="s">
        <v>2540</v>
      </c>
      <c r="D392" s="111" t="str">
        <f t="shared" ref="D392:E392" si="390">TRIM(B392)</f>
        <v>Arizona</v>
      </c>
      <c r="E392" s="111" t="str">
        <f t="shared" si="390"/>
        <v>Chandler</v>
      </c>
    </row>
    <row r="393" spans="1:5">
      <c r="A393" s="3" t="s">
        <v>2557</v>
      </c>
      <c r="B393" s="110" t="s">
        <v>1319</v>
      </c>
      <c r="C393" s="111" t="s">
        <v>2540</v>
      </c>
      <c r="D393" s="111" t="str">
        <f t="shared" ref="D393:E393" si="391">TRIM(B393)</f>
        <v>Arizona</v>
      </c>
      <c r="E393" s="111" t="str">
        <f t="shared" si="391"/>
        <v>Chandler</v>
      </c>
    </row>
    <row r="394" spans="1:5">
      <c r="A394" s="110" t="s">
        <v>2560</v>
      </c>
      <c r="B394" s="110" t="s">
        <v>1319</v>
      </c>
      <c r="C394" s="111" t="s">
        <v>2540</v>
      </c>
      <c r="D394" s="111" t="str">
        <f t="shared" ref="D394:E394" si="392">TRIM(B394)</f>
        <v>Arizona</v>
      </c>
      <c r="E394" s="111" t="str">
        <f t="shared" si="392"/>
        <v>Chandler</v>
      </c>
    </row>
    <row r="395" spans="1:5">
      <c r="A395" s="3" t="s">
        <v>2562</v>
      </c>
      <c r="B395" s="110" t="s">
        <v>1319</v>
      </c>
      <c r="C395" s="111" t="s">
        <v>2563</v>
      </c>
      <c r="D395" s="111" t="str">
        <f t="shared" ref="D395:E395" si="393">TRIM(B395)</f>
        <v>Arizona</v>
      </c>
      <c r="E395" s="111" t="str">
        <f t="shared" si="393"/>
        <v>Chinle</v>
      </c>
    </row>
    <row r="396" spans="1:5">
      <c r="A396" s="3" t="s">
        <v>2566</v>
      </c>
      <c r="B396" s="110" t="s">
        <v>1319</v>
      </c>
      <c r="C396" s="111" t="s">
        <v>2567</v>
      </c>
      <c r="D396" s="111" t="str">
        <f t="shared" ref="D396:E396" si="394">TRIM(B396)</f>
        <v>Arizona</v>
      </c>
      <c r="E396" s="111" t="str">
        <f t="shared" si="394"/>
        <v>Chino Valley</v>
      </c>
    </row>
    <row r="397" spans="1:5">
      <c r="A397" s="110" t="s">
        <v>2569</v>
      </c>
      <c r="B397" s="110" t="s">
        <v>1319</v>
      </c>
      <c r="C397" s="111" t="s">
        <v>2570</v>
      </c>
      <c r="D397" s="111" t="str">
        <f t="shared" ref="D397:E397" si="395">TRIM(B397)</f>
        <v>Arizona</v>
      </c>
      <c r="E397" s="111" t="str">
        <f t="shared" si="395"/>
        <v>Colorado City</v>
      </c>
    </row>
    <row r="398" spans="1:5">
      <c r="A398" s="110" t="s">
        <v>2573</v>
      </c>
      <c r="B398" s="110" t="s">
        <v>1319</v>
      </c>
      <c r="C398" s="111" t="s">
        <v>2575</v>
      </c>
      <c r="D398" s="111" t="str">
        <f t="shared" ref="D398:E398" si="396">TRIM(B398)</f>
        <v>Arizona</v>
      </c>
      <c r="E398" s="111" t="str">
        <f t="shared" si="396"/>
        <v>Coolidge</v>
      </c>
    </row>
    <row r="399" spans="1:5">
      <c r="A399" s="3" t="s">
        <v>2576</v>
      </c>
      <c r="B399" s="110" t="s">
        <v>1319</v>
      </c>
      <c r="C399" s="111" t="s">
        <v>2575</v>
      </c>
      <c r="D399" s="111" t="str">
        <f t="shared" ref="D399:E399" si="397">TRIM(B399)</f>
        <v>Arizona</v>
      </c>
      <c r="E399" s="111" t="str">
        <f t="shared" si="397"/>
        <v>Coolidge</v>
      </c>
    </row>
    <row r="400" spans="1:5">
      <c r="A400" s="110" t="s">
        <v>2579</v>
      </c>
      <c r="B400" s="110" t="s">
        <v>1319</v>
      </c>
      <c r="C400" s="111" t="s">
        <v>2575</v>
      </c>
      <c r="D400" s="111" t="str">
        <f t="shared" ref="D400:E400" si="398">TRIM(B400)</f>
        <v>Arizona</v>
      </c>
      <c r="E400" s="111" t="str">
        <f t="shared" si="398"/>
        <v>Coolidge</v>
      </c>
    </row>
    <row r="401" spans="1:5">
      <c r="A401" s="3" t="s">
        <v>2581</v>
      </c>
      <c r="B401" s="110" t="s">
        <v>1319</v>
      </c>
      <c r="C401" s="111" t="s">
        <v>2582</v>
      </c>
      <c r="D401" s="111" t="str">
        <f t="shared" ref="D401:E401" si="399">TRIM(B401)</f>
        <v>Arizona</v>
      </c>
      <c r="E401" s="111" t="str">
        <f t="shared" si="399"/>
        <v>Cottonwood</v>
      </c>
    </row>
    <row r="402" spans="1:5">
      <c r="A402" s="3" t="s">
        <v>2583</v>
      </c>
      <c r="B402" s="110" t="s">
        <v>1319</v>
      </c>
      <c r="C402" s="111" t="s">
        <v>2582</v>
      </c>
      <c r="D402" s="111" t="str">
        <f t="shared" ref="D402:E402" si="400">TRIM(B402)</f>
        <v>Arizona</v>
      </c>
      <c r="E402" s="111" t="str">
        <f t="shared" si="400"/>
        <v>Cottonwood</v>
      </c>
    </row>
    <row r="403" spans="1:5">
      <c r="A403" s="3" t="s">
        <v>2585</v>
      </c>
      <c r="B403" s="110" t="s">
        <v>1319</v>
      </c>
      <c r="C403" s="111" t="s">
        <v>1708</v>
      </c>
      <c r="D403" s="111" t="str">
        <f t="shared" ref="D403:E403" si="401">TRIM(B403)</f>
        <v>Arizona</v>
      </c>
      <c r="E403" s="111" t="str">
        <f t="shared" si="401"/>
        <v>Douglas</v>
      </c>
    </row>
    <row r="404" spans="1:5">
      <c r="A404" s="3" t="s">
        <v>1707</v>
      </c>
      <c r="B404" s="110" t="s">
        <v>1319</v>
      </c>
      <c r="C404" s="111" t="s">
        <v>1708</v>
      </c>
      <c r="D404" s="111" t="str">
        <f t="shared" ref="D404:E404" si="402">TRIM(B404)</f>
        <v>Arizona</v>
      </c>
      <c r="E404" s="111" t="str">
        <f t="shared" si="402"/>
        <v>Douglas</v>
      </c>
    </row>
    <row r="405" spans="1:5">
      <c r="A405" s="3" t="s">
        <v>2588</v>
      </c>
      <c r="B405" s="110" t="s">
        <v>1319</v>
      </c>
      <c r="C405" s="111" t="s">
        <v>2590</v>
      </c>
      <c r="D405" s="111" t="str">
        <f t="shared" ref="D405:E405" si="403">TRIM(B405)</f>
        <v>Arizona</v>
      </c>
      <c r="E405" s="111" t="str">
        <f t="shared" si="403"/>
        <v>Duncan</v>
      </c>
    </row>
    <row r="406" spans="1:5">
      <c r="A406" s="3" t="s">
        <v>2592</v>
      </c>
      <c r="B406" s="110" t="s">
        <v>1319</v>
      </c>
      <c r="C406" s="111" t="s">
        <v>2593</v>
      </c>
      <c r="D406" s="111" t="str">
        <f t="shared" ref="D406:E406" si="404">TRIM(B406)</f>
        <v>Arizona</v>
      </c>
      <c r="E406" s="111" t="str">
        <f t="shared" si="404"/>
        <v>El Mirage</v>
      </c>
    </row>
    <row r="407" spans="1:5">
      <c r="A407" s="3" t="s">
        <v>2594</v>
      </c>
      <c r="B407" s="110" t="s">
        <v>1319</v>
      </c>
      <c r="C407" s="111" t="s">
        <v>2595</v>
      </c>
      <c r="D407" s="111" t="str">
        <f t="shared" ref="D407:E407" si="405">TRIM(B407)</f>
        <v>Arizona</v>
      </c>
      <c r="E407" s="111" t="str">
        <f t="shared" si="405"/>
        <v>Elfrida</v>
      </c>
    </row>
    <row r="408" spans="1:5">
      <c r="A408" s="110" t="s">
        <v>2598</v>
      </c>
      <c r="B408" s="110" t="s">
        <v>1319</v>
      </c>
      <c r="C408" s="111" t="s">
        <v>2599</v>
      </c>
      <c r="D408" s="111" t="str">
        <f t="shared" ref="D408:E408" si="406">TRIM(B408)</f>
        <v>Arizona</v>
      </c>
      <c r="E408" s="111" t="str">
        <f t="shared" si="406"/>
        <v>Eloy</v>
      </c>
    </row>
    <row r="409" spans="1:5">
      <c r="A409" s="3" t="s">
        <v>2602</v>
      </c>
      <c r="B409" s="110" t="s">
        <v>1319</v>
      </c>
      <c r="C409" s="111" t="s">
        <v>2599</v>
      </c>
      <c r="D409" s="111" t="str">
        <f t="shared" ref="D409:E409" si="407">TRIM(B409)</f>
        <v>Arizona</v>
      </c>
      <c r="E409" s="111" t="str">
        <f t="shared" si="407"/>
        <v>Eloy</v>
      </c>
    </row>
    <row r="410" spans="1:5">
      <c r="A410" s="3" t="s">
        <v>2603</v>
      </c>
      <c r="B410" s="110" t="s">
        <v>1319</v>
      </c>
      <c r="C410" s="111" t="s">
        <v>2605</v>
      </c>
      <c r="D410" s="111" t="str">
        <f t="shared" ref="D410:E410" si="408">TRIM(B410)</f>
        <v>Arizona</v>
      </c>
      <c r="E410" s="111" t="str">
        <f t="shared" si="408"/>
        <v>Flagstaff</v>
      </c>
    </row>
    <row r="411" spans="1:5">
      <c r="A411" s="3" t="s">
        <v>2608</v>
      </c>
      <c r="B411" s="110" t="s">
        <v>1319</v>
      </c>
      <c r="C411" s="111" t="s">
        <v>2605</v>
      </c>
      <c r="D411" s="111" t="str">
        <f t="shared" ref="D411:E411" si="409">TRIM(B411)</f>
        <v>Arizona</v>
      </c>
      <c r="E411" s="111" t="str">
        <f t="shared" si="409"/>
        <v>Flagstaff</v>
      </c>
    </row>
    <row r="412" spans="1:5">
      <c r="A412" s="3" t="s">
        <v>2609</v>
      </c>
      <c r="B412" s="110" t="s">
        <v>1319</v>
      </c>
      <c r="C412" s="111" t="s">
        <v>2605</v>
      </c>
      <c r="D412" s="111" t="str">
        <f t="shared" ref="D412:E412" si="410">TRIM(B412)</f>
        <v>Arizona</v>
      </c>
      <c r="E412" s="111" t="str">
        <f t="shared" si="410"/>
        <v>Flagstaff</v>
      </c>
    </row>
    <row r="413" spans="1:5">
      <c r="A413" s="110" t="s">
        <v>2612</v>
      </c>
      <c r="B413" s="110" t="s">
        <v>1319</v>
      </c>
      <c r="C413" s="111" t="s">
        <v>2605</v>
      </c>
      <c r="D413" s="111" t="str">
        <f t="shared" ref="D413:E413" si="411">TRIM(B413)</f>
        <v>Arizona</v>
      </c>
      <c r="E413" s="111" t="str">
        <f t="shared" si="411"/>
        <v>Flagstaff</v>
      </c>
    </row>
    <row r="414" spans="1:5">
      <c r="A414" s="3" t="s">
        <v>2614</v>
      </c>
      <c r="B414" s="110" t="s">
        <v>1319</v>
      </c>
      <c r="C414" s="111" t="s">
        <v>2605</v>
      </c>
      <c r="D414" s="111" t="str">
        <f t="shared" ref="D414:E414" si="412">TRIM(B414)</f>
        <v>Arizona</v>
      </c>
      <c r="E414" s="111" t="str">
        <f t="shared" si="412"/>
        <v>Flagstaff</v>
      </c>
    </row>
    <row r="415" spans="1:5">
      <c r="A415" s="3" t="s">
        <v>2615</v>
      </c>
      <c r="B415" s="110" t="s">
        <v>1319</v>
      </c>
      <c r="C415" s="111" t="s">
        <v>2605</v>
      </c>
      <c r="D415" s="111" t="str">
        <f t="shared" ref="D415:E415" si="413">TRIM(B415)</f>
        <v>Arizona</v>
      </c>
      <c r="E415" s="111" t="str">
        <f t="shared" si="413"/>
        <v>Flagstaff</v>
      </c>
    </row>
    <row r="416" spans="1:5">
      <c r="A416" s="3" t="s">
        <v>2617</v>
      </c>
      <c r="B416" s="110" t="s">
        <v>1319</v>
      </c>
      <c r="C416" s="111" t="s">
        <v>2605</v>
      </c>
      <c r="D416" s="111" t="str">
        <f t="shared" ref="D416:E416" si="414">TRIM(B416)</f>
        <v>Arizona</v>
      </c>
      <c r="E416" s="111" t="str">
        <f t="shared" si="414"/>
        <v>Flagstaff</v>
      </c>
    </row>
    <row r="417" spans="1:5">
      <c r="A417" s="3" t="s">
        <v>1754</v>
      </c>
      <c r="B417" s="110" t="s">
        <v>1319</v>
      </c>
      <c r="C417" s="111" t="s">
        <v>1756</v>
      </c>
      <c r="D417" s="111" t="str">
        <f t="shared" ref="D417:E417" si="415">TRIM(B417)</f>
        <v>Arizona</v>
      </c>
      <c r="E417" s="111" t="str">
        <f t="shared" si="415"/>
        <v>Florence</v>
      </c>
    </row>
    <row r="418" spans="1:5">
      <c r="A418" s="3" t="s">
        <v>2622</v>
      </c>
      <c r="B418" s="110" t="s">
        <v>1319</v>
      </c>
      <c r="C418" s="111" t="s">
        <v>1756</v>
      </c>
      <c r="D418" s="111" t="str">
        <f t="shared" ref="D418:E418" si="416">TRIM(B418)</f>
        <v>Arizona</v>
      </c>
      <c r="E418" s="111" t="str">
        <f t="shared" si="416"/>
        <v>Florence</v>
      </c>
    </row>
    <row r="419" spans="1:5">
      <c r="A419" s="3" t="s">
        <v>2623</v>
      </c>
      <c r="B419" s="110" t="s">
        <v>1319</v>
      </c>
      <c r="C419" s="111" t="s">
        <v>2624</v>
      </c>
      <c r="D419" s="111" t="str">
        <f t="shared" ref="D419:E419" si="417">TRIM(B419)</f>
        <v>Arizona</v>
      </c>
      <c r="E419" s="111" t="str">
        <f t="shared" si="417"/>
        <v>Fort Defiance</v>
      </c>
    </row>
    <row r="420" spans="1:5">
      <c r="A420" s="3" t="s">
        <v>2625</v>
      </c>
      <c r="B420" s="110" t="s">
        <v>1319</v>
      </c>
      <c r="C420" s="111" t="s">
        <v>2626</v>
      </c>
      <c r="D420" s="111" t="str">
        <f t="shared" ref="D420:E420" si="418">TRIM(B420)</f>
        <v>Arizona</v>
      </c>
      <c r="E420" s="111" t="str">
        <f t="shared" si="418"/>
        <v>Fort Mohave</v>
      </c>
    </row>
    <row r="421" spans="1:5">
      <c r="A421" s="3" t="s">
        <v>2628</v>
      </c>
      <c r="B421" s="110" t="s">
        <v>1319</v>
      </c>
      <c r="C421" s="111" t="s">
        <v>2629</v>
      </c>
      <c r="D421" s="111" t="str">
        <f t="shared" ref="D421:E421" si="419">TRIM(B421)</f>
        <v>Arizona</v>
      </c>
      <c r="E421" s="111" t="str">
        <f t="shared" si="419"/>
        <v>Fort Thomas</v>
      </c>
    </row>
    <row r="422" spans="1:5">
      <c r="A422" s="3" t="s">
        <v>2631</v>
      </c>
      <c r="B422" s="110" t="s">
        <v>1319</v>
      </c>
      <c r="C422" s="111" t="s">
        <v>2633</v>
      </c>
      <c r="D422" s="111" t="str">
        <f t="shared" ref="D422:E422" si="420">TRIM(B422)</f>
        <v>Arizona</v>
      </c>
      <c r="E422" s="111" t="str">
        <f t="shared" si="420"/>
        <v>Fountain Hills</v>
      </c>
    </row>
    <row r="423" spans="1:5">
      <c r="A423" s="110" t="s">
        <v>2634</v>
      </c>
      <c r="B423" s="110" t="s">
        <v>1319</v>
      </c>
      <c r="C423" s="111" t="s">
        <v>2633</v>
      </c>
      <c r="D423" s="111" t="str">
        <f t="shared" ref="D423:E423" si="421">TRIM(B423)</f>
        <v>Arizona</v>
      </c>
      <c r="E423" s="111" t="str">
        <f t="shared" si="421"/>
        <v>Fountain Hills</v>
      </c>
    </row>
    <row r="424" spans="1:5">
      <c r="A424" s="3" t="s">
        <v>2635</v>
      </c>
      <c r="B424" s="110" t="s">
        <v>1319</v>
      </c>
      <c r="C424" s="111" t="s">
        <v>2636</v>
      </c>
      <c r="D424" s="111" t="str">
        <f t="shared" ref="D424:E424" si="422">TRIM(B424)</f>
        <v>Arizona</v>
      </c>
      <c r="E424" s="111" t="str">
        <f t="shared" si="422"/>
        <v>Fredonia</v>
      </c>
    </row>
    <row r="425" spans="1:5">
      <c r="A425" s="3" t="s">
        <v>2641</v>
      </c>
      <c r="B425" s="110" t="s">
        <v>1319</v>
      </c>
      <c r="C425" s="111" t="s">
        <v>2642</v>
      </c>
      <c r="D425" s="111" t="str">
        <f t="shared" ref="D425:E425" si="423">TRIM(B425)</f>
        <v>Arizona</v>
      </c>
      <c r="E425" s="111" t="str">
        <f t="shared" si="423"/>
        <v>Ganado</v>
      </c>
    </row>
    <row r="426" spans="1:5">
      <c r="A426" s="3" t="s">
        <v>2644</v>
      </c>
      <c r="B426" s="110" t="s">
        <v>1319</v>
      </c>
      <c r="C426" s="111" t="s">
        <v>2646</v>
      </c>
      <c r="D426" s="111" t="str">
        <f t="shared" ref="D426:E426" si="424">TRIM(B426)</f>
        <v>Arizona</v>
      </c>
      <c r="E426" s="111" t="str">
        <f t="shared" si="424"/>
        <v>Gila Bend</v>
      </c>
    </row>
    <row r="427" spans="1:5">
      <c r="A427" s="3" t="s">
        <v>2647</v>
      </c>
      <c r="B427" s="110" t="s">
        <v>1319</v>
      </c>
      <c r="C427" s="111" t="s">
        <v>2649</v>
      </c>
      <c r="D427" s="111" t="str">
        <f t="shared" ref="D427:E427" si="425">TRIM(B427)</f>
        <v>Arizona</v>
      </c>
      <c r="E427" s="111" t="str">
        <f t="shared" si="425"/>
        <v>Gilbert</v>
      </c>
    </row>
    <row r="428" spans="1:5">
      <c r="A428" s="3" t="s">
        <v>2652</v>
      </c>
      <c r="B428" s="110" t="s">
        <v>1319</v>
      </c>
      <c r="C428" s="111" t="s">
        <v>2649</v>
      </c>
      <c r="D428" s="111" t="str">
        <f t="shared" ref="D428:E428" si="426">TRIM(B428)</f>
        <v>Arizona</v>
      </c>
      <c r="E428" s="111" t="str">
        <f t="shared" si="426"/>
        <v>Gilbert</v>
      </c>
    </row>
    <row r="429" spans="1:5">
      <c r="A429" s="3" t="s">
        <v>2656</v>
      </c>
      <c r="B429" s="110" t="s">
        <v>1319</v>
      </c>
      <c r="C429" s="111" t="s">
        <v>2649</v>
      </c>
      <c r="D429" s="111" t="str">
        <f t="shared" ref="D429:E429" si="427">TRIM(B429)</f>
        <v>Arizona</v>
      </c>
      <c r="E429" s="111" t="str">
        <f t="shared" si="427"/>
        <v>Gilbert</v>
      </c>
    </row>
    <row r="430" spans="1:5">
      <c r="A430" s="3" t="s">
        <v>2659</v>
      </c>
      <c r="B430" s="110" t="s">
        <v>1319</v>
      </c>
      <c r="C430" s="111" t="s">
        <v>2649</v>
      </c>
      <c r="D430" s="111" t="str">
        <f t="shared" ref="D430:E430" si="428">TRIM(B430)</f>
        <v>Arizona</v>
      </c>
      <c r="E430" s="111" t="str">
        <f t="shared" si="428"/>
        <v>Gilbert</v>
      </c>
    </row>
    <row r="431" spans="1:5">
      <c r="A431" s="3" t="s">
        <v>2661</v>
      </c>
      <c r="B431" s="110" t="s">
        <v>1319</v>
      </c>
      <c r="C431" s="111" t="s">
        <v>2649</v>
      </c>
      <c r="D431" s="111" t="str">
        <f t="shared" ref="D431:E431" si="429">TRIM(B431)</f>
        <v>Arizona</v>
      </c>
      <c r="E431" s="111" t="str">
        <f t="shared" si="429"/>
        <v>Gilbert</v>
      </c>
    </row>
    <row r="432" spans="1:5">
      <c r="A432" s="3" t="s">
        <v>2665</v>
      </c>
      <c r="B432" s="110" t="s">
        <v>1319</v>
      </c>
      <c r="C432" s="111" t="s">
        <v>2649</v>
      </c>
      <c r="D432" s="111" t="str">
        <f t="shared" ref="D432:E432" si="430">TRIM(B432)</f>
        <v>Arizona</v>
      </c>
      <c r="E432" s="111" t="str">
        <f t="shared" si="430"/>
        <v>Gilbert</v>
      </c>
    </row>
    <row r="433" spans="1:5">
      <c r="A433" s="3" t="s">
        <v>2668</v>
      </c>
      <c r="B433" s="110" t="s">
        <v>1319</v>
      </c>
      <c r="C433" s="111" t="s">
        <v>2649</v>
      </c>
      <c r="D433" s="111" t="str">
        <f t="shared" ref="D433:E433" si="431">TRIM(B433)</f>
        <v>Arizona</v>
      </c>
      <c r="E433" s="111" t="str">
        <f t="shared" si="431"/>
        <v>Gilbert</v>
      </c>
    </row>
    <row r="434" spans="1:5">
      <c r="A434" s="3" t="s">
        <v>2670</v>
      </c>
      <c r="B434" s="110" t="s">
        <v>1319</v>
      </c>
      <c r="C434" s="111" t="s">
        <v>2649</v>
      </c>
      <c r="D434" s="111" t="str">
        <f t="shared" ref="D434:E434" si="432">TRIM(B434)</f>
        <v>Arizona</v>
      </c>
      <c r="E434" s="111" t="str">
        <f t="shared" si="432"/>
        <v>Gilbert</v>
      </c>
    </row>
    <row r="435" spans="1:5">
      <c r="A435" s="3" t="s">
        <v>2674</v>
      </c>
      <c r="B435" s="110" t="s">
        <v>1319</v>
      </c>
      <c r="C435" s="111" t="s">
        <v>2649</v>
      </c>
      <c r="D435" s="111" t="str">
        <f t="shared" ref="D435:E435" si="433">TRIM(B435)</f>
        <v>Arizona</v>
      </c>
      <c r="E435" s="111" t="str">
        <f t="shared" si="433"/>
        <v>Gilbert</v>
      </c>
    </row>
    <row r="436" spans="1:5">
      <c r="A436" s="110" t="s">
        <v>2677</v>
      </c>
      <c r="B436" s="110" t="s">
        <v>1319</v>
      </c>
      <c r="C436" s="111" t="s">
        <v>2649</v>
      </c>
      <c r="D436" s="111" t="str">
        <f t="shared" ref="D436:E436" si="434">TRIM(B436)</f>
        <v>Arizona</v>
      </c>
      <c r="E436" s="111" t="str">
        <f t="shared" si="434"/>
        <v>Gilbert</v>
      </c>
    </row>
    <row r="437" spans="1:5">
      <c r="A437" s="3" t="s">
        <v>2679</v>
      </c>
      <c r="B437" s="110" t="s">
        <v>1319</v>
      </c>
      <c r="C437" s="111" t="s">
        <v>2649</v>
      </c>
      <c r="D437" s="111" t="str">
        <f t="shared" ref="D437:E437" si="435">TRIM(B437)</f>
        <v>Arizona</v>
      </c>
      <c r="E437" s="111" t="str">
        <f t="shared" si="435"/>
        <v>Gilbert</v>
      </c>
    </row>
    <row r="438" spans="1:5">
      <c r="A438" s="3" t="s">
        <v>2683</v>
      </c>
      <c r="B438" s="110" t="s">
        <v>1319</v>
      </c>
      <c r="C438" s="111" t="s">
        <v>2649</v>
      </c>
      <c r="D438" s="111" t="str">
        <f t="shared" ref="D438:E438" si="436">TRIM(B438)</f>
        <v>Arizona</v>
      </c>
      <c r="E438" s="111" t="str">
        <f t="shared" si="436"/>
        <v>Gilbert</v>
      </c>
    </row>
    <row r="439" spans="1:5">
      <c r="A439" s="3" t="s">
        <v>2686</v>
      </c>
      <c r="B439" s="110" t="s">
        <v>1319</v>
      </c>
      <c r="C439" s="111" t="s">
        <v>2649</v>
      </c>
      <c r="D439" s="111" t="str">
        <f t="shared" ref="D439:E439" si="437">TRIM(B439)</f>
        <v>Arizona</v>
      </c>
      <c r="E439" s="111" t="str">
        <f t="shared" si="437"/>
        <v>Gilbert</v>
      </c>
    </row>
    <row r="440" spans="1:5">
      <c r="A440" s="3" t="s">
        <v>2688</v>
      </c>
      <c r="B440" s="110" t="s">
        <v>1319</v>
      </c>
      <c r="C440" s="111" t="s">
        <v>225</v>
      </c>
      <c r="D440" s="111" t="str">
        <f t="shared" ref="D440:E440" si="438">TRIM(B440)</f>
        <v>Arizona</v>
      </c>
      <c r="E440" s="111" t="str">
        <f t="shared" si="438"/>
        <v>Glendale</v>
      </c>
    </row>
    <row r="441" spans="1:5">
      <c r="A441" s="3" t="s">
        <v>2693</v>
      </c>
      <c r="B441" s="110" t="s">
        <v>1319</v>
      </c>
      <c r="C441" s="111" t="s">
        <v>225</v>
      </c>
      <c r="D441" s="111" t="str">
        <f t="shared" ref="D441:E441" si="439">TRIM(B441)</f>
        <v>Arizona</v>
      </c>
      <c r="E441" s="111" t="str">
        <f t="shared" si="439"/>
        <v>Glendale</v>
      </c>
    </row>
    <row r="442" spans="1:5">
      <c r="A442" s="3" t="s">
        <v>2696</v>
      </c>
      <c r="B442" s="110" t="s">
        <v>1319</v>
      </c>
      <c r="C442" s="111" t="s">
        <v>225</v>
      </c>
      <c r="D442" s="111" t="str">
        <f t="shared" ref="D442:E442" si="440">TRIM(B442)</f>
        <v>Arizona</v>
      </c>
      <c r="E442" s="111" t="str">
        <f t="shared" si="440"/>
        <v>Glendale</v>
      </c>
    </row>
    <row r="443" spans="1:5">
      <c r="A443" s="3" t="s">
        <v>2698</v>
      </c>
      <c r="B443" s="110" t="s">
        <v>1319</v>
      </c>
      <c r="C443" s="111" t="s">
        <v>225</v>
      </c>
      <c r="D443" s="111" t="str">
        <f t="shared" ref="D443:E443" si="441">TRIM(B443)</f>
        <v>Arizona</v>
      </c>
      <c r="E443" s="111" t="str">
        <f t="shared" si="441"/>
        <v>Glendale</v>
      </c>
    </row>
    <row r="444" spans="1:5">
      <c r="A444" s="3" t="s">
        <v>2701</v>
      </c>
      <c r="B444" s="110" t="s">
        <v>1319</v>
      </c>
      <c r="C444" s="111" t="s">
        <v>225</v>
      </c>
      <c r="D444" s="111" t="str">
        <f t="shared" ref="D444:E444" si="442">TRIM(B444)</f>
        <v>Arizona</v>
      </c>
      <c r="E444" s="111" t="str">
        <f t="shared" si="442"/>
        <v>Glendale</v>
      </c>
    </row>
    <row r="445" spans="1:5">
      <c r="A445" s="110" t="s">
        <v>2703</v>
      </c>
      <c r="B445" s="110" t="s">
        <v>1319</v>
      </c>
      <c r="C445" s="111" t="s">
        <v>225</v>
      </c>
      <c r="D445" s="111" t="str">
        <f t="shared" ref="D445:E445" si="443">TRIM(B445)</f>
        <v>Arizona</v>
      </c>
      <c r="E445" s="111" t="str">
        <f t="shared" si="443"/>
        <v>Glendale</v>
      </c>
    </row>
    <row r="446" spans="1:5">
      <c r="A446" s="110" t="s">
        <v>2706</v>
      </c>
      <c r="B446" s="110" t="s">
        <v>1319</v>
      </c>
      <c r="C446" s="111" t="s">
        <v>225</v>
      </c>
      <c r="D446" s="111" t="str">
        <f t="shared" ref="D446:E446" si="444">TRIM(B446)</f>
        <v>Arizona</v>
      </c>
      <c r="E446" s="111" t="str">
        <f t="shared" si="444"/>
        <v>Glendale</v>
      </c>
    </row>
    <row r="447" spans="1:5">
      <c r="A447" s="110" t="s">
        <v>2709</v>
      </c>
      <c r="B447" s="110" t="s">
        <v>1319</v>
      </c>
      <c r="C447" s="111" t="s">
        <v>225</v>
      </c>
      <c r="D447" s="111" t="str">
        <f t="shared" ref="D447:E447" si="445">TRIM(B447)</f>
        <v>Arizona</v>
      </c>
      <c r="E447" s="111" t="str">
        <f t="shared" si="445"/>
        <v>Glendale</v>
      </c>
    </row>
    <row r="448" spans="1:5">
      <c r="A448" s="110" t="s">
        <v>2711</v>
      </c>
      <c r="B448" s="110" t="s">
        <v>1319</v>
      </c>
      <c r="C448" s="111" t="s">
        <v>225</v>
      </c>
      <c r="D448" s="111" t="str">
        <f t="shared" ref="D448:E448" si="446">TRIM(B448)</f>
        <v>Arizona</v>
      </c>
      <c r="E448" s="111" t="str">
        <f t="shared" si="446"/>
        <v>Glendale</v>
      </c>
    </row>
    <row r="449" spans="1:5">
      <c r="A449" s="110" t="s">
        <v>2715</v>
      </c>
      <c r="B449" s="110" t="s">
        <v>1319</v>
      </c>
      <c r="C449" s="111" t="s">
        <v>225</v>
      </c>
      <c r="D449" s="111" t="str">
        <f t="shared" ref="D449:E449" si="447">TRIM(B449)</f>
        <v>Arizona</v>
      </c>
      <c r="E449" s="111" t="str">
        <f t="shared" si="447"/>
        <v>Glendale</v>
      </c>
    </row>
    <row r="450" spans="1:5">
      <c r="A450" s="110" t="s">
        <v>2717</v>
      </c>
      <c r="B450" s="110" t="s">
        <v>1319</v>
      </c>
      <c r="C450" s="111" t="s">
        <v>225</v>
      </c>
      <c r="D450" s="111" t="str">
        <f t="shared" ref="D450:E450" si="448">TRIM(B450)</f>
        <v>Arizona</v>
      </c>
      <c r="E450" s="111" t="str">
        <f t="shared" si="448"/>
        <v>Glendale</v>
      </c>
    </row>
    <row r="451" spans="1:5">
      <c r="A451" s="110" t="s">
        <v>2719</v>
      </c>
      <c r="B451" s="110" t="s">
        <v>1319</v>
      </c>
      <c r="C451" s="111" t="s">
        <v>225</v>
      </c>
      <c r="D451" s="111" t="str">
        <f t="shared" ref="D451:E451" si="449">TRIM(B451)</f>
        <v>Arizona</v>
      </c>
      <c r="E451" s="111" t="str">
        <f t="shared" si="449"/>
        <v>Glendale</v>
      </c>
    </row>
    <row r="452" spans="1:5">
      <c r="A452" s="3" t="s">
        <v>2724</v>
      </c>
      <c r="B452" s="110" t="s">
        <v>1319</v>
      </c>
      <c r="C452" s="111" t="s">
        <v>225</v>
      </c>
      <c r="D452" s="111" t="str">
        <f t="shared" ref="D452:E452" si="450">TRIM(B452)</f>
        <v>Arizona</v>
      </c>
      <c r="E452" s="111" t="str">
        <f t="shared" si="450"/>
        <v>Glendale</v>
      </c>
    </row>
    <row r="453" spans="1:5">
      <c r="A453" s="110" t="s">
        <v>2726</v>
      </c>
      <c r="B453" s="110" t="s">
        <v>1319</v>
      </c>
      <c r="C453" s="111" t="s">
        <v>225</v>
      </c>
      <c r="D453" s="111" t="str">
        <f t="shared" ref="D453:E453" si="451">TRIM(B453)</f>
        <v>Arizona</v>
      </c>
      <c r="E453" s="111" t="str">
        <f t="shared" si="451"/>
        <v>Glendale</v>
      </c>
    </row>
    <row r="454" spans="1:5">
      <c r="A454" s="3" t="s">
        <v>2727</v>
      </c>
      <c r="B454" s="110" t="s">
        <v>1319</v>
      </c>
      <c r="C454" s="111" t="s">
        <v>225</v>
      </c>
      <c r="D454" s="111" t="str">
        <f t="shared" ref="D454:E454" si="452">TRIM(B454)</f>
        <v>Arizona</v>
      </c>
      <c r="E454" s="111" t="str">
        <f t="shared" si="452"/>
        <v>Glendale</v>
      </c>
    </row>
    <row r="455" spans="1:5">
      <c r="A455" s="3" t="s">
        <v>2729</v>
      </c>
      <c r="B455" s="110" t="s">
        <v>1319</v>
      </c>
      <c r="C455" s="111" t="s">
        <v>225</v>
      </c>
      <c r="D455" s="111" t="str">
        <f t="shared" ref="D455:E455" si="453">TRIM(B455)</f>
        <v>Arizona</v>
      </c>
      <c r="E455" s="111" t="str">
        <f t="shared" si="453"/>
        <v>Glendale</v>
      </c>
    </row>
    <row r="456" spans="1:5">
      <c r="A456" s="3" t="s">
        <v>2732</v>
      </c>
      <c r="B456" s="110" t="s">
        <v>1319</v>
      </c>
      <c r="C456" s="111" t="s">
        <v>225</v>
      </c>
      <c r="D456" s="111" t="str">
        <f t="shared" ref="D456:E456" si="454">TRIM(B456)</f>
        <v>Arizona</v>
      </c>
      <c r="E456" s="111" t="str">
        <f t="shared" si="454"/>
        <v>Glendale</v>
      </c>
    </row>
    <row r="457" spans="1:5">
      <c r="A457" s="3" t="s">
        <v>2734</v>
      </c>
      <c r="B457" s="110" t="s">
        <v>1319</v>
      </c>
      <c r="C457" s="111" t="s">
        <v>225</v>
      </c>
      <c r="D457" s="111" t="str">
        <f t="shared" ref="D457:E457" si="455">TRIM(B457)</f>
        <v>Arizona</v>
      </c>
      <c r="E457" s="111" t="str">
        <f t="shared" si="455"/>
        <v>Glendale</v>
      </c>
    </row>
    <row r="458" spans="1:5">
      <c r="A458" s="110" t="s">
        <v>2736</v>
      </c>
      <c r="B458" s="110" t="s">
        <v>1319</v>
      </c>
      <c r="C458" s="111" t="s">
        <v>225</v>
      </c>
      <c r="D458" s="111" t="str">
        <f t="shared" ref="D458:E458" si="456">TRIM(B458)</f>
        <v>Arizona</v>
      </c>
      <c r="E458" s="111" t="str">
        <f t="shared" si="456"/>
        <v>Glendale</v>
      </c>
    </row>
    <row r="459" spans="1:5">
      <c r="A459" s="110" t="s">
        <v>2738</v>
      </c>
      <c r="B459" s="110" t="s">
        <v>1319</v>
      </c>
      <c r="C459" s="111" t="s">
        <v>225</v>
      </c>
      <c r="D459" s="111" t="str">
        <f t="shared" ref="D459:E459" si="457">TRIM(B459)</f>
        <v>Arizona</v>
      </c>
      <c r="E459" s="111" t="str">
        <f t="shared" si="457"/>
        <v>Glendale</v>
      </c>
    </row>
    <row r="460" spans="1:5">
      <c r="A460" s="3" t="s">
        <v>2741</v>
      </c>
      <c r="B460" s="110" t="s">
        <v>1319</v>
      </c>
      <c r="C460" s="111" t="s">
        <v>225</v>
      </c>
      <c r="D460" s="111" t="str">
        <f t="shared" ref="D460:E460" si="458">TRIM(B460)</f>
        <v>Arizona</v>
      </c>
      <c r="E460" s="111" t="str">
        <f t="shared" si="458"/>
        <v>Glendale</v>
      </c>
    </row>
    <row r="461" spans="1:5">
      <c r="A461" s="3" t="s">
        <v>2743</v>
      </c>
      <c r="B461" s="110" t="s">
        <v>1319</v>
      </c>
      <c r="C461" s="111" t="s">
        <v>2744</v>
      </c>
      <c r="D461" s="111" t="str">
        <f t="shared" ref="D461:E461" si="459">TRIM(B461)</f>
        <v>Arizona</v>
      </c>
      <c r="E461" s="111" t="str">
        <f t="shared" si="459"/>
        <v>Globe</v>
      </c>
    </row>
    <row r="462" spans="1:5">
      <c r="A462" s="3" t="s">
        <v>2745</v>
      </c>
      <c r="B462" s="110" t="s">
        <v>1319</v>
      </c>
      <c r="C462" s="111" t="s">
        <v>2744</v>
      </c>
      <c r="D462" s="111" t="str">
        <f t="shared" ref="D462:E462" si="460">TRIM(B462)</f>
        <v>Arizona</v>
      </c>
      <c r="E462" s="111" t="str">
        <f t="shared" si="460"/>
        <v>Globe</v>
      </c>
    </row>
    <row r="463" spans="1:5">
      <c r="A463" s="3" t="s">
        <v>2749</v>
      </c>
      <c r="B463" s="110" t="s">
        <v>1319</v>
      </c>
      <c r="C463" s="111" t="s">
        <v>2750</v>
      </c>
      <c r="D463" s="111" t="str">
        <f t="shared" ref="D463:E463" si="461">TRIM(B463)</f>
        <v>Arizona</v>
      </c>
      <c r="E463" s="111" t="str">
        <f t="shared" si="461"/>
        <v>Goodyear</v>
      </c>
    </row>
    <row r="464" spans="1:5">
      <c r="A464" s="3" t="s">
        <v>2751</v>
      </c>
      <c r="B464" s="110" t="s">
        <v>1319</v>
      </c>
      <c r="C464" s="111" t="s">
        <v>2750</v>
      </c>
      <c r="D464" s="111" t="str">
        <f t="shared" ref="D464:E464" si="462">TRIM(B464)</f>
        <v>Arizona</v>
      </c>
      <c r="E464" s="111" t="str">
        <f t="shared" si="462"/>
        <v>Goodyear</v>
      </c>
    </row>
    <row r="465" spans="1:5">
      <c r="A465" s="3" t="s">
        <v>2753</v>
      </c>
      <c r="B465" s="110" t="s">
        <v>1319</v>
      </c>
      <c r="C465" s="111" t="s">
        <v>2750</v>
      </c>
      <c r="D465" s="111" t="str">
        <f t="shared" ref="D465:E465" si="463">TRIM(B465)</f>
        <v>Arizona</v>
      </c>
      <c r="E465" s="111" t="str">
        <f t="shared" si="463"/>
        <v>Goodyear</v>
      </c>
    </row>
    <row r="466" spans="1:5">
      <c r="A466" s="3" t="s">
        <v>2755</v>
      </c>
      <c r="B466" s="110" t="s">
        <v>1319</v>
      </c>
      <c r="C466" s="113" t="s">
        <v>2756</v>
      </c>
      <c r="D466" s="111" t="str">
        <f t="shared" ref="D466:E466" si="464">TRIM(B466)</f>
        <v>Arizona</v>
      </c>
      <c r="E466" s="111" t="str">
        <f t="shared" si="464"/>
        <v>Grand Canyon Village</v>
      </c>
    </row>
    <row r="467" spans="1:5">
      <c r="A467" s="3" t="s">
        <v>2759</v>
      </c>
      <c r="B467" s="110" t="s">
        <v>1319</v>
      </c>
      <c r="C467" s="111" t="s">
        <v>2760</v>
      </c>
      <c r="D467" s="111" t="str">
        <f t="shared" ref="D467:E467" si="465">TRIM(B467)</f>
        <v>Arizona</v>
      </c>
      <c r="E467" s="111" t="str">
        <f t="shared" si="465"/>
        <v>Heber</v>
      </c>
    </row>
    <row r="468" spans="1:5">
      <c r="A468" s="3" t="s">
        <v>2761</v>
      </c>
      <c r="B468" s="110" t="s">
        <v>1319</v>
      </c>
      <c r="C468" s="111" t="s">
        <v>2762</v>
      </c>
      <c r="D468" s="111" t="str">
        <f t="shared" ref="D468:E468" si="466">TRIM(B468)</f>
        <v>Arizona</v>
      </c>
      <c r="E468" s="111" t="str">
        <f t="shared" si="466"/>
        <v>Holbrook</v>
      </c>
    </row>
    <row r="469" spans="1:5">
      <c r="A469" s="3" t="s">
        <v>2765</v>
      </c>
      <c r="B469" s="110" t="s">
        <v>1319</v>
      </c>
      <c r="C469" s="111" t="s">
        <v>2767</v>
      </c>
      <c r="D469" s="111" t="str">
        <f t="shared" ref="D469:E469" si="467">TRIM(B469)</f>
        <v>Arizona</v>
      </c>
      <c r="E469" s="111" t="str">
        <f t="shared" si="467"/>
        <v>Joseph City</v>
      </c>
    </row>
    <row r="470" spans="1:5">
      <c r="A470" s="3" t="s">
        <v>2768</v>
      </c>
      <c r="B470" s="110" t="s">
        <v>1319</v>
      </c>
      <c r="C470" s="111" t="s">
        <v>2769</v>
      </c>
      <c r="D470" s="111" t="str">
        <f t="shared" ref="D470:E470" si="468">TRIM(B470)</f>
        <v>Arizona</v>
      </c>
      <c r="E470" s="111" t="str">
        <f t="shared" si="468"/>
        <v>Kayenta</v>
      </c>
    </row>
    <row r="471" spans="1:5">
      <c r="A471" s="3" t="s">
        <v>2771</v>
      </c>
      <c r="B471" s="110" t="s">
        <v>1319</v>
      </c>
      <c r="C471" s="111" t="s">
        <v>2773</v>
      </c>
      <c r="D471" s="111" t="str">
        <f t="shared" ref="D471:E471" si="469">TRIM(B471)</f>
        <v>Arizona</v>
      </c>
      <c r="E471" s="111" t="str">
        <f t="shared" si="469"/>
        <v>Keams Canyon</v>
      </c>
    </row>
    <row r="472" spans="1:5">
      <c r="A472" s="3" t="s">
        <v>2775</v>
      </c>
      <c r="B472" s="110" t="s">
        <v>1319</v>
      </c>
      <c r="C472" s="111" t="s">
        <v>2776</v>
      </c>
      <c r="D472" s="111" t="str">
        <f t="shared" ref="D472:E472" si="470">TRIM(B472)</f>
        <v>Arizona</v>
      </c>
      <c r="E472" s="111" t="str">
        <f t="shared" si="470"/>
        <v>Kearny</v>
      </c>
    </row>
    <row r="473" spans="1:5">
      <c r="A473" s="3" t="s">
        <v>2777</v>
      </c>
      <c r="B473" s="110" t="s">
        <v>1319</v>
      </c>
      <c r="C473" s="111" t="s">
        <v>2778</v>
      </c>
      <c r="D473" s="111" t="str">
        <f t="shared" ref="D473:E473" si="471">TRIM(B473)</f>
        <v>Arizona</v>
      </c>
      <c r="E473" s="111" t="str">
        <f t="shared" si="471"/>
        <v>Kingman</v>
      </c>
    </row>
    <row r="474" spans="1:5">
      <c r="A474" s="3" t="s">
        <v>2780</v>
      </c>
      <c r="B474" s="110" t="s">
        <v>1319</v>
      </c>
      <c r="C474" s="111" t="s">
        <v>2778</v>
      </c>
      <c r="D474" s="111" t="str">
        <f t="shared" ref="D474:E474" si="472">TRIM(B474)</f>
        <v>Arizona</v>
      </c>
      <c r="E474" s="111" t="str">
        <f t="shared" si="472"/>
        <v>Kingman</v>
      </c>
    </row>
    <row r="475" spans="1:5">
      <c r="A475" s="3" t="s">
        <v>2782</v>
      </c>
      <c r="B475" s="110" t="s">
        <v>1319</v>
      </c>
      <c r="C475" s="111" t="s">
        <v>2778</v>
      </c>
      <c r="D475" s="111" t="str">
        <f t="shared" ref="D475:E475" si="473">TRIM(B475)</f>
        <v>Arizona</v>
      </c>
      <c r="E475" s="111" t="str">
        <f t="shared" si="473"/>
        <v>Kingman</v>
      </c>
    </row>
    <row r="476" spans="1:5">
      <c r="A476" s="110" t="s">
        <v>2784</v>
      </c>
      <c r="B476" s="110" t="s">
        <v>1319</v>
      </c>
      <c r="C476" s="113" t="s">
        <v>2786</v>
      </c>
      <c r="D476" s="111" t="str">
        <f t="shared" ref="D476:E476" si="474">TRIM(B476)</f>
        <v>Arizona</v>
      </c>
      <c r="E476" s="111" t="str">
        <f t="shared" si="474"/>
        <v>Lake Havasu City</v>
      </c>
    </row>
    <row r="477" spans="1:5">
      <c r="A477" s="3" t="s">
        <v>2788</v>
      </c>
      <c r="B477" s="110" t="s">
        <v>1319</v>
      </c>
      <c r="C477" s="114" t="s">
        <v>2786</v>
      </c>
      <c r="D477" s="111" t="str">
        <f t="shared" ref="D477:E477" si="475">TRIM(B477)</f>
        <v>Arizona</v>
      </c>
      <c r="E477" s="111" t="str">
        <f t="shared" si="475"/>
        <v>Lake Havasu City</v>
      </c>
    </row>
    <row r="478" spans="1:5">
      <c r="A478" s="3" t="s">
        <v>2792</v>
      </c>
      <c r="B478" s="110" t="s">
        <v>1319</v>
      </c>
      <c r="C478" s="113" t="s">
        <v>2786</v>
      </c>
      <c r="D478" s="111" t="str">
        <f t="shared" ref="D478:E478" si="476">TRIM(B478)</f>
        <v>Arizona</v>
      </c>
      <c r="E478" s="111" t="str">
        <f t="shared" si="476"/>
        <v>Lake Havasu City</v>
      </c>
    </row>
    <row r="479" spans="1:5">
      <c r="A479" s="3" t="s">
        <v>2794</v>
      </c>
      <c r="B479" s="110" t="s">
        <v>1319</v>
      </c>
      <c r="C479" s="111" t="s">
        <v>541</v>
      </c>
      <c r="D479" s="111" t="str">
        <f t="shared" ref="D479:E479" si="477">TRIM(B479)</f>
        <v>Arizona</v>
      </c>
      <c r="E479" s="111" t="str">
        <f t="shared" si="477"/>
        <v>Lakeside</v>
      </c>
    </row>
    <row r="480" spans="1:5">
      <c r="A480" s="3" t="s">
        <v>2797</v>
      </c>
      <c r="B480" s="110" t="s">
        <v>1319</v>
      </c>
      <c r="C480" s="111" t="s">
        <v>541</v>
      </c>
      <c r="D480" s="111" t="str">
        <f t="shared" ref="D480:E480" si="478">TRIM(B480)</f>
        <v>Arizona</v>
      </c>
      <c r="E480" s="111" t="str">
        <f t="shared" si="478"/>
        <v>Lakeside</v>
      </c>
    </row>
    <row r="481" spans="1:5">
      <c r="A481" s="3" t="s">
        <v>2799</v>
      </c>
      <c r="B481" s="110" t="s">
        <v>1319</v>
      </c>
      <c r="C481" s="111" t="s">
        <v>2800</v>
      </c>
      <c r="D481" s="111" t="str">
        <f t="shared" ref="D481:E481" si="479">TRIM(B481)</f>
        <v>Arizona</v>
      </c>
      <c r="E481" s="111" t="str">
        <f t="shared" si="479"/>
        <v>Laveen</v>
      </c>
    </row>
    <row r="482" spans="1:5">
      <c r="A482" s="3" t="s">
        <v>2801</v>
      </c>
      <c r="B482" s="110" t="s">
        <v>1319</v>
      </c>
      <c r="C482" s="111" t="s">
        <v>2800</v>
      </c>
      <c r="D482" s="111" t="str">
        <f t="shared" ref="D482:E482" si="480">TRIM(B482)</f>
        <v>Arizona</v>
      </c>
      <c r="E482" s="111" t="str">
        <f t="shared" si="480"/>
        <v>Laveen</v>
      </c>
    </row>
    <row r="483" spans="1:5">
      <c r="A483" s="3" t="s">
        <v>2803</v>
      </c>
      <c r="B483" s="110" t="s">
        <v>1319</v>
      </c>
      <c r="C483" s="111" t="s">
        <v>2804</v>
      </c>
      <c r="D483" s="111" t="str">
        <f t="shared" ref="D483:E483" si="481">TRIM(B483)</f>
        <v>Arizona</v>
      </c>
      <c r="E483" s="111" t="str">
        <f t="shared" si="481"/>
        <v>Litchfield Park</v>
      </c>
    </row>
    <row r="484" spans="1:5">
      <c r="A484" s="110" t="s">
        <v>2806</v>
      </c>
      <c r="B484" s="110" t="s">
        <v>1319</v>
      </c>
      <c r="C484" s="111" t="s">
        <v>2807</v>
      </c>
      <c r="D484" s="111" t="str">
        <f t="shared" ref="D484:E484" si="482">TRIM(B484)</f>
        <v>Arizona</v>
      </c>
      <c r="E484" s="111" t="str">
        <f t="shared" si="482"/>
        <v>Marana</v>
      </c>
    </row>
    <row r="485" spans="1:5">
      <c r="A485" s="3" t="s">
        <v>2809</v>
      </c>
      <c r="B485" s="110" t="s">
        <v>1319</v>
      </c>
      <c r="C485" s="111" t="s">
        <v>2807</v>
      </c>
      <c r="D485" s="111" t="str">
        <f t="shared" ref="D485:E485" si="483">TRIM(B485)</f>
        <v>Arizona</v>
      </c>
      <c r="E485" s="111" t="str">
        <f t="shared" si="483"/>
        <v>Marana</v>
      </c>
    </row>
    <row r="486" spans="1:5">
      <c r="A486" s="3" t="s">
        <v>2810</v>
      </c>
      <c r="B486" s="110" t="s">
        <v>1319</v>
      </c>
      <c r="C486" s="111" t="s">
        <v>2807</v>
      </c>
      <c r="D486" s="111" t="str">
        <f t="shared" ref="D486:E486" si="484">TRIM(B486)</f>
        <v>Arizona</v>
      </c>
      <c r="E486" s="111" t="str">
        <f t="shared" si="484"/>
        <v>Marana</v>
      </c>
    </row>
    <row r="487" spans="1:5">
      <c r="A487" s="3" t="s">
        <v>2813</v>
      </c>
      <c r="B487" s="110" t="s">
        <v>1319</v>
      </c>
      <c r="C487" s="111" t="s">
        <v>2814</v>
      </c>
      <c r="D487" s="111" t="str">
        <f t="shared" ref="D487:E487" si="485">TRIM(B487)</f>
        <v>Arizona</v>
      </c>
      <c r="E487" s="111" t="str">
        <f t="shared" si="485"/>
        <v>Maricopa</v>
      </c>
    </row>
    <row r="488" spans="1:5">
      <c r="A488" s="3" t="s">
        <v>2817</v>
      </c>
      <c r="B488" s="110" t="s">
        <v>1319</v>
      </c>
      <c r="C488" s="111" t="s">
        <v>2818</v>
      </c>
      <c r="D488" s="111" t="str">
        <f t="shared" ref="D488:E488" si="486">TRIM(B488)</f>
        <v>Arizona</v>
      </c>
      <c r="E488" s="111" t="str">
        <f t="shared" si="486"/>
        <v>Mayer</v>
      </c>
    </row>
    <row r="489" spans="1:5">
      <c r="A489" s="3" t="s">
        <v>2819</v>
      </c>
      <c r="B489" s="110" t="s">
        <v>1319</v>
      </c>
      <c r="C489" s="111" t="s">
        <v>2820</v>
      </c>
      <c r="D489" s="111" t="str">
        <f t="shared" ref="D489:E489" si="487">TRIM(B489)</f>
        <v>Arizona</v>
      </c>
      <c r="E489" s="111" t="str">
        <f t="shared" si="487"/>
        <v>Mesa</v>
      </c>
    </row>
    <row r="490" spans="1:5">
      <c r="A490" s="3" t="s">
        <v>2824</v>
      </c>
      <c r="B490" s="110" t="s">
        <v>1319</v>
      </c>
      <c r="C490" s="111" t="s">
        <v>2820</v>
      </c>
      <c r="D490" s="111" t="str">
        <f t="shared" ref="D490:E490" si="488">TRIM(B490)</f>
        <v>Arizona</v>
      </c>
      <c r="E490" s="111" t="str">
        <f t="shared" si="488"/>
        <v>Mesa</v>
      </c>
    </row>
    <row r="491" spans="1:5">
      <c r="A491" s="3" t="s">
        <v>2825</v>
      </c>
      <c r="B491" s="110" t="s">
        <v>1319</v>
      </c>
      <c r="C491" s="111" t="s">
        <v>2820</v>
      </c>
      <c r="D491" s="111" t="str">
        <f t="shared" ref="D491:E491" si="489">TRIM(B491)</f>
        <v>Arizona</v>
      </c>
      <c r="E491" s="111" t="str">
        <f t="shared" si="489"/>
        <v>Mesa</v>
      </c>
    </row>
    <row r="492" spans="1:5">
      <c r="A492" s="3" t="s">
        <v>2826</v>
      </c>
      <c r="B492" s="110" t="s">
        <v>1319</v>
      </c>
      <c r="C492" s="111" t="s">
        <v>2820</v>
      </c>
      <c r="D492" s="111" t="str">
        <f t="shared" ref="D492:E492" si="490">TRIM(B492)</f>
        <v>Arizona</v>
      </c>
      <c r="E492" s="111" t="str">
        <f t="shared" si="490"/>
        <v>Mesa</v>
      </c>
    </row>
    <row r="493" spans="1:5">
      <c r="A493" s="3" t="s">
        <v>2830</v>
      </c>
      <c r="B493" s="110" t="s">
        <v>1319</v>
      </c>
      <c r="C493" s="111" t="s">
        <v>2820</v>
      </c>
      <c r="D493" s="111" t="str">
        <f t="shared" ref="D493:E493" si="491">TRIM(B493)</f>
        <v>Arizona</v>
      </c>
      <c r="E493" s="111" t="str">
        <f t="shared" si="491"/>
        <v>Mesa</v>
      </c>
    </row>
    <row r="494" spans="1:5">
      <c r="A494" s="3" t="s">
        <v>2831</v>
      </c>
      <c r="B494" s="110" t="s">
        <v>1319</v>
      </c>
      <c r="C494" s="111" t="s">
        <v>2820</v>
      </c>
      <c r="D494" s="111" t="str">
        <f t="shared" ref="D494:E494" si="492">TRIM(B494)</f>
        <v>Arizona</v>
      </c>
      <c r="E494" s="111" t="str">
        <f t="shared" si="492"/>
        <v>Mesa</v>
      </c>
    </row>
    <row r="495" spans="1:5">
      <c r="A495" s="110" t="s">
        <v>2832</v>
      </c>
      <c r="B495" s="110" t="s">
        <v>1319</v>
      </c>
      <c r="C495" s="111" t="s">
        <v>2820</v>
      </c>
      <c r="D495" s="111" t="str">
        <f t="shared" ref="D495:E495" si="493">TRIM(B495)</f>
        <v>Arizona</v>
      </c>
      <c r="E495" s="111" t="str">
        <f t="shared" si="493"/>
        <v>Mesa</v>
      </c>
    </row>
    <row r="496" spans="1:5">
      <c r="A496" s="3" t="s">
        <v>2835</v>
      </c>
      <c r="B496" s="110" t="s">
        <v>1319</v>
      </c>
      <c r="C496" s="111" t="s">
        <v>2820</v>
      </c>
      <c r="D496" s="111" t="str">
        <f t="shared" ref="D496:E496" si="494">TRIM(B496)</f>
        <v>Arizona</v>
      </c>
      <c r="E496" s="111" t="str">
        <f t="shared" si="494"/>
        <v>Mesa</v>
      </c>
    </row>
    <row r="497" spans="1:5">
      <c r="A497" s="3" t="s">
        <v>2836</v>
      </c>
      <c r="B497" s="110" t="s">
        <v>1319</v>
      </c>
      <c r="C497" s="111" t="s">
        <v>2820</v>
      </c>
      <c r="D497" s="111" t="str">
        <f t="shared" ref="D497:E497" si="495">TRIM(B497)</f>
        <v>Arizona</v>
      </c>
      <c r="E497" s="111" t="str">
        <f t="shared" si="495"/>
        <v>Mesa</v>
      </c>
    </row>
    <row r="498" spans="1:5">
      <c r="A498" s="3" t="s">
        <v>2837</v>
      </c>
      <c r="B498" s="110" t="s">
        <v>1319</v>
      </c>
      <c r="C498" s="111" t="s">
        <v>2820</v>
      </c>
      <c r="D498" s="111" t="str">
        <f t="shared" ref="D498:E498" si="496">TRIM(B498)</f>
        <v>Arizona</v>
      </c>
      <c r="E498" s="111" t="str">
        <f t="shared" si="496"/>
        <v>Mesa</v>
      </c>
    </row>
    <row r="499" spans="1:5">
      <c r="A499" s="3" t="s">
        <v>2841</v>
      </c>
      <c r="B499" s="110" t="s">
        <v>1319</v>
      </c>
      <c r="C499" s="111" t="s">
        <v>2820</v>
      </c>
      <c r="D499" s="111" t="str">
        <f t="shared" ref="D499:E499" si="497">TRIM(B499)</f>
        <v>Arizona</v>
      </c>
      <c r="E499" s="111" t="str">
        <f t="shared" si="497"/>
        <v>Mesa</v>
      </c>
    </row>
    <row r="500" spans="1:5">
      <c r="A500" s="3" t="s">
        <v>2842</v>
      </c>
      <c r="B500" s="110" t="s">
        <v>1319</v>
      </c>
      <c r="C500" s="111" t="s">
        <v>2820</v>
      </c>
      <c r="D500" s="111" t="str">
        <f t="shared" ref="D500:E500" si="498">TRIM(B500)</f>
        <v>Arizona</v>
      </c>
      <c r="E500" s="111" t="str">
        <f t="shared" si="498"/>
        <v>Mesa</v>
      </c>
    </row>
    <row r="501" spans="1:5">
      <c r="A501" s="3" t="s">
        <v>2845</v>
      </c>
      <c r="B501" s="110" t="s">
        <v>1319</v>
      </c>
      <c r="C501" s="111" t="s">
        <v>2820</v>
      </c>
      <c r="D501" s="111" t="str">
        <f t="shared" ref="D501:E501" si="499">TRIM(B501)</f>
        <v>Arizona</v>
      </c>
      <c r="E501" s="111" t="str">
        <f t="shared" si="499"/>
        <v>Mesa</v>
      </c>
    </row>
    <row r="502" spans="1:5">
      <c r="A502" s="110" t="s">
        <v>2847</v>
      </c>
      <c r="B502" s="110" t="s">
        <v>1319</v>
      </c>
      <c r="C502" s="111" t="s">
        <v>2820</v>
      </c>
      <c r="D502" s="111" t="str">
        <f t="shared" ref="D502:E502" si="500">TRIM(B502)</f>
        <v>Arizona</v>
      </c>
      <c r="E502" s="111" t="str">
        <f t="shared" si="500"/>
        <v>Mesa</v>
      </c>
    </row>
    <row r="503" spans="1:5">
      <c r="A503" s="3" t="s">
        <v>2848</v>
      </c>
      <c r="B503" s="110" t="s">
        <v>1319</v>
      </c>
      <c r="C503" s="112" t="s">
        <v>2820</v>
      </c>
      <c r="D503" s="111" t="str">
        <f t="shared" ref="D503:E503" si="501">TRIM(B503)</f>
        <v>Arizona</v>
      </c>
      <c r="E503" s="111" t="str">
        <f t="shared" si="501"/>
        <v>Mesa</v>
      </c>
    </row>
    <row r="504" spans="1:5">
      <c r="A504" s="110" t="s">
        <v>2849</v>
      </c>
      <c r="B504" s="110" t="s">
        <v>1319</v>
      </c>
      <c r="C504" s="111" t="s">
        <v>2820</v>
      </c>
      <c r="D504" s="111" t="str">
        <f t="shared" ref="D504:E504" si="502">TRIM(B504)</f>
        <v>Arizona</v>
      </c>
      <c r="E504" s="111" t="str">
        <f t="shared" si="502"/>
        <v>Mesa</v>
      </c>
    </row>
    <row r="505" spans="1:5">
      <c r="A505" s="3" t="s">
        <v>2851</v>
      </c>
      <c r="B505" s="110" t="s">
        <v>1319</v>
      </c>
      <c r="C505" s="111" t="s">
        <v>2820</v>
      </c>
      <c r="D505" s="111" t="str">
        <f t="shared" ref="D505:E505" si="503">TRIM(B505)</f>
        <v>Arizona</v>
      </c>
      <c r="E505" s="111" t="str">
        <f t="shared" si="503"/>
        <v>Mesa</v>
      </c>
    </row>
    <row r="506" spans="1:5">
      <c r="A506" s="3" t="s">
        <v>2853</v>
      </c>
      <c r="B506" s="110" t="s">
        <v>1319</v>
      </c>
      <c r="C506" s="111" t="s">
        <v>2820</v>
      </c>
      <c r="D506" s="111" t="str">
        <f t="shared" ref="D506:E506" si="504">TRIM(B506)</f>
        <v>Arizona</v>
      </c>
      <c r="E506" s="111" t="str">
        <f t="shared" si="504"/>
        <v>Mesa</v>
      </c>
    </row>
    <row r="507" spans="1:5">
      <c r="A507" s="110" t="s">
        <v>2854</v>
      </c>
      <c r="B507" s="110" t="s">
        <v>1319</v>
      </c>
      <c r="C507" s="111" t="s">
        <v>2820</v>
      </c>
      <c r="D507" s="111" t="str">
        <f t="shared" ref="D507:E507" si="505">TRIM(B507)</f>
        <v>Arizona</v>
      </c>
      <c r="E507" s="111" t="str">
        <f t="shared" si="505"/>
        <v>Mesa</v>
      </c>
    </row>
    <row r="508" spans="1:5">
      <c r="A508" s="3" t="s">
        <v>2856</v>
      </c>
      <c r="B508" s="110" t="s">
        <v>1319</v>
      </c>
      <c r="C508" s="111" t="s">
        <v>2820</v>
      </c>
      <c r="D508" s="111" t="str">
        <f t="shared" ref="D508:E508" si="506">TRIM(B508)</f>
        <v>Arizona</v>
      </c>
      <c r="E508" s="111" t="str">
        <f t="shared" si="506"/>
        <v>Mesa</v>
      </c>
    </row>
    <row r="509" spans="1:5">
      <c r="A509" s="3" t="s">
        <v>2857</v>
      </c>
      <c r="B509" s="110" t="s">
        <v>1319</v>
      </c>
      <c r="C509" s="111" t="s">
        <v>2820</v>
      </c>
      <c r="D509" s="111" t="str">
        <f t="shared" ref="D509:E509" si="507">TRIM(B509)</f>
        <v>Arizona</v>
      </c>
      <c r="E509" s="111" t="str">
        <f t="shared" si="507"/>
        <v>Mesa</v>
      </c>
    </row>
    <row r="510" spans="1:5">
      <c r="A510" s="3" t="s">
        <v>2860</v>
      </c>
      <c r="B510" s="110" t="s">
        <v>1319</v>
      </c>
      <c r="C510" s="111" t="s">
        <v>2820</v>
      </c>
      <c r="D510" s="111" t="str">
        <f t="shared" ref="D510:E510" si="508">TRIM(B510)</f>
        <v>Arizona</v>
      </c>
      <c r="E510" s="111" t="str">
        <f t="shared" si="508"/>
        <v>Mesa</v>
      </c>
    </row>
    <row r="511" spans="1:5">
      <c r="A511" s="3" t="s">
        <v>2862</v>
      </c>
      <c r="B511" s="110" t="s">
        <v>1319</v>
      </c>
      <c r="C511" s="111" t="s">
        <v>115</v>
      </c>
      <c r="D511" s="111" t="str">
        <f t="shared" ref="D511:E511" si="509">TRIM(B511)</f>
        <v>Arizona</v>
      </c>
      <c r="E511" s="111" t="str">
        <f t="shared" si="509"/>
        <v>Miami</v>
      </c>
    </row>
    <row r="512" spans="1:5">
      <c r="A512" s="3" t="s">
        <v>2863</v>
      </c>
      <c r="B512" s="110" t="s">
        <v>1319</v>
      </c>
      <c r="C512" s="111" t="s">
        <v>2864</v>
      </c>
      <c r="D512" s="111" t="str">
        <f t="shared" ref="D512:E512" si="510">TRIM(B512)</f>
        <v>Arizona</v>
      </c>
      <c r="E512" s="111" t="str">
        <f t="shared" si="510"/>
        <v>Mohave Valley</v>
      </c>
    </row>
    <row r="513" spans="1:5">
      <c r="A513" s="3" t="s">
        <v>2866</v>
      </c>
      <c r="B513" s="110" t="s">
        <v>1319</v>
      </c>
      <c r="C513" s="111" t="s">
        <v>2867</v>
      </c>
      <c r="D513" s="111" t="str">
        <f t="shared" ref="D513:E513" si="511">TRIM(B513)</f>
        <v>Arizona</v>
      </c>
      <c r="E513" s="111" t="str">
        <f t="shared" si="511"/>
        <v>Morenci</v>
      </c>
    </row>
    <row r="514" spans="1:5">
      <c r="A514" s="110" t="s">
        <v>2869</v>
      </c>
      <c r="B514" s="110" t="s">
        <v>1319</v>
      </c>
      <c r="C514" s="111" t="s">
        <v>2870</v>
      </c>
      <c r="D514" s="111" t="str">
        <f t="shared" ref="D514:E514" si="512">TRIM(B514)</f>
        <v>Arizona</v>
      </c>
      <c r="E514" s="111" t="str">
        <f t="shared" si="512"/>
        <v>New River</v>
      </c>
    </row>
    <row r="515" spans="1:5">
      <c r="A515" s="3" t="s">
        <v>2871</v>
      </c>
      <c r="B515" s="110" t="s">
        <v>1319</v>
      </c>
      <c r="C515" s="111" t="s">
        <v>2872</v>
      </c>
      <c r="D515" s="111" t="str">
        <f t="shared" ref="D515:E515" si="513">TRIM(B515)</f>
        <v>Arizona</v>
      </c>
      <c r="E515" s="111" t="str">
        <f t="shared" si="513"/>
        <v>Nogales</v>
      </c>
    </row>
    <row r="516" spans="1:5">
      <c r="A516" s="3" t="s">
        <v>2875</v>
      </c>
      <c r="B516" s="110" t="s">
        <v>1319</v>
      </c>
      <c r="C516" s="111" t="s">
        <v>2872</v>
      </c>
      <c r="D516" s="111" t="str">
        <f t="shared" ref="D516:E516" si="514">TRIM(B516)</f>
        <v>Arizona</v>
      </c>
      <c r="E516" s="111" t="str">
        <f t="shared" si="514"/>
        <v>Nogales</v>
      </c>
    </row>
    <row r="517" spans="1:5">
      <c r="A517" s="110" t="s">
        <v>2877</v>
      </c>
      <c r="B517" s="110" t="s">
        <v>1319</v>
      </c>
      <c r="C517" s="111" t="s">
        <v>2878</v>
      </c>
      <c r="D517" s="111" t="str">
        <f t="shared" ref="D517:E517" si="515">TRIM(B517)</f>
        <v>Arizona</v>
      </c>
      <c r="E517" s="111" t="str">
        <f t="shared" si="515"/>
        <v>Oro Valley</v>
      </c>
    </row>
    <row r="518" spans="1:5">
      <c r="A518" s="3" t="s">
        <v>2879</v>
      </c>
      <c r="B518" s="110" t="s">
        <v>1319</v>
      </c>
      <c r="C518" s="111" t="s">
        <v>2878</v>
      </c>
      <c r="D518" s="111" t="str">
        <f t="shared" ref="D518:E518" si="516">TRIM(B518)</f>
        <v>Arizona</v>
      </c>
      <c r="E518" s="111" t="str">
        <f t="shared" si="516"/>
        <v>Oro Valley</v>
      </c>
    </row>
    <row r="519" spans="1:5">
      <c r="A519" s="3" t="s">
        <v>2883</v>
      </c>
      <c r="B519" s="110" t="s">
        <v>1319</v>
      </c>
      <c r="C519" s="111" t="s">
        <v>2878</v>
      </c>
      <c r="D519" s="111" t="str">
        <f t="shared" ref="D519:E519" si="517">TRIM(B519)</f>
        <v>Arizona</v>
      </c>
      <c r="E519" s="111" t="str">
        <f t="shared" si="517"/>
        <v>Oro Valley</v>
      </c>
    </row>
    <row r="520" spans="1:5">
      <c r="A520" s="3" t="s">
        <v>2884</v>
      </c>
      <c r="B520" s="110" t="s">
        <v>1319</v>
      </c>
      <c r="C520" s="111" t="s">
        <v>2885</v>
      </c>
      <c r="D520" s="111" t="str">
        <f t="shared" ref="D520:E520" si="518">TRIM(B520)</f>
        <v>Arizona</v>
      </c>
      <c r="E520" s="111" t="str">
        <f t="shared" si="518"/>
        <v>Page</v>
      </c>
    </row>
    <row r="521" spans="1:5">
      <c r="A521" s="3" t="s">
        <v>2887</v>
      </c>
      <c r="B521" s="110" t="s">
        <v>1319</v>
      </c>
      <c r="C521" s="111" t="s">
        <v>2885</v>
      </c>
      <c r="D521" s="111" t="str">
        <f t="shared" ref="D521:E521" si="519">TRIM(B521)</f>
        <v>Arizona</v>
      </c>
      <c r="E521" s="111" t="str">
        <f t="shared" si="519"/>
        <v>Page</v>
      </c>
    </row>
    <row r="522" spans="1:5">
      <c r="A522" s="3" t="s">
        <v>2890</v>
      </c>
      <c r="B522" s="110" t="s">
        <v>1319</v>
      </c>
      <c r="C522" s="111" t="s">
        <v>2885</v>
      </c>
      <c r="D522" s="111" t="str">
        <f t="shared" ref="D522:E522" si="520">TRIM(B522)</f>
        <v>Arizona</v>
      </c>
      <c r="E522" s="111" t="str">
        <f t="shared" si="520"/>
        <v>Page</v>
      </c>
    </row>
    <row r="523" spans="1:5">
      <c r="A523" s="3" t="s">
        <v>1562</v>
      </c>
      <c r="B523" s="110" t="s">
        <v>1319</v>
      </c>
      <c r="C523" s="111" t="s">
        <v>2891</v>
      </c>
      <c r="D523" s="111" t="str">
        <f t="shared" ref="D523:E523" si="521">TRIM(B523)</f>
        <v>Arizona</v>
      </c>
      <c r="E523" s="111" t="str">
        <f t="shared" si="521"/>
        <v>Parker</v>
      </c>
    </row>
    <row r="524" spans="1:5">
      <c r="A524" s="3" t="s">
        <v>2893</v>
      </c>
      <c r="B524" s="110" t="s">
        <v>1319</v>
      </c>
      <c r="C524" s="111" t="s">
        <v>2894</v>
      </c>
      <c r="D524" s="111" t="str">
        <f t="shared" ref="D524:E524" si="522">TRIM(B524)</f>
        <v>Arizona</v>
      </c>
      <c r="E524" s="111" t="str">
        <f t="shared" si="522"/>
        <v>Patagonia</v>
      </c>
    </row>
    <row r="525" spans="1:5">
      <c r="A525" s="110" t="s">
        <v>2896</v>
      </c>
      <c r="B525" s="110" t="s">
        <v>1319</v>
      </c>
      <c r="C525" s="111" t="s">
        <v>2897</v>
      </c>
      <c r="D525" s="111" t="str">
        <f t="shared" ref="D525:E525" si="523">TRIM(B525)</f>
        <v>Arizona</v>
      </c>
      <c r="E525" s="111" t="str">
        <f t="shared" si="523"/>
        <v>Payson</v>
      </c>
    </row>
    <row r="526" spans="1:5">
      <c r="A526" s="3" t="s">
        <v>2899</v>
      </c>
      <c r="B526" s="110" t="s">
        <v>1319</v>
      </c>
      <c r="C526" s="111" t="s">
        <v>2897</v>
      </c>
      <c r="D526" s="111" t="str">
        <f t="shared" ref="D526:E526" si="524">TRIM(B526)</f>
        <v>Arizona</v>
      </c>
      <c r="E526" s="111" t="str">
        <f t="shared" si="524"/>
        <v>Payson</v>
      </c>
    </row>
    <row r="527" spans="1:5">
      <c r="A527" s="3" t="s">
        <v>2902</v>
      </c>
      <c r="B527" s="110" t="s">
        <v>1319</v>
      </c>
      <c r="C527" s="111" t="s">
        <v>2897</v>
      </c>
      <c r="D527" s="111" t="str">
        <f t="shared" ref="D527:E527" si="525">TRIM(B527)</f>
        <v>Arizona</v>
      </c>
      <c r="E527" s="111" t="str">
        <f t="shared" si="525"/>
        <v>Payson</v>
      </c>
    </row>
    <row r="528" spans="1:5">
      <c r="A528" s="110" t="s">
        <v>2903</v>
      </c>
      <c r="B528" s="110" t="s">
        <v>1319</v>
      </c>
      <c r="C528" s="111" t="s">
        <v>1105</v>
      </c>
      <c r="D528" s="111" t="str">
        <f t="shared" ref="D528:E528" si="526">TRIM(B528)</f>
        <v>Arizona</v>
      </c>
      <c r="E528" s="111" t="str">
        <f t="shared" si="526"/>
        <v>Peoria</v>
      </c>
    </row>
    <row r="529" spans="1:5">
      <c r="A529" s="3" t="s">
        <v>2905</v>
      </c>
      <c r="B529" s="110" t="s">
        <v>1319</v>
      </c>
      <c r="C529" s="111" t="s">
        <v>1105</v>
      </c>
      <c r="D529" s="111" t="str">
        <f t="shared" ref="D529:E529" si="527">TRIM(B529)</f>
        <v>Arizona</v>
      </c>
      <c r="E529" s="111" t="str">
        <f t="shared" si="527"/>
        <v>Peoria</v>
      </c>
    </row>
    <row r="530" spans="1:5">
      <c r="A530" s="3" t="s">
        <v>2745</v>
      </c>
      <c r="B530" s="110" t="s">
        <v>1319</v>
      </c>
      <c r="C530" s="111" t="s">
        <v>1105</v>
      </c>
      <c r="D530" s="111" t="str">
        <f t="shared" ref="D530:E530" si="528">TRIM(B530)</f>
        <v>Arizona</v>
      </c>
      <c r="E530" s="111" t="str">
        <f t="shared" si="528"/>
        <v>Peoria</v>
      </c>
    </row>
    <row r="531" spans="1:5">
      <c r="A531" s="110" t="s">
        <v>2908</v>
      </c>
      <c r="B531" s="110" t="s">
        <v>1319</v>
      </c>
      <c r="C531" s="111" t="s">
        <v>1105</v>
      </c>
      <c r="D531" s="111" t="str">
        <f t="shared" ref="D531:E531" si="529">TRIM(B531)</f>
        <v>Arizona</v>
      </c>
      <c r="E531" s="111" t="str">
        <f t="shared" si="529"/>
        <v>Peoria</v>
      </c>
    </row>
    <row r="532" spans="1:5">
      <c r="A532" s="3" t="s">
        <v>2911</v>
      </c>
      <c r="B532" s="110" t="s">
        <v>1319</v>
      </c>
      <c r="C532" s="111" t="s">
        <v>1105</v>
      </c>
      <c r="D532" s="111" t="str">
        <f t="shared" ref="D532:E532" si="530">TRIM(B532)</f>
        <v>Arizona</v>
      </c>
      <c r="E532" s="111" t="str">
        <f t="shared" si="530"/>
        <v>Peoria</v>
      </c>
    </row>
    <row r="533" spans="1:5">
      <c r="A533" s="3" t="s">
        <v>2913</v>
      </c>
      <c r="B533" s="110" t="s">
        <v>1319</v>
      </c>
      <c r="C533" s="111" t="s">
        <v>1105</v>
      </c>
      <c r="D533" s="111" t="str">
        <f t="shared" ref="D533:E533" si="531">TRIM(B533)</f>
        <v>Arizona</v>
      </c>
      <c r="E533" s="111" t="str">
        <f t="shared" si="531"/>
        <v>Peoria</v>
      </c>
    </row>
    <row r="534" spans="1:5">
      <c r="A534" s="3" t="s">
        <v>2914</v>
      </c>
      <c r="B534" s="110" t="s">
        <v>1319</v>
      </c>
      <c r="C534" s="111" t="s">
        <v>1105</v>
      </c>
      <c r="D534" s="111" t="str">
        <f t="shared" ref="D534:E534" si="532">TRIM(B534)</f>
        <v>Arizona</v>
      </c>
      <c r="E534" s="111" t="str">
        <f t="shared" si="532"/>
        <v>Peoria</v>
      </c>
    </row>
    <row r="535" spans="1:5">
      <c r="A535" s="110" t="s">
        <v>2916</v>
      </c>
      <c r="B535" s="110" t="s">
        <v>1319</v>
      </c>
      <c r="C535" s="111" t="s">
        <v>1105</v>
      </c>
      <c r="D535" s="111" t="str">
        <f t="shared" ref="D535:E535" si="533">TRIM(B535)</f>
        <v>Arizona</v>
      </c>
      <c r="E535" s="111" t="str">
        <f t="shared" si="533"/>
        <v>Peoria</v>
      </c>
    </row>
    <row r="536" spans="1:5">
      <c r="A536" s="3" t="s">
        <v>2918</v>
      </c>
      <c r="B536" s="110" t="s">
        <v>1319</v>
      </c>
      <c r="C536" s="111" t="s">
        <v>1105</v>
      </c>
      <c r="D536" s="111" t="str">
        <f t="shared" ref="D536:E536" si="534">TRIM(B536)</f>
        <v>Arizona</v>
      </c>
      <c r="E536" s="111" t="str">
        <f t="shared" si="534"/>
        <v>Peoria</v>
      </c>
    </row>
    <row r="537" spans="1:5">
      <c r="A537" s="3" t="s">
        <v>2920</v>
      </c>
      <c r="B537" s="110" t="s">
        <v>1319</v>
      </c>
      <c r="C537" s="111" t="s">
        <v>1105</v>
      </c>
      <c r="D537" s="111" t="str">
        <f t="shared" ref="D537:E537" si="535">TRIM(B537)</f>
        <v>Arizona</v>
      </c>
      <c r="E537" s="111" t="str">
        <f t="shared" si="535"/>
        <v>Peoria</v>
      </c>
    </row>
    <row r="538" spans="1:5">
      <c r="A538" s="110" t="s">
        <v>2923</v>
      </c>
      <c r="B538" s="110" t="s">
        <v>1319</v>
      </c>
      <c r="C538" s="111" t="s">
        <v>1075</v>
      </c>
      <c r="D538" s="111" t="str">
        <f t="shared" ref="D538:E538" si="536">TRIM(B538)</f>
        <v>Arizona</v>
      </c>
      <c r="E538" s="111" t="str">
        <f t="shared" si="536"/>
        <v>Phoenix</v>
      </c>
    </row>
    <row r="539" spans="1:5">
      <c r="A539" s="110" t="s">
        <v>2924</v>
      </c>
      <c r="B539" s="110" t="s">
        <v>1319</v>
      </c>
      <c r="C539" s="111" t="s">
        <v>1075</v>
      </c>
      <c r="D539" s="111" t="str">
        <f t="shared" ref="D539:E539" si="537">TRIM(B539)</f>
        <v>Arizona</v>
      </c>
      <c r="E539" s="111" t="str">
        <f t="shared" si="537"/>
        <v>Phoenix</v>
      </c>
    </row>
    <row r="540" spans="1:5">
      <c r="A540" s="110" t="s">
        <v>2928</v>
      </c>
      <c r="B540" s="110" t="s">
        <v>1319</v>
      </c>
      <c r="C540" s="111" t="s">
        <v>1075</v>
      </c>
      <c r="D540" s="111" t="str">
        <f t="shared" ref="D540:E540" si="538">TRIM(B540)</f>
        <v>Arizona</v>
      </c>
      <c r="E540" s="111" t="str">
        <f t="shared" si="538"/>
        <v>Phoenix</v>
      </c>
    </row>
    <row r="541" spans="1:5">
      <c r="A541" s="3" t="s">
        <v>2929</v>
      </c>
      <c r="B541" s="110" t="s">
        <v>1319</v>
      </c>
      <c r="C541" s="111" t="s">
        <v>1075</v>
      </c>
      <c r="D541" s="111" t="str">
        <f t="shared" ref="D541:E541" si="539">TRIM(B541)</f>
        <v>Arizona</v>
      </c>
      <c r="E541" s="111" t="str">
        <f t="shared" si="539"/>
        <v>Phoenix</v>
      </c>
    </row>
    <row r="542" spans="1:5">
      <c r="A542" s="3" t="s">
        <v>2933</v>
      </c>
      <c r="B542" s="110" t="s">
        <v>1319</v>
      </c>
      <c r="C542" s="111" t="s">
        <v>1075</v>
      </c>
      <c r="D542" s="111" t="str">
        <f t="shared" ref="D542:E542" si="540">TRIM(B542)</f>
        <v>Arizona</v>
      </c>
      <c r="E542" s="111" t="str">
        <f t="shared" si="540"/>
        <v>Phoenix</v>
      </c>
    </row>
    <row r="543" spans="1:5">
      <c r="A543" s="3" t="s">
        <v>2934</v>
      </c>
      <c r="B543" s="110" t="s">
        <v>1319</v>
      </c>
      <c r="C543" s="111" t="s">
        <v>1075</v>
      </c>
      <c r="D543" s="111" t="str">
        <f t="shared" ref="D543:E543" si="541">TRIM(B543)</f>
        <v>Arizona</v>
      </c>
      <c r="E543" s="111" t="str">
        <f t="shared" si="541"/>
        <v>Phoenix</v>
      </c>
    </row>
    <row r="544" spans="1:5">
      <c r="A544" s="110" t="s">
        <v>2938</v>
      </c>
      <c r="B544" s="110" t="s">
        <v>1319</v>
      </c>
      <c r="C544" s="111" t="s">
        <v>1075</v>
      </c>
      <c r="D544" s="111" t="str">
        <f t="shared" ref="D544:E544" si="542">TRIM(B544)</f>
        <v>Arizona</v>
      </c>
      <c r="E544" s="111" t="str">
        <f t="shared" si="542"/>
        <v>Phoenix</v>
      </c>
    </row>
    <row r="545" spans="1:5">
      <c r="A545" s="110" t="s">
        <v>2940</v>
      </c>
      <c r="B545" s="110" t="s">
        <v>1319</v>
      </c>
      <c r="C545" s="111" t="s">
        <v>1075</v>
      </c>
      <c r="D545" s="111" t="str">
        <f t="shared" ref="D545:E545" si="543">TRIM(B545)</f>
        <v>Arizona</v>
      </c>
      <c r="E545" s="111" t="str">
        <f t="shared" si="543"/>
        <v>Phoenix</v>
      </c>
    </row>
    <row r="546" spans="1:5">
      <c r="A546" s="110" t="s">
        <v>2941</v>
      </c>
      <c r="B546" s="110" t="s">
        <v>1319</v>
      </c>
      <c r="C546" s="111" t="s">
        <v>1075</v>
      </c>
      <c r="D546" s="111" t="str">
        <f t="shared" ref="D546:E546" si="544">TRIM(B546)</f>
        <v>Arizona</v>
      </c>
      <c r="E546" s="111" t="str">
        <f t="shared" si="544"/>
        <v>Phoenix</v>
      </c>
    </row>
    <row r="547" spans="1:5">
      <c r="A547" s="110" t="s">
        <v>2944</v>
      </c>
      <c r="B547" s="110" t="s">
        <v>1319</v>
      </c>
      <c r="C547" s="111" t="s">
        <v>1075</v>
      </c>
      <c r="D547" s="111" t="str">
        <f t="shared" ref="D547:E547" si="545">TRIM(B547)</f>
        <v>Arizona</v>
      </c>
      <c r="E547" s="111" t="str">
        <f t="shared" si="545"/>
        <v>Phoenix</v>
      </c>
    </row>
    <row r="548" spans="1:5">
      <c r="A548" s="110" t="s">
        <v>2946</v>
      </c>
      <c r="B548" s="110" t="s">
        <v>1319</v>
      </c>
      <c r="C548" s="111" t="s">
        <v>1075</v>
      </c>
      <c r="D548" s="111" t="str">
        <f t="shared" ref="D548:E548" si="546">TRIM(B548)</f>
        <v>Arizona</v>
      </c>
      <c r="E548" s="111" t="str">
        <f t="shared" si="546"/>
        <v>Phoenix</v>
      </c>
    </row>
    <row r="549" spans="1:5">
      <c r="A549" s="110" t="s">
        <v>2949</v>
      </c>
      <c r="B549" s="110" t="s">
        <v>1319</v>
      </c>
      <c r="C549" s="111" t="s">
        <v>1075</v>
      </c>
      <c r="D549" s="111" t="str">
        <f t="shared" ref="D549:E549" si="547">TRIM(B549)</f>
        <v>Arizona</v>
      </c>
      <c r="E549" s="111" t="str">
        <f t="shared" si="547"/>
        <v>Phoenix</v>
      </c>
    </row>
    <row r="550" spans="1:5">
      <c r="A550" s="3" t="s">
        <v>2951</v>
      </c>
      <c r="B550" s="110" t="s">
        <v>1319</v>
      </c>
      <c r="C550" s="111" t="s">
        <v>1075</v>
      </c>
      <c r="D550" s="111" t="str">
        <f t="shared" ref="D550:E550" si="548">TRIM(B550)</f>
        <v>Arizona</v>
      </c>
      <c r="E550" s="111" t="str">
        <f t="shared" si="548"/>
        <v>Phoenix</v>
      </c>
    </row>
    <row r="551" spans="1:5">
      <c r="A551" s="3" t="s">
        <v>2952</v>
      </c>
      <c r="B551" s="110" t="s">
        <v>1319</v>
      </c>
      <c r="C551" s="111" t="s">
        <v>1075</v>
      </c>
      <c r="D551" s="111" t="str">
        <f t="shared" ref="D551:E551" si="549">TRIM(B551)</f>
        <v>Arizona</v>
      </c>
      <c r="E551" s="111" t="str">
        <f t="shared" si="549"/>
        <v>Phoenix</v>
      </c>
    </row>
    <row r="552" spans="1:5">
      <c r="A552" s="3" t="s">
        <v>2954</v>
      </c>
      <c r="B552" s="110" t="s">
        <v>1319</v>
      </c>
      <c r="C552" s="111" t="s">
        <v>1075</v>
      </c>
      <c r="D552" s="111" t="str">
        <f t="shared" ref="D552:E552" si="550">TRIM(B552)</f>
        <v>Arizona</v>
      </c>
      <c r="E552" s="111" t="str">
        <f t="shared" si="550"/>
        <v>Phoenix</v>
      </c>
    </row>
    <row r="553" spans="1:5">
      <c r="A553" s="3" t="s">
        <v>2956</v>
      </c>
      <c r="B553" s="110" t="s">
        <v>1319</v>
      </c>
      <c r="C553" s="111" t="s">
        <v>1075</v>
      </c>
      <c r="D553" s="111" t="str">
        <f t="shared" ref="D553:E553" si="551">TRIM(B553)</f>
        <v>Arizona</v>
      </c>
      <c r="E553" s="111" t="str">
        <f t="shared" si="551"/>
        <v>Phoenix</v>
      </c>
    </row>
    <row r="554" spans="1:5">
      <c r="A554" s="110" t="s">
        <v>2959</v>
      </c>
      <c r="B554" s="110" t="s">
        <v>1319</v>
      </c>
      <c r="C554" s="111" t="s">
        <v>1075</v>
      </c>
      <c r="D554" s="111" t="str">
        <f t="shared" ref="D554:E554" si="552">TRIM(B554)</f>
        <v>Arizona</v>
      </c>
      <c r="E554" s="111" t="str">
        <f t="shared" si="552"/>
        <v>Phoenix</v>
      </c>
    </row>
    <row r="555" spans="1:5">
      <c r="A555" s="3" t="s">
        <v>2961</v>
      </c>
      <c r="B555" s="110" t="s">
        <v>1319</v>
      </c>
      <c r="C555" s="111" t="s">
        <v>1075</v>
      </c>
      <c r="D555" s="111" t="str">
        <f t="shared" ref="D555:E555" si="553">TRIM(B555)</f>
        <v>Arizona</v>
      </c>
      <c r="E555" s="111" t="str">
        <f t="shared" si="553"/>
        <v>Phoenix</v>
      </c>
    </row>
    <row r="556" spans="1:5">
      <c r="A556" s="3" t="s">
        <v>2964</v>
      </c>
      <c r="B556" s="110" t="s">
        <v>1319</v>
      </c>
      <c r="C556" s="111" t="s">
        <v>1075</v>
      </c>
      <c r="D556" s="111" t="str">
        <f t="shared" ref="D556:E556" si="554">TRIM(B556)</f>
        <v>Arizona</v>
      </c>
      <c r="E556" s="111" t="str">
        <f t="shared" si="554"/>
        <v>Phoenix</v>
      </c>
    </row>
    <row r="557" spans="1:5">
      <c r="A557" s="110" t="s">
        <v>2967</v>
      </c>
      <c r="B557" s="110" t="s">
        <v>1319</v>
      </c>
      <c r="C557" s="111" t="s">
        <v>1075</v>
      </c>
      <c r="D557" s="111" t="str">
        <f t="shared" ref="D557:E557" si="555">TRIM(B557)</f>
        <v>Arizona</v>
      </c>
      <c r="E557" s="111" t="str">
        <f t="shared" si="555"/>
        <v>Phoenix</v>
      </c>
    </row>
    <row r="558" spans="1:5">
      <c r="A558" s="3" t="s">
        <v>2968</v>
      </c>
      <c r="B558" s="110" t="s">
        <v>1319</v>
      </c>
      <c r="C558" s="111" t="s">
        <v>1075</v>
      </c>
      <c r="D558" s="111" t="str">
        <f t="shared" ref="D558:E558" si="556">TRIM(B558)</f>
        <v>Arizona</v>
      </c>
      <c r="E558" s="111" t="str">
        <f t="shared" si="556"/>
        <v>Phoenix</v>
      </c>
    </row>
    <row r="559" spans="1:5">
      <c r="A559" s="3" t="s">
        <v>2972</v>
      </c>
      <c r="B559" s="110" t="s">
        <v>1319</v>
      </c>
      <c r="C559" s="111" t="s">
        <v>1075</v>
      </c>
      <c r="D559" s="111" t="str">
        <f t="shared" ref="D559:E559" si="557">TRIM(B559)</f>
        <v>Arizona</v>
      </c>
      <c r="E559" s="111" t="str">
        <f t="shared" si="557"/>
        <v>Phoenix</v>
      </c>
    </row>
    <row r="560" spans="1:5">
      <c r="A560" s="3" t="s">
        <v>2973</v>
      </c>
      <c r="B560" s="110" t="s">
        <v>1319</v>
      </c>
      <c r="C560" s="111" t="s">
        <v>1075</v>
      </c>
      <c r="D560" s="111" t="str">
        <f t="shared" ref="D560:E560" si="558">TRIM(B560)</f>
        <v>Arizona</v>
      </c>
      <c r="E560" s="111" t="str">
        <f t="shared" si="558"/>
        <v>Phoenix</v>
      </c>
    </row>
    <row r="561" spans="1:5">
      <c r="A561" s="3" t="s">
        <v>2975</v>
      </c>
      <c r="B561" s="110" t="s">
        <v>1319</v>
      </c>
      <c r="C561" s="111" t="s">
        <v>1075</v>
      </c>
      <c r="D561" s="111" t="str">
        <f t="shared" ref="D561:E561" si="559">TRIM(B561)</f>
        <v>Arizona</v>
      </c>
      <c r="E561" s="111" t="str">
        <f t="shared" si="559"/>
        <v>Phoenix</v>
      </c>
    </row>
    <row r="562" spans="1:5">
      <c r="A562" s="3" t="s">
        <v>2977</v>
      </c>
      <c r="B562" s="110" t="s">
        <v>1319</v>
      </c>
      <c r="C562" s="111" t="s">
        <v>1075</v>
      </c>
      <c r="D562" s="111" t="str">
        <f t="shared" ref="D562:E562" si="560">TRIM(B562)</f>
        <v>Arizona</v>
      </c>
      <c r="E562" s="111" t="str">
        <f t="shared" si="560"/>
        <v>Phoenix</v>
      </c>
    </row>
    <row r="563" spans="1:5">
      <c r="A563" s="3" t="s">
        <v>1843</v>
      </c>
      <c r="B563" s="110" t="s">
        <v>1319</v>
      </c>
      <c r="C563" s="111" t="s">
        <v>1075</v>
      </c>
      <c r="D563" s="111" t="str">
        <f t="shared" ref="D563:E563" si="561">TRIM(B563)</f>
        <v>Arizona</v>
      </c>
      <c r="E563" s="111" t="str">
        <f t="shared" si="561"/>
        <v>Phoenix</v>
      </c>
    </row>
    <row r="564" spans="1:5">
      <c r="A564" s="3" t="s">
        <v>2980</v>
      </c>
      <c r="B564" s="110" t="s">
        <v>1319</v>
      </c>
      <c r="C564" s="111" t="s">
        <v>1075</v>
      </c>
      <c r="D564" s="111" t="str">
        <f t="shared" ref="D564:E564" si="562">TRIM(B564)</f>
        <v>Arizona</v>
      </c>
      <c r="E564" s="111" t="str">
        <f t="shared" si="562"/>
        <v>Phoenix</v>
      </c>
    </row>
    <row r="565" spans="1:5">
      <c r="A565" s="3" t="s">
        <v>2982</v>
      </c>
      <c r="B565" s="110" t="s">
        <v>1319</v>
      </c>
      <c r="C565" s="111" t="s">
        <v>1075</v>
      </c>
      <c r="D565" s="111" t="str">
        <f t="shared" ref="D565:E565" si="563">TRIM(B565)</f>
        <v>Arizona</v>
      </c>
      <c r="E565" s="111" t="str">
        <f t="shared" si="563"/>
        <v>Phoenix</v>
      </c>
    </row>
    <row r="566" spans="1:5">
      <c r="A566" s="3" t="s">
        <v>2985</v>
      </c>
      <c r="B566" s="110" t="s">
        <v>1319</v>
      </c>
      <c r="C566" s="111" t="s">
        <v>1075</v>
      </c>
      <c r="D566" s="111" t="str">
        <f t="shared" ref="D566:E566" si="564">TRIM(B566)</f>
        <v>Arizona</v>
      </c>
      <c r="E566" s="111" t="str">
        <f t="shared" si="564"/>
        <v>Phoenix</v>
      </c>
    </row>
    <row r="567" spans="1:5">
      <c r="A567" s="3" t="s">
        <v>2986</v>
      </c>
      <c r="B567" s="110" t="s">
        <v>1319</v>
      </c>
      <c r="C567" s="111" t="s">
        <v>1075</v>
      </c>
      <c r="D567" s="111" t="str">
        <f t="shared" ref="D567:E567" si="565">TRIM(B567)</f>
        <v>Arizona</v>
      </c>
      <c r="E567" s="111" t="str">
        <f t="shared" si="565"/>
        <v>Phoenix</v>
      </c>
    </row>
    <row r="568" spans="1:5">
      <c r="A568" s="3" t="s">
        <v>2988</v>
      </c>
      <c r="B568" s="110" t="s">
        <v>1319</v>
      </c>
      <c r="C568" s="111" t="s">
        <v>1075</v>
      </c>
      <c r="D568" s="111" t="str">
        <f t="shared" ref="D568:E568" si="566">TRIM(B568)</f>
        <v>Arizona</v>
      </c>
      <c r="E568" s="111" t="str">
        <f t="shared" si="566"/>
        <v>Phoenix</v>
      </c>
    </row>
    <row r="569" spans="1:5">
      <c r="A569" s="110" t="s">
        <v>2990</v>
      </c>
      <c r="B569" s="110" t="s">
        <v>1319</v>
      </c>
      <c r="C569" s="111" t="s">
        <v>1075</v>
      </c>
      <c r="D569" s="111" t="str">
        <f t="shared" ref="D569:E569" si="567">TRIM(B569)</f>
        <v>Arizona</v>
      </c>
      <c r="E569" s="111" t="str">
        <f t="shared" si="567"/>
        <v>Phoenix</v>
      </c>
    </row>
    <row r="570" spans="1:5">
      <c r="A570" s="3" t="s">
        <v>2993</v>
      </c>
      <c r="B570" s="110" t="s">
        <v>1319</v>
      </c>
      <c r="C570" s="111" t="s">
        <v>1075</v>
      </c>
      <c r="D570" s="111" t="str">
        <f t="shared" ref="D570:E570" si="568">TRIM(B570)</f>
        <v>Arizona</v>
      </c>
      <c r="E570" s="111" t="str">
        <f t="shared" si="568"/>
        <v>Phoenix</v>
      </c>
    </row>
    <row r="571" spans="1:5">
      <c r="A571" s="3" t="s">
        <v>2995</v>
      </c>
      <c r="B571" s="110" t="s">
        <v>1319</v>
      </c>
      <c r="C571" s="111" t="s">
        <v>1075</v>
      </c>
      <c r="D571" s="111" t="str">
        <f t="shared" ref="D571:E571" si="569">TRIM(B571)</f>
        <v>Arizona</v>
      </c>
      <c r="E571" s="111" t="str">
        <f t="shared" si="569"/>
        <v>Phoenix</v>
      </c>
    </row>
    <row r="572" spans="1:5">
      <c r="A572" s="3" t="s">
        <v>2996</v>
      </c>
      <c r="B572" s="110" t="s">
        <v>1319</v>
      </c>
      <c r="C572" s="111" t="s">
        <v>1075</v>
      </c>
      <c r="D572" s="111" t="str">
        <f t="shared" ref="D572:E572" si="570">TRIM(B572)</f>
        <v>Arizona</v>
      </c>
      <c r="E572" s="111" t="str">
        <f t="shared" si="570"/>
        <v>Phoenix</v>
      </c>
    </row>
    <row r="573" spans="1:5">
      <c r="A573" s="3" t="s">
        <v>2999</v>
      </c>
      <c r="B573" s="110" t="s">
        <v>1319</v>
      </c>
      <c r="C573" s="111" t="s">
        <v>1075</v>
      </c>
      <c r="D573" s="111" t="str">
        <f t="shared" ref="D573:E573" si="571">TRIM(B573)</f>
        <v>Arizona</v>
      </c>
      <c r="E573" s="111" t="str">
        <f t="shared" si="571"/>
        <v>Phoenix</v>
      </c>
    </row>
    <row r="574" spans="1:5">
      <c r="A574" s="3" t="s">
        <v>3001</v>
      </c>
      <c r="B574" s="110" t="s">
        <v>1319</v>
      </c>
      <c r="C574" s="111" t="s">
        <v>1075</v>
      </c>
      <c r="D574" s="111" t="str">
        <f t="shared" ref="D574:E574" si="572">TRIM(B574)</f>
        <v>Arizona</v>
      </c>
      <c r="E574" s="111" t="str">
        <f t="shared" si="572"/>
        <v>Phoenix</v>
      </c>
    </row>
    <row r="575" spans="1:5">
      <c r="A575" s="3" t="s">
        <v>3002</v>
      </c>
      <c r="B575" s="110" t="s">
        <v>1319</v>
      </c>
      <c r="C575" s="111" t="s">
        <v>1075</v>
      </c>
      <c r="D575" s="111" t="str">
        <f t="shared" ref="D575:E575" si="573">TRIM(B575)</f>
        <v>Arizona</v>
      </c>
      <c r="E575" s="111" t="str">
        <f t="shared" si="573"/>
        <v>Phoenix</v>
      </c>
    </row>
    <row r="576" spans="1:5">
      <c r="A576" s="3" t="s">
        <v>3004</v>
      </c>
      <c r="B576" s="110" t="s">
        <v>1319</v>
      </c>
      <c r="C576" s="111" t="s">
        <v>1075</v>
      </c>
      <c r="D576" s="111" t="str">
        <f t="shared" ref="D576:E576" si="574">TRIM(B576)</f>
        <v>Arizona</v>
      </c>
      <c r="E576" s="111" t="str">
        <f t="shared" si="574"/>
        <v>Phoenix</v>
      </c>
    </row>
    <row r="577" spans="1:5">
      <c r="A577" s="3" t="s">
        <v>3006</v>
      </c>
      <c r="B577" s="110" t="s">
        <v>1319</v>
      </c>
      <c r="C577" s="111" t="s">
        <v>1075</v>
      </c>
      <c r="D577" s="111" t="str">
        <f t="shared" ref="D577:E577" si="575">TRIM(B577)</f>
        <v>Arizona</v>
      </c>
      <c r="E577" s="111" t="str">
        <f t="shared" si="575"/>
        <v>Phoenix</v>
      </c>
    </row>
    <row r="578" spans="1:5">
      <c r="A578" s="3" t="s">
        <v>3008</v>
      </c>
      <c r="B578" s="110" t="s">
        <v>1319</v>
      </c>
      <c r="C578" s="111" t="s">
        <v>1075</v>
      </c>
      <c r="D578" s="111" t="str">
        <f t="shared" ref="D578:E578" si="576">TRIM(B578)</f>
        <v>Arizona</v>
      </c>
      <c r="E578" s="111" t="str">
        <f t="shared" si="576"/>
        <v>Phoenix</v>
      </c>
    </row>
    <row r="579" spans="1:5">
      <c r="A579" s="3" t="s">
        <v>3009</v>
      </c>
      <c r="B579" s="110" t="s">
        <v>1319</v>
      </c>
      <c r="C579" s="111" t="s">
        <v>1075</v>
      </c>
      <c r="D579" s="111" t="str">
        <f t="shared" ref="D579:E579" si="577">TRIM(B579)</f>
        <v>Arizona</v>
      </c>
      <c r="E579" s="111" t="str">
        <f t="shared" si="577"/>
        <v>Phoenix</v>
      </c>
    </row>
    <row r="580" spans="1:5">
      <c r="A580" s="3" t="s">
        <v>3012</v>
      </c>
      <c r="B580" s="110" t="s">
        <v>1319</v>
      </c>
      <c r="C580" s="111" t="s">
        <v>1075</v>
      </c>
      <c r="D580" s="111" t="str">
        <f t="shared" ref="D580:E580" si="578">TRIM(B580)</f>
        <v>Arizona</v>
      </c>
      <c r="E580" s="111" t="str">
        <f t="shared" si="578"/>
        <v>Phoenix</v>
      </c>
    </row>
    <row r="581" spans="1:5">
      <c r="A581" s="3" t="s">
        <v>3014</v>
      </c>
      <c r="B581" s="110" t="s">
        <v>1319</v>
      </c>
      <c r="C581" s="111" t="s">
        <v>1075</v>
      </c>
      <c r="D581" s="111" t="str">
        <f t="shared" ref="D581:E581" si="579">TRIM(B581)</f>
        <v>Arizona</v>
      </c>
      <c r="E581" s="111" t="str">
        <f t="shared" si="579"/>
        <v>Phoenix</v>
      </c>
    </row>
    <row r="582" spans="1:5">
      <c r="A582" s="3" t="s">
        <v>3015</v>
      </c>
      <c r="B582" s="110" t="s">
        <v>1319</v>
      </c>
      <c r="C582" s="111" t="s">
        <v>1075</v>
      </c>
      <c r="D582" s="111" t="str">
        <f t="shared" ref="D582:E582" si="580">TRIM(B582)</f>
        <v>Arizona</v>
      </c>
      <c r="E582" s="111" t="str">
        <f t="shared" si="580"/>
        <v>Phoenix</v>
      </c>
    </row>
    <row r="583" spans="1:5">
      <c r="A583" s="3" t="s">
        <v>3017</v>
      </c>
      <c r="B583" s="110" t="s">
        <v>1319</v>
      </c>
      <c r="C583" s="111" t="s">
        <v>1075</v>
      </c>
      <c r="D583" s="111" t="str">
        <f t="shared" ref="D583:E583" si="581">TRIM(B583)</f>
        <v>Arizona</v>
      </c>
      <c r="E583" s="111" t="str">
        <f t="shared" si="581"/>
        <v>Phoenix</v>
      </c>
    </row>
    <row r="584" spans="1:5">
      <c r="A584" s="3" t="s">
        <v>3020</v>
      </c>
      <c r="B584" s="110" t="s">
        <v>1319</v>
      </c>
      <c r="C584" s="111" t="s">
        <v>1075</v>
      </c>
      <c r="D584" s="111" t="str">
        <f t="shared" ref="D584:E584" si="582">TRIM(B584)</f>
        <v>Arizona</v>
      </c>
      <c r="E584" s="111" t="str">
        <f t="shared" si="582"/>
        <v>Phoenix</v>
      </c>
    </row>
    <row r="585" spans="1:5">
      <c r="A585" s="3" t="s">
        <v>3021</v>
      </c>
      <c r="B585" s="110" t="s">
        <v>1319</v>
      </c>
      <c r="C585" s="111" t="s">
        <v>1075</v>
      </c>
      <c r="D585" s="111" t="str">
        <f t="shared" ref="D585:E585" si="583">TRIM(B585)</f>
        <v>Arizona</v>
      </c>
      <c r="E585" s="111" t="str">
        <f t="shared" si="583"/>
        <v>Phoenix</v>
      </c>
    </row>
    <row r="586" spans="1:5">
      <c r="A586" s="110" t="s">
        <v>3024</v>
      </c>
      <c r="B586" s="110" t="s">
        <v>1319</v>
      </c>
      <c r="C586" s="111" t="s">
        <v>1075</v>
      </c>
      <c r="D586" s="111" t="str">
        <f t="shared" ref="D586:E586" si="584">TRIM(B586)</f>
        <v>Arizona</v>
      </c>
      <c r="E586" s="111" t="str">
        <f t="shared" si="584"/>
        <v>Phoenix</v>
      </c>
    </row>
    <row r="587" spans="1:5">
      <c r="A587" s="3" t="s">
        <v>3026</v>
      </c>
      <c r="B587" s="110" t="s">
        <v>1319</v>
      </c>
      <c r="C587" s="111" t="s">
        <v>1075</v>
      </c>
      <c r="D587" s="111" t="str">
        <f t="shared" ref="D587:E587" si="585">TRIM(B587)</f>
        <v>Arizona</v>
      </c>
      <c r="E587" s="111" t="str">
        <f t="shared" si="585"/>
        <v>Phoenix</v>
      </c>
    </row>
    <row r="588" spans="1:5">
      <c r="A588" s="110" t="s">
        <v>3027</v>
      </c>
      <c r="B588" s="110" t="s">
        <v>1319</v>
      </c>
      <c r="C588" s="111" t="s">
        <v>1075</v>
      </c>
      <c r="D588" s="111" t="str">
        <f t="shared" ref="D588:E588" si="586">TRIM(B588)</f>
        <v>Arizona</v>
      </c>
      <c r="E588" s="111" t="str">
        <f t="shared" si="586"/>
        <v>Phoenix</v>
      </c>
    </row>
    <row r="589" spans="1:5">
      <c r="A589" s="110" t="s">
        <v>3031</v>
      </c>
      <c r="B589" s="110" t="s">
        <v>1319</v>
      </c>
      <c r="C589" s="111" t="s">
        <v>1075</v>
      </c>
      <c r="D589" s="111" t="str">
        <f t="shared" ref="D589:E589" si="587">TRIM(B589)</f>
        <v>Arizona</v>
      </c>
      <c r="E589" s="111" t="str">
        <f t="shared" si="587"/>
        <v>Phoenix</v>
      </c>
    </row>
    <row r="590" spans="1:5">
      <c r="A590" s="110" t="s">
        <v>3032</v>
      </c>
      <c r="B590" s="110" t="s">
        <v>1319</v>
      </c>
      <c r="C590" s="111" t="s">
        <v>1075</v>
      </c>
      <c r="D590" s="111" t="str">
        <f t="shared" ref="D590:E590" si="588">TRIM(B590)</f>
        <v>Arizona</v>
      </c>
      <c r="E590" s="111" t="str">
        <f t="shared" si="588"/>
        <v>Phoenix</v>
      </c>
    </row>
    <row r="591" spans="1:5">
      <c r="A591" s="110" t="s">
        <v>3035</v>
      </c>
      <c r="B591" s="110" t="s">
        <v>1319</v>
      </c>
      <c r="C591" s="111" t="s">
        <v>1075</v>
      </c>
      <c r="D591" s="111" t="str">
        <f t="shared" ref="D591:E591" si="589">TRIM(B591)</f>
        <v>Arizona</v>
      </c>
      <c r="E591" s="111" t="str">
        <f t="shared" si="589"/>
        <v>Phoenix</v>
      </c>
    </row>
    <row r="592" spans="1:5">
      <c r="A592" s="3" t="s">
        <v>3037</v>
      </c>
      <c r="B592" s="110" t="s">
        <v>1319</v>
      </c>
      <c r="C592" s="111" t="s">
        <v>1075</v>
      </c>
      <c r="D592" s="111" t="str">
        <f t="shared" ref="D592:E592" si="590">TRIM(B592)</f>
        <v>Arizona</v>
      </c>
      <c r="E592" s="111" t="str">
        <f t="shared" si="590"/>
        <v>Phoenix</v>
      </c>
    </row>
    <row r="593" spans="1:5">
      <c r="A593" s="3" t="s">
        <v>3038</v>
      </c>
      <c r="B593" s="110" t="s">
        <v>1319</v>
      </c>
      <c r="C593" s="111" t="s">
        <v>1075</v>
      </c>
      <c r="D593" s="111" t="str">
        <f t="shared" ref="D593:E593" si="591">TRIM(B593)</f>
        <v>Arizona</v>
      </c>
      <c r="E593" s="111" t="str">
        <f t="shared" si="591"/>
        <v>Phoenix</v>
      </c>
    </row>
    <row r="594" spans="1:5">
      <c r="A594" s="3" t="s">
        <v>3041</v>
      </c>
      <c r="B594" s="110" t="s">
        <v>1319</v>
      </c>
      <c r="C594" s="111" t="s">
        <v>1075</v>
      </c>
      <c r="D594" s="111" t="str">
        <f t="shared" ref="D594:E594" si="592">TRIM(B594)</f>
        <v>Arizona</v>
      </c>
      <c r="E594" s="111" t="str">
        <f t="shared" si="592"/>
        <v>Phoenix</v>
      </c>
    </row>
    <row r="595" spans="1:5">
      <c r="A595" s="3" t="s">
        <v>3044</v>
      </c>
      <c r="B595" s="110" t="s">
        <v>1319</v>
      </c>
      <c r="C595" s="111" t="s">
        <v>1075</v>
      </c>
      <c r="D595" s="111" t="str">
        <f t="shared" ref="D595:E595" si="593">TRIM(B595)</f>
        <v>Arizona</v>
      </c>
      <c r="E595" s="111" t="str">
        <f t="shared" si="593"/>
        <v>Phoenix</v>
      </c>
    </row>
    <row r="596" spans="1:5">
      <c r="A596" s="110" t="s">
        <v>3045</v>
      </c>
      <c r="B596" s="110" t="s">
        <v>1319</v>
      </c>
      <c r="C596" s="111" t="s">
        <v>1075</v>
      </c>
      <c r="D596" s="111" t="str">
        <f t="shared" ref="D596:E596" si="594">TRIM(B596)</f>
        <v>Arizona</v>
      </c>
      <c r="E596" s="111" t="str">
        <f t="shared" si="594"/>
        <v>Phoenix</v>
      </c>
    </row>
    <row r="597" spans="1:5">
      <c r="A597" s="3" t="s">
        <v>3047</v>
      </c>
      <c r="B597" s="110" t="s">
        <v>1319</v>
      </c>
      <c r="C597" s="111" t="s">
        <v>1075</v>
      </c>
      <c r="D597" s="111" t="str">
        <f t="shared" ref="D597:E597" si="595">TRIM(B597)</f>
        <v>Arizona</v>
      </c>
      <c r="E597" s="111" t="str">
        <f t="shared" si="595"/>
        <v>Phoenix</v>
      </c>
    </row>
    <row r="598" spans="1:5">
      <c r="A598" s="3" t="s">
        <v>3049</v>
      </c>
      <c r="B598" s="110" t="s">
        <v>1319</v>
      </c>
      <c r="C598" s="111" t="s">
        <v>1075</v>
      </c>
      <c r="D598" s="111" t="str">
        <f t="shared" ref="D598:E598" si="596">TRIM(B598)</f>
        <v>Arizona</v>
      </c>
      <c r="E598" s="111" t="str">
        <f t="shared" si="596"/>
        <v>Phoenix</v>
      </c>
    </row>
    <row r="599" spans="1:5">
      <c r="A599" s="3" t="s">
        <v>3051</v>
      </c>
      <c r="B599" s="110" t="s">
        <v>1319</v>
      </c>
      <c r="C599" s="111" t="s">
        <v>1075</v>
      </c>
      <c r="D599" s="111" t="str">
        <f t="shared" ref="D599:E599" si="597">TRIM(B599)</f>
        <v>Arizona</v>
      </c>
      <c r="E599" s="111" t="str">
        <f t="shared" si="597"/>
        <v>Phoenix</v>
      </c>
    </row>
    <row r="600" spans="1:5">
      <c r="A600" s="110" t="s">
        <v>3054</v>
      </c>
      <c r="B600" s="110" t="s">
        <v>1319</v>
      </c>
      <c r="C600" s="111" t="s">
        <v>1075</v>
      </c>
      <c r="D600" s="111" t="str">
        <f t="shared" ref="D600:E600" si="598">TRIM(B600)</f>
        <v>Arizona</v>
      </c>
      <c r="E600" s="111" t="str">
        <f t="shared" si="598"/>
        <v>Phoenix</v>
      </c>
    </row>
    <row r="601" spans="1:5">
      <c r="A601" s="3" t="s">
        <v>3055</v>
      </c>
      <c r="B601" s="110" t="s">
        <v>1319</v>
      </c>
      <c r="C601" s="111" t="s">
        <v>1075</v>
      </c>
      <c r="D601" s="111" t="str">
        <f t="shared" ref="D601:E601" si="599">TRIM(B601)</f>
        <v>Arizona</v>
      </c>
      <c r="E601" s="111" t="str">
        <f t="shared" si="599"/>
        <v>Phoenix</v>
      </c>
    </row>
    <row r="602" spans="1:5">
      <c r="A602" s="3" t="s">
        <v>3058</v>
      </c>
      <c r="B602" s="110" t="s">
        <v>1319</v>
      </c>
      <c r="C602" s="111" t="s">
        <v>1075</v>
      </c>
      <c r="D602" s="111" t="str">
        <f t="shared" ref="D602:E602" si="600">TRIM(B602)</f>
        <v>Arizona</v>
      </c>
      <c r="E602" s="111" t="str">
        <f t="shared" si="600"/>
        <v>Phoenix</v>
      </c>
    </row>
    <row r="603" spans="1:5">
      <c r="A603" s="3" t="s">
        <v>3060</v>
      </c>
      <c r="B603" s="110" t="s">
        <v>1319</v>
      </c>
      <c r="C603" s="111" t="s">
        <v>1075</v>
      </c>
      <c r="D603" s="111" t="str">
        <f t="shared" ref="D603:E603" si="601">TRIM(B603)</f>
        <v>Arizona</v>
      </c>
      <c r="E603" s="111" t="str">
        <f t="shared" si="601"/>
        <v>Phoenix</v>
      </c>
    </row>
    <row r="604" spans="1:5">
      <c r="A604" s="3" t="s">
        <v>3062</v>
      </c>
      <c r="B604" s="110" t="s">
        <v>1319</v>
      </c>
      <c r="C604" s="111" t="s">
        <v>1075</v>
      </c>
      <c r="D604" s="111" t="str">
        <f t="shared" ref="D604:E604" si="602">TRIM(B604)</f>
        <v>Arizona</v>
      </c>
      <c r="E604" s="111" t="str">
        <f t="shared" si="602"/>
        <v>Phoenix</v>
      </c>
    </row>
    <row r="605" spans="1:5">
      <c r="A605" s="3" t="s">
        <v>3065</v>
      </c>
      <c r="B605" s="110" t="s">
        <v>1319</v>
      </c>
      <c r="C605" s="111" t="s">
        <v>1075</v>
      </c>
      <c r="D605" s="111" t="str">
        <f t="shared" ref="D605:E605" si="603">TRIM(B605)</f>
        <v>Arizona</v>
      </c>
      <c r="E605" s="111" t="str">
        <f t="shared" si="603"/>
        <v>Phoenix</v>
      </c>
    </row>
    <row r="606" spans="1:5">
      <c r="A606" s="3" t="s">
        <v>3067</v>
      </c>
      <c r="B606" s="110" t="s">
        <v>1319</v>
      </c>
      <c r="C606" s="111" t="s">
        <v>1075</v>
      </c>
      <c r="D606" s="111" t="str">
        <f t="shared" ref="D606:E606" si="604">TRIM(B606)</f>
        <v>Arizona</v>
      </c>
      <c r="E606" s="111" t="str">
        <f t="shared" si="604"/>
        <v>Phoenix</v>
      </c>
    </row>
    <row r="607" spans="1:5">
      <c r="A607" s="3" t="s">
        <v>3069</v>
      </c>
      <c r="B607" s="110" t="s">
        <v>1319</v>
      </c>
      <c r="C607" s="111" t="s">
        <v>1075</v>
      </c>
      <c r="D607" s="111" t="str">
        <f t="shared" ref="D607:E607" si="605">TRIM(B607)</f>
        <v>Arizona</v>
      </c>
      <c r="E607" s="111" t="str">
        <f t="shared" si="605"/>
        <v>Phoenix</v>
      </c>
    </row>
    <row r="608" spans="1:5">
      <c r="A608" s="110" t="s">
        <v>3070</v>
      </c>
      <c r="B608" s="110" t="s">
        <v>1319</v>
      </c>
      <c r="C608" s="111" t="s">
        <v>1075</v>
      </c>
      <c r="D608" s="111" t="str">
        <f t="shared" ref="D608:E608" si="606">TRIM(B608)</f>
        <v>Arizona</v>
      </c>
      <c r="E608" s="111" t="str">
        <f t="shared" si="606"/>
        <v>Phoenix</v>
      </c>
    </row>
    <row r="609" spans="1:5">
      <c r="A609" s="110" t="s">
        <v>3072</v>
      </c>
      <c r="B609" s="110" t="s">
        <v>1319</v>
      </c>
      <c r="C609" s="111" t="s">
        <v>1075</v>
      </c>
      <c r="D609" s="111" t="str">
        <f t="shared" ref="D609:E609" si="607">TRIM(B609)</f>
        <v>Arizona</v>
      </c>
      <c r="E609" s="111" t="str">
        <f t="shared" si="607"/>
        <v>Phoenix</v>
      </c>
    </row>
    <row r="610" spans="1:5">
      <c r="A610" s="110" t="s">
        <v>3075</v>
      </c>
      <c r="B610" s="110" t="s">
        <v>1319</v>
      </c>
      <c r="C610" s="111" t="s">
        <v>1075</v>
      </c>
      <c r="D610" s="111" t="str">
        <f t="shared" ref="D610:E610" si="608">TRIM(B610)</f>
        <v>Arizona</v>
      </c>
      <c r="E610" s="111" t="str">
        <f t="shared" si="608"/>
        <v>Phoenix</v>
      </c>
    </row>
    <row r="611" spans="1:5">
      <c r="A611" s="110" t="s">
        <v>3076</v>
      </c>
      <c r="B611" s="110" t="s">
        <v>1319</v>
      </c>
      <c r="C611" s="111" t="s">
        <v>1075</v>
      </c>
      <c r="D611" s="111" t="str">
        <f t="shared" ref="D611:E611" si="609">TRIM(B611)</f>
        <v>Arizona</v>
      </c>
      <c r="E611" s="111" t="str">
        <f t="shared" si="609"/>
        <v>Phoenix</v>
      </c>
    </row>
    <row r="612" spans="1:5">
      <c r="A612" s="3" t="s">
        <v>3077</v>
      </c>
      <c r="B612" s="110" t="s">
        <v>1319</v>
      </c>
      <c r="C612" s="111" t="s">
        <v>1075</v>
      </c>
      <c r="D612" s="111" t="str">
        <f t="shared" ref="D612:E612" si="610">TRIM(B612)</f>
        <v>Arizona</v>
      </c>
      <c r="E612" s="111" t="str">
        <f t="shared" si="610"/>
        <v>Phoenix</v>
      </c>
    </row>
    <row r="613" spans="1:5">
      <c r="A613" s="110" t="s">
        <v>3079</v>
      </c>
      <c r="B613" s="110" t="s">
        <v>1319</v>
      </c>
      <c r="C613" s="111" t="s">
        <v>1075</v>
      </c>
      <c r="D613" s="111" t="str">
        <f t="shared" ref="D613:E613" si="611">TRIM(B613)</f>
        <v>Arizona</v>
      </c>
      <c r="E613" s="111" t="str">
        <f t="shared" si="611"/>
        <v>Phoenix</v>
      </c>
    </row>
    <row r="614" spans="1:5">
      <c r="A614" s="3" t="s">
        <v>3081</v>
      </c>
      <c r="B614" s="110" t="s">
        <v>1319</v>
      </c>
      <c r="C614" s="111" t="s">
        <v>1075</v>
      </c>
      <c r="D614" s="111" t="str">
        <f t="shared" ref="D614:E614" si="612">TRIM(B614)</f>
        <v>Arizona</v>
      </c>
      <c r="E614" s="111" t="str">
        <f t="shared" si="612"/>
        <v>Phoenix</v>
      </c>
    </row>
    <row r="615" spans="1:5">
      <c r="A615" s="3" t="s">
        <v>3083</v>
      </c>
      <c r="B615" s="110" t="s">
        <v>1319</v>
      </c>
      <c r="C615" s="111" t="s">
        <v>1075</v>
      </c>
      <c r="D615" s="111" t="str">
        <f t="shared" ref="D615:E615" si="613">TRIM(B615)</f>
        <v>Arizona</v>
      </c>
      <c r="E615" s="111" t="str">
        <f t="shared" si="613"/>
        <v>Phoenix</v>
      </c>
    </row>
    <row r="616" spans="1:5">
      <c r="A616" s="3" t="s">
        <v>3085</v>
      </c>
      <c r="B616" s="110" t="s">
        <v>1319</v>
      </c>
      <c r="C616" s="111" t="s">
        <v>1075</v>
      </c>
      <c r="D616" s="111" t="str">
        <f t="shared" ref="D616:E616" si="614">TRIM(B616)</f>
        <v>Arizona</v>
      </c>
      <c r="E616" s="111" t="str">
        <f t="shared" si="614"/>
        <v>Phoenix</v>
      </c>
    </row>
    <row r="617" spans="1:5">
      <c r="A617" s="110" t="s">
        <v>3086</v>
      </c>
      <c r="B617" s="110" t="s">
        <v>1319</v>
      </c>
      <c r="C617" s="111" t="s">
        <v>1075</v>
      </c>
      <c r="D617" s="111" t="str">
        <f t="shared" ref="D617:E617" si="615">TRIM(B617)</f>
        <v>Arizona</v>
      </c>
      <c r="E617" s="111" t="str">
        <f t="shared" si="615"/>
        <v>Phoenix</v>
      </c>
    </row>
    <row r="618" spans="1:5">
      <c r="A618" s="3" t="s">
        <v>3088</v>
      </c>
      <c r="B618" s="110" t="s">
        <v>1319</v>
      </c>
      <c r="C618" s="111" t="s">
        <v>1075</v>
      </c>
      <c r="D618" s="111" t="str">
        <f t="shared" ref="D618:E618" si="616">TRIM(B618)</f>
        <v>Arizona</v>
      </c>
      <c r="E618" s="111" t="str">
        <f t="shared" si="616"/>
        <v>Phoenix</v>
      </c>
    </row>
    <row r="619" spans="1:5">
      <c r="A619" s="3" t="s">
        <v>3091</v>
      </c>
      <c r="B619" s="110" t="s">
        <v>1319</v>
      </c>
      <c r="C619" s="111" t="s">
        <v>1075</v>
      </c>
      <c r="D619" s="111" t="str">
        <f t="shared" ref="D619:E619" si="617">TRIM(B619)</f>
        <v>Arizona</v>
      </c>
      <c r="E619" s="111" t="str">
        <f t="shared" si="617"/>
        <v>Phoenix</v>
      </c>
    </row>
    <row r="620" spans="1:5">
      <c r="A620" s="3" t="s">
        <v>3092</v>
      </c>
      <c r="B620" s="110" t="s">
        <v>1319</v>
      </c>
      <c r="C620" s="111" t="s">
        <v>1075</v>
      </c>
      <c r="D620" s="111" t="str">
        <f t="shared" ref="D620:E620" si="618">TRIM(B620)</f>
        <v>Arizona</v>
      </c>
      <c r="E620" s="111" t="str">
        <f t="shared" si="618"/>
        <v>Phoenix</v>
      </c>
    </row>
    <row r="621" spans="1:5">
      <c r="A621" s="3" t="s">
        <v>3095</v>
      </c>
      <c r="B621" s="110" t="s">
        <v>1319</v>
      </c>
      <c r="C621" s="111" t="s">
        <v>1075</v>
      </c>
      <c r="D621" s="111" t="str">
        <f t="shared" ref="D621:E621" si="619">TRIM(B621)</f>
        <v>Arizona</v>
      </c>
      <c r="E621" s="111" t="str">
        <f t="shared" si="619"/>
        <v>Phoenix</v>
      </c>
    </row>
    <row r="622" spans="1:5">
      <c r="A622" s="3" t="s">
        <v>3101</v>
      </c>
      <c r="B622" s="110" t="s">
        <v>1319</v>
      </c>
      <c r="C622" s="111" t="s">
        <v>1075</v>
      </c>
      <c r="D622" s="111" t="str">
        <f t="shared" ref="D622:E622" si="620">TRIM(B622)</f>
        <v>Arizona</v>
      </c>
      <c r="E622" s="111" t="str">
        <f t="shared" si="620"/>
        <v>Phoenix</v>
      </c>
    </row>
    <row r="623" spans="1:5">
      <c r="A623" s="3" t="s">
        <v>3104</v>
      </c>
      <c r="B623" s="110" t="s">
        <v>1319</v>
      </c>
      <c r="C623" s="111" t="s">
        <v>1075</v>
      </c>
      <c r="D623" s="111" t="str">
        <f t="shared" ref="D623:E623" si="621">TRIM(B623)</f>
        <v>Arizona</v>
      </c>
      <c r="E623" s="111" t="str">
        <f t="shared" si="621"/>
        <v>Phoenix</v>
      </c>
    </row>
    <row r="624" spans="1:5">
      <c r="A624" s="3" t="s">
        <v>3105</v>
      </c>
      <c r="B624" s="110" t="s">
        <v>1319</v>
      </c>
      <c r="C624" s="111" t="s">
        <v>1075</v>
      </c>
      <c r="D624" s="111" t="str">
        <f t="shared" ref="D624:E624" si="622">TRIM(B624)</f>
        <v>Arizona</v>
      </c>
      <c r="E624" s="111" t="str">
        <f t="shared" si="622"/>
        <v>Phoenix</v>
      </c>
    </row>
    <row r="625" spans="1:5">
      <c r="A625" s="3" t="s">
        <v>3109</v>
      </c>
      <c r="B625" s="110" t="s">
        <v>1319</v>
      </c>
      <c r="C625" s="111" t="s">
        <v>1075</v>
      </c>
      <c r="D625" s="111" t="str">
        <f t="shared" ref="D625:E625" si="623">TRIM(B625)</f>
        <v>Arizona</v>
      </c>
      <c r="E625" s="111" t="str">
        <f t="shared" si="623"/>
        <v>Phoenix</v>
      </c>
    </row>
    <row r="626" spans="1:5">
      <c r="A626" s="3" t="s">
        <v>3110</v>
      </c>
      <c r="B626" s="110" t="s">
        <v>1319</v>
      </c>
      <c r="C626" s="111" t="s">
        <v>1075</v>
      </c>
      <c r="D626" s="111" t="str">
        <f t="shared" ref="D626:E626" si="624">TRIM(B626)</f>
        <v>Arizona</v>
      </c>
      <c r="E626" s="111" t="str">
        <f t="shared" si="624"/>
        <v>Phoenix</v>
      </c>
    </row>
    <row r="627" spans="1:5">
      <c r="A627" s="3" t="s">
        <v>3113</v>
      </c>
      <c r="B627" s="110" t="s">
        <v>1319</v>
      </c>
      <c r="C627" s="111" t="s">
        <v>1075</v>
      </c>
      <c r="D627" s="111" t="str">
        <f t="shared" ref="D627:E627" si="625">TRIM(B627)</f>
        <v>Arizona</v>
      </c>
      <c r="E627" s="111" t="str">
        <f t="shared" si="625"/>
        <v>Phoenix</v>
      </c>
    </row>
    <row r="628" spans="1:5">
      <c r="A628" s="3" t="s">
        <v>3115</v>
      </c>
      <c r="B628" s="110" t="s">
        <v>1319</v>
      </c>
      <c r="C628" s="111" t="s">
        <v>1075</v>
      </c>
      <c r="D628" s="111" t="str">
        <f t="shared" ref="D628:E628" si="626">TRIM(B628)</f>
        <v>Arizona</v>
      </c>
      <c r="E628" s="111" t="str">
        <f t="shared" si="626"/>
        <v>Phoenix</v>
      </c>
    </row>
    <row r="629" spans="1:5">
      <c r="A629" s="3" t="s">
        <v>3116</v>
      </c>
      <c r="B629" s="110" t="s">
        <v>1319</v>
      </c>
      <c r="C629" s="111" t="s">
        <v>1075</v>
      </c>
      <c r="D629" s="111" t="str">
        <f t="shared" ref="D629:E629" si="627">TRIM(B629)</f>
        <v>Arizona</v>
      </c>
      <c r="E629" s="111" t="str">
        <f t="shared" si="627"/>
        <v>Phoenix</v>
      </c>
    </row>
    <row r="630" spans="1:5">
      <c r="A630" s="3" t="s">
        <v>3120</v>
      </c>
      <c r="B630" s="110" t="s">
        <v>1319</v>
      </c>
      <c r="C630" s="111" t="s">
        <v>1075</v>
      </c>
      <c r="D630" s="111" t="str">
        <f t="shared" ref="D630:E630" si="628">TRIM(B630)</f>
        <v>Arizona</v>
      </c>
      <c r="E630" s="111" t="str">
        <f t="shared" si="628"/>
        <v>Phoenix</v>
      </c>
    </row>
    <row r="631" spans="1:5">
      <c r="A631" s="3" t="s">
        <v>3121</v>
      </c>
      <c r="B631" s="110" t="s">
        <v>1319</v>
      </c>
      <c r="C631" s="111" t="s">
        <v>1075</v>
      </c>
      <c r="D631" s="111" t="str">
        <f t="shared" ref="D631:E631" si="629">TRIM(B631)</f>
        <v>Arizona</v>
      </c>
      <c r="E631" s="111" t="str">
        <f t="shared" si="629"/>
        <v>Phoenix</v>
      </c>
    </row>
    <row r="632" spans="1:5">
      <c r="A632" s="3" t="s">
        <v>3123</v>
      </c>
      <c r="B632" s="110" t="s">
        <v>1319</v>
      </c>
      <c r="C632" s="111" t="s">
        <v>1075</v>
      </c>
      <c r="D632" s="111" t="str">
        <f t="shared" ref="D632:E632" si="630">TRIM(B632)</f>
        <v>Arizona</v>
      </c>
      <c r="E632" s="111" t="str">
        <f t="shared" si="630"/>
        <v>Phoenix</v>
      </c>
    </row>
    <row r="633" spans="1:5">
      <c r="A633" s="3" t="s">
        <v>3126</v>
      </c>
      <c r="B633" s="110" t="s">
        <v>1319</v>
      </c>
      <c r="C633" s="111" t="s">
        <v>1075</v>
      </c>
      <c r="D633" s="111" t="str">
        <f t="shared" ref="D633:E633" si="631">TRIM(B633)</f>
        <v>Arizona</v>
      </c>
      <c r="E633" s="111" t="str">
        <f t="shared" si="631"/>
        <v>Phoenix</v>
      </c>
    </row>
    <row r="634" spans="1:5">
      <c r="A634" s="110" t="s">
        <v>3127</v>
      </c>
      <c r="B634" s="110" t="s">
        <v>1319</v>
      </c>
      <c r="C634" s="111" t="s">
        <v>1075</v>
      </c>
      <c r="D634" s="111" t="str">
        <f t="shared" ref="D634:E634" si="632">TRIM(B634)</f>
        <v>Arizona</v>
      </c>
      <c r="E634" s="111" t="str">
        <f t="shared" si="632"/>
        <v>Phoenix</v>
      </c>
    </row>
    <row r="635" spans="1:5">
      <c r="A635" s="110" t="s">
        <v>3131</v>
      </c>
      <c r="B635" s="110" t="s">
        <v>1319</v>
      </c>
      <c r="C635" s="111" t="s">
        <v>1075</v>
      </c>
      <c r="D635" s="111" t="str">
        <f t="shared" ref="D635:E635" si="633">TRIM(B635)</f>
        <v>Arizona</v>
      </c>
      <c r="E635" s="111" t="str">
        <f t="shared" si="633"/>
        <v>Phoenix</v>
      </c>
    </row>
    <row r="636" spans="1:5">
      <c r="A636" s="3" t="s">
        <v>3132</v>
      </c>
      <c r="B636" s="110" t="s">
        <v>1319</v>
      </c>
      <c r="C636" s="111" t="s">
        <v>1075</v>
      </c>
      <c r="D636" s="111" t="str">
        <f t="shared" ref="D636:E636" si="634">TRIM(B636)</f>
        <v>Arizona</v>
      </c>
      <c r="E636" s="111" t="str">
        <f t="shared" si="634"/>
        <v>Phoenix</v>
      </c>
    </row>
    <row r="637" spans="1:5">
      <c r="A637" s="3" t="s">
        <v>3134</v>
      </c>
      <c r="B637" s="110" t="s">
        <v>1319</v>
      </c>
      <c r="C637" s="111" t="s">
        <v>1075</v>
      </c>
      <c r="D637" s="111" t="str">
        <f t="shared" ref="D637:E637" si="635">TRIM(B637)</f>
        <v>Arizona</v>
      </c>
      <c r="E637" s="111" t="str">
        <f t="shared" si="635"/>
        <v>Phoenix</v>
      </c>
    </row>
    <row r="638" spans="1:5">
      <c r="A638" s="3" t="s">
        <v>3135</v>
      </c>
      <c r="B638" s="110" t="s">
        <v>1319</v>
      </c>
      <c r="C638" s="111" t="s">
        <v>1075</v>
      </c>
      <c r="D638" s="111" t="str">
        <f t="shared" ref="D638:E638" si="636">TRIM(B638)</f>
        <v>Arizona</v>
      </c>
      <c r="E638" s="111" t="str">
        <f t="shared" si="636"/>
        <v>Phoenix</v>
      </c>
    </row>
    <row r="639" spans="1:5">
      <c r="A639" s="3" t="s">
        <v>3138</v>
      </c>
      <c r="B639" s="110" t="s">
        <v>1319</v>
      </c>
      <c r="C639" s="111" t="s">
        <v>1075</v>
      </c>
      <c r="D639" s="111" t="str">
        <f t="shared" ref="D639:E639" si="637">TRIM(B639)</f>
        <v>Arizona</v>
      </c>
      <c r="E639" s="111" t="str">
        <f t="shared" si="637"/>
        <v>Phoenix</v>
      </c>
    </row>
    <row r="640" spans="1:5">
      <c r="A640" s="3" t="s">
        <v>3140</v>
      </c>
      <c r="B640" s="110" t="s">
        <v>1319</v>
      </c>
      <c r="C640" s="111" t="s">
        <v>1075</v>
      </c>
      <c r="D640" s="111" t="str">
        <f t="shared" ref="D640:E640" si="638">TRIM(B640)</f>
        <v>Arizona</v>
      </c>
      <c r="E640" s="111" t="str">
        <f t="shared" si="638"/>
        <v>Phoenix</v>
      </c>
    </row>
    <row r="641" spans="1:5">
      <c r="A641" s="3" t="s">
        <v>3142</v>
      </c>
      <c r="B641" s="110" t="s">
        <v>1319</v>
      </c>
      <c r="C641" s="111" t="s">
        <v>1075</v>
      </c>
      <c r="D641" s="111" t="str">
        <f t="shared" ref="D641:E641" si="639">TRIM(B641)</f>
        <v>Arizona</v>
      </c>
      <c r="E641" s="111" t="str">
        <f t="shared" si="639"/>
        <v>Phoenix</v>
      </c>
    </row>
    <row r="642" spans="1:5">
      <c r="A642" s="110" t="s">
        <v>3145</v>
      </c>
      <c r="B642" s="110" t="s">
        <v>1319</v>
      </c>
      <c r="C642" s="111" t="s">
        <v>1075</v>
      </c>
      <c r="D642" s="111" t="str">
        <f t="shared" ref="D642:E642" si="640">TRIM(B642)</f>
        <v>Arizona</v>
      </c>
      <c r="E642" s="111" t="str">
        <f t="shared" si="640"/>
        <v>Phoenix</v>
      </c>
    </row>
    <row r="643" spans="1:5">
      <c r="A643" s="110" t="s">
        <v>3147</v>
      </c>
      <c r="B643" s="110" t="s">
        <v>1319</v>
      </c>
      <c r="C643" s="111" t="s">
        <v>3148</v>
      </c>
      <c r="D643" s="111" t="str">
        <f t="shared" ref="D643:E643" si="641">TRIM(B643)</f>
        <v>Arizona</v>
      </c>
      <c r="E643" s="111" t="str">
        <f t="shared" si="641"/>
        <v>Pima</v>
      </c>
    </row>
    <row r="644" spans="1:5">
      <c r="A644" s="3" t="s">
        <v>3149</v>
      </c>
      <c r="B644" s="110" t="s">
        <v>1319</v>
      </c>
      <c r="C644" s="111" t="s">
        <v>3148</v>
      </c>
      <c r="D644" s="111" t="str">
        <f t="shared" ref="D644:E644" si="642">TRIM(B644)</f>
        <v>Arizona</v>
      </c>
      <c r="E644" s="111" t="str">
        <f t="shared" si="642"/>
        <v>Pima</v>
      </c>
    </row>
    <row r="645" spans="1:5">
      <c r="A645" s="3" t="s">
        <v>3153</v>
      </c>
      <c r="B645" s="110" t="s">
        <v>1319</v>
      </c>
      <c r="C645" s="111" t="s">
        <v>3154</v>
      </c>
      <c r="D645" s="111" t="str">
        <f t="shared" ref="D645:E645" si="643">TRIM(B645)</f>
        <v>Arizona</v>
      </c>
      <c r="E645" s="111" t="str">
        <f t="shared" si="643"/>
        <v>Pinon</v>
      </c>
    </row>
    <row r="646" spans="1:5">
      <c r="A646" s="3" t="s">
        <v>3155</v>
      </c>
      <c r="B646" s="110" t="s">
        <v>1319</v>
      </c>
      <c r="C646" s="111" t="s">
        <v>382</v>
      </c>
      <c r="D646" s="111" t="str">
        <f t="shared" ref="D646:E646" si="644">TRIM(B646)</f>
        <v>Arizona</v>
      </c>
      <c r="E646" s="111" t="str">
        <f t="shared" si="644"/>
        <v>Prescott</v>
      </c>
    </row>
    <row r="647" spans="1:5">
      <c r="A647" s="3" t="s">
        <v>3156</v>
      </c>
      <c r="B647" s="110" t="s">
        <v>1319</v>
      </c>
      <c r="C647" s="111" t="s">
        <v>382</v>
      </c>
      <c r="D647" s="111" t="str">
        <f t="shared" ref="D647:E647" si="645">TRIM(B647)</f>
        <v>Arizona</v>
      </c>
      <c r="E647" s="111" t="str">
        <f t="shared" si="645"/>
        <v>Prescott</v>
      </c>
    </row>
    <row r="648" spans="1:5">
      <c r="A648" s="3" t="s">
        <v>3160</v>
      </c>
      <c r="B648" s="110" t="s">
        <v>1319</v>
      </c>
      <c r="C648" s="111" t="s">
        <v>382</v>
      </c>
      <c r="D648" s="111" t="str">
        <f t="shared" ref="D648:E648" si="646">TRIM(B648)</f>
        <v>Arizona</v>
      </c>
      <c r="E648" s="111" t="str">
        <f t="shared" si="646"/>
        <v>Prescott</v>
      </c>
    </row>
    <row r="649" spans="1:5">
      <c r="A649" s="3" t="s">
        <v>3161</v>
      </c>
      <c r="B649" s="110" t="s">
        <v>1319</v>
      </c>
      <c r="C649" s="111" t="s">
        <v>382</v>
      </c>
      <c r="D649" s="111" t="str">
        <f t="shared" ref="D649:E649" si="647">TRIM(B649)</f>
        <v>Arizona</v>
      </c>
      <c r="E649" s="111" t="str">
        <f t="shared" si="647"/>
        <v>Prescott</v>
      </c>
    </row>
    <row r="650" spans="1:5">
      <c r="A650" s="3" t="s">
        <v>3163</v>
      </c>
      <c r="B650" s="110" t="s">
        <v>1319</v>
      </c>
      <c r="C650" s="111" t="s">
        <v>465</v>
      </c>
      <c r="D650" s="111" t="str">
        <f t="shared" ref="D650:E650" si="648">TRIM(B650)</f>
        <v>Arizona</v>
      </c>
      <c r="E650" s="111" t="str">
        <f t="shared" si="648"/>
        <v>Prescott Valley</v>
      </c>
    </row>
    <row r="651" spans="1:5">
      <c r="A651" s="3" t="s">
        <v>3165</v>
      </c>
      <c r="B651" s="110" t="s">
        <v>1319</v>
      </c>
      <c r="C651" s="111" t="s">
        <v>465</v>
      </c>
      <c r="D651" s="111" t="str">
        <f t="shared" ref="D651:E651" si="649">TRIM(B651)</f>
        <v>Arizona</v>
      </c>
      <c r="E651" s="111" t="str">
        <f t="shared" si="649"/>
        <v>Prescott Valley</v>
      </c>
    </row>
    <row r="652" spans="1:5">
      <c r="A652" s="3" t="s">
        <v>3166</v>
      </c>
      <c r="B652" s="110" t="s">
        <v>1319</v>
      </c>
      <c r="C652" s="111" t="s">
        <v>465</v>
      </c>
      <c r="D652" s="111" t="str">
        <f t="shared" ref="D652:E652" si="650">TRIM(B652)</f>
        <v>Arizona</v>
      </c>
      <c r="E652" s="111" t="str">
        <f t="shared" si="650"/>
        <v>Prescott Valley</v>
      </c>
    </row>
    <row r="653" spans="1:5">
      <c r="A653" s="3" t="s">
        <v>3169</v>
      </c>
      <c r="B653" s="110" t="s">
        <v>1319</v>
      </c>
      <c r="C653" s="111" t="s">
        <v>465</v>
      </c>
      <c r="D653" s="111" t="str">
        <f t="shared" ref="D653:E653" si="651">TRIM(B653)</f>
        <v>Arizona</v>
      </c>
      <c r="E653" s="111" t="str">
        <f t="shared" si="651"/>
        <v>Prescott Valley</v>
      </c>
    </row>
    <row r="654" spans="1:5">
      <c r="A654" s="3" t="s">
        <v>3170</v>
      </c>
      <c r="B654" s="110" t="s">
        <v>1319</v>
      </c>
      <c r="C654" s="111" t="s">
        <v>3171</v>
      </c>
      <c r="D654" s="111" t="str">
        <f t="shared" ref="D654:E654" si="652">TRIM(B654)</f>
        <v>Arizona</v>
      </c>
      <c r="E654" s="111" t="str">
        <f t="shared" si="652"/>
        <v>Queen Creek</v>
      </c>
    </row>
    <row r="655" spans="1:5">
      <c r="A655" s="3" t="s">
        <v>3172</v>
      </c>
      <c r="B655" s="110" t="s">
        <v>1319</v>
      </c>
      <c r="C655" s="111" t="s">
        <v>3171</v>
      </c>
      <c r="D655" s="111" t="str">
        <f t="shared" ref="D655:E655" si="653">TRIM(B655)</f>
        <v>Arizona</v>
      </c>
      <c r="E655" s="111" t="str">
        <f t="shared" si="653"/>
        <v>Queen Creek</v>
      </c>
    </row>
    <row r="656" spans="1:5">
      <c r="A656" s="3" t="s">
        <v>3176</v>
      </c>
      <c r="B656" s="110" t="s">
        <v>1319</v>
      </c>
      <c r="C656" s="111" t="s">
        <v>3171</v>
      </c>
      <c r="D656" s="111" t="str">
        <f t="shared" ref="D656:E656" si="654">TRIM(B656)</f>
        <v>Arizona</v>
      </c>
      <c r="E656" s="111" t="str">
        <f t="shared" si="654"/>
        <v>Queen Creek</v>
      </c>
    </row>
    <row r="657" spans="1:5">
      <c r="A657" s="3" t="s">
        <v>3177</v>
      </c>
      <c r="B657" s="110" t="s">
        <v>1319</v>
      </c>
      <c r="C657" s="111" t="s">
        <v>3171</v>
      </c>
      <c r="D657" s="111" t="str">
        <f t="shared" ref="D657:E657" si="655">TRIM(B657)</f>
        <v>Arizona</v>
      </c>
      <c r="E657" s="111" t="str">
        <f t="shared" si="655"/>
        <v>Queen Creek</v>
      </c>
    </row>
    <row r="658" spans="1:5">
      <c r="A658" s="3" t="s">
        <v>3179</v>
      </c>
      <c r="B658" s="110" t="s">
        <v>1319</v>
      </c>
      <c r="C658" s="111" t="s">
        <v>3180</v>
      </c>
      <c r="D658" s="111" t="str">
        <f t="shared" ref="D658:E658" si="656">TRIM(B658)</f>
        <v>Arizona</v>
      </c>
      <c r="E658" s="111" t="str">
        <f t="shared" si="656"/>
        <v>Rio Rico</v>
      </c>
    </row>
    <row r="659" spans="1:5">
      <c r="A659" s="3" t="s">
        <v>3183</v>
      </c>
      <c r="B659" s="110" t="s">
        <v>1319</v>
      </c>
      <c r="C659" s="111" t="s">
        <v>3184</v>
      </c>
      <c r="D659" s="111" t="str">
        <f t="shared" ref="D659:E659" si="657">TRIM(B659)</f>
        <v>Arizona</v>
      </c>
      <c r="E659" s="111" t="str">
        <f t="shared" si="657"/>
        <v>Safford</v>
      </c>
    </row>
    <row r="660" spans="1:5">
      <c r="A660" s="3" t="s">
        <v>3185</v>
      </c>
      <c r="B660" s="110" t="s">
        <v>1319</v>
      </c>
      <c r="C660" s="111" t="s">
        <v>3184</v>
      </c>
      <c r="D660" s="111" t="str">
        <f t="shared" ref="D660:E660" si="658">TRIM(B660)</f>
        <v>Arizona</v>
      </c>
      <c r="E660" s="111" t="str">
        <f t="shared" si="658"/>
        <v>Safford</v>
      </c>
    </row>
    <row r="661" spans="1:5">
      <c r="A661" s="3" t="s">
        <v>3189</v>
      </c>
      <c r="B661" s="110" t="s">
        <v>1319</v>
      </c>
      <c r="C661" s="111" t="s">
        <v>3184</v>
      </c>
      <c r="D661" s="111" t="str">
        <f t="shared" ref="D661:E661" si="659">TRIM(B661)</f>
        <v>Arizona</v>
      </c>
      <c r="E661" s="111" t="str">
        <f t="shared" si="659"/>
        <v>Safford</v>
      </c>
    </row>
    <row r="662" spans="1:5">
      <c r="A662" s="3" t="s">
        <v>3190</v>
      </c>
      <c r="B662" s="110" t="s">
        <v>1319</v>
      </c>
      <c r="C662" s="111" t="s">
        <v>3191</v>
      </c>
      <c r="D662" s="111" t="str">
        <f t="shared" ref="D662:E662" si="660">TRIM(B662)</f>
        <v>Arizona</v>
      </c>
      <c r="E662" s="111" t="str">
        <f t="shared" si="660"/>
        <v>Sahuarita</v>
      </c>
    </row>
    <row r="663" spans="1:5">
      <c r="A663" s="3" t="s">
        <v>3195</v>
      </c>
      <c r="B663" s="110" t="s">
        <v>1319</v>
      </c>
      <c r="C663" s="111" t="s">
        <v>3191</v>
      </c>
      <c r="D663" s="111" t="str">
        <f t="shared" ref="D663:E663" si="661">TRIM(B663)</f>
        <v>Arizona</v>
      </c>
      <c r="E663" s="111" t="str">
        <f t="shared" si="661"/>
        <v>Sahuarita</v>
      </c>
    </row>
    <row r="664" spans="1:5">
      <c r="A664" s="3" t="s">
        <v>3196</v>
      </c>
      <c r="B664" s="110" t="s">
        <v>1319</v>
      </c>
      <c r="C664" s="111" t="s">
        <v>3197</v>
      </c>
      <c r="D664" s="111" t="str">
        <f t="shared" ref="D664:E664" si="662">TRIM(B664)</f>
        <v>Arizona</v>
      </c>
      <c r="E664" s="111" t="str">
        <f t="shared" si="662"/>
        <v>Saint David</v>
      </c>
    </row>
    <row r="665" spans="1:5">
      <c r="A665" s="110" t="s">
        <v>3198</v>
      </c>
      <c r="B665" s="110" t="s">
        <v>1319</v>
      </c>
      <c r="C665" s="111" t="s">
        <v>3200</v>
      </c>
      <c r="D665" s="111" t="str">
        <f t="shared" ref="D665:E665" si="663">TRIM(B665)</f>
        <v>Arizona</v>
      </c>
      <c r="E665" s="111" t="str">
        <f t="shared" si="663"/>
        <v>Saint Johns</v>
      </c>
    </row>
    <row r="666" spans="1:5">
      <c r="A666" s="3" t="s">
        <v>3203</v>
      </c>
      <c r="B666" s="110" t="s">
        <v>1319</v>
      </c>
      <c r="C666" s="111" t="s">
        <v>3204</v>
      </c>
      <c r="D666" s="111" t="str">
        <f t="shared" ref="D666:E666" si="664">TRIM(B666)</f>
        <v>Arizona</v>
      </c>
      <c r="E666" s="111" t="str">
        <f t="shared" si="664"/>
        <v>Salome</v>
      </c>
    </row>
    <row r="667" spans="1:5">
      <c r="A667" s="3" t="s">
        <v>3205</v>
      </c>
      <c r="B667" s="110" t="s">
        <v>1319</v>
      </c>
      <c r="C667" s="111" t="s">
        <v>3206</v>
      </c>
      <c r="D667" s="111" t="str">
        <f t="shared" ref="D667:E667" si="665">TRIM(B667)</f>
        <v>Arizona</v>
      </c>
      <c r="E667" s="111" t="str">
        <f t="shared" si="665"/>
        <v>San Carlos</v>
      </c>
    </row>
    <row r="668" spans="1:5">
      <c r="A668" s="110" t="s">
        <v>3209</v>
      </c>
      <c r="B668" s="110" t="s">
        <v>1319</v>
      </c>
      <c r="C668" s="111" t="s">
        <v>3206</v>
      </c>
      <c r="D668" s="111" t="str">
        <f t="shared" ref="D668:E668" si="666">TRIM(B668)</f>
        <v>Arizona</v>
      </c>
      <c r="E668" s="111" t="str">
        <f t="shared" si="666"/>
        <v>San Carlos</v>
      </c>
    </row>
    <row r="669" spans="1:5">
      <c r="A669" s="3" t="s">
        <v>3211</v>
      </c>
      <c r="B669" s="110" t="s">
        <v>1319</v>
      </c>
      <c r="C669" s="111" t="s">
        <v>3212</v>
      </c>
      <c r="D669" s="111" t="str">
        <f t="shared" ref="D669:E669" si="667">TRIM(B669)</f>
        <v>Arizona</v>
      </c>
      <c r="E669" s="111" t="str">
        <f t="shared" si="667"/>
        <v>San Luis</v>
      </c>
    </row>
    <row r="670" spans="1:5">
      <c r="A670" s="3" t="s">
        <v>3213</v>
      </c>
      <c r="B670" s="110" t="s">
        <v>1319</v>
      </c>
      <c r="C670" s="111" t="s">
        <v>3215</v>
      </c>
      <c r="D670" s="111" t="str">
        <f t="shared" ref="D670:E670" si="668">TRIM(B670)</f>
        <v>Arizona</v>
      </c>
      <c r="E670" s="111" t="str">
        <f t="shared" si="668"/>
        <v>San Manuel</v>
      </c>
    </row>
    <row r="671" spans="1:5">
      <c r="A671" s="3" t="s">
        <v>3217</v>
      </c>
      <c r="B671" s="110" t="s">
        <v>1319</v>
      </c>
      <c r="C671" s="111" t="s">
        <v>3218</v>
      </c>
      <c r="D671" s="111" t="str">
        <f t="shared" ref="D671:E671" si="669">TRIM(B671)</f>
        <v>Arizona</v>
      </c>
      <c r="E671" s="111" t="str">
        <f t="shared" si="669"/>
        <v>San Tan Valley</v>
      </c>
    </row>
    <row r="672" spans="1:5">
      <c r="A672" s="3" t="s">
        <v>2256</v>
      </c>
      <c r="B672" s="110" t="s">
        <v>1319</v>
      </c>
      <c r="C672" s="111" t="s">
        <v>3219</v>
      </c>
      <c r="D672" s="111" t="str">
        <f t="shared" ref="D672:E672" si="670">TRIM(B672)</f>
        <v>Arizona</v>
      </c>
      <c r="E672" s="111" t="str">
        <f t="shared" si="670"/>
        <v>Sanders</v>
      </c>
    </row>
    <row r="673" spans="1:5">
      <c r="A673" s="110" t="s">
        <v>3221</v>
      </c>
      <c r="B673" s="110" t="s">
        <v>1319</v>
      </c>
      <c r="C673" s="111" t="s">
        <v>3222</v>
      </c>
      <c r="D673" s="111" t="str">
        <f t="shared" ref="D673:E673" si="671">TRIM(B673)</f>
        <v>Arizona</v>
      </c>
      <c r="E673" s="111" t="str">
        <f t="shared" si="671"/>
        <v>Scottsdale</v>
      </c>
    </row>
    <row r="674" spans="1:5">
      <c r="A674" s="3" t="s">
        <v>3224</v>
      </c>
      <c r="B674" s="110" t="s">
        <v>1319</v>
      </c>
      <c r="C674" s="111" t="s">
        <v>3222</v>
      </c>
      <c r="D674" s="111" t="str">
        <f t="shared" ref="D674:E674" si="672">TRIM(B674)</f>
        <v>Arizona</v>
      </c>
      <c r="E674" s="111" t="str">
        <f t="shared" si="672"/>
        <v>Scottsdale</v>
      </c>
    </row>
    <row r="675" spans="1:5">
      <c r="A675" s="3" t="s">
        <v>3225</v>
      </c>
      <c r="B675" s="110" t="s">
        <v>1319</v>
      </c>
      <c r="C675" s="111" t="s">
        <v>3222</v>
      </c>
      <c r="D675" s="111" t="str">
        <f t="shared" ref="D675:E675" si="673">TRIM(B675)</f>
        <v>Arizona</v>
      </c>
      <c r="E675" s="111" t="str">
        <f t="shared" si="673"/>
        <v>Scottsdale</v>
      </c>
    </row>
    <row r="676" spans="1:5">
      <c r="A676" s="3" t="s">
        <v>3230</v>
      </c>
      <c r="B676" s="110" t="s">
        <v>1319</v>
      </c>
      <c r="C676" s="111" t="s">
        <v>3222</v>
      </c>
      <c r="D676" s="111" t="str">
        <f t="shared" ref="D676:E676" si="674">TRIM(B676)</f>
        <v>Arizona</v>
      </c>
      <c r="E676" s="111" t="str">
        <f t="shared" si="674"/>
        <v>Scottsdale</v>
      </c>
    </row>
    <row r="677" spans="1:5">
      <c r="A677" s="3" t="s">
        <v>3231</v>
      </c>
      <c r="B677" s="110" t="s">
        <v>1319</v>
      </c>
      <c r="C677" s="111" t="s">
        <v>3222</v>
      </c>
      <c r="D677" s="111" t="str">
        <f t="shared" ref="D677:E677" si="675">TRIM(B677)</f>
        <v>Arizona</v>
      </c>
      <c r="E677" s="111" t="str">
        <f t="shared" si="675"/>
        <v>Scottsdale</v>
      </c>
    </row>
    <row r="678" spans="1:5">
      <c r="A678" s="3" t="s">
        <v>3234</v>
      </c>
      <c r="B678" s="110" t="s">
        <v>1319</v>
      </c>
      <c r="C678" s="111" t="s">
        <v>3222</v>
      </c>
      <c r="D678" s="111" t="str">
        <f t="shared" ref="D678:E678" si="676">TRIM(B678)</f>
        <v>Arizona</v>
      </c>
      <c r="E678" s="111" t="str">
        <f t="shared" si="676"/>
        <v>Scottsdale</v>
      </c>
    </row>
    <row r="679" spans="1:5">
      <c r="A679" s="3" t="s">
        <v>3236</v>
      </c>
      <c r="B679" s="110" t="s">
        <v>1319</v>
      </c>
      <c r="C679" s="111" t="s">
        <v>3222</v>
      </c>
      <c r="D679" s="111" t="str">
        <f t="shared" ref="D679:E679" si="677">TRIM(B679)</f>
        <v>Arizona</v>
      </c>
      <c r="E679" s="111" t="str">
        <f t="shared" si="677"/>
        <v>Scottsdale</v>
      </c>
    </row>
    <row r="680" spans="1:5">
      <c r="A680" s="3" t="s">
        <v>3237</v>
      </c>
      <c r="B680" s="110" t="s">
        <v>1319</v>
      </c>
      <c r="C680" s="111" t="s">
        <v>3222</v>
      </c>
      <c r="D680" s="111" t="str">
        <f t="shared" ref="D680:E680" si="678">TRIM(B680)</f>
        <v>Arizona</v>
      </c>
      <c r="E680" s="111" t="str">
        <f t="shared" si="678"/>
        <v>Scottsdale</v>
      </c>
    </row>
    <row r="681" spans="1:5">
      <c r="A681" s="3" t="s">
        <v>3241</v>
      </c>
      <c r="B681" s="110" t="s">
        <v>1319</v>
      </c>
      <c r="C681" s="111" t="s">
        <v>3222</v>
      </c>
      <c r="D681" s="111" t="str">
        <f t="shared" ref="D681:E681" si="679">TRIM(B681)</f>
        <v>Arizona</v>
      </c>
      <c r="E681" s="111" t="str">
        <f t="shared" si="679"/>
        <v>Scottsdale</v>
      </c>
    </row>
    <row r="682" spans="1:5">
      <c r="A682" s="3" t="s">
        <v>3242</v>
      </c>
      <c r="B682" s="110" t="s">
        <v>1319</v>
      </c>
      <c r="C682" s="111" t="s">
        <v>3244</v>
      </c>
      <c r="D682" s="111" t="str">
        <f t="shared" ref="D682:E682" si="680">TRIM(B682)</f>
        <v>Arizona</v>
      </c>
      <c r="E682" s="111" t="str">
        <f t="shared" si="680"/>
        <v>Sedona</v>
      </c>
    </row>
    <row r="683" spans="1:5">
      <c r="A683" s="3" t="s">
        <v>3246</v>
      </c>
      <c r="B683" s="110" t="s">
        <v>1319</v>
      </c>
      <c r="C683" s="111" t="s">
        <v>3244</v>
      </c>
      <c r="D683" s="111" t="str">
        <f t="shared" ref="D683:E683" si="681">TRIM(B683)</f>
        <v>Arizona</v>
      </c>
      <c r="E683" s="111" t="str">
        <f t="shared" si="681"/>
        <v>Sedona</v>
      </c>
    </row>
    <row r="684" spans="1:5">
      <c r="A684" s="3" t="s">
        <v>3249</v>
      </c>
      <c r="B684" s="110" t="s">
        <v>1319</v>
      </c>
      <c r="C684" s="111" t="s">
        <v>3250</v>
      </c>
      <c r="D684" s="111" t="str">
        <f t="shared" ref="D684:E684" si="682">TRIM(B684)</f>
        <v>Arizona</v>
      </c>
      <c r="E684" s="111" t="str">
        <f t="shared" si="682"/>
        <v>Seligman</v>
      </c>
    </row>
    <row r="685" spans="1:5">
      <c r="A685" s="3" t="s">
        <v>3252</v>
      </c>
      <c r="B685" s="110" t="s">
        <v>1319</v>
      </c>
      <c r="C685" s="111" t="s">
        <v>3253</v>
      </c>
      <c r="D685" s="111" t="str">
        <f t="shared" ref="D685:E685" si="683">TRIM(B685)</f>
        <v>Arizona</v>
      </c>
      <c r="E685" s="111" t="str">
        <f t="shared" si="683"/>
        <v>Sells</v>
      </c>
    </row>
    <row r="686" spans="1:5">
      <c r="A686" s="3" t="s">
        <v>3254</v>
      </c>
      <c r="B686" s="110" t="s">
        <v>1319</v>
      </c>
      <c r="C686" s="111" t="s">
        <v>3253</v>
      </c>
      <c r="D686" s="111" t="str">
        <f t="shared" ref="D686:E686" si="684">TRIM(B686)</f>
        <v>Arizona</v>
      </c>
      <c r="E686" s="111" t="str">
        <f t="shared" si="684"/>
        <v>Sells</v>
      </c>
    </row>
    <row r="687" spans="1:5">
      <c r="A687" s="3" t="s">
        <v>3258</v>
      </c>
      <c r="B687" s="110" t="s">
        <v>1319</v>
      </c>
      <c r="C687" s="111" t="s">
        <v>3259</v>
      </c>
      <c r="D687" s="111" t="str">
        <f t="shared" ref="D687:E687" si="685">TRIM(B687)</f>
        <v>Arizona</v>
      </c>
      <c r="E687" s="111" t="str">
        <f t="shared" si="685"/>
        <v>Shonto</v>
      </c>
    </row>
    <row r="688" spans="1:5">
      <c r="A688" s="3" t="s">
        <v>3260</v>
      </c>
      <c r="B688" s="110" t="s">
        <v>1319</v>
      </c>
      <c r="C688" s="111" t="s">
        <v>3261</v>
      </c>
      <c r="D688" s="111" t="str">
        <f t="shared" ref="D688:E688" si="686">TRIM(B688)</f>
        <v>Arizona</v>
      </c>
      <c r="E688" s="111" t="str">
        <f t="shared" si="686"/>
        <v>Show Low</v>
      </c>
    </row>
    <row r="689" spans="1:5">
      <c r="A689" s="110" t="s">
        <v>3262</v>
      </c>
      <c r="B689" s="110" t="s">
        <v>1319</v>
      </c>
      <c r="C689" s="111" t="s">
        <v>3261</v>
      </c>
      <c r="D689" s="111" t="str">
        <f t="shared" ref="D689:E689" si="687">TRIM(B689)</f>
        <v>Arizona</v>
      </c>
      <c r="E689" s="111" t="str">
        <f t="shared" si="687"/>
        <v>Show Low</v>
      </c>
    </row>
    <row r="690" spans="1:5">
      <c r="A690" s="110" t="s">
        <v>3264</v>
      </c>
      <c r="B690" s="110" t="s">
        <v>1319</v>
      </c>
      <c r="C690" s="111" t="s">
        <v>3261</v>
      </c>
      <c r="D690" s="111" t="str">
        <f t="shared" ref="D690:E690" si="688">TRIM(B690)</f>
        <v>Arizona</v>
      </c>
      <c r="E690" s="111" t="str">
        <f t="shared" si="688"/>
        <v>Show Low</v>
      </c>
    </row>
    <row r="691" spans="1:5">
      <c r="A691" s="3" t="s">
        <v>3266</v>
      </c>
      <c r="B691" s="110" t="s">
        <v>1319</v>
      </c>
      <c r="C691" s="111" t="s">
        <v>3267</v>
      </c>
      <c r="D691" s="111" t="str">
        <f t="shared" ref="D691:E691" si="689">TRIM(B691)</f>
        <v>Arizona</v>
      </c>
      <c r="E691" s="111" t="str">
        <f t="shared" si="689"/>
        <v>Sierra Vista</v>
      </c>
    </row>
    <row r="692" spans="1:5">
      <c r="A692" s="3" t="s">
        <v>3268</v>
      </c>
      <c r="B692" s="110" t="s">
        <v>1319</v>
      </c>
      <c r="C692" s="111" t="s">
        <v>3267</v>
      </c>
      <c r="D692" s="111" t="str">
        <f t="shared" ref="D692:E692" si="690">TRIM(B692)</f>
        <v>Arizona</v>
      </c>
      <c r="E692" s="111" t="str">
        <f t="shared" si="690"/>
        <v>Sierra Vista</v>
      </c>
    </row>
    <row r="693" spans="1:5">
      <c r="A693" s="110" t="s">
        <v>3271</v>
      </c>
      <c r="B693" s="110" t="s">
        <v>1319</v>
      </c>
      <c r="C693" s="111" t="s">
        <v>3267</v>
      </c>
      <c r="D693" s="111" t="str">
        <f t="shared" ref="D693:E693" si="691">TRIM(B693)</f>
        <v>Arizona</v>
      </c>
      <c r="E693" s="111" t="str">
        <f t="shared" si="691"/>
        <v>Sierra Vista</v>
      </c>
    </row>
    <row r="694" spans="1:5">
      <c r="A694" s="3" t="s">
        <v>3273</v>
      </c>
      <c r="B694" s="110" t="s">
        <v>1319</v>
      </c>
      <c r="C694" s="111" t="s">
        <v>3274</v>
      </c>
      <c r="D694" s="111" t="str">
        <f t="shared" ref="D694:E694" si="692">TRIM(B694)</f>
        <v>Arizona</v>
      </c>
      <c r="E694" s="111" t="str">
        <f t="shared" si="692"/>
        <v>Snowflake</v>
      </c>
    </row>
    <row r="695" spans="1:5">
      <c r="A695" s="3" t="s">
        <v>3277</v>
      </c>
      <c r="B695" s="110" t="s">
        <v>1319</v>
      </c>
      <c r="C695" s="111" t="s">
        <v>3278</v>
      </c>
      <c r="D695" s="111" t="str">
        <f t="shared" ref="D695:E695" si="693">TRIM(B695)</f>
        <v>Arizona</v>
      </c>
      <c r="E695" s="111" t="str">
        <f t="shared" si="693"/>
        <v>Springerville</v>
      </c>
    </row>
    <row r="696" spans="1:5">
      <c r="A696" s="3" t="s">
        <v>3280</v>
      </c>
      <c r="B696" s="110" t="s">
        <v>1319</v>
      </c>
      <c r="C696" s="111" t="s">
        <v>3278</v>
      </c>
      <c r="D696" s="111" t="str">
        <f t="shared" ref="D696:E696" si="694">TRIM(B696)</f>
        <v>Arizona</v>
      </c>
      <c r="E696" s="111" t="str">
        <f t="shared" si="694"/>
        <v>Springerville</v>
      </c>
    </row>
    <row r="697" spans="1:5">
      <c r="A697" s="3" t="s">
        <v>3281</v>
      </c>
      <c r="B697" s="110" t="s">
        <v>1319</v>
      </c>
      <c r="C697" s="111" t="s">
        <v>3283</v>
      </c>
      <c r="D697" s="111" t="str">
        <f t="shared" ref="D697:E697" si="695">TRIM(B697)</f>
        <v>Arizona</v>
      </c>
      <c r="E697" s="111" t="str">
        <f t="shared" si="695"/>
        <v>St Johns</v>
      </c>
    </row>
    <row r="698" spans="1:5">
      <c r="A698" s="3" t="s">
        <v>3285</v>
      </c>
      <c r="B698" s="110" t="s">
        <v>1319</v>
      </c>
      <c r="C698" s="111" t="s">
        <v>3286</v>
      </c>
      <c r="D698" s="111" t="str">
        <f t="shared" ref="D698:E698" si="696">TRIM(B698)</f>
        <v>Arizona</v>
      </c>
      <c r="E698" s="111" t="str">
        <f t="shared" si="696"/>
        <v>Superior</v>
      </c>
    </row>
    <row r="699" spans="1:5">
      <c r="A699" s="110" t="s">
        <v>3287</v>
      </c>
      <c r="B699" s="110" t="s">
        <v>1319</v>
      </c>
      <c r="C699" s="111" t="s">
        <v>3288</v>
      </c>
      <c r="D699" s="111" t="str">
        <f t="shared" ref="D699:E699" si="697">TRIM(B699)</f>
        <v>Arizona</v>
      </c>
      <c r="E699" s="111" t="str">
        <f t="shared" si="697"/>
        <v>Surprise</v>
      </c>
    </row>
    <row r="700" spans="1:5">
      <c r="A700" s="3" t="s">
        <v>3291</v>
      </c>
      <c r="B700" s="110" t="s">
        <v>1319</v>
      </c>
      <c r="C700" s="111" t="s">
        <v>3288</v>
      </c>
      <c r="D700" s="111" t="str">
        <f t="shared" ref="D700:E700" si="698">TRIM(B700)</f>
        <v>Arizona</v>
      </c>
      <c r="E700" s="111" t="str">
        <f t="shared" si="698"/>
        <v>Surprise</v>
      </c>
    </row>
    <row r="701" spans="1:5">
      <c r="A701" s="3" t="s">
        <v>3293</v>
      </c>
      <c r="B701" s="110" t="s">
        <v>1319</v>
      </c>
      <c r="C701" s="111" t="s">
        <v>3288</v>
      </c>
      <c r="D701" s="111" t="str">
        <f t="shared" ref="D701:E701" si="699">TRIM(B701)</f>
        <v>Arizona</v>
      </c>
      <c r="E701" s="111" t="str">
        <f t="shared" si="699"/>
        <v>Surprise</v>
      </c>
    </row>
    <row r="702" spans="1:5">
      <c r="A702" s="3" t="s">
        <v>3294</v>
      </c>
      <c r="B702" s="110" t="s">
        <v>1319</v>
      </c>
      <c r="C702" s="111" t="s">
        <v>3288</v>
      </c>
      <c r="D702" s="111" t="str">
        <f t="shared" ref="D702:E702" si="700">TRIM(B702)</f>
        <v>Arizona</v>
      </c>
      <c r="E702" s="111" t="str">
        <f t="shared" si="700"/>
        <v>Surprise</v>
      </c>
    </row>
    <row r="703" spans="1:5">
      <c r="A703" s="3" t="s">
        <v>3297</v>
      </c>
      <c r="B703" s="110" t="s">
        <v>1319</v>
      </c>
      <c r="C703" s="111" t="s">
        <v>3288</v>
      </c>
      <c r="D703" s="111" t="str">
        <f t="shared" ref="D703:E703" si="701">TRIM(B703)</f>
        <v>Arizona</v>
      </c>
      <c r="E703" s="111" t="str">
        <f t="shared" si="701"/>
        <v>Surprise</v>
      </c>
    </row>
    <row r="704" spans="1:5">
      <c r="A704" s="3" t="s">
        <v>3299</v>
      </c>
      <c r="B704" s="110" t="s">
        <v>1319</v>
      </c>
      <c r="C704" s="111" t="s">
        <v>3301</v>
      </c>
      <c r="D704" s="111" t="str">
        <f t="shared" ref="D704:E704" si="702">TRIM(B704)</f>
        <v>Arizona</v>
      </c>
      <c r="E704" s="111" t="str">
        <f t="shared" si="702"/>
        <v>Taylor</v>
      </c>
    </row>
    <row r="705" spans="1:5">
      <c r="A705" s="3" t="s">
        <v>3303</v>
      </c>
      <c r="B705" s="110" t="s">
        <v>1319</v>
      </c>
      <c r="C705" s="111" t="s">
        <v>3304</v>
      </c>
      <c r="D705" s="111" t="str">
        <f t="shared" ref="D705:E705" si="703">TRIM(B705)</f>
        <v>Arizona</v>
      </c>
      <c r="E705" s="111" t="str">
        <f t="shared" si="703"/>
        <v>Teec Nos Pos</v>
      </c>
    </row>
    <row r="706" spans="1:5">
      <c r="A706" s="3" t="s">
        <v>3305</v>
      </c>
      <c r="B706" s="110" t="s">
        <v>1319</v>
      </c>
      <c r="C706" s="111" t="s">
        <v>3304</v>
      </c>
      <c r="D706" s="111" t="str">
        <f t="shared" ref="D706:E706" si="704">TRIM(B706)</f>
        <v>Arizona</v>
      </c>
      <c r="E706" s="111" t="str">
        <f t="shared" si="704"/>
        <v>Teec Nos Pos</v>
      </c>
    </row>
    <row r="707" spans="1:5">
      <c r="A707" s="3" t="s">
        <v>3307</v>
      </c>
      <c r="B707" s="110" t="s">
        <v>1319</v>
      </c>
      <c r="C707" s="111" t="s">
        <v>3308</v>
      </c>
      <c r="D707" s="111" t="str">
        <f t="shared" ref="D707:E707" si="705">TRIM(B707)</f>
        <v>Arizona</v>
      </c>
      <c r="E707" s="111" t="str">
        <f t="shared" si="705"/>
        <v>Tempe</v>
      </c>
    </row>
    <row r="708" spans="1:5">
      <c r="A708" s="3" t="s">
        <v>3310</v>
      </c>
      <c r="B708" s="110" t="s">
        <v>1319</v>
      </c>
      <c r="C708" s="111" t="s">
        <v>3308</v>
      </c>
      <c r="D708" s="111" t="str">
        <f t="shared" ref="D708:E708" si="706">TRIM(B708)</f>
        <v>Arizona</v>
      </c>
      <c r="E708" s="111" t="str">
        <f t="shared" si="706"/>
        <v>Tempe</v>
      </c>
    </row>
    <row r="709" spans="1:5">
      <c r="A709" s="3" t="s">
        <v>3311</v>
      </c>
      <c r="B709" s="110" t="s">
        <v>1319</v>
      </c>
      <c r="C709" s="111" t="s">
        <v>3308</v>
      </c>
      <c r="D709" s="111" t="str">
        <f t="shared" ref="D709:E709" si="707">TRIM(B709)</f>
        <v>Arizona</v>
      </c>
      <c r="E709" s="111" t="str">
        <f t="shared" si="707"/>
        <v>Tempe</v>
      </c>
    </row>
    <row r="710" spans="1:5">
      <c r="A710" s="3" t="s">
        <v>3314</v>
      </c>
      <c r="B710" s="110" t="s">
        <v>1319</v>
      </c>
      <c r="C710" s="111" t="s">
        <v>3308</v>
      </c>
      <c r="D710" s="111" t="str">
        <f t="shared" ref="D710:E710" si="708">TRIM(B710)</f>
        <v>Arizona</v>
      </c>
      <c r="E710" s="111" t="str">
        <f t="shared" si="708"/>
        <v>Tempe</v>
      </c>
    </row>
    <row r="711" spans="1:5">
      <c r="A711" s="3" t="s">
        <v>3316</v>
      </c>
      <c r="B711" s="110" t="s">
        <v>1319</v>
      </c>
      <c r="C711" s="111" t="s">
        <v>3308</v>
      </c>
      <c r="D711" s="111" t="str">
        <f t="shared" ref="D711:E711" si="709">TRIM(B711)</f>
        <v>Arizona</v>
      </c>
      <c r="E711" s="111" t="str">
        <f t="shared" si="709"/>
        <v>Tempe</v>
      </c>
    </row>
    <row r="712" spans="1:5">
      <c r="A712" s="3" t="s">
        <v>3319</v>
      </c>
      <c r="B712" s="110" t="s">
        <v>1319</v>
      </c>
      <c r="C712" s="111" t="s">
        <v>3308</v>
      </c>
      <c r="D712" s="111" t="str">
        <f t="shared" ref="D712:E712" si="710">TRIM(B712)</f>
        <v>Arizona</v>
      </c>
      <c r="E712" s="111" t="str">
        <f t="shared" si="710"/>
        <v>Tempe</v>
      </c>
    </row>
    <row r="713" spans="1:5">
      <c r="A713" s="3" t="s">
        <v>3321</v>
      </c>
      <c r="B713" s="110" t="s">
        <v>1319</v>
      </c>
      <c r="C713" s="111" t="s">
        <v>3308</v>
      </c>
      <c r="D713" s="111" t="str">
        <f t="shared" ref="D713:E713" si="711">TRIM(B713)</f>
        <v>Arizona</v>
      </c>
      <c r="E713" s="111" t="str">
        <f t="shared" si="711"/>
        <v>Tempe</v>
      </c>
    </row>
    <row r="714" spans="1:5">
      <c r="A714" s="3" t="s">
        <v>3323</v>
      </c>
      <c r="B714" s="110" t="s">
        <v>1319</v>
      </c>
      <c r="C714" s="111" t="s">
        <v>3308</v>
      </c>
      <c r="D714" s="111" t="str">
        <f t="shared" ref="D714:E714" si="712">TRIM(B714)</f>
        <v>Arizona</v>
      </c>
      <c r="E714" s="111" t="str">
        <f t="shared" si="712"/>
        <v>Tempe</v>
      </c>
    </row>
    <row r="715" spans="1:5">
      <c r="A715" s="3" t="s">
        <v>3326</v>
      </c>
      <c r="B715" s="110" t="s">
        <v>1319</v>
      </c>
      <c r="C715" s="111" t="s">
        <v>3308</v>
      </c>
      <c r="D715" s="111" t="str">
        <f t="shared" ref="D715:E715" si="713">TRIM(B715)</f>
        <v>Arizona</v>
      </c>
      <c r="E715" s="111" t="str">
        <f t="shared" si="713"/>
        <v>Tempe</v>
      </c>
    </row>
    <row r="716" spans="1:5">
      <c r="A716" s="110" t="s">
        <v>3327</v>
      </c>
      <c r="B716" s="110" t="s">
        <v>1319</v>
      </c>
      <c r="C716" s="111" t="s">
        <v>3308</v>
      </c>
      <c r="D716" s="111" t="str">
        <f t="shared" ref="D716:E716" si="714">TRIM(B716)</f>
        <v>Arizona</v>
      </c>
      <c r="E716" s="111" t="str">
        <f t="shared" si="714"/>
        <v>Tempe</v>
      </c>
    </row>
    <row r="717" spans="1:5">
      <c r="A717" s="3" t="s">
        <v>3330</v>
      </c>
      <c r="B717" s="110" t="s">
        <v>1319</v>
      </c>
      <c r="C717" s="111" t="s">
        <v>3308</v>
      </c>
      <c r="D717" s="111" t="str">
        <f t="shared" ref="D717:E717" si="715">TRIM(B717)</f>
        <v>Arizona</v>
      </c>
      <c r="E717" s="111" t="str">
        <f t="shared" si="715"/>
        <v>Tempe</v>
      </c>
    </row>
    <row r="718" spans="1:5">
      <c r="A718" s="3" t="s">
        <v>3332</v>
      </c>
      <c r="B718" s="110" t="s">
        <v>1319</v>
      </c>
      <c r="C718" s="111" t="s">
        <v>3308</v>
      </c>
      <c r="D718" s="111" t="str">
        <f t="shared" ref="D718:E718" si="716">TRIM(B718)</f>
        <v>Arizona</v>
      </c>
      <c r="E718" s="111" t="str">
        <f t="shared" si="716"/>
        <v>Tempe</v>
      </c>
    </row>
    <row r="719" spans="1:5">
      <c r="A719" s="110" t="s">
        <v>3335</v>
      </c>
      <c r="B719" s="110" t="s">
        <v>1319</v>
      </c>
      <c r="C719" s="111" t="s">
        <v>3308</v>
      </c>
      <c r="D719" s="111" t="str">
        <f t="shared" ref="D719:E719" si="717">TRIM(B719)</f>
        <v>Arizona</v>
      </c>
      <c r="E719" s="111" t="str">
        <f t="shared" si="717"/>
        <v>Tempe</v>
      </c>
    </row>
    <row r="720" spans="1:5">
      <c r="A720" s="110" t="s">
        <v>3337</v>
      </c>
      <c r="B720" s="110" t="s">
        <v>1319</v>
      </c>
      <c r="C720" s="111" t="s">
        <v>3308</v>
      </c>
      <c r="D720" s="111" t="str">
        <f t="shared" ref="D720:E720" si="718">TRIM(B720)</f>
        <v>Arizona</v>
      </c>
      <c r="E720" s="111" t="str">
        <f t="shared" si="718"/>
        <v>Tempe</v>
      </c>
    </row>
    <row r="721" spans="1:5">
      <c r="A721" s="3" t="s">
        <v>3340</v>
      </c>
      <c r="B721" s="110" t="s">
        <v>1319</v>
      </c>
      <c r="C721" s="111" t="s">
        <v>3308</v>
      </c>
      <c r="D721" s="111" t="str">
        <f t="shared" ref="D721:E721" si="719">TRIM(B721)</f>
        <v>Arizona</v>
      </c>
      <c r="E721" s="111" t="str">
        <f t="shared" si="719"/>
        <v>Tempe</v>
      </c>
    </row>
    <row r="722" spans="1:5">
      <c r="A722" s="3" t="s">
        <v>2845</v>
      </c>
      <c r="B722" s="110" t="s">
        <v>1319</v>
      </c>
      <c r="C722" s="111" t="s">
        <v>3308</v>
      </c>
      <c r="D722" s="111" t="str">
        <f t="shared" ref="D722:E722" si="720">TRIM(B722)</f>
        <v>Arizona</v>
      </c>
      <c r="E722" s="111" t="str">
        <f t="shared" si="720"/>
        <v>Tempe</v>
      </c>
    </row>
    <row r="723" spans="1:5">
      <c r="A723" s="3" t="s">
        <v>3343</v>
      </c>
      <c r="B723" s="110" t="s">
        <v>1319</v>
      </c>
      <c r="C723" s="111" t="s">
        <v>3308</v>
      </c>
      <c r="D723" s="111" t="str">
        <f t="shared" ref="D723:E723" si="721">TRIM(B723)</f>
        <v>Arizona</v>
      </c>
      <c r="E723" s="111" t="str">
        <f t="shared" si="721"/>
        <v>Tempe</v>
      </c>
    </row>
    <row r="724" spans="1:5">
      <c r="A724" s="3" t="s">
        <v>3345</v>
      </c>
      <c r="B724" s="110" t="s">
        <v>1319</v>
      </c>
      <c r="C724" s="111" t="s">
        <v>3308</v>
      </c>
      <c r="D724" s="111" t="str">
        <f t="shared" ref="D724:E724" si="722">TRIM(B724)</f>
        <v>Arizona</v>
      </c>
      <c r="E724" s="111" t="str">
        <f t="shared" si="722"/>
        <v>Tempe</v>
      </c>
    </row>
    <row r="725" spans="1:5">
      <c r="A725" s="3" t="s">
        <v>2918</v>
      </c>
      <c r="B725" s="110" t="s">
        <v>1319</v>
      </c>
      <c r="C725" s="111" t="s">
        <v>3308</v>
      </c>
      <c r="D725" s="111" t="str">
        <f t="shared" ref="D725:E725" si="723">TRIM(B725)</f>
        <v>Arizona</v>
      </c>
      <c r="E725" s="111" t="str">
        <f t="shared" si="723"/>
        <v>Tempe</v>
      </c>
    </row>
    <row r="726" spans="1:5">
      <c r="A726" s="110" t="s">
        <v>3349</v>
      </c>
      <c r="B726" s="110" t="s">
        <v>1319</v>
      </c>
      <c r="C726" s="111" t="s">
        <v>3308</v>
      </c>
      <c r="D726" s="111" t="str">
        <f t="shared" ref="D726:E726" si="724">TRIM(B726)</f>
        <v>Arizona</v>
      </c>
      <c r="E726" s="111" t="str">
        <f t="shared" si="724"/>
        <v>Tempe</v>
      </c>
    </row>
    <row r="727" spans="1:5">
      <c r="A727" s="3" t="s">
        <v>3351</v>
      </c>
      <c r="B727" s="110" t="s">
        <v>1319</v>
      </c>
      <c r="C727" s="111" t="s">
        <v>3308</v>
      </c>
      <c r="D727" s="111" t="str">
        <f t="shared" ref="D727:E727" si="725">TRIM(B727)</f>
        <v>Arizona</v>
      </c>
      <c r="E727" s="111" t="str">
        <f t="shared" si="725"/>
        <v>Tempe</v>
      </c>
    </row>
    <row r="728" spans="1:5">
      <c r="A728" s="3" t="s">
        <v>3353</v>
      </c>
      <c r="B728" s="110" t="s">
        <v>1319</v>
      </c>
      <c r="C728" s="111" t="s">
        <v>3308</v>
      </c>
      <c r="D728" s="111" t="str">
        <f t="shared" ref="D728:E728" si="726">TRIM(B728)</f>
        <v>Arizona</v>
      </c>
      <c r="E728" s="111" t="str">
        <f t="shared" si="726"/>
        <v>Tempe</v>
      </c>
    </row>
    <row r="729" spans="1:5">
      <c r="A729" s="3" t="s">
        <v>3355</v>
      </c>
      <c r="B729" s="110" t="s">
        <v>1319</v>
      </c>
      <c r="C729" s="111" t="s">
        <v>3308</v>
      </c>
      <c r="D729" s="111" t="str">
        <f t="shared" ref="D729:E729" si="727">TRIM(B729)</f>
        <v>Arizona</v>
      </c>
      <c r="E729" s="111" t="str">
        <f t="shared" si="727"/>
        <v>Tempe</v>
      </c>
    </row>
    <row r="730" spans="1:5">
      <c r="A730" s="3" t="s">
        <v>3357</v>
      </c>
      <c r="B730" s="110" t="s">
        <v>1319</v>
      </c>
      <c r="C730" s="111" t="s">
        <v>3358</v>
      </c>
      <c r="D730" s="111" t="str">
        <f t="shared" ref="D730:E730" si="728">TRIM(B730)</f>
        <v>Arizona</v>
      </c>
      <c r="E730" s="111" t="str">
        <f t="shared" si="728"/>
        <v>Thatcher</v>
      </c>
    </row>
    <row r="731" spans="1:5">
      <c r="A731" s="3" t="s">
        <v>3360</v>
      </c>
      <c r="B731" s="110" t="s">
        <v>1319</v>
      </c>
      <c r="C731" s="111" t="s">
        <v>3361</v>
      </c>
      <c r="D731" s="111" t="str">
        <f t="shared" ref="D731:E731" si="729">TRIM(B731)</f>
        <v>Arizona</v>
      </c>
      <c r="E731" s="111" t="str">
        <f t="shared" si="729"/>
        <v>Tolleson</v>
      </c>
    </row>
    <row r="732" spans="1:5">
      <c r="A732" s="3" t="s">
        <v>3363</v>
      </c>
      <c r="B732" s="110" t="s">
        <v>1319</v>
      </c>
      <c r="C732" s="111" t="s">
        <v>3361</v>
      </c>
      <c r="D732" s="111" t="str">
        <f t="shared" ref="D732:E732" si="730">TRIM(B732)</f>
        <v>Arizona</v>
      </c>
      <c r="E732" s="111" t="str">
        <f t="shared" si="730"/>
        <v>Tolleson</v>
      </c>
    </row>
    <row r="733" spans="1:5">
      <c r="A733" s="3" t="s">
        <v>3364</v>
      </c>
      <c r="B733" s="110" t="s">
        <v>1319</v>
      </c>
      <c r="C733" s="111" t="s">
        <v>3361</v>
      </c>
      <c r="D733" s="111" t="str">
        <f t="shared" ref="D733:E733" si="731">TRIM(B733)</f>
        <v>Arizona</v>
      </c>
      <c r="E733" s="111" t="str">
        <f t="shared" si="731"/>
        <v>Tolleson</v>
      </c>
    </row>
    <row r="734" spans="1:5">
      <c r="A734" s="3" t="s">
        <v>3368</v>
      </c>
      <c r="B734" s="110" t="s">
        <v>1319</v>
      </c>
      <c r="C734" s="112" t="s">
        <v>3369</v>
      </c>
      <c r="D734" s="111" t="str">
        <f t="shared" ref="D734:E734" si="732">TRIM(B734)</f>
        <v>Arizona</v>
      </c>
      <c r="E734" s="111" t="str">
        <f t="shared" si="732"/>
        <v>Tombstone</v>
      </c>
    </row>
    <row r="735" spans="1:5">
      <c r="A735" s="3" t="s">
        <v>3371</v>
      </c>
      <c r="B735" s="110" t="s">
        <v>1319</v>
      </c>
      <c r="C735" s="111" t="s">
        <v>3372</v>
      </c>
      <c r="D735" s="111" t="str">
        <f t="shared" ref="D735:E735" si="733">TRIM(B735)</f>
        <v>Arizona</v>
      </c>
      <c r="E735" s="111" t="str">
        <f t="shared" si="733"/>
        <v>Tonopah</v>
      </c>
    </row>
    <row r="736" spans="1:5">
      <c r="A736" s="3" t="s">
        <v>3374</v>
      </c>
      <c r="B736" s="110" t="s">
        <v>1319</v>
      </c>
      <c r="C736" s="111" t="s">
        <v>3375</v>
      </c>
      <c r="D736" s="111" t="str">
        <f t="shared" ref="D736:E736" si="734">TRIM(B736)</f>
        <v>Arizona</v>
      </c>
      <c r="E736" s="111" t="str">
        <f t="shared" si="734"/>
        <v>Tuba City</v>
      </c>
    </row>
    <row r="737" spans="1:5">
      <c r="A737" s="3" t="s">
        <v>3378</v>
      </c>
      <c r="B737" s="110" t="s">
        <v>1319</v>
      </c>
      <c r="C737" s="111" t="s">
        <v>3379</v>
      </c>
      <c r="D737" s="111" t="str">
        <f t="shared" ref="D737:E737" si="735">TRIM(B737)</f>
        <v>Arizona</v>
      </c>
      <c r="E737" s="111" t="str">
        <f t="shared" si="735"/>
        <v>Tucson</v>
      </c>
    </row>
    <row r="738" spans="1:5">
      <c r="A738" s="3" t="s">
        <v>3380</v>
      </c>
      <c r="B738" s="110" t="s">
        <v>1319</v>
      </c>
      <c r="C738" s="111" t="s">
        <v>3379</v>
      </c>
      <c r="D738" s="111" t="str">
        <f t="shared" ref="D738:E738" si="736">TRIM(B738)</f>
        <v>Arizona</v>
      </c>
      <c r="E738" s="111" t="str">
        <f t="shared" si="736"/>
        <v>Tucson</v>
      </c>
    </row>
    <row r="739" spans="1:5">
      <c r="A739" s="3" t="s">
        <v>3384</v>
      </c>
      <c r="B739" s="110" t="s">
        <v>1319</v>
      </c>
      <c r="C739" s="111" t="s">
        <v>3379</v>
      </c>
      <c r="D739" s="111" t="str">
        <f t="shared" ref="D739:E739" si="737">TRIM(B739)</f>
        <v>Arizona</v>
      </c>
      <c r="E739" s="111" t="str">
        <f t="shared" si="737"/>
        <v>Tucson</v>
      </c>
    </row>
    <row r="740" spans="1:5">
      <c r="A740" s="3" t="s">
        <v>3385</v>
      </c>
      <c r="B740" s="110" t="s">
        <v>1319</v>
      </c>
      <c r="C740" s="111" t="s">
        <v>3379</v>
      </c>
      <c r="D740" s="111" t="str">
        <f t="shared" ref="D740:E740" si="738">TRIM(B740)</f>
        <v>Arizona</v>
      </c>
      <c r="E740" s="111" t="str">
        <f t="shared" si="738"/>
        <v>Tucson</v>
      </c>
    </row>
    <row r="741" spans="1:5">
      <c r="A741" s="3" t="s">
        <v>3386</v>
      </c>
      <c r="B741" s="110" t="s">
        <v>1319</v>
      </c>
      <c r="C741" s="111" t="s">
        <v>3379</v>
      </c>
      <c r="D741" s="111" t="str">
        <f t="shared" ref="D741:E741" si="739">TRIM(B741)</f>
        <v>Arizona</v>
      </c>
      <c r="E741" s="111" t="str">
        <f t="shared" si="739"/>
        <v>Tucson</v>
      </c>
    </row>
    <row r="742" spans="1:5">
      <c r="A742" s="110" t="s">
        <v>3390</v>
      </c>
      <c r="B742" s="110" t="s">
        <v>1319</v>
      </c>
      <c r="C742" s="111" t="s">
        <v>3379</v>
      </c>
      <c r="D742" s="111" t="str">
        <f t="shared" ref="D742:E742" si="740">TRIM(B742)</f>
        <v>Arizona</v>
      </c>
      <c r="E742" s="111" t="str">
        <f t="shared" si="740"/>
        <v>Tucson</v>
      </c>
    </row>
    <row r="743" spans="1:5">
      <c r="A743" s="3" t="s">
        <v>3391</v>
      </c>
      <c r="B743" s="110" t="s">
        <v>1319</v>
      </c>
      <c r="C743" s="111" t="s">
        <v>3379</v>
      </c>
      <c r="D743" s="111" t="str">
        <f t="shared" ref="D743:E743" si="741">TRIM(B743)</f>
        <v>Arizona</v>
      </c>
      <c r="E743" s="111" t="str">
        <f t="shared" si="741"/>
        <v>Tucson</v>
      </c>
    </row>
    <row r="744" spans="1:5">
      <c r="A744" s="3" t="s">
        <v>3393</v>
      </c>
      <c r="B744" s="110" t="s">
        <v>1319</v>
      </c>
      <c r="C744" s="111" t="s">
        <v>3379</v>
      </c>
      <c r="D744" s="111" t="str">
        <f t="shared" ref="D744:E744" si="742">TRIM(B744)</f>
        <v>Arizona</v>
      </c>
      <c r="E744" s="111" t="str">
        <f t="shared" si="742"/>
        <v>Tucson</v>
      </c>
    </row>
    <row r="745" spans="1:5">
      <c r="A745" s="3" t="s">
        <v>3396</v>
      </c>
      <c r="B745" s="110" t="s">
        <v>1319</v>
      </c>
      <c r="C745" s="111" t="s">
        <v>3379</v>
      </c>
      <c r="D745" s="111" t="str">
        <f t="shared" ref="D745:E745" si="743">TRIM(B745)</f>
        <v>Arizona</v>
      </c>
      <c r="E745" s="111" t="str">
        <f t="shared" si="743"/>
        <v>Tucson</v>
      </c>
    </row>
    <row r="746" spans="1:5">
      <c r="A746" s="3" t="s">
        <v>3398</v>
      </c>
      <c r="B746" s="110" t="s">
        <v>1319</v>
      </c>
      <c r="C746" s="111" t="s">
        <v>3379</v>
      </c>
      <c r="D746" s="111" t="str">
        <f t="shared" ref="D746:E746" si="744">TRIM(B746)</f>
        <v>Arizona</v>
      </c>
      <c r="E746" s="111" t="str">
        <f t="shared" si="744"/>
        <v>Tucson</v>
      </c>
    </row>
    <row r="747" spans="1:5">
      <c r="A747" s="3" t="s">
        <v>3402</v>
      </c>
      <c r="B747" s="110" t="s">
        <v>1319</v>
      </c>
      <c r="C747" s="111" t="s">
        <v>3379</v>
      </c>
      <c r="D747" s="111" t="str">
        <f t="shared" ref="D747:E747" si="745">TRIM(B747)</f>
        <v>Arizona</v>
      </c>
      <c r="E747" s="111" t="str">
        <f t="shared" si="745"/>
        <v>Tucson</v>
      </c>
    </row>
    <row r="748" spans="1:5">
      <c r="A748" s="3" t="s">
        <v>3403</v>
      </c>
      <c r="B748" s="110" t="s">
        <v>1319</v>
      </c>
      <c r="C748" s="111" t="s">
        <v>3379</v>
      </c>
      <c r="D748" s="111" t="str">
        <f t="shared" ref="D748:E748" si="746">TRIM(B748)</f>
        <v>Arizona</v>
      </c>
      <c r="E748" s="111" t="str">
        <f t="shared" si="746"/>
        <v>Tucson</v>
      </c>
    </row>
    <row r="749" spans="1:5">
      <c r="A749" s="3" t="s">
        <v>3407</v>
      </c>
      <c r="B749" s="110" t="s">
        <v>1319</v>
      </c>
      <c r="C749" s="111" t="s">
        <v>3379</v>
      </c>
      <c r="D749" s="111" t="str">
        <f t="shared" ref="D749:E749" si="747">TRIM(B749)</f>
        <v>Arizona</v>
      </c>
      <c r="E749" s="111" t="str">
        <f t="shared" si="747"/>
        <v>Tucson</v>
      </c>
    </row>
    <row r="750" spans="1:5">
      <c r="A750" s="3" t="s">
        <v>3408</v>
      </c>
      <c r="B750" s="110" t="s">
        <v>1319</v>
      </c>
      <c r="C750" s="111" t="s">
        <v>3379</v>
      </c>
      <c r="D750" s="111" t="str">
        <f t="shared" ref="D750:E750" si="748">TRIM(B750)</f>
        <v>Arizona</v>
      </c>
      <c r="E750" s="111" t="str">
        <f t="shared" si="748"/>
        <v>Tucson</v>
      </c>
    </row>
    <row r="751" spans="1:5">
      <c r="A751" s="3" t="s">
        <v>3411</v>
      </c>
      <c r="B751" s="110" t="s">
        <v>1319</v>
      </c>
      <c r="C751" s="111" t="s">
        <v>3379</v>
      </c>
      <c r="D751" s="111" t="str">
        <f t="shared" ref="D751:E751" si="749">TRIM(B751)</f>
        <v>Arizona</v>
      </c>
      <c r="E751" s="111" t="str">
        <f t="shared" si="749"/>
        <v>Tucson</v>
      </c>
    </row>
    <row r="752" spans="1:5">
      <c r="A752" s="3" t="s">
        <v>3413</v>
      </c>
      <c r="B752" s="110" t="s">
        <v>1319</v>
      </c>
      <c r="C752" s="111" t="s">
        <v>3379</v>
      </c>
      <c r="D752" s="111" t="str">
        <f t="shared" ref="D752:E752" si="750">TRIM(B752)</f>
        <v>Arizona</v>
      </c>
      <c r="E752" s="111" t="str">
        <f t="shared" si="750"/>
        <v>Tucson</v>
      </c>
    </row>
    <row r="753" spans="1:5">
      <c r="A753" s="3" t="s">
        <v>3414</v>
      </c>
      <c r="B753" s="110" t="s">
        <v>1319</v>
      </c>
      <c r="C753" s="111" t="s">
        <v>3379</v>
      </c>
      <c r="D753" s="111" t="str">
        <f t="shared" ref="D753:E753" si="751">TRIM(B753)</f>
        <v>Arizona</v>
      </c>
      <c r="E753" s="111" t="str">
        <f t="shared" si="751"/>
        <v>Tucson</v>
      </c>
    </row>
    <row r="754" spans="1:5">
      <c r="A754" s="3" t="s">
        <v>3417</v>
      </c>
      <c r="B754" s="110" t="s">
        <v>1319</v>
      </c>
      <c r="C754" s="111" t="s">
        <v>3379</v>
      </c>
      <c r="D754" s="111" t="str">
        <f t="shared" ref="D754:E754" si="752">TRIM(B754)</f>
        <v>Arizona</v>
      </c>
      <c r="E754" s="111" t="str">
        <f t="shared" si="752"/>
        <v>Tucson</v>
      </c>
    </row>
    <row r="755" spans="1:5">
      <c r="A755" s="3" t="s">
        <v>3419</v>
      </c>
      <c r="B755" s="110" t="s">
        <v>1319</v>
      </c>
      <c r="C755" s="111" t="s">
        <v>3379</v>
      </c>
      <c r="D755" s="111" t="str">
        <f t="shared" ref="D755:E755" si="753">TRIM(B755)</f>
        <v>Arizona</v>
      </c>
      <c r="E755" s="111" t="str">
        <f t="shared" si="753"/>
        <v>Tucson</v>
      </c>
    </row>
    <row r="756" spans="1:5">
      <c r="A756" s="110" t="s">
        <v>3420</v>
      </c>
      <c r="B756" s="110" t="s">
        <v>1319</v>
      </c>
      <c r="C756" s="111" t="s">
        <v>3379</v>
      </c>
      <c r="D756" s="111" t="str">
        <f t="shared" ref="D756:E756" si="754">TRIM(B756)</f>
        <v>Arizona</v>
      </c>
      <c r="E756" s="111" t="str">
        <f t="shared" si="754"/>
        <v>Tucson</v>
      </c>
    </row>
    <row r="757" spans="1:5">
      <c r="A757" s="3" t="s">
        <v>3423</v>
      </c>
      <c r="B757" s="110" t="s">
        <v>1319</v>
      </c>
      <c r="C757" s="111" t="s">
        <v>3379</v>
      </c>
      <c r="D757" s="111" t="str">
        <f t="shared" ref="D757:E757" si="755">TRIM(B757)</f>
        <v>Arizona</v>
      </c>
      <c r="E757" s="111" t="str">
        <f t="shared" si="755"/>
        <v>Tucson</v>
      </c>
    </row>
    <row r="758" spans="1:5">
      <c r="A758" s="110" t="s">
        <v>3424</v>
      </c>
      <c r="B758" s="110" t="s">
        <v>1319</v>
      </c>
      <c r="C758" s="111" t="s">
        <v>3379</v>
      </c>
      <c r="D758" s="111" t="str">
        <f t="shared" ref="D758:E758" si="756">TRIM(B758)</f>
        <v>Arizona</v>
      </c>
      <c r="E758" s="111" t="str">
        <f t="shared" si="756"/>
        <v>Tucson</v>
      </c>
    </row>
    <row r="759" spans="1:5">
      <c r="A759" s="3" t="s">
        <v>2842</v>
      </c>
      <c r="B759" s="110" t="s">
        <v>1319</v>
      </c>
      <c r="C759" s="111" t="s">
        <v>3379</v>
      </c>
      <c r="D759" s="111" t="str">
        <f t="shared" ref="D759:E759" si="757">TRIM(B759)</f>
        <v>Arizona</v>
      </c>
      <c r="E759" s="111" t="str">
        <f t="shared" si="757"/>
        <v>Tucson</v>
      </c>
    </row>
    <row r="760" spans="1:5">
      <c r="A760" s="110" t="s">
        <v>3430</v>
      </c>
      <c r="B760" s="110" t="s">
        <v>1319</v>
      </c>
      <c r="C760" s="111" t="s">
        <v>3379</v>
      </c>
      <c r="D760" s="111" t="str">
        <f t="shared" ref="D760:E760" si="758">TRIM(B760)</f>
        <v>Arizona</v>
      </c>
      <c r="E760" s="111" t="str">
        <f t="shared" si="758"/>
        <v>Tucson</v>
      </c>
    </row>
    <row r="761" spans="1:5">
      <c r="A761" s="3" t="s">
        <v>3432</v>
      </c>
      <c r="B761" s="110" t="s">
        <v>1319</v>
      </c>
      <c r="C761" s="111" t="s">
        <v>3379</v>
      </c>
      <c r="D761" s="111" t="str">
        <f t="shared" ref="D761:E761" si="759">TRIM(B761)</f>
        <v>Arizona</v>
      </c>
      <c r="E761" s="111" t="str">
        <f t="shared" si="759"/>
        <v>Tucson</v>
      </c>
    </row>
    <row r="762" spans="1:5">
      <c r="A762" s="110" t="s">
        <v>3434</v>
      </c>
      <c r="B762" s="110" t="s">
        <v>1319</v>
      </c>
      <c r="C762" s="111" t="s">
        <v>3379</v>
      </c>
      <c r="D762" s="111" t="str">
        <f t="shared" ref="D762:E762" si="760">TRIM(B762)</f>
        <v>Arizona</v>
      </c>
      <c r="E762" s="111" t="str">
        <f t="shared" si="760"/>
        <v>Tucson</v>
      </c>
    </row>
    <row r="763" spans="1:5">
      <c r="A763" s="110" t="s">
        <v>3435</v>
      </c>
      <c r="B763" s="110" t="s">
        <v>1319</v>
      </c>
      <c r="C763" s="111" t="s">
        <v>3379</v>
      </c>
      <c r="D763" s="111" t="str">
        <f t="shared" ref="D763:E763" si="761">TRIM(B763)</f>
        <v>Arizona</v>
      </c>
      <c r="E763" s="111" t="str">
        <f t="shared" si="761"/>
        <v>Tucson</v>
      </c>
    </row>
    <row r="764" spans="1:5">
      <c r="A764" s="3" t="s">
        <v>3440</v>
      </c>
      <c r="B764" s="110" t="s">
        <v>1319</v>
      </c>
      <c r="C764" s="111" t="s">
        <v>3379</v>
      </c>
      <c r="D764" s="111" t="str">
        <f t="shared" ref="D764:E764" si="762">TRIM(B764)</f>
        <v>Arizona</v>
      </c>
      <c r="E764" s="111" t="str">
        <f t="shared" si="762"/>
        <v>Tucson</v>
      </c>
    </row>
    <row r="765" spans="1:5">
      <c r="A765" s="110" t="s">
        <v>3441</v>
      </c>
      <c r="B765" s="110" t="s">
        <v>1319</v>
      </c>
      <c r="C765" s="111" t="s">
        <v>3379</v>
      </c>
      <c r="D765" s="111" t="str">
        <f t="shared" ref="D765:E765" si="763">TRIM(B765)</f>
        <v>Arizona</v>
      </c>
      <c r="E765" s="111" t="str">
        <f t="shared" si="763"/>
        <v>Tucson</v>
      </c>
    </row>
    <row r="766" spans="1:5">
      <c r="A766" s="110" t="s">
        <v>3443</v>
      </c>
      <c r="B766" s="110" t="s">
        <v>1319</v>
      </c>
      <c r="C766" s="111" t="s">
        <v>3379</v>
      </c>
      <c r="D766" s="111" t="str">
        <f t="shared" ref="D766:E766" si="764">TRIM(B766)</f>
        <v>Arizona</v>
      </c>
      <c r="E766" s="111" t="str">
        <f t="shared" si="764"/>
        <v>Tucson</v>
      </c>
    </row>
    <row r="767" spans="1:5">
      <c r="A767" s="110" t="s">
        <v>3445</v>
      </c>
      <c r="B767" s="110" t="s">
        <v>1319</v>
      </c>
      <c r="C767" s="111" t="s">
        <v>3379</v>
      </c>
      <c r="D767" s="111" t="str">
        <f t="shared" ref="D767:E767" si="765">TRIM(B767)</f>
        <v>Arizona</v>
      </c>
      <c r="E767" s="111" t="str">
        <f t="shared" si="765"/>
        <v>Tucson</v>
      </c>
    </row>
    <row r="768" spans="1:5">
      <c r="A768" s="110" t="s">
        <v>3446</v>
      </c>
      <c r="B768" s="110" t="s">
        <v>1319</v>
      </c>
      <c r="C768" s="111" t="s">
        <v>3379</v>
      </c>
      <c r="D768" s="111" t="str">
        <f t="shared" ref="D768:E768" si="766">TRIM(B768)</f>
        <v>Arizona</v>
      </c>
      <c r="E768" s="111" t="str">
        <f t="shared" si="766"/>
        <v>Tucson</v>
      </c>
    </row>
    <row r="769" spans="1:5">
      <c r="A769" s="110" t="s">
        <v>3450</v>
      </c>
      <c r="B769" s="110" t="s">
        <v>1319</v>
      </c>
      <c r="C769" s="111" t="s">
        <v>3379</v>
      </c>
      <c r="D769" s="111" t="str">
        <f t="shared" ref="D769:E769" si="767">TRIM(B769)</f>
        <v>Arizona</v>
      </c>
      <c r="E769" s="111" t="str">
        <f t="shared" si="767"/>
        <v>Tucson</v>
      </c>
    </row>
    <row r="770" spans="1:5">
      <c r="A770" s="110" t="s">
        <v>3451</v>
      </c>
      <c r="B770" s="110" t="s">
        <v>1319</v>
      </c>
      <c r="C770" s="111" t="s">
        <v>3379</v>
      </c>
      <c r="D770" s="111" t="str">
        <f t="shared" ref="D770:E770" si="768">TRIM(B770)</f>
        <v>Arizona</v>
      </c>
      <c r="E770" s="111" t="str">
        <f t="shared" si="768"/>
        <v>Tucson</v>
      </c>
    </row>
    <row r="771" spans="1:5">
      <c r="A771" s="3" t="s">
        <v>3452</v>
      </c>
      <c r="B771" s="110" t="s">
        <v>1319</v>
      </c>
      <c r="C771" s="111" t="s">
        <v>3379</v>
      </c>
      <c r="D771" s="111" t="str">
        <f t="shared" ref="D771:E771" si="769">TRIM(B771)</f>
        <v>Arizona</v>
      </c>
      <c r="E771" s="111" t="str">
        <f t="shared" si="769"/>
        <v>Tucson</v>
      </c>
    </row>
    <row r="772" spans="1:5">
      <c r="A772" s="3" t="s">
        <v>3455</v>
      </c>
      <c r="B772" s="110" t="s">
        <v>1319</v>
      </c>
      <c r="C772" s="111" t="s">
        <v>3379</v>
      </c>
      <c r="D772" s="111" t="str">
        <f t="shared" ref="D772:E772" si="770">TRIM(B772)</f>
        <v>Arizona</v>
      </c>
      <c r="E772" s="111" t="str">
        <f t="shared" si="770"/>
        <v>Tucson</v>
      </c>
    </row>
    <row r="773" spans="1:5">
      <c r="A773" s="3" t="s">
        <v>3456</v>
      </c>
      <c r="B773" s="110" t="s">
        <v>1319</v>
      </c>
      <c r="C773" s="111" t="s">
        <v>3379</v>
      </c>
      <c r="D773" s="111" t="str">
        <f t="shared" ref="D773:E773" si="771">TRIM(B773)</f>
        <v>Arizona</v>
      </c>
      <c r="E773" s="111" t="str">
        <f t="shared" si="771"/>
        <v>Tucson</v>
      </c>
    </row>
    <row r="774" spans="1:5">
      <c r="A774" s="110" t="s">
        <v>3458</v>
      </c>
      <c r="B774" s="110" t="s">
        <v>1319</v>
      </c>
      <c r="C774" s="111" t="s">
        <v>3379</v>
      </c>
      <c r="D774" s="111" t="str">
        <f t="shared" ref="D774:E774" si="772">TRIM(B774)</f>
        <v>Arizona</v>
      </c>
      <c r="E774" s="111" t="str">
        <f t="shared" si="772"/>
        <v>Tucson</v>
      </c>
    </row>
    <row r="775" spans="1:5">
      <c r="A775" s="3" t="s">
        <v>3460</v>
      </c>
      <c r="B775" s="110" t="s">
        <v>1319</v>
      </c>
      <c r="C775" s="111" t="s">
        <v>3379</v>
      </c>
      <c r="D775" s="111" t="str">
        <f t="shared" ref="D775:E775" si="773">TRIM(B775)</f>
        <v>Arizona</v>
      </c>
      <c r="E775" s="111" t="str">
        <f t="shared" si="773"/>
        <v>Tucson</v>
      </c>
    </row>
    <row r="776" spans="1:5">
      <c r="A776" s="3" t="s">
        <v>3461</v>
      </c>
      <c r="B776" s="110" t="s">
        <v>1319</v>
      </c>
      <c r="C776" s="111" t="s">
        <v>3379</v>
      </c>
      <c r="D776" s="111" t="str">
        <f t="shared" ref="D776:E776" si="774">TRIM(B776)</f>
        <v>Arizona</v>
      </c>
      <c r="E776" s="111" t="str">
        <f t="shared" si="774"/>
        <v>Tucson</v>
      </c>
    </row>
    <row r="777" spans="1:5">
      <c r="A777" s="3" t="s">
        <v>3464</v>
      </c>
      <c r="B777" s="110" t="s">
        <v>1319</v>
      </c>
      <c r="C777" s="111" t="s">
        <v>3379</v>
      </c>
      <c r="D777" s="111" t="str">
        <f t="shared" ref="D777:E777" si="775">TRIM(B777)</f>
        <v>Arizona</v>
      </c>
      <c r="E777" s="111" t="str">
        <f t="shared" si="775"/>
        <v>Tucson</v>
      </c>
    </row>
    <row r="778" spans="1:5">
      <c r="A778" s="110" t="s">
        <v>3465</v>
      </c>
      <c r="B778" s="110" t="s">
        <v>1319</v>
      </c>
      <c r="C778" s="111" t="s">
        <v>3379</v>
      </c>
      <c r="D778" s="111" t="str">
        <f t="shared" ref="D778:E778" si="776">TRIM(B778)</f>
        <v>Arizona</v>
      </c>
      <c r="E778" s="111" t="str">
        <f t="shared" si="776"/>
        <v>Tucson</v>
      </c>
    </row>
    <row r="779" spans="1:5">
      <c r="A779" s="3" t="s">
        <v>3467</v>
      </c>
      <c r="B779" s="110" t="s">
        <v>1319</v>
      </c>
      <c r="C779" s="111" t="s">
        <v>3379</v>
      </c>
      <c r="D779" s="111" t="str">
        <f t="shared" ref="D779:E779" si="777">TRIM(B779)</f>
        <v>Arizona</v>
      </c>
      <c r="E779" s="111" t="str">
        <f t="shared" si="777"/>
        <v>Tucson</v>
      </c>
    </row>
    <row r="780" spans="1:5">
      <c r="A780" s="3" t="s">
        <v>3471</v>
      </c>
      <c r="B780" s="110" t="s">
        <v>1319</v>
      </c>
      <c r="C780" s="111" t="s">
        <v>3379</v>
      </c>
      <c r="D780" s="111" t="str">
        <f t="shared" ref="D780:E780" si="778">TRIM(B780)</f>
        <v>Arizona</v>
      </c>
      <c r="E780" s="111" t="str">
        <f t="shared" si="778"/>
        <v>Tucson</v>
      </c>
    </row>
    <row r="781" spans="1:5">
      <c r="A781" s="3" t="s">
        <v>3472</v>
      </c>
      <c r="B781" s="110" t="s">
        <v>1319</v>
      </c>
      <c r="C781" s="111" t="s">
        <v>3379</v>
      </c>
      <c r="D781" s="111" t="str">
        <f t="shared" ref="D781:E781" si="779">TRIM(B781)</f>
        <v>Arizona</v>
      </c>
      <c r="E781" s="111" t="str">
        <f t="shared" si="779"/>
        <v>Tucson</v>
      </c>
    </row>
    <row r="782" spans="1:5">
      <c r="A782" s="3" t="s">
        <v>3476</v>
      </c>
      <c r="B782" s="110" t="s">
        <v>1319</v>
      </c>
      <c r="C782" s="111" t="s">
        <v>3379</v>
      </c>
      <c r="D782" s="111" t="str">
        <f t="shared" ref="D782:E782" si="780">TRIM(B782)</f>
        <v>Arizona</v>
      </c>
      <c r="E782" s="111" t="str">
        <f t="shared" si="780"/>
        <v>Tucson</v>
      </c>
    </row>
    <row r="783" spans="1:5">
      <c r="A783" s="3" t="s">
        <v>3477</v>
      </c>
      <c r="B783" s="110" t="s">
        <v>1319</v>
      </c>
      <c r="C783" s="111" t="s">
        <v>3379</v>
      </c>
      <c r="D783" s="111" t="str">
        <f t="shared" ref="D783:E783" si="781">TRIM(B783)</f>
        <v>Arizona</v>
      </c>
      <c r="E783" s="111" t="str">
        <f t="shared" si="781"/>
        <v>Tucson</v>
      </c>
    </row>
    <row r="784" spans="1:5">
      <c r="A784" s="3" t="s">
        <v>3481</v>
      </c>
      <c r="B784" s="110" t="s">
        <v>1319</v>
      </c>
      <c r="C784" s="111" t="s">
        <v>3379</v>
      </c>
      <c r="D784" s="111" t="str">
        <f t="shared" ref="D784:E784" si="782">TRIM(B784)</f>
        <v>Arizona</v>
      </c>
      <c r="E784" s="111" t="str">
        <f t="shared" si="782"/>
        <v>Tucson</v>
      </c>
    </row>
    <row r="785" spans="1:5">
      <c r="A785" s="3" t="s">
        <v>3482</v>
      </c>
      <c r="B785" s="110" t="s">
        <v>1319</v>
      </c>
      <c r="C785" s="111" t="s">
        <v>3379</v>
      </c>
      <c r="D785" s="111" t="str">
        <f t="shared" ref="D785:E785" si="783">TRIM(B785)</f>
        <v>Arizona</v>
      </c>
      <c r="E785" s="111" t="str">
        <f t="shared" si="783"/>
        <v>Tucson</v>
      </c>
    </row>
    <row r="786" spans="1:5">
      <c r="A786" s="3" t="s">
        <v>3485</v>
      </c>
      <c r="B786" s="110" t="s">
        <v>1319</v>
      </c>
      <c r="C786" s="111" t="s">
        <v>3379</v>
      </c>
      <c r="D786" s="111" t="str">
        <f t="shared" ref="D786:E786" si="784">TRIM(B786)</f>
        <v>Arizona</v>
      </c>
      <c r="E786" s="111" t="str">
        <f t="shared" si="784"/>
        <v>Tucson</v>
      </c>
    </row>
    <row r="787" spans="1:5">
      <c r="A787" s="110" t="s">
        <v>3487</v>
      </c>
      <c r="B787" s="110" t="s">
        <v>1319</v>
      </c>
      <c r="C787" s="111" t="s">
        <v>3379</v>
      </c>
      <c r="D787" s="111" t="str">
        <f t="shared" ref="D787:E787" si="785">TRIM(B787)</f>
        <v>Arizona</v>
      </c>
      <c r="E787" s="111" t="str">
        <f t="shared" si="785"/>
        <v>Tucson</v>
      </c>
    </row>
    <row r="788" spans="1:5">
      <c r="A788" s="3" t="s">
        <v>3364</v>
      </c>
      <c r="B788" s="110" t="s">
        <v>1319</v>
      </c>
      <c r="C788" s="111" t="s">
        <v>3379</v>
      </c>
      <c r="D788" s="111" t="str">
        <f t="shared" ref="D788:E788" si="786">TRIM(B788)</f>
        <v>Arizona</v>
      </c>
      <c r="E788" s="111" t="str">
        <f t="shared" si="786"/>
        <v>Tucson</v>
      </c>
    </row>
    <row r="789" spans="1:5">
      <c r="A789" s="110" t="s">
        <v>3491</v>
      </c>
      <c r="B789" s="110" t="s">
        <v>1319</v>
      </c>
      <c r="C789" s="111" t="s">
        <v>3379</v>
      </c>
      <c r="D789" s="111" t="str">
        <f t="shared" ref="D789:E789" si="787">TRIM(B789)</f>
        <v>Arizona</v>
      </c>
      <c r="E789" s="111" t="str">
        <f t="shared" si="787"/>
        <v>Tucson</v>
      </c>
    </row>
    <row r="790" spans="1:5">
      <c r="A790" s="3" t="s">
        <v>3493</v>
      </c>
      <c r="B790" s="110" t="s">
        <v>1319</v>
      </c>
      <c r="C790" s="111" t="s">
        <v>3379</v>
      </c>
      <c r="D790" s="111" t="str">
        <f t="shared" ref="D790:E790" si="788">TRIM(B790)</f>
        <v>Arizona</v>
      </c>
      <c r="E790" s="111" t="str">
        <f t="shared" si="788"/>
        <v>Tucson</v>
      </c>
    </row>
    <row r="791" spans="1:5">
      <c r="A791" s="3" t="s">
        <v>3496</v>
      </c>
      <c r="B791" s="110" t="s">
        <v>1319</v>
      </c>
      <c r="C791" s="111" t="s">
        <v>3497</v>
      </c>
      <c r="D791" s="111" t="str">
        <f t="shared" ref="D791:E791" si="789">TRIM(B791)</f>
        <v>Arizona</v>
      </c>
      <c r="E791" s="111" t="str">
        <f t="shared" si="789"/>
        <v>Vail</v>
      </c>
    </row>
    <row r="792" spans="1:5">
      <c r="A792" s="3" t="s">
        <v>3498</v>
      </c>
      <c r="B792" s="110" t="s">
        <v>1319</v>
      </c>
      <c r="C792" s="111" t="s">
        <v>3497</v>
      </c>
      <c r="D792" s="111" t="str">
        <f t="shared" ref="D792:E792" si="790">TRIM(B792)</f>
        <v>Arizona</v>
      </c>
      <c r="E792" s="111" t="str">
        <f t="shared" si="790"/>
        <v>Vail</v>
      </c>
    </row>
    <row r="793" spans="1:5">
      <c r="A793" s="3" t="s">
        <v>3501</v>
      </c>
      <c r="B793" s="110" t="s">
        <v>1319</v>
      </c>
      <c r="C793" s="111" t="s">
        <v>3497</v>
      </c>
      <c r="D793" s="111" t="str">
        <f t="shared" ref="D793:E793" si="791">TRIM(B793)</f>
        <v>Arizona</v>
      </c>
      <c r="E793" s="111" t="str">
        <f t="shared" si="791"/>
        <v>Vail</v>
      </c>
    </row>
    <row r="794" spans="1:5">
      <c r="A794" s="3" t="s">
        <v>3503</v>
      </c>
      <c r="B794" s="110" t="s">
        <v>1319</v>
      </c>
      <c r="C794" s="111" t="s">
        <v>3504</v>
      </c>
      <c r="D794" s="111" t="str">
        <f t="shared" ref="D794:E794" si="792">TRIM(B794)</f>
        <v>Arizona</v>
      </c>
      <c r="E794" s="111" t="str">
        <f t="shared" si="792"/>
        <v>Waddell</v>
      </c>
    </row>
    <row r="795" spans="1:5">
      <c r="A795" s="3" t="s">
        <v>3505</v>
      </c>
      <c r="B795" s="110" t="s">
        <v>1319</v>
      </c>
      <c r="C795" s="111" t="s">
        <v>3506</v>
      </c>
      <c r="D795" s="111" t="str">
        <f t="shared" ref="D795:E795" si="793">TRIM(B795)</f>
        <v>Arizona</v>
      </c>
      <c r="E795" s="111" t="str">
        <f t="shared" si="793"/>
        <v>Wellton</v>
      </c>
    </row>
    <row r="796" spans="1:5">
      <c r="A796" s="3" t="s">
        <v>3508</v>
      </c>
      <c r="B796" s="110" t="s">
        <v>1319</v>
      </c>
      <c r="C796" s="111" t="s">
        <v>3506</v>
      </c>
      <c r="D796" s="111" t="str">
        <f t="shared" ref="D796:E796" si="794">TRIM(B796)</f>
        <v>Arizona</v>
      </c>
      <c r="E796" s="111" t="str">
        <f t="shared" si="794"/>
        <v>Wellton</v>
      </c>
    </row>
    <row r="797" spans="1:5">
      <c r="A797" s="3" t="s">
        <v>3510</v>
      </c>
      <c r="B797" s="110" t="s">
        <v>1319</v>
      </c>
      <c r="C797" s="111" t="s">
        <v>3511</v>
      </c>
      <c r="D797" s="111" t="str">
        <f t="shared" ref="D797:E797" si="795">TRIM(B797)</f>
        <v>Arizona</v>
      </c>
      <c r="E797" s="111" t="str">
        <f t="shared" si="795"/>
        <v>Whiteriver</v>
      </c>
    </row>
    <row r="798" spans="1:5">
      <c r="A798" s="3" t="s">
        <v>3512</v>
      </c>
      <c r="B798" s="110" t="s">
        <v>1319</v>
      </c>
      <c r="C798" s="111" t="s">
        <v>3513</v>
      </c>
      <c r="D798" s="111" t="str">
        <f t="shared" ref="D798:E798" si="796">TRIM(B798)</f>
        <v>Arizona</v>
      </c>
      <c r="E798" s="111" t="str">
        <f t="shared" si="796"/>
        <v>Wickenburg</v>
      </c>
    </row>
    <row r="799" spans="1:5">
      <c r="A799" s="3" t="s">
        <v>3517</v>
      </c>
      <c r="B799" s="110" t="s">
        <v>1319</v>
      </c>
      <c r="C799" s="111" t="s">
        <v>3519</v>
      </c>
      <c r="D799" s="111" t="str">
        <f t="shared" ref="D799:E799" si="797">TRIM(B799)</f>
        <v>Arizona</v>
      </c>
      <c r="E799" s="111" t="str">
        <f t="shared" si="797"/>
        <v>Willcox</v>
      </c>
    </row>
    <row r="800" spans="1:5">
      <c r="A800" s="3" t="s">
        <v>3520</v>
      </c>
      <c r="B800" s="110" t="s">
        <v>1319</v>
      </c>
      <c r="C800" s="111" t="s">
        <v>3521</v>
      </c>
      <c r="D800" s="111" t="str">
        <f t="shared" ref="D800:E800" si="798">TRIM(B800)</f>
        <v>Arizona</v>
      </c>
      <c r="E800" s="111" t="str">
        <f t="shared" si="798"/>
        <v>Williams</v>
      </c>
    </row>
    <row r="801" spans="1:5">
      <c r="A801" s="3" t="s">
        <v>1840</v>
      </c>
      <c r="B801" s="110" t="s">
        <v>1319</v>
      </c>
      <c r="C801" s="111" t="s">
        <v>3523</v>
      </c>
      <c r="D801" s="111" t="str">
        <f t="shared" ref="D801:E801" si="799">TRIM(B801)</f>
        <v>Arizona</v>
      </c>
      <c r="E801" s="111" t="str">
        <f t="shared" si="799"/>
        <v>Winkelman</v>
      </c>
    </row>
    <row r="802" spans="1:5">
      <c r="A802" s="3" t="s">
        <v>3525</v>
      </c>
      <c r="B802" s="110" t="s">
        <v>1319</v>
      </c>
      <c r="C802" s="111" t="s">
        <v>3526</v>
      </c>
      <c r="D802" s="111" t="str">
        <f t="shared" ref="D802:E802" si="800">TRIM(B802)</f>
        <v>Arizona</v>
      </c>
      <c r="E802" s="111" t="str">
        <f t="shared" si="800"/>
        <v>Winslow</v>
      </c>
    </row>
    <row r="803" spans="1:5">
      <c r="A803" s="3" t="s">
        <v>3527</v>
      </c>
      <c r="B803" s="110" t="s">
        <v>1319</v>
      </c>
      <c r="C803" s="111" t="s">
        <v>3528</v>
      </c>
      <c r="D803" s="111" t="str">
        <f t="shared" ref="D803:E803" si="801">TRIM(B803)</f>
        <v>Arizona</v>
      </c>
      <c r="E803" s="111" t="str">
        <f t="shared" si="801"/>
        <v>Young</v>
      </c>
    </row>
    <row r="804" spans="1:5">
      <c r="A804" s="3" t="s">
        <v>3531</v>
      </c>
      <c r="B804" s="110" t="s">
        <v>1319</v>
      </c>
      <c r="C804" s="111" t="s">
        <v>3532</v>
      </c>
      <c r="D804" s="111" t="str">
        <f t="shared" ref="D804:E804" si="802">TRIM(B804)</f>
        <v>Arizona</v>
      </c>
      <c r="E804" s="111" t="str">
        <f t="shared" si="802"/>
        <v>Yuma</v>
      </c>
    </row>
    <row r="805" spans="1:5">
      <c r="A805" s="3" t="s">
        <v>3534</v>
      </c>
      <c r="B805" s="110" t="s">
        <v>1319</v>
      </c>
      <c r="C805" s="111" t="s">
        <v>3532</v>
      </c>
      <c r="D805" s="111" t="str">
        <f t="shared" ref="D805:E805" si="803">TRIM(B805)</f>
        <v>Arizona</v>
      </c>
      <c r="E805" s="111" t="str">
        <f t="shared" si="803"/>
        <v>Yuma</v>
      </c>
    </row>
    <row r="806" spans="1:5">
      <c r="A806" s="3" t="s">
        <v>3535</v>
      </c>
      <c r="B806" s="110" t="s">
        <v>1319</v>
      </c>
      <c r="C806" s="111" t="s">
        <v>3532</v>
      </c>
      <c r="D806" s="111" t="str">
        <f t="shared" ref="D806:E806" si="804">TRIM(B806)</f>
        <v>Arizona</v>
      </c>
      <c r="E806" s="111" t="str">
        <f t="shared" si="804"/>
        <v>Yuma</v>
      </c>
    </row>
    <row r="807" spans="1:5">
      <c r="A807" s="110" t="s">
        <v>3538</v>
      </c>
      <c r="B807" s="110" t="s">
        <v>1319</v>
      </c>
      <c r="C807" s="111" t="s">
        <v>3532</v>
      </c>
      <c r="D807" s="111" t="str">
        <f t="shared" ref="D807:E807" si="805">TRIM(B807)</f>
        <v>Arizona</v>
      </c>
      <c r="E807" s="111" t="str">
        <f t="shared" si="805"/>
        <v>Yuma</v>
      </c>
    </row>
    <row r="808" spans="1:5">
      <c r="A808" s="3" t="s">
        <v>3540</v>
      </c>
      <c r="B808" s="110" t="s">
        <v>1319</v>
      </c>
      <c r="C808" s="111" t="s">
        <v>3532</v>
      </c>
      <c r="D808" s="111" t="str">
        <f t="shared" ref="D808:E808" si="806">TRIM(B808)</f>
        <v>Arizona</v>
      </c>
      <c r="E808" s="111" t="str">
        <f t="shared" si="806"/>
        <v>Yuma</v>
      </c>
    </row>
    <row r="809" spans="1:5">
      <c r="A809" s="110" t="s">
        <v>3541</v>
      </c>
      <c r="B809" s="110" t="s">
        <v>1319</v>
      </c>
      <c r="C809" s="111" t="s">
        <v>3532</v>
      </c>
      <c r="D809" s="111" t="str">
        <f t="shared" ref="D809:E809" si="807">TRIM(B809)</f>
        <v>Arizona</v>
      </c>
      <c r="E809" s="111" t="str">
        <f t="shared" si="807"/>
        <v>Yuma</v>
      </c>
    </row>
    <row r="810" spans="1:5">
      <c r="A810" s="3" t="s">
        <v>3544</v>
      </c>
      <c r="B810" s="110" t="s">
        <v>1319</v>
      </c>
      <c r="C810" s="111" t="s">
        <v>3532</v>
      </c>
      <c r="D810" s="111" t="str">
        <f t="shared" ref="D810:E810" si="808">TRIM(B810)</f>
        <v>Arizona</v>
      </c>
      <c r="E810" s="111" t="str">
        <f t="shared" si="808"/>
        <v>Yuma</v>
      </c>
    </row>
    <row r="811" spans="1:5">
      <c r="A811" s="3" t="s">
        <v>3546</v>
      </c>
      <c r="B811" s="110" t="s">
        <v>1319</v>
      </c>
      <c r="C811" s="111" t="s">
        <v>3532</v>
      </c>
      <c r="D811" s="111" t="str">
        <f t="shared" ref="D811:E811" si="809">TRIM(B811)</f>
        <v>Arizona</v>
      </c>
      <c r="E811" s="111" t="str">
        <f t="shared" si="809"/>
        <v>Yuma</v>
      </c>
    </row>
    <row r="812" spans="1:5">
      <c r="A812" s="3" t="s">
        <v>3547</v>
      </c>
      <c r="B812" s="110" t="s">
        <v>1319</v>
      </c>
      <c r="C812" s="111" t="s">
        <v>3532</v>
      </c>
      <c r="D812" s="111" t="str">
        <f t="shared" ref="D812:E812" si="810">TRIM(B812)</f>
        <v>Arizona</v>
      </c>
      <c r="E812" s="111" t="str">
        <f t="shared" si="810"/>
        <v>Yuma</v>
      </c>
    </row>
    <row r="813" spans="1:5">
      <c r="A813" s="3" t="s">
        <v>3550</v>
      </c>
      <c r="B813" s="110" t="s">
        <v>1320</v>
      </c>
      <c r="C813" s="111" t="s">
        <v>3551</v>
      </c>
      <c r="D813" s="111" t="str">
        <f t="shared" ref="D813:E813" si="811">TRIM(B813)</f>
        <v>Arkansas</v>
      </c>
      <c r="E813" s="111" t="str">
        <f t="shared" si="811"/>
        <v>Alma</v>
      </c>
    </row>
    <row r="814" spans="1:5">
      <c r="A814" s="3" t="s">
        <v>3552</v>
      </c>
      <c r="B814" s="110" t="s">
        <v>1320</v>
      </c>
      <c r="C814" s="111" t="s">
        <v>3553</v>
      </c>
      <c r="D814" s="111" t="str">
        <f t="shared" ref="D814:E814" si="812">TRIM(B814)</f>
        <v>Arkansas</v>
      </c>
      <c r="E814" s="111" t="str">
        <f t="shared" si="812"/>
        <v>Alpena</v>
      </c>
    </row>
    <row r="815" spans="1:5">
      <c r="A815" s="3" t="s">
        <v>3557</v>
      </c>
      <c r="B815" s="110" t="s">
        <v>1320</v>
      </c>
      <c r="C815" s="111" t="s">
        <v>3558</v>
      </c>
      <c r="D815" s="111" t="str">
        <f t="shared" ref="D815:E815" si="813">TRIM(B815)</f>
        <v>Arkansas</v>
      </c>
      <c r="E815" s="111" t="str">
        <f t="shared" si="813"/>
        <v>Amity</v>
      </c>
    </row>
    <row r="816" spans="1:5">
      <c r="A816" s="3" t="s">
        <v>3559</v>
      </c>
      <c r="B816" s="110" t="s">
        <v>1320</v>
      </c>
      <c r="C816" s="111" t="s">
        <v>3560</v>
      </c>
      <c r="D816" s="111" t="str">
        <f t="shared" ref="D816:E816" si="814">TRIM(B816)</f>
        <v>Arkansas</v>
      </c>
      <c r="E816" s="111" t="str">
        <f t="shared" si="814"/>
        <v>Arkadelphia</v>
      </c>
    </row>
    <row r="817" spans="1:5">
      <c r="A817" s="3" t="s">
        <v>3562</v>
      </c>
      <c r="B817" s="110" t="s">
        <v>1320</v>
      </c>
      <c r="C817" s="111" t="s">
        <v>3564</v>
      </c>
      <c r="D817" s="111" t="str">
        <f t="shared" ref="D817:E817" si="815">TRIM(B817)</f>
        <v>Arkansas</v>
      </c>
      <c r="E817" s="111" t="str">
        <f t="shared" si="815"/>
        <v>Armorel</v>
      </c>
    </row>
    <row r="818" spans="1:5">
      <c r="A818" s="3" t="s">
        <v>3566</v>
      </c>
      <c r="B818" s="110" t="s">
        <v>1320</v>
      </c>
      <c r="C818" s="111" t="s">
        <v>3567</v>
      </c>
      <c r="D818" s="111" t="str">
        <f t="shared" ref="D818:E818" si="816">TRIM(B818)</f>
        <v>Arkansas</v>
      </c>
      <c r="E818" s="111" t="str">
        <f t="shared" si="816"/>
        <v>Ashdown</v>
      </c>
    </row>
    <row r="819" spans="1:5">
      <c r="A819" s="3" t="s">
        <v>3569</v>
      </c>
      <c r="B819" s="110" t="s">
        <v>1320</v>
      </c>
      <c r="C819" s="111" t="s">
        <v>3571</v>
      </c>
      <c r="D819" s="111" t="str">
        <f t="shared" ref="D819:E819" si="817">TRIM(B819)</f>
        <v>Arkansas</v>
      </c>
      <c r="E819" s="111" t="str">
        <f t="shared" si="817"/>
        <v>Atkins</v>
      </c>
    </row>
    <row r="820" spans="1:5">
      <c r="A820" s="3" t="s">
        <v>3573</v>
      </c>
      <c r="B820" s="110" t="s">
        <v>1320</v>
      </c>
      <c r="C820" s="111" t="s">
        <v>337</v>
      </c>
      <c r="D820" s="111" t="str">
        <f t="shared" ref="D820:E820" si="818">TRIM(B820)</f>
        <v>Arkansas</v>
      </c>
      <c r="E820" s="111" t="str">
        <f t="shared" si="818"/>
        <v>Augusta</v>
      </c>
    </row>
    <row r="821" spans="1:5">
      <c r="A821" s="3" t="s">
        <v>3574</v>
      </c>
      <c r="B821" s="110" t="s">
        <v>1320</v>
      </c>
      <c r="C821" s="111" t="s">
        <v>3575</v>
      </c>
      <c r="D821" s="111" t="str">
        <f t="shared" ref="D821:E821" si="819">TRIM(B821)</f>
        <v>Arkansas</v>
      </c>
      <c r="E821" s="111" t="str">
        <f t="shared" si="819"/>
        <v>Bald Knob</v>
      </c>
    </row>
    <row r="822" spans="1:5">
      <c r="A822" s="3" t="s">
        <v>3578</v>
      </c>
      <c r="B822" s="110" t="s">
        <v>1320</v>
      </c>
      <c r="C822" s="111" t="s">
        <v>3579</v>
      </c>
      <c r="D822" s="111" t="str">
        <f t="shared" ref="D822:E822" si="820">TRIM(B822)</f>
        <v>Arkansas</v>
      </c>
      <c r="E822" s="111" t="str">
        <f t="shared" si="820"/>
        <v>Barton</v>
      </c>
    </row>
    <row r="823" spans="1:5">
      <c r="A823" s="3" t="s">
        <v>3581</v>
      </c>
      <c r="B823" s="110" t="s">
        <v>1320</v>
      </c>
      <c r="C823" s="111" t="s">
        <v>3582</v>
      </c>
      <c r="D823" s="111" t="str">
        <f t="shared" ref="D823:E823" si="821">TRIM(B823)</f>
        <v>Arkansas</v>
      </c>
      <c r="E823" s="111" t="str">
        <f t="shared" si="821"/>
        <v>Batesville</v>
      </c>
    </row>
    <row r="824" spans="1:5">
      <c r="A824" s="3" t="s">
        <v>3584</v>
      </c>
      <c r="B824" s="110" t="s">
        <v>1320</v>
      </c>
      <c r="C824" s="111" t="s">
        <v>3582</v>
      </c>
      <c r="D824" s="111" t="str">
        <f t="shared" ref="D824:E824" si="822">TRIM(B824)</f>
        <v>Arkansas</v>
      </c>
      <c r="E824" s="111" t="str">
        <f t="shared" si="822"/>
        <v>Batesville</v>
      </c>
    </row>
    <row r="825" spans="1:5">
      <c r="A825" s="3" t="s">
        <v>3587</v>
      </c>
      <c r="B825" s="110" t="s">
        <v>1320</v>
      </c>
      <c r="C825" s="111" t="s">
        <v>3588</v>
      </c>
      <c r="D825" s="111" t="str">
        <f t="shared" ref="D825:E825" si="823">TRIM(B825)</f>
        <v>Arkansas</v>
      </c>
      <c r="E825" s="111" t="str">
        <f t="shared" si="823"/>
        <v>Bauxite</v>
      </c>
    </row>
    <row r="826" spans="1:5">
      <c r="A826" s="3" t="s">
        <v>3589</v>
      </c>
      <c r="B826" s="110" t="s">
        <v>1320</v>
      </c>
      <c r="C826" s="111" t="s">
        <v>3588</v>
      </c>
      <c r="D826" s="111" t="str">
        <f t="shared" ref="D826:E826" si="824">TRIM(B826)</f>
        <v>Arkansas</v>
      </c>
      <c r="E826" s="111" t="str">
        <f t="shared" si="824"/>
        <v>Bauxite</v>
      </c>
    </row>
    <row r="827" spans="1:5">
      <c r="A827" s="3" t="s">
        <v>3592</v>
      </c>
      <c r="B827" s="110" t="s">
        <v>1320</v>
      </c>
      <c r="C827" s="111" t="s">
        <v>3594</v>
      </c>
      <c r="D827" s="111" t="str">
        <f t="shared" ref="D827:E827" si="825">TRIM(B827)</f>
        <v>Arkansas</v>
      </c>
      <c r="E827" s="111" t="str">
        <f t="shared" si="825"/>
        <v>Bay</v>
      </c>
    </row>
    <row r="828" spans="1:5">
      <c r="A828" s="3" t="s">
        <v>3595</v>
      </c>
      <c r="B828" s="110" t="s">
        <v>1320</v>
      </c>
      <c r="C828" s="111" t="s">
        <v>3596</v>
      </c>
      <c r="D828" s="111" t="str">
        <f t="shared" ref="D828:E828" si="826">TRIM(B828)</f>
        <v>Arkansas</v>
      </c>
      <c r="E828" s="111" t="str">
        <f t="shared" si="826"/>
        <v>Bearden</v>
      </c>
    </row>
    <row r="829" spans="1:5">
      <c r="A829" s="3" t="s">
        <v>3597</v>
      </c>
      <c r="B829" s="110" t="s">
        <v>1320</v>
      </c>
      <c r="C829" s="111" t="s">
        <v>3598</v>
      </c>
      <c r="D829" s="111" t="str">
        <f t="shared" ref="D829:E829" si="827">TRIM(B829)</f>
        <v>Arkansas</v>
      </c>
      <c r="E829" s="111" t="str">
        <f t="shared" si="827"/>
        <v>Bee Branch</v>
      </c>
    </row>
    <row r="830" spans="1:5">
      <c r="A830" s="3" t="s">
        <v>3601</v>
      </c>
      <c r="B830" s="110" t="s">
        <v>1320</v>
      </c>
      <c r="C830" s="111" t="s">
        <v>3602</v>
      </c>
      <c r="D830" s="111" t="str">
        <f t="shared" ref="D830:E830" si="828">TRIM(B830)</f>
        <v>Arkansas</v>
      </c>
      <c r="E830" s="111" t="str">
        <f t="shared" si="828"/>
        <v>Beebe</v>
      </c>
    </row>
    <row r="831" spans="1:5">
      <c r="A831" s="3" t="s">
        <v>3603</v>
      </c>
      <c r="B831" s="110" t="s">
        <v>1320</v>
      </c>
      <c r="C831" s="111" t="s">
        <v>3604</v>
      </c>
      <c r="D831" s="111" t="str">
        <f t="shared" ref="D831:E831" si="829">TRIM(B831)</f>
        <v>Arkansas</v>
      </c>
      <c r="E831" s="111" t="str">
        <f t="shared" si="829"/>
        <v>Benton</v>
      </c>
    </row>
    <row r="832" spans="1:5">
      <c r="A832" s="3" t="s">
        <v>3605</v>
      </c>
      <c r="B832" s="110" t="s">
        <v>1320</v>
      </c>
      <c r="C832" s="111" t="s">
        <v>3604</v>
      </c>
      <c r="D832" s="111" t="str">
        <f t="shared" ref="D832:E832" si="830">TRIM(B832)</f>
        <v>Arkansas</v>
      </c>
      <c r="E832" s="111" t="str">
        <f t="shared" si="830"/>
        <v>Benton</v>
      </c>
    </row>
    <row r="833" spans="1:5">
      <c r="A833" s="3" t="s">
        <v>3607</v>
      </c>
      <c r="B833" s="110" t="s">
        <v>1320</v>
      </c>
      <c r="C833" s="111" t="s">
        <v>3608</v>
      </c>
      <c r="D833" s="111" t="str">
        <f t="shared" ref="D833:E833" si="831">TRIM(B833)</f>
        <v>Arkansas</v>
      </c>
      <c r="E833" s="111" t="str">
        <f t="shared" si="831"/>
        <v>Bentonville</v>
      </c>
    </row>
    <row r="834" spans="1:5">
      <c r="A834" s="3" t="s">
        <v>3609</v>
      </c>
      <c r="B834" s="110" t="s">
        <v>1320</v>
      </c>
      <c r="C834" s="111" t="s">
        <v>3608</v>
      </c>
      <c r="D834" s="111" t="str">
        <f t="shared" ref="D834:E834" si="832">TRIM(B834)</f>
        <v>Arkansas</v>
      </c>
      <c r="E834" s="111" t="str">
        <f t="shared" si="832"/>
        <v>Bentonville</v>
      </c>
    </row>
    <row r="835" spans="1:5">
      <c r="A835" s="3" t="s">
        <v>3613</v>
      </c>
      <c r="B835" s="110" t="s">
        <v>1320</v>
      </c>
      <c r="C835" s="111" t="s">
        <v>3608</v>
      </c>
      <c r="D835" s="111" t="str">
        <f t="shared" ref="D835:E835" si="833">TRIM(B835)</f>
        <v>Arkansas</v>
      </c>
      <c r="E835" s="111" t="str">
        <f t="shared" si="833"/>
        <v>Bentonville</v>
      </c>
    </row>
    <row r="836" spans="1:5">
      <c r="A836" s="3" t="s">
        <v>3615</v>
      </c>
      <c r="B836" s="110" t="s">
        <v>1320</v>
      </c>
      <c r="C836" s="111" t="s">
        <v>3616</v>
      </c>
      <c r="D836" s="111" t="str">
        <f t="shared" ref="D836:E836" si="834">TRIM(B836)</f>
        <v>Arkansas</v>
      </c>
      <c r="E836" s="111" t="str">
        <f t="shared" si="834"/>
        <v>Bergman</v>
      </c>
    </row>
    <row r="837" spans="1:5">
      <c r="A837" s="3" t="s">
        <v>3619</v>
      </c>
      <c r="B837" s="110" t="s">
        <v>1320</v>
      </c>
      <c r="C837" s="111" t="s">
        <v>3620</v>
      </c>
      <c r="D837" s="111" t="str">
        <f t="shared" ref="D837:E837" si="835">TRIM(B837)</f>
        <v>Arkansas</v>
      </c>
      <c r="E837" s="111" t="str">
        <f t="shared" si="835"/>
        <v>Berryville</v>
      </c>
    </row>
    <row r="838" spans="1:5">
      <c r="A838" s="3" t="s">
        <v>3622</v>
      </c>
      <c r="B838" s="110" t="s">
        <v>1320</v>
      </c>
      <c r="C838" s="111" t="s">
        <v>3623</v>
      </c>
      <c r="D838" s="111" t="str">
        <f t="shared" ref="D838:E838" si="836">TRIM(B838)</f>
        <v>Arkansas</v>
      </c>
      <c r="E838" s="111" t="str">
        <f t="shared" si="836"/>
        <v>Bigelow</v>
      </c>
    </row>
    <row r="839" spans="1:5">
      <c r="A839" s="3" t="s">
        <v>3625</v>
      </c>
      <c r="B839" s="110" t="s">
        <v>1320</v>
      </c>
      <c r="C839" s="111" t="s">
        <v>3626</v>
      </c>
      <c r="D839" s="111" t="str">
        <f t="shared" ref="D839:E839" si="837">TRIM(B839)</f>
        <v>Arkansas</v>
      </c>
      <c r="E839" s="111" t="str">
        <f t="shared" si="837"/>
        <v>Bismarck</v>
      </c>
    </row>
    <row r="840" spans="1:5">
      <c r="A840" s="3" t="s">
        <v>3628</v>
      </c>
      <c r="B840" s="110" t="s">
        <v>1320</v>
      </c>
      <c r="C840" s="111" t="s">
        <v>3629</v>
      </c>
      <c r="D840" s="111" t="str">
        <f t="shared" ref="D840:E840" si="838">TRIM(B840)</f>
        <v>Arkansas</v>
      </c>
      <c r="E840" s="111" t="str">
        <f t="shared" si="838"/>
        <v>Blevins</v>
      </c>
    </row>
    <row r="841" spans="1:5">
      <c r="A841" s="3" t="s">
        <v>3630</v>
      </c>
      <c r="B841" s="110" t="s">
        <v>1320</v>
      </c>
      <c r="C841" s="111" t="s">
        <v>2858</v>
      </c>
      <c r="D841" s="111" t="str">
        <f t="shared" ref="D841:E841" si="839">TRIM(B841)</f>
        <v>Arkansas</v>
      </c>
      <c r="E841" s="111" t="str">
        <f t="shared" si="839"/>
        <v>Blytheville</v>
      </c>
    </row>
    <row r="842" spans="1:5">
      <c r="A842" s="3" t="s">
        <v>3633</v>
      </c>
      <c r="B842" s="110" t="s">
        <v>1320</v>
      </c>
      <c r="C842" s="111" t="s">
        <v>2858</v>
      </c>
      <c r="D842" s="111" t="str">
        <f t="shared" ref="D842:E842" si="840">TRIM(B842)</f>
        <v>Arkansas</v>
      </c>
      <c r="E842" s="111" t="str">
        <f t="shared" si="840"/>
        <v>Blytheville</v>
      </c>
    </row>
    <row r="843" spans="1:5">
      <c r="A843" s="3" t="s">
        <v>3635</v>
      </c>
      <c r="B843" s="110" t="s">
        <v>1320</v>
      </c>
      <c r="C843" s="111" t="s">
        <v>2858</v>
      </c>
      <c r="D843" s="111" t="str">
        <f t="shared" ref="D843:E843" si="841">TRIM(B843)</f>
        <v>Arkansas</v>
      </c>
      <c r="E843" s="111" t="str">
        <f t="shared" si="841"/>
        <v>Blytheville</v>
      </c>
    </row>
    <row r="844" spans="1:5">
      <c r="A844" s="3" t="s">
        <v>3636</v>
      </c>
      <c r="B844" s="110" t="s">
        <v>1320</v>
      </c>
      <c r="C844" s="111" t="s">
        <v>3637</v>
      </c>
      <c r="D844" s="111" t="str">
        <f t="shared" ref="D844:E844" si="842">TRIM(B844)</f>
        <v>Arkansas</v>
      </c>
      <c r="E844" s="111" t="str">
        <f t="shared" si="842"/>
        <v>Booneville</v>
      </c>
    </row>
    <row r="845" spans="1:5">
      <c r="A845" s="3" t="s">
        <v>3640</v>
      </c>
      <c r="B845" s="110" t="s">
        <v>1320</v>
      </c>
      <c r="C845" s="111" t="s">
        <v>3641</v>
      </c>
      <c r="D845" s="111" t="str">
        <f t="shared" ref="D845:E845" si="843">TRIM(B845)</f>
        <v>Arkansas</v>
      </c>
      <c r="E845" s="111" t="str">
        <f t="shared" si="843"/>
        <v>Bradford</v>
      </c>
    </row>
    <row r="846" spans="1:5">
      <c r="A846" s="3" t="s">
        <v>3642</v>
      </c>
      <c r="B846" s="110" t="s">
        <v>1320</v>
      </c>
      <c r="C846" s="112" t="s">
        <v>3643</v>
      </c>
      <c r="D846" s="111" t="str">
        <f t="shared" ref="D846:E846" si="844">TRIM(B846)</f>
        <v>Arkansas</v>
      </c>
      <c r="E846" s="111" t="str">
        <f t="shared" si="844"/>
        <v>Bradley</v>
      </c>
    </row>
    <row r="847" spans="1:5">
      <c r="A847" s="3" t="s">
        <v>3645</v>
      </c>
      <c r="B847" s="110" t="s">
        <v>1320</v>
      </c>
      <c r="C847" s="111" t="s">
        <v>3646</v>
      </c>
      <c r="D847" s="111" t="str">
        <f t="shared" ref="D847:E847" si="845">TRIM(B847)</f>
        <v>Arkansas</v>
      </c>
      <c r="E847" s="111" t="str">
        <f t="shared" si="845"/>
        <v>Branch</v>
      </c>
    </row>
    <row r="848" spans="1:5">
      <c r="A848" s="3" t="s">
        <v>3648</v>
      </c>
      <c r="B848" s="110" t="s">
        <v>1320</v>
      </c>
      <c r="C848" s="111" t="s">
        <v>3649</v>
      </c>
      <c r="D848" s="111" t="str">
        <f t="shared" ref="D848:E848" si="846">TRIM(B848)</f>
        <v>Arkansas</v>
      </c>
      <c r="E848" s="111" t="str">
        <f t="shared" si="846"/>
        <v>Brinkley</v>
      </c>
    </row>
    <row r="849" spans="1:5">
      <c r="A849" s="3" t="s">
        <v>3650</v>
      </c>
      <c r="B849" s="110" t="s">
        <v>1320</v>
      </c>
      <c r="C849" s="111" t="s">
        <v>3652</v>
      </c>
      <c r="D849" s="111" t="str">
        <f t="shared" ref="D849:E849" si="847">TRIM(B849)</f>
        <v>Arkansas</v>
      </c>
      <c r="E849" s="111" t="str">
        <f t="shared" si="847"/>
        <v>Brockwell</v>
      </c>
    </row>
    <row r="850" spans="1:5">
      <c r="A850" s="3" t="s">
        <v>3654</v>
      </c>
      <c r="B850" s="110" t="s">
        <v>1320</v>
      </c>
      <c r="C850" s="111" t="s">
        <v>3655</v>
      </c>
      <c r="D850" s="111" t="str">
        <f t="shared" ref="D850:E850" si="848">TRIM(B850)</f>
        <v>Arkansas</v>
      </c>
      <c r="E850" s="111" t="str">
        <f t="shared" si="848"/>
        <v>Brookland</v>
      </c>
    </row>
    <row r="851" spans="1:5">
      <c r="A851" s="3" t="s">
        <v>3657</v>
      </c>
      <c r="B851" s="110" t="s">
        <v>1320</v>
      </c>
      <c r="C851" s="111" t="s">
        <v>3658</v>
      </c>
      <c r="D851" s="111" t="str">
        <f t="shared" ref="D851:E851" si="849">TRIM(B851)</f>
        <v>Arkansas</v>
      </c>
      <c r="E851" s="111" t="str">
        <f t="shared" si="849"/>
        <v>Bryant</v>
      </c>
    </row>
    <row r="852" spans="1:5">
      <c r="A852" s="3" t="s">
        <v>3660</v>
      </c>
      <c r="B852" s="110" t="s">
        <v>1320</v>
      </c>
      <c r="C852" s="111" t="s">
        <v>3662</v>
      </c>
      <c r="D852" s="111" t="str">
        <f t="shared" ref="D852:E852" si="850">TRIM(B852)</f>
        <v>Arkansas</v>
      </c>
      <c r="E852" s="111" t="str">
        <f t="shared" si="850"/>
        <v>Cabot</v>
      </c>
    </row>
    <row r="853" spans="1:5">
      <c r="A853" s="3" t="s">
        <v>3664</v>
      </c>
      <c r="B853" s="110" t="s">
        <v>1320</v>
      </c>
      <c r="C853" s="111" t="s">
        <v>3665</v>
      </c>
      <c r="D853" s="111" t="str">
        <f t="shared" ref="D853:E853" si="851">TRIM(B853)</f>
        <v>Arkansas</v>
      </c>
      <c r="E853" s="111" t="str">
        <f t="shared" si="851"/>
        <v>Calico Rock</v>
      </c>
    </row>
    <row r="854" spans="1:5">
      <c r="A854" s="3" t="s">
        <v>3666</v>
      </c>
      <c r="B854" s="110" t="s">
        <v>1320</v>
      </c>
      <c r="C854" s="111" t="s">
        <v>773</v>
      </c>
      <c r="D854" s="111" t="str">
        <f t="shared" ref="D854:E854" si="852">TRIM(B854)</f>
        <v>Arkansas</v>
      </c>
      <c r="E854" s="111" t="str">
        <f t="shared" si="852"/>
        <v>Camden</v>
      </c>
    </row>
    <row r="855" spans="1:5">
      <c r="A855" s="3" t="s">
        <v>3605</v>
      </c>
      <c r="B855" s="110" t="s">
        <v>1320</v>
      </c>
      <c r="C855" s="111" t="s">
        <v>773</v>
      </c>
      <c r="D855" s="111" t="str">
        <f t="shared" ref="D855:E855" si="853">TRIM(B855)</f>
        <v>Arkansas</v>
      </c>
      <c r="E855" s="111" t="str">
        <f t="shared" si="853"/>
        <v>Camden</v>
      </c>
    </row>
    <row r="856" spans="1:5">
      <c r="A856" s="3" t="s">
        <v>3669</v>
      </c>
      <c r="B856" s="110" t="s">
        <v>1320</v>
      </c>
      <c r="C856" s="111" t="s">
        <v>3670</v>
      </c>
      <c r="D856" s="111" t="str">
        <f t="shared" ref="D856:E856" si="854">TRIM(B856)</f>
        <v>Arkansas</v>
      </c>
      <c r="E856" s="111" t="str">
        <f t="shared" si="854"/>
        <v>Carlisle</v>
      </c>
    </row>
    <row r="857" spans="1:5">
      <c r="A857" s="3" t="s">
        <v>3672</v>
      </c>
      <c r="B857" s="110" t="s">
        <v>1320</v>
      </c>
      <c r="C857" s="111" t="s">
        <v>3673</v>
      </c>
      <c r="D857" s="111" t="str">
        <f t="shared" ref="D857:E857" si="855">TRIM(B857)</f>
        <v>Arkansas</v>
      </c>
      <c r="E857" s="111" t="str">
        <f t="shared" si="855"/>
        <v>Cave City</v>
      </c>
    </row>
    <row r="858" spans="1:5">
      <c r="A858" s="3" t="s">
        <v>3675</v>
      </c>
      <c r="B858" s="110" t="s">
        <v>1320</v>
      </c>
      <c r="C858" s="111" t="s">
        <v>3676</v>
      </c>
      <c r="D858" s="111" t="str">
        <f t="shared" ref="D858:E858" si="856">TRIM(B858)</f>
        <v>Arkansas</v>
      </c>
      <c r="E858" s="111" t="str">
        <f t="shared" si="856"/>
        <v>Cedarville</v>
      </c>
    </row>
    <row r="859" spans="1:5">
      <c r="A859" s="3" t="s">
        <v>3677</v>
      </c>
      <c r="B859" s="110" t="s">
        <v>1320</v>
      </c>
      <c r="C859" s="111" t="s">
        <v>3679</v>
      </c>
      <c r="D859" s="111" t="str">
        <f t="shared" ref="D859:E859" si="857">TRIM(B859)</f>
        <v>Arkansas</v>
      </c>
      <c r="E859" s="111" t="str">
        <f t="shared" si="857"/>
        <v>Center Ridge</v>
      </c>
    </row>
    <row r="860" spans="1:5">
      <c r="A860" s="3" t="s">
        <v>3681</v>
      </c>
      <c r="B860" s="110" t="s">
        <v>1320</v>
      </c>
      <c r="C860" s="111" t="s">
        <v>3682</v>
      </c>
      <c r="D860" s="111" t="str">
        <f t="shared" ref="D860:E860" si="858">TRIM(B860)</f>
        <v>Arkansas</v>
      </c>
      <c r="E860" s="111" t="str">
        <f t="shared" si="858"/>
        <v>Centerton</v>
      </c>
    </row>
    <row r="861" spans="1:5">
      <c r="A861" s="3" t="s">
        <v>3683</v>
      </c>
      <c r="B861" s="110" t="s">
        <v>1320</v>
      </c>
      <c r="C861" s="111" t="s">
        <v>3684</v>
      </c>
      <c r="D861" s="111" t="str">
        <f t="shared" ref="D861:E861" si="859">TRIM(B861)</f>
        <v>Arkansas</v>
      </c>
      <c r="E861" s="111" t="str">
        <f t="shared" si="859"/>
        <v>Charleston</v>
      </c>
    </row>
    <row r="862" spans="1:5">
      <c r="A862" s="3" t="s">
        <v>3686</v>
      </c>
      <c r="B862" s="110" t="s">
        <v>1320</v>
      </c>
      <c r="C862" s="111" t="s">
        <v>3687</v>
      </c>
      <c r="D862" s="111" t="str">
        <f t="shared" ref="D862:E862" si="860">TRIM(B862)</f>
        <v>Arkansas</v>
      </c>
      <c r="E862" s="111" t="str">
        <f t="shared" si="860"/>
        <v>Cherry Valley</v>
      </c>
    </row>
    <row r="863" spans="1:5">
      <c r="A863" s="3" t="s">
        <v>3690</v>
      </c>
      <c r="B863" s="110" t="s">
        <v>1320</v>
      </c>
      <c r="C863" s="111" t="s">
        <v>3691</v>
      </c>
      <c r="D863" s="111" t="str">
        <f t="shared" ref="D863:E863" si="861">TRIM(B863)</f>
        <v>Arkansas</v>
      </c>
      <c r="E863" s="111" t="str">
        <f t="shared" si="861"/>
        <v>Clarendon</v>
      </c>
    </row>
    <row r="864" spans="1:5">
      <c r="A864" s="3" t="s">
        <v>3692</v>
      </c>
      <c r="B864" s="110" t="s">
        <v>1320</v>
      </c>
      <c r="C864" s="111" t="s">
        <v>3693</v>
      </c>
      <c r="D864" s="111" t="str">
        <f t="shared" ref="D864:E864" si="862">TRIM(B864)</f>
        <v>Arkansas</v>
      </c>
      <c r="E864" s="111" t="str">
        <f t="shared" si="862"/>
        <v>Clarksville</v>
      </c>
    </row>
    <row r="865" spans="1:5">
      <c r="A865" s="3" t="s">
        <v>3695</v>
      </c>
      <c r="B865" s="110" t="s">
        <v>1320</v>
      </c>
      <c r="C865" s="111" t="s">
        <v>3697</v>
      </c>
      <c r="D865" s="111" t="str">
        <f t="shared" ref="D865:E865" si="863">TRIM(B865)</f>
        <v>Arkansas</v>
      </c>
      <c r="E865" s="111" t="str">
        <f t="shared" si="863"/>
        <v>Clinton</v>
      </c>
    </row>
    <row r="866" spans="1:5">
      <c r="A866" s="3" t="s">
        <v>3698</v>
      </c>
      <c r="B866" s="110" t="s">
        <v>1320</v>
      </c>
      <c r="C866" s="111" t="s">
        <v>3699</v>
      </c>
      <c r="D866" s="111" t="str">
        <f t="shared" ref="D866:E866" si="864">TRIM(B866)</f>
        <v>Arkansas</v>
      </c>
      <c r="E866" s="111" t="str">
        <f t="shared" si="864"/>
        <v>Coal Hill</v>
      </c>
    </row>
    <row r="867" spans="1:5">
      <c r="A867" s="3" t="s">
        <v>3702</v>
      </c>
      <c r="B867" s="110" t="s">
        <v>1320</v>
      </c>
      <c r="C867" s="111" t="s">
        <v>286</v>
      </c>
      <c r="D867" s="111" t="str">
        <f t="shared" ref="D867:E867" si="865">TRIM(B867)</f>
        <v>Arkansas</v>
      </c>
      <c r="E867" s="111" t="str">
        <f t="shared" si="865"/>
        <v>Concord</v>
      </c>
    </row>
    <row r="868" spans="1:5">
      <c r="A868" s="3" t="s">
        <v>3705</v>
      </c>
      <c r="B868" s="110" t="s">
        <v>1320</v>
      </c>
      <c r="C868" s="111" t="s">
        <v>1579</v>
      </c>
      <c r="D868" s="111" t="str">
        <f t="shared" ref="D868:E868" si="866">TRIM(B868)</f>
        <v>Arkansas</v>
      </c>
      <c r="E868" s="111" t="str">
        <f t="shared" si="866"/>
        <v>Conway</v>
      </c>
    </row>
    <row r="869" spans="1:5">
      <c r="A869" s="3" t="s">
        <v>3706</v>
      </c>
      <c r="B869" s="110" t="s">
        <v>1320</v>
      </c>
      <c r="C869" s="111" t="s">
        <v>3707</v>
      </c>
      <c r="D869" s="111" t="str">
        <f t="shared" ref="D869:E869" si="867">TRIM(B869)</f>
        <v>Arkansas</v>
      </c>
      <c r="E869" s="111" t="str">
        <f t="shared" si="867"/>
        <v>Corning</v>
      </c>
    </row>
    <row r="870" spans="1:5">
      <c r="A870" s="3" t="s">
        <v>3709</v>
      </c>
      <c r="B870" s="110" t="s">
        <v>1320</v>
      </c>
      <c r="C870" s="111" t="s">
        <v>3710</v>
      </c>
      <c r="D870" s="111" t="str">
        <f t="shared" ref="D870:E870" si="868">TRIM(B870)</f>
        <v>Arkansas</v>
      </c>
      <c r="E870" s="111" t="str">
        <f t="shared" si="868"/>
        <v>Cotter</v>
      </c>
    </row>
    <row r="871" spans="1:5">
      <c r="A871" s="3" t="s">
        <v>3712</v>
      </c>
      <c r="B871" s="110" t="s">
        <v>1320</v>
      </c>
      <c r="C871" s="111" t="s">
        <v>3713</v>
      </c>
      <c r="D871" s="111" t="str">
        <f t="shared" ref="D871:E871" si="869">TRIM(B871)</f>
        <v>Arkansas</v>
      </c>
      <c r="E871" s="111" t="str">
        <f t="shared" si="869"/>
        <v>Cove</v>
      </c>
    </row>
    <row r="872" spans="1:5">
      <c r="A872" s="3" t="s">
        <v>3714</v>
      </c>
      <c r="B872" s="110" t="s">
        <v>1320</v>
      </c>
      <c r="C872" s="111" t="s">
        <v>3716</v>
      </c>
      <c r="D872" s="111" t="str">
        <f t="shared" ref="D872:E872" si="870">TRIM(B872)</f>
        <v>Arkansas</v>
      </c>
      <c r="E872" s="111" t="str">
        <f t="shared" si="870"/>
        <v>Crossett</v>
      </c>
    </row>
    <row r="873" spans="1:5">
      <c r="A873" s="3" t="s">
        <v>1676</v>
      </c>
      <c r="B873" s="110" t="s">
        <v>1320</v>
      </c>
      <c r="C873" s="111" t="s">
        <v>529</v>
      </c>
      <c r="D873" s="111" t="str">
        <f t="shared" ref="D873:E873" si="871">TRIM(B873)</f>
        <v>Arkansas</v>
      </c>
      <c r="E873" s="111" t="str">
        <f t="shared" si="871"/>
        <v>Danville</v>
      </c>
    </row>
    <row r="874" spans="1:5">
      <c r="A874" s="3" t="s">
        <v>3719</v>
      </c>
      <c r="B874" s="110" t="s">
        <v>1320</v>
      </c>
      <c r="C874" s="111" t="s">
        <v>3720</v>
      </c>
      <c r="D874" s="111" t="str">
        <f t="shared" ref="D874:E874" si="872">TRIM(B874)</f>
        <v>Arkansas</v>
      </c>
      <c r="E874" s="111" t="str">
        <f t="shared" si="872"/>
        <v>Dardanelle</v>
      </c>
    </row>
    <row r="875" spans="1:5">
      <c r="A875" s="3" t="s">
        <v>1688</v>
      </c>
      <c r="B875" s="110" t="s">
        <v>1320</v>
      </c>
      <c r="C875" s="111" t="s">
        <v>1686</v>
      </c>
      <c r="D875" s="111" t="str">
        <f t="shared" ref="D875:E875" si="873">TRIM(B875)</f>
        <v>Arkansas</v>
      </c>
      <c r="E875" s="111" t="str">
        <f t="shared" si="873"/>
        <v>Decatur</v>
      </c>
    </row>
    <row r="876" spans="1:5">
      <c r="A876" s="3" t="s">
        <v>3723</v>
      </c>
      <c r="B876" s="110" t="s">
        <v>1320</v>
      </c>
      <c r="C876" s="111" t="s">
        <v>3724</v>
      </c>
      <c r="D876" s="111" t="str">
        <f t="shared" ref="D876:E876" si="874">TRIM(B876)</f>
        <v>Arkansas</v>
      </c>
      <c r="E876" s="111" t="str">
        <f t="shared" si="874"/>
        <v>Dequeen</v>
      </c>
    </row>
    <row r="877" spans="1:5">
      <c r="A877" s="3" t="s">
        <v>3726</v>
      </c>
      <c r="B877" s="110" t="s">
        <v>1320</v>
      </c>
      <c r="C877" s="111" t="s">
        <v>3727</v>
      </c>
      <c r="D877" s="111" t="str">
        <f t="shared" ref="D877:E877" si="875">TRIM(B877)</f>
        <v>Arkansas</v>
      </c>
      <c r="E877" s="111" t="str">
        <f t="shared" si="875"/>
        <v>Dermott</v>
      </c>
    </row>
    <row r="878" spans="1:5">
      <c r="A878" s="110" t="s">
        <v>3729</v>
      </c>
      <c r="B878" s="110" t="s">
        <v>1320</v>
      </c>
      <c r="C878" s="111" t="s">
        <v>3727</v>
      </c>
      <c r="D878" s="111" t="str">
        <f t="shared" ref="D878:E878" si="876">TRIM(B878)</f>
        <v>Arkansas</v>
      </c>
      <c r="E878" s="111" t="str">
        <f t="shared" si="876"/>
        <v>Dermott</v>
      </c>
    </row>
    <row r="879" spans="1:5">
      <c r="A879" s="3" t="s">
        <v>3730</v>
      </c>
      <c r="B879" s="110" t="s">
        <v>1320</v>
      </c>
      <c r="C879" s="111" t="s">
        <v>3731</v>
      </c>
      <c r="D879" s="111" t="str">
        <f t="shared" ref="D879:E879" si="877">TRIM(B879)</f>
        <v>Arkansas</v>
      </c>
      <c r="E879" s="111" t="str">
        <f t="shared" si="877"/>
        <v>Des Arc</v>
      </c>
    </row>
    <row r="880" spans="1:5">
      <c r="A880" s="3" t="s">
        <v>3735</v>
      </c>
      <c r="B880" s="110" t="s">
        <v>1320</v>
      </c>
      <c r="C880" s="111" t="s">
        <v>3736</v>
      </c>
      <c r="D880" s="111" t="str">
        <f t="shared" ref="D880:E880" si="878">TRIM(B880)</f>
        <v>Arkansas</v>
      </c>
      <c r="E880" s="111" t="str">
        <f t="shared" si="878"/>
        <v>Dewitt</v>
      </c>
    </row>
    <row r="881" spans="1:5">
      <c r="A881" s="3" t="s">
        <v>3737</v>
      </c>
      <c r="B881" s="110" t="s">
        <v>1320</v>
      </c>
      <c r="C881" s="111" t="s">
        <v>3738</v>
      </c>
      <c r="D881" s="111" t="str">
        <f t="shared" ref="D881:E881" si="879">TRIM(B881)</f>
        <v>Arkansas</v>
      </c>
      <c r="E881" s="111" t="str">
        <f t="shared" si="879"/>
        <v>Dierks</v>
      </c>
    </row>
    <row r="882" spans="1:5">
      <c r="A882" s="3" t="s">
        <v>3741</v>
      </c>
      <c r="B882" s="110" t="s">
        <v>1320</v>
      </c>
      <c r="C882" s="111" t="s">
        <v>3742</v>
      </c>
      <c r="D882" s="111" t="str">
        <f t="shared" ref="D882:E882" si="880">TRIM(B882)</f>
        <v>Arkansas</v>
      </c>
      <c r="E882" s="111" t="str">
        <f t="shared" si="880"/>
        <v>Donaldson</v>
      </c>
    </row>
    <row r="883" spans="1:5">
      <c r="A883" s="3" t="s">
        <v>3743</v>
      </c>
      <c r="B883" s="110" t="s">
        <v>1320</v>
      </c>
      <c r="C883" s="111" t="s">
        <v>3744</v>
      </c>
      <c r="D883" s="111" t="str">
        <f t="shared" ref="D883:E883" si="881">TRIM(B883)</f>
        <v>Arkansas</v>
      </c>
      <c r="E883" s="111" t="str">
        <f t="shared" si="881"/>
        <v>Dover</v>
      </c>
    </row>
    <row r="884" spans="1:5">
      <c r="A884" s="3" t="s">
        <v>3745</v>
      </c>
      <c r="B884" s="110" t="s">
        <v>1320</v>
      </c>
      <c r="C884" s="111" t="s">
        <v>3747</v>
      </c>
      <c r="D884" s="111" t="str">
        <f t="shared" ref="D884:E884" si="882">TRIM(B884)</f>
        <v>Arkansas</v>
      </c>
      <c r="E884" s="111" t="str">
        <f t="shared" si="882"/>
        <v>Dumas</v>
      </c>
    </row>
    <row r="885" spans="1:5">
      <c r="A885" s="3" t="s">
        <v>3751</v>
      </c>
      <c r="B885" s="110" t="s">
        <v>1320</v>
      </c>
      <c r="C885" s="111" t="s">
        <v>3752</v>
      </c>
      <c r="D885" s="111" t="str">
        <f t="shared" ref="D885:E885" si="883">TRIM(B885)</f>
        <v>Arkansas</v>
      </c>
      <c r="E885" s="111" t="str">
        <f t="shared" si="883"/>
        <v>Earle</v>
      </c>
    </row>
    <row r="886" spans="1:5">
      <c r="A886" s="3" t="s">
        <v>3753</v>
      </c>
      <c r="B886" s="110" t="s">
        <v>1320</v>
      </c>
      <c r="C886" s="111" t="s">
        <v>3754</v>
      </c>
      <c r="D886" s="111" t="str">
        <f t="shared" ref="D886:E886" si="884">TRIM(B886)</f>
        <v>Arkansas</v>
      </c>
      <c r="E886" s="111" t="str">
        <f t="shared" si="884"/>
        <v>El Dorado</v>
      </c>
    </row>
    <row r="887" spans="1:5">
      <c r="A887" s="3" t="s">
        <v>3757</v>
      </c>
      <c r="B887" s="110" t="s">
        <v>1320</v>
      </c>
      <c r="C887" s="111" t="s">
        <v>3754</v>
      </c>
      <c r="D887" s="111" t="str">
        <f t="shared" ref="D887:E887" si="885">TRIM(B887)</f>
        <v>Arkansas</v>
      </c>
      <c r="E887" s="111" t="str">
        <f t="shared" si="885"/>
        <v>El Dorado</v>
      </c>
    </row>
    <row r="888" spans="1:5">
      <c r="A888" s="3" t="s">
        <v>3759</v>
      </c>
      <c r="B888" s="110" t="s">
        <v>1320</v>
      </c>
      <c r="C888" s="111" t="s">
        <v>3760</v>
      </c>
      <c r="D888" s="111" t="str">
        <f t="shared" ref="D888:E888" si="886">TRIM(B888)</f>
        <v>Arkansas</v>
      </c>
      <c r="E888" s="111" t="str">
        <f t="shared" si="886"/>
        <v>Elkins</v>
      </c>
    </row>
    <row r="889" spans="1:5">
      <c r="A889" s="3" t="s">
        <v>3761</v>
      </c>
      <c r="B889" s="110" t="s">
        <v>1320</v>
      </c>
      <c r="C889" s="111" t="s">
        <v>3763</v>
      </c>
      <c r="D889" s="111" t="str">
        <f t="shared" ref="D889:E889" si="887">TRIM(B889)</f>
        <v>Arkansas</v>
      </c>
      <c r="E889" s="111" t="str">
        <f t="shared" si="887"/>
        <v>Emerson</v>
      </c>
    </row>
    <row r="890" spans="1:5">
      <c r="A890" s="3" t="s">
        <v>3766</v>
      </c>
      <c r="B890" s="110" t="s">
        <v>1320</v>
      </c>
      <c r="C890" s="111" t="s">
        <v>3767</v>
      </c>
      <c r="D890" s="111" t="str">
        <f t="shared" ref="D890:E890" si="888">TRIM(B890)</f>
        <v>Arkansas</v>
      </c>
      <c r="E890" s="111" t="str">
        <f t="shared" si="888"/>
        <v>England</v>
      </c>
    </row>
    <row r="891" spans="1:5">
      <c r="A891" s="3" t="s">
        <v>3768</v>
      </c>
      <c r="B891" s="110" t="s">
        <v>1320</v>
      </c>
      <c r="C891" s="111" t="s">
        <v>3769</v>
      </c>
      <c r="D891" s="111" t="str">
        <f t="shared" ref="D891:E891" si="889">TRIM(B891)</f>
        <v>Arkansas</v>
      </c>
      <c r="E891" s="111" t="str">
        <f t="shared" si="889"/>
        <v>Eureka Springs</v>
      </c>
    </row>
    <row r="892" spans="1:5">
      <c r="A892" s="3" t="s">
        <v>3771</v>
      </c>
      <c r="B892" s="110" t="s">
        <v>1320</v>
      </c>
      <c r="C892" s="111" t="s">
        <v>3773</v>
      </c>
      <c r="D892" s="111" t="str">
        <f t="shared" ref="D892:E892" si="890">TRIM(B892)</f>
        <v>Arkansas</v>
      </c>
      <c r="E892" s="111" t="str">
        <f t="shared" si="890"/>
        <v>Farmington</v>
      </c>
    </row>
    <row r="893" spans="1:5">
      <c r="A893" s="3" t="s">
        <v>3774</v>
      </c>
      <c r="B893" s="110" t="s">
        <v>1320</v>
      </c>
      <c r="C893" s="111" t="s">
        <v>3773</v>
      </c>
      <c r="D893" s="111" t="str">
        <f t="shared" ref="D893:E893" si="891">TRIM(B893)</f>
        <v>Arkansas</v>
      </c>
      <c r="E893" s="111" t="str">
        <f t="shared" si="891"/>
        <v>Farmington</v>
      </c>
    </row>
    <row r="894" spans="1:5">
      <c r="A894" s="110" t="s">
        <v>3777</v>
      </c>
      <c r="B894" s="110" t="s">
        <v>1320</v>
      </c>
      <c r="C894" s="111" t="s">
        <v>554</v>
      </c>
      <c r="D894" s="111" t="str">
        <f t="shared" ref="D894:E894" si="892">TRIM(B894)</f>
        <v>Arkansas</v>
      </c>
      <c r="E894" s="111" t="str">
        <f t="shared" si="892"/>
        <v>Fayetteville</v>
      </c>
    </row>
    <row r="895" spans="1:5">
      <c r="A895" s="3" t="s">
        <v>3779</v>
      </c>
      <c r="B895" s="110" t="s">
        <v>1320</v>
      </c>
      <c r="C895" s="111" t="s">
        <v>554</v>
      </c>
      <c r="D895" s="111" t="str">
        <f t="shared" ref="D895:E895" si="893">TRIM(B895)</f>
        <v>Arkansas</v>
      </c>
      <c r="E895" s="111" t="str">
        <f t="shared" si="893"/>
        <v>Fayetteville</v>
      </c>
    </row>
    <row r="896" spans="1:5">
      <c r="A896" s="3" t="s">
        <v>3780</v>
      </c>
      <c r="B896" s="110" t="s">
        <v>1320</v>
      </c>
      <c r="C896" s="111" t="s">
        <v>3782</v>
      </c>
      <c r="D896" s="111" t="str">
        <f t="shared" ref="D896:E896" si="894">TRIM(B896)</f>
        <v>Arkansas</v>
      </c>
      <c r="E896" s="111" t="str">
        <f t="shared" si="894"/>
        <v>Flippin</v>
      </c>
    </row>
    <row r="897" spans="1:5">
      <c r="A897" s="3" t="s">
        <v>3784</v>
      </c>
      <c r="B897" s="110" t="s">
        <v>1320</v>
      </c>
      <c r="C897" s="111" t="s">
        <v>3785</v>
      </c>
      <c r="D897" s="111" t="str">
        <f t="shared" ref="D897:E897" si="895">TRIM(B897)</f>
        <v>Arkansas</v>
      </c>
      <c r="E897" s="111" t="str">
        <f t="shared" si="895"/>
        <v>Fordyce</v>
      </c>
    </row>
    <row r="898" spans="1:5">
      <c r="A898" s="3" t="s">
        <v>3786</v>
      </c>
      <c r="B898" s="110" t="s">
        <v>1320</v>
      </c>
      <c r="C898" s="111" t="s">
        <v>3787</v>
      </c>
      <c r="D898" s="111" t="str">
        <f t="shared" ref="D898:E898" si="896">TRIM(B898)</f>
        <v>Arkansas</v>
      </c>
      <c r="E898" s="111" t="str">
        <f t="shared" si="896"/>
        <v>Foreman</v>
      </c>
    </row>
    <row r="899" spans="1:5">
      <c r="A899" s="3" t="s">
        <v>3791</v>
      </c>
      <c r="B899" s="110" t="s">
        <v>1320</v>
      </c>
      <c r="C899" s="111" t="s">
        <v>3792</v>
      </c>
      <c r="D899" s="111" t="str">
        <f t="shared" ref="D899:E899" si="897">TRIM(B899)</f>
        <v>Arkansas</v>
      </c>
      <c r="E899" s="111" t="str">
        <f t="shared" si="897"/>
        <v>Forrest City</v>
      </c>
    </row>
    <row r="900" spans="1:5">
      <c r="A900" s="110" t="s">
        <v>3793</v>
      </c>
      <c r="B900" s="110" t="s">
        <v>1320</v>
      </c>
      <c r="C900" s="111" t="s">
        <v>3794</v>
      </c>
      <c r="D900" s="111" t="str">
        <f t="shared" ref="D900:E900" si="898">TRIM(B900)</f>
        <v>Arkansas</v>
      </c>
      <c r="E900" s="111" t="str">
        <f t="shared" si="898"/>
        <v>Fort Smith</v>
      </c>
    </row>
    <row r="901" spans="1:5">
      <c r="A901" s="3" t="s">
        <v>2026</v>
      </c>
      <c r="B901" s="110" t="s">
        <v>1320</v>
      </c>
      <c r="C901" s="111" t="s">
        <v>3794</v>
      </c>
      <c r="D901" s="111" t="str">
        <f t="shared" ref="D901:E901" si="899">TRIM(B901)</f>
        <v>Arkansas</v>
      </c>
      <c r="E901" s="111" t="str">
        <f t="shared" si="899"/>
        <v>Fort Smith</v>
      </c>
    </row>
    <row r="902" spans="1:5">
      <c r="A902" s="3" t="s">
        <v>2160</v>
      </c>
      <c r="B902" s="110" t="s">
        <v>1320</v>
      </c>
      <c r="C902" s="111" t="s">
        <v>3794</v>
      </c>
      <c r="D902" s="111" t="str">
        <f t="shared" ref="D902:E902" si="900">TRIM(B902)</f>
        <v>Arkansas</v>
      </c>
      <c r="E902" s="111" t="str">
        <f t="shared" si="900"/>
        <v>Fort Smith</v>
      </c>
    </row>
    <row r="903" spans="1:5">
      <c r="A903" s="3" t="s">
        <v>3801</v>
      </c>
      <c r="B903" s="110" t="s">
        <v>1320</v>
      </c>
      <c r="C903" s="111" t="s">
        <v>3802</v>
      </c>
      <c r="D903" s="111" t="str">
        <f t="shared" ref="D903:E903" si="901">TRIM(B903)</f>
        <v>Arkansas</v>
      </c>
      <c r="E903" s="111" t="str">
        <f t="shared" si="901"/>
        <v>Fouke</v>
      </c>
    </row>
    <row r="904" spans="1:5">
      <c r="A904" s="3" t="s">
        <v>3804</v>
      </c>
      <c r="B904" s="110" t="s">
        <v>1320</v>
      </c>
      <c r="C904" s="111" t="s">
        <v>3805</v>
      </c>
      <c r="D904" s="111" t="str">
        <f t="shared" ref="D904:E904" si="902">TRIM(B904)</f>
        <v>Arkansas</v>
      </c>
      <c r="E904" s="111" t="str">
        <f t="shared" si="902"/>
        <v>Fox</v>
      </c>
    </row>
    <row r="905" spans="1:5">
      <c r="A905" s="3" t="s">
        <v>3806</v>
      </c>
      <c r="B905" s="110" t="s">
        <v>1320</v>
      </c>
      <c r="C905" s="111" t="s">
        <v>3807</v>
      </c>
      <c r="D905" s="111" t="str">
        <f t="shared" ref="D905:E905" si="903">TRIM(B905)</f>
        <v>Arkansas</v>
      </c>
      <c r="E905" s="111" t="str">
        <f t="shared" si="903"/>
        <v>Gentry</v>
      </c>
    </row>
    <row r="906" spans="1:5">
      <c r="A906" s="3" t="s">
        <v>3808</v>
      </c>
      <c r="B906" s="110" t="s">
        <v>1320</v>
      </c>
      <c r="C906" s="111" t="s">
        <v>3810</v>
      </c>
      <c r="D906" s="111" t="str">
        <f t="shared" ref="D906:E906" si="904">TRIM(B906)</f>
        <v>Arkansas</v>
      </c>
      <c r="E906" s="111" t="str">
        <f t="shared" si="904"/>
        <v>Gravette</v>
      </c>
    </row>
    <row r="907" spans="1:5">
      <c r="A907" s="3" t="s">
        <v>3811</v>
      </c>
      <c r="B907" s="110" t="s">
        <v>1320</v>
      </c>
      <c r="C907" s="111" t="s">
        <v>3812</v>
      </c>
      <c r="D907" s="111" t="str">
        <f t="shared" ref="D907:E907" si="905">TRIM(B907)</f>
        <v>Arkansas</v>
      </c>
      <c r="E907" s="111" t="str">
        <f t="shared" si="905"/>
        <v>Green Forest</v>
      </c>
    </row>
    <row r="908" spans="1:5">
      <c r="A908" s="3" t="s">
        <v>3813</v>
      </c>
      <c r="B908" s="110" t="s">
        <v>1320</v>
      </c>
      <c r="C908" s="111" t="s">
        <v>3814</v>
      </c>
      <c r="D908" s="111" t="str">
        <f t="shared" ref="D908:E908" si="906">TRIM(B908)</f>
        <v>Arkansas</v>
      </c>
      <c r="E908" s="111" t="str">
        <f t="shared" si="906"/>
        <v>Greenbrier</v>
      </c>
    </row>
    <row r="909" spans="1:5">
      <c r="A909" s="3" t="s">
        <v>3816</v>
      </c>
      <c r="B909" s="110" t="s">
        <v>1320</v>
      </c>
      <c r="C909" s="111" t="s">
        <v>3818</v>
      </c>
      <c r="D909" s="111" t="str">
        <f t="shared" ref="D909:E909" si="907">TRIM(B909)</f>
        <v>Arkansas</v>
      </c>
      <c r="E909" s="111" t="str">
        <f t="shared" si="907"/>
        <v>Greenland</v>
      </c>
    </row>
    <row r="910" spans="1:5">
      <c r="A910" s="3" t="s">
        <v>3819</v>
      </c>
      <c r="B910" s="110" t="s">
        <v>1320</v>
      </c>
      <c r="C910" s="111" t="s">
        <v>3820</v>
      </c>
      <c r="D910" s="111" t="str">
        <f t="shared" ref="D910:E910" si="908">TRIM(B910)</f>
        <v>Arkansas</v>
      </c>
      <c r="E910" s="111" t="str">
        <f t="shared" si="908"/>
        <v>Greenwood</v>
      </c>
    </row>
    <row r="911" spans="1:5">
      <c r="A911" s="3" t="s">
        <v>3821</v>
      </c>
      <c r="B911" s="110" t="s">
        <v>1320</v>
      </c>
      <c r="C911" s="111" t="s">
        <v>3823</v>
      </c>
      <c r="D911" s="111" t="str">
        <f t="shared" ref="D911:E911" si="909">TRIM(B911)</f>
        <v>Arkansas</v>
      </c>
      <c r="E911" s="111" t="str">
        <f t="shared" si="909"/>
        <v>Greers Ferry</v>
      </c>
    </row>
    <row r="912" spans="1:5">
      <c r="A912" s="3" t="s">
        <v>3826</v>
      </c>
      <c r="B912" s="110" t="s">
        <v>1320</v>
      </c>
      <c r="C912" s="111" t="s">
        <v>3827</v>
      </c>
      <c r="D912" s="111" t="str">
        <f t="shared" ref="D912:E912" si="910">TRIM(B912)</f>
        <v>Arkansas</v>
      </c>
      <c r="E912" s="111" t="str">
        <f t="shared" si="910"/>
        <v>Gurdon</v>
      </c>
    </row>
    <row r="913" spans="1:5">
      <c r="A913" s="3" t="s">
        <v>3828</v>
      </c>
      <c r="B913" s="110" t="s">
        <v>1320</v>
      </c>
      <c r="C913" s="111" t="s">
        <v>3829</v>
      </c>
      <c r="D913" s="111" t="str">
        <f t="shared" ref="D913:E913" si="911">TRIM(B913)</f>
        <v>Arkansas</v>
      </c>
      <c r="E913" s="111" t="str">
        <f t="shared" si="911"/>
        <v>Guy</v>
      </c>
    </row>
    <row r="914" spans="1:5">
      <c r="A914" s="3" t="s">
        <v>3832</v>
      </c>
      <c r="B914" s="110" t="s">
        <v>1320</v>
      </c>
      <c r="C914" s="111" t="s">
        <v>3834</v>
      </c>
      <c r="D914" s="111" t="str">
        <f t="shared" ref="D914:E914" si="912">TRIM(B914)</f>
        <v>Arkansas</v>
      </c>
      <c r="E914" s="111" t="str">
        <f t="shared" si="912"/>
        <v>Hackett</v>
      </c>
    </row>
    <row r="915" spans="1:5">
      <c r="A915" s="3" t="s">
        <v>3835</v>
      </c>
      <c r="B915" s="110" t="s">
        <v>1320</v>
      </c>
      <c r="C915" s="111" t="s">
        <v>3836</v>
      </c>
      <c r="D915" s="111" t="str">
        <f t="shared" ref="D915:E915" si="913">TRIM(B915)</f>
        <v>Arkansas</v>
      </c>
      <c r="E915" s="111" t="str">
        <f t="shared" si="913"/>
        <v>Hamburg</v>
      </c>
    </row>
    <row r="916" spans="1:5">
      <c r="A916" s="3" t="s">
        <v>3839</v>
      </c>
      <c r="B916" s="110" t="s">
        <v>1320</v>
      </c>
      <c r="C916" s="111" t="s">
        <v>3841</v>
      </c>
      <c r="D916" s="111" t="str">
        <f t="shared" ref="D916:E916" si="914">TRIM(B916)</f>
        <v>Arkansas</v>
      </c>
      <c r="E916" s="111" t="str">
        <f t="shared" si="914"/>
        <v>Hampton</v>
      </c>
    </row>
    <row r="917" spans="1:5">
      <c r="A917" s="3" t="s">
        <v>2665</v>
      </c>
      <c r="B917" s="110" t="s">
        <v>1320</v>
      </c>
      <c r="C917" s="111" t="s">
        <v>3842</v>
      </c>
      <c r="D917" s="111" t="str">
        <f t="shared" ref="D917:E917" si="915">TRIM(B917)</f>
        <v>Arkansas</v>
      </c>
      <c r="E917" s="111" t="str">
        <f t="shared" si="915"/>
        <v>Hardy</v>
      </c>
    </row>
    <row r="918" spans="1:5">
      <c r="A918" s="110" t="s">
        <v>3843</v>
      </c>
      <c r="B918" s="110" t="s">
        <v>1320</v>
      </c>
      <c r="C918" s="111" t="s">
        <v>3845</v>
      </c>
      <c r="D918" s="111" t="str">
        <f t="shared" ref="D918:E918" si="916">TRIM(B918)</f>
        <v>Arkansas</v>
      </c>
      <c r="E918" s="111" t="str">
        <f t="shared" si="916"/>
        <v>Harrisburg</v>
      </c>
    </row>
    <row r="919" spans="1:5">
      <c r="A919" s="3" t="s">
        <v>3848</v>
      </c>
      <c r="B919" s="110" t="s">
        <v>1320</v>
      </c>
      <c r="C919" s="111" t="s">
        <v>3849</v>
      </c>
      <c r="D919" s="111" t="str">
        <f t="shared" ref="D919:E919" si="917">TRIM(B919)</f>
        <v>Arkansas</v>
      </c>
      <c r="E919" s="111" t="str">
        <f t="shared" si="917"/>
        <v>Harrison</v>
      </c>
    </row>
    <row r="920" spans="1:5">
      <c r="A920" s="3" t="s">
        <v>3850</v>
      </c>
      <c r="B920" s="110" t="s">
        <v>1320</v>
      </c>
      <c r="C920" s="111" t="s">
        <v>3851</v>
      </c>
      <c r="D920" s="111" t="str">
        <f t="shared" ref="D920:E920" si="918">TRIM(B920)</f>
        <v>Arkansas</v>
      </c>
      <c r="E920" s="111" t="str">
        <f t="shared" si="918"/>
        <v>Hattieville</v>
      </c>
    </row>
    <row r="921" spans="1:5">
      <c r="A921" s="3" t="s">
        <v>3854</v>
      </c>
      <c r="B921" s="110" t="s">
        <v>1320</v>
      </c>
      <c r="C921" s="111" t="s">
        <v>3855</v>
      </c>
      <c r="D921" s="111" t="str">
        <f t="shared" ref="D921:E921" si="919">TRIM(B921)</f>
        <v>Arkansas</v>
      </c>
      <c r="E921" s="111" t="str">
        <f t="shared" si="919"/>
        <v>Havana</v>
      </c>
    </row>
    <row r="922" spans="1:5">
      <c r="A922" s="3" t="s">
        <v>3857</v>
      </c>
      <c r="B922" s="110" t="s">
        <v>1320</v>
      </c>
      <c r="C922" s="111" t="s">
        <v>3858</v>
      </c>
      <c r="D922" s="111" t="str">
        <f t="shared" ref="D922:E922" si="920">TRIM(B922)</f>
        <v>Arkansas</v>
      </c>
      <c r="E922" s="111" t="str">
        <f t="shared" si="920"/>
        <v>Hazen</v>
      </c>
    </row>
    <row r="923" spans="1:5">
      <c r="A923" s="3" t="s">
        <v>3859</v>
      </c>
      <c r="B923" s="110" t="s">
        <v>1320</v>
      </c>
      <c r="C923" s="111" t="s">
        <v>3861</v>
      </c>
      <c r="D923" s="111" t="str">
        <f t="shared" ref="D923:E923" si="921">TRIM(B923)</f>
        <v>Arkansas</v>
      </c>
      <c r="E923" s="111" t="str">
        <f t="shared" si="921"/>
        <v>Heber Springs</v>
      </c>
    </row>
    <row r="924" spans="1:5">
      <c r="A924" s="3" t="s">
        <v>3864</v>
      </c>
      <c r="B924" s="110" t="s">
        <v>1320</v>
      </c>
      <c r="C924" s="111" t="s">
        <v>3865</v>
      </c>
      <c r="D924" s="111" t="str">
        <f t="shared" ref="D924:E924" si="922">TRIM(B924)</f>
        <v>Arkansas</v>
      </c>
      <c r="E924" s="111" t="str">
        <f t="shared" si="922"/>
        <v>Hector</v>
      </c>
    </row>
    <row r="925" spans="1:5">
      <c r="A925" s="3" t="s">
        <v>3866</v>
      </c>
      <c r="B925" s="110" t="s">
        <v>1320</v>
      </c>
      <c r="C925" s="111" t="s">
        <v>493</v>
      </c>
      <c r="D925" s="111" t="str">
        <f t="shared" ref="D925:E925" si="923">TRIM(B925)</f>
        <v>Arkansas</v>
      </c>
      <c r="E925" s="111" t="str">
        <f t="shared" si="923"/>
        <v>Helena</v>
      </c>
    </row>
    <row r="926" spans="1:5">
      <c r="A926" s="3" t="s">
        <v>3869</v>
      </c>
      <c r="B926" s="110" t="s">
        <v>1320</v>
      </c>
      <c r="C926" s="111" t="s">
        <v>3870</v>
      </c>
      <c r="D926" s="111" t="str">
        <f t="shared" ref="D926:E926" si="924">TRIM(B926)</f>
        <v>Arkansas</v>
      </c>
      <c r="E926" s="111" t="str">
        <f t="shared" si="924"/>
        <v>Hermitage</v>
      </c>
    </row>
    <row r="927" spans="1:5">
      <c r="A927" s="3" t="s">
        <v>3020</v>
      </c>
      <c r="B927" s="110" t="s">
        <v>1320</v>
      </c>
      <c r="C927" s="111" t="s">
        <v>3871</v>
      </c>
      <c r="D927" s="111" t="str">
        <f t="shared" ref="D927:E927" si="925">TRIM(B927)</f>
        <v>Arkansas</v>
      </c>
      <c r="E927" s="111" t="str">
        <f t="shared" si="925"/>
        <v>Hope</v>
      </c>
    </row>
    <row r="928" spans="1:5">
      <c r="A928" s="3" t="s">
        <v>3874</v>
      </c>
      <c r="B928" s="110" t="s">
        <v>1320</v>
      </c>
      <c r="C928" s="111" t="s">
        <v>3871</v>
      </c>
      <c r="D928" s="111" t="str">
        <f t="shared" ref="D928:E928" si="926">TRIM(B928)</f>
        <v>Arkansas</v>
      </c>
      <c r="E928" s="111" t="str">
        <f t="shared" si="926"/>
        <v>Hope</v>
      </c>
    </row>
    <row r="929" spans="1:5">
      <c r="A929" s="3" t="s">
        <v>3876</v>
      </c>
      <c r="B929" s="110" t="s">
        <v>1320</v>
      </c>
      <c r="C929" s="111" t="s">
        <v>3877</v>
      </c>
      <c r="D929" s="111" t="str">
        <f t="shared" ref="D929:E929" si="927">TRIM(B929)</f>
        <v>Arkansas</v>
      </c>
      <c r="E929" s="111" t="str">
        <f t="shared" si="927"/>
        <v>Horatio</v>
      </c>
    </row>
    <row r="930" spans="1:5">
      <c r="A930" s="3" t="s">
        <v>3878</v>
      </c>
      <c r="B930" s="110" t="s">
        <v>1320</v>
      </c>
      <c r="C930" s="111" t="s">
        <v>2699</v>
      </c>
      <c r="D930" s="111" t="str">
        <f t="shared" ref="D930:E930" si="928">TRIM(B930)</f>
        <v>Arkansas</v>
      </c>
      <c r="E930" s="111" t="str">
        <f t="shared" si="928"/>
        <v>Hot Springs</v>
      </c>
    </row>
    <row r="931" spans="1:5">
      <c r="A931" s="3" t="s">
        <v>3882</v>
      </c>
      <c r="B931" s="110" t="s">
        <v>1320</v>
      </c>
      <c r="C931" s="111" t="s">
        <v>2699</v>
      </c>
      <c r="D931" s="111" t="str">
        <f t="shared" ref="D931:E931" si="929">TRIM(B931)</f>
        <v>Arkansas</v>
      </c>
      <c r="E931" s="111" t="str">
        <f t="shared" si="929"/>
        <v>Hot Springs</v>
      </c>
    </row>
    <row r="932" spans="1:5">
      <c r="A932" s="3" t="s">
        <v>3883</v>
      </c>
      <c r="B932" s="110" t="s">
        <v>1320</v>
      </c>
      <c r="C932" s="111" t="s">
        <v>2699</v>
      </c>
      <c r="D932" s="111" t="str">
        <f t="shared" ref="D932:E932" si="930">TRIM(B932)</f>
        <v>Arkansas</v>
      </c>
      <c r="E932" s="111" t="str">
        <f t="shared" si="930"/>
        <v>Hot Springs</v>
      </c>
    </row>
    <row r="933" spans="1:5">
      <c r="A933" s="3" t="s">
        <v>3886</v>
      </c>
      <c r="B933" s="110" t="s">
        <v>1320</v>
      </c>
      <c r="C933" s="111" t="s">
        <v>2699</v>
      </c>
      <c r="D933" s="111" t="str">
        <f t="shared" ref="D933:E933" si="931">TRIM(B933)</f>
        <v>Arkansas</v>
      </c>
      <c r="E933" s="111" t="str">
        <f t="shared" si="931"/>
        <v>Hot Springs</v>
      </c>
    </row>
    <row r="934" spans="1:5">
      <c r="A934" s="3" t="s">
        <v>3889</v>
      </c>
      <c r="B934" s="110" t="s">
        <v>1320</v>
      </c>
      <c r="C934" s="111" t="s">
        <v>3890</v>
      </c>
      <c r="D934" s="111" t="str">
        <f t="shared" ref="D934:E934" si="932">TRIM(B934)</f>
        <v>Arkansas</v>
      </c>
      <c r="E934" s="111" t="str">
        <f t="shared" si="932"/>
        <v>Hoxie</v>
      </c>
    </row>
    <row r="935" spans="1:5">
      <c r="A935" s="3" t="s">
        <v>1873</v>
      </c>
      <c r="B935" s="110" t="s">
        <v>1320</v>
      </c>
      <c r="C935" s="111" t="s">
        <v>472</v>
      </c>
      <c r="D935" s="111" t="str">
        <f t="shared" ref="D935:E935" si="933">TRIM(B935)</f>
        <v>Arkansas</v>
      </c>
      <c r="E935" s="111" t="str">
        <f t="shared" si="933"/>
        <v>Huntsville</v>
      </c>
    </row>
    <row r="936" spans="1:5">
      <c r="A936" s="3" t="s">
        <v>3894</v>
      </c>
      <c r="B936" s="110" t="s">
        <v>1320</v>
      </c>
      <c r="C936" s="111" t="s">
        <v>3895</v>
      </c>
      <c r="D936" s="111" t="str">
        <f t="shared" ref="D936:E936" si="934">TRIM(B936)</f>
        <v>Arkansas</v>
      </c>
      <c r="E936" s="111" t="str">
        <f t="shared" si="934"/>
        <v>Imboden</v>
      </c>
    </row>
    <row r="937" spans="1:5">
      <c r="A937" s="3" t="s">
        <v>3896</v>
      </c>
      <c r="B937" s="110" t="s">
        <v>1320</v>
      </c>
      <c r="C937" s="111" t="s">
        <v>1045</v>
      </c>
      <c r="D937" s="111" t="str">
        <f t="shared" ref="D937:E937" si="935">TRIM(B937)</f>
        <v>Arkansas</v>
      </c>
      <c r="E937" s="111" t="str">
        <f t="shared" si="935"/>
        <v>Jacksonville</v>
      </c>
    </row>
    <row r="938" spans="1:5">
      <c r="A938" s="3" t="s">
        <v>1892</v>
      </c>
      <c r="B938" s="110" t="s">
        <v>1320</v>
      </c>
      <c r="C938" s="111" t="s">
        <v>1045</v>
      </c>
      <c r="D938" s="111" t="str">
        <f t="shared" ref="D938:E938" si="936">TRIM(B938)</f>
        <v>Arkansas</v>
      </c>
      <c r="E938" s="111" t="str">
        <f t="shared" si="936"/>
        <v>Jacksonville</v>
      </c>
    </row>
    <row r="939" spans="1:5">
      <c r="A939" s="3" t="s">
        <v>1898</v>
      </c>
      <c r="B939" s="110" t="s">
        <v>1320</v>
      </c>
      <c r="C939" s="111" t="s">
        <v>263</v>
      </c>
      <c r="D939" s="111" t="str">
        <f t="shared" ref="D939:E939" si="937">TRIM(B939)</f>
        <v>Arkansas</v>
      </c>
      <c r="E939" s="111" t="str">
        <f t="shared" si="937"/>
        <v>Jasper</v>
      </c>
    </row>
    <row r="940" spans="1:5">
      <c r="A940" s="3" t="s">
        <v>3900</v>
      </c>
      <c r="B940" s="110" t="s">
        <v>1320</v>
      </c>
      <c r="C940" s="111" t="s">
        <v>3901</v>
      </c>
      <c r="D940" s="111" t="str">
        <f t="shared" ref="D940:E940" si="938">TRIM(B940)</f>
        <v>Arkansas</v>
      </c>
      <c r="E940" s="111" t="str">
        <f t="shared" si="938"/>
        <v>Jessieville</v>
      </c>
    </row>
    <row r="941" spans="1:5">
      <c r="A941" s="3" t="s">
        <v>3902</v>
      </c>
      <c r="B941" s="110" t="s">
        <v>1320</v>
      </c>
      <c r="C941" s="111" t="s">
        <v>3903</v>
      </c>
      <c r="D941" s="111" t="str">
        <f t="shared" ref="D941:E941" si="939">TRIM(B941)</f>
        <v>Arkansas</v>
      </c>
      <c r="E941" s="111" t="str">
        <f t="shared" si="939"/>
        <v>Jonesboro</v>
      </c>
    </row>
    <row r="942" spans="1:5">
      <c r="A942" s="3" t="s">
        <v>3907</v>
      </c>
      <c r="B942" s="110" t="s">
        <v>1320</v>
      </c>
      <c r="C942" s="111" t="s">
        <v>3903</v>
      </c>
      <c r="D942" s="111" t="str">
        <f t="shared" ref="D942:E942" si="940">TRIM(B942)</f>
        <v>Arkansas</v>
      </c>
      <c r="E942" s="111" t="str">
        <f t="shared" si="940"/>
        <v>Jonesboro</v>
      </c>
    </row>
    <row r="943" spans="1:5">
      <c r="A943" s="3" t="s">
        <v>3908</v>
      </c>
      <c r="B943" s="110" t="s">
        <v>1320</v>
      </c>
      <c r="C943" s="111" t="s">
        <v>3903</v>
      </c>
      <c r="D943" s="111" t="str">
        <f t="shared" ref="D943:E943" si="941">TRIM(B943)</f>
        <v>Arkansas</v>
      </c>
      <c r="E943" s="111" t="str">
        <f t="shared" si="941"/>
        <v>Jonesboro</v>
      </c>
    </row>
    <row r="944" spans="1:5">
      <c r="A944" s="3" t="s">
        <v>3698</v>
      </c>
      <c r="B944" s="110" t="s">
        <v>1320</v>
      </c>
      <c r="C944" s="111" t="s">
        <v>3903</v>
      </c>
      <c r="D944" s="111" t="str">
        <f t="shared" ref="D944:E944" si="942">TRIM(B944)</f>
        <v>Arkansas</v>
      </c>
      <c r="E944" s="111" t="str">
        <f t="shared" si="942"/>
        <v>Jonesboro</v>
      </c>
    </row>
    <row r="945" spans="1:5">
      <c r="A945" s="3" t="s">
        <v>3911</v>
      </c>
      <c r="B945" s="110" t="s">
        <v>1320</v>
      </c>
      <c r="C945" s="111" t="s">
        <v>3912</v>
      </c>
      <c r="D945" s="111" t="str">
        <f t="shared" ref="D945:E945" si="943">TRIM(B945)</f>
        <v>Arkansas</v>
      </c>
      <c r="E945" s="111" t="str">
        <f t="shared" si="943"/>
        <v>Judsonia</v>
      </c>
    </row>
    <row r="946" spans="1:5">
      <c r="A946" s="3" t="s">
        <v>3913</v>
      </c>
      <c r="B946" s="110" t="s">
        <v>1320</v>
      </c>
      <c r="C946" s="111" t="s">
        <v>3914</v>
      </c>
      <c r="D946" s="111" t="str">
        <f t="shared" ref="D946:E946" si="944">TRIM(B946)</f>
        <v>Arkansas</v>
      </c>
      <c r="E946" s="111" t="str">
        <f t="shared" si="944"/>
        <v>Junction City</v>
      </c>
    </row>
    <row r="947" spans="1:5">
      <c r="A947" s="3" t="s">
        <v>3916</v>
      </c>
      <c r="B947" s="110" t="s">
        <v>1320</v>
      </c>
      <c r="C947" s="111" t="s">
        <v>3917</v>
      </c>
      <c r="D947" s="111" t="str">
        <f t="shared" ref="D947:E947" si="945">TRIM(B947)</f>
        <v>Arkansas</v>
      </c>
      <c r="E947" s="111" t="str">
        <f t="shared" si="945"/>
        <v>Kingston</v>
      </c>
    </row>
    <row r="948" spans="1:5">
      <c r="A948" s="3" t="s">
        <v>3919</v>
      </c>
      <c r="B948" s="110" t="s">
        <v>1320</v>
      </c>
      <c r="C948" s="111" t="s">
        <v>3920</v>
      </c>
      <c r="D948" s="111" t="str">
        <f t="shared" ref="D948:E948" si="946">TRIM(B948)</f>
        <v>Arkansas</v>
      </c>
      <c r="E948" s="111" t="str">
        <f t="shared" si="946"/>
        <v>Kirby</v>
      </c>
    </row>
    <row r="949" spans="1:5">
      <c r="A949" s="3" t="s">
        <v>3921</v>
      </c>
      <c r="B949" s="110" t="s">
        <v>1320</v>
      </c>
      <c r="C949" s="111" t="s">
        <v>3922</v>
      </c>
      <c r="D949" s="111" t="str">
        <f t="shared" ref="D949:E949" si="947">TRIM(B949)</f>
        <v>Arkansas</v>
      </c>
      <c r="E949" s="111" t="str">
        <f t="shared" si="947"/>
        <v>Lake City</v>
      </c>
    </row>
    <row r="950" spans="1:5">
      <c r="A950" s="3" t="s">
        <v>3886</v>
      </c>
      <c r="B950" s="110" t="s">
        <v>1320</v>
      </c>
      <c r="C950" s="111" t="s">
        <v>3926</v>
      </c>
      <c r="D950" s="111" t="str">
        <f t="shared" ref="D950:E950" si="948">TRIM(B950)</f>
        <v>Arkansas</v>
      </c>
      <c r="E950" s="111" t="str">
        <f t="shared" si="948"/>
        <v>Lake Village</v>
      </c>
    </row>
    <row r="951" spans="1:5">
      <c r="A951" s="3" t="s">
        <v>3927</v>
      </c>
      <c r="B951" s="110" t="s">
        <v>1320</v>
      </c>
      <c r="C951" s="111" t="s">
        <v>3928</v>
      </c>
      <c r="D951" s="111" t="str">
        <f t="shared" ref="D951:E951" si="949">TRIM(B951)</f>
        <v>Arkansas</v>
      </c>
      <c r="E951" s="111" t="str">
        <f t="shared" si="949"/>
        <v>Lamar</v>
      </c>
    </row>
    <row r="952" spans="1:5">
      <c r="A952" s="3" t="s">
        <v>3931</v>
      </c>
      <c r="B952" s="110" t="s">
        <v>1320</v>
      </c>
      <c r="C952" s="111" t="s">
        <v>3932</v>
      </c>
      <c r="D952" s="111" t="str">
        <f t="shared" ref="D952:E952" si="950">TRIM(B952)</f>
        <v>Arkansas</v>
      </c>
      <c r="E952" s="111" t="str">
        <f t="shared" si="950"/>
        <v>Lavaca</v>
      </c>
    </row>
    <row r="953" spans="1:5">
      <c r="A953" s="3" t="s">
        <v>3934</v>
      </c>
      <c r="B953" s="110" t="s">
        <v>1320</v>
      </c>
      <c r="C953" s="111" t="s">
        <v>3935</v>
      </c>
      <c r="D953" s="111" t="str">
        <f t="shared" ref="D953:E953" si="951">TRIM(B953)</f>
        <v>Arkansas</v>
      </c>
      <c r="E953" s="111" t="str">
        <f t="shared" si="951"/>
        <v>Lead Hill</v>
      </c>
    </row>
    <row r="954" spans="1:5">
      <c r="A954" s="3" t="s">
        <v>3936</v>
      </c>
      <c r="B954" s="110" t="s">
        <v>1320</v>
      </c>
      <c r="C954" s="111" t="s">
        <v>3937</v>
      </c>
      <c r="D954" s="111" t="str">
        <f t="shared" ref="D954:E954" si="952">TRIM(B954)</f>
        <v>Arkansas</v>
      </c>
      <c r="E954" s="111" t="str">
        <f t="shared" si="952"/>
        <v>Lepanto</v>
      </c>
    </row>
    <row r="955" spans="1:5">
      <c r="A955" s="3" t="s">
        <v>3940</v>
      </c>
      <c r="B955" s="110" t="s">
        <v>1320</v>
      </c>
      <c r="C955" s="111" t="s">
        <v>2880</v>
      </c>
      <c r="D955" s="111" t="str">
        <f t="shared" ref="D955:E955" si="953">TRIM(B955)</f>
        <v>Arkansas</v>
      </c>
      <c r="E955" s="111" t="str">
        <f t="shared" si="953"/>
        <v>Lewisville</v>
      </c>
    </row>
    <row r="956" spans="1:5">
      <c r="A956" s="3" t="s">
        <v>3942</v>
      </c>
      <c r="B956" s="110" t="s">
        <v>1320</v>
      </c>
      <c r="C956" s="111" t="s">
        <v>1283</v>
      </c>
      <c r="D956" s="111" t="str">
        <f t="shared" ref="D956:E956" si="954">TRIM(B956)</f>
        <v>Arkansas</v>
      </c>
      <c r="E956" s="111" t="str">
        <f t="shared" si="954"/>
        <v>Lincoln</v>
      </c>
    </row>
    <row r="957" spans="1:5">
      <c r="A957" s="3" t="s">
        <v>3943</v>
      </c>
      <c r="B957" s="110" t="s">
        <v>1320</v>
      </c>
      <c r="C957" s="111" t="s">
        <v>1248</v>
      </c>
      <c r="D957" s="111" t="str">
        <f t="shared" ref="D957:E957" si="955">TRIM(B957)</f>
        <v>Arkansas</v>
      </c>
      <c r="E957" s="111" t="str">
        <f t="shared" si="955"/>
        <v>Little Rock</v>
      </c>
    </row>
    <row r="958" spans="1:5">
      <c r="A958" s="3" t="s">
        <v>1843</v>
      </c>
      <c r="B958" s="110" t="s">
        <v>1320</v>
      </c>
      <c r="C958" s="111" t="s">
        <v>1248</v>
      </c>
      <c r="D958" s="111" t="str">
        <f t="shared" ref="D958:E958" si="956">TRIM(B958)</f>
        <v>Arkansas</v>
      </c>
      <c r="E958" s="111" t="str">
        <f t="shared" si="956"/>
        <v>Little Rock</v>
      </c>
    </row>
    <row r="959" spans="1:5">
      <c r="A959" s="3" t="s">
        <v>3947</v>
      </c>
      <c r="B959" s="110" t="s">
        <v>1320</v>
      </c>
      <c r="C959" s="111" t="s">
        <v>1248</v>
      </c>
      <c r="D959" s="111" t="str">
        <f t="shared" ref="D959:E959" si="957">TRIM(B959)</f>
        <v>Arkansas</v>
      </c>
      <c r="E959" s="111" t="str">
        <f t="shared" si="957"/>
        <v>Little Rock</v>
      </c>
    </row>
    <row r="960" spans="1:5">
      <c r="A960" s="3" t="s">
        <v>3949</v>
      </c>
      <c r="B960" s="110" t="s">
        <v>1320</v>
      </c>
      <c r="C960" s="111" t="s">
        <v>1248</v>
      </c>
      <c r="D960" s="111" t="str">
        <f t="shared" ref="D960:E960" si="958">TRIM(B960)</f>
        <v>Arkansas</v>
      </c>
      <c r="E960" s="111" t="str">
        <f t="shared" si="958"/>
        <v>Little Rock</v>
      </c>
    </row>
    <row r="961" spans="1:5">
      <c r="A961" s="3" t="s">
        <v>3952</v>
      </c>
      <c r="B961" s="110" t="s">
        <v>1320</v>
      </c>
      <c r="C961" s="111" t="s">
        <v>1248</v>
      </c>
      <c r="D961" s="111" t="str">
        <f t="shared" ref="D961:E961" si="959">TRIM(B961)</f>
        <v>Arkansas</v>
      </c>
      <c r="E961" s="111" t="str">
        <f t="shared" si="959"/>
        <v>Little Rock</v>
      </c>
    </row>
    <row r="962" spans="1:5">
      <c r="A962" s="3" t="s">
        <v>3954</v>
      </c>
      <c r="B962" s="110" t="s">
        <v>1320</v>
      </c>
      <c r="C962" s="111" t="s">
        <v>1248</v>
      </c>
      <c r="D962" s="111" t="str">
        <f t="shared" ref="D962:E962" si="960">TRIM(B962)</f>
        <v>Arkansas</v>
      </c>
      <c r="E962" s="111" t="str">
        <f t="shared" si="960"/>
        <v>Little Rock</v>
      </c>
    </row>
    <row r="963" spans="1:5">
      <c r="A963" s="3" t="s">
        <v>3956</v>
      </c>
      <c r="B963" s="110" t="s">
        <v>1320</v>
      </c>
      <c r="C963" s="111" t="s">
        <v>1248</v>
      </c>
      <c r="D963" s="111" t="str">
        <f t="shared" ref="D963:E963" si="961">TRIM(B963)</f>
        <v>Arkansas</v>
      </c>
      <c r="E963" s="111" t="str">
        <f t="shared" si="961"/>
        <v>Little Rock</v>
      </c>
    </row>
    <row r="964" spans="1:5">
      <c r="A964" s="3" t="s">
        <v>3957</v>
      </c>
      <c r="B964" s="110" t="s">
        <v>1320</v>
      </c>
      <c r="C964" s="111" t="s">
        <v>1248</v>
      </c>
      <c r="D964" s="111" t="str">
        <f t="shared" ref="D964:E964" si="962">TRIM(B964)</f>
        <v>Arkansas</v>
      </c>
      <c r="E964" s="111" t="str">
        <f t="shared" si="962"/>
        <v>Little Rock</v>
      </c>
    </row>
    <row r="965" spans="1:5">
      <c r="A965" s="3" t="s">
        <v>3961</v>
      </c>
      <c r="B965" s="110" t="s">
        <v>1320</v>
      </c>
      <c r="C965" s="111" t="s">
        <v>1248</v>
      </c>
      <c r="D965" s="111" t="str">
        <f t="shared" ref="D965:E965" si="963">TRIM(B965)</f>
        <v>Arkansas</v>
      </c>
      <c r="E965" s="111" t="str">
        <f t="shared" si="963"/>
        <v>Little Rock</v>
      </c>
    </row>
    <row r="966" spans="1:5">
      <c r="A966" s="3" t="s">
        <v>3962</v>
      </c>
      <c r="B966" s="110" t="s">
        <v>1320</v>
      </c>
      <c r="C966" s="111" t="s">
        <v>1248</v>
      </c>
      <c r="D966" s="111" t="str">
        <f t="shared" ref="D966:E966" si="964">TRIM(B966)</f>
        <v>Arkansas</v>
      </c>
      <c r="E966" s="111" t="str">
        <f t="shared" si="964"/>
        <v>Little Rock</v>
      </c>
    </row>
    <row r="967" spans="1:5">
      <c r="A967" s="110" t="s">
        <v>3964</v>
      </c>
      <c r="B967" s="110" t="s">
        <v>1320</v>
      </c>
      <c r="C967" s="111" t="s">
        <v>1248</v>
      </c>
      <c r="D967" s="111" t="str">
        <f t="shared" ref="D967:E967" si="965">TRIM(B967)</f>
        <v>Arkansas</v>
      </c>
      <c r="E967" s="111" t="str">
        <f t="shared" si="965"/>
        <v>Little Rock</v>
      </c>
    </row>
    <row r="968" spans="1:5">
      <c r="A968" s="3" t="s">
        <v>3966</v>
      </c>
      <c r="B968" s="110" t="s">
        <v>1320</v>
      </c>
      <c r="C968" s="111" t="s">
        <v>1248</v>
      </c>
      <c r="D968" s="111" t="str">
        <f t="shared" ref="D968:E968" si="966">TRIM(B968)</f>
        <v>Arkansas</v>
      </c>
      <c r="E968" s="111" t="str">
        <f t="shared" si="966"/>
        <v>Little Rock</v>
      </c>
    </row>
    <row r="969" spans="1:5">
      <c r="A969" s="3" t="s">
        <v>3968</v>
      </c>
      <c r="B969" s="110" t="s">
        <v>1320</v>
      </c>
      <c r="C969" s="111" t="s">
        <v>1248</v>
      </c>
      <c r="D969" s="111" t="str">
        <f t="shared" ref="D969:E969" si="967">TRIM(B969)</f>
        <v>Arkansas</v>
      </c>
      <c r="E969" s="111" t="str">
        <f t="shared" si="967"/>
        <v>Little Rock</v>
      </c>
    </row>
    <row r="970" spans="1:5">
      <c r="A970" s="3" t="s">
        <v>3970</v>
      </c>
      <c r="B970" s="110" t="s">
        <v>1320</v>
      </c>
      <c r="C970" s="111" t="s">
        <v>3971</v>
      </c>
      <c r="D970" s="111" t="str">
        <f t="shared" ref="D970:E970" si="968">TRIM(B970)</f>
        <v>Arkansas</v>
      </c>
      <c r="E970" s="111" t="str">
        <f t="shared" si="968"/>
        <v>Lonoke</v>
      </c>
    </row>
    <row r="971" spans="1:5">
      <c r="A971" s="3" t="s">
        <v>3973</v>
      </c>
      <c r="B971" s="110" t="s">
        <v>1320</v>
      </c>
      <c r="C971" s="111" t="s">
        <v>3974</v>
      </c>
      <c r="D971" s="111" t="str">
        <f t="shared" ref="D971:E971" si="969">TRIM(B971)</f>
        <v>Arkansas</v>
      </c>
      <c r="E971" s="111" t="str">
        <f t="shared" si="969"/>
        <v>Magazine</v>
      </c>
    </row>
    <row r="972" spans="1:5">
      <c r="A972" s="3" t="s">
        <v>3975</v>
      </c>
      <c r="B972" s="110" t="s">
        <v>1320</v>
      </c>
      <c r="C972" s="111" t="s">
        <v>1146</v>
      </c>
      <c r="D972" s="111" t="str">
        <f t="shared" ref="D972:E972" si="970">TRIM(B972)</f>
        <v>Arkansas</v>
      </c>
      <c r="E972" s="111" t="str">
        <f t="shared" si="970"/>
        <v>Magnolia</v>
      </c>
    </row>
    <row r="973" spans="1:5">
      <c r="A973" s="3" t="s">
        <v>3977</v>
      </c>
      <c r="B973" s="110" t="s">
        <v>1320</v>
      </c>
      <c r="C973" s="111" t="s">
        <v>3979</v>
      </c>
      <c r="D973" s="111" t="str">
        <f t="shared" ref="D973:E973" si="971">TRIM(B973)</f>
        <v>Arkansas</v>
      </c>
      <c r="E973" s="111" t="str">
        <f t="shared" si="971"/>
        <v>Malvern</v>
      </c>
    </row>
    <row r="974" spans="1:5">
      <c r="A974" s="3" t="s">
        <v>3981</v>
      </c>
      <c r="B974" s="110" t="s">
        <v>1320</v>
      </c>
      <c r="C974" s="112" t="s">
        <v>3979</v>
      </c>
      <c r="D974" s="111" t="str">
        <f t="shared" ref="D974:E974" si="972">TRIM(B974)</f>
        <v>Arkansas</v>
      </c>
      <c r="E974" s="111" t="str">
        <f t="shared" si="972"/>
        <v>Malvern</v>
      </c>
    </row>
    <row r="975" spans="1:5">
      <c r="A975" s="3" t="s">
        <v>3982</v>
      </c>
      <c r="B975" s="110" t="s">
        <v>1320</v>
      </c>
      <c r="C975" s="111" t="s">
        <v>3979</v>
      </c>
      <c r="D975" s="111" t="str">
        <f t="shared" ref="D975:E975" si="973">TRIM(B975)</f>
        <v>Arkansas</v>
      </c>
      <c r="E975" s="111" t="str">
        <f t="shared" si="973"/>
        <v>Malvern</v>
      </c>
    </row>
    <row r="976" spans="1:5">
      <c r="A976" s="3" t="s">
        <v>3985</v>
      </c>
      <c r="B976" s="110" t="s">
        <v>1320</v>
      </c>
      <c r="C976" s="113" t="s">
        <v>3986</v>
      </c>
      <c r="D976" s="111" t="str">
        <f t="shared" ref="D976:E976" si="974">TRIM(B976)</f>
        <v>Arkansas</v>
      </c>
      <c r="E976" s="111" t="str">
        <f t="shared" si="974"/>
        <v>Mammoth Spring</v>
      </c>
    </row>
    <row r="977" spans="1:5">
      <c r="A977" s="3" t="s">
        <v>3987</v>
      </c>
      <c r="B977" s="110" t="s">
        <v>1320</v>
      </c>
      <c r="C977" s="111" t="s">
        <v>3988</v>
      </c>
      <c r="D977" s="111" t="str">
        <f t="shared" ref="D977:E977" si="975">TRIM(B977)</f>
        <v>Arkansas</v>
      </c>
      <c r="E977" s="111" t="str">
        <f t="shared" si="975"/>
        <v>Manila</v>
      </c>
    </row>
    <row r="978" spans="1:5">
      <c r="A978" s="3" t="s">
        <v>3990</v>
      </c>
      <c r="B978" s="110" t="s">
        <v>1320</v>
      </c>
      <c r="C978" s="111" t="s">
        <v>2997</v>
      </c>
      <c r="D978" s="111" t="str">
        <f t="shared" ref="D978:E978" si="976">TRIM(B978)</f>
        <v>Arkansas</v>
      </c>
      <c r="E978" s="111" t="str">
        <f t="shared" si="976"/>
        <v>Mansfield</v>
      </c>
    </row>
    <row r="979" spans="1:5">
      <c r="A979" s="3" t="s">
        <v>1878</v>
      </c>
      <c r="B979" s="110" t="s">
        <v>1320</v>
      </c>
      <c r="C979" s="111" t="s">
        <v>3992</v>
      </c>
      <c r="D979" s="111" t="str">
        <f t="shared" ref="D979:E979" si="977">TRIM(B979)</f>
        <v>Arkansas</v>
      </c>
      <c r="E979" s="111" t="str">
        <f t="shared" si="977"/>
        <v>Marianna</v>
      </c>
    </row>
    <row r="980" spans="1:5">
      <c r="A980" s="3" t="s">
        <v>3993</v>
      </c>
      <c r="B980" s="110" t="s">
        <v>1320</v>
      </c>
      <c r="C980" s="111" t="s">
        <v>3995</v>
      </c>
      <c r="D980" s="111" t="str">
        <f t="shared" ref="D980:E980" si="978">TRIM(B980)</f>
        <v>Arkansas</v>
      </c>
      <c r="E980" s="111" t="str">
        <f t="shared" si="978"/>
        <v>Marion</v>
      </c>
    </row>
    <row r="981" spans="1:5">
      <c r="A981" s="3" t="s">
        <v>3998</v>
      </c>
      <c r="B981" s="110" t="s">
        <v>1320</v>
      </c>
      <c r="C981" s="111" t="s">
        <v>3999</v>
      </c>
      <c r="D981" s="111" t="str">
        <f t="shared" ref="D981:E981" si="979">TRIM(B981)</f>
        <v>Arkansas</v>
      </c>
      <c r="E981" s="111" t="str">
        <f t="shared" si="979"/>
        <v>Marked Tree</v>
      </c>
    </row>
    <row r="982" spans="1:5">
      <c r="A982" s="3" t="s">
        <v>4000</v>
      </c>
      <c r="B982" s="110" t="s">
        <v>1320</v>
      </c>
      <c r="C982" s="111" t="s">
        <v>4002</v>
      </c>
      <c r="D982" s="111" t="str">
        <f t="shared" ref="D982:E982" si="980">TRIM(B982)</f>
        <v>Arkansas</v>
      </c>
      <c r="E982" s="111" t="str">
        <f t="shared" si="980"/>
        <v>Marmaduke</v>
      </c>
    </row>
    <row r="983" spans="1:5">
      <c r="A983" s="3" t="s">
        <v>4004</v>
      </c>
      <c r="B983" s="110" t="s">
        <v>1320</v>
      </c>
      <c r="C983" s="111" t="s">
        <v>1258</v>
      </c>
      <c r="D983" s="111" t="str">
        <f t="shared" ref="D983:E983" si="981">TRIM(B983)</f>
        <v>Arkansas</v>
      </c>
      <c r="E983" s="111" t="str">
        <f t="shared" si="981"/>
        <v>Marshall</v>
      </c>
    </row>
    <row r="984" spans="1:5">
      <c r="A984" s="3" t="s">
        <v>4007</v>
      </c>
      <c r="B984" s="110" t="s">
        <v>1320</v>
      </c>
      <c r="C984" s="111" t="s">
        <v>4008</v>
      </c>
      <c r="D984" s="111" t="str">
        <f t="shared" ref="D984:E984" si="982">TRIM(B984)</f>
        <v>Arkansas</v>
      </c>
      <c r="E984" s="111" t="str">
        <f t="shared" si="982"/>
        <v>Marvell</v>
      </c>
    </row>
    <row r="985" spans="1:5">
      <c r="A985" s="3" t="s">
        <v>4010</v>
      </c>
      <c r="B985" s="110" t="s">
        <v>1320</v>
      </c>
      <c r="C985" s="111" t="s">
        <v>3732</v>
      </c>
      <c r="D985" s="111" t="str">
        <f t="shared" ref="D985:E985" si="983">TRIM(B985)</f>
        <v>Arkansas</v>
      </c>
      <c r="E985" s="111" t="str">
        <f t="shared" si="983"/>
        <v>Maumelle</v>
      </c>
    </row>
    <row r="986" spans="1:5">
      <c r="A986" s="3" t="s">
        <v>4011</v>
      </c>
      <c r="B986" s="110" t="s">
        <v>1320</v>
      </c>
      <c r="C986" s="111" t="s">
        <v>3732</v>
      </c>
      <c r="D986" s="111" t="str">
        <f t="shared" ref="D986:E986" si="984">TRIM(B986)</f>
        <v>Arkansas</v>
      </c>
      <c r="E986" s="111" t="str">
        <f t="shared" si="984"/>
        <v>Maumelle</v>
      </c>
    </row>
    <row r="987" spans="1:5">
      <c r="A987" s="3" t="s">
        <v>4014</v>
      </c>
      <c r="B987" s="110" t="s">
        <v>1320</v>
      </c>
      <c r="C987" s="111" t="s">
        <v>4015</v>
      </c>
      <c r="D987" s="111" t="str">
        <f t="shared" ref="D987:E987" si="985">TRIM(B987)</f>
        <v>Arkansas</v>
      </c>
      <c r="E987" s="111" t="str">
        <f t="shared" si="985"/>
        <v>Mayflower</v>
      </c>
    </row>
    <row r="988" spans="1:5">
      <c r="A988" s="3" t="s">
        <v>4016</v>
      </c>
      <c r="B988" s="110" t="s">
        <v>1320</v>
      </c>
      <c r="C988" s="111" t="s">
        <v>4017</v>
      </c>
      <c r="D988" s="111" t="str">
        <f t="shared" ref="D988:E988" si="986">TRIM(B988)</f>
        <v>Arkansas</v>
      </c>
      <c r="E988" s="111" t="str">
        <f t="shared" si="986"/>
        <v>Maynard</v>
      </c>
    </row>
    <row r="989" spans="1:5">
      <c r="A989" s="3" t="s">
        <v>4020</v>
      </c>
      <c r="B989" s="110" t="s">
        <v>1320</v>
      </c>
      <c r="C989" s="111" t="s">
        <v>4021</v>
      </c>
      <c r="D989" s="111" t="str">
        <f t="shared" ref="D989:E989" si="987">TRIM(B989)</f>
        <v>Arkansas</v>
      </c>
      <c r="E989" s="111" t="str">
        <f t="shared" si="987"/>
        <v>Mccrory</v>
      </c>
    </row>
    <row r="990" spans="1:5">
      <c r="A990" s="3" t="s">
        <v>4023</v>
      </c>
      <c r="B990" s="110" t="s">
        <v>1320</v>
      </c>
      <c r="C990" s="111" t="s">
        <v>4024</v>
      </c>
      <c r="D990" s="111" t="str">
        <f t="shared" ref="D990:E990" si="988">TRIM(B990)</f>
        <v>Arkansas</v>
      </c>
      <c r="E990" s="111" t="str">
        <f t="shared" si="988"/>
        <v>Mcgehee</v>
      </c>
    </row>
    <row r="991" spans="1:5">
      <c r="A991" s="3" t="s">
        <v>4026</v>
      </c>
      <c r="B991" s="110" t="s">
        <v>1320</v>
      </c>
      <c r="C991" s="111" t="s">
        <v>170</v>
      </c>
      <c r="D991" s="111" t="str">
        <f t="shared" ref="D991:E991" si="989">TRIM(B991)</f>
        <v>Arkansas</v>
      </c>
      <c r="E991" s="111" t="str">
        <f t="shared" si="989"/>
        <v>Melbourne</v>
      </c>
    </row>
    <row r="992" spans="1:5">
      <c r="A992" s="3" t="s">
        <v>4028</v>
      </c>
      <c r="B992" s="110" t="s">
        <v>1320</v>
      </c>
      <c r="C992" s="111" t="s">
        <v>4029</v>
      </c>
      <c r="D992" s="111" t="str">
        <f t="shared" ref="D992:E992" si="990">TRIM(B992)</f>
        <v>Arkansas</v>
      </c>
      <c r="E992" s="111" t="str">
        <f t="shared" si="990"/>
        <v>Mena</v>
      </c>
    </row>
    <row r="993" spans="1:5">
      <c r="A993" s="3" t="s">
        <v>4030</v>
      </c>
      <c r="B993" s="110" t="s">
        <v>1320</v>
      </c>
      <c r="C993" s="111" t="s">
        <v>4029</v>
      </c>
      <c r="D993" s="111" t="str">
        <f t="shared" ref="D993:E993" si="991">TRIM(B993)</f>
        <v>Arkansas</v>
      </c>
      <c r="E993" s="111" t="str">
        <f t="shared" si="991"/>
        <v>Mena</v>
      </c>
    </row>
    <row r="994" spans="1:5">
      <c r="A994" s="3" t="s">
        <v>4033</v>
      </c>
      <c r="B994" s="110" t="s">
        <v>1320</v>
      </c>
      <c r="C994" s="111" t="s">
        <v>4034</v>
      </c>
      <c r="D994" s="111" t="str">
        <f t="shared" ref="D994:E994" si="992">TRIM(B994)</f>
        <v>Arkansas</v>
      </c>
      <c r="E994" s="111" t="str">
        <f t="shared" si="992"/>
        <v>Mineral Springs</v>
      </c>
    </row>
    <row r="995" spans="1:5">
      <c r="A995" s="3" t="s">
        <v>4036</v>
      </c>
      <c r="B995" s="110" t="s">
        <v>1320</v>
      </c>
      <c r="C995" s="111" t="s">
        <v>4037</v>
      </c>
      <c r="D995" s="111" t="str">
        <f t="shared" ref="D995:E995" si="993">TRIM(B995)</f>
        <v>Arkansas</v>
      </c>
      <c r="E995" s="111" t="str">
        <f t="shared" si="993"/>
        <v>Monette</v>
      </c>
    </row>
    <row r="996" spans="1:5">
      <c r="A996" s="3" t="s">
        <v>4038</v>
      </c>
      <c r="B996" s="110" t="s">
        <v>1320</v>
      </c>
      <c r="C996" s="111" t="s">
        <v>4040</v>
      </c>
      <c r="D996" s="111" t="str">
        <f t="shared" ref="D996:E996" si="994">TRIM(B996)</f>
        <v>Arkansas</v>
      </c>
      <c r="E996" s="111" t="str">
        <f t="shared" si="994"/>
        <v>Monticello</v>
      </c>
    </row>
    <row r="997" spans="1:5">
      <c r="A997" s="3" t="s">
        <v>4042</v>
      </c>
      <c r="B997" s="110" t="s">
        <v>1320</v>
      </c>
      <c r="C997" s="111" t="s">
        <v>4040</v>
      </c>
      <c r="D997" s="111" t="str">
        <f t="shared" ref="D997:E997" si="995">TRIM(B997)</f>
        <v>Arkansas</v>
      </c>
      <c r="E997" s="111" t="str">
        <f t="shared" si="995"/>
        <v>Monticello</v>
      </c>
    </row>
    <row r="998" spans="1:5">
      <c r="A998" s="3" t="s">
        <v>4043</v>
      </c>
      <c r="B998" s="110" t="s">
        <v>1320</v>
      </c>
      <c r="C998" s="111" t="s">
        <v>4045</v>
      </c>
      <c r="D998" s="111" t="str">
        <f t="shared" ref="D998:E998" si="996">TRIM(B998)</f>
        <v>Arkansas</v>
      </c>
      <c r="E998" s="111" t="str">
        <f t="shared" si="996"/>
        <v>Morrilton</v>
      </c>
    </row>
    <row r="999" spans="1:5">
      <c r="A999" s="3" t="s">
        <v>4048</v>
      </c>
      <c r="B999" s="110" t="s">
        <v>1320</v>
      </c>
      <c r="C999" s="111" t="s">
        <v>4049</v>
      </c>
      <c r="D999" s="111" t="str">
        <f t="shared" ref="D999:E999" si="997">TRIM(B999)</f>
        <v>Arkansas</v>
      </c>
      <c r="E999" s="111" t="str">
        <f t="shared" si="997"/>
        <v>Mount Ida</v>
      </c>
    </row>
    <row r="1000" spans="1:5">
      <c r="A1000" s="3" t="s">
        <v>4051</v>
      </c>
      <c r="B1000" s="110" t="s">
        <v>1320</v>
      </c>
      <c r="C1000" s="111" t="s">
        <v>4053</v>
      </c>
      <c r="D1000" s="111" t="str">
        <f t="shared" ref="D1000:E1000" si="998">TRIM(B1000)</f>
        <v>Arkansas</v>
      </c>
      <c r="E1000" s="111" t="str">
        <f t="shared" si="998"/>
        <v>Mountain Home</v>
      </c>
    </row>
    <row r="1001" spans="1:5">
      <c r="A1001" s="3" t="s">
        <v>4055</v>
      </c>
      <c r="B1001" s="110" t="s">
        <v>1320</v>
      </c>
      <c r="C1001" s="111" t="s">
        <v>4056</v>
      </c>
      <c r="D1001" s="111" t="str">
        <f t="shared" ref="D1001:E1001" si="999">TRIM(B1001)</f>
        <v>Arkansas</v>
      </c>
      <c r="E1001" s="111" t="str">
        <f t="shared" si="999"/>
        <v>Mountain Pine</v>
      </c>
    </row>
    <row r="1002" spans="1:5">
      <c r="A1002" s="3" t="s">
        <v>2842</v>
      </c>
      <c r="B1002" s="110" t="s">
        <v>1320</v>
      </c>
      <c r="C1002" s="111" t="s">
        <v>4059</v>
      </c>
      <c r="D1002" s="111" t="str">
        <f t="shared" ref="D1002:E1002" si="1000">TRIM(B1002)</f>
        <v>Arkansas</v>
      </c>
      <c r="E1002" s="111" t="str">
        <f t="shared" si="1000"/>
        <v>Mountain View</v>
      </c>
    </row>
    <row r="1003" spans="1:5">
      <c r="A1003" s="3" t="s">
        <v>4061</v>
      </c>
      <c r="B1003" s="110" t="s">
        <v>1320</v>
      </c>
      <c r="C1003" s="111" t="s">
        <v>4062</v>
      </c>
      <c r="D1003" s="111" t="str">
        <f t="shared" ref="D1003:E1003" si="1001">TRIM(B1003)</f>
        <v>Arkansas</v>
      </c>
      <c r="E1003" s="111" t="str">
        <f t="shared" si="1001"/>
        <v>Mountainburg</v>
      </c>
    </row>
    <row r="1004" spans="1:5">
      <c r="A1004" s="3" t="s">
        <v>4064</v>
      </c>
      <c r="B1004" s="110" t="s">
        <v>1320</v>
      </c>
      <c r="C1004" s="111" t="s">
        <v>4065</v>
      </c>
      <c r="D1004" s="111" t="str">
        <f t="shared" ref="D1004:E1004" si="1002">TRIM(B1004)</f>
        <v>Arkansas</v>
      </c>
      <c r="E1004" s="111" t="str">
        <f t="shared" si="1002"/>
        <v>Mt Vernon</v>
      </c>
    </row>
    <row r="1005" spans="1:5">
      <c r="A1005" s="3" t="s">
        <v>4067</v>
      </c>
      <c r="B1005" s="110" t="s">
        <v>1320</v>
      </c>
      <c r="C1005" s="111" t="s">
        <v>4068</v>
      </c>
      <c r="D1005" s="111" t="str">
        <f t="shared" ref="D1005:E1005" si="1003">TRIM(B1005)</f>
        <v>Arkansas</v>
      </c>
      <c r="E1005" s="111" t="str">
        <f t="shared" si="1003"/>
        <v>Mulberry</v>
      </c>
    </row>
    <row r="1006" spans="1:5">
      <c r="A1006" s="3" t="s">
        <v>4070</v>
      </c>
      <c r="B1006" s="110" t="s">
        <v>1320</v>
      </c>
      <c r="C1006" s="111" t="s">
        <v>278</v>
      </c>
      <c r="D1006" s="111" t="str">
        <f t="shared" ref="D1006:E1006" si="1004">TRIM(B1006)</f>
        <v>Arkansas</v>
      </c>
      <c r="E1006" s="111" t="str">
        <f t="shared" si="1004"/>
        <v>Murfreesboro</v>
      </c>
    </row>
    <row r="1007" spans="1:5">
      <c r="A1007" s="3" t="s">
        <v>4072</v>
      </c>
      <c r="B1007" s="110" t="s">
        <v>1320</v>
      </c>
      <c r="C1007" s="111" t="s">
        <v>350</v>
      </c>
      <c r="D1007" s="111" t="str">
        <f t="shared" ref="D1007:E1007" si="1005">TRIM(B1007)</f>
        <v>Arkansas</v>
      </c>
      <c r="E1007" s="111" t="str">
        <f t="shared" si="1005"/>
        <v>Nashville</v>
      </c>
    </row>
    <row r="1008" spans="1:5">
      <c r="A1008" s="3" t="s">
        <v>4075</v>
      </c>
      <c r="B1008" s="110" t="s">
        <v>1320</v>
      </c>
      <c r="C1008" s="111" t="s">
        <v>499</v>
      </c>
      <c r="D1008" s="111" t="str">
        <f t="shared" ref="D1008:E1008" si="1006">TRIM(B1008)</f>
        <v>Arkansas</v>
      </c>
      <c r="E1008" s="111" t="str">
        <f t="shared" si="1006"/>
        <v>Newark</v>
      </c>
    </row>
    <row r="1009" spans="1:5">
      <c r="A1009" s="3" t="s">
        <v>4077</v>
      </c>
      <c r="B1009" s="110" t="s">
        <v>1320</v>
      </c>
      <c r="C1009" s="111" t="s">
        <v>4078</v>
      </c>
      <c r="D1009" s="111" t="str">
        <f t="shared" ref="D1009:E1009" si="1007">TRIM(B1009)</f>
        <v>Arkansas</v>
      </c>
      <c r="E1009" s="111" t="str">
        <f t="shared" si="1007"/>
        <v>Newport</v>
      </c>
    </row>
    <row r="1010" spans="1:5">
      <c r="A1010" s="3" t="s">
        <v>4079</v>
      </c>
      <c r="B1010" s="110" t="s">
        <v>1320</v>
      </c>
      <c r="C1010" s="111" t="s">
        <v>4080</v>
      </c>
      <c r="D1010" s="111" t="str">
        <f t="shared" ref="D1010:E1010" si="1008">TRIM(B1010)</f>
        <v>Arkansas</v>
      </c>
      <c r="E1010" s="111" t="str">
        <f t="shared" si="1008"/>
        <v>Norfork</v>
      </c>
    </row>
    <row r="1011" spans="1:5">
      <c r="A1011" s="3" t="s">
        <v>4084</v>
      </c>
      <c r="B1011" s="110" t="s">
        <v>1320</v>
      </c>
      <c r="C1011" s="111" t="s">
        <v>4085</v>
      </c>
      <c r="D1011" s="111" t="str">
        <f t="shared" ref="D1011:E1011" si="1009">TRIM(B1011)</f>
        <v>Arkansas</v>
      </c>
      <c r="E1011" s="111" t="str">
        <f t="shared" si="1009"/>
        <v>Norman</v>
      </c>
    </row>
    <row r="1012" spans="1:5">
      <c r="A1012" s="110" t="s">
        <v>4086</v>
      </c>
      <c r="B1012" s="110" t="s">
        <v>1320</v>
      </c>
      <c r="C1012" s="111" t="s">
        <v>1108</v>
      </c>
      <c r="D1012" s="111" t="str">
        <f t="shared" ref="D1012:E1012" si="1010">TRIM(B1012)</f>
        <v>Arkansas</v>
      </c>
      <c r="E1012" s="111" t="str">
        <f t="shared" si="1010"/>
        <v>North Little Rock</v>
      </c>
    </row>
    <row r="1013" spans="1:5">
      <c r="A1013" s="3" t="s">
        <v>4088</v>
      </c>
      <c r="B1013" s="110" t="s">
        <v>1320</v>
      </c>
      <c r="C1013" s="111" t="s">
        <v>1108</v>
      </c>
      <c r="D1013" s="111" t="str">
        <f t="shared" ref="D1013:E1013" si="1011">TRIM(B1013)</f>
        <v>Arkansas</v>
      </c>
      <c r="E1013" s="111" t="str">
        <f t="shared" si="1011"/>
        <v>North Little Rock</v>
      </c>
    </row>
    <row r="1014" spans="1:5">
      <c r="A1014" s="3" t="s">
        <v>4091</v>
      </c>
      <c r="B1014" s="110" t="s">
        <v>1320</v>
      </c>
      <c r="C1014" s="111" t="s">
        <v>4092</v>
      </c>
      <c r="D1014" s="111" t="str">
        <f t="shared" ref="D1014:E1014" si="1012">TRIM(B1014)</f>
        <v>Arkansas</v>
      </c>
      <c r="E1014" s="111" t="str">
        <f t="shared" si="1012"/>
        <v>Oark</v>
      </c>
    </row>
    <row r="1015" spans="1:5">
      <c r="A1015" s="3" t="s">
        <v>4093</v>
      </c>
      <c r="B1015" s="110" t="s">
        <v>1320</v>
      </c>
      <c r="C1015" s="111" t="s">
        <v>4094</v>
      </c>
      <c r="D1015" s="111" t="str">
        <f t="shared" ref="D1015:E1015" si="1013">TRIM(B1015)</f>
        <v>Arkansas</v>
      </c>
      <c r="E1015" s="111" t="str">
        <f t="shared" si="1013"/>
        <v>Ola</v>
      </c>
    </row>
    <row r="1016" spans="1:5">
      <c r="A1016" s="3" t="s">
        <v>4098</v>
      </c>
      <c r="B1016" s="110" t="s">
        <v>1320</v>
      </c>
      <c r="C1016" s="111" t="s">
        <v>218</v>
      </c>
      <c r="D1016" s="111" t="str">
        <f t="shared" ref="D1016:E1016" si="1014">TRIM(B1016)</f>
        <v>Arkansas</v>
      </c>
      <c r="E1016" s="111" t="str">
        <f t="shared" si="1014"/>
        <v>Omaha</v>
      </c>
    </row>
    <row r="1017" spans="1:5">
      <c r="A1017" s="3" t="s">
        <v>4099</v>
      </c>
      <c r="B1017" s="110" t="s">
        <v>1320</v>
      </c>
      <c r="C1017" s="111" t="s">
        <v>4100</v>
      </c>
      <c r="D1017" s="111" t="str">
        <f t="shared" ref="D1017:E1017" si="1015">TRIM(B1017)</f>
        <v>Arkansas</v>
      </c>
      <c r="E1017" s="111" t="str">
        <f t="shared" si="1015"/>
        <v>Osceola</v>
      </c>
    </row>
    <row r="1018" spans="1:5">
      <c r="A1018" s="3" t="s">
        <v>4101</v>
      </c>
      <c r="B1018" s="110" t="s">
        <v>1320</v>
      </c>
      <c r="C1018" s="111" t="s">
        <v>2075</v>
      </c>
      <c r="D1018" s="111" t="str">
        <f t="shared" ref="D1018:E1018" si="1016">TRIM(B1018)</f>
        <v>Arkansas</v>
      </c>
      <c r="E1018" s="111" t="str">
        <f t="shared" si="1016"/>
        <v>Ozark</v>
      </c>
    </row>
    <row r="1019" spans="1:5">
      <c r="A1019" s="3" t="s">
        <v>4103</v>
      </c>
      <c r="B1019" s="110" t="s">
        <v>1320</v>
      </c>
      <c r="C1019" s="111" t="s">
        <v>4105</v>
      </c>
      <c r="D1019" s="111" t="str">
        <f t="shared" ref="D1019:E1019" si="1017">TRIM(B1019)</f>
        <v>Arkansas</v>
      </c>
      <c r="E1019" s="111" t="str">
        <f t="shared" si="1017"/>
        <v>Palestine</v>
      </c>
    </row>
    <row r="1020" spans="1:5">
      <c r="A1020" s="3" t="s">
        <v>4106</v>
      </c>
      <c r="B1020" s="110" t="s">
        <v>1320</v>
      </c>
      <c r="C1020" s="111" t="s">
        <v>4107</v>
      </c>
      <c r="D1020" s="111" t="str">
        <f t="shared" ref="D1020:E1020" si="1018">TRIM(B1020)</f>
        <v>Arkansas</v>
      </c>
      <c r="E1020" s="111" t="str">
        <f t="shared" si="1018"/>
        <v>Pangburn</v>
      </c>
    </row>
    <row r="1021" spans="1:5">
      <c r="A1021" s="3" t="s">
        <v>4108</v>
      </c>
      <c r="B1021" s="110" t="s">
        <v>1320</v>
      </c>
      <c r="C1021" s="111" t="s">
        <v>4109</v>
      </c>
      <c r="D1021" s="111" t="str">
        <f t="shared" ref="D1021:E1021" si="1019">TRIM(B1021)</f>
        <v>Arkansas</v>
      </c>
      <c r="E1021" s="111" t="str">
        <f t="shared" si="1019"/>
        <v>Paragould</v>
      </c>
    </row>
    <row r="1022" spans="1:5">
      <c r="A1022" s="3" t="s">
        <v>4112</v>
      </c>
      <c r="B1022" s="110" t="s">
        <v>1320</v>
      </c>
      <c r="C1022" s="111" t="s">
        <v>4109</v>
      </c>
      <c r="D1022" s="111" t="str">
        <f t="shared" ref="D1022:E1022" si="1020">TRIM(B1022)</f>
        <v>Arkansas</v>
      </c>
      <c r="E1022" s="111" t="str">
        <f t="shared" si="1020"/>
        <v>Paragould</v>
      </c>
    </row>
    <row r="1023" spans="1:5">
      <c r="A1023" s="3" t="s">
        <v>4114</v>
      </c>
      <c r="B1023" s="110" t="s">
        <v>1320</v>
      </c>
      <c r="C1023" s="111" t="s">
        <v>194</v>
      </c>
      <c r="D1023" s="111" t="str">
        <f t="shared" ref="D1023:E1023" si="1021">TRIM(B1023)</f>
        <v>Arkansas</v>
      </c>
      <c r="E1023" s="111" t="str">
        <f t="shared" si="1021"/>
        <v>Paris</v>
      </c>
    </row>
    <row r="1024" spans="1:5">
      <c r="A1024" s="3" t="s">
        <v>4115</v>
      </c>
      <c r="B1024" s="110" t="s">
        <v>1320</v>
      </c>
      <c r="C1024" s="111" t="s">
        <v>4116</v>
      </c>
      <c r="D1024" s="111" t="str">
        <f t="shared" ref="D1024:E1024" si="1022">TRIM(B1024)</f>
        <v>Arkansas</v>
      </c>
      <c r="E1024" s="111" t="str">
        <f t="shared" si="1022"/>
        <v>Pea Ridge</v>
      </c>
    </row>
    <row r="1025" spans="1:5">
      <c r="A1025" s="3" t="s">
        <v>4120</v>
      </c>
      <c r="B1025" s="110" t="s">
        <v>1320</v>
      </c>
      <c r="C1025" s="111" t="s">
        <v>4116</v>
      </c>
      <c r="D1025" s="111" t="str">
        <f t="shared" ref="D1025:E1025" si="1023">TRIM(B1025)</f>
        <v>Arkansas</v>
      </c>
      <c r="E1025" s="111" t="str">
        <f t="shared" si="1023"/>
        <v>Pea Ridge</v>
      </c>
    </row>
    <row r="1026" spans="1:5">
      <c r="A1026" s="3" t="s">
        <v>4121</v>
      </c>
      <c r="B1026" s="110" t="s">
        <v>1320</v>
      </c>
      <c r="C1026" s="111" t="s">
        <v>4122</v>
      </c>
      <c r="D1026" s="111" t="str">
        <f t="shared" ref="D1026:E1026" si="1024">TRIM(B1026)</f>
        <v>Arkansas</v>
      </c>
      <c r="E1026" s="111" t="str">
        <f t="shared" si="1024"/>
        <v>Pearcy</v>
      </c>
    </row>
    <row r="1027" spans="1:5">
      <c r="A1027" s="3" t="s">
        <v>4124</v>
      </c>
      <c r="B1027" s="110" t="s">
        <v>1320</v>
      </c>
      <c r="C1027" s="111" t="s">
        <v>4125</v>
      </c>
      <c r="D1027" s="111" t="str">
        <f t="shared" ref="D1027:E1027" si="1025">TRIM(B1027)</f>
        <v>Arkansas</v>
      </c>
      <c r="E1027" s="111" t="str">
        <f t="shared" si="1025"/>
        <v>Perryville</v>
      </c>
    </row>
    <row r="1028" spans="1:5">
      <c r="A1028" s="3" t="s">
        <v>4127</v>
      </c>
      <c r="B1028" s="110" t="s">
        <v>1320</v>
      </c>
      <c r="C1028" s="111" t="s">
        <v>4128</v>
      </c>
      <c r="D1028" s="111" t="str">
        <f t="shared" ref="D1028:E1028" si="1026">TRIM(B1028)</f>
        <v>Arkansas</v>
      </c>
      <c r="E1028" s="111" t="str">
        <f t="shared" si="1026"/>
        <v>Piggott</v>
      </c>
    </row>
    <row r="1029" spans="1:5">
      <c r="A1029" s="3" t="s">
        <v>4129</v>
      </c>
      <c r="B1029" s="110" t="s">
        <v>1320</v>
      </c>
      <c r="C1029" s="111" t="s">
        <v>4130</v>
      </c>
      <c r="D1029" s="111" t="str">
        <f t="shared" ref="D1029:E1029" si="1027">TRIM(B1029)</f>
        <v>Arkansas</v>
      </c>
      <c r="E1029" s="111" t="str">
        <f t="shared" si="1027"/>
        <v>Pine Bluff</v>
      </c>
    </row>
    <row r="1030" spans="1:5">
      <c r="A1030" s="3" t="s">
        <v>4133</v>
      </c>
      <c r="B1030" s="110" t="s">
        <v>1320</v>
      </c>
      <c r="C1030" s="111" t="s">
        <v>4130</v>
      </c>
      <c r="D1030" s="111" t="str">
        <f t="shared" ref="D1030:E1030" si="1028">TRIM(B1030)</f>
        <v>Arkansas</v>
      </c>
      <c r="E1030" s="111" t="str">
        <f t="shared" si="1028"/>
        <v>Pine Bluff</v>
      </c>
    </row>
    <row r="1031" spans="1:5">
      <c r="A1031" s="3" t="s">
        <v>4135</v>
      </c>
      <c r="B1031" s="110" t="s">
        <v>1320</v>
      </c>
      <c r="C1031" s="111" t="s">
        <v>4130</v>
      </c>
      <c r="D1031" s="111" t="str">
        <f t="shared" ref="D1031:E1031" si="1029">TRIM(B1031)</f>
        <v>Arkansas</v>
      </c>
      <c r="E1031" s="111" t="str">
        <f t="shared" si="1029"/>
        <v>Pine Bluff</v>
      </c>
    </row>
    <row r="1032" spans="1:5">
      <c r="A1032" s="3" t="s">
        <v>4136</v>
      </c>
      <c r="B1032" s="110" t="s">
        <v>1320</v>
      </c>
      <c r="C1032" s="111" t="s">
        <v>4130</v>
      </c>
      <c r="D1032" s="111" t="str">
        <f t="shared" ref="D1032:E1032" si="1030">TRIM(B1032)</f>
        <v>Arkansas</v>
      </c>
      <c r="E1032" s="111" t="str">
        <f t="shared" si="1030"/>
        <v>Pine Bluff</v>
      </c>
    </row>
    <row r="1033" spans="1:5">
      <c r="A1033" s="3" t="s">
        <v>4139</v>
      </c>
      <c r="B1033" s="110" t="s">
        <v>1320</v>
      </c>
      <c r="C1033" s="111" t="s">
        <v>4140</v>
      </c>
      <c r="D1033" s="111" t="str">
        <f t="shared" ref="D1033:E1033" si="1031">TRIM(B1033)</f>
        <v>Arkansas</v>
      </c>
      <c r="E1033" s="111" t="str">
        <f t="shared" si="1031"/>
        <v>Pleasant Plains</v>
      </c>
    </row>
    <row r="1034" spans="1:5">
      <c r="A1034" s="3" t="s">
        <v>4141</v>
      </c>
      <c r="B1034" s="110" t="s">
        <v>1320</v>
      </c>
      <c r="C1034" s="111" t="s">
        <v>4142</v>
      </c>
      <c r="D1034" s="111" t="str">
        <f t="shared" ref="D1034:E1034" si="1032">TRIM(B1034)</f>
        <v>Arkansas</v>
      </c>
      <c r="E1034" s="111" t="str">
        <f t="shared" si="1032"/>
        <v>Pocahontas</v>
      </c>
    </row>
    <row r="1035" spans="1:5">
      <c r="A1035" s="3" t="s">
        <v>4144</v>
      </c>
      <c r="B1035" s="110" t="s">
        <v>1320</v>
      </c>
      <c r="C1035" s="111" t="s">
        <v>4145</v>
      </c>
      <c r="D1035" s="111" t="str">
        <f t="shared" ref="D1035:E1035" si="1033">TRIM(B1035)</f>
        <v>Arkansas</v>
      </c>
      <c r="E1035" s="111" t="str">
        <f t="shared" si="1033"/>
        <v>Pottsville</v>
      </c>
    </row>
    <row r="1036" spans="1:5">
      <c r="A1036" s="3" t="s">
        <v>4147</v>
      </c>
      <c r="B1036" s="110" t="s">
        <v>1320</v>
      </c>
      <c r="C1036" s="111" t="s">
        <v>4148</v>
      </c>
      <c r="D1036" s="111" t="str">
        <f t="shared" ref="D1036:E1036" si="1034">TRIM(B1036)</f>
        <v>Arkansas</v>
      </c>
      <c r="E1036" s="111" t="str">
        <f t="shared" si="1034"/>
        <v>Poyen</v>
      </c>
    </row>
    <row r="1037" spans="1:5">
      <c r="A1037" s="3" t="s">
        <v>4149</v>
      </c>
      <c r="B1037" s="110" t="s">
        <v>1320</v>
      </c>
      <c r="C1037" s="111" t="s">
        <v>4150</v>
      </c>
      <c r="D1037" s="111" t="str">
        <f t="shared" ref="D1037:E1037" si="1035">TRIM(B1037)</f>
        <v>Arkansas</v>
      </c>
      <c r="E1037" s="111" t="str">
        <f t="shared" si="1035"/>
        <v>Prairie Grove</v>
      </c>
    </row>
    <row r="1038" spans="1:5">
      <c r="A1038" s="3" t="s">
        <v>3160</v>
      </c>
      <c r="B1038" s="110" t="s">
        <v>1320</v>
      </c>
      <c r="C1038" s="111" t="s">
        <v>382</v>
      </c>
      <c r="D1038" s="111" t="str">
        <f t="shared" ref="D1038:E1038" si="1036">TRIM(B1038)</f>
        <v>Arkansas</v>
      </c>
      <c r="E1038" s="111" t="str">
        <f t="shared" si="1036"/>
        <v>Prescott</v>
      </c>
    </row>
    <row r="1039" spans="1:5">
      <c r="A1039" s="3" t="s">
        <v>4154</v>
      </c>
      <c r="B1039" s="110" t="s">
        <v>1320</v>
      </c>
      <c r="C1039" s="111" t="s">
        <v>4155</v>
      </c>
      <c r="D1039" s="111" t="str">
        <f t="shared" ref="D1039:E1039" si="1037">TRIM(B1039)</f>
        <v>Arkansas</v>
      </c>
      <c r="E1039" s="111" t="str">
        <f t="shared" si="1037"/>
        <v>Quitman</v>
      </c>
    </row>
    <row r="1040" spans="1:5">
      <c r="A1040" s="3" t="s">
        <v>4157</v>
      </c>
      <c r="B1040" s="110" t="s">
        <v>1320</v>
      </c>
      <c r="C1040" s="111" t="s">
        <v>4158</v>
      </c>
      <c r="D1040" s="111" t="str">
        <f t="shared" ref="D1040:E1040" si="1038">TRIM(B1040)</f>
        <v>Arkansas</v>
      </c>
      <c r="E1040" s="111" t="str">
        <f t="shared" si="1038"/>
        <v>Rector</v>
      </c>
    </row>
    <row r="1041" spans="1:5">
      <c r="A1041" s="3" t="s">
        <v>4160</v>
      </c>
      <c r="B1041" s="110" t="s">
        <v>1320</v>
      </c>
      <c r="C1041" s="111" t="s">
        <v>4161</v>
      </c>
      <c r="D1041" s="111" t="str">
        <f t="shared" ref="D1041:E1041" si="1039">TRIM(B1041)</f>
        <v>Arkansas</v>
      </c>
      <c r="E1041" s="111" t="str">
        <f t="shared" si="1039"/>
        <v>Rison</v>
      </c>
    </row>
    <row r="1042" spans="1:5">
      <c r="A1042" s="3" t="s">
        <v>4162</v>
      </c>
      <c r="B1042" s="110" t="s">
        <v>1320</v>
      </c>
      <c r="C1042" s="111" t="s">
        <v>4161</v>
      </c>
      <c r="D1042" s="111" t="str">
        <f t="shared" ref="D1042:E1042" si="1040">TRIM(B1042)</f>
        <v>Arkansas</v>
      </c>
      <c r="E1042" s="111" t="str">
        <f t="shared" si="1040"/>
        <v>Rison</v>
      </c>
    </row>
    <row r="1043" spans="1:5">
      <c r="A1043" s="3" t="s">
        <v>4165</v>
      </c>
      <c r="B1043" s="110" t="s">
        <v>1320</v>
      </c>
      <c r="C1043" s="111" t="s">
        <v>3136</v>
      </c>
      <c r="D1043" s="111" t="str">
        <f t="shared" ref="D1043:E1043" si="1041">TRIM(B1043)</f>
        <v>Arkansas</v>
      </c>
      <c r="E1043" s="111" t="str">
        <f t="shared" si="1041"/>
        <v>Rogers</v>
      </c>
    </row>
    <row r="1044" spans="1:5">
      <c r="A1044" s="3" t="s">
        <v>4166</v>
      </c>
      <c r="B1044" s="110" t="s">
        <v>1320</v>
      </c>
      <c r="C1044" s="111" t="s">
        <v>3136</v>
      </c>
      <c r="D1044" s="111" t="str">
        <f t="shared" ref="D1044:E1044" si="1042">TRIM(B1044)</f>
        <v>Arkansas</v>
      </c>
      <c r="E1044" s="111" t="str">
        <f t="shared" si="1042"/>
        <v>Rogers</v>
      </c>
    </row>
    <row r="1045" spans="1:5">
      <c r="A1045" s="3" t="s">
        <v>4168</v>
      </c>
      <c r="B1045" s="110" t="s">
        <v>1320</v>
      </c>
      <c r="C1045" s="111" t="s">
        <v>3136</v>
      </c>
      <c r="D1045" s="111" t="str">
        <f t="shared" ref="D1045:E1045" si="1043">TRIM(B1045)</f>
        <v>Arkansas</v>
      </c>
      <c r="E1045" s="111" t="str">
        <f t="shared" si="1043"/>
        <v>Rogers</v>
      </c>
    </row>
    <row r="1046" spans="1:5">
      <c r="A1046" s="3" t="s">
        <v>4171</v>
      </c>
      <c r="B1046" s="110" t="s">
        <v>1320</v>
      </c>
      <c r="C1046" s="111" t="s">
        <v>3136</v>
      </c>
      <c r="D1046" s="111" t="str">
        <f t="shared" ref="D1046:E1046" si="1044">TRIM(B1046)</f>
        <v>Arkansas</v>
      </c>
      <c r="E1046" s="111" t="str">
        <f t="shared" si="1044"/>
        <v>Rogers</v>
      </c>
    </row>
    <row r="1047" spans="1:5">
      <c r="A1047" s="3" t="s">
        <v>4172</v>
      </c>
      <c r="B1047" s="110" t="s">
        <v>1320</v>
      </c>
      <c r="C1047" s="111" t="s">
        <v>4173</v>
      </c>
      <c r="D1047" s="111" t="str">
        <f t="shared" ref="D1047:E1047" si="1045">TRIM(B1047)</f>
        <v>Arkansas</v>
      </c>
      <c r="E1047" s="111" t="str">
        <f t="shared" si="1045"/>
        <v>Rose Bud</v>
      </c>
    </row>
    <row r="1048" spans="1:5">
      <c r="A1048" s="3" t="s">
        <v>4174</v>
      </c>
      <c r="B1048" s="110" t="s">
        <v>1320</v>
      </c>
      <c r="C1048" s="111" t="s">
        <v>4175</v>
      </c>
      <c r="D1048" s="111" t="str">
        <f t="shared" ref="D1048:E1048" si="1046">TRIM(B1048)</f>
        <v>Arkansas</v>
      </c>
      <c r="E1048" s="111" t="str">
        <f t="shared" si="1046"/>
        <v>Rosston</v>
      </c>
    </row>
    <row r="1049" spans="1:5">
      <c r="A1049" s="3" t="s">
        <v>2136</v>
      </c>
      <c r="B1049" s="110" t="s">
        <v>1320</v>
      </c>
      <c r="C1049" s="111" t="s">
        <v>2137</v>
      </c>
      <c r="D1049" s="111" t="str">
        <f t="shared" ref="D1049:E1049" si="1047">TRIM(B1049)</f>
        <v>Arkansas</v>
      </c>
      <c r="E1049" s="111" t="str">
        <f t="shared" si="1047"/>
        <v>Russellville</v>
      </c>
    </row>
    <row r="1050" spans="1:5">
      <c r="A1050" s="3" t="s">
        <v>4178</v>
      </c>
      <c r="B1050" s="110" t="s">
        <v>1320</v>
      </c>
      <c r="C1050" s="111" t="s">
        <v>451</v>
      </c>
      <c r="D1050" s="111" t="str">
        <f t="shared" ref="D1050:E1050" si="1048">TRIM(B1050)</f>
        <v>Arkansas</v>
      </c>
      <c r="E1050" s="111" t="str">
        <f t="shared" si="1048"/>
        <v>Salem</v>
      </c>
    </row>
    <row r="1051" spans="1:5">
      <c r="A1051" s="3" t="s">
        <v>4179</v>
      </c>
      <c r="B1051" s="110" t="s">
        <v>1320</v>
      </c>
      <c r="C1051" s="111" t="s">
        <v>4180</v>
      </c>
      <c r="D1051" s="111" t="str">
        <f t="shared" ref="D1051:E1051" si="1049">TRIM(B1051)</f>
        <v>Arkansas</v>
      </c>
      <c r="E1051" s="111" t="str">
        <f t="shared" si="1049"/>
        <v>Scranton</v>
      </c>
    </row>
    <row r="1052" spans="1:5">
      <c r="A1052" s="3" t="s">
        <v>4181</v>
      </c>
      <c r="B1052" s="110" t="s">
        <v>1320</v>
      </c>
      <c r="C1052" s="111" t="s">
        <v>324</v>
      </c>
      <c r="D1052" s="111" t="str">
        <f t="shared" ref="D1052:E1052" si="1050">TRIM(B1052)</f>
        <v>Arkansas</v>
      </c>
      <c r="E1052" s="111" t="str">
        <f t="shared" si="1050"/>
        <v>Searcy</v>
      </c>
    </row>
    <row r="1053" spans="1:5">
      <c r="A1053" s="3" t="s">
        <v>4184</v>
      </c>
      <c r="B1053" s="110" t="s">
        <v>1320</v>
      </c>
      <c r="C1053" s="111" t="s">
        <v>324</v>
      </c>
      <c r="D1053" s="111" t="str">
        <f t="shared" ref="D1053:E1053" si="1051">TRIM(B1053)</f>
        <v>Arkansas</v>
      </c>
      <c r="E1053" s="111" t="str">
        <f t="shared" si="1051"/>
        <v>Searcy</v>
      </c>
    </row>
    <row r="1054" spans="1:5">
      <c r="A1054" s="3" t="s">
        <v>4186</v>
      </c>
      <c r="B1054" s="110" t="s">
        <v>1320</v>
      </c>
      <c r="C1054" s="111" t="s">
        <v>4187</v>
      </c>
      <c r="D1054" s="111" t="str">
        <f t="shared" ref="D1054:E1054" si="1052">TRIM(B1054)</f>
        <v>Arkansas</v>
      </c>
      <c r="E1054" s="111" t="str">
        <f t="shared" si="1052"/>
        <v>Sheridan</v>
      </c>
    </row>
    <row r="1055" spans="1:5">
      <c r="A1055" s="3" t="s">
        <v>4190</v>
      </c>
      <c r="B1055" s="110" t="s">
        <v>1320</v>
      </c>
      <c r="C1055" s="111" t="s">
        <v>4191</v>
      </c>
      <c r="D1055" s="111" t="str">
        <f t="shared" ref="D1055:E1055" si="1053">TRIM(B1055)</f>
        <v>Arkansas</v>
      </c>
      <c r="E1055" s="111" t="str">
        <f t="shared" si="1053"/>
        <v>Sherwood</v>
      </c>
    </row>
    <row r="1056" spans="1:5">
      <c r="A1056" s="3" t="s">
        <v>4193</v>
      </c>
      <c r="B1056" s="110" t="s">
        <v>1320</v>
      </c>
      <c r="C1056" s="111" t="s">
        <v>4191</v>
      </c>
      <c r="D1056" s="111" t="str">
        <f t="shared" ref="D1056:E1056" si="1054">TRIM(B1056)</f>
        <v>Arkansas</v>
      </c>
      <c r="E1056" s="111" t="str">
        <f t="shared" si="1054"/>
        <v>Sherwood</v>
      </c>
    </row>
    <row r="1057" spans="1:5">
      <c r="A1057" s="3" t="s">
        <v>4195</v>
      </c>
      <c r="B1057" s="110" t="s">
        <v>1320</v>
      </c>
      <c r="C1057" s="111" t="s">
        <v>4196</v>
      </c>
      <c r="D1057" s="111" t="str">
        <f t="shared" ref="D1057:E1057" si="1055">TRIM(B1057)</f>
        <v>Arkansas</v>
      </c>
      <c r="E1057" s="111" t="str">
        <f t="shared" si="1055"/>
        <v>Shirley</v>
      </c>
    </row>
    <row r="1058" spans="1:5">
      <c r="A1058" s="3" t="s">
        <v>4199</v>
      </c>
      <c r="B1058" s="110" t="s">
        <v>1320</v>
      </c>
      <c r="C1058" s="111" t="s">
        <v>4200</v>
      </c>
      <c r="D1058" s="111" t="str">
        <f t="shared" ref="D1058:E1058" si="1056">TRIM(B1058)</f>
        <v>Arkansas</v>
      </c>
      <c r="E1058" s="111" t="str">
        <f t="shared" si="1056"/>
        <v>Siloam Springs</v>
      </c>
    </row>
    <row r="1059" spans="1:5">
      <c r="A1059" s="3" t="s">
        <v>4201</v>
      </c>
      <c r="B1059" s="110" t="s">
        <v>1320</v>
      </c>
      <c r="C1059" s="111" t="s">
        <v>4202</v>
      </c>
      <c r="D1059" s="111" t="str">
        <f t="shared" ref="D1059:E1059" si="1057">TRIM(B1059)</f>
        <v>Arkansas</v>
      </c>
      <c r="E1059" s="111" t="str">
        <f t="shared" si="1057"/>
        <v>Smackover</v>
      </c>
    </row>
    <row r="1060" spans="1:5">
      <c r="A1060" s="3" t="s">
        <v>1836</v>
      </c>
      <c r="B1060" s="110" t="s">
        <v>1320</v>
      </c>
      <c r="C1060" s="111" t="s">
        <v>4205</v>
      </c>
      <c r="D1060" s="111" t="str">
        <f t="shared" ref="D1060:E1060" si="1058">TRIM(B1060)</f>
        <v>Arkansas</v>
      </c>
      <c r="E1060" s="111" t="str">
        <f t="shared" si="1058"/>
        <v>Sparkman</v>
      </c>
    </row>
    <row r="1061" spans="1:5">
      <c r="A1061" s="110" t="s">
        <v>4206</v>
      </c>
      <c r="B1061" s="110" t="s">
        <v>1320</v>
      </c>
      <c r="C1061" s="111" t="s">
        <v>4207</v>
      </c>
      <c r="D1061" s="111" t="str">
        <f t="shared" ref="D1061:E1061" si="1059">TRIM(B1061)</f>
        <v>Arkansas</v>
      </c>
      <c r="E1061" s="111" t="str">
        <f t="shared" si="1059"/>
        <v>Springdale</v>
      </c>
    </row>
    <row r="1062" spans="1:5">
      <c r="A1062" s="3" t="s">
        <v>4211</v>
      </c>
      <c r="B1062" s="110" t="s">
        <v>1320</v>
      </c>
      <c r="C1062" s="111" t="s">
        <v>4207</v>
      </c>
      <c r="D1062" s="111" t="str">
        <f t="shared" ref="D1062:E1062" si="1060">TRIM(B1062)</f>
        <v>Arkansas</v>
      </c>
      <c r="E1062" s="111" t="str">
        <f t="shared" si="1060"/>
        <v>Springdale</v>
      </c>
    </row>
    <row r="1063" spans="1:5">
      <c r="A1063" s="3" t="s">
        <v>4212</v>
      </c>
      <c r="B1063" s="110" t="s">
        <v>1320</v>
      </c>
      <c r="C1063" s="111" t="s">
        <v>4207</v>
      </c>
      <c r="D1063" s="111" t="str">
        <f t="shared" ref="D1063:E1063" si="1061">TRIM(B1063)</f>
        <v>Arkansas</v>
      </c>
      <c r="E1063" s="111" t="str">
        <f t="shared" si="1061"/>
        <v>Springdale</v>
      </c>
    </row>
    <row r="1064" spans="1:5">
      <c r="A1064" s="3" t="s">
        <v>4214</v>
      </c>
      <c r="B1064" s="110" t="s">
        <v>1320</v>
      </c>
      <c r="C1064" s="111" t="s">
        <v>4215</v>
      </c>
      <c r="D1064" s="111" t="str">
        <f t="shared" ref="D1064:E1064" si="1062">TRIM(B1064)</f>
        <v>Arkansas</v>
      </c>
      <c r="E1064" s="111" t="str">
        <f t="shared" si="1062"/>
        <v>St Paul</v>
      </c>
    </row>
    <row r="1065" spans="1:5">
      <c r="A1065" s="3" t="s">
        <v>4217</v>
      </c>
      <c r="B1065" s="110" t="s">
        <v>1320</v>
      </c>
      <c r="C1065" s="111" t="s">
        <v>4218</v>
      </c>
      <c r="D1065" s="111" t="str">
        <f t="shared" ref="D1065:E1065" si="1063">TRIM(B1065)</f>
        <v>Arkansas</v>
      </c>
      <c r="E1065" s="111" t="str">
        <f t="shared" si="1063"/>
        <v>Star City</v>
      </c>
    </row>
    <row r="1066" spans="1:5">
      <c r="A1066" s="3" t="s">
        <v>1736</v>
      </c>
      <c r="B1066" s="110" t="s">
        <v>1320</v>
      </c>
      <c r="C1066" s="111" t="s">
        <v>4219</v>
      </c>
      <c r="D1066" s="111" t="str">
        <f t="shared" ref="D1066:E1066" si="1064">TRIM(B1066)</f>
        <v>Arkansas</v>
      </c>
      <c r="E1066" s="111" t="str">
        <f t="shared" si="1064"/>
        <v>Strawberry</v>
      </c>
    </row>
    <row r="1067" spans="1:5">
      <c r="A1067" s="3" t="s">
        <v>4223</v>
      </c>
      <c r="B1067" s="110" t="s">
        <v>1320</v>
      </c>
      <c r="C1067" s="111" t="s">
        <v>4224</v>
      </c>
      <c r="D1067" s="111" t="str">
        <f t="shared" ref="D1067:E1067" si="1065">TRIM(B1067)</f>
        <v>Arkansas</v>
      </c>
      <c r="E1067" s="111" t="str">
        <f t="shared" si="1065"/>
        <v>Stuttgart</v>
      </c>
    </row>
    <row r="1068" spans="1:5">
      <c r="A1068" s="3" t="s">
        <v>4225</v>
      </c>
      <c r="B1068" s="110" t="s">
        <v>1320</v>
      </c>
      <c r="C1068" s="111" t="s">
        <v>3301</v>
      </c>
      <c r="D1068" s="111" t="str">
        <f t="shared" ref="D1068:E1068" si="1066">TRIM(B1068)</f>
        <v>Arkansas</v>
      </c>
      <c r="E1068" s="111" t="str">
        <f t="shared" si="1066"/>
        <v>Taylor</v>
      </c>
    </row>
    <row r="1069" spans="1:5">
      <c r="A1069" s="3" t="s">
        <v>4227</v>
      </c>
      <c r="B1069" s="110" t="s">
        <v>1320</v>
      </c>
      <c r="C1069" s="111" t="s">
        <v>4228</v>
      </c>
      <c r="D1069" s="111" t="str">
        <f t="shared" ref="D1069:E1069" si="1067">TRIM(B1069)</f>
        <v>Arkansas</v>
      </c>
      <c r="E1069" s="111" t="str">
        <f t="shared" si="1067"/>
        <v>Texarkana</v>
      </c>
    </row>
    <row r="1070" spans="1:5">
      <c r="A1070" s="3" t="s">
        <v>4230</v>
      </c>
      <c r="B1070" s="110" t="s">
        <v>1320</v>
      </c>
      <c r="C1070" s="111" t="s">
        <v>4228</v>
      </c>
      <c r="D1070" s="111" t="str">
        <f t="shared" ref="D1070:E1070" si="1068">TRIM(B1070)</f>
        <v>Arkansas</v>
      </c>
      <c r="E1070" s="111" t="str">
        <f t="shared" si="1068"/>
        <v>Texarkana</v>
      </c>
    </row>
    <row r="1071" spans="1:5">
      <c r="A1071" s="3" t="s">
        <v>4234</v>
      </c>
      <c r="B1071" s="110" t="s">
        <v>1320</v>
      </c>
      <c r="C1071" s="111" t="s">
        <v>4228</v>
      </c>
      <c r="D1071" s="111" t="str">
        <f t="shared" ref="D1071:E1071" si="1069">TRIM(B1071)</f>
        <v>Arkansas</v>
      </c>
      <c r="E1071" s="111" t="str">
        <f t="shared" si="1069"/>
        <v>Texarkana</v>
      </c>
    </row>
    <row r="1072" spans="1:5">
      <c r="A1072" s="3" t="s">
        <v>4236</v>
      </c>
      <c r="B1072" s="110" t="s">
        <v>1320</v>
      </c>
      <c r="C1072" s="111" t="s">
        <v>4237</v>
      </c>
      <c r="D1072" s="111" t="str">
        <f t="shared" ref="D1072:E1072" si="1070">TRIM(B1072)</f>
        <v>Arkansas</v>
      </c>
      <c r="E1072" s="111" t="str">
        <f t="shared" si="1070"/>
        <v>Timbo</v>
      </c>
    </row>
    <row r="1073" spans="1:5">
      <c r="A1073" s="3" t="s">
        <v>4240</v>
      </c>
      <c r="B1073" s="110" t="s">
        <v>1320</v>
      </c>
      <c r="C1073" s="111" t="s">
        <v>4241</v>
      </c>
      <c r="D1073" s="111" t="str">
        <f t="shared" ref="D1073:E1073" si="1071">TRIM(B1073)</f>
        <v>Arkansas</v>
      </c>
      <c r="E1073" s="111" t="str">
        <f t="shared" si="1071"/>
        <v>Trumann</v>
      </c>
    </row>
    <row r="1074" spans="1:5">
      <c r="A1074" s="3" t="s">
        <v>4243</v>
      </c>
      <c r="B1074" s="110" t="s">
        <v>1320</v>
      </c>
      <c r="C1074" s="111" t="s">
        <v>4244</v>
      </c>
      <c r="D1074" s="111" t="str">
        <f t="shared" ref="D1074:E1074" si="1072">TRIM(B1074)</f>
        <v>Arkansas</v>
      </c>
      <c r="E1074" s="111" t="str">
        <f t="shared" si="1072"/>
        <v>Tuckerman</v>
      </c>
    </row>
    <row r="1075" spans="1:5">
      <c r="A1075" s="3" t="s">
        <v>4246</v>
      </c>
      <c r="B1075" s="110" t="s">
        <v>1320</v>
      </c>
      <c r="C1075" s="111" t="s">
        <v>4247</v>
      </c>
      <c r="D1075" s="111" t="str">
        <f t="shared" ref="D1075:E1075" si="1073">TRIM(B1075)</f>
        <v>Arkansas</v>
      </c>
      <c r="E1075" s="111" t="str">
        <f t="shared" si="1073"/>
        <v>Valley Springs</v>
      </c>
    </row>
    <row r="1076" spans="1:5">
      <c r="A1076" s="3" t="s">
        <v>4249</v>
      </c>
      <c r="B1076" s="110" t="s">
        <v>1320</v>
      </c>
      <c r="C1076" s="111" t="s">
        <v>4250</v>
      </c>
      <c r="D1076" s="111" t="str">
        <f t="shared" ref="D1076:E1076" si="1074">TRIM(B1076)</f>
        <v>Arkansas</v>
      </c>
      <c r="E1076" s="111" t="str">
        <f t="shared" si="1074"/>
        <v>Van Buren</v>
      </c>
    </row>
    <row r="1077" spans="1:5">
      <c r="A1077" s="3" t="s">
        <v>4251</v>
      </c>
      <c r="B1077" s="110" t="s">
        <v>1320</v>
      </c>
      <c r="C1077" s="111" t="s">
        <v>4252</v>
      </c>
      <c r="D1077" s="111" t="str">
        <f t="shared" ref="D1077:E1077" si="1075">TRIM(B1077)</f>
        <v>Arkansas</v>
      </c>
      <c r="E1077" s="111" t="str">
        <f t="shared" si="1075"/>
        <v>Vilonia</v>
      </c>
    </row>
    <row r="1078" spans="1:5">
      <c r="A1078" s="3" t="s">
        <v>4255</v>
      </c>
      <c r="B1078" s="110" t="s">
        <v>1320</v>
      </c>
      <c r="C1078" s="111" t="s">
        <v>4256</v>
      </c>
      <c r="D1078" s="111" t="str">
        <f t="shared" ref="D1078:E1078" si="1076">TRIM(B1078)</f>
        <v>Arkansas</v>
      </c>
      <c r="E1078" s="111" t="str">
        <f t="shared" si="1076"/>
        <v>Viola</v>
      </c>
    </row>
    <row r="1079" spans="1:5">
      <c r="A1079" s="3" t="s">
        <v>4257</v>
      </c>
      <c r="B1079" s="110" t="s">
        <v>1320</v>
      </c>
      <c r="C1079" s="111" t="s">
        <v>4258</v>
      </c>
      <c r="D1079" s="111" t="str">
        <f t="shared" ref="D1079:E1079" si="1077">TRIM(B1079)</f>
        <v>Arkansas</v>
      </c>
      <c r="E1079" s="111" t="str">
        <f t="shared" si="1077"/>
        <v>Waldron</v>
      </c>
    </row>
    <row r="1080" spans="1:5">
      <c r="A1080" s="3" t="s">
        <v>4261</v>
      </c>
      <c r="B1080" s="110" t="s">
        <v>1320</v>
      </c>
      <c r="C1080" s="111" t="s">
        <v>4262</v>
      </c>
      <c r="D1080" s="111" t="str">
        <f t="shared" ref="D1080:E1080" si="1078">TRIM(B1080)</f>
        <v>Arkansas</v>
      </c>
      <c r="E1080" s="111" t="str">
        <f t="shared" si="1078"/>
        <v>Walnut Ridge</v>
      </c>
    </row>
    <row r="1081" spans="1:5">
      <c r="A1081" s="3" t="s">
        <v>4264</v>
      </c>
      <c r="B1081" s="110" t="s">
        <v>1320</v>
      </c>
      <c r="C1081" s="111" t="s">
        <v>4265</v>
      </c>
      <c r="D1081" s="111" t="str">
        <f t="shared" ref="D1081:E1081" si="1079">TRIM(B1081)</f>
        <v>Arkansas</v>
      </c>
      <c r="E1081" s="111" t="str">
        <f t="shared" si="1079"/>
        <v>Warren</v>
      </c>
    </row>
    <row r="1082" spans="1:5">
      <c r="A1082" s="3" t="s">
        <v>4266</v>
      </c>
      <c r="B1082" s="110" t="s">
        <v>1320</v>
      </c>
      <c r="C1082" s="111" t="s">
        <v>4267</v>
      </c>
      <c r="D1082" s="111" t="str">
        <f t="shared" ref="D1082:E1082" si="1080">TRIM(B1082)</f>
        <v>Arkansas</v>
      </c>
      <c r="E1082" s="111" t="str">
        <f t="shared" si="1080"/>
        <v>West Fork</v>
      </c>
    </row>
    <row r="1083" spans="1:5">
      <c r="A1083" s="3" t="s">
        <v>1843</v>
      </c>
      <c r="B1083" s="110" t="s">
        <v>1320</v>
      </c>
      <c r="C1083" s="111" t="s">
        <v>4271</v>
      </c>
      <c r="D1083" s="111" t="str">
        <f t="shared" ref="D1083:E1083" si="1081">TRIM(B1083)</f>
        <v>Arkansas</v>
      </c>
      <c r="E1083" s="111" t="str">
        <f t="shared" si="1081"/>
        <v>West Helena</v>
      </c>
    </row>
    <row r="1084" spans="1:5">
      <c r="A1084" s="3" t="s">
        <v>4272</v>
      </c>
      <c r="B1084" s="110" t="s">
        <v>1320</v>
      </c>
      <c r="C1084" s="111" t="s">
        <v>307</v>
      </c>
      <c r="D1084" s="111" t="str">
        <f t="shared" ref="D1084:E1084" si="1082">TRIM(B1084)</f>
        <v>Arkansas</v>
      </c>
      <c r="E1084" s="111" t="str">
        <f t="shared" si="1082"/>
        <v>West Memphis</v>
      </c>
    </row>
    <row r="1085" spans="1:5">
      <c r="A1085" s="3" t="s">
        <v>4274</v>
      </c>
      <c r="B1085" s="110" t="s">
        <v>1320</v>
      </c>
      <c r="C1085" s="111" t="s">
        <v>4275</v>
      </c>
      <c r="D1085" s="111" t="str">
        <f t="shared" ref="D1085:E1085" si="1083">TRIM(B1085)</f>
        <v>Arkansas</v>
      </c>
      <c r="E1085" s="111" t="str">
        <f t="shared" si="1083"/>
        <v>White Hall</v>
      </c>
    </row>
    <row r="1086" spans="1:5">
      <c r="A1086" s="3" t="s">
        <v>4277</v>
      </c>
      <c r="B1086" s="110" t="s">
        <v>1320</v>
      </c>
      <c r="C1086" s="111" t="s">
        <v>4278</v>
      </c>
      <c r="D1086" s="111" t="str">
        <f t="shared" ref="D1086:E1086" si="1084">TRIM(B1086)</f>
        <v>Arkansas</v>
      </c>
      <c r="E1086" s="111" t="str">
        <f t="shared" si="1084"/>
        <v>Wilson</v>
      </c>
    </row>
    <row r="1087" spans="1:5">
      <c r="A1087" s="3" t="s">
        <v>4279</v>
      </c>
      <c r="B1087" s="110" t="s">
        <v>1320</v>
      </c>
      <c r="C1087" s="111" t="s">
        <v>4280</v>
      </c>
      <c r="D1087" s="111" t="str">
        <f t="shared" ref="D1087:E1087" si="1085">TRIM(B1087)</f>
        <v>Arkansas</v>
      </c>
      <c r="E1087" s="111" t="str">
        <f t="shared" si="1085"/>
        <v>Wynne</v>
      </c>
    </row>
    <row r="1088" spans="1:5">
      <c r="A1088" s="3" t="s">
        <v>4283</v>
      </c>
      <c r="B1088" s="110" t="s">
        <v>1320</v>
      </c>
      <c r="C1088" s="111" t="s">
        <v>4284</v>
      </c>
      <c r="D1088" s="111" t="str">
        <f t="shared" ref="D1088:E1088" si="1086">TRIM(B1088)</f>
        <v>Arkansas</v>
      </c>
      <c r="E1088" s="111" t="str">
        <f t="shared" si="1086"/>
        <v>Yellville</v>
      </c>
    </row>
    <row r="1089" spans="1:5">
      <c r="A1089" s="110" t="s">
        <v>4286</v>
      </c>
      <c r="B1089" s="110" t="s">
        <v>1321</v>
      </c>
      <c r="C1089" s="111" t="s">
        <v>4287</v>
      </c>
      <c r="D1089" s="111" t="str">
        <f t="shared" ref="D1089:E1089" si="1087">TRIM(B1089)</f>
        <v>California</v>
      </c>
      <c r="E1089" s="111" t="str">
        <f t="shared" si="1087"/>
        <v>Acton</v>
      </c>
    </row>
    <row r="1090" spans="1:5">
      <c r="A1090" s="3" t="s">
        <v>4289</v>
      </c>
      <c r="B1090" s="110" t="s">
        <v>1321</v>
      </c>
      <c r="C1090" s="111" t="s">
        <v>4287</v>
      </c>
      <c r="D1090" s="111" t="str">
        <f t="shared" ref="D1090:E1090" si="1088">TRIM(B1090)</f>
        <v>California</v>
      </c>
      <c r="E1090" s="111" t="str">
        <f t="shared" si="1088"/>
        <v>Acton</v>
      </c>
    </row>
    <row r="1091" spans="1:5">
      <c r="A1091" s="3" t="s">
        <v>4291</v>
      </c>
      <c r="B1091" s="110" t="s">
        <v>1321</v>
      </c>
      <c r="C1091" s="111" t="s">
        <v>4287</v>
      </c>
      <c r="D1091" s="111" t="str">
        <f t="shared" ref="D1091:E1091" si="1089">TRIM(B1091)</f>
        <v>California</v>
      </c>
      <c r="E1091" s="111" t="str">
        <f t="shared" si="1089"/>
        <v>Acton</v>
      </c>
    </row>
    <row r="1092" spans="1:5">
      <c r="A1092" s="3" t="s">
        <v>4292</v>
      </c>
      <c r="B1092" s="110" t="s">
        <v>1321</v>
      </c>
      <c r="C1092" s="111" t="s">
        <v>4293</v>
      </c>
      <c r="D1092" s="111" t="str">
        <f t="shared" ref="D1092:E1092" si="1090">TRIM(B1092)</f>
        <v>California</v>
      </c>
      <c r="E1092" s="111" t="str">
        <f t="shared" si="1090"/>
        <v>Adelanto</v>
      </c>
    </row>
    <row r="1093" spans="1:5">
      <c r="A1093" s="3" t="s">
        <v>4295</v>
      </c>
      <c r="B1093" s="110" t="s">
        <v>1321</v>
      </c>
      <c r="C1093" s="111" t="s">
        <v>4296</v>
      </c>
      <c r="D1093" s="111" t="str">
        <f t="shared" ref="D1093:E1093" si="1091">TRIM(B1093)</f>
        <v>California</v>
      </c>
      <c r="E1093" s="111" t="str">
        <f t="shared" si="1091"/>
        <v>Agoura</v>
      </c>
    </row>
    <row r="1094" spans="1:5">
      <c r="A1094" s="110" t="s">
        <v>4298</v>
      </c>
      <c r="B1094" s="110" t="s">
        <v>1321</v>
      </c>
      <c r="C1094" s="111" t="s">
        <v>4299</v>
      </c>
      <c r="D1094" s="111" t="str">
        <f t="shared" ref="D1094:E1094" si="1092">TRIM(B1094)</f>
        <v>California</v>
      </c>
      <c r="E1094" s="111" t="str">
        <f t="shared" si="1092"/>
        <v>Alameda</v>
      </c>
    </row>
    <row r="1095" spans="1:5">
      <c r="A1095" s="3" t="s">
        <v>4300</v>
      </c>
      <c r="B1095" s="110" t="s">
        <v>1321</v>
      </c>
      <c r="C1095" s="111" t="s">
        <v>4299</v>
      </c>
      <c r="D1095" s="111" t="str">
        <f t="shared" ref="D1095:E1095" si="1093">TRIM(B1095)</f>
        <v>California</v>
      </c>
      <c r="E1095" s="111" t="str">
        <f t="shared" si="1093"/>
        <v>Alameda</v>
      </c>
    </row>
    <row r="1096" spans="1:5">
      <c r="A1096" s="3" t="s">
        <v>4304</v>
      </c>
      <c r="B1096" s="110" t="s">
        <v>1321</v>
      </c>
      <c r="C1096" s="111" t="s">
        <v>4299</v>
      </c>
      <c r="D1096" s="111" t="str">
        <f t="shared" ref="D1096:E1096" si="1094">TRIM(B1096)</f>
        <v>California</v>
      </c>
      <c r="E1096" s="111" t="str">
        <f t="shared" si="1094"/>
        <v>Alameda</v>
      </c>
    </row>
    <row r="1097" spans="1:5">
      <c r="A1097" s="3" t="s">
        <v>4305</v>
      </c>
      <c r="B1097" s="110" t="s">
        <v>1321</v>
      </c>
      <c r="C1097" s="111" t="s">
        <v>182</v>
      </c>
      <c r="D1097" s="111" t="str">
        <f t="shared" ref="D1097:E1097" si="1095">TRIM(B1097)</f>
        <v>California</v>
      </c>
      <c r="E1097" s="111" t="str">
        <f t="shared" si="1095"/>
        <v>Albany</v>
      </c>
    </row>
    <row r="1098" spans="1:5">
      <c r="A1098" s="3" t="s">
        <v>2933</v>
      </c>
      <c r="B1098" s="110" t="s">
        <v>1321</v>
      </c>
      <c r="C1098" s="111" t="s">
        <v>4308</v>
      </c>
      <c r="D1098" s="111" t="str">
        <f t="shared" ref="D1098:E1098" si="1096">TRIM(B1098)</f>
        <v>California</v>
      </c>
      <c r="E1098" s="111" t="str">
        <f t="shared" si="1096"/>
        <v>Alhambra</v>
      </c>
    </row>
    <row r="1099" spans="1:5">
      <c r="A1099" s="3" t="s">
        <v>4310</v>
      </c>
      <c r="B1099" s="110" t="s">
        <v>1321</v>
      </c>
      <c r="C1099" s="111" t="s">
        <v>4308</v>
      </c>
      <c r="D1099" s="111" t="str">
        <f t="shared" ref="D1099:E1099" si="1097">TRIM(B1099)</f>
        <v>California</v>
      </c>
      <c r="E1099" s="111" t="str">
        <f t="shared" si="1097"/>
        <v>Alhambra</v>
      </c>
    </row>
    <row r="1100" spans="1:5">
      <c r="A1100" s="3" t="s">
        <v>4312</v>
      </c>
      <c r="B1100" s="110" t="s">
        <v>1321</v>
      </c>
      <c r="C1100" s="111" t="s">
        <v>4314</v>
      </c>
      <c r="D1100" s="111" t="str">
        <f t="shared" ref="D1100:E1100" si="1098">TRIM(B1100)</f>
        <v>California</v>
      </c>
      <c r="E1100" s="111" t="str">
        <f t="shared" si="1098"/>
        <v>Aliso Viejo</v>
      </c>
    </row>
    <row r="1101" spans="1:5">
      <c r="A1101" s="3" t="s">
        <v>4316</v>
      </c>
      <c r="B1101" s="110" t="s">
        <v>1321</v>
      </c>
      <c r="C1101" s="111" t="s">
        <v>4317</v>
      </c>
      <c r="D1101" s="111" t="str">
        <f t="shared" ref="D1101:E1101" si="1099">TRIM(B1101)</f>
        <v>California</v>
      </c>
      <c r="E1101" s="111" t="str">
        <f t="shared" si="1099"/>
        <v>Alpaugh</v>
      </c>
    </row>
    <row r="1102" spans="1:5">
      <c r="A1102" s="3" t="s">
        <v>4318</v>
      </c>
      <c r="B1102" s="110" t="s">
        <v>1321</v>
      </c>
      <c r="C1102" s="111" t="s">
        <v>4319</v>
      </c>
      <c r="D1102" s="111" t="str">
        <f t="shared" ref="D1102:E1102" si="1100">TRIM(B1102)</f>
        <v>California</v>
      </c>
      <c r="E1102" s="111" t="str">
        <f t="shared" si="1100"/>
        <v>Alta Loma</v>
      </c>
    </row>
    <row r="1103" spans="1:5">
      <c r="A1103" s="3" t="s">
        <v>4322</v>
      </c>
      <c r="B1103" s="110" t="s">
        <v>1321</v>
      </c>
      <c r="C1103" s="111" t="s">
        <v>929</v>
      </c>
      <c r="D1103" s="111" t="str">
        <f t="shared" ref="D1103:E1103" si="1101">TRIM(B1103)</f>
        <v>California</v>
      </c>
      <c r="E1103" s="111" t="str">
        <f t="shared" si="1101"/>
        <v>Altadena</v>
      </c>
    </row>
    <row r="1104" spans="1:5">
      <c r="A1104" s="3" t="s">
        <v>4324</v>
      </c>
      <c r="B1104" s="110" t="s">
        <v>1321</v>
      </c>
      <c r="C1104" s="111" t="s">
        <v>4325</v>
      </c>
      <c r="D1104" s="111" t="str">
        <f t="shared" ref="D1104:E1104" si="1102">TRIM(B1104)</f>
        <v>California</v>
      </c>
      <c r="E1104" s="111" t="str">
        <f t="shared" si="1102"/>
        <v>Altaville</v>
      </c>
    </row>
    <row r="1105" spans="1:5">
      <c r="A1105" s="3" t="s">
        <v>4326</v>
      </c>
      <c r="B1105" s="110" t="s">
        <v>1321</v>
      </c>
      <c r="C1105" s="111" t="s">
        <v>4327</v>
      </c>
      <c r="D1105" s="111" t="str">
        <f t="shared" ref="D1105:E1105" si="1103">TRIM(B1105)</f>
        <v>California</v>
      </c>
      <c r="E1105" s="111" t="str">
        <f t="shared" si="1103"/>
        <v>Alturas</v>
      </c>
    </row>
    <row r="1106" spans="1:5">
      <c r="A1106" s="3" t="s">
        <v>4330</v>
      </c>
      <c r="B1106" s="110" t="s">
        <v>1321</v>
      </c>
      <c r="C1106" s="113" t="s">
        <v>4331</v>
      </c>
      <c r="D1106" s="111" t="str">
        <f t="shared" ref="D1106:E1106" si="1104">TRIM(B1106)</f>
        <v>California</v>
      </c>
      <c r="E1106" s="111" t="str">
        <f t="shared" si="1104"/>
        <v>American Canyon</v>
      </c>
    </row>
    <row r="1107" spans="1:5">
      <c r="A1107" s="3" t="s">
        <v>4332</v>
      </c>
      <c r="B1107" s="110" t="s">
        <v>1321</v>
      </c>
      <c r="C1107" s="111" t="s">
        <v>363</v>
      </c>
      <c r="D1107" s="111" t="str">
        <f t="shared" ref="D1107:E1107" si="1105">TRIM(B1107)</f>
        <v>California</v>
      </c>
      <c r="E1107" s="111" t="str">
        <f t="shared" si="1105"/>
        <v>Anaheim</v>
      </c>
    </row>
    <row r="1108" spans="1:5">
      <c r="A1108" s="3" t="s">
        <v>4334</v>
      </c>
      <c r="B1108" s="110" t="s">
        <v>1321</v>
      </c>
      <c r="C1108" s="111" t="s">
        <v>363</v>
      </c>
      <c r="D1108" s="111" t="str">
        <f t="shared" ref="D1108:E1108" si="1106">TRIM(B1108)</f>
        <v>California</v>
      </c>
      <c r="E1108" s="111" t="str">
        <f t="shared" si="1106"/>
        <v>Anaheim</v>
      </c>
    </row>
    <row r="1109" spans="1:5">
      <c r="A1109" s="3" t="s">
        <v>4336</v>
      </c>
      <c r="B1109" s="110" t="s">
        <v>1321</v>
      </c>
      <c r="C1109" s="111" t="s">
        <v>363</v>
      </c>
      <c r="D1109" s="111" t="str">
        <f t="shared" ref="D1109:E1109" si="1107">TRIM(B1109)</f>
        <v>California</v>
      </c>
      <c r="E1109" s="111" t="str">
        <f t="shared" si="1107"/>
        <v>Anaheim</v>
      </c>
    </row>
    <row r="1110" spans="1:5">
      <c r="A1110" s="3" t="s">
        <v>4338</v>
      </c>
      <c r="B1110" s="110" t="s">
        <v>1321</v>
      </c>
      <c r="C1110" s="111" t="s">
        <v>363</v>
      </c>
      <c r="D1110" s="111" t="str">
        <f t="shared" ref="D1110:E1110" si="1108">TRIM(B1110)</f>
        <v>California</v>
      </c>
      <c r="E1110" s="111" t="str">
        <f t="shared" si="1108"/>
        <v>Anaheim</v>
      </c>
    </row>
    <row r="1111" spans="1:5">
      <c r="A1111" s="3" t="s">
        <v>3975</v>
      </c>
      <c r="B1111" s="110" t="s">
        <v>1321</v>
      </c>
      <c r="C1111" s="111" t="s">
        <v>363</v>
      </c>
      <c r="D1111" s="111" t="str">
        <f t="shared" ref="D1111:E1111" si="1109">TRIM(B1111)</f>
        <v>California</v>
      </c>
      <c r="E1111" s="111" t="str">
        <f t="shared" si="1109"/>
        <v>Anaheim</v>
      </c>
    </row>
    <row r="1112" spans="1:5">
      <c r="A1112" s="3" t="s">
        <v>4341</v>
      </c>
      <c r="B1112" s="110" t="s">
        <v>1321</v>
      </c>
      <c r="C1112" s="111" t="s">
        <v>363</v>
      </c>
      <c r="D1112" s="111" t="str">
        <f t="shared" ref="D1112:E1112" si="1110">TRIM(B1112)</f>
        <v>California</v>
      </c>
      <c r="E1112" s="111" t="str">
        <f t="shared" si="1110"/>
        <v>Anaheim</v>
      </c>
    </row>
    <row r="1113" spans="1:5">
      <c r="A1113" s="3" t="s">
        <v>4343</v>
      </c>
      <c r="B1113" s="110" t="s">
        <v>1321</v>
      </c>
      <c r="C1113" s="111" t="s">
        <v>363</v>
      </c>
      <c r="D1113" s="111" t="str">
        <f t="shared" ref="D1113:E1113" si="1111">TRIM(B1113)</f>
        <v>California</v>
      </c>
      <c r="E1113" s="111" t="str">
        <f t="shared" si="1111"/>
        <v>Anaheim</v>
      </c>
    </row>
    <row r="1114" spans="1:5">
      <c r="A1114" s="3" t="s">
        <v>4344</v>
      </c>
      <c r="B1114" s="110" t="s">
        <v>1321</v>
      </c>
      <c r="C1114" s="111" t="s">
        <v>4345</v>
      </c>
      <c r="D1114" s="111" t="str">
        <f t="shared" ref="D1114:E1114" si="1112">TRIM(B1114)</f>
        <v>California</v>
      </c>
      <c r="E1114" s="111" t="str">
        <f t="shared" si="1112"/>
        <v>Anderson</v>
      </c>
    </row>
    <row r="1115" spans="1:5">
      <c r="A1115" s="3" t="s">
        <v>4349</v>
      </c>
      <c r="B1115" s="110" t="s">
        <v>1321</v>
      </c>
      <c r="C1115" s="111" t="s">
        <v>4345</v>
      </c>
      <c r="D1115" s="111" t="str">
        <f t="shared" ref="D1115:E1115" si="1113">TRIM(B1115)</f>
        <v>California</v>
      </c>
      <c r="E1115" s="111" t="str">
        <f t="shared" si="1113"/>
        <v>Anderson</v>
      </c>
    </row>
    <row r="1116" spans="1:5">
      <c r="A1116" s="3" t="s">
        <v>4350</v>
      </c>
      <c r="B1116" s="110" t="s">
        <v>1321</v>
      </c>
      <c r="C1116" s="111" t="s">
        <v>4351</v>
      </c>
      <c r="D1116" s="111" t="str">
        <f t="shared" ref="D1116:E1116" si="1114">TRIM(B1116)</f>
        <v>California</v>
      </c>
      <c r="E1116" s="111" t="str">
        <f t="shared" si="1114"/>
        <v>Antelope</v>
      </c>
    </row>
    <row r="1117" spans="1:5">
      <c r="A1117" s="3" t="s">
        <v>4353</v>
      </c>
      <c r="B1117" s="110" t="s">
        <v>1321</v>
      </c>
      <c r="C1117" s="111" t="s">
        <v>4351</v>
      </c>
      <c r="D1117" s="111" t="str">
        <f t="shared" ref="D1117:E1117" si="1115">TRIM(B1117)</f>
        <v>California</v>
      </c>
      <c r="E1117" s="111" t="str">
        <f t="shared" si="1115"/>
        <v>Antelope</v>
      </c>
    </row>
    <row r="1118" spans="1:5">
      <c r="A1118" s="3" t="s">
        <v>4356</v>
      </c>
      <c r="B1118" s="110" t="s">
        <v>1321</v>
      </c>
      <c r="C1118" s="111" t="s">
        <v>4357</v>
      </c>
      <c r="D1118" s="111" t="str">
        <f t="shared" ref="D1118:E1118" si="1116">TRIM(B1118)</f>
        <v>California</v>
      </c>
      <c r="E1118" s="111" t="str">
        <f t="shared" si="1116"/>
        <v>Antioch</v>
      </c>
    </row>
    <row r="1119" spans="1:5">
      <c r="A1119" s="3" t="s">
        <v>2698</v>
      </c>
      <c r="B1119" s="110" t="s">
        <v>1321</v>
      </c>
      <c r="C1119" s="111" t="s">
        <v>4357</v>
      </c>
      <c r="D1119" s="111" t="str">
        <f t="shared" ref="D1119:E1119" si="1117">TRIM(B1119)</f>
        <v>California</v>
      </c>
      <c r="E1119" s="111" t="str">
        <f t="shared" si="1117"/>
        <v>Antioch</v>
      </c>
    </row>
    <row r="1120" spans="1:5">
      <c r="A1120" s="3" t="s">
        <v>1827</v>
      </c>
      <c r="B1120" s="110" t="s">
        <v>1321</v>
      </c>
      <c r="C1120" s="111" t="s">
        <v>4361</v>
      </c>
      <c r="D1120" s="111" t="str">
        <f t="shared" ref="D1120:E1120" si="1118">TRIM(B1120)</f>
        <v>California</v>
      </c>
      <c r="E1120" s="111" t="str">
        <f t="shared" si="1118"/>
        <v>Anza</v>
      </c>
    </row>
    <row r="1121" spans="1:5">
      <c r="A1121" s="3" t="s">
        <v>4362</v>
      </c>
      <c r="B1121" s="110" t="s">
        <v>1321</v>
      </c>
      <c r="C1121" s="111" t="s">
        <v>4363</v>
      </c>
      <c r="D1121" s="111" t="str">
        <f t="shared" ref="D1121:E1121" si="1119">TRIM(B1121)</f>
        <v>California</v>
      </c>
      <c r="E1121" s="111" t="str">
        <f t="shared" si="1119"/>
        <v>Apple Valley</v>
      </c>
    </row>
    <row r="1122" spans="1:5">
      <c r="A1122" s="3" t="s">
        <v>4366</v>
      </c>
      <c r="B1122" s="110" t="s">
        <v>1321</v>
      </c>
      <c r="C1122" s="111" t="s">
        <v>4363</v>
      </c>
      <c r="D1122" s="111" t="str">
        <f t="shared" ref="D1122:E1122" si="1120">TRIM(B1122)</f>
        <v>California</v>
      </c>
      <c r="E1122" s="111" t="str">
        <f t="shared" si="1120"/>
        <v>Apple Valley</v>
      </c>
    </row>
    <row r="1123" spans="1:5">
      <c r="A1123" s="3" t="s">
        <v>4368</v>
      </c>
      <c r="B1123" s="110" t="s">
        <v>1321</v>
      </c>
      <c r="C1123" s="111" t="s">
        <v>475</v>
      </c>
      <c r="D1123" s="111" t="str">
        <f t="shared" ref="D1123:E1123" si="1121">TRIM(B1123)</f>
        <v>California</v>
      </c>
      <c r="E1123" s="111" t="str">
        <f t="shared" si="1121"/>
        <v>Aptos</v>
      </c>
    </row>
    <row r="1124" spans="1:5">
      <c r="A1124" s="110" t="s">
        <v>4369</v>
      </c>
      <c r="B1124" s="110" t="s">
        <v>1321</v>
      </c>
      <c r="C1124" s="111" t="s">
        <v>475</v>
      </c>
      <c r="D1124" s="111" t="str">
        <f t="shared" ref="D1124:E1124" si="1122">TRIM(B1124)</f>
        <v>California</v>
      </c>
      <c r="E1124" s="111" t="str">
        <f t="shared" si="1122"/>
        <v>Aptos</v>
      </c>
    </row>
    <row r="1125" spans="1:5">
      <c r="A1125" s="3" t="s">
        <v>4373</v>
      </c>
      <c r="B1125" s="110" t="s">
        <v>1321</v>
      </c>
      <c r="C1125" s="111" t="s">
        <v>4374</v>
      </c>
      <c r="D1125" s="111" t="str">
        <f t="shared" ref="D1125:E1125" si="1123">TRIM(B1125)</f>
        <v>California</v>
      </c>
      <c r="E1125" s="111" t="str">
        <f t="shared" si="1123"/>
        <v>Arbuckle</v>
      </c>
    </row>
    <row r="1126" spans="1:5">
      <c r="A1126" s="3" t="s">
        <v>2934</v>
      </c>
      <c r="B1126" s="110" t="s">
        <v>1321</v>
      </c>
      <c r="C1126" s="111" t="s">
        <v>4375</v>
      </c>
      <c r="D1126" s="111" t="str">
        <f t="shared" ref="D1126:E1126" si="1124">TRIM(B1126)</f>
        <v>California</v>
      </c>
      <c r="E1126" s="111" t="str">
        <f t="shared" si="1124"/>
        <v>Arcadia</v>
      </c>
    </row>
    <row r="1127" spans="1:5">
      <c r="A1127" s="3" t="s">
        <v>4379</v>
      </c>
      <c r="B1127" s="110" t="s">
        <v>1321</v>
      </c>
      <c r="C1127" s="111" t="s">
        <v>4380</v>
      </c>
      <c r="D1127" s="111" t="str">
        <f t="shared" ref="D1127:E1127" si="1125">TRIM(B1127)</f>
        <v>California</v>
      </c>
      <c r="E1127" s="111" t="str">
        <f t="shared" si="1125"/>
        <v>Arcata</v>
      </c>
    </row>
    <row r="1128" spans="1:5">
      <c r="A1128" s="3" t="s">
        <v>4381</v>
      </c>
      <c r="B1128" s="110" t="s">
        <v>1321</v>
      </c>
      <c r="C1128" s="111" t="s">
        <v>4380</v>
      </c>
      <c r="D1128" s="111" t="str">
        <f t="shared" ref="D1128:E1128" si="1126">TRIM(B1128)</f>
        <v>California</v>
      </c>
      <c r="E1128" s="111" t="str">
        <f t="shared" si="1126"/>
        <v>Arcata</v>
      </c>
    </row>
    <row r="1129" spans="1:5">
      <c r="A1129" s="3" t="s">
        <v>4383</v>
      </c>
      <c r="B1129" s="110" t="s">
        <v>1321</v>
      </c>
      <c r="C1129" s="111" t="s">
        <v>4380</v>
      </c>
      <c r="D1129" s="111" t="str">
        <f t="shared" ref="D1129:E1129" si="1127">TRIM(B1129)</f>
        <v>California</v>
      </c>
      <c r="E1129" s="111" t="str">
        <f t="shared" si="1127"/>
        <v>Arcata</v>
      </c>
    </row>
    <row r="1130" spans="1:5">
      <c r="A1130" s="3" t="s">
        <v>4385</v>
      </c>
      <c r="B1130" s="110" t="s">
        <v>1321</v>
      </c>
      <c r="C1130" s="111" t="s">
        <v>4386</v>
      </c>
      <c r="D1130" s="111" t="str">
        <f t="shared" ref="D1130:E1130" si="1128">TRIM(B1130)</f>
        <v>California</v>
      </c>
      <c r="E1130" s="111" t="str">
        <f t="shared" si="1128"/>
        <v>Arleta</v>
      </c>
    </row>
    <row r="1131" spans="1:5">
      <c r="A1131" s="3" t="s">
        <v>4387</v>
      </c>
      <c r="B1131" s="110" t="s">
        <v>1321</v>
      </c>
      <c r="C1131" s="111" t="s">
        <v>2653</v>
      </c>
      <c r="D1131" s="111" t="str">
        <f t="shared" ref="D1131:E1131" si="1129">TRIM(B1131)</f>
        <v>California</v>
      </c>
      <c r="E1131" s="111" t="str">
        <f t="shared" si="1129"/>
        <v>Arroyo Grande</v>
      </c>
    </row>
    <row r="1132" spans="1:5">
      <c r="A1132" s="3" t="s">
        <v>4390</v>
      </c>
      <c r="B1132" s="110" t="s">
        <v>1321</v>
      </c>
      <c r="C1132" s="111" t="s">
        <v>2653</v>
      </c>
      <c r="D1132" s="111" t="str">
        <f t="shared" ref="D1132:E1132" si="1130">TRIM(B1132)</f>
        <v>California</v>
      </c>
      <c r="E1132" s="111" t="str">
        <f t="shared" si="1130"/>
        <v>Arroyo Grande</v>
      </c>
    </row>
    <row r="1133" spans="1:5">
      <c r="A1133" s="3" t="s">
        <v>4391</v>
      </c>
      <c r="B1133" s="110" t="s">
        <v>1321</v>
      </c>
      <c r="C1133" s="111" t="s">
        <v>4392</v>
      </c>
      <c r="D1133" s="111" t="str">
        <f t="shared" ref="D1133:E1133" si="1131">TRIM(B1133)</f>
        <v>California</v>
      </c>
      <c r="E1133" s="111" t="str">
        <f t="shared" si="1131"/>
        <v>Arvin</v>
      </c>
    </row>
    <row r="1134" spans="1:5">
      <c r="A1134" s="3" t="s">
        <v>4395</v>
      </c>
      <c r="B1134" s="110" t="s">
        <v>1321</v>
      </c>
      <c r="C1134" s="111" t="s">
        <v>4396</v>
      </c>
      <c r="D1134" s="111" t="str">
        <f t="shared" ref="D1134:E1134" si="1132">TRIM(B1134)</f>
        <v>California</v>
      </c>
      <c r="E1134" s="111" t="str">
        <f t="shared" si="1132"/>
        <v>Atascadero</v>
      </c>
    </row>
    <row r="1135" spans="1:5">
      <c r="A1135" s="3" t="s">
        <v>4398</v>
      </c>
      <c r="B1135" s="110" t="s">
        <v>1321</v>
      </c>
      <c r="C1135" s="111" t="s">
        <v>4399</v>
      </c>
      <c r="D1135" s="111" t="str">
        <f t="shared" ref="D1135:E1135" si="1133">TRIM(B1135)</f>
        <v>California</v>
      </c>
      <c r="E1135" s="111" t="str">
        <f t="shared" si="1133"/>
        <v>Atherton</v>
      </c>
    </row>
    <row r="1136" spans="1:5">
      <c r="A1136" s="3" t="s">
        <v>4400</v>
      </c>
      <c r="B1136" s="110" t="s">
        <v>1321</v>
      </c>
      <c r="C1136" s="111" t="s">
        <v>4401</v>
      </c>
      <c r="D1136" s="111" t="str">
        <f t="shared" ref="D1136:E1136" si="1134">TRIM(B1136)</f>
        <v>California</v>
      </c>
      <c r="E1136" s="111" t="str">
        <f t="shared" si="1134"/>
        <v>Atwater</v>
      </c>
    </row>
    <row r="1137" spans="1:5">
      <c r="A1137" s="3" t="s">
        <v>4403</v>
      </c>
      <c r="B1137" s="110" t="s">
        <v>1321</v>
      </c>
      <c r="C1137" s="111" t="s">
        <v>4401</v>
      </c>
      <c r="D1137" s="111" t="str">
        <f t="shared" ref="D1137:E1137" si="1135">TRIM(B1137)</f>
        <v>California</v>
      </c>
      <c r="E1137" s="111" t="str">
        <f t="shared" si="1135"/>
        <v>Atwater</v>
      </c>
    </row>
    <row r="1138" spans="1:5">
      <c r="A1138" s="3" t="s">
        <v>4404</v>
      </c>
      <c r="B1138" s="110" t="s">
        <v>1321</v>
      </c>
      <c r="C1138" s="111" t="s">
        <v>211</v>
      </c>
      <c r="D1138" s="111" t="str">
        <f t="shared" ref="D1138:E1138" si="1136">TRIM(B1138)</f>
        <v>California</v>
      </c>
      <c r="E1138" s="111" t="str">
        <f t="shared" si="1136"/>
        <v>Auburn</v>
      </c>
    </row>
    <row r="1139" spans="1:5">
      <c r="A1139" s="3" t="s">
        <v>4405</v>
      </c>
      <c r="B1139" s="110" t="s">
        <v>1321</v>
      </c>
      <c r="C1139" s="111" t="s">
        <v>4407</v>
      </c>
      <c r="D1139" s="111" t="str">
        <f t="shared" ref="D1139:E1139" si="1137">TRIM(B1139)</f>
        <v>California</v>
      </c>
      <c r="E1139" s="111" t="str">
        <f t="shared" si="1137"/>
        <v>Avenal</v>
      </c>
    </row>
    <row r="1140" spans="1:5">
      <c r="A1140" s="3" t="s">
        <v>4410</v>
      </c>
      <c r="B1140" s="110" t="s">
        <v>1321</v>
      </c>
      <c r="C1140" s="111" t="s">
        <v>4411</v>
      </c>
      <c r="D1140" s="111" t="str">
        <f t="shared" ref="D1140:E1140" si="1138">TRIM(B1140)</f>
        <v>California</v>
      </c>
      <c r="E1140" s="111" t="str">
        <f t="shared" si="1138"/>
        <v>Azusa</v>
      </c>
    </row>
    <row r="1141" spans="1:5">
      <c r="A1141" s="3" t="s">
        <v>4412</v>
      </c>
      <c r="B1141" s="110" t="s">
        <v>1321</v>
      </c>
      <c r="C1141" s="111" t="s">
        <v>4411</v>
      </c>
      <c r="D1141" s="111" t="str">
        <f t="shared" ref="D1141:E1141" si="1139">TRIM(B1141)</f>
        <v>California</v>
      </c>
      <c r="E1141" s="111" t="str">
        <f t="shared" si="1139"/>
        <v>Azusa</v>
      </c>
    </row>
    <row r="1142" spans="1:5">
      <c r="A1142" s="3" t="s">
        <v>1961</v>
      </c>
      <c r="B1142" s="110" t="s">
        <v>1321</v>
      </c>
      <c r="C1142" s="111" t="s">
        <v>4415</v>
      </c>
      <c r="D1142" s="111" t="str">
        <f t="shared" ref="D1142:E1142" si="1140">TRIM(B1142)</f>
        <v>California</v>
      </c>
      <c r="E1142" s="111" t="str">
        <f t="shared" si="1140"/>
        <v>Baker</v>
      </c>
    </row>
    <row r="1143" spans="1:5">
      <c r="A1143" s="3" t="s">
        <v>4417</v>
      </c>
      <c r="B1143" s="110" t="s">
        <v>1321</v>
      </c>
      <c r="C1143" s="111" t="s">
        <v>4418</v>
      </c>
      <c r="D1143" s="111" t="str">
        <f t="shared" ref="D1143:E1143" si="1141">TRIM(B1143)</f>
        <v>California</v>
      </c>
      <c r="E1143" s="111" t="str">
        <f t="shared" si="1141"/>
        <v>Bakersfield</v>
      </c>
    </row>
    <row r="1144" spans="1:5">
      <c r="A1144" s="3" t="s">
        <v>2905</v>
      </c>
      <c r="B1144" s="110" t="s">
        <v>1321</v>
      </c>
      <c r="C1144" s="111" t="s">
        <v>4418</v>
      </c>
      <c r="D1144" s="111" t="str">
        <f t="shared" ref="D1144:E1144" si="1142">TRIM(B1144)</f>
        <v>California</v>
      </c>
      <c r="E1144" s="111" t="str">
        <f t="shared" si="1142"/>
        <v>Bakersfield</v>
      </c>
    </row>
    <row r="1145" spans="1:5">
      <c r="A1145" s="3" t="s">
        <v>4422</v>
      </c>
      <c r="B1145" s="110" t="s">
        <v>1321</v>
      </c>
      <c r="C1145" s="111" t="s">
        <v>4418</v>
      </c>
      <c r="D1145" s="111" t="str">
        <f t="shared" ref="D1145:E1145" si="1143">TRIM(B1145)</f>
        <v>California</v>
      </c>
      <c r="E1145" s="111" t="str">
        <f t="shared" si="1143"/>
        <v>Bakersfield</v>
      </c>
    </row>
    <row r="1146" spans="1:5">
      <c r="A1146" s="3" t="s">
        <v>4423</v>
      </c>
      <c r="B1146" s="110" t="s">
        <v>1321</v>
      </c>
      <c r="C1146" s="111" t="s">
        <v>4418</v>
      </c>
      <c r="D1146" s="111" t="str">
        <f t="shared" ref="D1146:E1146" si="1144">TRIM(B1146)</f>
        <v>California</v>
      </c>
      <c r="E1146" s="111" t="str">
        <f t="shared" si="1144"/>
        <v>Bakersfield</v>
      </c>
    </row>
    <row r="1147" spans="1:5">
      <c r="A1147" s="3" t="s">
        <v>4425</v>
      </c>
      <c r="B1147" s="110" t="s">
        <v>1321</v>
      </c>
      <c r="C1147" s="111" t="s">
        <v>4418</v>
      </c>
      <c r="D1147" s="111" t="str">
        <f t="shared" ref="D1147:E1147" si="1145">TRIM(B1147)</f>
        <v>California</v>
      </c>
      <c r="E1147" s="111" t="str">
        <f t="shared" si="1145"/>
        <v>Bakersfield</v>
      </c>
    </row>
    <row r="1148" spans="1:5">
      <c r="A1148" s="3" t="s">
        <v>4428</v>
      </c>
      <c r="B1148" s="110" t="s">
        <v>1321</v>
      </c>
      <c r="C1148" s="111" t="s">
        <v>4418</v>
      </c>
      <c r="D1148" s="111" t="str">
        <f t="shared" ref="D1148:E1148" si="1146">TRIM(B1148)</f>
        <v>California</v>
      </c>
      <c r="E1148" s="111" t="str">
        <f t="shared" si="1146"/>
        <v>Bakersfield</v>
      </c>
    </row>
    <row r="1149" spans="1:5">
      <c r="A1149" s="3" t="s">
        <v>2665</v>
      </c>
      <c r="B1149" s="110" t="s">
        <v>1321</v>
      </c>
      <c r="C1149" s="111" t="s">
        <v>4418</v>
      </c>
      <c r="D1149" s="111" t="str">
        <f t="shared" ref="D1149:E1149" si="1147">TRIM(B1149)</f>
        <v>California</v>
      </c>
      <c r="E1149" s="111" t="str">
        <f t="shared" si="1147"/>
        <v>Bakersfield</v>
      </c>
    </row>
    <row r="1150" spans="1:5">
      <c r="A1150" s="3" t="s">
        <v>2727</v>
      </c>
      <c r="B1150" s="110" t="s">
        <v>1321</v>
      </c>
      <c r="C1150" s="111" t="s">
        <v>4418</v>
      </c>
      <c r="D1150" s="111" t="str">
        <f t="shared" ref="D1150:E1150" si="1148">TRIM(B1150)</f>
        <v>California</v>
      </c>
      <c r="E1150" s="111" t="str">
        <f t="shared" si="1148"/>
        <v>Bakersfield</v>
      </c>
    </row>
    <row r="1151" spans="1:5">
      <c r="A1151" s="3" t="s">
        <v>2745</v>
      </c>
      <c r="B1151" s="110" t="s">
        <v>1321</v>
      </c>
      <c r="C1151" s="111" t="s">
        <v>4418</v>
      </c>
      <c r="D1151" s="111" t="str">
        <f t="shared" ref="D1151:E1151" si="1149">TRIM(B1151)</f>
        <v>California</v>
      </c>
      <c r="E1151" s="111" t="str">
        <f t="shared" si="1149"/>
        <v>Bakersfield</v>
      </c>
    </row>
    <row r="1152" spans="1:5">
      <c r="A1152" s="3" t="s">
        <v>4433</v>
      </c>
      <c r="B1152" s="110" t="s">
        <v>1321</v>
      </c>
      <c r="C1152" s="111" t="s">
        <v>4418</v>
      </c>
      <c r="D1152" s="111" t="str">
        <f t="shared" ref="D1152:E1152" si="1150">TRIM(B1152)</f>
        <v>California</v>
      </c>
      <c r="E1152" s="111" t="str">
        <f t="shared" si="1150"/>
        <v>Bakersfield</v>
      </c>
    </row>
    <row r="1153" spans="1:5">
      <c r="A1153" s="3" t="s">
        <v>3069</v>
      </c>
      <c r="B1153" s="110" t="s">
        <v>1321</v>
      </c>
      <c r="C1153" s="111" t="s">
        <v>4418</v>
      </c>
      <c r="D1153" s="111" t="str">
        <f t="shared" ref="D1153:E1153" si="1151">TRIM(B1153)</f>
        <v>California</v>
      </c>
      <c r="E1153" s="111" t="str">
        <f t="shared" si="1151"/>
        <v>Bakersfield</v>
      </c>
    </row>
    <row r="1154" spans="1:5">
      <c r="A1154" s="3" t="s">
        <v>4436</v>
      </c>
      <c r="B1154" s="110" t="s">
        <v>1321</v>
      </c>
      <c r="C1154" s="111" t="s">
        <v>4418</v>
      </c>
      <c r="D1154" s="111" t="str">
        <f t="shared" ref="D1154:E1154" si="1152">TRIM(B1154)</f>
        <v>California</v>
      </c>
      <c r="E1154" s="111" t="str">
        <f t="shared" si="1152"/>
        <v>Bakersfield</v>
      </c>
    </row>
    <row r="1155" spans="1:5">
      <c r="A1155" s="3" t="s">
        <v>4439</v>
      </c>
      <c r="B1155" s="110" t="s">
        <v>1321</v>
      </c>
      <c r="C1155" s="111" t="s">
        <v>4418</v>
      </c>
      <c r="D1155" s="111" t="str">
        <f t="shared" ref="D1155:E1155" si="1153">TRIM(B1155)</f>
        <v>California</v>
      </c>
      <c r="E1155" s="111" t="str">
        <f t="shared" si="1153"/>
        <v>Bakersfield</v>
      </c>
    </row>
    <row r="1156" spans="1:5">
      <c r="A1156" s="3" t="s">
        <v>4440</v>
      </c>
      <c r="B1156" s="110" t="s">
        <v>1321</v>
      </c>
      <c r="C1156" s="111" t="s">
        <v>4418</v>
      </c>
      <c r="D1156" s="111" t="str">
        <f t="shared" ref="D1156:E1156" si="1154">TRIM(B1156)</f>
        <v>California</v>
      </c>
      <c r="E1156" s="111" t="str">
        <f t="shared" si="1154"/>
        <v>Bakersfield</v>
      </c>
    </row>
    <row r="1157" spans="1:5">
      <c r="A1157" s="3" t="s">
        <v>2304</v>
      </c>
      <c r="B1157" s="110" t="s">
        <v>1321</v>
      </c>
      <c r="C1157" s="111" t="s">
        <v>4418</v>
      </c>
      <c r="D1157" s="111" t="str">
        <f t="shared" ref="D1157:E1157" si="1155">TRIM(B1157)</f>
        <v>California</v>
      </c>
      <c r="E1157" s="111" t="str">
        <f t="shared" si="1155"/>
        <v>Bakersfield</v>
      </c>
    </row>
    <row r="1158" spans="1:5">
      <c r="A1158" s="3" t="s">
        <v>4444</v>
      </c>
      <c r="B1158" s="110" t="s">
        <v>1321</v>
      </c>
      <c r="C1158" s="111" t="s">
        <v>4445</v>
      </c>
      <c r="D1158" s="111" t="str">
        <f t="shared" ref="D1158:E1158" si="1156">TRIM(B1158)</f>
        <v>California</v>
      </c>
      <c r="E1158" s="111" t="str">
        <f t="shared" si="1156"/>
        <v>Baldwin Park</v>
      </c>
    </row>
    <row r="1159" spans="1:5">
      <c r="A1159" s="3" t="s">
        <v>4446</v>
      </c>
      <c r="B1159" s="110" t="s">
        <v>1321</v>
      </c>
      <c r="C1159" s="111" t="s">
        <v>4445</v>
      </c>
      <c r="D1159" s="111" t="str">
        <f t="shared" ref="D1159:E1159" si="1157">TRIM(B1159)</f>
        <v>California</v>
      </c>
      <c r="E1159" s="111" t="str">
        <f t="shared" si="1157"/>
        <v>Baldwin Park</v>
      </c>
    </row>
    <row r="1160" spans="1:5">
      <c r="A1160" s="3" t="s">
        <v>4449</v>
      </c>
      <c r="B1160" s="110" t="s">
        <v>1321</v>
      </c>
      <c r="C1160" s="111" t="s">
        <v>4451</v>
      </c>
      <c r="D1160" s="111" t="str">
        <f t="shared" ref="D1160:E1160" si="1158">TRIM(B1160)</f>
        <v>California</v>
      </c>
      <c r="E1160" s="111" t="str">
        <f t="shared" si="1158"/>
        <v>Banning</v>
      </c>
    </row>
    <row r="1161" spans="1:5">
      <c r="A1161" s="3" t="s">
        <v>4452</v>
      </c>
      <c r="B1161" s="110" t="s">
        <v>1321</v>
      </c>
      <c r="C1161" s="111" t="s">
        <v>4453</v>
      </c>
      <c r="D1161" s="111" t="str">
        <f t="shared" ref="D1161:E1161" si="1159">TRIM(B1161)</f>
        <v>California</v>
      </c>
      <c r="E1161" s="111" t="str">
        <f t="shared" si="1159"/>
        <v>Barstow</v>
      </c>
    </row>
    <row r="1162" spans="1:5">
      <c r="A1162" s="3" t="s">
        <v>4454</v>
      </c>
      <c r="B1162" s="110" t="s">
        <v>1321</v>
      </c>
      <c r="C1162" s="111" t="s">
        <v>1002</v>
      </c>
      <c r="D1162" s="111" t="str">
        <f t="shared" ref="D1162:E1162" si="1160">TRIM(B1162)</f>
        <v>California</v>
      </c>
      <c r="E1162" s="111" t="str">
        <f t="shared" si="1160"/>
        <v>Beaumont</v>
      </c>
    </row>
    <row r="1163" spans="1:5">
      <c r="A1163" s="3" t="s">
        <v>4457</v>
      </c>
      <c r="B1163" s="110" t="s">
        <v>1321</v>
      </c>
      <c r="C1163" s="111" t="s">
        <v>4458</v>
      </c>
      <c r="D1163" s="111" t="str">
        <f t="shared" ref="D1163:E1163" si="1161">TRIM(B1163)</f>
        <v>California</v>
      </c>
      <c r="E1163" s="111" t="str">
        <f t="shared" si="1161"/>
        <v>Bell</v>
      </c>
    </row>
    <row r="1164" spans="1:5">
      <c r="A1164" s="3" t="s">
        <v>4459</v>
      </c>
      <c r="B1164" s="110" t="s">
        <v>1321</v>
      </c>
      <c r="C1164" s="111" t="s">
        <v>4458</v>
      </c>
      <c r="D1164" s="111" t="str">
        <f t="shared" ref="D1164:E1164" si="1162">TRIM(B1164)</f>
        <v>California</v>
      </c>
      <c r="E1164" s="111" t="str">
        <f t="shared" si="1162"/>
        <v>Bell</v>
      </c>
    </row>
    <row r="1165" spans="1:5">
      <c r="A1165" s="3" t="s">
        <v>4462</v>
      </c>
      <c r="B1165" s="110" t="s">
        <v>1321</v>
      </c>
      <c r="C1165" s="111" t="s">
        <v>4463</v>
      </c>
      <c r="D1165" s="111" t="str">
        <f t="shared" ref="D1165:E1165" si="1163">TRIM(B1165)</f>
        <v>California</v>
      </c>
      <c r="E1165" s="111" t="str">
        <f t="shared" si="1163"/>
        <v>Bell Gardens</v>
      </c>
    </row>
    <row r="1166" spans="1:5">
      <c r="A1166" s="3" t="s">
        <v>4465</v>
      </c>
      <c r="B1166" s="110" t="s">
        <v>1321</v>
      </c>
      <c r="C1166" s="111" t="s">
        <v>49</v>
      </c>
      <c r="D1166" s="111" t="str">
        <f t="shared" ref="D1166:E1166" si="1164">TRIM(B1166)</f>
        <v>California</v>
      </c>
      <c r="E1166" s="111" t="str">
        <f t="shared" si="1164"/>
        <v>Bellflower</v>
      </c>
    </row>
    <row r="1167" spans="1:5">
      <c r="A1167" s="3" t="s">
        <v>4467</v>
      </c>
      <c r="B1167" s="110" t="s">
        <v>1321</v>
      </c>
      <c r="C1167" s="111" t="s">
        <v>49</v>
      </c>
      <c r="D1167" s="111" t="str">
        <f t="shared" ref="D1167:E1167" si="1165">TRIM(B1167)</f>
        <v>California</v>
      </c>
      <c r="E1167" s="111" t="str">
        <f t="shared" si="1165"/>
        <v>Bellflower</v>
      </c>
    </row>
    <row r="1168" spans="1:5">
      <c r="A1168" s="3" t="s">
        <v>4470</v>
      </c>
      <c r="B1168" s="110" t="s">
        <v>1321</v>
      </c>
      <c r="C1168" s="111" t="s">
        <v>4471</v>
      </c>
      <c r="D1168" s="111" t="str">
        <f t="shared" ref="D1168:E1168" si="1166">TRIM(B1168)</f>
        <v>California</v>
      </c>
      <c r="E1168" s="111" t="str">
        <f t="shared" si="1166"/>
        <v>Belmont</v>
      </c>
    </row>
    <row r="1169" spans="1:5">
      <c r="A1169" s="3" t="s">
        <v>4472</v>
      </c>
      <c r="B1169" s="110" t="s">
        <v>1321</v>
      </c>
      <c r="C1169" s="111" t="s">
        <v>4473</v>
      </c>
      <c r="D1169" s="111" t="str">
        <f t="shared" ref="D1169:E1169" si="1167">TRIM(B1169)</f>
        <v>California</v>
      </c>
      <c r="E1169" s="111" t="str">
        <f t="shared" si="1167"/>
        <v>Benicia</v>
      </c>
    </row>
    <row r="1170" spans="1:5">
      <c r="A1170" s="3" t="s">
        <v>4477</v>
      </c>
      <c r="B1170" s="110" t="s">
        <v>1321</v>
      </c>
      <c r="C1170" s="111" t="s">
        <v>4478</v>
      </c>
      <c r="D1170" s="111" t="str">
        <f t="shared" ref="D1170:E1170" si="1168">TRIM(B1170)</f>
        <v>California</v>
      </c>
      <c r="E1170" s="111" t="str">
        <f t="shared" si="1168"/>
        <v>Berkeley</v>
      </c>
    </row>
    <row r="1171" spans="1:5">
      <c r="A1171" s="110" t="s">
        <v>4479</v>
      </c>
      <c r="B1171" s="110" t="s">
        <v>1321</v>
      </c>
      <c r="C1171" s="111" t="s">
        <v>4478</v>
      </c>
      <c r="D1171" s="111" t="str">
        <f t="shared" ref="D1171:E1171" si="1169">TRIM(B1171)</f>
        <v>California</v>
      </c>
      <c r="E1171" s="111" t="str">
        <f t="shared" si="1169"/>
        <v>Berkeley</v>
      </c>
    </row>
    <row r="1172" spans="1:5">
      <c r="A1172" s="3" t="s">
        <v>4482</v>
      </c>
      <c r="B1172" s="110" t="s">
        <v>1321</v>
      </c>
      <c r="C1172" s="111" t="s">
        <v>3492</v>
      </c>
      <c r="D1172" s="111" t="str">
        <f t="shared" ref="D1172:E1172" si="1170">TRIM(B1172)</f>
        <v>California</v>
      </c>
      <c r="E1172" s="111" t="str">
        <f t="shared" si="1170"/>
        <v>Beverly Hills</v>
      </c>
    </row>
    <row r="1173" spans="1:5">
      <c r="A1173" s="3" t="s">
        <v>4484</v>
      </c>
      <c r="B1173" s="110" t="s">
        <v>1321</v>
      </c>
      <c r="C1173" s="111" t="s">
        <v>4485</v>
      </c>
      <c r="D1173" s="111" t="str">
        <f t="shared" ref="D1173:E1173" si="1171">TRIM(B1173)</f>
        <v>California</v>
      </c>
      <c r="E1173" s="111" t="str">
        <f t="shared" si="1171"/>
        <v>Bieber</v>
      </c>
    </row>
    <row r="1174" spans="1:5">
      <c r="A1174" s="3" t="s">
        <v>4486</v>
      </c>
      <c r="B1174" s="110" t="s">
        <v>1321</v>
      </c>
      <c r="C1174" s="111" t="s">
        <v>4487</v>
      </c>
      <c r="D1174" s="111" t="str">
        <f t="shared" ref="D1174:E1174" si="1172">TRIM(B1174)</f>
        <v>California</v>
      </c>
      <c r="E1174" s="111" t="str">
        <f t="shared" si="1172"/>
        <v>Big Bear Lake</v>
      </c>
    </row>
    <row r="1175" spans="1:5">
      <c r="A1175" s="3" t="s">
        <v>4488</v>
      </c>
      <c r="B1175" s="110" t="s">
        <v>1321</v>
      </c>
      <c r="C1175" s="111" t="s">
        <v>4489</v>
      </c>
      <c r="D1175" s="111" t="str">
        <f t="shared" ref="D1175:E1175" si="1173">TRIM(B1175)</f>
        <v>California</v>
      </c>
      <c r="E1175" s="111" t="str">
        <f t="shared" si="1173"/>
        <v>Big Pine</v>
      </c>
    </row>
    <row r="1176" spans="1:5">
      <c r="A1176" s="3" t="s">
        <v>4491</v>
      </c>
      <c r="B1176" s="110" t="s">
        <v>1321</v>
      </c>
      <c r="C1176" s="111" t="s">
        <v>4492</v>
      </c>
      <c r="D1176" s="111" t="str">
        <f t="shared" ref="D1176:E1176" si="1174">TRIM(B1176)</f>
        <v>California</v>
      </c>
      <c r="E1176" s="111" t="str">
        <f t="shared" si="1174"/>
        <v>Biggs</v>
      </c>
    </row>
    <row r="1177" spans="1:5">
      <c r="A1177" s="3" t="s">
        <v>4494</v>
      </c>
      <c r="B1177" s="110" t="s">
        <v>1321</v>
      </c>
      <c r="C1177" s="111" t="s">
        <v>4495</v>
      </c>
      <c r="D1177" s="111" t="str">
        <f t="shared" ref="D1177:E1177" si="1175">TRIM(B1177)</f>
        <v>California</v>
      </c>
      <c r="E1177" s="111" t="str">
        <f t="shared" si="1175"/>
        <v>Bishop</v>
      </c>
    </row>
    <row r="1178" spans="1:5">
      <c r="A1178" s="3" t="s">
        <v>4496</v>
      </c>
      <c r="B1178" s="110" t="s">
        <v>1321</v>
      </c>
      <c r="C1178" s="111" t="s">
        <v>1004</v>
      </c>
      <c r="D1178" s="111" t="str">
        <f t="shared" ref="D1178:E1178" si="1176">TRIM(B1178)</f>
        <v>California</v>
      </c>
      <c r="E1178" s="111" t="str">
        <f t="shared" si="1176"/>
        <v>Bloomington</v>
      </c>
    </row>
    <row r="1179" spans="1:5">
      <c r="A1179" s="3" t="s">
        <v>4498</v>
      </c>
      <c r="B1179" s="110" t="s">
        <v>1321</v>
      </c>
      <c r="C1179" s="111" t="s">
        <v>4499</v>
      </c>
      <c r="D1179" s="111" t="str">
        <f t="shared" ref="D1179:E1179" si="1177">TRIM(B1179)</f>
        <v>California</v>
      </c>
      <c r="E1179" s="111" t="str">
        <f t="shared" si="1177"/>
        <v>Blythe</v>
      </c>
    </row>
    <row r="1180" spans="1:5">
      <c r="A1180" s="3" t="s">
        <v>4501</v>
      </c>
      <c r="B1180" s="110" t="s">
        <v>1321</v>
      </c>
      <c r="C1180" s="111" t="s">
        <v>4502</v>
      </c>
      <c r="D1180" s="111" t="str">
        <f t="shared" ref="D1180:E1180" si="1178">TRIM(B1180)</f>
        <v>California</v>
      </c>
      <c r="E1180" s="111" t="str">
        <f t="shared" si="1178"/>
        <v>Bonsall</v>
      </c>
    </row>
    <row r="1181" spans="1:5">
      <c r="A1181" s="3" t="s">
        <v>4503</v>
      </c>
      <c r="B1181" s="110" t="s">
        <v>1321</v>
      </c>
      <c r="C1181" s="111" t="s">
        <v>4505</v>
      </c>
      <c r="D1181" s="111" t="str">
        <f t="shared" ref="D1181:E1181" si="1179">TRIM(B1181)</f>
        <v>California</v>
      </c>
      <c r="E1181" s="111" t="str">
        <f t="shared" si="1179"/>
        <v>Boonville</v>
      </c>
    </row>
    <row r="1182" spans="1:5">
      <c r="A1182" s="3" t="s">
        <v>4507</v>
      </c>
      <c r="B1182" s="110" t="s">
        <v>1321</v>
      </c>
      <c r="C1182" s="111" t="s">
        <v>4508</v>
      </c>
      <c r="D1182" s="111" t="str">
        <f t="shared" ref="D1182:E1182" si="1180">TRIM(B1182)</f>
        <v>California</v>
      </c>
      <c r="E1182" s="111" t="str">
        <f t="shared" si="1180"/>
        <v>Boron</v>
      </c>
    </row>
    <row r="1183" spans="1:5">
      <c r="A1183" s="3" t="s">
        <v>4509</v>
      </c>
      <c r="B1183" s="110" t="s">
        <v>1321</v>
      </c>
      <c r="C1183" s="111" t="s">
        <v>4510</v>
      </c>
      <c r="D1183" s="111" t="str">
        <f t="shared" ref="D1183:E1183" si="1181">TRIM(B1183)</f>
        <v>California</v>
      </c>
      <c r="E1183" s="111" t="str">
        <f t="shared" si="1181"/>
        <v>Borrego Springs</v>
      </c>
    </row>
    <row r="1184" spans="1:5">
      <c r="A1184" s="3" t="s">
        <v>4514</v>
      </c>
      <c r="B1184" s="110" t="s">
        <v>1321</v>
      </c>
      <c r="C1184" s="111" t="s">
        <v>4515</v>
      </c>
      <c r="D1184" s="111" t="str">
        <f t="shared" ref="D1184:E1184" si="1182">TRIM(B1184)</f>
        <v>California</v>
      </c>
      <c r="E1184" s="111" t="str">
        <f t="shared" si="1182"/>
        <v>Brawley</v>
      </c>
    </row>
    <row r="1185" spans="1:5">
      <c r="A1185" s="3" t="s">
        <v>4517</v>
      </c>
      <c r="B1185" s="110" t="s">
        <v>1321</v>
      </c>
      <c r="C1185" s="111" t="s">
        <v>4518</v>
      </c>
      <c r="D1185" s="111" t="str">
        <f t="shared" ref="D1185:E1185" si="1183">TRIM(B1185)</f>
        <v>California</v>
      </c>
      <c r="E1185" s="111" t="str">
        <f t="shared" si="1183"/>
        <v>Brea</v>
      </c>
    </row>
    <row r="1186" spans="1:5">
      <c r="A1186" s="3" t="s">
        <v>4519</v>
      </c>
      <c r="B1186" s="110" t="s">
        <v>1321</v>
      </c>
      <c r="C1186" s="111" t="s">
        <v>3554</v>
      </c>
      <c r="D1186" s="111" t="str">
        <f t="shared" ref="D1186:E1186" si="1184">TRIM(B1186)</f>
        <v>California</v>
      </c>
      <c r="E1186" s="111" t="str">
        <f t="shared" si="1184"/>
        <v>Brentwood</v>
      </c>
    </row>
    <row r="1187" spans="1:5">
      <c r="A1187" s="3" t="s">
        <v>2745</v>
      </c>
      <c r="B1187" s="110" t="s">
        <v>1321</v>
      </c>
      <c r="C1187" s="111" t="s">
        <v>3554</v>
      </c>
      <c r="D1187" s="111" t="str">
        <f t="shared" ref="D1187:E1187" si="1185">TRIM(B1187)</f>
        <v>California</v>
      </c>
      <c r="E1187" s="111" t="str">
        <f t="shared" si="1185"/>
        <v>Brentwood</v>
      </c>
    </row>
    <row r="1188" spans="1:5">
      <c r="A1188" s="3" t="s">
        <v>4523</v>
      </c>
      <c r="B1188" s="110" t="s">
        <v>1321</v>
      </c>
      <c r="C1188" s="111" t="s">
        <v>4524</v>
      </c>
      <c r="D1188" s="111" t="str">
        <f t="shared" ref="D1188:E1188" si="1186">TRIM(B1188)</f>
        <v>California</v>
      </c>
      <c r="E1188" s="111" t="str">
        <f t="shared" si="1186"/>
        <v>Buena Park</v>
      </c>
    </row>
    <row r="1189" spans="1:5">
      <c r="A1189" s="3" t="s">
        <v>4525</v>
      </c>
      <c r="B1189" s="110" t="s">
        <v>1321</v>
      </c>
      <c r="C1189" s="111" t="s">
        <v>4526</v>
      </c>
      <c r="D1189" s="111" t="str">
        <f t="shared" ref="D1189:E1189" si="1187">TRIM(B1189)</f>
        <v>California</v>
      </c>
      <c r="E1189" s="111" t="str">
        <f t="shared" si="1187"/>
        <v>Burbank</v>
      </c>
    </row>
    <row r="1190" spans="1:5">
      <c r="A1190" s="3" t="s">
        <v>4527</v>
      </c>
      <c r="B1190" s="110" t="s">
        <v>1321</v>
      </c>
      <c r="C1190" s="111" t="s">
        <v>4526</v>
      </c>
      <c r="D1190" s="111" t="str">
        <f t="shared" ref="D1190:E1190" si="1188">TRIM(B1190)</f>
        <v>California</v>
      </c>
      <c r="E1190" s="111" t="str">
        <f t="shared" si="1188"/>
        <v>Burbank</v>
      </c>
    </row>
    <row r="1191" spans="1:5">
      <c r="A1191" s="3" t="s">
        <v>4529</v>
      </c>
      <c r="B1191" s="110" t="s">
        <v>1321</v>
      </c>
      <c r="C1191" s="111" t="s">
        <v>4526</v>
      </c>
      <c r="D1191" s="111" t="str">
        <f t="shared" ref="D1191:E1191" si="1189">TRIM(B1191)</f>
        <v>California</v>
      </c>
      <c r="E1191" s="111" t="str">
        <f t="shared" si="1189"/>
        <v>Burbank</v>
      </c>
    </row>
    <row r="1192" spans="1:5">
      <c r="A1192" s="3" t="s">
        <v>4530</v>
      </c>
      <c r="B1192" s="110" t="s">
        <v>1321</v>
      </c>
      <c r="C1192" s="111" t="s">
        <v>4526</v>
      </c>
      <c r="D1192" s="111" t="str">
        <f t="shared" ref="D1192:E1192" si="1190">TRIM(B1192)</f>
        <v>California</v>
      </c>
      <c r="E1192" s="111" t="str">
        <f t="shared" si="1190"/>
        <v>Burbank</v>
      </c>
    </row>
    <row r="1193" spans="1:5">
      <c r="A1193" s="3" t="s">
        <v>4533</v>
      </c>
      <c r="B1193" s="110" t="s">
        <v>1321</v>
      </c>
      <c r="C1193" s="111" t="s">
        <v>4526</v>
      </c>
      <c r="D1193" s="111" t="str">
        <f t="shared" ref="D1193:E1193" si="1191">TRIM(B1193)</f>
        <v>California</v>
      </c>
      <c r="E1193" s="111" t="str">
        <f t="shared" si="1191"/>
        <v>Burbank</v>
      </c>
    </row>
    <row r="1194" spans="1:5">
      <c r="A1194" s="3" t="s">
        <v>4534</v>
      </c>
      <c r="B1194" s="110" t="s">
        <v>1321</v>
      </c>
      <c r="C1194" s="111" t="s">
        <v>4526</v>
      </c>
      <c r="D1194" s="111" t="str">
        <f t="shared" ref="D1194:E1194" si="1192">TRIM(B1194)</f>
        <v>California</v>
      </c>
      <c r="E1194" s="111" t="str">
        <f t="shared" si="1192"/>
        <v>Burbank</v>
      </c>
    </row>
    <row r="1195" spans="1:5">
      <c r="A1195" s="3" t="s">
        <v>4537</v>
      </c>
      <c r="B1195" s="110" t="s">
        <v>1321</v>
      </c>
      <c r="C1195" s="111" t="s">
        <v>4526</v>
      </c>
      <c r="D1195" s="111" t="str">
        <f t="shared" ref="D1195:E1195" si="1193">TRIM(B1195)</f>
        <v>California</v>
      </c>
      <c r="E1195" s="111" t="str">
        <f t="shared" si="1193"/>
        <v>Burbank</v>
      </c>
    </row>
    <row r="1196" spans="1:5">
      <c r="A1196" s="3" t="s">
        <v>4539</v>
      </c>
      <c r="B1196" s="110" t="s">
        <v>1321</v>
      </c>
      <c r="C1196" s="111" t="s">
        <v>4526</v>
      </c>
      <c r="D1196" s="111" t="str">
        <f t="shared" ref="D1196:E1196" si="1194">TRIM(B1196)</f>
        <v>California</v>
      </c>
      <c r="E1196" s="111" t="str">
        <f t="shared" si="1194"/>
        <v>Burbank</v>
      </c>
    </row>
    <row r="1197" spans="1:5">
      <c r="A1197" s="3" t="s">
        <v>4540</v>
      </c>
      <c r="B1197" s="110" t="s">
        <v>1321</v>
      </c>
      <c r="C1197" s="111" t="s">
        <v>4542</v>
      </c>
      <c r="D1197" s="111" t="str">
        <f t="shared" ref="D1197:E1197" si="1195">TRIM(B1197)</f>
        <v>California</v>
      </c>
      <c r="E1197" s="111" t="str">
        <f t="shared" si="1195"/>
        <v>Burlingame</v>
      </c>
    </row>
    <row r="1198" spans="1:5">
      <c r="A1198" s="3" t="s">
        <v>4544</v>
      </c>
      <c r="B1198" s="110" t="s">
        <v>1321</v>
      </c>
      <c r="C1198" s="111" t="s">
        <v>4546</v>
      </c>
      <c r="D1198" s="111" t="str">
        <f t="shared" ref="D1198:E1198" si="1196">TRIM(B1198)</f>
        <v>California</v>
      </c>
      <c r="E1198" s="111" t="str">
        <f t="shared" si="1196"/>
        <v>Burney</v>
      </c>
    </row>
    <row r="1199" spans="1:5">
      <c r="A1199" s="3" t="s">
        <v>4547</v>
      </c>
      <c r="B1199" s="110" t="s">
        <v>1321</v>
      </c>
      <c r="C1199" s="111" t="s">
        <v>4548</v>
      </c>
      <c r="D1199" s="111" t="str">
        <f t="shared" ref="D1199:E1199" si="1197">TRIM(B1199)</f>
        <v>California</v>
      </c>
      <c r="E1199" s="111" t="str">
        <f t="shared" si="1197"/>
        <v>Calabasas</v>
      </c>
    </row>
    <row r="1200" spans="1:5">
      <c r="A1200" s="3" t="s">
        <v>4551</v>
      </c>
      <c r="B1200" s="110" t="s">
        <v>1321</v>
      </c>
      <c r="C1200" s="111" t="s">
        <v>4553</v>
      </c>
      <c r="D1200" s="111" t="str">
        <f t="shared" ref="D1200:E1200" si="1198">TRIM(B1200)</f>
        <v>California</v>
      </c>
      <c r="E1200" s="111" t="str">
        <f t="shared" si="1198"/>
        <v>Calexico</v>
      </c>
    </row>
    <row r="1201" spans="1:5">
      <c r="A1201" s="3" t="s">
        <v>4555</v>
      </c>
      <c r="B1201" s="110" t="s">
        <v>1321</v>
      </c>
      <c r="C1201" s="111" t="s">
        <v>4556</v>
      </c>
      <c r="D1201" s="111" t="str">
        <f t="shared" ref="D1201:E1201" si="1199">TRIM(B1201)</f>
        <v>California</v>
      </c>
      <c r="E1201" s="111" t="str">
        <f t="shared" si="1199"/>
        <v>California City</v>
      </c>
    </row>
    <row r="1202" spans="1:5">
      <c r="A1202" s="3" t="s">
        <v>4560</v>
      </c>
      <c r="B1202" s="110" t="s">
        <v>1321</v>
      </c>
      <c r="C1202" s="111" t="s">
        <v>4561</v>
      </c>
      <c r="D1202" s="111" t="str">
        <f t="shared" ref="D1202:E1202" si="1200">TRIM(B1202)</f>
        <v>California</v>
      </c>
      <c r="E1202" s="111" t="str">
        <f t="shared" si="1200"/>
        <v>Calipatria</v>
      </c>
    </row>
    <row r="1203" spans="1:5">
      <c r="A1203" s="3" t="s">
        <v>4562</v>
      </c>
      <c r="B1203" s="110" t="s">
        <v>1321</v>
      </c>
      <c r="C1203" s="111" t="s">
        <v>4563</v>
      </c>
      <c r="D1203" s="111" t="str">
        <f t="shared" ref="D1203:E1203" si="1201">TRIM(B1203)</f>
        <v>California</v>
      </c>
      <c r="E1203" s="111" t="str">
        <f t="shared" si="1201"/>
        <v>Calistoga</v>
      </c>
    </row>
    <row r="1204" spans="1:5">
      <c r="A1204" s="3" t="s">
        <v>4566</v>
      </c>
      <c r="B1204" s="110" t="s">
        <v>1321</v>
      </c>
      <c r="C1204" s="111" t="s">
        <v>4568</v>
      </c>
      <c r="D1204" s="111" t="str">
        <f t="shared" ref="D1204:E1204" si="1202">TRIM(B1204)</f>
        <v>California</v>
      </c>
      <c r="E1204" s="111" t="str">
        <f t="shared" si="1202"/>
        <v>Camarillo</v>
      </c>
    </row>
    <row r="1205" spans="1:5">
      <c r="A1205" s="3" t="s">
        <v>4569</v>
      </c>
      <c r="B1205" s="110" t="s">
        <v>1321</v>
      </c>
      <c r="C1205" s="111" t="s">
        <v>4568</v>
      </c>
      <c r="D1205" s="111" t="str">
        <f t="shared" ref="D1205:E1205" si="1203">TRIM(B1205)</f>
        <v>California</v>
      </c>
      <c r="E1205" s="111" t="str">
        <f t="shared" si="1203"/>
        <v>Camarillo</v>
      </c>
    </row>
    <row r="1206" spans="1:5">
      <c r="A1206" s="3" t="s">
        <v>4572</v>
      </c>
      <c r="B1206" s="110" t="s">
        <v>1321</v>
      </c>
      <c r="C1206" s="111" t="s">
        <v>4568</v>
      </c>
      <c r="D1206" s="111" t="str">
        <f t="shared" ref="D1206:E1206" si="1204">TRIM(B1206)</f>
        <v>California</v>
      </c>
      <c r="E1206" s="111" t="str">
        <f t="shared" si="1204"/>
        <v>Camarillo</v>
      </c>
    </row>
    <row r="1207" spans="1:5">
      <c r="A1207" s="3" t="s">
        <v>4574</v>
      </c>
      <c r="B1207" s="110" t="s">
        <v>1321</v>
      </c>
      <c r="C1207" s="111" t="s">
        <v>4575</v>
      </c>
      <c r="D1207" s="111" t="str">
        <f t="shared" ref="D1207:E1207" si="1205">TRIM(B1207)</f>
        <v>California</v>
      </c>
      <c r="E1207" s="111" t="str">
        <f t="shared" si="1205"/>
        <v>Cambria</v>
      </c>
    </row>
    <row r="1208" spans="1:5">
      <c r="A1208" s="3" t="s">
        <v>4577</v>
      </c>
      <c r="B1208" s="110" t="s">
        <v>1321</v>
      </c>
      <c r="C1208" s="111" t="s">
        <v>4578</v>
      </c>
      <c r="D1208" s="111" t="str">
        <f t="shared" ref="D1208:E1208" si="1206">TRIM(B1208)</f>
        <v>California</v>
      </c>
      <c r="E1208" s="111" t="str">
        <f t="shared" si="1206"/>
        <v>Campbell</v>
      </c>
    </row>
    <row r="1209" spans="1:5">
      <c r="A1209" s="3" t="s">
        <v>4581</v>
      </c>
      <c r="B1209" s="110" t="s">
        <v>1321</v>
      </c>
      <c r="C1209" s="111" t="s">
        <v>4582</v>
      </c>
      <c r="D1209" s="111" t="str">
        <f t="shared" ref="D1209:E1209" si="1207">TRIM(B1209)</f>
        <v>California</v>
      </c>
      <c r="E1209" s="111" t="str">
        <f t="shared" si="1207"/>
        <v>Canoga Park</v>
      </c>
    </row>
    <row r="1210" spans="1:5">
      <c r="A1210" s="3" t="s">
        <v>4334</v>
      </c>
      <c r="B1210" s="110" t="s">
        <v>1321</v>
      </c>
      <c r="C1210" s="111" t="s">
        <v>4584</v>
      </c>
      <c r="D1210" s="111" t="str">
        <f t="shared" ref="D1210:E1210" si="1208">TRIM(B1210)</f>
        <v>California</v>
      </c>
      <c r="E1210" s="111" t="str">
        <f t="shared" si="1208"/>
        <v>Canyon Country</v>
      </c>
    </row>
    <row r="1211" spans="1:5">
      <c r="A1211" s="3" t="s">
        <v>4586</v>
      </c>
      <c r="B1211" s="110" t="s">
        <v>1321</v>
      </c>
      <c r="C1211" s="111" t="s">
        <v>514</v>
      </c>
      <c r="D1211" s="111" t="str">
        <f t="shared" ref="D1211:E1211" si="1209">TRIM(B1211)</f>
        <v>California</v>
      </c>
      <c r="E1211" s="111" t="str">
        <f t="shared" si="1209"/>
        <v>Carlsbad</v>
      </c>
    </row>
    <row r="1212" spans="1:5">
      <c r="A1212" s="3" t="s">
        <v>4587</v>
      </c>
      <c r="B1212" s="110" t="s">
        <v>1321</v>
      </c>
      <c r="C1212" s="111" t="s">
        <v>514</v>
      </c>
      <c r="D1212" s="111" t="str">
        <f t="shared" ref="D1212:E1212" si="1210">TRIM(B1212)</f>
        <v>California</v>
      </c>
      <c r="E1212" s="111" t="str">
        <f t="shared" si="1210"/>
        <v>Carlsbad</v>
      </c>
    </row>
    <row r="1213" spans="1:5">
      <c r="A1213" s="3" t="s">
        <v>4590</v>
      </c>
      <c r="B1213" s="110" t="s">
        <v>1321</v>
      </c>
      <c r="C1213" s="111" t="s">
        <v>542</v>
      </c>
      <c r="D1213" s="111" t="str">
        <f t="shared" ref="D1213:E1213" si="1211">TRIM(B1213)</f>
        <v>California</v>
      </c>
      <c r="E1213" s="111" t="str">
        <f t="shared" si="1211"/>
        <v>Carmel</v>
      </c>
    </row>
    <row r="1214" spans="1:5">
      <c r="A1214" s="3" t="s">
        <v>4592</v>
      </c>
      <c r="B1214" s="110" t="s">
        <v>1321</v>
      </c>
      <c r="C1214" s="111" t="s">
        <v>4593</v>
      </c>
      <c r="D1214" s="111" t="str">
        <f t="shared" ref="D1214:E1214" si="1212">TRIM(B1214)</f>
        <v>California</v>
      </c>
      <c r="E1214" s="111" t="str">
        <f t="shared" si="1212"/>
        <v>Carpinteria</v>
      </c>
    </row>
    <row r="1215" spans="1:5">
      <c r="A1215" s="3" t="s">
        <v>4596</v>
      </c>
      <c r="B1215" s="110" t="s">
        <v>1321</v>
      </c>
      <c r="C1215" s="111" t="s">
        <v>4597</v>
      </c>
      <c r="D1215" s="111" t="str">
        <f t="shared" ref="D1215:E1215" si="1213">TRIM(B1215)</f>
        <v>California</v>
      </c>
      <c r="E1215" s="111" t="str">
        <f t="shared" si="1213"/>
        <v>Carson</v>
      </c>
    </row>
    <row r="1216" spans="1:5">
      <c r="A1216" s="3" t="s">
        <v>4598</v>
      </c>
      <c r="B1216" s="110" t="s">
        <v>1321</v>
      </c>
      <c r="C1216" s="111" t="s">
        <v>4597</v>
      </c>
      <c r="D1216" s="111" t="str">
        <f t="shared" ref="D1216:E1216" si="1214">TRIM(B1216)</f>
        <v>California</v>
      </c>
      <c r="E1216" s="111" t="str">
        <f t="shared" si="1214"/>
        <v>Carson</v>
      </c>
    </row>
    <row r="1217" spans="1:5">
      <c r="A1217" s="3" t="s">
        <v>4601</v>
      </c>
      <c r="B1217" s="110" t="s">
        <v>1321</v>
      </c>
      <c r="C1217" s="111" t="s">
        <v>4597</v>
      </c>
      <c r="D1217" s="111" t="str">
        <f t="shared" ref="D1217:E1217" si="1215">TRIM(B1217)</f>
        <v>California</v>
      </c>
      <c r="E1217" s="111" t="str">
        <f t="shared" si="1215"/>
        <v>Carson</v>
      </c>
    </row>
    <row r="1218" spans="1:5">
      <c r="A1218" s="3" t="s">
        <v>4603</v>
      </c>
      <c r="B1218" s="110" t="s">
        <v>1321</v>
      </c>
      <c r="C1218" s="111" t="s">
        <v>4597</v>
      </c>
      <c r="D1218" s="111" t="str">
        <f t="shared" ref="D1218:E1218" si="1216">TRIM(B1218)</f>
        <v>California</v>
      </c>
      <c r="E1218" s="111" t="str">
        <f t="shared" si="1216"/>
        <v>Carson</v>
      </c>
    </row>
    <row r="1219" spans="1:5">
      <c r="A1219" s="3" t="s">
        <v>4605</v>
      </c>
      <c r="B1219" s="110" t="s">
        <v>1321</v>
      </c>
      <c r="C1219" s="111" t="s">
        <v>4597</v>
      </c>
      <c r="D1219" s="111" t="str">
        <f t="shared" ref="D1219:E1219" si="1217">TRIM(B1219)</f>
        <v>California</v>
      </c>
      <c r="E1219" s="111" t="str">
        <f t="shared" si="1217"/>
        <v>Carson</v>
      </c>
    </row>
    <row r="1220" spans="1:5">
      <c r="A1220" s="3" t="s">
        <v>4607</v>
      </c>
      <c r="B1220" s="110" t="s">
        <v>1321</v>
      </c>
      <c r="C1220" s="111" t="s">
        <v>4608</v>
      </c>
      <c r="D1220" s="111" t="str">
        <f t="shared" ref="D1220:E1220" si="1218">TRIM(B1220)</f>
        <v>California</v>
      </c>
      <c r="E1220" s="111" t="str">
        <f t="shared" si="1218"/>
        <v>Caruthers</v>
      </c>
    </row>
    <row r="1221" spans="1:5">
      <c r="A1221" s="3" t="s">
        <v>4609</v>
      </c>
      <c r="B1221" s="110" t="s">
        <v>1321</v>
      </c>
      <c r="C1221" s="111" t="s">
        <v>4610</v>
      </c>
      <c r="D1221" s="111" t="str">
        <f t="shared" ref="D1221:E1221" si="1219">TRIM(B1221)</f>
        <v>California</v>
      </c>
      <c r="E1221" s="111" t="str">
        <f t="shared" si="1219"/>
        <v>Castro Valley</v>
      </c>
    </row>
    <row r="1222" spans="1:5">
      <c r="A1222" s="3" t="s">
        <v>4612</v>
      </c>
      <c r="B1222" s="110" t="s">
        <v>1321</v>
      </c>
      <c r="C1222" s="111" t="s">
        <v>4613</v>
      </c>
      <c r="D1222" s="111" t="str">
        <f t="shared" ref="D1222:E1222" si="1220">TRIM(B1222)</f>
        <v>California</v>
      </c>
      <c r="E1222" s="111" t="str">
        <f t="shared" si="1220"/>
        <v>Castroville</v>
      </c>
    </row>
    <row r="1223" spans="1:5">
      <c r="A1223" s="3" t="s">
        <v>4615</v>
      </c>
      <c r="B1223" s="110" t="s">
        <v>1321</v>
      </c>
      <c r="C1223" s="111" t="s">
        <v>4616</v>
      </c>
      <c r="D1223" s="111" t="str">
        <f t="shared" ref="D1223:E1223" si="1221">TRIM(B1223)</f>
        <v>California</v>
      </c>
      <c r="E1223" s="111" t="str">
        <f t="shared" si="1221"/>
        <v>Cathedral City</v>
      </c>
    </row>
    <row r="1224" spans="1:5">
      <c r="A1224" s="3" t="s">
        <v>4617</v>
      </c>
      <c r="B1224" s="110" t="s">
        <v>1321</v>
      </c>
      <c r="C1224" s="111" t="s">
        <v>3676</v>
      </c>
      <c r="D1224" s="111" t="str">
        <f t="shared" ref="D1224:E1224" si="1222">TRIM(B1224)</f>
        <v>California</v>
      </c>
      <c r="E1224" s="111" t="str">
        <f t="shared" si="1222"/>
        <v>Cedarville</v>
      </c>
    </row>
    <row r="1225" spans="1:5">
      <c r="A1225" s="3" t="s">
        <v>4620</v>
      </c>
      <c r="B1225" s="110" t="s">
        <v>1321</v>
      </c>
      <c r="C1225" s="111" t="s">
        <v>4621</v>
      </c>
      <c r="D1225" s="111" t="str">
        <f t="shared" ref="D1225:E1225" si="1223">TRIM(B1225)</f>
        <v>California</v>
      </c>
      <c r="E1225" s="111" t="str">
        <f t="shared" si="1223"/>
        <v>Ceres</v>
      </c>
    </row>
    <row r="1226" spans="1:5">
      <c r="A1226" s="3" t="s">
        <v>4623</v>
      </c>
      <c r="B1226" s="110" t="s">
        <v>1321</v>
      </c>
      <c r="C1226" s="111" t="s">
        <v>4621</v>
      </c>
      <c r="D1226" s="111" t="str">
        <f t="shared" ref="D1226:E1226" si="1224">TRIM(B1226)</f>
        <v>California</v>
      </c>
      <c r="E1226" s="111" t="str">
        <f t="shared" si="1224"/>
        <v>Ceres</v>
      </c>
    </row>
    <row r="1227" spans="1:5">
      <c r="A1227" s="3" t="s">
        <v>4624</v>
      </c>
      <c r="B1227" s="110" t="s">
        <v>1321</v>
      </c>
      <c r="C1227" s="111" t="s">
        <v>4621</v>
      </c>
      <c r="D1227" s="111" t="str">
        <f t="shared" ref="D1227:E1227" si="1225">TRIM(B1227)</f>
        <v>California</v>
      </c>
      <c r="E1227" s="111" t="str">
        <f t="shared" si="1225"/>
        <v>Ceres</v>
      </c>
    </row>
    <row r="1228" spans="1:5">
      <c r="A1228" s="3" t="s">
        <v>4627</v>
      </c>
      <c r="B1228" s="110" t="s">
        <v>1321</v>
      </c>
      <c r="C1228" s="111" t="s">
        <v>4629</v>
      </c>
      <c r="D1228" s="111" t="str">
        <f t="shared" ref="D1228:E1228" si="1226">TRIM(B1228)</f>
        <v>California</v>
      </c>
      <c r="E1228" s="111" t="str">
        <f t="shared" si="1226"/>
        <v>Cerritos</v>
      </c>
    </row>
    <row r="1229" spans="1:5">
      <c r="A1229" s="3" t="s">
        <v>4630</v>
      </c>
      <c r="B1229" s="110" t="s">
        <v>1321</v>
      </c>
      <c r="C1229" s="111" t="s">
        <v>4629</v>
      </c>
      <c r="D1229" s="111" t="str">
        <f t="shared" ref="D1229:E1229" si="1227">TRIM(B1229)</f>
        <v>California</v>
      </c>
      <c r="E1229" s="111" t="str">
        <f t="shared" si="1227"/>
        <v>Cerritos</v>
      </c>
    </row>
    <row r="1230" spans="1:5">
      <c r="A1230" s="3" t="s">
        <v>4632</v>
      </c>
      <c r="B1230" s="110" t="s">
        <v>1321</v>
      </c>
      <c r="C1230" s="111" t="s">
        <v>4629</v>
      </c>
      <c r="D1230" s="111" t="str">
        <f t="shared" ref="D1230:E1230" si="1228">TRIM(B1230)</f>
        <v>California</v>
      </c>
      <c r="E1230" s="111" t="str">
        <f t="shared" si="1228"/>
        <v>Cerritos</v>
      </c>
    </row>
    <row r="1231" spans="1:5">
      <c r="A1231" s="3" t="s">
        <v>4634</v>
      </c>
      <c r="B1231" s="110" t="s">
        <v>1321</v>
      </c>
      <c r="C1231" s="111" t="s">
        <v>589</v>
      </c>
      <c r="D1231" s="111" t="str">
        <f t="shared" ref="D1231:E1231" si="1229">TRIM(B1231)</f>
        <v>California</v>
      </c>
      <c r="E1231" s="111" t="str">
        <f t="shared" si="1229"/>
        <v>Chatsworth</v>
      </c>
    </row>
    <row r="1232" spans="1:5">
      <c r="A1232" s="3" t="s">
        <v>4636</v>
      </c>
      <c r="B1232" s="110" t="s">
        <v>1321</v>
      </c>
      <c r="C1232" s="111" t="s">
        <v>2262</v>
      </c>
      <c r="D1232" s="111" t="str">
        <f t="shared" ref="D1232:E1232" si="1230">TRIM(B1232)</f>
        <v>California</v>
      </c>
      <c r="E1232" s="111" t="str">
        <f t="shared" si="1230"/>
        <v>Chester</v>
      </c>
    </row>
    <row r="1233" spans="1:5">
      <c r="A1233" s="3" t="s">
        <v>4639</v>
      </c>
      <c r="B1233" s="110" t="s">
        <v>1321</v>
      </c>
      <c r="C1233" s="111" t="s">
        <v>4640</v>
      </c>
      <c r="D1233" s="111" t="str">
        <f t="shared" ref="D1233:E1233" si="1231">TRIM(B1233)</f>
        <v>California</v>
      </c>
      <c r="E1233" s="111" t="str">
        <f t="shared" si="1231"/>
        <v>Chico</v>
      </c>
    </row>
    <row r="1234" spans="1:5">
      <c r="A1234" s="110" t="s">
        <v>4642</v>
      </c>
      <c r="B1234" s="110" t="s">
        <v>1321</v>
      </c>
      <c r="C1234" s="111" t="s">
        <v>4640</v>
      </c>
      <c r="D1234" s="111" t="str">
        <f t="shared" ref="D1234:E1234" si="1232">TRIM(B1234)</f>
        <v>California</v>
      </c>
      <c r="E1234" s="111" t="str">
        <f t="shared" si="1232"/>
        <v>Chico</v>
      </c>
    </row>
    <row r="1235" spans="1:5">
      <c r="A1235" s="110" t="s">
        <v>4646</v>
      </c>
      <c r="B1235" s="110" t="s">
        <v>1321</v>
      </c>
      <c r="C1235" s="111" t="s">
        <v>4640</v>
      </c>
      <c r="D1235" s="111" t="str">
        <f t="shared" ref="D1235:E1235" si="1233">TRIM(B1235)</f>
        <v>California</v>
      </c>
      <c r="E1235" s="111" t="str">
        <f t="shared" si="1233"/>
        <v>Chico</v>
      </c>
    </row>
    <row r="1236" spans="1:5">
      <c r="A1236" s="3" t="s">
        <v>1893</v>
      </c>
      <c r="B1236" s="110" t="s">
        <v>1321</v>
      </c>
      <c r="C1236" s="111" t="s">
        <v>4640</v>
      </c>
      <c r="D1236" s="111" t="str">
        <f t="shared" ref="D1236:E1236" si="1234">TRIM(B1236)</f>
        <v>California</v>
      </c>
      <c r="E1236" s="111" t="str">
        <f t="shared" si="1234"/>
        <v>Chico</v>
      </c>
    </row>
    <row r="1237" spans="1:5">
      <c r="A1237" s="3" t="s">
        <v>4648</v>
      </c>
      <c r="B1237" s="110" t="s">
        <v>1321</v>
      </c>
      <c r="C1237" s="111" t="s">
        <v>4649</v>
      </c>
      <c r="D1237" s="111" t="str">
        <f t="shared" ref="D1237:E1237" si="1235">TRIM(B1237)</f>
        <v>California</v>
      </c>
      <c r="E1237" s="111" t="str">
        <f t="shared" si="1235"/>
        <v>Chino</v>
      </c>
    </row>
    <row r="1238" spans="1:5">
      <c r="A1238" s="3" t="s">
        <v>4651</v>
      </c>
      <c r="B1238" s="110" t="s">
        <v>1321</v>
      </c>
      <c r="C1238" s="111" t="s">
        <v>4649</v>
      </c>
      <c r="D1238" s="111" t="str">
        <f t="shared" ref="D1238:E1238" si="1236">TRIM(B1238)</f>
        <v>California</v>
      </c>
      <c r="E1238" s="111" t="str">
        <f t="shared" si="1236"/>
        <v>Chino</v>
      </c>
    </row>
    <row r="1239" spans="1:5">
      <c r="A1239" s="3" t="s">
        <v>4654</v>
      </c>
      <c r="B1239" s="110" t="s">
        <v>1321</v>
      </c>
      <c r="C1239" s="111" t="s">
        <v>4649</v>
      </c>
      <c r="D1239" s="111" t="str">
        <f t="shared" ref="D1239:E1239" si="1237">TRIM(B1239)</f>
        <v>California</v>
      </c>
      <c r="E1239" s="111" t="str">
        <f t="shared" si="1237"/>
        <v>Chino</v>
      </c>
    </row>
    <row r="1240" spans="1:5">
      <c r="A1240" s="3" t="s">
        <v>4656</v>
      </c>
      <c r="B1240" s="110" t="s">
        <v>1321</v>
      </c>
      <c r="C1240" s="111" t="s">
        <v>4657</v>
      </c>
      <c r="D1240" s="111" t="str">
        <f t="shared" ref="D1240:E1240" si="1238">TRIM(B1240)</f>
        <v>California</v>
      </c>
      <c r="E1240" s="111" t="str">
        <f t="shared" si="1238"/>
        <v>Chino Hills</v>
      </c>
    </row>
    <row r="1241" spans="1:5">
      <c r="A1241" s="3" t="s">
        <v>4660</v>
      </c>
      <c r="B1241" s="110" t="s">
        <v>1321</v>
      </c>
      <c r="C1241" s="111" t="s">
        <v>4661</v>
      </c>
      <c r="D1241" s="111" t="str">
        <f t="shared" ref="D1241:E1241" si="1239">TRIM(B1241)</f>
        <v>California</v>
      </c>
      <c r="E1241" s="111" t="str">
        <f t="shared" si="1239"/>
        <v>Chowchilla</v>
      </c>
    </row>
    <row r="1242" spans="1:5">
      <c r="A1242" s="3" t="s">
        <v>4662</v>
      </c>
      <c r="B1242" s="110" t="s">
        <v>1321</v>
      </c>
      <c r="C1242" s="111" t="s">
        <v>509</v>
      </c>
      <c r="D1242" s="111" t="str">
        <f t="shared" ref="D1242:E1242" si="1240">TRIM(B1242)</f>
        <v>California</v>
      </c>
      <c r="E1242" s="111" t="str">
        <f t="shared" si="1240"/>
        <v>Chula Vista</v>
      </c>
    </row>
    <row r="1243" spans="1:5">
      <c r="A1243" s="3" t="s">
        <v>4664</v>
      </c>
      <c r="B1243" s="110" t="s">
        <v>1321</v>
      </c>
      <c r="C1243" s="111" t="s">
        <v>509</v>
      </c>
      <c r="D1243" s="111" t="str">
        <f t="shared" ref="D1243:E1243" si="1241">TRIM(B1243)</f>
        <v>California</v>
      </c>
      <c r="E1243" s="111" t="str">
        <f t="shared" si="1241"/>
        <v>Chula Vista</v>
      </c>
    </row>
    <row r="1244" spans="1:5">
      <c r="A1244" s="3" t="s">
        <v>4666</v>
      </c>
      <c r="B1244" s="110" t="s">
        <v>1321</v>
      </c>
      <c r="C1244" s="111" t="s">
        <v>509</v>
      </c>
      <c r="D1244" s="111" t="str">
        <f t="shared" ref="D1244:E1244" si="1242">TRIM(B1244)</f>
        <v>California</v>
      </c>
      <c r="E1244" s="111" t="str">
        <f t="shared" si="1242"/>
        <v>Chula Vista</v>
      </c>
    </row>
    <row r="1245" spans="1:5">
      <c r="A1245" s="3" t="s">
        <v>4667</v>
      </c>
      <c r="B1245" s="110" t="s">
        <v>1321</v>
      </c>
      <c r="C1245" s="111" t="s">
        <v>509</v>
      </c>
      <c r="D1245" s="111" t="str">
        <f t="shared" ref="D1245:E1245" si="1243">TRIM(B1245)</f>
        <v>California</v>
      </c>
      <c r="E1245" s="111" t="str">
        <f t="shared" si="1243"/>
        <v>Chula Vista</v>
      </c>
    </row>
    <row r="1246" spans="1:5">
      <c r="A1246" s="3" t="s">
        <v>4669</v>
      </c>
      <c r="B1246" s="110" t="s">
        <v>1321</v>
      </c>
      <c r="C1246" s="111" t="s">
        <v>509</v>
      </c>
      <c r="D1246" s="111" t="str">
        <f t="shared" ref="D1246:E1246" si="1244">TRIM(B1246)</f>
        <v>California</v>
      </c>
      <c r="E1246" s="111" t="str">
        <f t="shared" si="1244"/>
        <v>Chula Vista</v>
      </c>
    </row>
    <row r="1247" spans="1:5">
      <c r="A1247" s="110" t="s">
        <v>4672</v>
      </c>
      <c r="B1247" s="110" t="s">
        <v>1321</v>
      </c>
      <c r="C1247" s="111" t="s">
        <v>509</v>
      </c>
      <c r="D1247" s="111" t="str">
        <f t="shared" ref="D1247:E1247" si="1245">TRIM(B1247)</f>
        <v>California</v>
      </c>
      <c r="E1247" s="111" t="str">
        <f t="shared" si="1245"/>
        <v>Chula Vista</v>
      </c>
    </row>
    <row r="1248" spans="1:5">
      <c r="A1248" s="3" t="s">
        <v>4673</v>
      </c>
      <c r="B1248" s="110" t="s">
        <v>1321</v>
      </c>
      <c r="C1248" s="111" t="s">
        <v>509</v>
      </c>
      <c r="D1248" s="111" t="str">
        <f t="shared" ref="D1248:E1248" si="1246">TRIM(B1248)</f>
        <v>California</v>
      </c>
      <c r="E1248" s="111" t="str">
        <f t="shared" si="1246"/>
        <v>Chula Vista</v>
      </c>
    </row>
    <row r="1249" spans="1:5">
      <c r="A1249" s="3" t="s">
        <v>4675</v>
      </c>
      <c r="B1249" s="110" t="s">
        <v>1321</v>
      </c>
      <c r="C1249" s="111" t="s">
        <v>509</v>
      </c>
      <c r="D1249" s="111" t="str">
        <f t="shared" ref="D1249:E1249" si="1247">TRIM(B1249)</f>
        <v>California</v>
      </c>
      <c r="E1249" s="111" t="str">
        <f t="shared" si="1247"/>
        <v>Chula Vista</v>
      </c>
    </row>
    <row r="1250" spans="1:5">
      <c r="A1250" s="110" t="s">
        <v>4679</v>
      </c>
      <c r="B1250" s="110" t="s">
        <v>1321</v>
      </c>
      <c r="C1250" s="111" t="s">
        <v>509</v>
      </c>
      <c r="D1250" s="111" t="str">
        <f t="shared" ref="D1250:E1250" si="1248">TRIM(B1250)</f>
        <v>California</v>
      </c>
      <c r="E1250" s="111" t="str">
        <f t="shared" si="1248"/>
        <v>Chula Vista</v>
      </c>
    </row>
    <row r="1251" spans="1:5">
      <c r="A1251" s="3" t="s">
        <v>4681</v>
      </c>
      <c r="B1251" s="110" t="s">
        <v>1321</v>
      </c>
      <c r="C1251" s="111" t="s">
        <v>4682</v>
      </c>
      <c r="D1251" s="111" t="str">
        <f t="shared" ref="D1251:E1251" si="1249">TRIM(B1251)</f>
        <v>California</v>
      </c>
      <c r="E1251" s="111" t="str">
        <f t="shared" si="1249"/>
        <v>Citrus Heights</v>
      </c>
    </row>
    <row r="1252" spans="1:5">
      <c r="A1252" s="3" t="s">
        <v>4685</v>
      </c>
      <c r="B1252" s="110" t="s">
        <v>1321</v>
      </c>
      <c r="C1252" s="111" t="s">
        <v>4682</v>
      </c>
      <c r="D1252" s="111" t="str">
        <f t="shared" ref="D1252:E1252" si="1250">TRIM(B1252)</f>
        <v>California</v>
      </c>
      <c r="E1252" s="111" t="str">
        <f t="shared" si="1250"/>
        <v>Citrus Heights</v>
      </c>
    </row>
    <row r="1253" spans="1:5">
      <c r="A1253" s="3" t="s">
        <v>4688</v>
      </c>
      <c r="B1253" s="110" t="s">
        <v>1321</v>
      </c>
      <c r="C1253" s="111" t="s">
        <v>4689</v>
      </c>
      <c r="D1253" s="111" t="str">
        <f t="shared" ref="D1253:E1253" si="1251">TRIM(B1253)</f>
        <v>California</v>
      </c>
      <c r="E1253" s="111" t="str">
        <f t="shared" si="1251"/>
        <v>City Of Industry</v>
      </c>
    </row>
    <row r="1254" spans="1:5">
      <c r="A1254" s="3" t="s">
        <v>4691</v>
      </c>
      <c r="B1254" s="110" t="s">
        <v>1321</v>
      </c>
      <c r="C1254" s="111" t="s">
        <v>4692</v>
      </c>
      <c r="D1254" s="111" t="str">
        <f t="shared" ref="D1254:E1254" si="1252">TRIM(B1254)</f>
        <v>California</v>
      </c>
      <c r="E1254" s="111" t="str">
        <f t="shared" si="1252"/>
        <v>Claremont</v>
      </c>
    </row>
    <row r="1255" spans="1:5">
      <c r="A1255" s="3" t="s">
        <v>4696</v>
      </c>
      <c r="B1255" s="110" t="s">
        <v>1321</v>
      </c>
      <c r="C1255" s="111" t="s">
        <v>4697</v>
      </c>
      <c r="D1255" s="111" t="str">
        <f t="shared" ref="D1255:E1255" si="1253">TRIM(B1255)</f>
        <v>California</v>
      </c>
      <c r="E1255" s="111" t="str">
        <f t="shared" si="1253"/>
        <v>Clarksburg</v>
      </c>
    </row>
    <row r="1256" spans="1:5">
      <c r="A1256" s="3" t="s">
        <v>4698</v>
      </c>
      <c r="B1256" s="110" t="s">
        <v>1321</v>
      </c>
      <c r="C1256" s="111" t="s">
        <v>4699</v>
      </c>
      <c r="D1256" s="111" t="str">
        <f t="shared" ref="D1256:E1256" si="1254">TRIM(B1256)</f>
        <v>California</v>
      </c>
      <c r="E1256" s="111" t="str">
        <f t="shared" si="1254"/>
        <v>Cloverdale</v>
      </c>
    </row>
    <row r="1257" spans="1:5">
      <c r="A1257" s="3" t="s">
        <v>4701</v>
      </c>
      <c r="B1257" s="110" t="s">
        <v>1321</v>
      </c>
      <c r="C1257" s="111" t="s">
        <v>4151</v>
      </c>
      <c r="D1257" s="111" t="str">
        <f t="shared" ref="D1257:E1257" si="1255">TRIM(B1257)</f>
        <v>California</v>
      </c>
      <c r="E1257" s="111" t="str">
        <f t="shared" si="1255"/>
        <v>Clovis</v>
      </c>
    </row>
    <row r="1258" spans="1:5">
      <c r="A1258" s="3" t="s">
        <v>4703</v>
      </c>
      <c r="B1258" s="110" t="s">
        <v>1321</v>
      </c>
      <c r="C1258" s="111" t="s">
        <v>4151</v>
      </c>
      <c r="D1258" s="111" t="str">
        <f t="shared" ref="D1258:E1258" si="1256">TRIM(B1258)</f>
        <v>California</v>
      </c>
      <c r="E1258" s="111" t="str">
        <f t="shared" si="1256"/>
        <v>Clovis</v>
      </c>
    </row>
    <row r="1259" spans="1:5">
      <c r="A1259" s="3" t="s">
        <v>4704</v>
      </c>
      <c r="B1259" s="110" t="s">
        <v>1321</v>
      </c>
      <c r="C1259" s="111" t="s">
        <v>4151</v>
      </c>
      <c r="D1259" s="111" t="str">
        <f t="shared" ref="D1259:E1259" si="1257">TRIM(B1259)</f>
        <v>California</v>
      </c>
      <c r="E1259" s="111" t="str">
        <f t="shared" si="1257"/>
        <v>Clovis</v>
      </c>
    </row>
    <row r="1260" spans="1:5">
      <c r="A1260" s="110" t="s">
        <v>4707</v>
      </c>
      <c r="B1260" s="110" t="s">
        <v>1321</v>
      </c>
      <c r="C1260" s="111" t="s">
        <v>4151</v>
      </c>
      <c r="D1260" s="111" t="str">
        <f t="shared" ref="D1260:E1260" si="1258">TRIM(B1260)</f>
        <v>California</v>
      </c>
      <c r="E1260" s="111" t="str">
        <f t="shared" si="1258"/>
        <v>Clovis</v>
      </c>
    </row>
    <row r="1261" spans="1:5">
      <c r="A1261" s="3" t="s">
        <v>4710</v>
      </c>
      <c r="B1261" s="110" t="s">
        <v>1321</v>
      </c>
      <c r="C1261" s="111" t="s">
        <v>4711</v>
      </c>
      <c r="D1261" s="111" t="str">
        <f t="shared" ref="D1261:E1261" si="1259">TRIM(B1261)</f>
        <v>California</v>
      </c>
      <c r="E1261" s="111" t="str">
        <f t="shared" si="1259"/>
        <v>Coalinga</v>
      </c>
    </row>
    <row r="1262" spans="1:5">
      <c r="A1262" s="3" t="s">
        <v>4713</v>
      </c>
      <c r="B1262" s="110" t="s">
        <v>1321</v>
      </c>
      <c r="C1262" s="111" t="s">
        <v>4714</v>
      </c>
      <c r="D1262" s="111" t="str">
        <f t="shared" ref="D1262:E1262" si="1260">TRIM(B1262)</f>
        <v>California</v>
      </c>
      <c r="E1262" s="111" t="str">
        <f t="shared" si="1260"/>
        <v>Coleville</v>
      </c>
    </row>
    <row r="1263" spans="1:5">
      <c r="A1263" s="3" t="s">
        <v>4717</v>
      </c>
      <c r="B1263" s="110" t="s">
        <v>1321</v>
      </c>
      <c r="C1263" s="111" t="s">
        <v>4718</v>
      </c>
      <c r="D1263" s="111" t="str">
        <f t="shared" ref="D1263:E1263" si="1261">TRIM(B1263)</f>
        <v>California</v>
      </c>
      <c r="E1263" s="111" t="str">
        <f t="shared" si="1261"/>
        <v>Colfax</v>
      </c>
    </row>
    <row r="1264" spans="1:5">
      <c r="A1264" s="3" t="s">
        <v>4720</v>
      </c>
      <c r="B1264" s="110" t="s">
        <v>1321</v>
      </c>
      <c r="C1264" s="111" t="s">
        <v>4721</v>
      </c>
      <c r="D1264" s="111" t="str">
        <f t="shared" ref="D1264:E1264" si="1262">TRIM(B1264)</f>
        <v>California</v>
      </c>
      <c r="E1264" s="111" t="str">
        <f t="shared" si="1262"/>
        <v>Colton</v>
      </c>
    </row>
    <row r="1265" spans="1:5">
      <c r="A1265" s="3" t="s">
        <v>4723</v>
      </c>
      <c r="B1265" s="110" t="s">
        <v>1321</v>
      </c>
      <c r="C1265" s="111" t="s">
        <v>4724</v>
      </c>
      <c r="D1265" s="111" t="str">
        <f t="shared" ref="D1265:E1265" si="1263">TRIM(B1265)</f>
        <v>California</v>
      </c>
      <c r="E1265" s="111" t="str">
        <f t="shared" si="1263"/>
        <v>Colusa</v>
      </c>
    </row>
    <row r="1266" spans="1:5">
      <c r="A1266" s="3" t="s">
        <v>2905</v>
      </c>
      <c r="B1266" s="110" t="s">
        <v>1321</v>
      </c>
      <c r="C1266" s="111" t="s">
        <v>4728</v>
      </c>
      <c r="D1266" s="111" t="str">
        <f t="shared" ref="D1266:E1266" si="1264">TRIM(B1266)</f>
        <v>California</v>
      </c>
      <c r="E1266" s="111" t="str">
        <f t="shared" si="1264"/>
        <v>Compton</v>
      </c>
    </row>
    <row r="1267" spans="1:5">
      <c r="A1267" s="3" t="s">
        <v>4729</v>
      </c>
      <c r="B1267" s="110" t="s">
        <v>1321</v>
      </c>
      <c r="C1267" s="111" t="s">
        <v>4728</v>
      </c>
      <c r="D1267" s="111" t="str">
        <f t="shared" ref="D1267:E1267" si="1265">TRIM(B1267)</f>
        <v>California</v>
      </c>
      <c r="E1267" s="111" t="str">
        <f t="shared" si="1265"/>
        <v>Compton</v>
      </c>
    </row>
    <row r="1268" spans="1:5">
      <c r="A1268" s="3" t="s">
        <v>4731</v>
      </c>
      <c r="B1268" s="110" t="s">
        <v>1321</v>
      </c>
      <c r="C1268" s="111" t="s">
        <v>4728</v>
      </c>
      <c r="D1268" s="111" t="str">
        <f t="shared" ref="D1268:E1268" si="1266">TRIM(B1268)</f>
        <v>California</v>
      </c>
      <c r="E1268" s="111" t="str">
        <f t="shared" si="1266"/>
        <v>Compton</v>
      </c>
    </row>
    <row r="1269" spans="1:5">
      <c r="A1269" s="3" t="s">
        <v>4733</v>
      </c>
      <c r="B1269" s="110" t="s">
        <v>1321</v>
      </c>
      <c r="C1269" s="111" t="s">
        <v>4728</v>
      </c>
      <c r="D1269" s="111" t="str">
        <f t="shared" ref="D1269:E1269" si="1267">TRIM(B1269)</f>
        <v>California</v>
      </c>
      <c r="E1269" s="111" t="str">
        <f t="shared" si="1267"/>
        <v>Compton</v>
      </c>
    </row>
    <row r="1270" spans="1:5">
      <c r="A1270" s="3" t="s">
        <v>4735</v>
      </c>
      <c r="B1270" s="110" t="s">
        <v>1321</v>
      </c>
      <c r="C1270" s="111" t="s">
        <v>286</v>
      </c>
      <c r="D1270" s="111" t="str">
        <f t="shared" ref="D1270:E1270" si="1268">TRIM(B1270)</f>
        <v>California</v>
      </c>
      <c r="E1270" s="111" t="str">
        <f t="shared" si="1268"/>
        <v>Concord</v>
      </c>
    </row>
    <row r="1271" spans="1:5">
      <c r="A1271" s="3" t="s">
        <v>3702</v>
      </c>
      <c r="B1271" s="110" t="s">
        <v>1321</v>
      </c>
      <c r="C1271" s="111" t="s">
        <v>286</v>
      </c>
      <c r="D1271" s="111" t="str">
        <f t="shared" ref="D1271:E1271" si="1269">TRIM(B1271)</f>
        <v>California</v>
      </c>
      <c r="E1271" s="111" t="str">
        <f t="shared" si="1269"/>
        <v>Concord</v>
      </c>
    </row>
    <row r="1272" spans="1:5">
      <c r="A1272" s="3" t="s">
        <v>4738</v>
      </c>
      <c r="B1272" s="110" t="s">
        <v>1321</v>
      </c>
      <c r="C1272" s="111" t="s">
        <v>286</v>
      </c>
      <c r="D1272" s="111" t="str">
        <f t="shared" ref="D1272:E1272" si="1270">TRIM(B1272)</f>
        <v>California</v>
      </c>
      <c r="E1272" s="111" t="str">
        <f t="shared" si="1270"/>
        <v>Concord</v>
      </c>
    </row>
    <row r="1273" spans="1:5">
      <c r="A1273" s="3" t="s">
        <v>4741</v>
      </c>
      <c r="B1273" s="110" t="s">
        <v>1321</v>
      </c>
      <c r="C1273" s="111" t="s">
        <v>286</v>
      </c>
      <c r="D1273" s="111" t="str">
        <f t="shared" ref="D1273:E1273" si="1271">TRIM(B1273)</f>
        <v>California</v>
      </c>
      <c r="E1273" s="111" t="str">
        <f t="shared" si="1271"/>
        <v>Concord</v>
      </c>
    </row>
    <row r="1274" spans="1:5">
      <c r="A1274" s="3" t="s">
        <v>4742</v>
      </c>
      <c r="B1274" s="110" t="s">
        <v>1321</v>
      </c>
      <c r="C1274" s="111" t="s">
        <v>4743</v>
      </c>
      <c r="D1274" s="111" t="str">
        <f t="shared" ref="D1274:E1274" si="1272">TRIM(B1274)</f>
        <v>California</v>
      </c>
      <c r="E1274" s="111" t="str">
        <f t="shared" si="1272"/>
        <v>Corcoran</v>
      </c>
    </row>
    <row r="1275" spans="1:5">
      <c r="A1275" s="3" t="s">
        <v>3706</v>
      </c>
      <c r="B1275" s="110" t="s">
        <v>1321</v>
      </c>
      <c r="C1275" s="111" t="s">
        <v>3707</v>
      </c>
      <c r="D1275" s="111" t="str">
        <f t="shared" ref="D1275:E1275" si="1273">TRIM(B1275)</f>
        <v>California</v>
      </c>
      <c r="E1275" s="111" t="str">
        <f t="shared" si="1273"/>
        <v>Corning</v>
      </c>
    </row>
    <row r="1276" spans="1:5">
      <c r="A1276" s="110" t="s">
        <v>4747</v>
      </c>
      <c r="B1276" s="110" t="s">
        <v>1321</v>
      </c>
      <c r="C1276" s="111" t="s">
        <v>3707</v>
      </c>
      <c r="D1276" s="111" t="str">
        <f t="shared" ref="D1276:E1276" si="1274">TRIM(B1276)</f>
        <v>California</v>
      </c>
      <c r="E1276" s="111" t="str">
        <f t="shared" si="1274"/>
        <v>Corning</v>
      </c>
    </row>
    <row r="1277" spans="1:5">
      <c r="A1277" s="3" t="s">
        <v>2905</v>
      </c>
      <c r="B1277" s="110" t="s">
        <v>1321</v>
      </c>
      <c r="C1277" s="111" t="s">
        <v>616</v>
      </c>
      <c r="D1277" s="111" t="str">
        <f t="shared" ref="D1277:E1277" si="1275">TRIM(B1277)</f>
        <v>California</v>
      </c>
      <c r="E1277" s="111" t="str">
        <f t="shared" si="1275"/>
        <v>Corona</v>
      </c>
    </row>
    <row r="1278" spans="1:5">
      <c r="A1278" s="3" t="s">
        <v>4750</v>
      </c>
      <c r="B1278" s="110" t="s">
        <v>1321</v>
      </c>
      <c r="C1278" s="111" t="s">
        <v>616</v>
      </c>
      <c r="D1278" s="111" t="str">
        <f t="shared" ref="D1278:E1278" si="1276">TRIM(B1278)</f>
        <v>California</v>
      </c>
      <c r="E1278" s="111" t="str">
        <f t="shared" si="1276"/>
        <v>Corona</v>
      </c>
    </row>
    <row r="1279" spans="1:5">
      <c r="A1279" s="3" t="s">
        <v>4751</v>
      </c>
      <c r="B1279" s="110" t="s">
        <v>1321</v>
      </c>
      <c r="C1279" s="111" t="s">
        <v>616</v>
      </c>
      <c r="D1279" s="111" t="str">
        <f t="shared" ref="D1279:E1279" si="1277">TRIM(B1279)</f>
        <v>California</v>
      </c>
      <c r="E1279" s="111" t="str">
        <f t="shared" si="1277"/>
        <v>Corona</v>
      </c>
    </row>
    <row r="1280" spans="1:5">
      <c r="A1280" s="3" t="s">
        <v>3225</v>
      </c>
      <c r="B1280" s="110" t="s">
        <v>1321</v>
      </c>
      <c r="C1280" s="111" t="s">
        <v>4755</v>
      </c>
      <c r="D1280" s="111" t="str">
        <f t="shared" ref="D1280:E1280" si="1278">TRIM(B1280)</f>
        <v>California</v>
      </c>
      <c r="E1280" s="111" t="str">
        <f t="shared" si="1278"/>
        <v>Coronado</v>
      </c>
    </row>
    <row r="1281" spans="1:5">
      <c r="A1281" s="3" t="s">
        <v>4756</v>
      </c>
      <c r="B1281" s="110" t="s">
        <v>1321</v>
      </c>
      <c r="C1281" s="111" t="s">
        <v>4758</v>
      </c>
      <c r="D1281" s="111" t="str">
        <f t="shared" ref="D1281:E1281" si="1279">TRIM(B1281)</f>
        <v>California</v>
      </c>
      <c r="E1281" s="111" t="str">
        <f t="shared" si="1279"/>
        <v>Costa Mesa</v>
      </c>
    </row>
    <row r="1282" spans="1:5">
      <c r="A1282" s="3" t="s">
        <v>4761</v>
      </c>
      <c r="B1282" s="110" t="s">
        <v>1321</v>
      </c>
      <c r="C1282" s="111" t="s">
        <v>4758</v>
      </c>
      <c r="D1282" s="111" t="str">
        <f t="shared" ref="D1282:E1282" si="1280">TRIM(B1282)</f>
        <v>California</v>
      </c>
      <c r="E1282" s="111" t="str">
        <f t="shared" si="1280"/>
        <v>Costa Mesa</v>
      </c>
    </row>
    <row r="1283" spans="1:5">
      <c r="A1283" s="3" t="s">
        <v>4762</v>
      </c>
      <c r="B1283" s="110" t="s">
        <v>1321</v>
      </c>
      <c r="C1283" s="111" t="s">
        <v>4758</v>
      </c>
      <c r="D1283" s="111" t="str">
        <f t="shared" ref="D1283:E1283" si="1281">TRIM(B1283)</f>
        <v>California</v>
      </c>
      <c r="E1283" s="111" t="str">
        <f t="shared" si="1281"/>
        <v>Costa Mesa</v>
      </c>
    </row>
    <row r="1284" spans="1:5">
      <c r="A1284" s="3" t="s">
        <v>4764</v>
      </c>
      <c r="B1284" s="110" t="s">
        <v>1321</v>
      </c>
      <c r="C1284" s="111" t="s">
        <v>4758</v>
      </c>
      <c r="D1284" s="111" t="str">
        <f t="shared" ref="D1284:E1284" si="1282">TRIM(B1284)</f>
        <v>California</v>
      </c>
      <c r="E1284" s="111" t="str">
        <f t="shared" si="1282"/>
        <v>Costa Mesa</v>
      </c>
    </row>
    <row r="1285" spans="1:5">
      <c r="A1285" s="3" t="s">
        <v>4766</v>
      </c>
      <c r="B1285" s="110" t="s">
        <v>1321</v>
      </c>
      <c r="C1285" s="111" t="s">
        <v>4758</v>
      </c>
      <c r="D1285" s="111" t="str">
        <f t="shared" ref="D1285:E1285" si="1283">TRIM(B1285)</f>
        <v>California</v>
      </c>
      <c r="E1285" s="111" t="str">
        <f t="shared" si="1283"/>
        <v>Costa Mesa</v>
      </c>
    </row>
    <row r="1286" spans="1:5">
      <c r="A1286" s="3" t="s">
        <v>2342</v>
      </c>
      <c r="B1286" s="110" t="s">
        <v>1321</v>
      </c>
      <c r="C1286" s="111" t="s">
        <v>2582</v>
      </c>
      <c r="D1286" s="111" t="str">
        <f t="shared" ref="D1286:E1286" si="1284">TRIM(B1286)</f>
        <v>California</v>
      </c>
      <c r="E1286" s="111" t="str">
        <f t="shared" si="1284"/>
        <v>Cottonwood</v>
      </c>
    </row>
    <row r="1287" spans="1:5">
      <c r="A1287" s="3" t="s">
        <v>4768</v>
      </c>
      <c r="B1287" s="110" t="s">
        <v>1321</v>
      </c>
      <c r="C1287" s="111" t="s">
        <v>4769</v>
      </c>
      <c r="D1287" s="111" t="str">
        <f t="shared" ref="D1287:E1287" si="1285">TRIM(B1287)</f>
        <v>California</v>
      </c>
      <c r="E1287" s="111" t="str">
        <f t="shared" si="1285"/>
        <v>Coulterville</v>
      </c>
    </row>
    <row r="1288" spans="1:5">
      <c r="A1288" s="3" t="s">
        <v>3277</v>
      </c>
      <c r="B1288" s="110" t="s">
        <v>1321</v>
      </c>
      <c r="C1288" s="111" t="s">
        <v>4772</v>
      </c>
      <c r="D1288" s="111" t="str">
        <f t="shared" ref="D1288:E1288" si="1286">TRIM(B1288)</f>
        <v>California</v>
      </c>
      <c r="E1288" s="111" t="str">
        <f t="shared" si="1286"/>
        <v>Covelo</v>
      </c>
    </row>
    <row r="1289" spans="1:5">
      <c r="A1289" s="3" t="s">
        <v>4773</v>
      </c>
      <c r="B1289" s="110" t="s">
        <v>1321</v>
      </c>
      <c r="C1289" s="111" t="s">
        <v>4774</v>
      </c>
      <c r="D1289" s="111" t="str">
        <f t="shared" ref="D1289:E1289" si="1287">TRIM(B1289)</f>
        <v>California</v>
      </c>
      <c r="E1289" s="111" t="str">
        <f t="shared" si="1287"/>
        <v>Covina</v>
      </c>
    </row>
    <row r="1290" spans="1:5">
      <c r="A1290" s="3" t="s">
        <v>4778</v>
      </c>
      <c r="B1290" s="110" t="s">
        <v>1321</v>
      </c>
      <c r="C1290" s="111" t="s">
        <v>4774</v>
      </c>
      <c r="D1290" s="111" t="str">
        <f t="shared" ref="D1290:E1290" si="1288">TRIM(B1290)</f>
        <v>California</v>
      </c>
      <c r="E1290" s="111" t="str">
        <f t="shared" si="1288"/>
        <v>Covina</v>
      </c>
    </row>
    <row r="1291" spans="1:5">
      <c r="A1291" s="3" t="s">
        <v>1700</v>
      </c>
      <c r="B1291" s="110" t="s">
        <v>1321</v>
      </c>
      <c r="C1291" s="111" t="s">
        <v>4774</v>
      </c>
      <c r="D1291" s="111" t="str">
        <f t="shared" ref="D1291:E1291" si="1289">TRIM(B1291)</f>
        <v>California</v>
      </c>
      <c r="E1291" s="111" t="str">
        <f t="shared" si="1289"/>
        <v>Covina</v>
      </c>
    </row>
    <row r="1292" spans="1:5">
      <c r="A1292" s="3" t="s">
        <v>4780</v>
      </c>
      <c r="B1292" s="110" t="s">
        <v>1321</v>
      </c>
      <c r="C1292" s="111" t="s">
        <v>4781</v>
      </c>
      <c r="D1292" s="111" t="str">
        <f t="shared" ref="D1292:E1292" si="1290">TRIM(B1292)</f>
        <v>California</v>
      </c>
      <c r="E1292" s="111" t="str">
        <f t="shared" si="1290"/>
        <v>Crescent City</v>
      </c>
    </row>
    <row r="1293" spans="1:5">
      <c r="A1293" s="3" t="s">
        <v>4783</v>
      </c>
      <c r="B1293" s="110" t="s">
        <v>1321</v>
      </c>
      <c r="C1293" s="111" t="s">
        <v>4784</v>
      </c>
      <c r="D1293" s="111" t="str">
        <f t="shared" ref="D1293:E1293" si="1291">TRIM(B1293)</f>
        <v>California</v>
      </c>
      <c r="E1293" s="111" t="str">
        <f t="shared" si="1291"/>
        <v>Crockett</v>
      </c>
    </row>
    <row r="1294" spans="1:5">
      <c r="A1294" s="3" t="s">
        <v>4785</v>
      </c>
      <c r="B1294" s="110" t="s">
        <v>1321</v>
      </c>
      <c r="C1294" s="111" t="s">
        <v>4786</v>
      </c>
      <c r="D1294" s="111" t="str">
        <f t="shared" ref="D1294:E1294" si="1292">TRIM(B1294)</f>
        <v>California</v>
      </c>
      <c r="E1294" s="111" t="str">
        <f t="shared" si="1292"/>
        <v>Culver City</v>
      </c>
    </row>
    <row r="1295" spans="1:5">
      <c r="A1295" s="3" t="s">
        <v>4789</v>
      </c>
      <c r="B1295" s="110" t="s">
        <v>1321</v>
      </c>
      <c r="C1295" s="111" t="s">
        <v>4790</v>
      </c>
      <c r="D1295" s="111" t="str">
        <f t="shared" ref="D1295:E1295" si="1293">TRIM(B1295)</f>
        <v>California</v>
      </c>
      <c r="E1295" s="111" t="str">
        <f t="shared" si="1293"/>
        <v>Cupertino</v>
      </c>
    </row>
    <row r="1296" spans="1:5">
      <c r="A1296" s="3" t="s">
        <v>4791</v>
      </c>
      <c r="B1296" s="110" t="s">
        <v>1321</v>
      </c>
      <c r="C1296" s="111" t="s">
        <v>4790</v>
      </c>
      <c r="D1296" s="111" t="str">
        <f t="shared" ref="D1296:E1296" si="1294">TRIM(B1296)</f>
        <v>California</v>
      </c>
      <c r="E1296" s="111" t="str">
        <f t="shared" si="1294"/>
        <v>Cupertino</v>
      </c>
    </row>
    <row r="1297" spans="1:5">
      <c r="A1297" s="3" t="s">
        <v>4795</v>
      </c>
      <c r="B1297" s="110" t="s">
        <v>1321</v>
      </c>
      <c r="C1297" s="111" t="s">
        <v>4790</v>
      </c>
      <c r="D1297" s="111" t="str">
        <f t="shared" ref="D1297:E1297" si="1295">TRIM(B1297)</f>
        <v>California</v>
      </c>
      <c r="E1297" s="111" t="str">
        <f t="shared" si="1295"/>
        <v>Cupertino</v>
      </c>
    </row>
    <row r="1298" spans="1:5">
      <c r="A1298" s="3" t="s">
        <v>4796</v>
      </c>
      <c r="B1298" s="110" t="s">
        <v>1321</v>
      </c>
      <c r="C1298" s="111" t="s">
        <v>4797</v>
      </c>
      <c r="D1298" s="111" t="str">
        <f t="shared" ref="D1298:E1298" si="1296">TRIM(B1298)</f>
        <v>California</v>
      </c>
      <c r="E1298" s="111" t="str">
        <f t="shared" si="1296"/>
        <v>Cypress</v>
      </c>
    </row>
    <row r="1299" spans="1:5">
      <c r="A1299" s="3" t="s">
        <v>4800</v>
      </c>
      <c r="B1299" s="110" t="s">
        <v>1321</v>
      </c>
      <c r="C1299" s="111" t="s">
        <v>4797</v>
      </c>
      <c r="D1299" s="111" t="str">
        <f t="shared" ref="D1299:E1299" si="1297">TRIM(B1299)</f>
        <v>California</v>
      </c>
      <c r="E1299" s="111" t="str">
        <f t="shared" si="1297"/>
        <v>Cypress</v>
      </c>
    </row>
    <row r="1300" spans="1:5">
      <c r="A1300" s="3" t="s">
        <v>4802</v>
      </c>
      <c r="B1300" s="110" t="s">
        <v>1321</v>
      </c>
      <c r="C1300" s="111" t="s">
        <v>4803</v>
      </c>
      <c r="D1300" s="111" t="str">
        <f t="shared" ref="D1300:E1300" si="1298">TRIM(B1300)</f>
        <v>California</v>
      </c>
      <c r="E1300" s="111" t="str">
        <f t="shared" si="1298"/>
        <v>Daly City</v>
      </c>
    </row>
    <row r="1301" spans="1:5">
      <c r="A1301" s="110" t="s">
        <v>4804</v>
      </c>
      <c r="B1301" s="110" t="s">
        <v>1321</v>
      </c>
      <c r="C1301" s="111" t="s">
        <v>4803</v>
      </c>
      <c r="D1301" s="111" t="str">
        <f t="shared" ref="D1301:E1301" si="1299">TRIM(B1301)</f>
        <v>California</v>
      </c>
      <c r="E1301" s="111" t="str">
        <f t="shared" si="1299"/>
        <v>Daly City</v>
      </c>
    </row>
    <row r="1302" spans="1:5">
      <c r="A1302" s="3" t="s">
        <v>4806</v>
      </c>
      <c r="B1302" s="110" t="s">
        <v>1321</v>
      </c>
      <c r="C1302" s="111" t="s">
        <v>4803</v>
      </c>
      <c r="D1302" s="111" t="str">
        <f t="shared" ref="D1302:E1302" si="1300">TRIM(B1302)</f>
        <v>California</v>
      </c>
      <c r="E1302" s="111" t="str">
        <f t="shared" si="1300"/>
        <v>Daly City</v>
      </c>
    </row>
    <row r="1303" spans="1:5">
      <c r="A1303" s="3" t="s">
        <v>4808</v>
      </c>
      <c r="B1303" s="110" t="s">
        <v>1321</v>
      </c>
      <c r="C1303" s="111" t="s">
        <v>4809</v>
      </c>
      <c r="D1303" s="111" t="str">
        <f t="shared" ref="D1303:E1303" si="1301">TRIM(B1303)</f>
        <v>California</v>
      </c>
      <c r="E1303" s="111" t="str">
        <f t="shared" si="1301"/>
        <v>Dana Point</v>
      </c>
    </row>
    <row r="1304" spans="1:5">
      <c r="A1304" s="3" t="s">
        <v>4810</v>
      </c>
      <c r="B1304" s="110" t="s">
        <v>1321</v>
      </c>
      <c r="C1304" s="111" t="s">
        <v>529</v>
      </c>
      <c r="D1304" s="111" t="str">
        <f t="shared" ref="D1304:E1304" si="1302">TRIM(B1304)</f>
        <v>California</v>
      </c>
      <c r="E1304" s="111" t="str">
        <f t="shared" si="1302"/>
        <v>Danville</v>
      </c>
    </row>
    <row r="1305" spans="1:5">
      <c r="A1305" s="3" t="s">
        <v>4812</v>
      </c>
      <c r="B1305" s="110" t="s">
        <v>1321</v>
      </c>
      <c r="C1305" s="111" t="s">
        <v>529</v>
      </c>
      <c r="D1305" s="111" t="str">
        <f t="shared" ref="D1305:E1305" si="1303">TRIM(B1305)</f>
        <v>California</v>
      </c>
      <c r="E1305" s="111" t="str">
        <f t="shared" si="1303"/>
        <v>Danville</v>
      </c>
    </row>
    <row r="1306" spans="1:5">
      <c r="A1306" s="3" t="s">
        <v>4814</v>
      </c>
      <c r="B1306" s="110" t="s">
        <v>1321</v>
      </c>
      <c r="C1306" s="111" t="s">
        <v>4815</v>
      </c>
      <c r="D1306" s="111" t="str">
        <f t="shared" ref="D1306:E1306" si="1304">TRIM(B1306)</f>
        <v>California</v>
      </c>
      <c r="E1306" s="111" t="str">
        <f t="shared" si="1304"/>
        <v>Davis</v>
      </c>
    </row>
    <row r="1307" spans="1:5">
      <c r="A1307" s="3" t="s">
        <v>4816</v>
      </c>
      <c r="B1307" s="110" t="s">
        <v>1321</v>
      </c>
      <c r="C1307" s="111" t="s">
        <v>4815</v>
      </c>
      <c r="D1307" s="111" t="str">
        <f t="shared" ref="D1307:E1307" si="1305">TRIM(B1307)</f>
        <v>California</v>
      </c>
      <c r="E1307" s="111" t="str">
        <f t="shared" si="1305"/>
        <v>Davis</v>
      </c>
    </row>
    <row r="1308" spans="1:5">
      <c r="A1308" s="3" t="s">
        <v>4819</v>
      </c>
      <c r="B1308" s="110" t="s">
        <v>1321</v>
      </c>
      <c r="C1308" s="111" t="s">
        <v>4820</v>
      </c>
      <c r="D1308" s="111" t="str">
        <f t="shared" ref="D1308:E1308" si="1306">TRIM(B1308)</f>
        <v>California</v>
      </c>
      <c r="E1308" s="111" t="str">
        <f t="shared" si="1306"/>
        <v>Delano</v>
      </c>
    </row>
    <row r="1309" spans="1:5">
      <c r="A1309" s="3" t="s">
        <v>4822</v>
      </c>
      <c r="B1309" s="110" t="s">
        <v>1321</v>
      </c>
      <c r="C1309" s="111" t="s">
        <v>4820</v>
      </c>
      <c r="D1309" s="111" t="str">
        <f t="shared" ref="D1309:E1309" si="1307">TRIM(B1309)</f>
        <v>California</v>
      </c>
      <c r="E1309" s="111" t="str">
        <f t="shared" si="1307"/>
        <v>Delano</v>
      </c>
    </row>
    <row r="1310" spans="1:5">
      <c r="A1310" s="3" t="s">
        <v>4824</v>
      </c>
      <c r="B1310" s="110" t="s">
        <v>1321</v>
      </c>
      <c r="C1310" s="111" t="s">
        <v>4820</v>
      </c>
      <c r="D1310" s="111" t="str">
        <f t="shared" ref="D1310:E1310" si="1308">TRIM(B1310)</f>
        <v>California</v>
      </c>
      <c r="E1310" s="111" t="str">
        <f t="shared" si="1308"/>
        <v>Delano</v>
      </c>
    </row>
    <row r="1311" spans="1:5">
      <c r="A1311" s="3" t="s">
        <v>4826</v>
      </c>
      <c r="B1311" s="110" t="s">
        <v>1321</v>
      </c>
      <c r="C1311" s="111" t="s">
        <v>4827</v>
      </c>
      <c r="D1311" s="111" t="str">
        <f t="shared" ref="D1311:E1311" si="1309">TRIM(B1311)</f>
        <v>California</v>
      </c>
      <c r="E1311" s="111" t="str">
        <f t="shared" si="1309"/>
        <v>Delhi</v>
      </c>
    </row>
    <row r="1312" spans="1:5">
      <c r="A1312" s="3" t="s">
        <v>4828</v>
      </c>
      <c r="B1312" s="110" t="s">
        <v>1321</v>
      </c>
      <c r="C1312" s="111" t="s">
        <v>4829</v>
      </c>
      <c r="D1312" s="111" t="str">
        <f t="shared" ref="D1312:E1312" si="1310">TRIM(B1312)</f>
        <v>California</v>
      </c>
      <c r="E1312" s="111" t="str">
        <f t="shared" si="1310"/>
        <v>Denair</v>
      </c>
    </row>
    <row r="1313" spans="1:5">
      <c r="A1313" s="3" t="s">
        <v>4832</v>
      </c>
      <c r="B1313" s="110" t="s">
        <v>1321</v>
      </c>
      <c r="C1313" s="113" t="s">
        <v>4833</v>
      </c>
      <c r="D1313" s="111" t="str">
        <f t="shared" ref="D1313:E1313" si="1311">TRIM(B1313)</f>
        <v>California</v>
      </c>
      <c r="E1313" s="111" t="str">
        <f t="shared" si="1311"/>
        <v>Desert Hot Springs</v>
      </c>
    </row>
    <row r="1314" spans="1:5">
      <c r="A1314" s="3" t="s">
        <v>4834</v>
      </c>
      <c r="B1314" s="110" t="s">
        <v>1321</v>
      </c>
      <c r="C1314" s="111" t="s">
        <v>4835</v>
      </c>
      <c r="D1314" s="111" t="str">
        <f t="shared" ref="D1314:E1314" si="1312">TRIM(B1314)</f>
        <v>California</v>
      </c>
      <c r="E1314" s="111" t="str">
        <f t="shared" si="1312"/>
        <v>Diamond Bar</v>
      </c>
    </row>
    <row r="1315" spans="1:5">
      <c r="A1315" s="3" t="s">
        <v>4837</v>
      </c>
      <c r="B1315" s="110" t="s">
        <v>1321</v>
      </c>
      <c r="C1315" s="111" t="s">
        <v>4838</v>
      </c>
      <c r="D1315" s="111" t="str">
        <f t="shared" ref="D1315:E1315" si="1313">TRIM(B1315)</f>
        <v>California</v>
      </c>
      <c r="E1315" s="111" t="str">
        <f t="shared" si="1313"/>
        <v>Dinuba</v>
      </c>
    </row>
    <row r="1316" spans="1:5">
      <c r="A1316" s="3" t="s">
        <v>4840</v>
      </c>
      <c r="B1316" s="110" t="s">
        <v>1321</v>
      </c>
      <c r="C1316" s="111" t="s">
        <v>4841</v>
      </c>
      <c r="D1316" s="111" t="str">
        <f t="shared" ref="D1316:E1316" si="1314">TRIM(B1316)</f>
        <v>California</v>
      </c>
      <c r="E1316" s="111" t="str">
        <f t="shared" si="1314"/>
        <v>Dixon</v>
      </c>
    </row>
    <row r="1317" spans="1:5">
      <c r="A1317" s="3" t="s">
        <v>4842</v>
      </c>
      <c r="B1317" s="110" t="s">
        <v>1321</v>
      </c>
      <c r="C1317" s="111" t="s">
        <v>4843</v>
      </c>
      <c r="D1317" s="111" t="str">
        <f t="shared" ref="D1317:E1317" si="1315">TRIM(B1317)</f>
        <v>California</v>
      </c>
      <c r="E1317" s="111" t="str">
        <f t="shared" si="1315"/>
        <v>Dorris</v>
      </c>
    </row>
    <row r="1318" spans="1:5">
      <c r="A1318" s="3" t="s">
        <v>4845</v>
      </c>
      <c r="B1318" s="110" t="s">
        <v>1321</v>
      </c>
      <c r="C1318" s="111" t="s">
        <v>4846</v>
      </c>
      <c r="D1318" s="111" t="str">
        <f t="shared" ref="D1318:E1318" si="1316">TRIM(B1318)</f>
        <v>California</v>
      </c>
      <c r="E1318" s="111" t="str">
        <f t="shared" si="1316"/>
        <v>Dos Palos</v>
      </c>
    </row>
    <row r="1319" spans="1:5">
      <c r="A1319" s="3" t="s">
        <v>4849</v>
      </c>
      <c r="B1319" s="110" t="s">
        <v>1321</v>
      </c>
      <c r="C1319" s="111" t="s">
        <v>4851</v>
      </c>
      <c r="D1319" s="111" t="str">
        <f t="shared" ref="D1319:E1319" si="1317">TRIM(B1319)</f>
        <v>California</v>
      </c>
      <c r="E1319" s="111" t="str">
        <f t="shared" si="1317"/>
        <v>Downey</v>
      </c>
    </row>
    <row r="1320" spans="1:5">
      <c r="A1320" s="3" t="s">
        <v>4852</v>
      </c>
      <c r="B1320" s="110" t="s">
        <v>1321</v>
      </c>
      <c r="C1320" s="111" t="s">
        <v>4851</v>
      </c>
      <c r="D1320" s="111" t="str">
        <f t="shared" ref="D1320:E1320" si="1318">TRIM(B1320)</f>
        <v>California</v>
      </c>
      <c r="E1320" s="111" t="str">
        <f t="shared" si="1318"/>
        <v>Downey</v>
      </c>
    </row>
    <row r="1321" spans="1:5">
      <c r="A1321" s="3" t="s">
        <v>4853</v>
      </c>
      <c r="B1321" s="110" t="s">
        <v>1321</v>
      </c>
      <c r="C1321" s="112" t="s">
        <v>4854</v>
      </c>
      <c r="D1321" s="111" t="str">
        <f t="shared" ref="D1321:E1321" si="1319">TRIM(B1321)</f>
        <v>California</v>
      </c>
      <c r="E1321" s="111" t="str">
        <f t="shared" si="1319"/>
        <v>Downieville</v>
      </c>
    </row>
    <row r="1322" spans="1:5">
      <c r="A1322" s="110" t="s">
        <v>4856</v>
      </c>
      <c r="B1322" s="110" t="s">
        <v>1321</v>
      </c>
      <c r="C1322" s="111" t="s">
        <v>4858</v>
      </c>
      <c r="D1322" s="111" t="str">
        <f t="shared" ref="D1322:E1322" si="1320">TRIM(B1322)</f>
        <v>California</v>
      </c>
      <c r="E1322" s="111" t="str">
        <f t="shared" si="1320"/>
        <v>Duarte</v>
      </c>
    </row>
    <row r="1323" spans="1:5">
      <c r="A1323" s="3" t="s">
        <v>4860</v>
      </c>
      <c r="B1323" s="110" t="s">
        <v>1321</v>
      </c>
      <c r="C1323" s="111" t="s">
        <v>4858</v>
      </c>
      <c r="D1323" s="111" t="str">
        <f t="shared" ref="D1323:E1323" si="1321">TRIM(B1323)</f>
        <v>California</v>
      </c>
      <c r="E1323" s="111" t="str">
        <f t="shared" si="1321"/>
        <v>Duarte</v>
      </c>
    </row>
    <row r="1324" spans="1:5">
      <c r="A1324" s="3" t="s">
        <v>4861</v>
      </c>
      <c r="B1324" s="110" t="s">
        <v>1321</v>
      </c>
      <c r="C1324" s="111" t="s">
        <v>850</v>
      </c>
      <c r="D1324" s="111" t="str">
        <f t="shared" ref="D1324:E1324" si="1322">TRIM(B1324)</f>
        <v>California</v>
      </c>
      <c r="E1324" s="111" t="str">
        <f t="shared" si="1322"/>
        <v>Dublin</v>
      </c>
    </row>
    <row r="1325" spans="1:5">
      <c r="A1325" s="3" t="s">
        <v>4864</v>
      </c>
      <c r="B1325" s="110" t="s">
        <v>1321</v>
      </c>
      <c r="C1325" s="111" t="s">
        <v>4865</v>
      </c>
      <c r="D1325" s="111" t="str">
        <f t="shared" ref="D1325:E1325" si="1323">TRIM(B1325)</f>
        <v>California</v>
      </c>
      <c r="E1325" s="111" t="str">
        <f t="shared" si="1323"/>
        <v>Dunlap</v>
      </c>
    </row>
    <row r="1326" spans="1:5">
      <c r="A1326" s="3" t="s">
        <v>4866</v>
      </c>
      <c r="B1326" s="110" t="s">
        <v>1321</v>
      </c>
      <c r="C1326" s="111" t="s">
        <v>4867</v>
      </c>
      <c r="D1326" s="111" t="str">
        <f t="shared" ref="D1326:E1326" si="1324">TRIM(B1326)</f>
        <v>California</v>
      </c>
      <c r="E1326" s="111" t="str">
        <f t="shared" si="1324"/>
        <v>Dunsmuir</v>
      </c>
    </row>
    <row r="1327" spans="1:5">
      <c r="A1327" s="3" t="s">
        <v>4871</v>
      </c>
      <c r="B1327" s="110" t="s">
        <v>1321</v>
      </c>
      <c r="C1327" s="111" t="s">
        <v>4872</v>
      </c>
      <c r="D1327" s="111" t="str">
        <f t="shared" ref="D1327:E1327" si="1325">TRIM(B1327)</f>
        <v>California</v>
      </c>
      <c r="E1327" s="111" t="str">
        <f t="shared" si="1325"/>
        <v>Durham</v>
      </c>
    </row>
    <row r="1328" spans="1:5">
      <c r="A1328" s="110" t="s">
        <v>4873</v>
      </c>
      <c r="B1328" s="110" t="s">
        <v>1321</v>
      </c>
      <c r="C1328" s="113" t="s">
        <v>4874</v>
      </c>
      <c r="D1328" s="111" t="str">
        <f t="shared" ref="D1328:E1328" si="1326">TRIM(B1328)</f>
        <v>California</v>
      </c>
      <c r="E1328" s="111" t="str">
        <f t="shared" si="1326"/>
        <v>East Los Angeles</v>
      </c>
    </row>
    <row r="1329" spans="1:5">
      <c r="A1329" s="3" t="s">
        <v>4876</v>
      </c>
      <c r="B1329" s="110" t="s">
        <v>1321</v>
      </c>
      <c r="C1329" s="111" t="s">
        <v>4877</v>
      </c>
      <c r="D1329" s="111" t="str">
        <f t="shared" ref="D1329:E1329" si="1327">TRIM(B1329)</f>
        <v>California</v>
      </c>
      <c r="E1329" s="111" t="str">
        <f t="shared" si="1327"/>
        <v>East Palo Alto</v>
      </c>
    </row>
    <row r="1330" spans="1:5">
      <c r="A1330" s="3" t="s">
        <v>4879</v>
      </c>
      <c r="B1330" s="110" t="s">
        <v>1321</v>
      </c>
      <c r="C1330" s="111" t="s">
        <v>1294</v>
      </c>
      <c r="D1330" s="111" t="str">
        <f t="shared" ref="D1330:E1330" si="1328">TRIM(B1330)</f>
        <v>California</v>
      </c>
      <c r="E1330" s="111" t="str">
        <f t="shared" si="1328"/>
        <v>Eastvale</v>
      </c>
    </row>
    <row r="1331" spans="1:5">
      <c r="A1331" s="3" t="s">
        <v>4881</v>
      </c>
      <c r="B1331" s="110" t="s">
        <v>1321</v>
      </c>
      <c r="C1331" s="111" t="s">
        <v>4882</v>
      </c>
      <c r="D1331" s="111" t="str">
        <f t="shared" ref="D1331:E1331" si="1329">TRIM(B1331)</f>
        <v>California</v>
      </c>
      <c r="E1331" s="111" t="str">
        <f t="shared" si="1329"/>
        <v>Edwards</v>
      </c>
    </row>
    <row r="1332" spans="1:5">
      <c r="A1332" s="3" t="s">
        <v>4883</v>
      </c>
      <c r="B1332" s="110" t="s">
        <v>1321</v>
      </c>
      <c r="C1332" s="111" t="s">
        <v>415</v>
      </c>
      <c r="D1332" s="111" t="str">
        <f t="shared" ref="D1332:E1332" si="1330">TRIM(B1332)</f>
        <v>California</v>
      </c>
      <c r="E1332" s="111" t="str">
        <f t="shared" si="1330"/>
        <v>El Cajon</v>
      </c>
    </row>
    <row r="1333" spans="1:5">
      <c r="A1333" s="3" t="s">
        <v>4366</v>
      </c>
      <c r="B1333" s="110" t="s">
        <v>1321</v>
      </c>
      <c r="C1333" s="111" t="s">
        <v>415</v>
      </c>
      <c r="D1333" s="111" t="str">
        <f t="shared" ref="D1333:E1333" si="1331">TRIM(B1333)</f>
        <v>California</v>
      </c>
      <c r="E1333" s="111" t="str">
        <f t="shared" si="1331"/>
        <v>El Cajon</v>
      </c>
    </row>
    <row r="1334" spans="1:5">
      <c r="A1334" s="3" t="s">
        <v>4884</v>
      </c>
      <c r="B1334" s="110" t="s">
        <v>1321</v>
      </c>
      <c r="C1334" s="111" t="s">
        <v>415</v>
      </c>
      <c r="D1334" s="111" t="str">
        <f t="shared" ref="D1334:E1334" si="1332">TRIM(B1334)</f>
        <v>California</v>
      </c>
      <c r="E1334" s="111" t="str">
        <f t="shared" si="1332"/>
        <v>El Cajon</v>
      </c>
    </row>
    <row r="1335" spans="1:5">
      <c r="A1335" s="3" t="s">
        <v>4888</v>
      </c>
      <c r="B1335" s="110" t="s">
        <v>1321</v>
      </c>
      <c r="C1335" s="111" t="s">
        <v>4889</v>
      </c>
      <c r="D1335" s="111" t="str">
        <f t="shared" ref="D1335:E1335" si="1333">TRIM(B1335)</f>
        <v>California</v>
      </c>
      <c r="E1335" s="111" t="str">
        <f t="shared" si="1333"/>
        <v>El Centro</v>
      </c>
    </row>
    <row r="1336" spans="1:5">
      <c r="A1336" s="110" t="s">
        <v>4890</v>
      </c>
      <c r="B1336" s="110" t="s">
        <v>1321</v>
      </c>
      <c r="C1336" s="111" t="s">
        <v>4889</v>
      </c>
      <c r="D1336" s="111" t="str">
        <f t="shared" ref="D1336:E1336" si="1334">TRIM(B1336)</f>
        <v>California</v>
      </c>
      <c r="E1336" s="111" t="str">
        <f t="shared" si="1334"/>
        <v>El Centro</v>
      </c>
    </row>
    <row r="1337" spans="1:5">
      <c r="A1337" s="3" t="s">
        <v>4893</v>
      </c>
      <c r="B1337" s="110" t="s">
        <v>1321</v>
      </c>
      <c r="C1337" s="111" t="s">
        <v>4889</v>
      </c>
      <c r="D1337" s="111" t="str">
        <f t="shared" ref="D1337:E1337" si="1335">TRIM(B1337)</f>
        <v>California</v>
      </c>
      <c r="E1337" s="111" t="str">
        <f t="shared" si="1335"/>
        <v>El Centro</v>
      </c>
    </row>
    <row r="1338" spans="1:5">
      <c r="A1338" s="3" t="s">
        <v>4895</v>
      </c>
      <c r="B1338" s="110" t="s">
        <v>1321</v>
      </c>
      <c r="C1338" s="111" t="s">
        <v>4896</v>
      </c>
      <c r="D1338" s="111" t="str">
        <f t="shared" ref="D1338:E1338" si="1336">TRIM(B1338)</f>
        <v>California</v>
      </c>
      <c r="E1338" s="111" t="str">
        <f t="shared" si="1336"/>
        <v>El Cerrito</v>
      </c>
    </row>
    <row r="1339" spans="1:5">
      <c r="A1339" s="110" t="s">
        <v>4897</v>
      </c>
      <c r="B1339" s="110" t="s">
        <v>1321</v>
      </c>
      <c r="C1339" s="111" t="s">
        <v>4896</v>
      </c>
      <c r="D1339" s="111" t="str">
        <f t="shared" ref="D1339:E1339" si="1337">TRIM(B1339)</f>
        <v>California</v>
      </c>
      <c r="E1339" s="111" t="str">
        <f t="shared" si="1337"/>
        <v>El Cerrito</v>
      </c>
    </row>
    <row r="1340" spans="1:5">
      <c r="A1340" s="3" t="s">
        <v>4901</v>
      </c>
      <c r="B1340" s="110" t="s">
        <v>1321</v>
      </c>
      <c r="C1340" s="111" t="s">
        <v>3754</v>
      </c>
      <c r="D1340" s="111" t="str">
        <f t="shared" ref="D1340:E1340" si="1338">TRIM(B1340)</f>
        <v>California</v>
      </c>
      <c r="E1340" s="111" t="str">
        <f t="shared" si="1338"/>
        <v>El Dorado</v>
      </c>
    </row>
    <row r="1341" spans="1:5">
      <c r="A1341" s="3" t="s">
        <v>4902</v>
      </c>
      <c r="B1341" s="110" t="s">
        <v>1321</v>
      </c>
      <c r="C1341" s="111" t="s">
        <v>4903</v>
      </c>
      <c r="D1341" s="111" t="str">
        <f t="shared" ref="D1341:E1341" si="1339">TRIM(B1341)</f>
        <v>California</v>
      </c>
      <c r="E1341" s="111" t="str">
        <f t="shared" si="1339"/>
        <v>El Dorado Hills</v>
      </c>
    </row>
    <row r="1342" spans="1:5">
      <c r="A1342" s="3" t="s">
        <v>4907</v>
      </c>
      <c r="B1342" s="110" t="s">
        <v>1321</v>
      </c>
      <c r="C1342" s="111" t="s">
        <v>4908</v>
      </c>
      <c r="D1342" s="111" t="str">
        <f t="shared" ref="D1342:E1342" si="1340">TRIM(B1342)</f>
        <v>California</v>
      </c>
      <c r="E1342" s="111" t="str">
        <f t="shared" si="1340"/>
        <v>El Monte</v>
      </c>
    </row>
    <row r="1343" spans="1:5">
      <c r="A1343" s="3" t="s">
        <v>4909</v>
      </c>
      <c r="B1343" s="110" t="s">
        <v>1321</v>
      </c>
      <c r="C1343" s="111" t="s">
        <v>4908</v>
      </c>
      <c r="D1343" s="111" t="str">
        <f t="shared" ref="D1343:E1343" si="1341">TRIM(B1343)</f>
        <v>California</v>
      </c>
      <c r="E1343" s="111" t="str">
        <f t="shared" si="1341"/>
        <v>El Monte</v>
      </c>
    </row>
    <row r="1344" spans="1:5">
      <c r="A1344" s="3" t="s">
        <v>2842</v>
      </c>
      <c r="B1344" s="110" t="s">
        <v>1321</v>
      </c>
      <c r="C1344" s="111" t="s">
        <v>4908</v>
      </c>
      <c r="D1344" s="111" t="str">
        <f t="shared" ref="D1344:E1344" si="1342">TRIM(B1344)</f>
        <v>California</v>
      </c>
      <c r="E1344" s="111" t="str">
        <f t="shared" si="1342"/>
        <v>El Monte</v>
      </c>
    </row>
    <row r="1345" spans="1:5">
      <c r="A1345" s="3" t="s">
        <v>4912</v>
      </c>
      <c r="B1345" s="110" t="s">
        <v>1321</v>
      </c>
      <c r="C1345" s="111" t="s">
        <v>4913</v>
      </c>
      <c r="D1345" s="111" t="str">
        <f t="shared" ref="D1345:E1345" si="1343">TRIM(B1345)</f>
        <v>California</v>
      </c>
      <c r="E1345" s="111" t="str">
        <f t="shared" si="1343"/>
        <v>El Portal</v>
      </c>
    </row>
    <row r="1346" spans="1:5">
      <c r="A1346" s="3" t="s">
        <v>4915</v>
      </c>
      <c r="B1346" s="110" t="s">
        <v>1321</v>
      </c>
      <c r="C1346" s="111" t="s">
        <v>4916</v>
      </c>
      <c r="D1346" s="111" t="str">
        <f t="shared" ref="D1346:E1346" si="1344">TRIM(B1346)</f>
        <v>California</v>
      </c>
      <c r="E1346" s="111" t="str">
        <f t="shared" si="1344"/>
        <v>El Segundo</v>
      </c>
    </row>
    <row r="1347" spans="1:5">
      <c r="A1347" s="110" t="s">
        <v>4918</v>
      </c>
      <c r="B1347" s="110" t="s">
        <v>1321</v>
      </c>
      <c r="C1347" s="111" t="s">
        <v>4916</v>
      </c>
      <c r="D1347" s="111" t="str">
        <f t="shared" ref="D1347:E1347" si="1345">TRIM(B1347)</f>
        <v>California</v>
      </c>
      <c r="E1347" s="111" t="str">
        <f t="shared" si="1345"/>
        <v>El Segundo</v>
      </c>
    </row>
    <row r="1348" spans="1:5">
      <c r="A1348" s="3" t="s">
        <v>4920</v>
      </c>
      <c r="B1348" s="110" t="s">
        <v>1321</v>
      </c>
      <c r="C1348" s="111" t="s">
        <v>4916</v>
      </c>
      <c r="D1348" s="111" t="str">
        <f t="shared" ref="D1348:E1348" si="1346">TRIM(B1348)</f>
        <v>California</v>
      </c>
      <c r="E1348" s="111" t="str">
        <f t="shared" si="1346"/>
        <v>El Segundo</v>
      </c>
    </row>
    <row r="1349" spans="1:5">
      <c r="A1349" s="3" t="s">
        <v>4923</v>
      </c>
      <c r="B1349" s="110" t="s">
        <v>1321</v>
      </c>
      <c r="C1349" s="111" t="s">
        <v>4924</v>
      </c>
      <c r="D1349" s="111" t="str">
        <f t="shared" ref="D1349:E1349" si="1347">TRIM(B1349)</f>
        <v>California</v>
      </c>
      <c r="E1349" s="111" t="str">
        <f t="shared" si="1347"/>
        <v>El Sobrante</v>
      </c>
    </row>
    <row r="1350" spans="1:5">
      <c r="A1350" s="3" t="s">
        <v>4925</v>
      </c>
      <c r="B1350" s="110" t="s">
        <v>1321</v>
      </c>
      <c r="C1350" s="111" t="s">
        <v>4926</v>
      </c>
      <c r="D1350" s="111" t="str">
        <f t="shared" ref="D1350:E1350" si="1348">TRIM(B1350)</f>
        <v>California</v>
      </c>
      <c r="E1350" s="111" t="str">
        <f t="shared" si="1348"/>
        <v>Elk Creek</v>
      </c>
    </row>
    <row r="1351" spans="1:5">
      <c r="A1351" s="3" t="s">
        <v>4930</v>
      </c>
      <c r="B1351" s="110" t="s">
        <v>1321</v>
      </c>
      <c r="C1351" s="111" t="s">
        <v>4931</v>
      </c>
      <c r="D1351" s="111" t="str">
        <f t="shared" ref="D1351:E1351" si="1349">TRIM(B1351)</f>
        <v>California</v>
      </c>
      <c r="E1351" s="111" t="str">
        <f t="shared" si="1349"/>
        <v>Elk Grove</v>
      </c>
    </row>
    <row r="1352" spans="1:5">
      <c r="A1352" s="110" t="s">
        <v>4932</v>
      </c>
      <c r="B1352" s="110" t="s">
        <v>1321</v>
      </c>
      <c r="C1352" s="111" t="s">
        <v>4931</v>
      </c>
      <c r="D1352" s="111" t="str">
        <f t="shared" ref="D1352:E1352" si="1350">TRIM(B1352)</f>
        <v>California</v>
      </c>
      <c r="E1352" s="111" t="str">
        <f t="shared" si="1350"/>
        <v>Elk Grove</v>
      </c>
    </row>
    <row r="1353" spans="1:5">
      <c r="A1353" s="3" t="s">
        <v>4936</v>
      </c>
      <c r="B1353" s="110" t="s">
        <v>1321</v>
      </c>
      <c r="C1353" s="111" t="s">
        <v>4931</v>
      </c>
      <c r="D1353" s="111" t="str">
        <f t="shared" ref="D1353:E1353" si="1351">TRIM(B1353)</f>
        <v>California</v>
      </c>
      <c r="E1353" s="111" t="str">
        <f t="shared" si="1351"/>
        <v>Elk Grove</v>
      </c>
    </row>
    <row r="1354" spans="1:5">
      <c r="A1354" s="3" t="s">
        <v>4937</v>
      </c>
      <c r="B1354" s="110" t="s">
        <v>1321</v>
      </c>
      <c r="C1354" s="111" t="s">
        <v>4931</v>
      </c>
      <c r="D1354" s="111" t="str">
        <f t="shared" ref="D1354:E1354" si="1352">TRIM(B1354)</f>
        <v>California</v>
      </c>
      <c r="E1354" s="111" t="str">
        <f t="shared" si="1352"/>
        <v>Elk Grove</v>
      </c>
    </row>
    <row r="1355" spans="1:5">
      <c r="A1355" s="3" t="s">
        <v>4940</v>
      </c>
      <c r="B1355" s="110" t="s">
        <v>1321</v>
      </c>
      <c r="C1355" s="111" t="s">
        <v>4931</v>
      </c>
      <c r="D1355" s="111" t="str">
        <f t="shared" ref="D1355:E1355" si="1353">TRIM(B1355)</f>
        <v>California</v>
      </c>
      <c r="E1355" s="111" t="str">
        <f t="shared" si="1353"/>
        <v>Elk Grove</v>
      </c>
    </row>
    <row r="1356" spans="1:5">
      <c r="A1356" s="3" t="s">
        <v>4942</v>
      </c>
      <c r="B1356" s="110" t="s">
        <v>1321</v>
      </c>
      <c r="C1356" s="111" t="s">
        <v>4931</v>
      </c>
      <c r="D1356" s="111" t="str">
        <f t="shared" ref="D1356:E1356" si="1354">TRIM(B1356)</f>
        <v>California</v>
      </c>
      <c r="E1356" s="111" t="str">
        <f t="shared" si="1354"/>
        <v>Elk Grove</v>
      </c>
    </row>
    <row r="1357" spans="1:5">
      <c r="A1357" s="3" t="s">
        <v>2107</v>
      </c>
      <c r="B1357" s="110" t="s">
        <v>1321</v>
      </c>
      <c r="C1357" s="111" t="s">
        <v>4931</v>
      </c>
      <c r="D1357" s="111" t="str">
        <f t="shared" ref="D1357:E1357" si="1355">TRIM(B1357)</f>
        <v>California</v>
      </c>
      <c r="E1357" s="111" t="str">
        <f t="shared" si="1355"/>
        <v>Elk Grove</v>
      </c>
    </row>
    <row r="1358" spans="1:5">
      <c r="A1358" s="3" t="s">
        <v>4945</v>
      </c>
      <c r="B1358" s="110" t="s">
        <v>1321</v>
      </c>
      <c r="C1358" s="111" t="s">
        <v>4931</v>
      </c>
      <c r="D1358" s="111" t="str">
        <f t="shared" ref="D1358:E1358" si="1356">TRIM(B1358)</f>
        <v>California</v>
      </c>
      <c r="E1358" s="111" t="str">
        <f t="shared" si="1356"/>
        <v>Elk Grove</v>
      </c>
    </row>
    <row r="1359" spans="1:5">
      <c r="A1359" s="110" t="s">
        <v>4947</v>
      </c>
      <c r="B1359" s="110" t="s">
        <v>1321</v>
      </c>
      <c r="C1359" s="111" t="s">
        <v>4948</v>
      </c>
      <c r="D1359" s="111" t="str">
        <f t="shared" ref="D1359:E1359" si="1357">TRIM(B1359)</f>
        <v>California</v>
      </c>
      <c r="E1359" s="111" t="str">
        <f t="shared" si="1357"/>
        <v>Emeryville</v>
      </c>
    </row>
    <row r="1360" spans="1:5">
      <c r="A1360" s="3" t="s">
        <v>4952</v>
      </c>
      <c r="B1360" s="110" t="s">
        <v>1321</v>
      </c>
      <c r="C1360" s="111" t="s">
        <v>4953</v>
      </c>
      <c r="D1360" s="111" t="str">
        <f t="shared" ref="D1360:E1360" si="1358">TRIM(B1360)</f>
        <v>California</v>
      </c>
      <c r="E1360" s="111" t="str">
        <f t="shared" si="1358"/>
        <v>Encinitas</v>
      </c>
    </row>
    <row r="1361" spans="1:5">
      <c r="A1361" s="3" t="s">
        <v>4955</v>
      </c>
      <c r="B1361" s="110" t="s">
        <v>1321</v>
      </c>
      <c r="C1361" s="111" t="s">
        <v>4953</v>
      </c>
      <c r="D1361" s="111" t="str">
        <f t="shared" ref="D1361:E1361" si="1359">TRIM(B1361)</f>
        <v>California</v>
      </c>
      <c r="E1361" s="111" t="str">
        <f t="shared" si="1359"/>
        <v>Encinitas</v>
      </c>
    </row>
    <row r="1362" spans="1:5">
      <c r="A1362" s="3" t="s">
        <v>4957</v>
      </c>
      <c r="B1362" s="110" t="s">
        <v>1321</v>
      </c>
      <c r="C1362" s="111" t="s">
        <v>4953</v>
      </c>
      <c r="D1362" s="111" t="str">
        <f t="shared" ref="D1362:E1362" si="1360">TRIM(B1362)</f>
        <v>California</v>
      </c>
      <c r="E1362" s="111" t="str">
        <f t="shared" si="1360"/>
        <v>Encinitas</v>
      </c>
    </row>
    <row r="1363" spans="1:5">
      <c r="A1363" s="3" t="s">
        <v>4958</v>
      </c>
      <c r="B1363" s="110" t="s">
        <v>1321</v>
      </c>
      <c r="C1363" s="111" t="s">
        <v>4953</v>
      </c>
      <c r="D1363" s="111" t="str">
        <f t="shared" ref="D1363:E1363" si="1361">TRIM(B1363)</f>
        <v>California</v>
      </c>
      <c r="E1363" s="111" t="str">
        <f t="shared" si="1361"/>
        <v>Encinitas</v>
      </c>
    </row>
    <row r="1364" spans="1:5">
      <c r="A1364" s="3" t="s">
        <v>4961</v>
      </c>
      <c r="B1364" s="110" t="s">
        <v>1321</v>
      </c>
      <c r="C1364" s="111" t="s">
        <v>4962</v>
      </c>
      <c r="D1364" s="111" t="str">
        <f t="shared" ref="D1364:E1364" si="1362">TRIM(B1364)</f>
        <v>California</v>
      </c>
      <c r="E1364" s="111" t="str">
        <f t="shared" si="1362"/>
        <v>Escalon</v>
      </c>
    </row>
    <row r="1365" spans="1:5">
      <c r="A1365" s="3" t="s">
        <v>4963</v>
      </c>
      <c r="B1365" s="110" t="s">
        <v>1321</v>
      </c>
      <c r="C1365" s="111" t="s">
        <v>4964</v>
      </c>
      <c r="D1365" s="111" t="str">
        <f t="shared" ref="D1365:E1365" si="1363">TRIM(B1365)</f>
        <v>California</v>
      </c>
      <c r="E1365" s="111" t="str">
        <f t="shared" si="1363"/>
        <v>Escondido</v>
      </c>
    </row>
    <row r="1366" spans="1:5">
      <c r="A1366" s="3" t="s">
        <v>4967</v>
      </c>
      <c r="B1366" s="110" t="s">
        <v>1321</v>
      </c>
      <c r="C1366" s="111" t="s">
        <v>4964</v>
      </c>
      <c r="D1366" s="111" t="str">
        <f t="shared" ref="D1366:E1366" si="1364">TRIM(B1366)</f>
        <v>California</v>
      </c>
      <c r="E1366" s="111" t="str">
        <f t="shared" si="1364"/>
        <v>Escondido</v>
      </c>
    </row>
    <row r="1367" spans="1:5">
      <c r="A1367" s="3" t="s">
        <v>4969</v>
      </c>
      <c r="B1367" s="110" t="s">
        <v>1321</v>
      </c>
      <c r="C1367" s="111" t="s">
        <v>4964</v>
      </c>
      <c r="D1367" s="111" t="str">
        <f t="shared" ref="D1367:E1367" si="1365">TRIM(B1367)</f>
        <v>California</v>
      </c>
      <c r="E1367" s="111" t="str">
        <f t="shared" si="1365"/>
        <v>Escondido</v>
      </c>
    </row>
    <row r="1368" spans="1:5">
      <c r="A1368" s="3" t="s">
        <v>4973</v>
      </c>
      <c r="B1368" s="110" t="s">
        <v>1321</v>
      </c>
      <c r="C1368" s="111" t="s">
        <v>4964</v>
      </c>
      <c r="D1368" s="111" t="str">
        <f t="shared" ref="D1368:E1368" si="1366">TRIM(B1368)</f>
        <v>California</v>
      </c>
      <c r="E1368" s="111" t="str">
        <f t="shared" si="1366"/>
        <v>Escondido</v>
      </c>
    </row>
    <row r="1369" spans="1:5">
      <c r="A1369" s="3" t="s">
        <v>4975</v>
      </c>
      <c r="B1369" s="110" t="s">
        <v>1321</v>
      </c>
      <c r="C1369" s="111" t="s">
        <v>4964</v>
      </c>
      <c r="D1369" s="111" t="str">
        <f t="shared" ref="D1369:E1369" si="1367">TRIM(B1369)</f>
        <v>California</v>
      </c>
      <c r="E1369" s="111" t="str">
        <f t="shared" si="1367"/>
        <v>Escondido</v>
      </c>
    </row>
    <row r="1370" spans="1:5">
      <c r="A1370" s="3" t="s">
        <v>4977</v>
      </c>
      <c r="B1370" s="110" t="s">
        <v>1321</v>
      </c>
      <c r="C1370" s="111" t="s">
        <v>4964</v>
      </c>
      <c r="D1370" s="111" t="str">
        <f t="shared" ref="D1370:E1370" si="1368">TRIM(B1370)</f>
        <v>California</v>
      </c>
      <c r="E1370" s="111" t="str">
        <f t="shared" si="1368"/>
        <v>Escondido</v>
      </c>
    </row>
    <row r="1371" spans="1:5">
      <c r="A1371" s="3" t="s">
        <v>4980</v>
      </c>
      <c r="B1371" s="110" t="s">
        <v>1321</v>
      </c>
      <c r="C1371" s="111" t="s">
        <v>4981</v>
      </c>
      <c r="D1371" s="111" t="str">
        <f t="shared" ref="D1371:E1371" si="1369">TRIM(B1371)</f>
        <v>California</v>
      </c>
      <c r="E1371" s="111" t="str">
        <f t="shared" si="1369"/>
        <v>Esparto</v>
      </c>
    </row>
    <row r="1372" spans="1:5">
      <c r="A1372" s="3" t="s">
        <v>4982</v>
      </c>
      <c r="B1372" s="110" t="s">
        <v>1321</v>
      </c>
      <c r="C1372" s="111" t="s">
        <v>86</v>
      </c>
      <c r="D1372" s="111" t="str">
        <f t="shared" ref="D1372:E1372" si="1370">TRIM(B1372)</f>
        <v>California</v>
      </c>
      <c r="E1372" s="111" t="str">
        <f t="shared" si="1370"/>
        <v>Etiwanda</v>
      </c>
    </row>
    <row r="1373" spans="1:5">
      <c r="A1373" s="3" t="s">
        <v>4985</v>
      </c>
      <c r="B1373" s="110" t="s">
        <v>1321</v>
      </c>
      <c r="C1373" s="111" t="s">
        <v>4987</v>
      </c>
      <c r="D1373" s="111" t="str">
        <f t="shared" ref="D1373:E1373" si="1371">TRIM(B1373)</f>
        <v>California</v>
      </c>
      <c r="E1373" s="111" t="str">
        <f t="shared" si="1371"/>
        <v>Etna</v>
      </c>
    </row>
    <row r="1374" spans="1:5">
      <c r="A1374" s="3" t="s">
        <v>4988</v>
      </c>
      <c r="B1374" s="110" t="s">
        <v>1321</v>
      </c>
      <c r="C1374" s="111" t="s">
        <v>4989</v>
      </c>
      <c r="D1374" s="111" t="str">
        <f t="shared" ref="D1374:E1374" si="1372">TRIM(B1374)</f>
        <v>California</v>
      </c>
      <c r="E1374" s="111" t="str">
        <f t="shared" si="1372"/>
        <v>Eureka</v>
      </c>
    </row>
    <row r="1375" spans="1:5">
      <c r="A1375" s="3" t="s">
        <v>4990</v>
      </c>
      <c r="B1375" s="110" t="s">
        <v>1321</v>
      </c>
      <c r="C1375" s="111" t="s">
        <v>4991</v>
      </c>
      <c r="D1375" s="111" t="str">
        <f t="shared" ref="D1375:E1375" si="1373">TRIM(B1375)</f>
        <v>California</v>
      </c>
      <c r="E1375" s="111" t="str">
        <f t="shared" si="1373"/>
        <v>Exeter</v>
      </c>
    </row>
    <row r="1376" spans="1:5">
      <c r="A1376" s="3" t="s">
        <v>4994</v>
      </c>
      <c r="B1376" s="110" t="s">
        <v>1321</v>
      </c>
      <c r="C1376" s="111" t="s">
        <v>4996</v>
      </c>
      <c r="D1376" s="111" t="str">
        <f t="shared" ref="D1376:E1376" si="1374">TRIM(B1376)</f>
        <v>California</v>
      </c>
      <c r="E1376" s="111" t="str">
        <f t="shared" si="1374"/>
        <v>Fair Oaks</v>
      </c>
    </row>
    <row r="1377" spans="1:5">
      <c r="A1377" s="3" t="s">
        <v>4997</v>
      </c>
      <c r="B1377" s="110" t="s">
        <v>1321</v>
      </c>
      <c r="C1377" s="111" t="s">
        <v>4996</v>
      </c>
      <c r="D1377" s="111" t="str">
        <f t="shared" ref="D1377:E1377" si="1375">TRIM(B1377)</f>
        <v>California</v>
      </c>
      <c r="E1377" s="111" t="str">
        <f t="shared" si="1375"/>
        <v>Fair Oaks</v>
      </c>
    </row>
    <row r="1378" spans="1:5">
      <c r="A1378" s="3" t="s">
        <v>4998</v>
      </c>
      <c r="B1378" s="110" t="s">
        <v>1321</v>
      </c>
      <c r="C1378" s="111" t="s">
        <v>303</v>
      </c>
      <c r="D1378" s="111" t="str">
        <f t="shared" ref="D1378:E1378" si="1376">TRIM(B1378)</f>
        <v>California</v>
      </c>
      <c r="E1378" s="111" t="str">
        <f t="shared" si="1376"/>
        <v>Fairfield</v>
      </c>
    </row>
    <row r="1379" spans="1:5">
      <c r="A1379" s="3" t="s">
        <v>5001</v>
      </c>
      <c r="B1379" s="110" t="s">
        <v>1321</v>
      </c>
      <c r="C1379" s="111" t="s">
        <v>303</v>
      </c>
      <c r="D1379" s="111" t="str">
        <f t="shared" ref="D1379:E1379" si="1377">TRIM(B1379)</f>
        <v>California</v>
      </c>
      <c r="E1379" s="111" t="str">
        <f t="shared" si="1377"/>
        <v>Fairfield</v>
      </c>
    </row>
    <row r="1380" spans="1:5">
      <c r="A1380" s="3" t="s">
        <v>5002</v>
      </c>
      <c r="B1380" s="110" t="s">
        <v>1321</v>
      </c>
      <c r="C1380" s="111" t="s">
        <v>303</v>
      </c>
      <c r="D1380" s="111" t="str">
        <f t="shared" ref="D1380:E1380" si="1378">TRIM(B1380)</f>
        <v>California</v>
      </c>
      <c r="E1380" s="111" t="str">
        <f t="shared" si="1378"/>
        <v>Fairfield</v>
      </c>
    </row>
    <row r="1381" spans="1:5">
      <c r="A1381" s="3" t="s">
        <v>5005</v>
      </c>
      <c r="B1381" s="110" t="s">
        <v>1321</v>
      </c>
      <c r="C1381" s="111" t="s">
        <v>303</v>
      </c>
      <c r="D1381" s="111" t="str">
        <f t="shared" ref="D1381:E1381" si="1379">TRIM(B1381)</f>
        <v>California</v>
      </c>
      <c r="E1381" s="111" t="str">
        <f t="shared" si="1379"/>
        <v>Fairfield</v>
      </c>
    </row>
    <row r="1382" spans="1:5">
      <c r="A1382" s="3" t="s">
        <v>5007</v>
      </c>
      <c r="B1382" s="110" t="s">
        <v>1321</v>
      </c>
      <c r="C1382" s="111" t="s">
        <v>303</v>
      </c>
      <c r="D1382" s="111" t="str">
        <f t="shared" ref="D1382:E1382" si="1380">TRIM(B1382)</f>
        <v>California</v>
      </c>
      <c r="E1382" s="111" t="str">
        <f t="shared" si="1380"/>
        <v>Fairfield</v>
      </c>
    </row>
    <row r="1383" spans="1:5">
      <c r="A1383" s="3" t="s">
        <v>5010</v>
      </c>
      <c r="B1383" s="110" t="s">
        <v>1321</v>
      </c>
      <c r="C1383" s="111" t="s">
        <v>5011</v>
      </c>
      <c r="D1383" s="111" t="str">
        <f t="shared" ref="D1383:E1383" si="1381">TRIM(B1383)</f>
        <v>California</v>
      </c>
      <c r="E1383" s="111" t="str">
        <f t="shared" si="1381"/>
        <v>Fallbrook</v>
      </c>
    </row>
    <row r="1384" spans="1:5">
      <c r="A1384" s="3" t="s">
        <v>5013</v>
      </c>
      <c r="B1384" s="110" t="s">
        <v>1321</v>
      </c>
      <c r="C1384" s="111" t="s">
        <v>5014</v>
      </c>
      <c r="D1384" s="111" t="str">
        <f t="shared" ref="D1384:E1384" si="1382">TRIM(B1384)</f>
        <v>California</v>
      </c>
      <c r="E1384" s="111" t="str">
        <f t="shared" si="1382"/>
        <v>Farmersville</v>
      </c>
    </row>
    <row r="1385" spans="1:5">
      <c r="A1385" s="3" t="s">
        <v>5017</v>
      </c>
      <c r="B1385" s="110" t="s">
        <v>1321</v>
      </c>
      <c r="C1385" s="112" t="s">
        <v>5018</v>
      </c>
      <c r="D1385" s="111" t="str">
        <f t="shared" ref="D1385:E1385" si="1383">TRIM(B1385)</f>
        <v>California</v>
      </c>
      <c r="E1385" s="111" t="str">
        <f t="shared" si="1383"/>
        <v>Felton</v>
      </c>
    </row>
    <row r="1386" spans="1:5">
      <c r="A1386" s="3" t="s">
        <v>5020</v>
      </c>
      <c r="B1386" s="110" t="s">
        <v>1321</v>
      </c>
      <c r="C1386" s="111" t="s">
        <v>5021</v>
      </c>
      <c r="D1386" s="111" t="str">
        <f t="shared" ref="D1386:E1386" si="1384">TRIM(B1386)</f>
        <v>California</v>
      </c>
      <c r="E1386" s="111" t="str">
        <f t="shared" si="1384"/>
        <v>Ferndale</v>
      </c>
    </row>
    <row r="1387" spans="1:5">
      <c r="A1387" s="3" t="s">
        <v>5023</v>
      </c>
      <c r="B1387" s="110" t="s">
        <v>1321</v>
      </c>
      <c r="C1387" s="111" t="s">
        <v>5025</v>
      </c>
      <c r="D1387" s="111" t="str">
        <f t="shared" ref="D1387:E1387" si="1385">TRIM(B1387)</f>
        <v>California</v>
      </c>
      <c r="E1387" s="111" t="str">
        <f t="shared" si="1385"/>
        <v>Fillmore</v>
      </c>
    </row>
    <row r="1388" spans="1:5">
      <c r="A1388" s="3" t="s">
        <v>5026</v>
      </c>
      <c r="B1388" s="110" t="s">
        <v>1321</v>
      </c>
      <c r="C1388" s="111" t="s">
        <v>5027</v>
      </c>
      <c r="D1388" s="111" t="str">
        <f t="shared" ref="D1388:E1388" si="1386">TRIM(B1388)</f>
        <v>California</v>
      </c>
      <c r="E1388" s="111" t="str">
        <f t="shared" si="1386"/>
        <v>Firebaugh</v>
      </c>
    </row>
    <row r="1389" spans="1:5">
      <c r="A1389" s="3" t="s">
        <v>5030</v>
      </c>
      <c r="B1389" s="110" t="s">
        <v>1321</v>
      </c>
      <c r="C1389" s="111" t="s">
        <v>2843</v>
      </c>
      <c r="D1389" s="111" t="str">
        <f t="shared" ref="D1389:E1389" si="1387">TRIM(B1389)</f>
        <v>California</v>
      </c>
      <c r="E1389" s="111" t="str">
        <f t="shared" si="1387"/>
        <v>Folsom</v>
      </c>
    </row>
    <row r="1390" spans="1:5">
      <c r="A1390" s="3" t="s">
        <v>5032</v>
      </c>
      <c r="B1390" s="110" t="s">
        <v>1321</v>
      </c>
      <c r="C1390" s="111" t="s">
        <v>2843</v>
      </c>
      <c r="D1390" s="111" t="str">
        <f t="shared" ref="D1390:E1390" si="1388">TRIM(B1390)</f>
        <v>California</v>
      </c>
      <c r="E1390" s="111" t="str">
        <f t="shared" si="1388"/>
        <v>Folsom</v>
      </c>
    </row>
    <row r="1391" spans="1:5">
      <c r="A1391" s="3" t="s">
        <v>5033</v>
      </c>
      <c r="B1391" s="110" t="s">
        <v>1321</v>
      </c>
      <c r="C1391" s="111" t="s">
        <v>5034</v>
      </c>
      <c r="D1391" s="111" t="str">
        <f t="shared" ref="D1391:E1391" si="1389">TRIM(B1391)</f>
        <v>California</v>
      </c>
      <c r="E1391" s="111" t="str">
        <f t="shared" si="1389"/>
        <v>Fontana</v>
      </c>
    </row>
    <row r="1392" spans="1:5">
      <c r="A1392" s="3" t="s">
        <v>5036</v>
      </c>
      <c r="B1392" s="110" t="s">
        <v>1321</v>
      </c>
      <c r="C1392" s="111" t="s">
        <v>5034</v>
      </c>
      <c r="D1392" s="111" t="str">
        <f t="shared" ref="D1392:E1392" si="1390">TRIM(B1392)</f>
        <v>California</v>
      </c>
      <c r="E1392" s="111" t="str">
        <f t="shared" si="1390"/>
        <v>Fontana</v>
      </c>
    </row>
    <row r="1393" spans="1:5">
      <c r="A1393" s="3" t="s">
        <v>5038</v>
      </c>
      <c r="B1393" s="110" t="s">
        <v>1321</v>
      </c>
      <c r="C1393" s="111" t="s">
        <v>5034</v>
      </c>
      <c r="D1393" s="111" t="str">
        <f t="shared" ref="D1393:E1393" si="1391">TRIM(B1393)</f>
        <v>California</v>
      </c>
      <c r="E1393" s="111" t="str">
        <f t="shared" si="1391"/>
        <v>Fontana</v>
      </c>
    </row>
    <row r="1394" spans="1:5">
      <c r="A1394" s="3" t="s">
        <v>5040</v>
      </c>
      <c r="B1394" s="110" t="s">
        <v>1321</v>
      </c>
      <c r="C1394" s="111" t="s">
        <v>5034</v>
      </c>
      <c r="D1394" s="111" t="str">
        <f t="shared" ref="D1394:E1394" si="1392">TRIM(B1394)</f>
        <v>California</v>
      </c>
      <c r="E1394" s="111" t="str">
        <f t="shared" si="1392"/>
        <v>Fontana</v>
      </c>
    </row>
    <row r="1395" spans="1:5">
      <c r="A1395" s="3" t="s">
        <v>2617</v>
      </c>
      <c r="B1395" s="110" t="s">
        <v>1321</v>
      </c>
      <c r="C1395" s="111" t="s">
        <v>5034</v>
      </c>
      <c r="D1395" s="111" t="str">
        <f t="shared" ref="D1395:E1395" si="1393">TRIM(B1395)</f>
        <v>California</v>
      </c>
      <c r="E1395" s="111" t="str">
        <f t="shared" si="1393"/>
        <v>Fontana</v>
      </c>
    </row>
    <row r="1396" spans="1:5">
      <c r="A1396" s="3" t="s">
        <v>5042</v>
      </c>
      <c r="B1396" s="110" t="s">
        <v>1321</v>
      </c>
      <c r="C1396" s="111" t="s">
        <v>5043</v>
      </c>
      <c r="D1396" s="111" t="str">
        <f t="shared" ref="D1396:E1396" si="1394">TRIM(B1396)</f>
        <v>California</v>
      </c>
      <c r="E1396" s="111" t="str">
        <f t="shared" si="1394"/>
        <v>Foresthill</v>
      </c>
    </row>
    <row r="1397" spans="1:5">
      <c r="A1397" s="3" t="s">
        <v>5047</v>
      </c>
      <c r="B1397" s="110" t="s">
        <v>1321</v>
      </c>
      <c r="C1397" s="111" t="s">
        <v>5048</v>
      </c>
      <c r="D1397" s="111" t="str">
        <f t="shared" ref="D1397:E1397" si="1395">TRIM(B1397)</f>
        <v>California</v>
      </c>
      <c r="E1397" s="111" t="str">
        <f t="shared" si="1395"/>
        <v>Forestville</v>
      </c>
    </row>
    <row r="1398" spans="1:5">
      <c r="A1398" s="3" t="s">
        <v>5049</v>
      </c>
      <c r="B1398" s="110" t="s">
        <v>1321</v>
      </c>
      <c r="C1398" s="111" t="s">
        <v>5050</v>
      </c>
      <c r="D1398" s="111" t="str">
        <f t="shared" ref="D1398:E1398" si="1396">TRIM(B1398)</f>
        <v>California</v>
      </c>
      <c r="E1398" s="111" t="str">
        <f t="shared" si="1396"/>
        <v>Fort Bragg</v>
      </c>
    </row>
    <row r="1399" spans="1:5">
      <c r="A1399" s="3" t="s">
        <v>5053</v>
      </c>
      <c r="B1399" s="110" t="s">
        <v>1321</v>
      </c>
      <c r="C1399" s="111" t="s">
        <v>5054</v>
      </c>
      <c r="D1399" s="111" t="str">
        <f t="shared" ref="D1399:E1399" si="1397">TRIM(B1399)</f>
        <v>California</v>
      </c>
      <c r="E1399" s="111" t="str">
        <f t="shared" si="1397"/>
        <v>Fortuna</v>
      </c>
    </row>
    <row r="1400" spans="1:5">
      <c r="A1400" s="3" t="s">
        <v>5056</v>
      </c>
      <c r="B1400" s="110" t="s">
        <v>1321</v>
      </c>
      <c r="C1400" s="111" t="s">
        <v>5057</v>
      </c>
      <c r="D1400" s="111" t="str">
        <f t="shared" ref="D1400:E1400" si="1398">TRIM(B1400)</f>
        <v>California</v>
      </c>
      <c r="E1400" s="111" t="str">
        <f t="shared" si="1398"/>
        <v>Fountain Valley</v>
      </c>
    </row>
    <row r="1401" spans="1:5">
      <c r="A1401" s="3" t="s">
        <v>5059</v>
      </c>
      <c r="B1401" s="110" t="s">
        <v>1321</v>
      </c>
      <c r="C1401" s="111" t="s">
        <v>5057</v>
      </c>
      <c r="D1401" s="111" t="str">
        <f t="shared" ref="D1401:E1401" si="1399">TRIM(B1401)</f>
        <v>California</v>
      </c>
      <c r="E1401" s="111" t="str">
        <f t="shared" si="1399"/>
        <v>Fountain Valley</v>
      </c>
    </row>
    <row r="1402" spans="1:5">
      <c r="A1402" s="3" t="s">
        <v>5061</v>
      </c>
      <c r="B1402" s="110" t="s">
        <v>1321</v>
      </c>
      <c r="C1402" s="111" t="s">
        <v>5062</v>
      </c>
      <c r="D1402" s="111" t="str">
        <f t="shared" ref="D1402:E1402" si="1400">TRIM(B1402)</f>
        <v>California</v>
      </c>
      <c r="E1402" s="111" t="str">
        <f t="shared" si="1400"/>
        <v>Fowler</v>
      </c>
    </row>
    <row r="1403" spans="1:5">
      <c r="A1403" s="110" t="s">
        <v>5063</v>
      </c>
      <c r="B1403" s="110" t="s">
        <v>1321</v>
      </c>
      <c r="C1403" s="111" t="s">
        <v>5065</v>
      </c>
      <c r="D1403" s="111" t="str">
        <f t="shared" ref="D1403:E1403" si="1401">TRIM(B1403)</f>
        <v>California</v>
      </c>
      <c r="E1403" s="111" t="str">
        <f t="shared" si="1401"/>
        <v>Freedom</v>
      </c>
    </row>
    <row r="1404" spans="1:5">
      <c r="A1404" s="3" t="s">
        <v>5067</v>
      </c>
      <c r="B1404" s="110" t="s">
        <v>1321</v>
      </c>
      <c r="C1404" s="111" t="s">
        <v>496</v>
      </c>
      <c r="D1404" s="111" t="str">
        <f t="shared" ref="D1404:E1404" si="1402">TRIM(B1404)</f>
        <v>California</v>
      </c>
      <c r="E1404" s="111" t="str">
        <f t="shared" si="1402"/>
        <v>Fremont</v>
      </c>
    </row>
    <row r="1405" spans="1:5">
      <c r="A1405" s="3" t="s">
        <v>5068</v>
      </c>
      <c r="B1405" s="110" t="s">
        <v>1321</v>
      </c>
      <c r="C1405" s="111" t="s">
        <v>496</v>
      </c>
      <c r="D1405" s="111" t="str">
        <f t="shared" ref="D1405:E1405" si="1403">TRIM(B1405)</f>
        <v>California</v>
      </c>
      <c r="E1405" s="111" t="str">
        <f t="shared" si="1403"/>
        <v>Fremont</v>
      </c>
    </row>
    <row r="1406" spans="1:5">
      <c r="A1406" s="3" t="s">
        <v>5072</v>
      </c>
      <c r="B1406" s="110" t="s">
        <v>1321</v>
      </c>
      <c r="C1406" s="111" t="s">
        <v>496</v>
      </c>
      <c r="D1406" s="111" t="str">
        <f t="shared" ref="D1406:E1406" si="1404">TRIM(B1406)</f>
        <v>California</v>
      </c>
      <c r="E1406" s="111" t="str">
        <f t="shared" si="1404"/>
        <v>Fremont</v>
      </c>
    </row>
    <row r="1407" spans="1:5">
      <c r="A1407" s="3" t="s">
        <v>5073</v>
      </c>
      <c r="B1407" s="110" t="s">
        <v>1321</v>
      </c>
      <c r="C1407" s="111" t="s">
        <v>496</v>
      </c>
      <c r="D1407" s="111" t="str">
        <f t="shared" ref="D1407:E1407" si="1405">TRIM(B1407)</f>
        <v>California</v>
      </c>
      <c r="E1407" s="111" t="str">
        <f t="shared" si="1405"/>
        <v>Fremont</v>
      </c>
    </row>
    <row r="1408" spans="1:5">
      <c r="A1408" s="3" t="s">
        <v>3140</v>
      </c>
      <c r="B1408" s="110" t="s">
        <v>1321</v>
      </c>
      <c r="C1408" s="111" t="s">
        <v>496</v>
      </c>
      <c r="D1408" s="111" t="str">
        <f t="shared" ref="D1408:E1408" si="1406">TRIM(B1408)</f>
        <v>California</v>
      </c>
      <c r="E1408" s="111" t="str">
        <f t="shared" si="1406"/>
        <v>Fremont</v>
      </c>
    </row>
    <row r="1409" spans="1:5">
      <c r="A1409" s="3" t="s">
        <v>5077</v>
      </c>
      <c r="B1409" s="110" t="s">
        <v>1321</v>
      </c>
      <c r="C1409" s="111" t="s">
        <v>1164</v>
      </c>
      <c r="D1409" s="111" t="str">
        <f t="shared" ref="D1409:E1409" si="1407">TRIM(B1409)</f>
        <v>California</v>
      </c>
      <c r="E1409" s="111" t="str">
        <f t="shared" si="1407"/>
        <v>Fresno</v>
      </c>
    </row>
    <row r="1410" spans="1:5">
      <c r="A1410" s="110" t="s">
        <v>5080</v>
      </c>
      <c r="B1410" s="110" t="s">
        <v>1321</v>
      </c>
      <c r="C1410" s="111" t="s">
        <v>1164</v>
      </c>
      <c r="D1410" s="111" t="str">
        <f t="shared" ref="D1410:E1410" si="1408">TRIM(B1410)</f>
        <v>California</v>
      </c>
      <c r="E1410" s="111" t="str">
        <f t="shared" si="1408"/>
        <v>Fresno</v>
      </c>
    </row>
    <row r="1411" spans="1:5">
      <c r="A1411" s="110" t="s">
        <v>5082</v>
      </c>
      <c r="B1411" s="110" t="s">
        <v>1321</v>
      </c>
      <c r="C1411" s="111" t="s">
        <v>1164</v>
      </c>
      <c r="D1411" s="111" t="str">
        <f t="shared" ref="D1411:E1411" si="1409">TRIM(B1411)</f>
        <v>California</v>
      </c>
      <c r="E1411" s="111" t="str">
        <f t="shared" si="1409"/>
        <v>Fresno</v>
      </c>
    </row>
    <row r="1412" spans="1:5">
      <c r="A1412" s="3" t="s">
        <v>5083</v>
      </c>
      <c r="B1412" s="110" t="s">
        <v>1321</v>
      </c>
      <c r="C1412" s="111" t="s">
        <v>1164</v>
      </c>
      <c r="D1412" s="111" t="str">
        <f t="shared" ref="D1412:E1412" si="1410">TRIM(B1412)</f>
        <v>California</v>
      </c>
      <c r="E1412" s="111" t="str">
        <f t="shared" si="1410"/>
        <v>Fresno</v>
      </c>
    </row>
    <row r="1413" spans="1:5">
      <c r="A1413" s="3" t="s">
        <v>5085</v>
      </c>
      <c r="B1413" s="110" t="s">
        <v>1321</v>
      </c>
      <c r="C1413" s="111" t="s">
        <v>1164</v>
      </c>
      <c r="D1413" s="111" t="str">
        <f t="shared" ref="D1413:E1413" si="1411">TRIM(B1413)</f>
        <v>California</v>
      </c>
      <c r="E1413" s="111" t="str">
        <f t="shared" si="1411"/>
        <v>Fresno</v>
      </c>
    </row>
    <row r="1414" spans="1:5">
      <c r="A1414" s="3" t="s">
        <v>5087</v>
      </c>
      <c r="B1414" s="110" t="s">
        <v>1321</v>
      </c>
      <c r="C1414" s="111" t="s">
        <v>1164</v>
      </c>
      <c r="D1414" s="111" t="str">
        <f t="shared" ref="D1414:E1414" si="1412">TRIM(B1414)</f>
        <v>California</v>
      </c>
      <c r="E1414" s="111" t="str">
        <f t="shared" si="1412"/>
        <v>Fresno</v>
      </c>
    </row>
    <row r="1415" spans="1:5">
      <c r="A1415" s="3" t="s">
        <v>5088</v>
      </c>
      <c r="B1415" s="110" t="s">
        <v>1321</v>
      </c>
      <c r="C1415" s="111" t="s">
        <v>1164</v>
      </c>
      <c r="D1415" s="111" t="str">
        <f t="shared" ref="D1415:E1415" si="1413">TRIM(B1415)</f>
        <v>California</v>
      </c>
      <c r="E1415" s="111" t="str">
        <f t="shared" si="1413"/>
        <v>Fresno</v>
      </c>
    </row>
    <row r="1416" spans="1:5">
      <c r="A1416" s="3" t="s">
        <v>5092</v>
      </c>
      <c r="B1416" s="110" t="s">
        <v>1321</v>
      </c>
      <c r="C1416" s="111" t="s">
        <v>1164</v>
      </c>
      <c r="D1416" s="111" t="str">
        <f t="shared" ref="D1416:E1416" si="1414">TRIM(B1416)</f>
        <v>California</v>
      </c>
      <c r="E1416" s="111" t="str">
        <f t="shared" si="1414"/>
        <v>Fresno</v>
      </c>
    </row>
    <row r="1417" spans="1:5">
      <c r="A1417" s="3" t="s">
        <v>5093</v>
      </c>
      <c r="B1417" s="110" t="s">
        <v>1321</v>
      </c>
      <c r="C1417" s="111" t="s">
        <v>1164</v>
      </c>
      <c r="D1417" s="111" t="str">
        <f t="shared" ref="D1417:E1417" si="1415">TRIM(B1417)</f>
        <v>California</v>
      </c>
      <c r="E1417" s="111" t="str">
        <f t="shared" si="1415"/>
        <v>Fresno</v>
      </c>
    </row>
    <row r="1418" spans="1:5">
      <c r="A1418" s="3" t="s">
        <v>5096</v>
      </c>
      <c r="B1418" s="110" t="s">
        <v>1321</v>
      </c>
      <c r="C1418" s="111" t="s">
        <v>1164</v>
      </c>
      <c r="D1418" s="111" t="str">
        <f t="shared" ref="D1418:E1418" si="1416">TRIM(B1418)</f>
        <v>California</v>
      </c>
      <c r="E1418" s="111" t="str">
        <f t="shared" si="1416"/>
        <v>Fresno</v>
      </c>
    </row>
    <row r="1419" spans="1:5">
      <c r="A1419" s="3" t="s">
        <v>5098</v>
      </c>
      <c r="B1419" s="110" t="s">
        <v>1321</v>
      </c>
      <c r="C1419" s="111" t="s">
        <v>1164</v>
      </c>
      <c r="D1419" s="111" t="str">
        <f t="shared" ref="D1419:E1419" si="1417">TRIM(B1419)</f>
        <v>California</v>
      </c>
      <c r="E1419" s="111" t="str">
        <f t="shared" si="1417"/>
        <v>Fresno</v>
      </c>
    </row>
    <row r="1420" spans="1:5">
      <c r="A1420" s="110" t="s">
        <v>5099</v>
      </c>
      <c r="B1420" s="110" t="s">
        <v>1321</v>
      </c>
      <c r="C1420" s="111" t="s">
        <v>1164</v>
      </c>
      <c r="D1420" s="111" t="str">
        <f t="shared" ref="D1420:E1420" si="1418">TRIM(B1420)</f>
        <v>California</v>
      </c>
      <c r="E1420" s="111" t="str">
        <f t="shared" si="1418"/>
        <v>Fresno</v>
      </c>
    </row>
    <row r="1421" spans="1:5">
      <c r="A1421" s="3" t="s">
        <v>5101</v>
      </c>
      <c r="B1421" s="110" t="s">
        <v>1321</v>
      </c>
      <c r="C1421" s="111" t="s">
        <v>1164</v>
      </c>
      <c r="D1421" s="111" t="str">
        <f t="shared" ref="D1421:E1421" si="1419">TRIM(B1421)</f>
        <v>California</v>
      </c>
      <c r="E1421" s="111" t="str">
        <f t="shared" si="1419"/>
        <v>Fresno</v>
      </c>
    </row>
    <row r="1422" spans="1:5">
      <c r="A1422" s="110" t="s">
        <v>5103</v>
      </c>
      <c r="B1422" s="110" t="s">
        <v>1321</v>
      </c>
      <c r="C1422" s="111" t="s">
        <v>1164</v>
      </c>
      <c r="D1422" s="111" t="str">
        <f t="shared" ref="D1422:E1422" si="1420">TRIM(B1422)</f>
        <v>California</v>
      </c>
      <c r="E1422" s="111" t="str">
        <f t="shared" si="1420"/>
        <v>Fresno</v>
      </c>
    </row>
    <row r="1423" spans="1:5">
      <c r="A1423" s="3" t="s">
        <v>3477</v>
      </c>
      <c r="B1423" s="110" t="s">
        <v>1321</v>
      </c>
      <c r="C1423" s="111" t="s">
        <v>1164</v>
      </c>
      <c r="D1423" s="111" t="str">
        <f t="shared" ref="D1423:E1423" si="1421">TRIM(B1423)</f>
        <v>California</v>
      </c>
      <c r="E1423" s="111" t="str">
        <f t="shared" si="1421"/>
        <v>Fresno</v>
      </c>
    </row>
    <row r="1424" spans="1:5">
      <c r="A1424" s="3" t="s">
        <v>3364</v>
      </c>
      <c r="B1424" s="110" t="s">
        <v>1321</v>
      </c>
      <c r="C1424" s="111" t="s">
        <v>1164</v>
      </c>
      <c r="D1424" s="111" t="str">
        <f t="shared" ref="D1424:E1424" si="1422">TRIM(B1424)</f>
        <v>California</v>
      </c>
      <c r="E1424" s="111" t="str">
        <f t="shared" si="1422"/>
        <v>Fresno</v>
      </c>
    </row>
    <row r="1425" spans="1:5">
      <c r="A1425" s="3" t="s">
        <v>3140</v>
      </c>
      <c r="B1425" s="110" t="s">
        <v>1321</v>
      </c>
      <c r="C1425" s="111" t="s">
        <v>1164</v>
      </c>
      <c r="D1425" s="111" t="str">
        <f t="shared" ref="D1425:E1425" si="1423">TRIM(B1425)</f>
        <v>California</v>
      </c>
      <c r="E1425" s="111" t="str">
        <f t="shared" si="1423"/>
        <v>Fresno</v>
      </c>
    </row>
    <row r="1426" spans="1:5">
      <c r="A1426" s="3" t="s">
        <v>5110</v>
      </c>
      <c r="B1426" s="110" t="s">
        <v>1321</v>
      </c>
      <c r="C1426" s="111" t="s">
        <v>548</v>
      </c>
      <c r="D1426" s="111" t="str">
        <f t="shared" ref="D1426:E1426" si="1424">TRIM(B1426)</f>
        <v>California</v>
      </c>
      <c r="E1426" s="111" t="str">
        <f t="shared" si="1424"/>
        <v>Fullerton</v>
      </c>
    </row>
    <row r="1427" spans="1:5">
      <c r="A1427" s="3" t="s">
        <v>5112</v>
      </c>
      <c r="B1427" s="110" t="s">
        <v>1321</v>
      </c>
      <c r="C1427" s="111" t="s">
        <v>548</v>
      </c>
      <c r="D1427" s="111" t="str">
        <f t="shared" ref="D1427:E1427" si="1425">TRIM(B1427)</f>
        <v>California</v>
      </c>
      <c r="E1427" s="111" t="str">
        <f t="shared" si="1425"/>
        <v>Fullerton</v>
      </c>
    </row>
    <row r="1428" spans="1:5">
      <c r="A1428" s="3" t="s">
        <v>5114</v>
      </c>
      <c r="B1428" s="110" t="s">
        <v>1321</v>
      </c>
      <c r="C1428" s="111" t="s">
        <v>548</v>
      </c>
      <c r="D1428" s="111" t="str">
        <f t="shared" ref="D1428:E1428" si="1426">TRIM(B1428)</f>
        <v>California</v>
      </c>
      <c r="E1428" s="111" t="str">
        <f t="shared" si="1426"/>
        <v>Fullerton</v>
      </c>
    </row>
    <row r="1429" spans="1:5">
      <c r="A1429" s="3" t="s">
        <v>5117</v>
      </c>
      <c r="B1429" s="110" t="s">
        <v>1321</v>
      </c>
      <c r="C1429" s="111" t="s">
        <v>5119</v>
      </c>
      <c r="D1429" s="111" t="str">
        <f t="shared" ref="D1429:E1429" si="1427">TRIM(B1429)</f>
        <v>California</v>
      </c>
      <c r="E1429" s="111" t="str">
        <f t="shared" si="1427"/>
        <v>Galt</v>
      </c>
    </row>
    <row r="1430" spans="1:5">
      <c r="A1430" s="3" t="s">
        <v>5120</v>
      </c>
      <c r="B1430" s="110" t="s">
        <v>1321</v>
      </c>
      <c r="C1430" s="111" t="s">
        <v>5119</v>
      </c>
      <c r="D1430" s="111" t="str">
        <f t="shared" ref="D1430:E1430" si="1428">TRIM(B1430)</f>
        <v>California</v>
      </c>
      <c r="E1430" s="111" t="str">
        <f t="shared" si="1428"/>
        <v>Galt</v>
      </c>
    </row>
    <row r="1431" spans="1:5">
      <c r="A1431" s="3" t="s">
        <v>5124</v>
      </c>
      <c r="B1431" s="110" t="s">
        <v>1321</v>
      </c>
      <c r="C1431" s="111" t="s">
        <v>5125</v>
      </c>
      <c r="D1431" s="111" t="str">
        <f t="shared" ref="D1431:E1431" si="1429">TRIM(B1431)</f>
        <v>California</v>
      </c>
      <c r="E1431" s="111" t="str">
        <f t="shared" si="1429"/>
        <v>Garden Grove</v>
      </c>
    </row>
    <row r="1432" spans="1:5">
      <c r="A1432" s="3" t="s">
        <v>5128</v>
      </c>
      <c r="B1432" s="110" t="s">
        <v>1321</v>
      </c>
      <c r="C1432" s="111" t="s">
        <v>5125</v>
      </c>
      <c r="D1432" s="111" t="str">
        <f t="shared" ref="D1432:E1432" si="1430">TRIM(B1432)</f>
        <v>California</v>
      </c>
      <c r="E1432" s="111" t="str">
        <f t="shared" si="1430"/>
        <v>Garden Grove</v>
      </c>
    </row>
    <row r="1433" spans="1:5">
      <c r="A1433" s="3" t="s">
        <v>5130</v>
      </c>
      <c r="B1433" s="110" t="s">
        <v>1321</v>
      </c>
      <c r="C1433" s="111" t="s">
        <v>5125</v>
      </c>
      <c r="D1433" s="111" t="str">
        <f t="shared" ref="D1433:E1433" si="1431">TRIM(B1433)</f>
        <v>California</v>
      </c>
      <c r="E1433" s="111" t="str">
        <f t="shared" si="1431"/>
        <v>Garden Grove</v>
      </c>
    </row>
    <row r="1434" spans="1:5">
      <c r="A1434" s="3" t="s">
        <v>5132</v>
      </c>
      <c r="B1434" s="110" t="s">
        <v>1321</v>
      </c>
      <c r="C1434" s="111" t="s">
        <v>5125</v>
      </c>
      <c r="D1434" s="111" t="str">
        <f t="shared" ref="D1434:E1434" si="1432">TRIM(B1434)</f>
        <v>California</v>
      </c>
      <c r="E1434" s="111" t="str">
        <f t="shared" si="1432"/>
        <v>Garden Grove</v>
      </c>
    </row>
    <row r="1435" spans="1:5">
      <c r="A1435" s="3" t="s">
        <v>4751</v>
      </c>
      <c r="B1435" s="110" t="s">
        <v>1321</v>
      </c>
      <c r="C1435" s="111" t="s">
        <v>5125</v>
      </c>
      <c r="D1435" s="111" t="str">
        <f t="shared" ref="D1435:E1435" si="1433">TRIM(B1435)</f>
        <v>California</v>
      </c>
      <c r="E1435" s="111" t="str">
        <f t="shared" si="1433"/>
        <v>Garden Grove</v>
      </c>
    </row>
    <row r="1436" spans="1:5">
      <c r="A1436" s="3" t="s">
        <v>5134</v>
      </c>
      <c r="B1436" s="110" t="s">
        <v>1321</v>
      </c>
      <c r="C1436" s="111" t="s">
        <v>5136</v>
      </c>
      <c r="D1436" s="111" t="str">
        <f t="shared" ref="D1436:E1436" si="1434">TRIM(B1436)</f>
        <v>California</v>
      </c>
      <c r="E1436" s="111" t="str">
        <f t="shared" si="1434"/>
        <v>Garden Valley</v>
      </c>
    </row>
    <row r="1437" spans="1:5">
      <c r="A1437" s="3" t="s">
        <v>5138</v>
      </c>
      <c r="B1437" s="110" t="s">
        <v>1321</v>
      </c>
      <c r="C1437" s="111" t="s">
        <v>4441</v>
      </c>
      <c r="D1437" s="111" t="str">
        <f t="shared" ref="D1437:E1437" si="1435">TRIM(B1437)</f>
        <v>California</v>
      </c>
      <c r="E1437" s="111" t="str">
        <f t="shared" si="1435"/>
        <v>Gardena</v>
      </c>
    </row>
    <row r="1438" spans="1:5">
      <c r="A1438" s="110" t="s">
        <v>5139</v>
      </c>
      <c r="B1438" s="110" t="s">
        <v>1321</v>
      </c>
      <c r="C1438" s="111" t="s">
        <v>4441</v>
      </c>
      <c r="D1438" s="111" t="str">
        <f t="shared" ref="D1438:E1438" si="1436">TRIM(B1438)</f>
        <v>California</v>
      </c>
      <c r="E1438" s="111" t="str">
        <f t="shared" si="1436"/>
        <v>Gardena</v>
      </c>
    </row>
    <row r="1439" spans="1:5">
      <c r="A1439" s="3" t="s">
        <v>5143</v>
      </c>
      <c r="B1439" s="110" t="s">
        <v>1321</v>
      </c>
      <c r="C1439" s="111" t="s">
        <v>5144</v>
      </c>
      <c r="D1439" s="111" t="str">
        <f t="shared" ref="D1439:E1439" si="1437">TRIM(B1439)</f>
        <v>California</v>
      </c>
      <c r="E1439" s="111" t="str">
        <f t="shared" si="1437"/>
        <v>Geyserville</v>
      </c>
    </row>
    <row r="1440" spans="1:5">
      <c r="A1440" s="3" t="s">
        <v>5146</v>
      </c>
      <c r="B1440" s="110" t="s">
        <v>1321</v>
      </c>
      <c r="C1440" s="111" t="s">
        <v>5148</v>
      </c>
      <c r="D1440" s="111" t="str">
        <f t="shared" ref="D1440:E1440" si="1438">TRIM(B1440)</f>
        <v>California</v>
      </c>
      <c r="E1440" s="111" t="str">
        <f t="shared" si="1438"/>
        <v>Gilroy</v>
      </c>
    </row>
    <row r="1441" spans="1:5">
      <c r="A1441" s="3" t="s">
        <v>5150</v>
      </c>
      <c r="B1441" s="110" t="s">
        <v>1321</v>
      </c>
      <c r="C1441" s="111" t="s">
        <v>5148</v>
      </c>
      <c r="D1441" s="111" t="str">
        <f t="shared" ref="D1441:E1441" si="1439">TRIM(B1441)</f>
        <v>California</v>
      </c>
      <c r="E1441" s="111" t="str">
        <f t="shared" si="1439"/>
        <v>Gilroy</v>
      </c>
    </row>
    <row r="1442" spans="1:5">
      <c r="A1442" s="3" t="s">
        <v>5151</v>
      </c>
      <c r="B1442" s="110" t="s">
        <v>1321</v>
      </c>
      <c r="C1442" s="111" t="s">
        <v>5148</v>
      </c>
      <c r="D1442" s="111" t="str">
        <f t="shared" ref="D1442:E1442" si="1440">TRIM(B1442)</f>
        <v>California</v>
      </c>
      <c r="E1442" s="111" t="str">
        <f t="shared" si="1440"/>
        <v>Gilroy</v>
      </c>
    </row>
    <row r="1443" spans="1:5">
      <c r="A1443" s="3" t="s">
        <v>2724</v>
      </c>
      <c r="B1443" s="110" t="s">
        <v>1321</v>
      </c>
      <c r="C1443" s="111" t="s">
        <v>225</v>
      </c>
      <c r="D1443" s="111" t="str">
        <f t="shared" ref="D1443:E1443" si="1441">TRIM(B1443)</f>
        <v>California</v>
      </c>
      <c r="E1443" s="111" t="str">
        <f t="shared" si="1441"/>
        <v>Glendale</v>
      </c>
    </row>
    <row r="1444" spans="1:5">
      <c r="A1444" s="3" t="s">
        <v>5096</v>
      </c>
      <c r="B1444" s="110" t="s">
        <v>1321</v>
      </c>
      <c r="C1444" s="111" t="s">
        <v>225</v>
      </c>
      <c r="D1444" s="111" t="str">
        <f t="shared" ref="D1444:E1444" si="1442">TRIM(B1444)</f>
        <v>California</v>
      </c>
      <c r="E1444" s="111" t="str">
        <f t="shared" si="1442"/>
        <v>Glendale</v>
      </c>
    </row>
    <row r="1445" spans="1:5">
      <c r="A1445" s="3" t="s">
        <v>5157</v>
      </c>
      <c r="B1445" s="110" t="s">
        <v>1321</v>
      </c>
      <c r="C1445" s="111" t="s">
        <v>418</v>
      </c>
      <c r="D1445" s="111" t="str">
        <f t="shared" ref="D1445:E1445" si="1443">TRIM(B1445)</f>
        <v>California</v>
      </c>
      <c r="E1445" s="111" t="str">
        <f t="shared" si="1443"/>
        <v>Glendora</v>
      </c>
    </row>
    <row r="1446" spans="1:5">
      <c r="A1446" s="3" t="s">
        <v>5158</v>
      </c>
      <c r="B1446" s="110" t="s">
        <v>1321</v>
      </c>
      <c r="C1446" s="111" t="s">
        <v>5159</v>
      </c>
      <c r="D1446" s="111" t="str">
        <f t="shared" ref="D1446:E1446" si="1444">TRIM(B1446)</f>
        <v>California</v>
      </c>
      <c r="E1446" s="111" t="str">
        <f t="shared" si="1444"/>
        <v>Goleta</v>
      </c>
    </row>
    <row r="1447" spans="1:5">
      <c r="A1447" s="3" t="s">
        <v>5162</v>
      </c>
      <c r="B1447" s="110" t="s">
        <v>1321</v>
      </c>
      <c r="C1447" s="111" t="s">
        <v>5163</v>
      </c>
      <c r="D1447" s="111" t="str">
        <f t="shared" ref="D1447:E1447" si="1445">TRIM(B1447)</f>
        <v>California</v>
      </c>
      <c r="E1447" s="111" t="str">
        <f t="shared" si="1445"/>
        <v>Gonzales</v>
      </c>
    </row>
    <row r="1448" spans="1:5">
      <c r="A1448" s="3" t="s">
        <v>5165</v>
      </c>
      <c r="B1448" s="110" t="s">
        <v>1321</v>
      </c>
      <c r="C1448" s="112" t="s">
        <v>5166</v>
      </c>
      <c r="D1448" s="111" t="str">
        <f t="shared" ref="D1448:E1448" si="1446">TRIM(B1448)</f>
        <v>California</v>
      </c>
      <c r="E1448" s="111" t="str">
        <f t="shared" si="1446"/>
        <v>Granada Hills</v>
      </c>
    </row>
    <row r="1449" spans="1:5">
      <c r="A1449" s="3" t="s">
        <v>5072</v>
      </c>
      <c r="B1449" s="110" t="s">
        <v>1321</v>
      </c>
      <c r="C1449" s="111" t="s">
        <v>5166</v>
      </c>
      <c r="D1449" s="111" t="str">
        <f t="shared" ref="D1449:E1449" si="1447">TRIM(B1449)</f>
        <v>California</v>
      </c>
      <c r="E1449" s="111" t="str">
        <f t="shared" si="1447"/>
        <v>Granada Hills</v>
      </c>
    </row>
    <row r="1450" spans="1:5">
      <c r="A1450" s="3" t="s">
        <v>5169</v>
      </c>
      <c r="B1450" s="110" t="s">
        <v>1321</v>
      </c>
      <c r="C1450" s="111" t="s">
        <v>5166</v>
      </c>
      <c r="D1450" s="111" t="str">
        <f t="shared" ref="D1450:E1450" si="1448">TRIM(B1450)</f>
        <v>California</v>
      </c>
      <c r="E1450" s="111" t="str">
        <f t="shared" si="1448"/>
        <v>Granada Hills</v>
      </c>
    </row>
    <row r="1451" spans="1:5">
      <c r="A1451" s="3" t="s">
        <v>5170</v>
      </c>
      <c r="B1451" s="110" t="s">
        <v>1321</v>
      </c>
      <c r="C1451" s="111" t="s">
        <v>5171</v>
      </c>
      <c r="D1451" s="111" t="str">
        <f t="shared" ref="D1451:E1451" si="1449">TRIM(B1451)</f>
        <v>California</v>
      </c>
      <c r="E1451" s="111" t="str">
        <f t="shared" si="1449"/>
        <v>Grand Terrace</v>
      </c>
    </row>
    <row r="1452" spans="1:5">
      <c r="A1452" s="3" t="s">
        <v>5175</v>
      </c>
      <c r="B1452" s="110" t="s">
        <v>1321</v>
      </c>
      <c r="C1452" s="111" t="s">
        <v>5176</v>
      </c>
      <c r="D1452" s="111" t="str">
        <f t="shared" ref="D1452:E1452" si="1450">TRIM(B1452)</f>
        <v>California</v>
      </c>
      <c r="E1452" s="111" t="str">
        <f t="shared" si="1450"/>
        <v>Granite Bay</v>
      </c>
    </row>
    <row r="1453" spans="1:5">
      <c r="A1453" s="3" t="s">
        <v>5177</v>
      </c>
      <c r="B1453" s="110" t="s">
        <v>1321</v>
      </c>
      <c r="C1453" s="111" t="s">
        <v>5178</v>
      </c>
      <c r="D1453" s="111" t="str">
        <f t="shared" ref="D1453:E1453" si="1451">TRIM(B1453)</f>
        <v>California</v>
      </c>
      <c r="E1453" s="111" t="str">
        <f t="shared" si="1451"/>
        <v>Grass Valley</v>
      </c>
    </row>
    <row r="1454" spans="1:5">
      <c r="A1454" s="3" t="s">
        <v>5180</v>
      </c>
      <c r="B1454" s="110" t="s">
        <v>1321</v>
      </c>
      <c r="C1454" s="111" t="s">
        <v>5178</v>
      </c>
      <c r="D1454" s="111" t="str">
        <f t="shared" ref="D1454:E1454" si="1452">TRIM(B1454)</f>
        <v>California</v>
      </c>
      <c r="E1454" s="111" t="str">
        <f t="shared" si="1452"/>
        <v>Grass Valley</v>
      </c>
    </row>
    <row r="1455" spans="1:5">
      <c r="A1455" s="110" t="s">
        <v>5182</v>
      </c>
      <c r="B1455" s="110" t="s">
        <v>1321</v>
      </c>
      <c r="C1455" s="111" t="s">
        <v>5178</v>
      </c>
      <c r="D1455" s="111" t="str">
        <f t="shared" ref="D1455:E1455" si="1453">TRIM(B1455)</f>
        <v>California</v>
      </c>
      <c r="E1455" s="111" t="str">
        <f t="shared" si="1453"/>
        <v>Grass Valley</v>
      </c>
    </row>
    <row r="1456" spans="1:5">
      <c r="A1456" s="3" t="s">
        <v>5186</v>
      </c>
      <c r="B1456" s="110" t="s">
        <v>1321</v>
      </c>
      <c r="C1456" s="111" t="s">
        <v>5178</v>
      </c>
      <c r="D1456" s="111" t="str">
        <f t="shared" ref="D1456:E1456" si="1454">TRIM(B1456)</f>
        <v>California</v>
      </c>
      <c r="E1456" s="111" t="str">
        <f t="shared" si="1454"/>
        <v>Grass Valley</v>
      </c>
    </row>
    <row r="1457" spans="1:5">
      <c r="A1457" s="3" t="s">
        <v>5187</v>
      </c>
      <c r="B1457" s="110" t="s">
        <v>1321</v>
      </c>
      <c r="C1457" s="111" t="s">
        <v>5188</v>
      </c>
      <c r="D1457" s="111" t="str">
        <f t="shared" ref="D1457:E1457" si="1455">TRIM(B1457)</f>
        <v>California</v>
      </c>
      <c r="E1457" s="111" t="str">
        <f t="shared" si="1455"/>
        <v>Greenfield</v>
      </c>
    </row>
    <row r="1458" spans="1:5">
      <c r="A1458" s="3" t="s">
        <v>5191</v>
      </c>
      <c r="B1458" s="110" t="s">
        <v>1321</v>
      </c>
      <c r="C1458" s="111" t="s">
        <v>1804</v>
      </c>
      <c r="D1458" s="111" t="str">
        <f t="shared" ref="D1458:E1458" si="1456">TRIM(B1458)</f>
        <v>California</v>
      </c>
      <c r="E1458" s="111" t="str">
        <f t="shared" si="1456"/>
        <v>Greenville</v>
      </c>
    </row>
    <row r="1459" spans="1:5">
      <c r="A1459" s="3" t="s">
        <v>5192</v>
      </c>
      <c r="B1459" s="110" t="s">
        <v>1321</v>
      </c>
      <c r="C1459" s="111" t="s">
        <v>5193</v>
      </c>
      <c r="D1459" s="111" t="str">
        <f t="shared" ref="D1459:E1459" si="1457">TRIM(B1459)</f>
        <v>California</v>
      </c>
      <c r="E1459" s="111" t="str">
        <f t="shared" si="1457"/>
        <v>Gridley</v>
      </c>
    </row>
    <row r="1460" spans="1:5">
      <c r="A1460" s="3" t="s">
        <v>5196</v>
      </c>
      <c r="B1460" s="110" t="s">
        <v>1321</v>
      </c>
      <c r="C1460" s="111" t="s">
        <v>5197</v>
      </c>
      <c r="D1460" s="111" t="str">
        <f t="shared" ref="D1460:E1460" si="1458">TRIM(B1460)</f>
        <v>California</v>
      </c>
      <c r="E1460" s="111" t="str">
        <f t="shared" si="1458"/>
        <v>Groveland</v>
      </c>
    </row>
    <row r="1461" spans="1:5">
      <c r="A1461" s="3" t="s">
        <v>5199</v>
      </c>
      <c r="B1461" s="110" t="s">
        <v>1321</v>
      </c>
      <c r="C1461" s="111" t="s">
        <v>5200</v>
      </c>
      <c r="D1461" s="111" t="str">
        <f t="shared" ref="D1461:E1461" si="1459">TRIM(B1461)</f>
        <v>California</v>
      </c>
      <c r="E1461" s="111" t="str">
        <f t="shared" si="1459"/>
        <v>Gustine</v>
      </c>
    </row>
    <row r="1462" spans="1:5">
      <c r="A1462" s="3" t="s">
        <v>5202</v>
      </c>
      <c r="B1462" s="110" t="s">
        <v>1321</v>
      </c>
      <c r="C1462" s="113" t="s">
        <v>5204</v>
      </c>
      <c r="D1462" s="111" t="str">
        <f t="shared" ref="D1462:E1462" si="1460">TRIM(B1462)</f>
        <v>California</v>
      </c>
      <c r="E1462" s="111" t="str">
        <f t="shared" si="1460"/>
        <v>Hacienda Heights</v>
      </c>
    </row>
    <row r="1463" spans="1:5">
      <c r="A1463" s="3" t="s">
        <v>5207</v>
      </c>
      <c r="B1463" s="110" t="s">
        <v>1321</v>
      </c>
      <c r="C1463" s="113" t="s">
        <v>5204</v>
      </c>
      <c r="D1463" s="111" t="str">
        <f t="shared" ref="D1463:E1463" si="1461">TRIM(B1463)</f>
        <v>California</v>
      </c>
      <c r="E1463" s="111" t="str">
        <f t="shared" si="1461"/>
        <v>Hacienda Heights</v>
      </c>
    </row>
    <row r="1464" spans="1:5">
      <c r="A1464" s="3" t="s">
        <v>5208</v>
      </c>
      <c r="B1464" s="110" t="s">
        <v>1321</v>
      </c>
      <c r="C1464" s="111" t="s">
        <v>5210</v>
      </c>
      <c r="D1464" s="111" t="str">
        <f t="shared" ref="D1464:E1464" si="1462">TRIM(B1464)</f>
        <v>California</v>
      </c>
      <c r="E1464" s="111" t="str">
        <f t="shared" si="1462"/>
        <v>Half Moon Bay</v>
      </c>
    </row>
    <row r="1465" spans="1:5">
      <c r="A1465" s="3" t="s">
        <v>1827</v>
      </c>
      <c r="B1465" s="110" t="s">
        <v>1321</v>
      </c>
      <c r="C1465" s="111" t="s">
        <v>5213</v>
      </c>
      <c r="D1465" s="111" t="str">
        <f t="shared" ref="D1465:E1465" si="1463">TRIM(B1465)</f>
        <v>California</v>
      </c>
      <c r="E1465" s="111" t="str">
        <f t="shared" si="1463"/>
        <v>Hamilton City</v>
      </c>
    </row>
    <row r="1466" spans="1:5">
      <c r="A1466" s="3" t="s">
        <v>5214</v>
      </c>
      <c r="B1466" s="110" t="s">
        <v>1321</v>
      </c>
      <c r="C1466" s="111" t="s">
        <v>5215</v>
      </c>
      <c r="D1466" s="111" t="str">
        <f t="shared" ref="D1466:E1466" si="1464">TRIM(B1466)</f>
        <v>California</v>
      </c>
      <c r="E1466" s="111" t="str">
        <f t="shared" si="1464"/>
        <v>Hanford</v>
      </c>
    </row>
    <row r="1467" spans="1:5">
      <c r="A1467" s="110" t="s">
        <v>5217</v>
      </c>
      <c r="B1467" s="110" t="s">
        <v>1321</v>
      </c>
      <c r="C1467" s="111" t="s">
        <v>5215</v>
      </c>
      <c r="D1467" s="111" t="str">
        <f t="shared" ref="D1467:E1467" si="1465">TRIM(B1467)</f>
        <v>California</v>
      </c>
      <c r="E1467" s="111" t="str">
        <f t="shared" si="1465"/>
        <v>Hanford</v>
      </c>
    </row>
    <row r="1468" spans="1:5">
      <c r="A1468" s="3" t="s">
        <v>5218</v>
      </c>
      <c r="B1468" s="110" t="s">
        <v>1321</v>
      </c>
      <c r="C1468" s="111" t="s">
        <v>5215</v>
      </c>
      <c r="D1468" s="111" t="str">
        <f t="shared" ref="D1468:E1468" si="1466">TRIM(B1468)</f>
        <v>California</v>
      </c>
      <c r="E1468" s="111" t="str">
        <f t="shared" si="1466"/>
        <v>Hanford</v>
      </c>
    </row>
    <row r="1469" spans="1:5">
      <c r="A1469" s="3" t="s">
        <v>5220</v>
      </c>
      <c r="B1469" s="110" t="s">
        <v>1321</v>
      </c>
      <c r="C1469" s="111" t="s">
        <v>5215</v>
      </c>
      <c r="D1469" s="111" t="str">
        <f t="shared" ref="D1469:E1469" si="1467">TRIM(B1469)</f>
        <v>California</v>
      </c>
      <c r="E1469" s="111" t="str">
        <f t="shared" si="1467"/>
        <v>Hanford</v>
      </c>
    </row>
    <row r="1470" spans="1:5">
      <c r="A1470" s="3" t="s">
        <v>5223</v>
      </c>
      <c r="B1470" s="110" t="s">
        <v>1321</v>
      </c>
      <c r="C1470" s="111" t="s">
        <v>5224</v>
      </c>
      <c r="D1470" s="111" t="str">
        <f t="shared" ref="D1470:E1470" si="1468">TRIM(B1470)</f>
        <v>California</v>
      </c>
      <c r="E1470" s="111" t="str">
        <f t="shared" si="1468"/>
        <v>Happy Camp</v>
      </c>
    </row>
    <row r="1471" spans="1:5">
      <c r="A1471" s="3" t="s">
        <v>5225</v>
      </c>
      <c r="B1471" s="110" t="s">
        <v>1321</v>
      </c>
      <c r="C1471" s="111" t="s">
        <v>5226</v>
      </c>
      <c r="D1471" s="111" t="str">
        <f t="shared" ref="D1471:E1471" si="1469">TRIM(B1471)</f>
        <v>California</v>
      </c>
      <c r="E1471" s="111" t="str">
        <f t="shared" si="1469"/>
        <v>Harbor City</v>
      </c>
    </row>
    <row r="1472" spans="1:5">
      <c r="A1472" s="3" t="s">
        <v>5228</v>
      </c>
      <c r="B1472" s="110" t="s">
        <v>1321</v>
      </c>
      <c r="C1472" s="111" t="s">
        <v>5226</v>
      </c>
      <c r="D1472" s="111" t="str">
        <f t="shared" ref="D1472:E1472" si="1470">TRIM(B1472)</f>
        <v>California</v>
      </c>
      <c r="E1472" s="111" t="str">
        <f t="shared" si="1470"/>
        <v>Harbor City</v>
      </c>
    </row>
    <row r="1473" spans="1:5">
      <c r="A1473" s="3" t="s">
        <v>5230</v>
      </c>
      <c r="B1473" s="110" t="s">
        <v>1321</v>
      </c>
      <c r="C1473" s="111" t="s">
        <v>510</v>
      </c>
      <c r="D1473" s="111" t="str">
        <f t="shared" ref="D1473:E1473" si="1471">TRIM(B1473)</f>
        <v>California</v>
      </c>
      <c r="E1473" s="111" t="str">
        <f t="shared" si="1471"/>
        <v>Hawthorne</v>
      </c>
    </row>
    <row r="1474" spans="1:5">
      <c r="A1474" s="110" t="s">
        <v>5232</v>
      </c>
      <c r="B1474" s="110" t="s">
        <v>1321</v>
      </c>
      <c r="C1474" s="111" t="s">
        <v>510</v>
      </c>
      <c r="D1474" s="111" t="str">
        <f t="shared" ref="D1474:E1474" si="1472">TRIM(B1474)</f>
        <v>California</v>
      </c>
      <c r="E1474" s="111" t="str">
        <f t="shared" si="1472"/>
        <v>Hawthorne</v>
      </c>
    </row>
    <row r="1475" spans="1:5">
      <c r="A1475" s="3" t="s">
        <v>5234</v>
      </c>
      <c r="B1475" s="110" t="s">
        <v>1321</v>
      </c>
      <c r="C1475" s="111" t="s">
        <v>510</v>
      </c>
      <c r="D1475" s="111" t="str">
        <f t="shared" ref="D1475:E1475" si="1473">TRIM(B1475)</f>
        <v>California</v>
      </c>
      <c r="E1475" s="111" t="str">
        <f t="shared" si="1473"/>
        <v>Hawthorne</v>
      </c>
    </row>
    <row r="1476" spans="1:5">
      <c r="A1476" s="3" t="s">
        <v>5235</v>
      </c>
      <c r="B1476" s="110" t="s">
        <v>1321</v>
      </c>
      <c r="C1476" s="111" t="s">
        <v>510</v>
      </c>
      <c r="D1476" s="111" t="str">
        <f t="shared" ref="D1476:E1476" si="1474">TRIM(B1476)</f>
        <v>California</v>
      </c>
      <c r="E1476" s="111" t="str">
        <f t="shared" si="1474"/>
        <v>Hawthorne</v>
      </c>
    </row>
    <row r="1477" spans="1:5">
      <c r="A1477" s="3" t="s">
        <v>5238</v>
      </c>
      <c r="B1477" s="110" t="s">
        <v>1321</v>
      </c>
      <c r="C1477" s="111" t="s">
        <v>5239</v>
      </c>
      <c r="D1477" s="111" t="str">
        <f t="shared" ref="D1477:E1477" si="1475">TRIM(B1477)</f>
        <v>California</v>
      </c>
      <c r="E1477" s="111" t="str">
        <f t="shared" si="1475"/>
        <v>Hayfork</v>
      </c>
    </row>
    <row r="1478" spans="1:5">
      <c r="A1478" s="3" t="s">
        <v>5240</v>
      </c>
      <c r="B1478" s="110" t="s">
        <v>1321</v>
      </c>
      <c r="C1478" s="111" t="s">
        <v>5241</v>
      </c>
      <c r="D1478" s="111" t="str">
        <f t="shared" ref="D1478:E1478" si="1476">TRIM(B1478)</f>
        <v>California</v>
      </c>
      <c r="E1478" s="111" t="str">
        <f t="shared" si="1476"/>
        <v>Hayward</v>
      </c>
    </row>
    <row r="1479" spans="1:5">
      <c r="A1479" s="3" t="s">
        <v>5242</v>
      </c>
      <c r="B1479" s="110" t="s">
        <v>1321</v>
      </c>
      <c r="C1479" s="111" t="s">
        <v>5241</v>
      </c>
      <c r="D1479" s="111" t="str">
        <f t="shared" ref="D1479:E1479" si="1477">TRIM(B1479)</f>
        <v>California</v>
      </c>
      <c r="E1479" s="111" t="str">
        <f t="shared" si="1477"/>
        <v>Hayward</v>
      </c>
    </row>
    <row r="1480" spans="1:5">
      <c r="A1480" s="3" t="s">
        <v>5246</v>
      </c>
      <c r="B1480" s="110" t="s">
        <v>1321</v>
      </c>
      <c r="C1480" s="111" t="s">
        <v>5241</v>
      </c>
      <c r="D1480" s="111" t="str">
        <f t="shared" ref="D1480:E1480" si="1478">TRIM(B1480)</f>
        <v>California</v>
      </c>
      <c r="E1480" s="111" t="str">
        <f t="shared" si="1478"/>
        <v>Hayward</v>
      </c>
    </row>
    <row r="1481" spans="1:5">
      <c r="A1481" s="3" t="s">
        <v>5248</v>
      </c>
      <c r="B1481" s="110" t="s">
        <v>1321</v>
      </c>
      <c r="C1481" s="111" t="s">
        <v>5241</v>
      </c>
      <c r="D1481" s="111" t="str">
        <f t="shared" ref="D1481:E1481" si="1479">TRIM(B1481)</f>
        <v>California</v>
      </c>
      <c r="E1481" s="111" t="str">
        <f t="shared" si="1479"/>
        <v>Hayward</v>
      </c>
    </row>
    <row r="1482" spans="1:5">
      <c r="A1482" s="3" t="s">
        <v>5250</v>
      </c>
      <c r="B1482" s="110" t="s">
        <v>1321</v>
      </c>
      <c r="C1482" s="111" t="s">
        <v>5251</v>
      </c>
      <c r="D1482" s="111" t="str">
        <f t="shared" ref="D1482:E1482" si="1480">TRIM(B1482)</f>
        <v>California</v>
      </c>
      <c r="E1482" s="111" t="str">
        <f t="shared" si="1480"/>
        <v>Healdsburg</v>
      </c>
    </row>
    <row r="1483" spans="1:5">
      <c r="A1483" s="3" t="s">
        <v>5253</v>
      </c>
      <c r="B1483" s="110" t="s">
        <v>1321</v>
      </c>
      <c r="C1483" s="111" t="s">
        <v>5254</v>
      </c>
      <c r="D1483" s="111" t="str">
        <f t="shared" ref="D1483:E1483" si="1481">TRIM(B1483)</f>
        <v>California</v>
      </c>
      <c r="E1483" s="111" t="str">
        <f t="shared" si="1481"/>
        <v>Helendale</v>
      </c>
    </row>
    <row r="1484" spans="1:5">
      <c r="A1484" s="3" t="s">
        <v>5257</v>
      </c>
      <c r="B1484" s="110" t="s">
        <v>1321</v>
      </c>
      <c r="C1484" s="111" t="s">
        <v>5259</v>
      </c>
      <c r="D1484" s="111" t="str">
        <f t="shared" ref="D1484:E1484" si="1482">TRIM(B1484)</f>
        <v>California</v>
      </c>
      <c r="E1484" s="111" t="str">
        <f t="shared" si="1482"/>
        <v>Hemet</v>
      </c>
    </row>
    <row r="1485" spans="1:5">
      <c r="A1485" s="3" t="s">
        <v>5260</v>
      </c>
      <c r="B1485" s="110" t="s">
        <v>1321</v>
      </c>
      <c r="C1485" s="111" t="s">
        <v>5259</v>
      </c>
      <c r="D1485" s="111" t="str">
        <f t="shared" ref="D1485:E1485" si="1483">TRIM(B1485)</f>
        <v>California</v>
      </c>
      <c r="E1485" s="111" t="str">
        <f t="shared" si="1483"/>
        <v>Hemet</v>
      </c>
    </row>
    <row r="1486" spans="1:5">
      <c r="A1486" s="3" t="s">
        <v>2342</v>
      </c>
      <c r="B1486" s="110" t="s">
        <v>1321</v>
      </c>
      <c r="C1486" s="111" t="s">
        <v>5259</v>
      </c>
      <c r="D1486" s="111" t="str">
        <f t="shared" ref="D1486:E1486" si="1484">TRIM(B1486)</f>
        <v>California</v>
      </c>
      <c r="E1486" s="111" t="str">
        <f t="shared" si="1484"/>
        <v>Hemet</v>
      </c>
    </row>
    <row r="1487" spans="1:5">
      <c r="A1487" s="3" t="s">
        <v>5264</v>
      </c>
      <c r="B1487" s="110" t="s">
        <v>1321</v>
      </c>
      <c r="C1487" s="111" t="s">
        <v>5259</v>
      </c>
      <c r="D1487" s="111" t="str">
        <f t="shared" ref="D1487:E1487" si="1485">TRIM(B1487)</f>
        <v>California</v>
      </c>
      <c r="E1487" s="111" t="str">
        <f t="shared" si="1485"/>
        <v>Hemet</v>
      </c>
    </row>
    <row r="1488" spans="1:5">
      <c r="A1488" s="3" t="s">
        <v>5265</v>
      </c>
      <c r="B1488" s="110" t="s">
        <v>1321</v>
      </c>
      <c r="C1488" s="111" t="s">
        <v>5266</v>
      </c>
      <c r="D1488" s="111" t="str">
        <f t="shared" ref="D1488:E1488" si="1486">TRIM(B1488)</f>
        <v>California</v>
      </c>
      <c r="E1488" s="111" t="str">
        <f t="shared" si="1486"/>
        <v>Hercules</v>
      </c>
    </row>
    <row r="1489" spans="1:5">
      <c r="A1489" s="3" t="s">
        <v>5268</v>
      </c>
      <c r="B1489" s="110" t="s">
        <v>1321</v>
      </c>
      <c r="C1489" s="111" t="s">
        <v>5270</v>
      </c>
      <c r="D1489" s="111" t="str">
        <f t="shared" ref="D1489:E1489" si="1487">TRIM(B1489)</f>
        <v>California</v>
      </c>
      <c r="E1489" s="111" t="str">
        <f t="shared" si="1487"/>
        <v>Herlong</v>
      </c>
    </row>
    <row r="1490" spans="1:5">
      <c r="A1490" s="3" t="s">
        <v>5272</v>
      </c>
      <c r="B1490" s="110" t="s">
        <v>1321</v>
      </c>
      <c r="C1490" s="111" t="s">
        <v>3199</v>
      </c>
      <c r="D1490" s="111" t="str">
        <f t="shared" ref="D1490:E1490" si="1488">TRIM(B1490)</f>
        <v>California</v>
      </c>
      <c r="E1490" s="111" t="str">
        <f t="shared" si="1488"/>
        <v>Hesperia</v>
      </c>
    </row>
    <row r="1491" spans="1:5">
      <c r="A1491" s="3" t="s">
        <v>5273</v>
      </c>
      <c r="B1491" s="110" t="s">
        <v>1321</v>
      </c>
      <c r="C1491" s="111" t="s">
        <v>3199</v>
      </c>
      <c r="D1491" s="111" t="str">
        <f t="shared" ref="D1491:E1491" si="1489">TRIM(B1491)</f>
        <v>California</v>
      </c>
      <c r="E1491" s="111" t="str">
        <f t="shared" si="1489"/>
        <v>Hesperia</v>
      </c>
    </row>
    <row r="1492" spans="1:5">
      <c r="A1492" s="3" t="s">
        <v>5274</v>
      </c>
      <c r="B1492" s="110" t="s">
        <v>1321</v>
      </c>
      <c r="C1492" s="111" t="s">
        <v>3199</v>
      </c>
      <c r="D1492" s="111" t="str">
        <f t="shared" ref="D1492:E1492" si="1490">TRIM(B1492)</f>
        <v>California</v>
      </c>
      <c r="E1492" s="111" t="str">
        <f t="shared" si="1490"/>
        <v>Hesperia</v>
      </c>
    </row>
    <row r="1493" spans="1:5">
      <c r="A1493" s="3" t="s">
        <v>5275</v>
      </c>
      <c r="B1493" s="110" t="s">
        <v>1321</v>
      </c>
      <c r="C1493" s="111" t="s">
        <v>3199</v>
      </c>
      <c r="D1493" s="111" t="str">
        <f t="shared" ref="D1493:E1493" si="1491">TRIM(B1493)</f>
        <v>California</v>
      </c>
      <c r="E1493" s="111" t="str">
        <f t="shared" si="1491"/>
        <v>Hesperia</v>
      </c>
    </row>
    <row r="1494" spans="1:5">
      <c r="A1494" s="3" t="s">
        <v>5278</v>
      </c>
      <c r="B1494" s="110" t="s">
        <v>1321</v>
      </c>
      <c r="C1494" s="111" t="s">
        <v>3199</v>
      </c>
      <c r="D1494" s="111" t="str">
        <f t="shared" ref="D1494:E1494" si="1492">TRIM(B1494)</f>
        <v>California</v>
      </c>
      <c r="E1494" s="111" t="str">
        <f t="shared" si="1492"/>
        <v>Hesperia</v>
      </c>
    </row>
    <row r="1495" spans="1:5">
      <c r="A1495" s="3" t="s">
        <v>5280</v>
      </c>
      <c r="B1495" s="110" t="s">
        <v>1321</v>
      </c>
      <c r="C1495" s="111" t="s">
        <v>5281</v>
      </c>
      <c r="D1495" s="111" t="str">
        <f t="shared" ref="D1495:E1495" si="1493">TRIM(B1495)</f>
        <v>California</v>
      </c>
      <c r="E1495" s="111" t="str">
        <f t="shared" si="1493"/>
        <v>Hilmar</v>
      </c>
    </row>
    <row r="1496" spans="1:5">
      <c r="A1496" s="3" t="s">
        <v>5282</v>
      </c>
      <c r="B1496" s="110" t="s">
        <v>1321</v>
      </c>
      <c r="C1496" s="111" t="s">
        <v>5284</v>
      </c>
      <c r="D1496" s="111" t="str">
        <f t="shared" ref="D1496:E1496" si="1494">TRIM(B1496)</f>
        <v>California</v>
      </c>
      <c r="E1496" s="111" t="str">
        <f t="shared" si="1494"/>
        <v>Hollister</v>
      </c>
    </row>
    <row r="1497" spans="1:5">
      <c r="A1497" s="3" t="s">
        <v>5285</v>
      </c>
      <c r="B1497" s="110" t="s">
        <v>1321</v>
      </c>
      <c r="C1497" s="111" t="s">
        <v>5286</v>
      </c>
      <c r="D1497" s="111" t="str">
        <f t="shared" ref="D1497:E1497" si="1495">TRIM(B1497)</f>
        <v>California</v>
      </c>
      <c r="E1497" s="111" t="str">
        <f t="shared" si="1495"/>
        <v>Hollywood</v>
      </c>
    </row>
    <row r="1498" spans="1:5">
      <c r="A1498" s="3" t="s">
        <v>5288</v>
      </c>
      <c r="B1498" s="110" t="s">
        <v>1321</v>
      </c>
      <c r="C1498" s="111" t="s">
        <v>5286</v>
      </c>
      <c r="D1498" s="111" t="str">
        <f t="shared" ref="D1498:E1498" si="1496">TRIM(B1498)</f>
        <v>California</v>
      </c>
      <c r="E1498" s="111" t="str">
        <f t="shared" si="1496"/>
        <v>Hollywood</v>
      </c>
    </row>
    <row r="1499" spans="1:5">
      <c r="A1499" s="3" t="s">
        <v>1681</v>
      </c>
      <c r="B1499" s="110" t="s">
        <v>1321</v>
      </c>
      <c r="C1499" s="111" t="s">
        <v>5290</v>
      </c>
      <c r="D1499" s="111" t="str">
        <f t="shared" ref="D1499:E1499" si="1497">TRIM(B1499)</f>
        <v>California</v>
      </c>
      <c r="E1499" s="111" t="str">
        <f t="shared" si="1497"/>
        <v>Holtville</v>
      </c>
    </row>
    <row r="1500" spans="1:5">
      <c r="A1500" s="3" t="s">
        <v>5291</v>
      </c>
      <c r="B1500" s="110" t="s">
        <v>1321</v>
      </c>
      <c r="C1500" s="111" t="s">
        <v>5292</v>
      </c>
      <c r="D1500" s="111" t="str">
        <f t="shared" ref="D1500:E1500" si="1498">TRIM(B1500)</f>
        <v>California</v>
      </c>
      <c r="E1500" s="111" t="str">
        <f t="shared" si="1498"/>
        <v>Hoopa</v>
      </c>
    </row>
    <row r="1501" spans="1:5">
      <c r="A1501" s="3" t="s">
        <v>5294</v>
      </c>
      <c r="B1501" s="110" t="s">
        <v>1321</v>
      </c>
      <c r="C1501" s="111" t="s">
        <v>5295</v>
      </c>
      <c r="D1501" s="111" t="str">
        <f t="shared" ref="D1501:E1501" si="1499">TRIM(B1501)</f>
        <v>California</v>
      </c>
      <c r="E1501" s="111" t="str">
        <f t="shared" si="1499"/>
        <v>Hughson</v>
      </c>
    </row>
    <row r="1502" spans="1:5">
      <c r="A1502" s="3" t="s">
        <v>5088</v>
      </c>
      <c r="B1502" s="110" t="s">
        <v>1321</v>
      </c>
      <c r="C1502" s="113" t="s">
        <v>5297</v>
      </c>
      <c r="D1502" s="111" t="str">
        <f t="shared" ref="D1502:E1502" si="1500">TRIM(B1502)</f>
        <v>California</v>
      </c>
      <c r="E1502" s="111" t="str">
        <f t="shared" si="1500"/>
        <v>Huntington Beach</v>
      </c>
    </row>
    <row r="1503" spans="1:5">
      <c r="A1503" s="3" t="s">
        <v>5298</v>
      </c>
      <c r="B1503" s="110" t="s">
        <v>1321</v>
      </c>
      <c r="C1503" s="113" t="s">
        <v>5297</v>
      </c>
      <c r="D1503" s="111" t="str">
        <f t="shared" ref="D1503:E1503" si="1501">TRIM(B1503)</f>
        <v>California</v>
      </c>
      <c r="E1503" s="111" t="str">
        <f t="shared" si="1501"/>
        <v>Huntington Beach</v>
      </c>
    </row>
    <row r="1504" spans="1:5">
      <c r="A1504" s="3" t="s">
        <v>5302</v>
      </c>
      <c r="B1504" s="110" t="s">
        <v>1321</v>
      </c>
      <c r="C1504" s="113" t="s">
        <v>5297</v>
      </c>
      <c r="D1504" s="111" t="str">
        <f t="shared" ref="D1504:E1504" si="1502">TRIM(B1504)</f>
        <v>California</v>
      </c>
      <c r="E1504" s="111" t="str">
        <f t="shared" si="1502"/>
        <v>Huntington Beach</v>
      </c>
    </row>
    <row r="1505" spans="1:5">
      <c r="A1505" s="3" t="s">
        <v>5303</v>
      </c>
      <c r="B1505" s="110" t="s">
        <v>1321</v>
      </c>
      <c r="C1505" s="113" t="s">
        <v>5297</v>
      </c>
      <c r="D1505" s="111" t="str">
        <f t="shared" ref="D1505:E1505" si="1503">TRIM(B1505)</f>
        <v>California</v>
      </c>
      <c r="E1505" s="111" t="str">
        <f t="shared" si="1503"/>
        <v>Huntington Beach</v>
      </c>
    </row>
    <row r="1506" spans="1:5">
      <c r="A1506" s="3" t="s">
        <v>5306</v>
      </c>
      <c r="B1506" s="110" t="s">
        <v>1321</v>
      </c>
      <c r="C1506" s="111" t="s">
        <v>5307</v>
      </c>
      <c r="D1506" s="111" t="str">
        <f t="shared" ref="D1506:E1506" si="1504">TRIM(B1506)</f>
        <v>California</v>
      </c>
      <c r="E1506" s="111" t="str">
        <f t="shared" si="1504"/>
        <v>Huntington Park</v>
      </c>
    </row>
    <row r="1507" spans="1:5">
      <c r="A1507" s="3" t="s">
        <v>5308</v>
      </c>
      <c r="B1507" s="110" t="s">
        <v>1321</v>
      </c>
      <c r="C1507" s="111" t="s">
        <v>5307</v>
      </c>
      <c r="D1507" s="111" t="str">
        <f t="shared" ref="D1507:E1507" si="1505">TRIM(B1507)</f>
        <v>California</v>
      </c>
      <c r="E1507" s="111" t="str">
        <f t="shared" si="1505"/>
        <v>Huntington Park</v>
      </c>
    </row>
    <row r="1508" spans="1:5">
      <c r="A1508" s="3" t="s">
        <v>5310</v>
      </c>
      <c r="B1508" s="110" t="s">
        <v>1321</v>
      </c>
      <c r="C1508" s="111" t="s">
        <v>5307</v>
      </c>
      <c r="D1508" s="111" t="str">
        <f t="shared" ref="D1508:E1508" si="1506">TRIM(B1508)</f>
        <v>California</v>
      </c>
      <c r="E1508" s="111" t="str">
        <f t="shared" si="1506"/>
        <v>Huntington Park</v>
      </c>
    </row>
    <row r="1509" spans="1:5">
      <c r="A1509" s="3" t="s">
        <v>5311</v>
      </c>
      <c r="B1509" s="110" t="s">
        <v>1321</v>
      </c>
      <c r="C1509" s="111" t="s">
        <v>5307</v>
      </c>
      <c r="D1509" s="111" t="str">
        <f t="shared" ref="D1509:E1509" si="1507">TRIM(B1509)</f>
        <v>California</v>
      </c>
      <c r="E1509" s="111" t="str">
        <f t="shared" si="1507"/>
        <v>Huntington Park</v>
      </c>
    </row>
    <row r="1510" spans="1:5">
      <c r="A1510" s="3" t="s">
        <v>5313</v>
      </c>
      <c r="B1510" s="110" t="s">
        <v>1321</v>
      </c>
      <c r="C1510" s="111" t="s">
        <v>5307</v>
      </c>
      <c r="D1510" s="111" t="str">
        <f t="shared" ref="D1510:E1510" si="1508">TRIM(B1510)</f>
        <v>California</v>
      </c>
      <c r="E1510" s="111" t="str">
        <f t="shared" si="1508"/>
        <v>Huntington Park</v>
      </c>
    </row>
    <row r="1511" spans="1:5">
      <c r="A1511" s="3" t="s">
        <v>5315</v>
      </c>
      <c r="B1511" s="110" t="s">
        <v>1321</v>
      </c>
      <c r="C1511" s="111" t="s">
        <v>5316</v>
      </c>
      <c r="D1511" s="111" t="str">
        <f t="shared" ref="D1511:E1511" si="1509">TRIM(B1511)</f>
        <v>California</v>
      </c>
      <c r="E1511" s="111" t="str">
        <f t="shared" si="1509"/>
        <v>Imperial</v>
      </c>
    </row>
    <row r="1512" spans="1:5">
      <c r="A1512" s="3" t="s">
        <v>5317</v>
      </c>
      <c r="B1512" s="110" t="s">
        <v>1321</v>
      </c>
      <c r="C1512" s="111" t="s">
        <v>5318</v>
      </c>
      <c r="D1512" s="111" t="str">
        <f t="shared" ref="D1512:E1512" si="1510">TRIM(B1512)</f>
        <v>California</v>
      </c>
      <c r="E1512" s="111" t="str">
        <f t="shared" si="1510"/>
        <v>Imperial Beach</v>
      </c>
    </row>
    <row r="1513" spans="1:5">
      <c r="A1513" s="3" t="s">
        <v>5322</v>
      </c>
      <c r="B1513" s="110" t="s">
        <v>1321</v>
      </c>
      <c r="C1513" s="111" t="s">
        <v>5323</v>
      </c>
      <c r="D1513" s="111" t="str">
        <f t="shared" ref="D1513:E1513" si="1511">TRIM(B1513)</f>
        <v>California</v>
      </c>
      <c r="E1513" s="111" t="str">
        <f t="shared" si="1511"/>
        <v>Independence</v>
      </c>
    </row>
    <row r="1514" spans="1:5">
      <c r="A1514" s="3" t="s">
        <v>5324</v>
      </c>
      <c r="B1514" s="110" t="s">
        <v>1321</v>
      </c>
      <c r="C1514" s="111" t="s">
        <v>5325</v>
      </c>
      <c r="D1514" s="111" t="str">
        <f t="shared" ref="D1514:E1514" si="1512">TRIM(B1514)</f>
        <v>California</v>
      </c>
      <c r="E1514" s="111" t="str">
        <f t="shared" si="1512"/>
        <v>Indio</v>
      </c>
    </row>
    <row r="1515" spans="1:5">
      <c r="A1515" s="3" t="s">
        <v>5327</v>
      </c>
      <c r="B1515" s="110" t="s">
        <v>1321</v>
      </c>
      <c r="C1515" s="111" t="s">
        <v>5325</v>
      </c>
      <c r="D1515" s="111" t="str">
        <f t="shared" ref="D1515:E1515" si="1513">TRIM(B1515)</f>
        <v>California</v>
      </c>
      <c r="E1515" s="111" t="str">
        <f t="shared" si="1513"/>
        <v>Indio</v>
      </c>
    </row>
    <row r="1516" spans="1:5">
      <c r="A1516" s="3" t="s">
        <v>5329</v>
      </c>
      <c r="B1516" s="110" t="s">
        <v>1321</v>
      </c>
      <c r="C1516" s="111" t="s">
        <v>5330</v>
      </c>
      <c r="D1516" s="111" t="str">
        <f t="shared" ref="D1516:E1516" si="1514">TRIM(B1516)</f>
        <v>California</v>
      </c>
      <c r="E1516" s="111" t="str">
        <f t="shared" si="1514"/>
        <v>Inglewood</v>
      </c>
    </row>
    <row r="1517" spans="1:5">
      <c r="A1517" s="3" t="s">
        <v>5332</v>
      </c>
      <c r="B1517" s="110" t="s">
        <v>1321</v>
      </c>
      <c r="C1517" s="111" t="s">
        <v>5330</v>
      </c>
      <c r="D1517" s="111" t="str">
        <f t="shared" ref="D1517:E1517" si="1515">TRIM(B1517)</f>
        <v>California</v>
      </c>
      <c r="E1517" s="111" t="str">
        <f t="shared" si="1515"/>
        <v>Inglewood</v>
      </c>
    </row>
    <row r="1518" spans="1:5">
      <c r="A1518" s="3" t="s">
        <v>5335</v>
      </c>
      <c r="B1518" s="110" t="s">
        <v>1321</v>
      </c>
      <c r="C1518" s="111" t="s">
        <v>5330</v>
      </c>
      <c r="D1518" s="111" t="str">
        <f t="shared" ref="D1518:E1518" si="1516">TRIM(B1518)</f>
        <v>California</v>
      </c>
      <c r="E1518" s="111" t="str">
        <f t="shared" si="1516"/>
        <v>Inglewood</v>
      </c>
    </row>
    <row r="1519" spans="1:5">
      <c r="A1519" s="110" t="s">
        <v>5336</v>
      </c>
      <c r="B1519" s="110" t="s">
        <v>1321</v>
      </c>
      <c r="C1519" s="111" t="s">
        <v>5330</v>
      </c>
      <c r="D1519" s="111" t="str">
        <f t="shared" ref="D1519:E1519" si="1517">TRIM(B1519)</f>
        <v>California</v>
      </c>
      <c r="E1519" s="111" t="str">
        <f t="shared" si="1517"/>
        <v>Inglewood</v>
      </c>
    </row>
    <row r="1520" spans="1:5">
      <c r="A1520" s="3" t="s">
        <v>5338</v>
      </c>
      <c r="B1520" s="110" t="s">
        <v>1321</v>
      </c>
      <c r="C1520" s="111" t="s">
        <v>5340</v>
      </c>
      <c r="D1520" s="111" t="str">
        <f t="shared" ref="D1520:E1520" si="1518">TRIM(B1520)</f>
        <v>California</v>
      </c>
      <c r="E1520" s="111" t="str">
        <f t="shared" si="1518"/>
        <v>Irvine</v>
      </c>
    </row>
    <row r="1521" spans="1:5">
      <c r="A1521" s="3" t="s">
        <v>5341</v>
      </c>
      <c r="B1521" s="110" t="s">
        <v>1321</v>
      </c>
      <c r="C1521" s="111" t="s">
        <v>5340</v>
      </c>
      <c r="D1521" s="111" t="str">
        <f t="shared" ref="D1521:E1521" si="1519">TRIM(B1521)</f>
        <v>California</v>
      </c>
      <c r="E1521" s="111" t="str">
        <f t="shared" si="1519"/>
        <v>Irvine</v>
      </c>
    </row>
    <row r="1522" spans="1:5">
      <c r="A1522" s="3" t="s">
        <v>5343</v>
      </c>
      <c r="B1522" s="110" t="s">
        <v>1321</v>
      </c>
      <c r="C1522" s="111" t="s">
        <v>5340</v>
      </c>
      <c r="D1522" s="111" t="str">
        <f t="shared" ref="D1522:E1522" si="1520">TRIM(B1522)</f>
        <v>California</v>
      </c>
      <c r="E1522" s="111" t="str">
        <f t="shared" si="1520"/>
        <v>Irvine</v>
      </c>
    </row>
    <row r="1523" spans="1:5">
      <c r="A1523" s="3" t="s">
        <v>3364</v>
      </c>
      <c r="B1523" s="110" t="s">
        <v>1321</v>
      </c>
      <c r="C1523" s="111" t="s">
        <v>5340</v>
      </c>
      <c r="D1523" s="111" t="str">
        <f t="shared" ref="D1523:E1523" si="1521">TRIM(B1523)</f>
        <v>California</v>
      </c>
      <c r="E1523" s="111" t="str">
        <f t="shared" si="1521"/>
        <v>Irvine</v>
      </c>
    </row>
    <row r="1524" spans="1:5">
      <c r="A1524" s="3" t="s">
        <v>5346</v>
      </c>
      <c r="B1524" s="110" t="s">
        <v>1321</v>
      </c>
      <c r="C1524" s="111" t="s">
        <v>5340</v>
      </c>
      <c r="D1524" s="111" t="str">
        <f t="shared" ref="D1524:E1524" si="1522">TRIM(B1524)</f>
        <v>California</v>
      </c>
      <c r="E1524" s="111" t="str">
        <f t="shared" si="1522"/>
        <v>Irvine</v>
      </c>
    </row>
    <row r="1525" spans="1:5">
      <c r="A1525" s="3" t="s">
        <v>5349</v>
      </c>
      <c r="B1525" s="110" t="s">
        <v>1321</v>
      </c>
      <c r="C1525" s="111" t="s">
        <v>297</v>
      </c>
      <c r="D1525" s="111" t="str">
        <f t="shared" ref="D1525:E1525" si="1523">TRIM(B1525)</f>
        <v>California</v>
      </c>
      <c r="E1525" s="111" t="str">
        <f t="shared" si="1523"/>
        <v>Jackson</v>
      </c>
    </row>
    <row r="1526" spans="1:5">
      <c r="A1526" s="3" t="s">
        <v>5350</v>
      </c>
      <c r="B1526" s="110" t="s">
        <v>1321</v>
      </c>
      <c r="C1526" s="111" t="s">
        <v>5351</v>
      </c>
      <c r="D1526" s="111" t="str">
        <f t="shared" ref="D1526:E1526" si="1524">TRIM(B1526)</f>
        <v>California</v>
      </c>
      <c r="E1526" s="111" t="str">
        <f t="shared" si="1524"/>
        <v>Julian</v>
      </c>
    </row>
    <row r="1527" spans="1:5">
      <c r="A1527" s="3" t="s">
        <v>5354</v>
      </c>
      <c r="B1527" s="110" t="s">
        <v>1321</v>
      </c>
      <c r="C1527" s="111" t="s">
        <v>5355</v>
      </c>
      <c r="D1527" s="111" t="str">
        <f t="shared" ref="D1527:E1527" si="1525">TRIM(B1527)</f>
        <v>California</v>
      </c>
      <c r="E1527" s="111" t="str">
        <f t="shared" si="1525"/>
        <v>Jurupa Valley</v>
      </c>
    </row>
    <row r="1528" spans="1:5">
      <c r="A1528" s="3" t="s">
        <v>5357</v>
      </c>
      <c r="B1528" s="110" t="s">
        <v>1321</v>
      </c>
      <c r="C1528" s="111" t="s">
        <v>5355</v>
      </c>
      <c r="D1528" s="111" t="str">
        <f t="shared" ref="D1528:E1528" si="1526">TRIM(B1528)</f>
        <v>California</v>
      </c>
      <c r="E1528" s="111" t="str">
        <f t="shared" si="1526"/>
        <v>Jurupa Valley</v>
      </c>
    </row>
    <row r="1529" spans="1:5">
      <c r="A1529" s="110" t="s">
        <v>5359</v>
      </c>
      <c r="B1529" s="110" t="s">
        <v>1321</v>
      </c>
      <c r="C1529" s="111" t="s">
        <v>5355</v>
      </c>
      <c r="D1529" s="111" t="str">
        <f t="shared" ref="D1529:E1529" si="1527">TRIM(B1529)</f>
        <v>California</v>
      </c>
      <c r="E1529" s="111" t="str">
        <f t="shared" si="1527"/>
        <v>Jurupa Valley</v>
      </c>
    </row>
    <row r="1530" spans="1:5">
      <c r="A1530" s="3" t="s">
        <v>5361</v>
      </c>
      <c r="B1530" s="110" t="s">
        <v>1321</v>
      </c>
      <c r="C1530" s="111" t="s">
        <v>5355</v>
      </c>
      <c r="D1530" s="111" t="str">
        <f t="shared" ref="D1530:E1530" si="1528">TRIM(B1530)</f>
        <v>California</v>
      </c>
      <c r="E1530" s="111" t="str">
        <f t="shared" si="1528"/>
        <v>Jurupa Valley</v>
      </c>
    </row>
    <row r="1531" spans="1:5">
      <c r="A1531" s="3" t="s">
        <v>5362</v>
      </c>
      <c r="B1531" s="110" t="s">
        <v>1321</v>
      </c>
      <c r="C1531" s="111" t="s">
        <v>5364</v>
      </c>
      <c r="D1531" s="111" t="str">
        <f t="shared" ref="D1531:E1531" si="1529">TRIM(B1531)</f>
        <v>California</v>
      </c>
      <c r="E1531" s="111" t="str">
        <f t="shared" si="1529"/>
        <v>Kelseyville</v>
      </c>
    </row>
    <row r="1532" spans="1:5">
      <c r="A1532" s="3" t="s">
        <v>5366</v>
      </c>
      <c r="B1532" s="110" t="s">
        <v>1321</v>
      </c>
      <c r="C1532" s="111" t="s">
        <v>5367</v>
      </c>
      <c r="D1532" s="111" t="str">
        <f t="shared" ref="D1532:E1532" si="1530">TRIM(B1532)</f>
        <v>California</v>
      </c>
      <c r="E1532" s="111" t="str">
        <f t="shared" si="1530"/>
        <v>Kerman</v>
      </c>
    </row>
    <row r="1533" spans="1:5">
      <c r="A1533" s="3" t="s">
        <v>5368</v>
      </c>
      <c r="B1533" s="110" t="s">
        <v>1321</v>
      </c>
      <c r="C1533" s="111" t="s">
        <v>582</v>
      </c>
      <c r="D1533" s="111" t="str">
        <f t="shared" ref="D1533:E1533" si="1531">TRIM(B1533)</f>
        <v>California</v>
      </c>
      <c r="E1533" s="111" t="str">
        <f t="shared" si="1531"/>
        <v>King City</v>
      </c>
    </row>
    <row r="1534" spans="1:5">
      <c r="A1534" s="3" t="s">
        <v>5371</v>
      </c>
      <c r="B1534" s="110" t="s">
        <v>1321</v>
      </c>
      <c r="C1534" s="111" t="s">
        <v>582</v>
      </c>
      <c r="D1534" s="111" t="str">
        <f t="shared" ref="D1534:E1534" si="1532">TRIM(B1534)</f>
        <v>California</v>
      </c>
      <c r="E1534" s="111" t="str">
        <f t="shared" si="1532"/>
        <v>King City</v>
      </c>
    </row>
    <row r="1535" spans="1:5">
      <c r="A1535" s="3" t="s">
        <v>5373</v>
      </c>
      <c r="B1535" s="110" t="s">
        <v>1321</v>
      </c>
      <c r="C1535" s="111" t="s">
        <v>5374</v>
      </c>
      <c r="D1535" s="111" t="str">
        <f t="shared" ref="D1535:E1535" si="1533">TRIM(B1535)</f>
        <v>California</v>
      </c>
      <c r="E1535" s="111" t="str">
        <f t="shared" si="1533"/>
        <v>Kingsburg</v>
      </c>
    </row>
    <row r="1536" spans="1:5">
      <c r="A1536" s="3" t="s">
        <v>5376</v>
      </c>
      <c r="B1536" s="110" t="s">
        <v>1321</v>
      </c>
      <c r="C1536" s="111" t="s">
        <v>5377</v>
      </c>
      <c r="D1536" s="111" t="str">
        <f t="shared" ref="D1536:E1536" si="1534">TRIM(B1536)</f>
        <v>California</v>
      </c>
      <c r="E1536" s="111" t="str">
        <f t="shared" si="1534"/>
        <v>La Canada</v>
      </c>
    </row>
    <row r="1537" spans="1:5">
      <c r="A1537" s="3" t="s">
        <v>5379</v>
      </c>
      <c r="B1537" s="110" t="s">
        <v>1321</v>
      </c>
      <c r="C1537" s="111" t="s">
        <v>5380</v>
      </c>
      <c r="D1537" s="111" t="str">
        <f t="shared" ref="D1537:E1537" si="1535">TRIM(B1537)</f>
        <v>California</v>
      </c>
      <c r="E1537" s="111" t="str">
        <f t="shared" si="1535"/>
        <v>La Crescenta</v>
      </c>
    </row>
    <row r="1538" spans="1:5">
      <c r="A1538" s="3" t="s">
        <v>5382</v>
      </c>
      <c r="B1538" s="110" t="s">
        <v>1321</v>
      </c>
      <c r="C1538" s="111" t="s">
        <v>5380</v>
      </c>
      <c r="D1538" s="111" t="str">
        <f t="shared" ref="D1538:E1538" si="1536">TRIM(B1538)</f>
        <v>California</v>
      </c>
      <c r="E1538" s="111" t="str">
        <f t="shared" si="1536"/>
        <v>La Crescenta</v>
      </c>
    </row>
    <row r="1539" spans="1:5">
      <c r="A1539" s="3" t="s">
        <v>5385</v>
      </c>
      <c r="B1539" s="110" t="s">
        <v>1321</v>
      </c>
      <c r="C1539" s="111" t="s">
        <v>5386</v>
      </c>
      <c r="D1539" s="111" t="str">
        <f t="shared" ref="D1539:E1539" si="1537">TRIM(B1539)</f>
        <v>California</v>
      </c>
      <c r="E1539" s="111" t="str">
        <f t="shared" si="1537"/>
        <v>La Grange</v>
      </c>
    </row>
    <row r="1540" spans="1:5">
      <c r="A1540" s="3" t="s">
        <v>5387</v>
      </c>
      <c r="B1540" s="110" t="s">
        <v>1321</v>
      </c>
      <c r="C1540" s="111" t="s">
        <v>5388</v>
      </c>
      <c r="D1540" s="111" t="str">
        <f t="shared" ref="D1540:E1540" si="1538">TRIM(B1540)</f>
        <v>California</v>
      </c>
      <c r="E1540" s="111" t="str">
        <f t="shared" si="1538"/>
        <v>La Habra</v>
      </c>
    </row>
    <row r="1541" spans="1:5">
      <c r="A1541" s="3" t="s">
        <v>5392</v>
      </c>
      <c r="B1541" s="110" t="s">
        <v>1321</v>
      </c>
      <c r="C1541" s="111" t="s">
        <v>5388</v>
      </c>
      <c r="D1541" s="111" t="str">
        <f t="shared" ref="D1541:E1541" si="1539">TRIM(B1541)</f>
        <v>California</v>
      </c>
      <c r="E1541" s="111" t="str">
        <f t="shared" si="1539"/>
        <v>La Habra</v>
      </c>
    </row>
    <row r="1542" spans="1:5">
      <c r="A1542" s="3" t="s">
        <v>5393</v>
      </c>
      <c r="B1542" s="110" t="s">
        <v>1321</v>
      </c>
      <c r="C1542" s="111" t="s">
        <v>1120</v>
      </c>
      <c r="D1542" s="111" t="str">
        <f t="shared" ref="D1542:E1542" si="1540">TRIM(B1542)</f>
        <v>California</v>
      </c>
      <c r="E1542" s="111" t="str">
        <f t="shared" si="1540"/>
        <v>La Jolla</v>
      </c>
    </row>
    <row r="1543" spans="1:5">
      <c r="A1543" s="110" t="s">
        <v>5396</v>
      </c>
      <c r="B1543" s="110" t="s">
        <v>1321</v>
      </c>
      <c r="C1543" s="111" t="s">
        <v>1120</v>
      </c>
      <c r="D1543" s="111" t="str">
        <f t="shared" ref="D1543:E1543" si="1541">TRIM(B1543)</f>
        <v>California</v>
      </c>
      <c r="E1543" s="111" t="str">
        <f t="shared" si="1541"/>
        <v>La Jolla</v>
      </c>
    </row>
    <row r="1544" spans="1:5">
      <c r="A1544" s="3" t="s">
        <v>5398</v>
      </c>
      <c r="B1544" s="110" t="s">
        <v>1321</v>
      </c>
      <c r="C1544" s="111" t="s">
        <v>5399</v>
      </c>
      <c r="D1544" s="111" t="str">
        <f t="shared" ref="D1544:E1544" si="1542">TRIM(B1544)</f>
        <v>California</v>
      </c>
      <c r="E1544" s="111" t="str">
        <f t="shared" si="1542"/>
        <v>La Mesa</v>
      </c>
    </row>
    <row r="1545" spans="1:5">
      <c r="A1545" s="3" t="s">
        <v>5400</v>
      </c>
      <c r="B1545" s="110" t="s">
        <v>1321</v>
      </c>
      <c r="C1545" s="111" t="s">
        <v>5399</v>
      </c>
      <c r="D1545" s="111" t="str">
        <f t="shared" ref="D1545:E1545" si="1543">TRIM(B1545)</f>
        <v>California</v>
      </c>
      <c r="E1545" s="111" t="str">
        <f t="shared" si="1543"/>
        <v>La Mesa</v>
      </c>
    </row>
    <row r="1546" spans="1:5">
      <c r="A1546" s="3" t="s">
        <v>5401</v>
      </c>
      <c r="B1546" s="110" t="s">
        <v>1321</v>
      </c>
      <c r="C1546" s="111" t="s">
        <v>5402</v>
      </c>
      <c r="D1546" s="111" t="str">
        <f t="shared" ref="D1546:E1546" si="1544">TRIM(B1546)</f>
        <v>California</v>
      </c>
      <c r="E1546" s="111" t="str">
        <f t="shared" si="1544"/>
        <v>La Mirada</v>
      </c>
    </row>
    <row r="1547" spans="1:5">
      <c r="A1547" s="3" t="s">
        <v>5072</v>
      </c>
      <c r="B1547" s="110" t="s">
        <v>1321</v>
      </c>
      <c r="C1547" s="111" t="s">
        <v>5406</v>
      </c>
      <c r="D1547" s="111" t="str">
        <f t="shared" ref="D1547:E1547" si="1545">TRIM(B1547)</f>
        <v>California</v>
      </c>
      <c r="E1547" s="111" t="str">
        <f t="shared" si="1545"/>
        <v>La Palma</v>
      </c>
    </row>
    <row r="1548" spans="1:5">
      <c r="A1548" s="3" t="s">
        <v>5407</v>
      </c>
      <c r="B1548" s="110" t="s">
        <v>1321</v>
      </c>
      <c r="C1548" s="111" t="s">
        <v>5408</v>
      </c>
      <c r="D1548" s="111" t="str">
        <f t="shared" ref="D1548:E1548" si="1546">TRIM(B1548)</f>
        <v>California</v>
      </c>
      <c r="E1548" s="111" t="str">
        <f t="shared" si="1546"/>
        <v>La Puente</v>
      </c>
    </row>
    <row r="1549" spans="1:5">
      <c r="A1549" s="3" t="s">
        <v>5410</v>
      </c>
      <c r="B1549" s="110" t="s">
        <v>1321</v>
      </c>
      <c r="C1549" s="111" t="s">
        <v>5408</v>
      </c>
      <c r="D1549" s="111" t="str">
        <f t="shared" ref="D1549:E1549" si="1547">TRIM(B1549)</f>
        <v>California</v>
      </c>
      <c r="E1549" s="111" t="str">
        <f t="shared" si="1547"/>
        <v>La Puente</v>
      </c>
    </row>
    <row r="1550" spans="1:5">
      <c r="A1550" s="3" t="s">
        <v>2871</v>
      </c>
      <c r="B1550" s="110" t="s">
        <v>1321</v>
      </c>
      <c r="C1550" s="111" t="s">
        <v>5408</v>
      </c>
      <c r="D1550" s="111" t="str">
        <f t="shared" ref="D1550:E1550" si="1548">TRIM(B1550)</f>
        <v>California</v>
      </c>
      <c r="E1550" s="111" t="str">
        <f t="shared" si="1548"/>
        <v>La Puente</v>
      </c>
    </row>
    <row r="1551" spans="1:5">
      <c r="A1551" s="3" t="s">
        <v>5412</v>
      </c>
      <c r="B1551" s="110" t="s">
        <v>1321</v>
      </c>
      <c r="C1551" s="111" t="s">
        <v>5413</v>
      </c>
      <c r="D1551" s="111" t="str">
        <f t="shared" ref="D1551:E1551" si="1549">TRIM(B1551)</f>
        <v>California</v>
      </c>
      <c r="E1551" s="111" t="str">
        <f t="shared" si="1549"/>
        <v>La Quinta</v>
      </c>
    </row>
    <row r="1552" spans="1:5">
      <c r="A1552" s="3" t="s">
        <v>5414</v>
      </c>
      <c r="B1552" s="110" t="s">
        <v>1321</v>
      </c>
      <c r="C1552" s="111" t="s">
        <v>236</v>
      </c>
      <c r="D1552" s="111" t="str">
        <f t="shared" ref="D1552:E1552" si="1550">TRIM(B1552)</f>
        <v>California</v>
      </c>
      <c r="E1552" s="111" t="str">
        <f t="shared" si="1550"/>
        <v>Lafayette</v>
      </c>
    </row>
    <row r="1553" spans="1:5">
      <c r="A1553" s="3" t="s">
        <v>5416</v>
      </c>
      <c r="B1553" s="110" t="s">
        <v>1321</v>
      </c>
      <c r="C1553" s="111" t="s">
        <v>5417</v>
      </c>
      <c r="D1553" s="111" t="str">
        <f t="shared" ref="D1553:E1553" si="1551">TRIM(B1553)</f>
        <v>California</v>
      </c>
      <c r="E1553" s="111" t="str">
        <f t="shared" si="1551"/>
        <v>Laguna Beach</v>
      </c>
    </row>
    <row r="1554" spans="1:5">
      <c r="A1554" s="3" t="s">
        <v>5419</v>
      </c>
      <c r="B1554" s="110" t="s">
        <v>1321</v>
      </c>
      <c r="C1554" s="111" t="s">
        <v>5420</v>
      </c>
      <c r="D1554" s="111" t="str">
        <f t="shared" ref="D1554:E1554" si="1552">TRIM(B1554)</f>
        <v>California</v>
      </c>
      <c r="E1554" s="111" t="str">
        <f t="shared" si="1552"/>
        <v>Laguna Hills</v>
      </c>
    </row>
    <row r="1555" spans="1:5">
      <c r="A1555" s="3" t="s">
        <v>5421</v>
      </c>
      <c r="B1555" s="110" t="s">
        <v>1321</v>
      </c>
      <c r="C1555" s="111" t="s">
        <v>5423</v>
      </c>
      <c r="D1555" s="111" t="str">
        <f t="shared" ref="D1555:E1555" si="1553">TRIM(B1555)</f>
        <v>California</v>
      </c>
      <c r="E1555" s="111" t="str">
        <f t="shared" si="1553"/>
        <v>Lake Arrowhead</v>
      </c>
    </row>
    <row r="1556" spans="1:5">
      <c r="A1556" s="3" t="s">
        <v>5424</v>
      </c>
      <c r="B1556" s="110" t="s">
        <v>1321</v>
      </c>
      <c r="C1556" s="111" t="s">
        <v>5425</v>
      </c>
      <c r="D1556" s="111" t="str">
        <f t="shared" ref="D1556:E1556" si="1554">TRIM(B1556)</f>
        <v>California</v>
      </c>
      <c r="E1556" s="111" t="str">
        <f t="shared" si="1554"/>
        <v>Lake Balboa</v>
      </c>
    </row>
    <row r="1557" spans="1:5">
      <c r="A1557" s="110" t="s">
        <v>5428</v>
      </c>
      <c r="B1557" s="110" t="s">
        <v>1321</v>
      </c>
      <c r="C1557" s="111" t="s">
        <v>5425</v>
      </c>
      <c r="D1557" s="111" t="str">
        <f t="shared" ref="D1557:E1557" si="1555">TRIM(B1557)</f>
        <v>California</v>
      </c>
      <c r="E1557" s="111" t="str">
        <f t="shared" si="1555"/>
        <v>Lake Balboa</v>
      </c>
    </row>
    <row r="1558" spans="1:5">
      <c r="A1558" s="3" t="s">
        <v>5430</v>
      </c>
      <c r="B1558" s="110" t="s">
        <v>1321</v>
      </c>
      <c r="C1558" s="112" t="s">
        <v>5425</v>
      </c>
      <c r="D1558" s="111" t="str">
        <f t="shared" ref="D1558:E1558" si="1556">TRIM(B1558)</f>
        <v>California</v>
      </c>
      <c r="E1558" s="111" t="str">
        <f t="shared" si="1556"/>
        <v>Lake Balboa</v>
      </c>
    </row>
    <row r="1559" spans="1:5">
      <c r="A1559" s="3" t="s">
        <v>3886</v>
      </c>
      <c r="B1559" s="110" t="s">
        <v>1321</v>
      </c>
      <c r="C1559" s="111" t="s">
        <v>5433</v>
      </c>
      <c r="D1559" s="111" t="str">
        <f t="shared" ref="D1559:E1559" si="1557">TRIM(B1559)</f>
        <v>California</v>
      </c>
      <c r="E1559" s="111" t="str">
        <f t="shared" si="1557"/>
        <v>Lake Elsinore</v>
      </c>
    </row>
    <row r="1560" spans="1:5">
      <c r="A1560" s="3" t="s">
        <v>5435</v>
      </c>
      <c r="B1560" s="110" t="s">
        <v>1321</v>
      </c>
      <c r="C1560" s="111" t="s">
        <v>5433</v>
      </c>
      <c r="D1560" s="111" t="str">
        <f t="shared" ref="D1560:E1560" si="1558">TRIM(B1560)</f>
        <v>California</v>
      </c>
      <c r="E1560" s="111" t="str">
        <f t="shared" si="1558"/>
        <v>Lake Elsinore</v>
      </c>
    </row>
    <row r="1561" spans="1:5">
      <c r="A1561" s="3" t="s">
        <v>5437</v>
      </c>
      <c r="B1561" s="110" t="s">
        <v>1321</v>
      </c>
      <c r="C1561" s="111" t="s">
        <v>5438</v>
      </c>
      <c r="D1561" s="111" t="str">
        <f t="shared" ref="D1561:E1561" si="1559">TRIM(B1561)</f>
        <v>California</v>
      </c>
      <c r="E1561" s="111" t="str">
        <f t="shared" si="1559"/>
        <v>Lake Forest</v>
      </c>
    </row>
    <row r="1562" spans="1:5">
      <c r="A1562" s="3" t="s">
        <v>5440</v>
      </c>
      <c r="B1562" s="110" t="s">
        <v>1321</v>
      </c>
      <c r="C1562" s="111" t="s">
        <v>5441</v>
      </c>
      <c r="D1562" s="111" t="str">
        <f t="shared" ref="D1562:E1562" si="1560">TRIM(B1562)</f>
        <v>California</v>
      </c>
      <c r="E1562" s="111" t="str">
        <f t="shared" si="1560"/>
        <v>Lake Isabella</v>
      </c>
    </row>
    <row r="1563" spans="1:5">
      <c r="A1563" s="3" t="s">
        <v>5442</v>
      </c>
      <c r="B1563" s="110" t="s">
        <v>1321</v>
      </c>
      <c r="C1563" s="111" t="s">
        <v>5443</v>
      </c>
      <c r="D1563" s="111" t="str">
        <f t="shared" ref="D1563:E1563" si="1561">TRIM(B1563)</f>
        <v>California</v>
      </c>
      <c r="E1563" s="111" t="str">
        <f t="shared" si="1561"/>
        <v>Lakeport</v>
      </c>
    </row>
    <row r="1564" spans="1:5">
      <c r="A1564" s="3" t="s">
        <v>5446</v>
      </c>
      <c r="B1564" s="110" t="s">
        <v>1321</v>
      </c>
      <c r="C1564" s="111" t="s">
        <v>541</v>
      </c>
      <c r="D1564" s="111" t="str">
        <f t="shared" ref="D1564:E1564" si="1562">TRIM(B1564)</f>
        <v>California</v>
      </c>
      <c r="E1564" s="111" t="str">
        <f t="shared" si="1562"/>
        <v>Lakeside</v>
      </c>
    </row>
    <row r="1565" spans="1:5">
      <c r="A1565" s="110" t="s">
        <v>5447</v>
      </c>
      <c r="B1565" s="110" t="s">
        <v>1321</v>
      </c>
      <c r="C1565" s="111" t="s">
        <v>541</v>
      </c>
      <c r="D1565" s="111" t="str">
        <f t="shared" ref="D1565:E1565" si="1563">TRIM(B1565)</f>
        <v>California</v>
      </c>
      <c r="E1565" s="111" t="str">
        <f t="shared" si="1563"/>
        <v>Lakeside</v>
      </c>
    </row>
    <row r="1566" spans="1:5">
      <c r="A1566" s="3" t="s">
        <v>5449</v>
      </c>
      <c r="B1566" s="110" t="s">
        <v>1321</v>
      </c>
      <c r="C1566" s="111" t="s">
        <v>609</v>
      </c>
      <c r="D1566" s="111" t="str">
        <f t="shared" ref="D1566:E1566" si="1564">TRIM(B1566)</f>
        <v>California</v>
      </c>
      <c r="E1566" s="111" t="str">
        <f t="shared" si="1564"/>
        <v>Lakewood</v>
      </c>
    </row>
    <row r="1567" spans="1:5">
      <c r="A1567" s="3" t="s">
        <v>5451</v>
      </c>
      <c r="B1567" s="110" t="s">
        <v>1321</v>
      </c>
      <c r="C1567" s="111" t="s">
        <v>609</v>
      </c>
      <c r="D1567" s="111" t="str">
        <f t="shared" ref="D1567:E1567" si="1565">TRIM(B1567)</f>
        <v>California</v>
      </c>
      <c r="E1567" s="111" t="str">
        <f t="shared" si="1565"/>
        <v>Lakewood</v>
      </c>
    </row>
    <row r="1568" spans="1:5">
      <c r="A1568" s="3" t="s">
        <v>5452</v>
      </c>
      <c r="B1568" s="110" t="s">
        <v>1321</v>
      </c>
      <c r="C1568" s="111" t="s">
        <v>609</v>
      </c>
      <c r="D1568" s="111" t="str">
        <f t="shared" ref="D1568:E1568" si="1566">TRIM(B1568)</f>
        <v>California</v>
      </c>
      <c r="E1568" s="111" t="str">
        <f t="shared" si="1566"/>
        <v>Lakewood</v>
      </c>
    </row>
    <row r="1569" spans="1:5">
      <c r="A1569" s="3" t="s">
        <v>5455</v>
      </c>
      <c r="B1569" s="110" t="s">
        <v>1321</v>
      </c>
      <c r="C1569" s="111" t="s">
        <v>61</v>
      </c>
      <c r="D1569" s="111" t="str">
        <f t="shared" ref="D1569:E1569" si="1567">TRIM(B1569)</f>
        <v>California</v>
      </c>
      <c r="E1569" s="111" t="str">
        <f t="shared" si="1567"/>
        <v>Lancaster</v>
      </c>
    </row>
    <row r="1570" spans="1:5">
      <c r="A1570" s="110" t="s">
        <v>5456</v>
      </c>
      <c r="B1570" s="110" t="s">
        <v>1321</v>
      </c>
      <c r="C1570" s="111" t="s">
        <v>61</v>
      </c>
      <c r="D1570" s="111" t="str">
        <f t="shared" ref="D1570:E1570" si="1568">TRIM(B1570)</f>
        <v>California</v>
      </c>
      <c r="E1570" s="111" t="str">
        <f t="shared" si="1568"/>
        <v>Lancaster</v>
      </c>
    </row>
    <row r="1571" spans="1:5">
      <c r="A1571" s="3" t="s">
        <v>5459</v>
      </c>
      <c r="B1571" s="110" t="s">
        <v>1321</v>
      </c>
      <c r="C1571" s="111" t="s">
        <v>61</v>
      </c>
      <c r="D1571" s="111" t="str">
        <f t="shared" ref="D1571:E1571" si="1569">TRIM(B1571)</f>
        <v>California</v>
      </c>
      <c r="E1571" s="111" t="str">
        <f t="shared" si="1569"/>
        <v>Lancaster</v>
      </c>
    </row>
    <row r="1572" spans="1:5">
      <c r="A1572" s="3" t="s">
        <v>5460</v>
      </c>
      <c r="B1572" s="110" t="s">
        <v>1321</v>
      </c>
      <c r="C1572" s="111" t="s">
        <v>61</v>
      </c>
      <c r="D1572" s="111" t="str">
        <f t="shared" ref="D1572:E1572" si="1570">TRIM(B1572)</f>
        <v>California</v>
      </c>
      <c r="E1572" s="111" t="str">
        <f t="shared" si="1570"/>
        <v>Lancaster</v>
      </c>
    </row>
    <row r="1573" spans="1:5">
      <c r="A1573" s="3" t="s">
        <v>5463</v>
      </c>
      <c r="B1573" s="110" t="s">
        <v>1321</v>
      </c>
      <c r="C1573" s="111" t="s">
        <v>61</v>
      </c>
      <c r="D1573" s="111" t="str">
        <f t="shared" ref="D1573:E1573" si="1571">TRIM(B1573)</f>
        <v>California</v>
      </c>
      <c r="E1573" s="111" t="str">
        <f t="shared" si="1571"/>
        <v>Lancaster</v>
      </c>
    </row>
    <row r="1574" spans="1:5">
      <c r="A1574" s="3" t="s">
        <v>5465</v>
      </c>
      <c r="B1574" s="110" t="s">
        <v>1321</v>
      </c>
      <c r="C1574" s="111" t="s">
        <v>5466</v>
      </c>
      <c r="D1574" s="111" t="str">
        <f t="shared" ref="D1574:E1574" si="1572">TRIM(B1574)</f>
        <v>California</v>
      </c>
      <c r="E1574" s="111" t="str">
        <f t="shared" si="1572"/>
        <v>Larkspur</v>
      </c>
    </row>
    <row r="1575" spans="1:5">
      <c r="A1575" s="3" t="s">
        <v>5468</v>
      </c>
      <c r="B1575" s="110" t="s">
        <v>1321</v>
      </c>
      <c r="C1575" s="111" t="s">
        <v>5469</v>
      </c>
      <c r="D1575" s="111" t="str">
        <f t="shared" ref="D1575:E1575" si="1573">TRIM(B1575)</f>
        <v>California</v>
      </c>
      <c r="E1575" s="111" t="str">
        <f t="shared" si="1573"/>
        <v>Las Flores</v>
      </c>
    </row>
    <row r="1576" spans="1:5">
      <c r="A1576" s="3" t="s">
        <v>5472</v>
      </c>
      <c r="B1576" s="110" t="s">
        <v>1321</v>
      </c>
      <c r="C1576" s="111" t="s">
        <v>5473</v>
      </c>
      <c r="D1576" s="111" t="str">
        <f t="shared" ref="D1576:E1576" si="1574">TRIM(B1576)</f>
        <v>California</v>
      </c>
      <c r="E1576" s="111" t="str">
        <f t="shared" si="1574"/>
        <v>Laton</v>
      </c>
    </row>
    <row r="1577" spans="1:5">
      <c r="A1577" s="3" t="s">
        <v>5474</v>
      </c>
      <c r="B1577" s="110" t="s">
        <v>1321</v>
      </c>
      <c r="C1577" s="111" t="s">
        <v>5475</v>
      </c>
      <c r="D1577" s="111" t="str">
        <f t="shared" ref="D1577:E1577" si="1575">TRIM(B1577)</f>
        <v>California</v>
      </c>
      <c r="E1577" s="111" t="str">
        <f t="shared" si="1575"/>
        <v>Lawndale</v>
      </c>
    </row>
    <row r="1578" spans="1:5">
      <c r="A1578" s="110" t="s">
        <v>5478</v>
      </c>
      <c r="B1578" s="110" t="s">
        <v>1321</v>
      </c>
      <c r="C1578" s="111" t="s">
        <v>5475</v>
      </c>
      <c r="D1578" s="111" t="str">
        <f t="shared" ref="D1578:E1578" si="1576">TRIM(B1578)</f>
        <v>California</v>
      </c>
      <c r="E1578" s="111" t="str">
        <f t="shared" si="1576"/>
        <v>Lawndale</v>
      </c>
    </row>
    <row r="1579" spans="1:5">
      <c r="A1579" s="3" t="s">
        <v>5479</v>
      </c>
      <c r="B1579" s="110" t="s">
        <v>1321</v>
      </c>
      <c r="C1579" s="111" t="s">
        <v>5475</v>
      </c>
      <c r="D1579" s="111" t="str">
        <f t="shared" ref="D1579:E1579" si="1577">TRIM(B1579)</f>
        <v>California</v>
      </c>
      <c r="E1579" s="111" t="str">
        <f t="shared" si="1577"/>
        <v>Lawndale</v>
      </c>
    </row>
    <row r="1580" spans="1:5">
      <c r="A1580" s="3" t="s">
        <v>5482</v>
      </c>
      <c r="B1580" s="110" t="s">
        <v>1321</v>
      </c>
      <c r="C1580" s="111" t="s">
        <v>5475</v>
      </c>
      <c r="D1580" s="111" t="str">
        <f t="shared" ref="D1580:E1580" si="1578">TRIM(B1580)</f>
        <v>California</v>
      </c>
      <c r="E1580" s="111" t="str">
        <f t="shared" si="1578"/>
        <v>Lawndale</v>
      </c>
    </row>
    <row r="1581" spans="1:5">
      <c r="A1581" s="3" t="s">
        <v>5483</v>
      </c>
      <c r="B1581" s="110" t="s">
        <v>1321</v>
      </c>
      <c r="C1581" s="111" t="s">
        <v>5484</v>
      </c>
      <c r="D1581" s="111" t="str">
        <f t="shared" ref="D1581:E1581" si="1579">TRIM(B1581)</f>
        <v>California</v>
      </c>
      <c r="E1581" s="111" t="str">
        <f t="shared" si="1579"/>
        <v>Laytonville</v>
      </c>
    </row>
    <row r="1582" spans="1:5">
      <c r="A1582" s="3" t="s">
        <v>5486</v>
      </c>
      <c r="B1582" s="110" t="s">
        <v>1321</v>
      </c>
      <c r="C1582" s="111" t="s">
        <v>5488</v>
      </c>
      <c r="D1582" s="111" t="str">
        <f t="shared" ref="D1582:E1582" si="1580">TRIM(B1582)</f>
        <v>California</v>
      </c>
      <c r="E1582" s="111" t="str">
        <f t="shared" si="1580"/>
        <v>Le Grand</v>
      </c>
    </row>
    <row r="1583" spans="1:5">
      <c r="A1583" s="3" t="s">
        <v>5489</v>
      </c>
      <c r="B1583" s="110" t="s">
        <v>1321</v>
      </c>
      <c r="C1583" s="111" t="s">
        <v>5490</v>
      </c>
      <c r="D1583" s="111" t="str">
        <f t="shared" ref="D1583:E1583" si="1581">TRIM(B1583)</f>
        <v>California</v>
      </c>
      <c r="E1583" s="111" t="str">
        <f t="shared" si="1581"/>
        <v>Lebec</v>
      </c>
    </row>
    <row r="1584" spans="1:5">
      <c r="A1584" s="3" t="s">
        <v>5493</v>
      </c>
      <c r="B1584" s="110" t="s">
        <v>1321</v>
      </c>
      <c r="C1584" s="111" t="s">
        <v>5494</v>
      </c>
      <c r="D1584" s="111" t="str">
        <f t="shared" ref="D1584:E1584" si="1582">TRIM(B1584)</f>
        <v>California</v>
      </c>
      <c r="E1584" s="111" t="str">
        <f t="shared" si="1582"/>
        <v>Lee Vining</v>
      </c>
    </row>
    <row r="1585" spans="1:5">
      <c r="A1585" s="3" t="s">
        <v>5496</v>
      </c>
      <c r="B1585" s="110" t="s">
        <v>1321</v>
      </c>
      <c r="C1585" s="111" t="s">
        <v>5497</v>
      </c>
      <c r="D1585" s="111" t="str">
        <f t="shared" ref="D1585:E1585" si="1583">TRIM(B1585)</f>
        <v>California</v>
      </c>
      <c r="E1585" s="111" t="str">
        <f t="shared" si="1583"/>
        <v>Leggett</v>
      </c>
    </row>
    <row r="1586" spans="1:5">
      <c r="A1586" s="3" t="s">
        <v>5498</v>
      </c>
      <c r="B1586" s="110" t="s">
        <v>1321</v>
      </c>
      <c r="C1586" s="111" t="s">
        <v>5500</v>
      </c>
      <c r="D1586" s="111" t="str">
        <f t="shared" ref="D1586:E1586" si="1584">TRIM(B1586)</f>
        <v>California</v>
      </c>
      <c r="E1586" s="111" t="str">
        <f t="shared" si="1584"/>
        <v>Lemoore</v>
      </c>
    </row>
    <row r="1587" spans="1:5">
      <c r="A1587" s="3" t="s">
        <v>5502</v>
      </c>
      <c r="B1587" s="110" t="s">
        <v>1321</v>
      </c>
      <c r="C1587" s="111" t="s">
        <v>5500</v>
      </c>
      <c r="D1587" s="111" t="str">
        <f t="shared" ref="D1587:E1587" si="1585">TRIM(B1587)</f>
        <v>California</v>
      </c>
      <c r="E1587" s="111" t="str">
        <f t="shared" si="1585"/>
        <v>Lemoore</v>
      </c>
    </row>
    <row r="1588" spans="1:5">
      <c r="A1588" s="3" t="s">
        <v>5503</v>
      </c>
      <c r="B1588" s="110" t="s">
        <v>1321</v>
      </c>
      <c r="C1588" s="111" t="s">
        <v>5500</v>
      </c>
      <c r="D1588" s="111" t="str">
        <f t="shared" ref="D1588:E1588" si="1586">TRIM(B1588)</f>
        <v>California</v>
      </c>
      <c r="E1588" s="111" t="str">
        <f t="shared" si="1586"/>
        <v>Lemoore</v>
      </c>
    </row>
    <row r="1589" spans="1:5">
      <c r="A1589" s="3" t="s">
        <v>5506</v>
      </c>
      <c r="B1589" s="110" t="s">
        <v>1321</v>
      </c>
      <c r="C1589" s="111" t="s">
        <v>5507</v>
      </c>
      <c r="D1589" s="111" t="str">
        <f t="shared" ref="D1589:E1589" si="1587">TRIM(B1589)</f>
        <v>California</v>
      </c>
      <c r="E1589" s="111" t="str">
        <f t="shared" si="1587"/>
        <v>Lennox</v>
      </c>
    </row>
    <row r="1590" spans="1:5">
      <c r="A1590" s="3" t="s">
        <v>1925</v>
      </c>
      <c r="B1590" s="110" t="s">
        <v>1321</v>
      </c>
      <c r="C1590" s="111" t="s">
        <v>1283</v>
      </c>
      <c r="D1590" s="111" t="str">
        <f t="shared" ref="D1590:E1590" si="1588">TRIM(B1590)</f>
        <v>California</v>
      </c>
      <c r="E1590" s="111" t="str">
        <f t="shared" si="1588"/>
        <v>Lincoln</v>
      </c>
    </row>
    <row r="1591" spans="1:5">
      <c r="A1591" s="3" t="s">
        <v>1926</v>
      </c>
      <c r="B1591" s="110" t="s">
        <v>1321</v>
      </c>
      <c r="C1591" s="111" t="s">
        <v>298</v>
      </c>
      <c r="D1591" s="111" t="str">
        <f t="shared" ref="D1591:E1591" si="1589">TRIM(B1591)</f>
        <v>California</v>
      </c>
      <c r="E1591" s="111" t="str">
        <f t="shared" si="1589"/>
        <v>Linden</v>
      </c>
    </row>
    <row r="1592" spans="1:5">
      <c r="A1592" s="3" t="s">
        <v>5511</v>
      </c>
      <c r="B1592" s="110" t="s">
        <v>1321</v>
      </c>
      <c r="C1592" s="111" t="s">
        <v>5512</v>
      </c>
      <c r="D1592" s="111" t="str">
        <f t="shared" ref="D1592:E1592" si="1590">TRIM(B1592)</f>
        <v>California</v>
      </c>
      <c r="E1592" s="111" t="str">
        <f t="shared" si="1590"/>
        <v>Lindsay</v>
      </c>
    </row>
    <row r="1593" spans="1:5">
      <c r="A1593" s="3" t="s">
        <v>5514</v>
      </c>
      <c r="B1593" s="110" t="s">
        <v>1321</v>
      </c>
      <c r="C1593" s="111" t="s">
        <v>5515</v>
      </c>
      <c r="D1593" s="111" t="str">
        <f t="shared" ref="D1593:E1593" si="1591">TRIM(B1593)</f>
        <v>California</v>
      </c>
      <c r="E1593" s="111" t="str">
        <f t="shared" si="1591"/>
        <v>Littlerock</v>
      </c>
    </row>
    <row r="1594" spans="1:5">
      <c r="A1594" s="3" t="s">
        <v>5518</v>
      </c>
      <c r="B1594" s="110" t="s">
        <v>1321</v>
      </c>
      <c r="C1594" s="111" t="s">
        <v>5520</v>
      </c>
      <c r="D1594" s="111" t="str">
        <f t="shared" ref="D1594:E1594" si="1592">TRIM(B1594)</f>
        <v>California</v>
      </c>
      <c r="E1594" s="111" t="str">
        <f t="shared" si="1592"/>
        <v>Live Oak</v>
      </c>
    </row>
    <row r="1595" spans="1:5">
      <c r="A1595" s="3" t="s">
        <v>5521</v>
      </c>
      <c r="B1595" s="110" t="s">
        <v>1321</v>
      </c>
      <c r="C1595" s="111" t="s">
        <v>452</v>
      </c>
      <c r="D1595" s="111" t="str">
        <f t="shared" ref="D1595:E1595" si="1593">TRIM(B1595)</f>
        <v>California</v>
      </c>
      <c r="E1595" s="111" t="str">
        <f t="shared" si="1593"/>
        <v>Livermore</v>
      </c>
    </row>
    <row r="1596" spans="1:5">
      <c r="A1596" s="3" t="s">
        <v>5522</v>
      </c>
      <c r="B1596" s="110" t="s">
        <v>1321</v>
      </c>
      <c r="C1596" s="111" t="s">
        <v>452</v>
      </c>
      <c r="D1596" s="111" t="str">
        <f t="shared" ref="D1596:E1596" si="1594">TRIM(B1596)</f>
        <v>California</v>
      </c>
      <c r="E1596" s="111" t="str">
        <f t="shared" si="1594"/>
        <v>Livermore</v>
      </c>
    </row>
    <row r="1597" spans="1:5">
      <c r="A1597" s="3" t="s">
        <v>5526</v>
      </c>
      <c r="B1597" s="110" t="s">
        <v>1321</v>
      </c>
      <c r="C1597" s="111" t="s">
        <v>5527</v>
      </c>
      <c r="D1597" s="111" t="str">
        <f t="shared" ref="D1597:E1597" si="1595">TRIM(B1597)</f>
        <v>California</v>
      </c>
      <c r="E1597" s="111" t="str">
        <f t="shared" si="1595"/>
        <v>Livingston</v>
      </c>
    </row>
    <row r="1598" spans="1:5">
      <c r="A1598" s="3" t="s">
        <v>5528</v>
      </c>
      <c r="B1598" s="110" t="s">
        <v>1321</v>
      </c>
      <c r="C1598" s="111" t="s">
        <v>5529</v>
      </c>
      <c r="D1598" s="111" t="str">
        <f t="shared" ref="D1598:E1598" si="1596">TRIM(B1598)</f>
        <v>California</v>
      </c>
      <c r="E1598" s="111" t="str">
        <f t="shared" si="1596"/>
        <v>Lodi</v>
      </c>
    </row>
    <row r="1599" spans="1:5">
      <c r="A1599" s="3" t="s">
        <v>5532</v>
      </c>
      <c r="B1599" s="110" t="s">
        <v>1321</v>
      </c>
      <c r="C1599" s="111" t="s">
        <v>5529</v>
      </c>
      <c r="D1599" s="111" t="str">
        <f t="shared" ref="D1599:E1599" si="1597">TRIM(B1599)</f>
        <v>California</v>
      </c>
      <c r="E1599" s="111" t="str">
        <f t="shared" si="1597"/>
        <v>Lodi</v>
      </c>
    </row>
    <row r="1600" spans="1:5">
      <c r="A1600" s="3" t="s">
        <v>5534</v>
      </c>
      <c r="B1600" s="110" t="s">
        <v>1321</v>
      </c>
      <c r="C1600" s="111" t="s">
        <v>5535</v>
      </c>
      <c r="D1600" s="111" t="str">
        <f t="shared" ref="D1600:E1600" si="1598">TRIM(B1600)</f>
        <v>California</v>
      </c>
      <c r="E1600" s="111" t="str">
        <f t="shared" si="1598"/>
        <v>Lompoc</v>
      </c>
    </row>
    <row r="1601" spans="1:5">
      <c r="A1601" s="3" t="s">
        <v>5536</v>
      </c>
      <c r="B1601" s="110" t="s">
        <v>1321</v>
      </c>
      <c r="C1601" s="111" t="s">
        <v>5535</v>
      </c>
      <c r="D1601" s="111" t="str">
        <f t="shared" ref="D1601:E1601" si="1599">TRIM(B1601)</f>
        <v>California</v>
      </c>
      <c r="E1601" s="111" t="str">
        <f t="shared" si="1599"/>
        <v>Lompoc</v>
      </c>
    </row>
    <row r="1602" spans="1:5">
      <c r="A1602" s="3" t="s">
        <v>5540</v>
      </c>
      <c r="B1602" s="110" t="s">
        <v>1321</v>
      </c>
      <c r="C1602" s="111" t="s">
        <v>5541</v>
      </c>
      <c r="D1602" s="111" t="str">
        <f t="shared" ref="D1602:E1602" si="1600">TRIM(B1602)</f>
        <v>California</v>
      </c>
      <c r="E1602" s="111" t="str">
        <f t="shared" si="1600"/>
        <v>Lone Pine</v>
      </c>
    </row>
    <row r="1603" spans="1:5">
      <c r="A1603" s="3" t="s">
        <v>5534</v>
      </c>
      <c r="B1603" s="110" t="s">
        <v>1321</v>
      </c>
      <c r="C1603" s="111" t="s">
        <v>528</v>
      </c>
      <c r="D1603" s="111" t="str">
        <f t="shared" ref="D1603:E1603" si="1601">TRIM(B1603)</f>
        <v>California</v>
      </c>
      <c r="E1603" s="111" t="str">
        <f t="shared" si="1601"/>
        <v>Long Beach</v>
      </c>
    </row>
    <row r="1604" spans="1:5">
      <c r="A1604" s="110" t="s">
        <v>5543</v>
      </c>
      <c r="B1604" s="110" t="s">
        <v>1321</v>
      </c>
      <c r="C1604" s="111" t="s">
        <v>528</v>
      </c>
      <c r="D1604" s="111" t="str">
        <f t="shared" ref="D1604:E1604" si="1602">TRIM(B1604)</f>
        <v>California</v>
      </c>
      <c r="E1604" s="111" t="str">
        <f t="shared" si="1602"/>
        <v>Long Beach</v>
      </c>
    </row>
    <row r="1605" spans="1:5">
      <c r="A1605" s="3" t="s">
        <v>5545</v>
      </c>
      <c r="B1605" s="110" t="s">
        <v>1321</v>
      </c>
      <c r="C1605" s="111" t="s">
        <v>528</v>
      </c>
      <c r="D1605" s="111" t="str">
        <f t="shared" ref="D1605:E1605" si="1603">TRIM(B1605)</f>
        <v>California</v>
      </c>
      <c r="E1605" s="111" t="str">
        <f t="shared" si="1603"/>
        <v>Long Beach</v>
      </c>
    </row>
    <row r="1606" spans="1:5">
      <c r="A1606" s="3" t="s">
        <v>5550</v>
      </c>
      <c r="B1606" s="110" t="s">
        <v>1321</v>
      </c>
      <c r="C1606" s="111" t="s">
        <v>528</v>
      </c>
      <c r="D1606" s="111" t="str">
        <f t="shared" ref="D1606:E1606" si="1604">TRIM(B1606)</f>
        <v>California</v>
      </c>
      <c r="E1606" s="111" t="str">
        <f t="shared" si="1604"/>
        <v>Long Beach</v>
      </c>
    </row>
    <row r="1607" spans="1:5">
      <c r="A1607" s="3" t="s">
        <v>5551</v>
      </c>
      <c r="B1607" s="110" t="s">
        <v>1321</v>
      </c>
      <c r="C1607" s="111" t="s">
        <v>528</v>
      </c>
      <c r="D1607" s="111" t="str">
        <f t="shared" ref="D1607:E1607" si="1605">TRIM(B1607)</f>
        <v>California</v>
      </c>
      <c r="E1607" s="111" t="str">
        <f t="shared" si="1605"/>
        <v>Long Beach</v>
      </c>
    </row>
    <row r="1608" spans="1:5">
      <c r="A1608" s="3" t="s">
        <v>5553</v>
      </c>
      <c r="B1608" s="110" t="s">
        <v>1321</v>
      </c>
      <c r="C1608" s="111" t="s">
        <v>528</v>
      </c>
      <c r="D1608" s="111" t="str">
        <f t="shared" ref="D1608:E1608" si="1606">TRIM(B1608)</f>
        <v>California</v>
      </c>
      <c r="E1608" s="111" t="str">
        <f t="shared" si="1606"/>
        <v>Long Beach</v>
      </c>
    </row>
    <row r="1609" spans="1:5">
      <c r="A1609" s="3" t="s">
        <v>5555</v>
      </c>
      <c r="B1609" s="110" t="s">
        <v>1321</v>
      </c>
      <c r="C1609" s="111" t="s">
        <v>528</v>
      </c>
      <c r="D1609" s="111" t="str">
        <f t="shared" ref="D1609:E1609" si="1607">TRIM(B1609)</f>
        <v>California</v>
      </c>
      <c r="E1609" s="111" t="str">
        <f t="shared" si="1607"/>
        <v>Long Beach</v>
      </c>
    </row>
    <row r="1610" spans="1:5">
      <c r="A1610" s="3" t="s">
        <v>5556</v>
      </c>
      <c r="B1610" s="110" t="s">
        <v>1321</v>
      </c>
      <c r="C1610" s="111" t="s">
        <v>528</v>
      </c>
      <c r="D1610" s="111" t="str">
        <f t="shared" ref="D1610:E1610" si="1608">TRIM(B1610)</f>
        <v>California</v>
      </c>
      <c r="E1610" s="111" t="str">
        <f t="shared" si="1608"/>
        <v>Long Beach</v>
      </c>
    </row>
    <row r="1611" spans="1:5">
      <c r="A1611" s="3" t="s">
        <v>5560</v>
      </c>
      <c r="B1611" s="110" t="s">
        <v>1321</v>
      </c>
      <c r="C1611" s="111" t="s">
        <v>528</v>
      </c>
      <c r="D1611" s="111" t="str">
        <f t="shared" ref="D1611:E1611" si="1609">TRIM(B1611)</f>
        <v>California</v>
      </c>
      <c r="E1611" s="111" t="str">
        <f t="shared" si="1609"/>
        <v>Long Beach</v>
      </c>
    </row>
    <row r="1612" spans="1:5">
      <c r="A1612" s="110" t="s">
        <v>5561</v>
      </c>
      <c r="B1612" s="110" t="s">
        <v>1321</v>
      </c>
      <c r="C1612" s="111" t="s">
        <v>528</v>
      </c>
      <c r="D1612" s="111" t="str">
        <f t="shared" ref="D1612:E1612" si="1610">TRIM(B1612)</f>
        <v>California</v>
      </c>
      <c r="E1612" s="111" t="str">
        <f t="shared" si="1610"/>
        <v>Long Beach</v>
      </c>
    </row>
    <row r="1613" spans="1:5">
      <c r="A1613" s="3" t="s">
        <v>5564</v>
      </c>
      <c r="B1613" s="110" t="s">
        <v>1321</v>
      </c>
      <c r="C1613" s="111" t="s">
        <v>528</v>
      </c>
      <c r="D1613" s="111" t="str">
        <f t="shared" ref="D1613:E1613" si="1611">TRIM(B1613)</f>
        <v>California</v>
      </c>
      <c r="E1613" s="111" t="str">
        <f t="shared" si="1611"/>
        <v>Long Beach</v>
      </c>
    </row>
    <row r="1614" spans="1:5">
      <c r="A1614" s="110" t="s">
        <v>5566</v>
      </c>
      <c r="B1614" s="110" t="s">
        <v>1321</v>
      </c>
      <c r="C1614" s="111" t="s">
        <v>528</v>
      </c>
      <c r="D1614" s="111" t="str">
        <f t="shared" ref="D1614:E1614" si="1612">TRIM(B1614)</f>
        <v>California</v>
      </c>
      <c r="E1614" s="111" t="str">
        <f t="shared" si="1612"/>
        <v>Long Beach</v>
      </c>
    </row>
    <row r="1615" spans="1:5">
      <c r="A1615" s="3" t="s">
        <v>5567</v>
      </c>
      <c r="B1615" s="110" t="s">
        <v>1321</v>
      </c>
      <c r="C1615" s="111" t="s">
        <v>528</v>
      </c>
      <c r="D1615" s="111" t="str">
        <f t="shared" ref="D1615:E1615" si="1613">TRIM(B1615)</f>
        <v>California</v>
      </c>
      <c r="E1615" s="111" t="str">
        <f t="shared" si="1613"/>
        <v>Long Beach</v>
      </c>
    </row>
    <row r="1616" spans="1:5">
      <c r="A1616" s="3" t="s">
        <v>5570</v>
      </c>
      <c r="B1616" s="110" t="s">
        <v>1321</v>
      </c>
      <c r="C1616" s="111" t="s">
        <v>5571</v>
      </c>
      <c r="D1616" s="111" t="str">
        <f t="shared" ref="D1616:E1616" si="1614">TRIM(B1616)</f>
        <v>California</v>
      </c>
      <c r="E1616" s="111" t="str">
        <f t="shared" si="1614"/>
        <v>Loomis</v>
      </c>
    </row>
    <row r="1617" spans="1:5">
      <c r="A1617" s="3" t="s">
        <v>5572</v>
      </c>
      <c r="B1617" s="110" t="s">
        <v>1321</v>
      </c>
      <c r="C1617" s="111" t="s">
        <v>5573</v>
      </c>
      <c r="D1617" s="111" t="str">
        <f t="shared" ref="D1617:E1617" si="1615">TRIM(B1617)</f>
        <v>California</v>
      </c>
      <c r="E1617" s="111" t="str">
        <f t="shared" si="1615"/>
        <v>Los Alamitos</v>
      </c>
    </row>
    <row r="1618" spans="1:5">
      <c r="A1618" s="3" t="s">
        <v>5207</v>
      </c>
      <c r="B1618" s="110" t="s">
        <v>1321</v>
      </c>
      <c r="C1618" s="111" t="s">
        <v>5576</v>
      </c>
      <c r="D1618" s="111" t="str">
        <f t="shared" ref="D1618:E1618" si="1616">TRIM(B1618)</f>
        <v>California</v>
      </c>
      <c r="E1618" s="111" t="str">
        <f t="shared" si="1616"/>
        <v>Los Altos</v>
      </c>
    </row>
    <row r="1619" spans="1:5">
      <c r="A1619" s="3" t="s">
        <v>5578</v>
      </c>
      <c r="B1619" s="110" t="s">
        <v>1321</v>
      </c>
      <c r="C1619" s="111" t="s">
        <v>323</v>
      </c>
      <c r="D1619" s="111" t="str">
        <f t="shared" ref="D1619:E1619" si="1617">TRIM(B1619)</f>
        <v>California</v>
      </c>
      <c r="E1619" s="111" t="str">
        <f t="shared" si="1617"/>
        <v>Los Angeles</v>
      </c>
    </row>
    <row r="1620" spans="1:5">
      <c r="A1620" s="3" t="s">
        <v>5579</v>
      </c>
      <c r="B1620" s="110" t="s">
        <v>1321</v>
      </c>
      <c r="C1620" s="111" t="s">
        <v>323</v>
      </c>
      <c r="D1620" s="111" t="str">
        <f t="shared" ref="D1620:E1620" si="1618">TRIM(B1620)</f>
        <v>California</v>
      </c>
      <c r="E1620" s="111" t="str">
        <f t="shared" si="1618"/>
        <v>Los Angeles</v>
      </c>
    </row>
    <row r="1621" spans="1:5">
      <c r="A1621" s="3" t="s">
        <v>5583</v>
      </c>
      <c r="B1621" s="110" t="s">
        <v>1321</v>
      </c>
      <c r="C1621" s="111" t="s">
        <v>323</v>
      </c>
      <c r="D1621" s="111" t="str">
        <f t="shared" ref="D1621:E1621" si="1619">TRIM(B1621)</f>
        <v>California</v>
      </c>
      <c r="E1621" s="111" t="str">
        <f t="shared" si="1619"/>
        <v>Los Angeles</v>
      </c>
    </row>
    <row r="1622" spans="1:5">
      <c r="A1622" s="3" t="s">
        <v>5584</v>
      </c>
      <c r="B1622" s="110" t="s">
        <v>1321</v>
      </c>
      <c r="C1622" s="111" t="s">
        <v>323</v>
      </c>
      <c r="D1622" s="111" t="str">
        <f t="shared" ref="D1622:E1622" si="1620">TRIM(B1622)</f>
        <v>California</v>
      </c>
      <c r="E1622" s="111" t="str">
        <f t="shared" si="1620"/>
        <v>Los Angeles</v>
      </c>
    </row>
    <row r="1623" spans="1:5">
      <c r="A1623" s="3" t="s">
        <v>5589</v>
      </c>
      <c r="B1623" s="110" t="s">
        <v>1321</v>
      </c>
      <c r="C1623" s="111" t="s">
        <v>323</v>
      </c>
      <c r="D1623" s="111" t="str">
        <f t="shared" ref="D1623:E1623" si="1621">TRIM(B1623)</f>
        <v>California</v>
      </c>
      <c r="E1623" s="111" t="str">
        <f t="shared" si="1621"/>
        <v>Los Angeles</v>
      </c>
    </row>
    <row r="1624" spans="1:5">
      <c r="A1624" s="3" t="s">
        <v>5590</v>
      </c>
      <c r="B1624" s="110" t="s">
        <v>1321</v>
      </c>
      <c r="C1624" s="111" t="s">
        <v>323</v>
      </c>
      <c r="D1624" s="111" t="str">
        <f t="shared" ref="D1624:E1624" si="1622">TRIM(B1624)</f>
        <v>California</v>
      </c>
      <c r="E1624" s="111" t="str">
        <f t="shared" si="1622"/>
        <v>Los Angeles</v>
      </c>
    </row>
    <row r="1625" spans="1:5">
      <c r="A1625" s="3" t="s">
        <v>5593</v>
      </c>
      <c r="B1625" s="110" t="s">
        <v>1321</v>
      </c>
      <c r="C1625" s="111" t="s">
        <v>323</v>
      </c>
      <c r="D1625" s="111" t="str">
        <f t="shared" ref="D1625:E1625" si="1623">TRIM(B1625)</f>
        <v>California</v>
      </c>
      <c r="E1625" s="111" t="str">
        <f t="shared" si="1623"/>
        <v>Los Angeles</v>
      </c>
    </row>
    <row r="1626" spans="1:5">
      <c r="A1626" s="3" t="s">
        <v>5594</v>
      </c>
      <c r="B1626" s="110" t="s">
        <v>1321</v>
      </c>
      <c r="C1626" s="111" t="s">
        <v>323</v>
      </c>
      <c r="D1626" s="111" t="str">
        <f t="shared" ref="D1626:E1626" si="1624">TRIM(B1626)</f>
        <v>California</v>
      </c>
      <c r="E1626" s="111" t="str">
        <f t="shared" si="1624"/>
        <v>Los Angeles</v>
      </c>
    </row>
    <row r="1627" spans="1:5">
      <c r="A1627" s="3" t="s">
        <v>5597</v>
      </c>
      <c r="B1627" s="110" t="s">
        <v>1321</v>
      </c>
      <c r="C1627" s="111" t="s">
        <v>323</v>
      </c>
      <c r="D1627" s="111" t="str">
        <f t="shared" ref="D1627:E1627" si="1625">TRIM(B1627)</f>
        <v>California</v>
      </c>
      <c r="E1627" s="111" t="str">
        <f t="shared" si="1625"/>
        <v>Los Angeles</v>
      </c>
    </row>
    <row r="1628" spans="1:5">
      <c r="A1628" s="110" t="s">
        <v>5598</v>
      </c>
      <c r="B1628" s="110" t="s">
        <v>1321</v>
      </c>
      <c r="C1628" s="111" t="s">
        <v>323</v>
      </c>
      <c r="D1628" s="111" t="str">
        <f t="shared" ref="D1628:E1628" si="1626">TRIM(B1628)</f>
        <v>California</v>
      </c>
      <c r="E1628" s="111" t="str">
        <f t="shared" si="1626"/>
        <v>Los Angeles</v>
      </c>
    </row>
    <row r="1629" spans="1:5">
      <c r="A1629" s="3" t="s">
        <v>5602</v>
      </c>
      <c r="B1629" s="110" t="s">
        <v>1321</v>
      </c>
      <c r="C1629" s="111" t="s">
        <v>323</v>
      </c>
      <c r="D1629" s="111" t="str">
        <f t="shared" ref="D1629:E1629" si="1627">TRIM(B1629)</f>
        <v>California</v>
      </c>
      <c r="E1629" s="111" t="str">
        <f t="shared" si="1627"/>
        <v>Los Angeles</v>
      </c>
    </row>
    <row r="1630" spans="1:5">
      <c r="A1630" s="3" t="s">
        <v>5603</v>
      </c>
      <c r="B1630" s="110" t="s">
        <v>1321</v>
      </c>
      <c r="C1630" s="111" t="s">
        <v>323</v>
      </c>
      <c r="D1630" s="111" t="str">
        <f t="shared" ref="D1630:E1630" si="1628">TRIM(B1630)</f>
        <v>California</v>
      </c>
      <c r="E1630" s="111" t="str">
        <f t="shared" si="1628"/>
        <v>Los Angeles</v>
      </c>
    </row>
    <row r="1631" spans="1:5">
      <c r="A1631" s="110" t="s">
        <v>5605</v>
      </c>
      <c r="B1631" s="110" t="s">
        <v>1321</v>
      </c>
      <c r="C1631" s="112" t="s">
        <v>323</v>
      </c>
      <c r="D1631" s="111" t="str">
        <f t="shared" ref="D1631:E1631" si="1629">TRIM(B1631)</f>
        <v>California</v>
      </c>
      <c r="E1631" s="111" t="str">
        <f t="shared" si="1629"/>
        <v>Los Angeles</v>
      </c>
    </row>
    <row r="1632" spans="1:5">
      <c r="A1632" s="3" t="s">
        <v>5608</v>
      </c>
      <c r="B1632" s="110" t="s">
        <v>1321</v>
      </c>
      <c r="C1632" s="111" t="s">
        <v>323</v>
      </c>
      <c r="D1632" s="111" t="str">
        <f t="shared" ref="D1632:E1632" si="1630">TRIM(B1632)</f>
        <v>California</v>
      </c>
      <c r="E1632" s="111" t="str">
        <f t="shared" si="1630"/>
        <v>Los Angeles</v>
      </c>
    </row>
    <row r="1633" spans="1:5">
      <c r="A1633" s="110" t="s">
        <v>5611</v>
      </c>
      <c r="B1633" s="110" t="s">
        <v>1321</v>
      </c>
      <c r="C1633" s="111" t="s">
        <v>323</v>
      </c>
      <c r="D1633" s="111" t="str">
        <f t="shared" ref="D1633:E1633" si="1631">TRIM(B1633)</f>
        <v>California</v>
      </c>
      <c r="E1633" s="111" t="str">
        <f t="shared" si="1631"/>
        <v>Los Angeles</v>
      </c>
    </row>
    <row r="1634" spans="1:5">
      <c r="A1634" s="3" t="s">
        <v>5613</v>
      </c>
      <c r="B1634" s="110" t="s">
        <v>1321</v>
      </c>
      <c r="C1634" s="111" t="s">
        <v>323</v>
      </c>
      <c r="D1634" s="111" t="str">
        <f t="shared" ref="D1634:E1634" si="1632">TRIM(B1634)</f>
        <v>California</v>
      </c>
      <c r="E1634" s="111" t="str">
        <f t="shared" si="1632"/>
        <v>Los Angeles</v>
      </c>
    </row>
    <row r="1635" spans="1:5">
      <c r="A1635" s="110" t="s">
        <v>5614</v>
      </c>
      <c r="B1635" s="110" t="s">
        <v>1321</v>
      </c>
      <c r="C1635" s="111" t="s">
        <v>323</v>
      </c>
      <c r="D1635" s="111" t="str">
        <f t="shared" ref="D1635:E1635" si="1633">TRIM(B1635)</f>
        <v>California</v>
      </c>
      <c r="E1635" s="111" t="str">
        <f t="shared" si="1633"/>
        <v>Los Angeles</v>
      </c>
    </row>
    <row r="1636" spans="1:5">
      <c r="A1636" s="3" t="s">
        <v>5616</v>
      </c>
      <c r="B1636" s="110" t="s">
        <v>1321</v>
      </c>
      <c r="C1636" s="111" t="s">
        <v>323</v>
      </c>
      <c r="D1636" s="111" t="str">
        <f t="shared" ref="D1636:E1636" si="1634">TRIM(B1636)</f>
        <v>California</v>
      </c>
      <c r="E1636" s="111" t="str">
        <f t="shared" si="1634"/>
        <v>Los Angeles</v>
      </c>
    </row>
    <row r="1637" spans="1:5">
      <c r="A1637" s="3" t="s">
        <v>5617</v>
      </c>
      <c r="B1637" s="110" t="s">
        <v>1321</v>
      </c>
      <c r="C1637" s="111" t="s">
        <v>323</v>
      </c>
      <c r="D1637" s="111" t="str">
        <f t="shared" ref="D1637:E1637" si="1635">TRIM(B1637)</f>
        <v>California</v>
      </c>
      <c r="E1637" s="111" t="str">
        <f t="shared" si="1635"/>
        <v>Los Angeles</v>
      </c>
    </row>
    <row r="1638" spans="1:5">
      <c r="A1638" s="3" t="s">
        <v>5619</v>
      </c>
      <c r="B1638" s="110" t="s">
        <v>1321</v>
      </c>
      <c r="C1638" s="111" t="s">
        <v>323</v>
      </c>
      <c r="D1638" s="111" t="str">
        <f t="shared" ref="D1638:E1638" si="1636">TRIM(B1638)</f>
        <v>California</v>
      </c>
      <c r="E1638" s="111" t="str">
        <f t="shared" si="1636"/>
        <v>Los Angeles</v>
      </c>
    </row>
    <row r="1639" spans="1:5">
      <c r="A1639" s="3" t="s">
        <v>5621</v>
      </c>
      <c r="B1639" s="110" t="s">
        <v>1321</v>
      </c>
      <c r="C1639" s="111" t="s">
        <v>323</v>
      </c>
      <c r="D1639" s="111" t="str">
        <f t="shared" ref="D1639:E1639" si="1637">TRIM(B1639)</f>
        <v>California</v>
      </c>
      <c r="E1639" s="111" t="str">
        <f t="shared" si="1637"/>
        <v>Los Angeles</v>
      </c>
    </row>
    <row r="1640" spans="1:5">
      <c r="A1640" s="3" t="s">
        <v>5623</v>
      </c>
      <c r="B1640" s="110" t="s">
        <v>1321</v>
      </c>
      <c r="C1640" s="111" t="s">
        <v>323</v>
      </c>
      <c r="D1640" s="111" t="str">
        <f t="shared" ref="D1640:E1640" si="1638">TRIM(B1640)</f>
        <v>California</v>
      </c>
      <c r="E1640" s="111" t="str">
        <f t="shared" si="1638"/>
        <v>Los Angeles</v>
      </c>
    </row>
    <row r="1641" spans="1:5">
      <c r="A1641" s="3" t="s">
        <v>5626</v>
      </c>
      <c r="B1641" s="110" t="s">
        <v>1321</v>
      </c>
      <c r="C1641" s="111" t="s">
        <v>323</v>
      </c>
      <c r="D1641" s="111" t="str">
        <f t="shared" ref="D1641:E1641" si="1639">TRIM(B1641)</f>
        <v>California</v>
      </c>
      <c r="E1641" s="111" t="str">
        <f t="shared" si="1639"/>
        <v>Los Angeles</v>
      </c>
    </row>
    <row r="1642" spans="1:5">
      <c r="A1642" s="110" t="s">
        <v>5627</v>
      </c>
      <c r="B1642" s="110" t="s">
        <v>1321</v>
      </c>
      <c r="C1642" s="111" t="s">
        <v>323</v>
      </c>
      <c r="D1642" s="111" t="str">
        <f t="shared" ref="D1642:E1642" si="1640">TRIM(B1642)</f>
        <v>California</v>
      </c>
      <c r="E1642" s="111" t="str">
        <f t="shared" si="1640"/>
        <v>Los Angeles</v>
      </c>
    </row>
    <row r="1643" spans="1:5">
      <c r="A1643" s="3" t="s">
        <v>5630</v>
      </c>
      <c r="B1643" s="110" t="s">
        <v>1321</v>
      </c>
      <c r="C1643" s="111" t="s">
        <v>323</v>
      </c>
      <c r="D1643" s="111" t="str">
        <f t="shared" ref="D1643:E1643" si="1641">TRIM(B1643)</f>
        <v>California</v>
      </c>
      <c r="E1643" s="111" t="str">
        <f t="shared" si="1641"/>
        <v>Los Angeles</v>
      </c>
    </row>
    <row r="1644" spans="1:5">
      <c r="A1644" s="3" t="s">
        <v>5631</v>
      </c>
      <c r="B1644" s="110" t="s">
        <v>1321</v>
      </c>
      <c r="C1644" s="111" t="s">
        <v>323</v>
      </c>
      <c r="D1644" s="111" t="str">
        <f t="shared" ref="D1644:E1644" si="1642">TRIM(B1644)</f>
        <v>California</v>
      </c>
      <c r="E1644" s="111" t="str">
        <f t="shared" si="1642"/>
        <v>Los Angeles</v>
      </c>
    </row>
    <row r="1645" spans="1:5">
      <c r="A1645" s="3" t="s">
        <v>5634</v>
      </c>
      <c r="B1645" s="110" t="s">
        <v>1321</v>
      </c>
      <c r="C1645" s="111" t="s">
        <v>323</v>
      </c>
      <c r="D1645" s="111" t="str">
        <f t="shared" ref="D1645:E1645" si="1643">TRIM(B1645)</f>
        <v>California</v>
      </c>
      <c r="E1645" s="111" t="str">
        <f t="shared" si="1643"/>
        <v>Los Angeles</v>
      </c>
    </row>
    <row r="1646" spans="1:5">
      <c r="A1646" s="3" t="s">
        <v>5635</v>
      </c>
      <c r="B1646" s="110" t="s">
        <v>1321</v>
      </c>
      <c r="C1646" s="111" t="s">
        <v>323</v>
      </c>
      <c r="D1646" s="111" t="str">
        <f t="shared" ref="D1646:E1646" si="1644">TRIM(B1646)</f>
        <v>California</v>
      </c>
      <c r="E1646" s="111" t="str">
        <f t="shared" si="1644"/>
        <v>Los Angeles</v>
      </c>
    </row>
    <row r="1647" spans="1:5">
      <c r="A1647" s="3" t="s">
        <v>5638</v>
      </c>
      <c r="B1647" s="110" t="s">
        <v>1321</v>
      </c>
      <c r="C1647" s="111" t="s">
        <v>323</v>
      </c>
      <c r="D1647" s="111" t="str">
        <f t="shared" ref="D1647:E1647" si="1645">TRIM(B1647)</f>
        <v>California</v>
      </c>
      <c r="E1647" s="111" t="str">
        <f t="shared" si="1645"/>
        <v>Los Angeles</v>
      </c>
    </row>
    <row r="1648" spans="1:5">
      <c r="A1648" s="110" t="s">
        <v>5640</v>
      </c>
      <c r="B1648" s="110" t="s">
        <v>1321</v>
      </c>
      <c r="C1648" s="111" t="s">
        <v>323</v>
      </c>
      <c r="D1648" s="111" t="str">
        <f t="shared" ref="D1648:E1648" si="1646">TRIM(B1648)</f>
        <v>California</v>
      </c>
      <c r="E1648" s="111" t="str">
        <f t="shared" si="1646"/>
        <v>Los Angeles</v>
      </c>
    </row>
    <row r="1649" spans="1:5">
      <c r="A1649" s="3" t="s">
        <v>5643</v>
      </c>
      <c r="B1649" s="110" t="s">
        <v>1321</v>
      </c>
      <c r="C1649" s="111" t="s">
        <v>323</v>
      </c>
      <c r="D1649" s="111" t="str">
        <f t="shared" ref="D1649:E1649" si="1647">TRIM(B1649)</f>
        <v>California</v>
      </c>
      <c r="E1649" s="111" t="str">
        <f t="shared" si="1647"/>
        <v>Los Angeles</v>
      </c>
    </row>
    <row r="1650" spans="1:5">
      <c r="A1650" s="110" t="s">
        <v>5645</v>
      </c>
      <c r="B1650" s="110" t="s">
        <v>1321</v>
      </c>
      <c r="C1650" s="111" t="s">
        <v>323</v>
      </c>
      <c r="D1650" s="111" t="str">
        <f t="shared" ref="D1650:E1650" si="1648">TRIM(B1650)</f>
        <v>California</v>
      </c>
      <c r="E1650" s="111" t="str">
        <f t="shared" si="1648"/>
        <v>Los Angeles</v>
      </c>
    </row>
    <row r="1651" spans="1:5">
      <c r="A1651" s="3" t="s">
        <v>5646</v>
      </c>
      <c r="B1651" s="110" t="s">
        <v>1321</v>
      </c>
      <c r="C1651" s="111" t="s">
        <v>323</v>
      </c>
      <c r="D1651" s="111" t="str">
        <f t="shared" ref="D1651:E1651" si="1649">TRIM(B1651)</f>
        <v>California</v>
      </c>
      <c r="E1651" s="111" t="str">
        <f t="shared" si="1649"/>
        <v>Los Angeles</v>
      </c>
    </row>
    <row r="1652" spans="1:5">
      <c r="A1652" s="3" t="s">
        <v>5650</v>
      </c>
      <c r="B1652" s="110" t="s">
        <v>1321</v>
      </c>
      <c r="C1652" s="111" t="s">
        <v>323</v>
      </c>
      <c r="D1652" s="111" t="str">
        <f t="shared" ref="D1652:E1652" si="1650">TRIM(B1652)</f>
        <v>California</v>
      </c>
      <c r="E1652" s="111" t="str">
        <f t="shared" si="1650"/>
        <v>Los Angeles</v>
      </c>
    </row>
    <row r="1653" spans="1:5">
      <c r="A1653" s="3" t="s">
        <v>5651</v>
      </c>
      <c r="B1653" s="110" t="s">
        <v>1321</v>
      </c>
      <c r="C1653" s="111" t="s">
        <v>323</v>
      </c>
      <c r="D1653" s="111" t="str">
        <f t="shared" ref="D1653:E1653" si="1651">TRIM(B1653)</f>
        <v>California</v>
      </c>
      <c r="E1653" s="111" t="str">
        <f t="shared" si="1651"/>
        <v>Los Angeles</v>
      </c>
    </row>
    <row r="1654" spans="1:5">
      <c r="A1654" s="3" t="s">
        <v>5653</v>
      </c>
      <c r="B1654" s="110" t="s">
        <v>1321</v>
      </c>
      <c r="C1654" s="111" t="s">
        <v>323</v>
      </c>
      <c r="D1654" s="111" t="str">
        <f t="shared" ref="D1654:E1654" si="1652">TRIM(B1654)</f>
        <v>California</v>
      </c>
      <c r="E1654" s="111" t="str">
        <f t="shared" si="1652"/>
        <v>Los Angeles</v>
      </c>
    </row>
    <row r="1655" spans="1:5">
      <c r="A1655" s="3" t="s">
        <v>5656</v>
      </c>
      <c r="B1655" s="110" t="s">
        <v>1321</v>
      </c>
      <c r="C1655" s="111" t="s">
        <v>323</v>
      </c>
      <c r="D1655" s="111" t="str">
        <f t="shared" ref="D1655:E1655" si="1653">TRIM(B1655)</f>
        <v>California</v>
      </c>
      <c r="E1655" s="111" t="str">
        <f t="shared" si="1653"/>
        <v>Los Angeles</v>
      </c>
    </row>
    <row r="1656" spans="1:5">
      <c r="A1656" s="3" t="s">
        <v>5657</v>
      </c>
      <c r="B1656" s="110" t="s">
        <v>1321</v>
      </c>
      <c r="C1656" s="111" t="s">
        <v>323</v>
      </c>
      <c r="D1656" s="111" t="str">
        <f t="shared" ref="D1656:E1656" si="1654">TRIM(B1656)</f>
        <v>California</v>
      </c>
      <c r="E1656" s="111" t="str">
        <f t="shared" si="1654"/>
        <v>Los Angeles</v>
      </c>
    </row>
    <row r="1657" spans="1:5">
      <c r="A1657" s="3" t="s">
        <v>5659</v>
      </c>
      <c r="B1657" s="110" t="s">
        <v>1321</v>
      </c>
      <c r="C1657" s="111" t="s">
        <v>323</v>
      </c>
      <c r="D1657" s="111" t="str">
        <f t="shared" ref="D1657:E1657" si="1655">TRIM(B1657)</f>
        <v>California</v>
      </c>
      <c r="E1657" s="111" t="str">
        <f t="shared" si="1655"/>
        <v>Los Angeles</v>
      </c>
    </row>
    <row r="1658" spans="1:5">
      <c r="A1658" s="3" t="s">
        <v>5662</v>
      </c>
      <c r="B1658" s="110" t="s">
        <v>1321</v>
      </c>
      <c r="C1658" s="111" t="s">
        <v>323</v>
      </c>
      <c r="D1658" s="111" t="str">
        <f t="shared" ref="D1658:E1658" si="1656">TRIM(B1658)</f>
        <v>California</v>
      </c>
      <c r="E1658" s="111" t="str">
        <f t="shared" si="1656"/>
        <v>Los Angeles</v>
      </c>
    </row>
    <row r="1659" spans="1:5">
      <c r="A1659" s="3" t="s">
        <v>5663</v>
      </c>
      <c r="B1659" s="110" t="s">
        <v>1321</v>
      </c>
      <c r="C1659" s="111" t="s">
        <v>323</v>
      </c>
      <c r="D1659" s="111" t="str">
        <f t="shared" ref="D1659:E1659" si="1657">TRIM(B1659)</f>
        <v>California</v>
      </c>
      <c r="E1659" s="111" t="str">
        <f t="shared" si="1657"/>
        <v>Los Angeles</v>
      </c>
    </row>
    <row r="1660" spans="1:5">
      <c r="A1660" s="3" t="s">
        <v>5667</v>
      </c>
      <c r="B1660" s="110" t="s">
        <v>1321</v>
      </c>
      <c r="C1660" s="111" t="s">
        <v>323</v>
      </c>
      <c r="D1660" s="111" t="str">
        <f t="shared" ref="D1660:E1660" si="1658">TRIM(B1660)</f>
        <v>California</v>
      </c>
      <c r="E1660" s="111" t="str">
        <f t="shared" si="1658"/>
        <v>Los Angeles</v>
      </c>
    </row>
    <row r="1661" spans="1:5">
      <c r="A1661" s="3" t="s">
        <v>5668</v>
      </c>
      <c r="B1661" s="110" t="s">
        <v>1321</v>
      </c>
      <c r="C1661" s="111" t="s">
        <v>323</v>
      </c>
      <c r="D1661" s="111" t="str">
        <f t="shared" ref="D1661:E1661" si="1659">TRIM(B1661)</f>
        <v>California</v>
      </c>
      <c r="E1661" s="111" t="str">
        <f t="shared" si="1659"/>
        <v>Los Angeles</v>
      </c>
    </row>
    <row r="1662" spans="1:5">
      <c r="A1662" s="3" t="s">
        <v>5670</v>
      </c>
      <c r="B1662" s="110" t="s">
        <v>1321</v>
      </c>
      <c r="C1662" s="111" t="s">
        <v>323</v>
      </c>
      <c r="D1662" s="111" t="str">
        <f t="shared" ref="D1662:E1662" si="1660">TRIM(B1662)</f>
        <v>California</v>
      </c>
      <c r="E1662" s="111" t="str">
        <f t="shared" si="1660"/>
        <v>Los Angeles</v>
      </c>
    </row>
    <row r="1663" spans="1:5">
      <c r="A1663" s="3" t="s">
        <v>5672</v>
      </c>
      <c r="B1663" s="110" t="s">
        <v>1321</v>
      </c>
      <c r="C1663" s="111" t="s">
        <v>323</v>
      </c>
      <c r="D1663" s="111" t="str">
        <f t="shared" ref="D1663:E1663" si="1661">TRIM(B1663)</f>
        <v>California</v>
      </c>
      <c r="E1663" s="111" t="str">
        <f t="shared" si="1661"/>
        <v>Los Angeles</v>
      </c>
    </row>
    <row r="1664" spans="1:5">
      <c r="A1664" s="3" t="s">
        <v>5674</v>
      </c>
      <c r="B1664" s="110" t="s">
        <v>1321</v>
      </c>
      <c r="C1664" s="111" t="s">
        <v>323</v>
      </c>
      <c r="D1664" s="111" t="str">
        <f t="shared" ref="D1664:E1664" si="1662">TRIM(B1664)</f>
        <v>California</v>
      </c>
      <c r="E1664" s="111" t="str">
        <f t="shared" si="1662"/>
        <v>Los Angeles</v>
      </c>
    </row>
    <row r="1665" spans="1:5">
      <c r="A1665" s="110" t="s">
        <v>5675</v>
      </c>
      <c r="B1665" s="110" t="s">
        <v>1321</v>
      </c>
      <c r="C1665" s="111" t="s">
        <v>323</v>
      </c>
      <c r="D1665" s="111" t="str">
        <f t="shared" ref="D1665:E1665" si="1663">TRIM(B1665)</f>
        <v>California</v>
      </c>
      <c r="E1665" s="111" t="str">
        <f t="shared" si="1663"/>
        <v>Los Angeles</v>
      </c>
    </row>
    <row r="1666" spans="1:5">
      <c r="A1666" s="3" t="s">
        <v>5678</v>
      </c>
      <c r="B1666" s="110" t="s">
        <v>1321</v>
      </c>
      <c r="C1666" s="111" t="s">
        <v>323</v>
      </c>
      <c r="D1666" s="111" t="str">
        <f t="shared" ref="D1666:E1666" si="1664">TRIM(B1666)</f>
        <v>California</v>
      </c>
      <c r="E1666" s="111" t="str">
        <f t="shared" si="1664"/>
        <v>Los Angeles</v>
      </c>
    </row>
    <row r="1667" spans="1:5">
      <c r="A1667" s="110" t="s">
        <v>5680</v>
      </c>
      <c r="B1667" s="110" t="s">
        <v>1321</v>
      </c>
      <c r="C1667" s="111" t="s">
        <v>323</v>
      </c>
      <c r="D1667" s="111" t="str">
        <f t="shared" ref="D1667:E1667" si="1665">TRIM(B1667)</f>
        <v>California</v>
      </c>
      <c r="E1667" s="111" t="str">
        <f t="shared" si="1665"/>
        <v>Los Angeles</v>
      </c>
    </row>
    <row r="1668" spans="1:5">
      <c r="A1668" s="3" t="s">
        <v>5681</v>
      </c>
      <c r="B1668" s="110" t="s">
        <v>1321</v>
      </c>
      <c r="C1668" s="111" t="s">
        <v>323</v>
      </c>
      <c r="D1668" s="111" t="str">
        <f t="shared" ref="D1668:E1668" si="1666">TRIM(B1668)</f>
        <v>California</v>
      </c>
      <c r="E1668" s="111" t="str">
        <f t="shared" si="1666"/>
        <v>Los Angeles</v>
      </c>
    </row>
    <row r="1669" spans="1:5">
      <c r="A1669" s="110" t="s">
        <v>5684</v>
      </c>
      <c r="B1669" s="110" t="s">
        <v>1321</v>
      </c>
      <c r="C1669" s="111" t="s">
        <v>323</v>
      </c>
      <c r="D1669" s="111" t="str">
        <f t="shared" ref="D1669:E1669" si="1667">TRIM(B1669)</f>
        <v>California</v>
      </c>
      <c r="E1669" s="111" t="str">
        <f t="shared" si="1667"/>
        <v>Los Angeles</v>
      </c>
    </row>
    <row r="1670" spans="1:5">
      <c r="A1670" s="110" t="s">
        <v>5686</v>
      </c>
      <c r="B1670" s="110" t="s">
        <v>1321</v>
      </c>
      <c r="C1670" s="111" t="s">
        <v>323</v>
      </c>
      <c r="D1670" s="111" t="str">
        <f t="shared" ref="D1670:E1670" si="1668">TRIM(B1670)</f>
        <v>California</v>
      </c>
      <c r="E1670" s="111" t="str">
        <f t="shared" si="1668"/>
        <v>Los Angeles</v>
      </c>
    </row>
    <row r="1671" spans="1:5">
      <c r="A1671" s="110" t="s">
        <v>5688</v>
      </c>
      <c r="B1671" s="110" t="s">
        <v>1321</v>
      </c>
      <c r="C1671" s="111" t="s">
        <v>323</v>
      </c>
      <c r="D1671" s="111" t="str">
        <f t="shared" ref="D1671:E1671" si="1669">TRIM(B1671)</f>
        <v>California</v>
      </c>
      <c r="E1671" s="111" t="str">
        <f t="shared" si="1669"/>
        <v>Los Angeles</v>
      </c>
    </row>
    <row r="1672" spans="1:5">
      <c r="A1672" s="3" t="s">
        <v>5691</v>
      </c>
      <c r="B1672" s="110" t="s">
        <v>1321</v>
      </c>
      <c r="C1672" s="111" t="s">
        <v>323</v>
      </c>
      <c r="D1672" s="111" t="str">
        <f t="shared" ref="D1672:E1672" si="1670">TRIM(B1672)</f>
        <v>California</v>
      </c>
      <c r="E1672" s="111" t="str">
        <f t="shared" si="1670"/>
        <v>Los Angeles</v>
      </c>
    </row>
    <row r="1673" spans="1:5">
      <c r="A1673" s="3" t="s">
        <v>5692</v>
      </c>
      <c r="B1673" s="110" t="s">
        <v>1321</v>
      </c>
      <c r="C1673" s="111" t="s">
        <v>323</v>
      </c>
      <c r="D1673" s="111" t="str">
        <f t="shared" ref="D1673:E1673" si="1671">TRIM(B1673)</f>
        <v>California</v>
      </c>
      <c r="E1673" s="111" t="str">
        <f t="shared" si="1671"/>
        <v>Los Angeles</v>
      </c>
    </row>
    <row r="1674" spans="1:5">
      <c r="A1674" s="3" t="s">
        <v>5695</v>
      </c>
      <c r="B1674" s="110" t="s">
        <v>1321</v>
      </c>
      <c r="C1674" s="111" t="s">
        <v>323</v>
      </c>
      <c r="D1674" s="111" t="str">
        <f t="shared" ref="D1674:E1674" si="1672">TRIM(B1674)</f>
        <v>California</v>
      </c>
      <c r="E1674" s="111" t="str">
        <f t="shared" si="1672"/>
        <v>Los Angeles</v>
      </c>
    </row>
    <row r="1675" spans="1:5">
      <c r="A1675" s="3" t="s">
        <v>5697</v>
      </c>
      <c r="B1675" s="110" t="s">
        <v>1321</v>
      </c>
      <c r="C1675" s="111" t="s">
        <v>323</v>
      </c>
      <c r="D1675" s="111" t="str">
        <f t="shared" ref="D1675:E1675" si="1673">TRIM(B1675)</f>
        <v>California</v>
      </c>
      <c r="E1675" s="111" t="str">
        <f t="shared" si="1673"/>
        <v>Los Angeles</v>
      </c>
    </row>
    <row r="1676" spans="1:5">
      <c r="A1676" s="3" t="s">
        <v>5698</v>
      </c>
      <c r="B1676" s="110" t="s">
        <v>1321</v>
      </c>
      <c r="C1676" s="111" t="s">
        <v>323</v>
      </c>
      <c r="D1676" s="111" t="str">
        <f t="shared" ref="D1676:E1676" si="1674">TRIM(B1676)</f>
        <v>California</v>
      </c>
      <c r="E1676" s="111" t="str">
        <f t="shared" si="1674"/>
        <v>Los Angeles</v>
      </c>
    </row>
    <row r="1677" spans="1:5">
      <c r="A1677" s="3" t="s">
        <v>5700</v>
      </c>
      <c r="B1677" s="110" t="s">
        <v>1321</v>
      </c>
      <c r="C1677" s="111" t="s">
        <v>323</v>
      </c>
      <c r="D1677" s="111" t="str">
        <f t="shared" ref="D1677:E1677" si="1675">TRIM(B1677)</f>
        <v>California</v>
      </c>
      <c r="E1677" s="111" t="str">
        <f t="shared" si="1675"/>
        <v>Los Angeles</v>
      </c>
    </row>
    <row r="1678" spans="1:5">
      <c r="A1678" s="110" t="s">
        <v>5702</v>
      </c>
      <c r="B1678" s="110" t="s">
        <v>1321</v>
      </c>
      <c r="C1678" s="111" t="s">
        <v>323</v>
      </c>
      <c r="D1678" s="111" t="str">
        <f t="shared" ref="D1678:E1678" si="1676">TRIM(B1678)</f>
        <v>California</v>
      </c>
      <c r="E1678" s="111" t="str">
        <f t="shared" si="1676"/>
        <v>Los Angeles</v>
      </c>
    </row>
    <row r="1679" spans="1:5">
      <c r="A1679" s="110" t="s">
        <v>5704</v>
      </c>
      <c r="B1679" s="110" t="s">
        <v>1321</v>
      </c>
      <c r="C1679" s="111" t="s">
        <v>323</v>
      </c>
      <c r="D1679" s="111" t="str">
        <f t="shared" ref="D1679:E1679" si="1677">TRIM(B1679)</f>
        <v>California</v>
      </c>
      <c r="E1679" s="111" t="str">
        <f t="shared" si="1677"/>
        <v>Los Angeles</v>
      </c>
    </row>
    <row r="1680" spans="1:5">
      <c r="A1680" s="3" t="s">
        <v>5707</v>
      </c>
      <c r="B1680" s="110" t="s">
        <v>1321</v>
      </c>
      <c r="C1680" s="111" t="s">
        <v>323</v>
      </c>
      <c r="D1680" s="111" t="str">
        <f t="shared" ref="D1680:E1680" si="1678">TRIM(B1680)</f>
        <v>California</v>
      </c>
      <c r="E1680" s="111" t="str">
        <f t="shared" si="1678"/>
        <v>Los Angeles</v>
      </c>
    </row>
    <row r="1681" spans="1:5">
      <c r="A1681" s="110" t="s">
        <v>5709</v>
      </c>
      <c r="B1681" s="110" t="s">
        <v>1321</v>
      </c>
      <c r="C1681" s="111" t="s">
        <v>323</v>
      </c>
      <c r="D1681" s="111" t="str">
        <f t="shared" ref="D1681:E1681" si="1679">TRIM(B1681)</f>
        <v>California</v>
      </c>
      <c r="E1681" s="111" t="str">
        <f t="shared" si="1679"/>
        <v>Los Angeles</v>
      </c>
    </row>
    <row r="1682" spans="1:5">
      <c r="A1682" s="3" t="s">
        <v>5712</v>
      </c>
      <c r="B1682" s="110" t="s">
        <v>1321</v>
      </c>
      <c r="C1682" s="111" t="s">
        <v>323</v>
      </c>
      <c r="D1682" s="111" t="str">
        <f t="shared" ref="D1682:E1682" si="1680">TRIM(B1682)</f>
        <v>California</v>
      </c>
      <c r="E1682" s="111" t="str">
        <f t="shared" si="1680"/>
        <v>Los Angeles</v>
      </c>
    </row>
    <row r="1683" spans="1:5">
      <c r="A1683" s="110" t="s">
        <v>5714</v>
      </c>
      <c r="B1683" s="110" t="s">
        <v>1321</v>
      </c>
      <c r="C1683" s="111" t="s">
        <v>323</v>
      </c>
      <c r="D1683" s="111" t="str">
        <f t="shared" ref="D1683:E1683" si="1681">TRIM(B1683)</f>
        <v>California</v>
      </c>
      <c r="E1683" s="111" t="str">
        <f t="shared" si="1681"/>
        <v>Los Angeles</v>
      </c>
    </row>
    <row r="1684" spans="1:5">
      <c r="A1684" s="3" t="s">
        <v>5715</v>
      </c>
      <c r="B1684" s="110" t="s">
        <v>1321</v>
      </c>
      <c r="C1684" s="111" t="s">
        <v>323</v>
      </c>
      <c r="D1684" s="111" t="str">
        <f t="shared" ref="D1684:E1684" si="1682">TRIM(B1684)</f>
        <v>California</v>
      </c>
      <c r="E1684" s="111" t="str">
        <f t="shared" si="1682"/>
        <v>Los Angeles</v>
      </c>
    </row>
    <row r="1685" spans="1:5">
      <c r="A1685" s="3" t="s">
        <v>5718</v>
      </c>
      <c r="B1685" s="110" t="s">
        <v>1321</v>
      </c>
      <c r="C1685" s="111" t="s">
        <v>323</v>
      </c>
      <c r="D1685" s="111" t="str">
        <f t="shared" ref="D1685:E1685" si="1683">TRIM(B1685)</f>
        <v>California</v>
      </c>
      <c r="E1685" s="111" t="str">
        <f t="shared" si="1683"/>
        <v>Los Angeles</v>
      </c>
    </row>
    <row r="1686" spans="1:5">
      <c r="A1686" s="3" t="s">
        <v>5720</v>
      </c>
      <c r="B1686" s="110" t="s">
        <v>1321</v>
      </c>
      <c r="C1686" s="111" t="s">
        <v>323</v>
      </c>
      <c r="D1686" s="111" t="str">
        <f t="shared" ref="D1686:E1686" si="1684">TRIM(B1686)</f>
        <v>California</v>
      </c>
      <c r="E1686" s="111" t="str">
        <f t="shared" si="1684"/>
        <v>Los Angeles</v>
      </c>
    </row>
    <row r="1687" spans="1:5">
      <c r="A1687" s="3" t="s">
        <v>5721</v>
      </c>
      <c r="B1687" s="110" t="s">
        <v>1321</v>
      </c>
      <c r="C1687" s="111" t="s">
        <v>323</v>
      </c>
      <c r="D1687" s="111" t="str">
        <f t="shared" ref="D1687:E1687" si="1685">TRIM(B1687)</f>
        <v>California</v>
      </c>
      <c r="E1687" s="111" t="str">
        <f t="shared" si="1685"/>
        <v>Los Angeles</v>
      </c>
    </row>
    <row r="1688" spans="1:5">
      <c r="A1688" s="3" t="s">
        <v>5724</v>
      </c>
      <c r="B1688" s="110" t="s">
        <v>1321</v>
      </c>
      <c r="C1688" s="111" t="s">
        <v>323</v>
      </c>
      <c r="D1688" s="111" t="str">
        <f t="shared" ref="D1688:E1688" si="1686">TRIM(B1688)</f>
        <v>California</v>
      </c>
      <c r="E1688" s="111" t="str">
        <f t="shared" si="1686"/>
        <v>Los Angeles</v>
      </c>
    </row>
    <row r="1689" spans="1:5">
      <c r="A1689" s="3" t="s">
        <v>5726</v>
      </c>
      <c r="B1689" s="110" t="s">
        <v>1321</v>
      </c>
      <c r="C1689" s="111" t="s">
        <v>323</v>
      </c>
      <c r="D1689" s="111" t="str">
        <f t="shared" ref="D1689:E1689" si="1687">TRIM(B1689)</f>
        <v>California</v>
      </c>
      <c r="E1689" s="111" t="str">
        <f t="shared" si="1687"/>
        <v>Los Angeles</v>
      </c>
    </row>
    <row r="1690" spans="1:5">
      <c r="A1690" s="3" t="s">
        <v>5728</v>
      </c>
      <c r="B1690" s="110" t="s">
        <v>1321</v>
      </c>
      <c r="C1690" s="111" t="s">
        <v>323</v>
      </c>
      <c r="D1690" s="111" t="str">
        <f t="shared" ref="D1690:E1690" si="1688">TRIM(B1690)</f>
        <v>California</v>
      </c>
      <c r="E1690" s="111" t="str">
        <f t="shared" si="1688"/>
        <v>Los Angeles</v>
      </c>
    </row>
    <row r="1691" spans="1:5">
      <c r="A1691" s="3" t="s">
        <v>5731</v>
      </c>
      <c r="B1691" s="110" t="s">
        <v>1321</v>
      </c>
      <c r="C1691" s="111" t="s">
        <v>323</v>
      </c>
      <c r="D1691" s="111" t="str">
        <f t="shared" ref="D1691:E1691" si="1689">TRIM(B1691)</f>
        <v>California</v>
      </c>
      <c r="E1691" s="111" t="str">
        <f t="shared" si="1689"/>
        <v>Los Angeles</v>
      </c>
    </row>
    <row r="1692" spans="1:5">
      <c r="A1692" s="3" t="s">
        <v>5732</v>
      </c>
      <c r="B1692" s="110" t="s">
        <v>1321</v>
      </c>
      <c r="C1692" s="111" t="s">
        <v>323</v>
      </c>
      <c r="D1692" s="111" t="str">
        <f t="shared" ref="D1692:E1692" si="1690">TRIM(B1692)</f>
        <v>California</v>
      </c>
      <c r="E1692" s="111" t="str">
        <f t="shared" si="1690"/>
        <v>Los Angeles</v>
      </c>
    </row>
    <row r="1693" spans="1:5">
      <c r="A1693" s="3" t="s">
        <v>5736</v>
      </c>
      <c r="B1693" s="110" t="s">
        <v>1321</v>
      </c>
      <c r="C1693" s="111" t="s">
        <v>323</v>
      </c>
      <c r="D1693" s="111" t="str">
        <f t="shared" ref="D1693:E1693" si="1691">TRIM(B1693)</f>
        <v>California</v>
      </c>
      <c r="E1693" s="111" t="str">
        <f t="shared" si="1691"/>
        <v>Los Angeles</v>
      </c>
    </row>
    <row r="1694" spans="1:5">
      <c r="A1694" s="3" t="s">
        <v>5737</v>
      </c>
      <c r="B1694" s="110" t="s">
        <v>1321</v>
      </c>
      <c r="C1694" s="111" t="s">
        <v>323</v>
      </c>
      <c r="D1694" s="111" t="str">
        <f t="shared" ref="D1694:E1694" si="1692">TRIM(B1694)</f>
        <v>California</v>
      </c>
      <c r="E1694" s="111" t="str">
        <f t="shared" si="1692"/>
        <v>Los Angeles</v>
      </c>
    </row>
    <row r="1695" spans="1:5">
      <c r="A1695" s="3" t="s">
        <v>5739</v>
      </c>
      <c r="B1695" s="110" t="s">
        <v>1321</v>
      </c>
      <c r="C1695" s="111" t="s">
        <v>323</v>
      </c>
      <c r="D1695" s="111" t="str">
        <f t="shared" ref="D1695:E1695" si="1693">TRIM(B1695)</f>
        <v>California</v>
      </c>
      <c r="E1695" s="111" t="str">
        <f t="shared" si="1693"/>
        <v>Los Angeles</v>
      </c>
    </row>
    <row r="1696" spans="1:5">
      <c r="A1696" s="3" t="s">
        <v>5741</v>
      </c>
      <c r="B1696" s="110" t="s">
        <v>1321</v>
      </c>
      <c r="C1696" s="111" t="s">
        <v>323</v>
      </c>
      <c r="D1696" s="111" t="str">
        <f t="shared" ref="D1696:E1696" si="1694">TRIM(B1696)</f>
        <v>California</v>
      </c>
      <c r="E1696" s="111" t="str">
        <f t="shared" si="1694"/>
        <v>Los Angeles</v>
      </c>
    </row>
    <row r="1697" spans="1:5">
      <c r="A1697" s="3" t="s">
        <v>5742</v>
      </c>
      <c r="B1697" s="110" t="s">
        <v>1321</v>
      </c>
      <c r="C1697" s="111" t="s">
        <v>323</v>
      </c>
      <c r="D1697" s="111" t="str">
        <f t="shared" ref="D1697:E1697" si="1695">TRIM(B1697)</f>
        <v>California</v>
      </c>
      <c r="E1697" s="111" t="str">
        <f t="shared" si="1695"/>
        <v>Los Angeles</v>
      </c>
    </row>
    <row r="1698" spans="1:5">
      <c r="A1698" s="3" t="s">
        <v>5745</v>
      </c>
      <c r="B1698" s="110" t="s">
        <v>1321</v>
      </c>
      <c r="C1698" s="111" t="s">
        <v>323</v>
      </c>
      <c r="D1698" s="111" t="str">
        <f t="shared" ref="D1698:E1698" si="1696">TRIM(B1698)</f>
        <v>California</v>
      </c>
      <c r="E1698" s="111" t="str">
        <f t="shared" si="1696"/>
        <v>Los Angeles</v>
      </c>
    </row>
    <row r="1699" spans="1:5">
      <c r="A1699" s="3" t="s">
        <v>5747</v>
      </c>
      <c r="B1699" s="110" t="s">
        <v>1321</v>
      </c>
      <c r="C1699" s="111" t="s">
        <v>323</v>
      </c>
      <c r="D1699" s="111" t="str">
        <f t="shared" ref="D1699:E1699" si="1697">TRIM(B1699)</f>
        <v>California</v>
      </c>
      <c r="E1699" s="111" t="str">
        <f t="shared" si="1697"/>
        <v>Los Angeles</v>
      </c>
    </row>
    <row r="1700" spans="1:5">
      <c r="A1700" s="3" t="s">
        <v>5749</v>
      </c>
      <c r="B1700" s="110" t="s">
        <v>1321</v>
      </c>
      <c r="C1700" s="111" t="s">
        <v>323</v>
      </c>
      <c r="D1700" s="111" t="str">
        <f t="shared" ref="D1700:E1700" si="1698">TRIM(B1700)</f>
        <v>California</v>
      </c>
      <c r="E1700" s="111" t="str">
        <f t="shared" si="1698"/>
        <v>Los Angeles</v>
      </c>
    </row>
    <row r="1701" spans="1:5">
      <c r="A1701" s="3" t="s">
        <v>5752</v>
      </c>
      <c r="B1701" s="110" t="s">
        <v>1321</v>
      </c>
      <c r="C1701" s="111" t="s">
        <v>323</v>
      </c>
      <c r="D1701" s="111" t="str">
        <f t="shared" ref="D1701:E1701" si="1699">TRIM(B1701)</f>
        <v>California</v>
      </c>
      <c r="E1701" s="111" t="str">
        <f t="shared" si="1699"/>
        <v>Los Angeles</v>
      </c>
    </row>
    <row r="1702" spans="1:5">
      <c r="A1702" s="3" t="s">
        <v>5753</v>
      </c>
      <c r="B1702" s="110" t="s">
        <v>1321</v>
      </c>
      <c r="C1702" s="111" t="s">
        <v>323</v>
      </c>
      <c r="D1702" s="111" t="str">
        <f t="shared" ref="D1702:E1702" si="1700">TRIM(B1702)</f>
        <v>California</v>
      </c>
      <c r="E1702" s="111" t="str">
        <f t="shared" si="1700"/>
        <v>Los Angeles</v>
      </c>
    </row>
    <row r="1703" spans="1:5">
      <c r="A1703" s="110" t="s">
        <v>5756</v>
      </c>
      <c r="B1703" s="110" t="s">
        <v>1321</v>
      </c>
      <c r="C1703" s="111" t="s">
        <v>323</v>
      </c>
      <c r="D1703" s="111" t="str">
        <f t="shared" ref="D1703:E1703" si="1701">TRIM(B1703)</f>
        <v>California</v>
      </c>
      <c r="E1703" s="111" t="str">
        <f t="shared" si="1701"/>
        <v>Los Angeles</v>
      </c>
    </row>
    <row r="1704" spans="1:5">
      <c r="A1704" s="3" t="s">
        <v>5758</v>
      </c>
      <c r="B1704" s="110" t="s">
        <v>1321</v>
      </c>
      <c r="C1704" s="111" t="s">
        <v>323</v>
      </c>
      <c r="D1704" s="111" t="str">
        <f t="shared" ref="D1704:E1704" si="1702">TRIM(B1704)</f>
        <v>California</v>
      </c>
      <c r="E1704" s="111" t="str">
        <f t="shared" si="1702"/>
        <v>Los Angeles</v>
      </c>
    </row>
    <row r="1705" spans="1:5">
      <c r="A1705" s="3" t="s">
        <v>5759</v>
      </c>
      <c r="B1705" s="110" t="s">
        <v>1321</v>
      </c>
      <c r="C1705" s="111" t="s">
        <v>323</v>
      </c>
      <c r="D1705" s="111" t="str">
        <f t="shared" ref="D1705:E1705" si="1703">TRIM(B1705)</f>
        <v>California</v>
      </c>
      <c r="E1705" s="111" t="str">
        <f t="shared" si="1703"/>
        <v>Los Angeles</v>
      </c>
    </row>
    <row r="1706" spans="1:5">
      <c r="A1706" s="3" t="s">
        <v>5761</v>
      </c>
      <c r="B1706" s="110" t="s">
        <v>1321</v>
      </c>
      <c r="C1706" s="111" t="s">
        <v>323</v>
      </c>
      <c r="D1706" s="111" t="str">
        <f t="shared" ref="D1706:E1706" si="1704">TRIM(B1706)</f>
        <v>California</v>
      </c>
      <c r="E1706" s="111" t="str">
        <f t="shared" si="1704"/>
        <v>Los Angeles</v>
      </c>
    </row>
    <row r="1707" spans="1:5">
      <c r="A1707" s="3" t="s">
        <v>5763</v>
      </c>
      <c r="B1707" s="110" t="s">
        <v>1321</v>
      </c>
      <c r="C1707" s="111" t="s">
        <v>323</v>
      </c>
      <c r="D1707" s="111" t="str">
        <f t="shared" ref="D1707:E1707" si="1705">TRIM(B1707)</f>
        <v>California</v>
      </c>
      <c r="E1707" s="111" t="str">
        <f t="shared" si="1705"/>
        <v>Los Angeles</v>
      </c>
    </row>
    <row r="1708" spans="1:5">
      <c r="A1708" s="110" t="s">
        <v>5764</v>
      </c>
      <c r="B1708" s="110" t="s">
        <v>1321</v>
      </c>
      <c r="C1708" s="111" t="s">
        <v>323</v>
      </c>
      <c r="D1708" s="111" t="str">
        <f t="shared" ref="D1708:E1708" si="1706">TRIM(B1708)</f>
        <v>California</v>
      </c>
      <c r="E1708" s="111" t="str">
        <f t="shared" si="1706"/>
        <v>Los Angeles</v>
      </c>
    </row>
    <row r="1709" spans="1:5">
      <c r="A1709" s="110" t="s">
        <v>5767</v>
      </c>
      <c r="B1709" s="110" t="s">
        <v>1321</v>
      </c>
      <c r="C1709" s="111" t="s">
        <v>323</v>
      </c>
      <c r="D1709" s="111" t="str">
        <f t="shared" ref="D1709:E1709" si="1707">TRIM(B1709)</f>
        <v>California</v>
      </c>
      <c r="E1709" s="111" t="str">
        <f t="shared" si="1707"/>
        <v>Los Angeles</v>
      </c>
    </row>
    <row r="1710" spans="1:5">
      <c r="A1710" s="3" t="s">
        <v>5768</v>
      </c>
      <c r="B1710" s="110" t="s">
        <v>1321</v>
      </c>
      <c r="C1710" s="111" t="s">
        <v>323</v>
      </c>
      <c r="D1710" s="111" t="str">
        <f t="shared" ref="D1710:E1710" si="1708">TRIM(B1710)</f>
        <v>California</v>
      </c>
      <c r="E1710" s="111" t="str">
        <f t="shared" si="1708"/>
        <v>Los Angeles</v>
      </c>
    </row>
    <row r="1711" spans="1:5">
      <c r="A1711" s="110" t="s">
        <v>5769</v>
      </c>
      <c r="B1711" s="110" t="s">
        <v>1321</v>
      </c>
      <c r="C1711" s="111" t="s">
        <v>323</v>
      </c>
      <c r="D1711" s="111" t="str">
        <f t="shared" ref="D1711:E1711" si="1709">TRIM(B1711)</f>
        <v>California</v>
      </c>
      <c r="E1711" s="111" t="str">
        <f t="shared" si="1709"/>
        <v>Los Angeles</v>
      </c>
    </row>
    <row r="1712" spans="1:5">
      <c r="A1712" s="110" t="s">
        <v>5772</v>
      </c>
      <c r="B1712" s="110" t="s">
        <v>1321</v>
      </c>
      <c r="C1712" s="111" t="s">
        <v>323</v>
      </c>
      <c r="D1712" s="111" t="str">
        <f t="shared" ref="D1712:E1712" si="1710">TRIM(B1712)</f>
        <v>California</v>
      </c>
      <c r="E1712" s="111" t="str">
        <f t="shared" si="1710"/>
        <v>Los Angeles</v>
      </c>
    </row>
    <row r="1713" spans="1:5">
      <c r="A1713" s="3" t="s">
        <v>5773</v>
      </c>
      <c r="B1713" s="110" t="s">
        <v>1321</v>
      </c>
      <c r="C1713" s="111" t="s">
        <v>323</v>
      </c>
      <c r="D1713" s="111" t="str">
        <f t="shared" ref="D1713:E1713" si="1711">TRIM(B1713)</f>
        <v>California</v>
      </c>
      <c r="E1713" s="111" t="str">
        <f t="shared" si="1711"/>
        <v>Los Angeles</v>
      </c>
    </row>
    <row r="1714" spans="1:5">
      <c r="A1714" s="110" t="s">
        <v>5776</v>
      </c>
      <c r="B1714" s="110" t="s">
        <v>1321</v>
      </c>
      <c r="C1714" s="111" t="s">
        <v>323</v>
      </c>
      <c r="D1714" s="111" t="str">
        <f t="shared" ref="D1714:E1714" si="1712">TRIM(B1714)</f>
        <v>California</v>
      </c>
      <c r="E1714" s="111" t="str">
        <f t="shared" si="1712"/>
        <v>Los Angeles</v>
      </c>
    </row>
    <row r="1715" spans="1:5">
      <c r="A1715" s="110" t="s">
        <v>5778</v>
      </c>
      <c r="B1715" s="110" t="s">
        <v>1321</v>
      </c>
      <c r="C1715" s="111" t="s">
        <v>323</v>
      </c>
      <c r="D1715" s="111" t="str">
        <f t="shared" ref="D1715:E1715" si="1713">TRIM(B1715)</f>
        <v>California</v>
      </c>
      <c r="E1715" s="111" t="str">
        <f t="shared" si="1713"/>
        <v>Los Angeles</v>
      </c>
    </row>
    <row r="1716" spans="1:5">
      <c r="A1716" s="110" t="s">
        <v>5779</v>
      </c>
      <c r="B1716" s="110" t="s">
        <v>1321</v>
      </c>
      <c r="C1716" s="111" t="s">
        <v>323</v>
      </c>
      <c r="D1716" s="111" t="str">
        <f t="shared" ref="D1716:E1716" si="1714">TRIM(B1716)</f>
        <v>California</v>
      </c>
      <c r="E1716" s="111" t="str">
        <f t="shared" si="1714"/>
        <v>Los Angeles</v>
      </c>
    </row>
    <row r="1717" spans="1:5">
      <c r="A1717" s="3" t="s">
        <v>5783</v>
      </c>
      <c r="B1717" s="110" t="s">
        <v>1321</v>
      </c>
      <c r="C1717" s="111" t="s">
        <v>323</v>
      </c>
      <c r="D1717" s="111" t="str">
        <f t="shared" ref="D1717:E1717" si="1715">TRIM(B1717)</f>
        <v>California</v>
      </c>
      <c r="E1717" s="111" t="str">
        <f t="shared" si="1715"/>
        <v>Los Angeles</v>
      </c>
    </row>
    <row r="1718" spans="1:5">
      <c r="A1718" s="110" t="s">
        <v>5784</v>
      </c>
      <c r="B1718" s="110" t="s">
        <v>1321</v>
      </c>
      <c r="C1718" s="111" t="s">
        <v>323</v>
      </c>
      <c r="D1718" s="111" t="str">
        <f t="shared" ref="D1718:E1718" si="1716">TRIM(B1718)</f>
        <v>California</v>
      </c>
      <c r="E1718" s="111" t="str">
        <f t="shared" si="1716"/>
        <v>Los Angeles</v>
      </c>
    </row>
    <row r="1719" spans="1:5">
      <c r="A1719" s="110" t="s">
        <v>5787</v>
      </c>
      <c r="B1719" s="110" t="s">
        <v>1321</v>
      </c>
      <c r="C1719" s="111" t="s">
        <v>323</v>
      </c>
      <c r="D1719" s="111" t="str">
        <f t="shared" ref="D1719:E1719" si="1717">TRIM(B1719)</f>
        <v>California</v>
      </c>
      <c r="E1719" s="111" t="str">
        <f t="shared" si="1717"/>
        <v>Los Angeles</v>
      </c>
    </row>
    <row r="1720" spans="1:5">
      <c r="A1720" s="110" t="s">
        <v>5790</v>
      </c>
      <c r="B1720" s="110" t="s">
        <v>1321</v>
      </c>
      <c r="C1720" s="111" t="s">
        <v>323</v>
      </c>
      <c r="D1720" s="111" t="str">
        <f t="shared" ref="D1720:E1720" si="1718">TRIM(B1720)</f>
        <v>California</v>
      </c>
      <c r="E1720" s="111" t="str">
        <f t="shared" si="1718"/>
        <v>Los Angeles</v>
      </c>
    </row>
    <row r="1721" spans="1:5">
      <c r="A1721" s="3" t="s">
        <v>5793</v>
      </c>
      <c r="B1721" s="110" t="s">
        <v>1321</v>
      </c>
      <c r="C1721" s="111" t="s">
        <v>323</v>
      </c>
      <c r="D1721" s="111" t="str">
        <f t="shared" ref="D1721:E1721" si="1719">TRIM(B1721)</f>
        <v>California</v>
      </c>
      <c r="E1721" s="111" t="str">
        <f t="shared" si="1719"/>
        <v>Los Angeles</v>
      </c>
    </row>
    <row r="1722" spans="1:5">
      <c r="A1722" s="3" t="s">
        <v>5795</v>
      </c>
      <c r="B1722" s="110" t="s">
        <v>1321</v>
      </c>
      <c r="C1722" s="111" t="s">
        <v>323</v>
      </c>
      <c r="D1722" s="111" t="str">
        <f t="shared" ref="D1722:E1722" si="1720">TRIM(B1722)</f>
        <v>California</v>
      </c>
      <c r="E1722" s="111" t="str">
        <f t="shared" si="1720"/>
        <v>Los Angeles</v>
      </c>
    </row>
    <row r="1723" spans="1:5">
      <c r="A1723" s="3" t="s">
        <v>5796</v>
      </c>
      <c r="B1723" s="110" t="s">
        <v>1321</v>
      </c>
      <c r="C1723" s="111" t="s">
        <v>323</v>
      </c>
      <c r="D1723" s="111" t="str">
        <f t="shared" ref="D1723:E1723" si="1721">TRIM(B1723)</f>
        <v>California</v>
      </c>
      <c r="E1723" s="111" t="str">
        <f t="shared" si="1721"/>
        <v>Los Angeles</v>
      </c>
    </row>
    <row r="1724" spans="1:5">
      <c r="A1724" s="3" t="s">
        <v>5799</v>
      </c>
      <c r="B1724" s="110" t="s">
        <v>1321</v>
      </c>
      <c r="C1724" s="111" t="s">
        <v>323</v>
      </c>
      <c r="D1724" s="111" t="str">
        <f t="shared" ref="D1724:E1724" si="1722">TRIM(B1724)</f>
        <v>California</v>
      </c>
      <c r="E1724" s="111" t="str">
        <f t="shared" si="1722"/>
        <v>Los Angeles</v>
      </c>
    </row>
    <row r="1725" spans="1:5">
      <c r="A1725" s="3" t="s">
        <v>5801</v>
      </c>
      <c r="B1725" s="110" t="s">
        <v>1321</v>
      </c>
      <c r="C1725" s="111" t="s">
        <v>323</v>
      </c>
      <c r="D1725" s="111" t="str">
        <f t="shared" ref="D1725:E1725" si="1723">TRIM(B1725)</f>
        <v>California</v>
      </c>
      <c r="E1725" s="111" t="str">
        <f t="shared" si="1723"/>
        <v>Los Angeles</v>
      </c>
    </row>
    <row r="1726" spans="1:5">
      <c r="A1726" s="110" t="s">
        <v>5803</v>
      </c>
      <c r="B1726" s="110" t="s">
        <v>1321</v>
      </c>
      <c r="C1726" s="111" t="s">
        <v>323</v>
      </c>
      <c r="D1726" s="111" t="str">
        <f t="shared" ref="D1726:E1726" si="1724">TRIM(B1726)</f>
        <v>California</v>
      </c>
      <c r="E1726" s="111" t="str">
        <f t="shared" si="1724"/>
        <v>Los Angeles</v>
      </c>
    </row>
    <row r="1727" spans="1:5">
      <c r="A1727" s="3" t="s">
        <v>5806</v>
      </c>
      <c r="B1727" s="110" t="s">
        <v>1321</v>
      </c>
      <c r="C1727" s="111" t="s">
        <v>323</v>
      </c>
      <c r="D1727" s="111" t="str">
        <f t="shared" ref="D1727:E1727" si="1725">TRIM(B1727)</f>
        <v>California</v>
      </c>
      <c r="E1727" s="111" t="str">
        <f t="shared" si="1725"/>
        <v>Los Angeles</v>
      </c>
    </row>
    <row r="1728" spans="1:5">
      <c r="A1728" s="3" t="s">
        <v>5807</v>
      </c>
      <c r="B1728" s="110" t="s">
        <v>1321</v>
      </c>
      <c r="C1728" s="111" t="s">
        <v>323</v>
      </c>
      <c r="D1728" s="111" t="str">
        <f t="shared" ref="D1728:E1728" si="1726">TRIM(B1728)</f>
        <v>California</v>
      </c>
      <c r="E1728" s="111" t="str">
        <f t="shared" si="1726"/>
        <v>Los Angeles</v>
      </c>
    </row>
    <row r="1729" spans="1:5">
      <c r="A1729" s="3" t="s">
        <v>5810</v>
      </c>
      <c r="B1729" s="110" t="s">
        <v>1321</v>
      </c>
      <c r="C1729" s="111" t="s">
        <v>323</v>
      </c>
      <c r="D1729" s="111" t="str">
        <f t="shared" ref="D1729:E1729" si="1727">TRIM(B1729)</f>
        <v>California</v>
      </c>
      <c r="E1729" s="111" t="str">
        <f t="shared" si="1727"/>
        <v>Los Angeles</v>
      </c>
    </row>
    <row r="1730" spans="1:5">
      <c r="A1730" s="3" t="s">
        <v>5812</v>
      </c>
      <c r="B1730" s="110" t="s">
        <v>1321</v>
      </c>
      <c r="C1730" s="111" t="s">
        <v>323</v>
      </c>
      <c r="D1730" s="111" t="str">
        <f t="shared" ref="D1730:E1730" si="1728">TRIM(B1730)</f>
        <v>California</v>
      </c>
      <c r="E1730" s="111" t="str">
        <f t="shared" si="1728"/>
        <v>Los Angeles</v>
      </c>
    </row>
    <row r="1731" spans="1:5">
      <c r="A1731" s="3" t="s">
        <v>5813</v>
      </c>
      <c r="B1731" s="110" t="s">
        <v>1321</v>
      </c>
      <c r="C1731" s="111" t="s">
        <v>323</v>
      </c>
      <c r="D1731" s="111" t="str">
        <f t="shared" ref="D1731:E1731" si="1729">TRIM(B1731)</f>
        <v>California</v>
      </c>
      <c r="E1731" s="111" t="str">
        <f t="shared" si="1729"/>
        <v>Los Angeles</v>
      </c>
    </row>
    <row r="1732" spans="1:5">
      <c r="A1732" s="3" t="s">
        <v>5816</v>
      </c>
      <c r="B1732" s="110" t="s">
        <v>1321</v>
      </c>
      <c r="C1732" s="111" t="s">
        <v>323</v>
      </c>
      <c r="D1732" s="111" t="str">
        <f t="shared" ref="D1732:E1732" si="1730">TRIM(B1732)</f>
        <v>California</v>
      </c>
      <c r="E1732" s="111" t="str">
        <f t="shared" si="1730"/>
        <v>Los Angeles</v>
      </c>
    </row>
    <row r="1733" spans="1:5">
      <c r="A1733" s="3" t="s">
        <v>5818</v>
      </c>
      <c r="B1733" s="110" t="s">
        <v>1321</v>
      </c>
      <c r="C1733" s="111" t="s">
        <v>323</v>
      </c>
      <c r="D1733" s="111" t="str">
        <f t="shared" ref="D1733:E1733" si="1731">TRIM(B1733)</f>
        <v>California</v>
      </c>
      <c r="E1733" s="111" t="str">
        <f t="shared" si="1731"/>
        <v>Los Angeles</v>
      </c>
    </row>
    <row r="1734" spans="1:5">
      <c r="A1734" s="3" t="s">
        <v>5820</v>
      </c>
      <c r="B1734" s="110" t="s">
        <v>1321</v>
      </c>
      <c r="C1734" s="111" t="s">
        <v>323</v>
      </c>
      <c r="D1734" s="111" t="str">
        <f t="shared" ref="D1734:E1734" si="1732">TRIM(B1734)</f>
        <v>California</v>
      </c>
      <c r="E1734" s="111" t="str">
        <f t="shared" si="1732"/>
        <v>Los Angeles</v>
      </c>
    </row>
    <row r="1735" spans="1:5">
      <c r="A1735" s="110" t="s">
        <v>5822</v>
      </c>
      <c r="B1735" s="110" t="s">
        <v>1321</v>
      </c>
      <c r="C1735" s="111" t="s">
        <v>323</v>
      </c>
      <c r="D1735" s="111" t="str">
        <f t="shared" ref="D1735:E1735" si="1733">TRIM(B1735)</f>
        <v>California</v>
      </c>
      <c r="E1735" s="111" t="str">
        <f t="shared" si="1733"/>
        <v>Los Angeles</v>
      </c>
    </row>
    <row r="1736" spans="1:5">
      <c r="A1736" s="3" t="s">
        <v>5824</v>
      </c>
      <c r="B1736" s="110" t="s">
        <v>1321</v>
      </c>
      <c r="C1736" s="111" t="s">
        <v>323</v>
      </c>
      <c r="D1736" s="111" t="str">
        <f t="shared" ref="D1736:E1736" si="1734">TRIM(B1736)</f>
        <v>California</v>
      </c>
      <c r="E1736" s="111" t="str">
        <f t="shared" si="1734"/>
        <v>Los Angeles</v>
      </c>
    </row>
    <row r="1737" spans="1:5">
      <c r="A1737" s="3" t="s">
        <v>5826</v>
      </c>
      <c r="B1737" s="110" t="s">
        <v>1321</v>
      </c>
      <c r="C1737" s="111" t="s">
        <v>323</v>
      </c>
      <c r="D1737" s="111" t="str">
        <f t="shared" ref="D1737:E1737" si="1735">TRIM(B1737)</f>
        <v>California</v>
      </c>
      <c r="E1737" s="111" t="str">
        <f t="shared" si="1735"/>
        <v>Los Angeles</v>
      </c>
    </row>
    <row r="1738" spans="1:5">
      <c r="A1738" s="3" t="s">
        <v>5827</v>
      </c>
      <c r="B1738" s="110" t="s">
        <v>1321</v>
      </c>
      <c r="C1738" s="111" t="s">
        <v>323</v>
      </c>
      <c r="D1738" s="111" t="str">
        <f t="shared" ref="D1738:E1738" si="1736">TRIM(B1738)</f>
        <v>California</v>
      </c>
      <c r="E1738" s="111" t="str">
        <f t="shared" si="1736"/>
        <v>Los Angeles</v>
      </c>
    </row>
    <row r="1739" spans="1:5">
      <c r="A1739" s="110" t="s">
        <v>5830</v>
      </c>
      <c r="B1739" s="110" t="s">
        <v>1321</v>
      </c>
      <c r="C1739" s="111" t="s">
        <v>323</v>
      </c>
      <c r="D1739" s="111" t="str">
        <f t="shared" ref="D1739:E1739" si="1737">TRIM(B1739)</f>
        <v>California</v>
      </c>
      <c r="E1739" s="111" t="str">
        <f t="shared" si="1737"/>
        <v>Los Angeles</v>
      </c>
    </row>
    <row r="1740" spans="1:5">
      <c r="A1740" s="3" t="s">
        <v>5832</v>
      </c>
      <c r="B1740" s="110" t="s">
        <v>1321</v>
      </c>
      <c r="C1740" s="111" t="s">
        <v>5833</v>
      </c>
      <c r="D1740" s="111" t="str">
        <f t="shared" ref="D1740:E1740" si="1738">TRIM(B1740)</f>
        <v>California</v>
      </c>
      <c r="E1740" s="111" t="str">
        <f t="shared" si="1738"/>
        <v>Los Banos</v>
      </c>
    </row>
    <row r="1741" spans="1:5">
      <c r="A1741" s="3" t="s">
        <v>5834</v>
      </c>
      <c r="B1741" s="110" t="s">
        <v>1321</v>
      </c>
      <c r="C1741" s="111" t="s">
        <v>5833</v>
      </c>
      <c r="D1741" s="111" t="str">
        <f t="shared" ref="D1741:E1741" si="1739">TRIM(B1741)</f>
        <v>California</v>
      </c>
      <c r="E1741" s="111" t="str">
        <f t="shared" si="1739"/>
        <v>Los Banos</v>
      </c>
    </row>
    <row r="1742" spans="1:5">
      <c r="A1742" s="3" t="s">
        <v>5837</v>
      </c>
      <c r="B1742" s="110" t="s">
        <v>1321</v>
      </c>
      <c r="C1742" s="111" t="s">
        <v>5839</v>
      </c>
      <c r="D1742" s="111" t="str">
        <f t="shared" ref="D1742:E1742" si="1740">TRIM(B1742)</f>
        <v>California</v>
      </c>
      <c r="E1742" s="111" t="str">
        <f t="shared" si="1740"/>
        <v>Los Gatos</v>
      </c>
    </row>
    <row r="1743" spans="1:5">
      <c r="A1743" s="3" t="s">
        <v>5840</v>
      </c>
      <c r="B1743" s="110" t="s">
        <v>1321</v>
      </c>
      <c r="C1743" s="111" t="s">
        <v>5841</v>
      </c>
      <c r="D1743" s="111" t="str">
        <f t="shared" ref="D1743:E1743" si="1741">TRIM(B1743)</f>
        <v>California</v>
      </c>
      <c r="E1743" s="111" t="str">
        <f t="shared" si="1741"/>
        <v>Los Molinos</v>
      </c>
    </row>
    <row r="1744" spans="1:5">
      <c r="A1744" s="3" t="s">
        <v>5843</v>
      </c>
      <c r="B1744" s="110" t="s">
        <v>1321</v>
      </c>
      <c r="C1744" s="111" t="s">
        <v>5844</v>
      </c>
      <c r="D1744" s="111" t="str">
        <f t="shared" ref="D1744:E1744" si="1742">TRIM(B1744)</f>
        <v>California</v>
      </c>
      <c r="E1744" s="111" t="str">
        <f t="shared" si="1742"/>
        <v>Lower Lake</v>
      </c>
    </row>
    <row r="1745" spans="1:5">
      <c r="A1745" s="3" t="s">
        <v>5846</v>
      </c>
      <c r="B1745" s="110" t="s">
        <v>1321</v>
      </c>
      <c r="C1745" s="111" t="s">
        <v>5847</v>
      </c>
      <c r="D1745" s="111" t="str">
        <f t="shared" ref="D1745:E1745" si="1743">TRIM(B1745)</f>
        <v>California</v>
      </c>
      <c r="E1745" s="111" t="str">
        <f t="shared" si="1743"/>
        <v>Loyalton</v>
      </c>
    </row>
    <row r="1746" spans="1:5">
      <c r="A1746" s="3" t="s">
        <v>5848</v>
      </c>
      <c r="B1746" s="110" t="s">
        <v>1321</v>
      </c>
      <c r="C1746" s="111" t="s">
        <v>5849</v>
      </c>
      <c r="D1746" s="111" t="str">
        <f t="shared" ref="D1746:E1746" si="1744">TRIM(B1746)</f>
        <v>California</v>
      </c>
      <c r="E1746" s="111" t="str">
        <f t="shared" si="1744"/>
        <v>Lucerne Valley</v>
      </c>
    </row>
    <row r="1747" spans="1:5">
      <c r="A1747" s="3" t="s">
        <v>5852</v>
      </c>
      <c r="B1747" s="110" t="s">
        <v>1321</v>
      </c>
      <c r="C1747" s="111" t="s">
        <v>5853</v>
      </c>
      <c r="D1747" s="111" t="str">
        <f t="shared" ref="D1747:E1747" si="1745">TRIM(B1747)</f>
        <v>California</v>
      </c>
      <c r="E1747" s="111" t="str">
        <f t="shared" si="1745"/>
        <v>Lynwood</v>
      </c>
    </row>
    <row r="1748" spans="1:5">
      <c r="A1748" s="3" t="s">
        <v>5854</v>
      </c>
      <c r="B1748" s="110" t="s">
        <v>1321</v>
      </c>
      <c r="C1748" s="111" t="s">
        <v>5853</v>
      </c>
      <c r="D1748" s="111" t="str">
        <f t="shared" ref="D1748:E1748" si="1746">TRIM(B1748)</f>
        <v>California</v>
      </c>
      <c r="E1748" s="111" t="str">
        <f t="shared" si="1746"/>
        <v>Lynwood</v>
      </c>
    </row>
    <row r="1749" spans="1:5">
      <c r="A1749" s="3" t="s">
        <v>5856</v>
      </c>
      <c r="B1749" s="110" t="s">
        <v>1321</v>
      </c>
      <c r="C1749" s="111" t="s">
        <v>5857</v>
      </c>
      <c r="D1749" s="111" t="str">
        <f t="shared" ref="D1749:E1749" si="1747">TRIM(B1749)</f>
        <v>California</v>
      </c>
      <c r="E1749" s="111" t="str">
        <f t="shared" si="1747"/>
        <v>Mad River</v>
      </c>
    </row>
    <row r="1750" spans="1:5">
      <c r="A1750" s="3" t="s">
        <v>2745</v>
      </c>
      <c r="B1750" s="110" t="s">
        <v>1321</v>
      </c>
      <c r="C1750" s="111" t="s">
        <v>5859</v>
      </c>
      <c r="D1750" s="111" t="str">
        <f t="shared" ref="D1750:E1750" si="1748">TRIM(B1750)</f>
        <v>California</v>
      </c>
      <c r="E1750" s="111" t="str">
        <f t="shared" si="1748"/>
        <v>Madera</v>
      </c>
    </row>
    <row r="1751" spans="1:5">
      <c r="A1751" s="3" t="s">
        <v>5860</v>
      </c>
      <c r="B1751" s="110" t="s">
        <v>1321</v>
      </c>
      <c r="C1751" s="111" t="s">
        <v>5859</v>
      </c>
      <c r="D1751" s="111" t="str">
        <f t="shared" ref="D1751:E1751" si="1749">TRIM(B1751)</f>
        <v>California</v>
      </c>
      <c r="E1751" s="111" t="str">
        <f t="shared" si="1749"/>
        <v>Madera</v>
      </c>
    </row>
    <row r="1752" spans="1:5">
      <c r="A1752" s="3" t="s">
        <v>5863</v>
      </c>
      <c r="B1752" s="110" t="s">
        <v>1321</v>
      </c>
      <c r="C1752" s="111" t="s">
        <v>5859</v>
      </c>
      <c r="D1752" s="111" t="str">
        <f t="shared" ref="D1752:E1752" si="1750">TRIM(B1752)</f>
        <v>California</v>
      </c>
      <c r="E1752" s="111" t="str">
        <f t="shared" si="1750"/>
        <v>Madera</v>
      </c>
    </row>
    <row r="1753" spans="1:5">
      <c r="A1753" s="3" t="s">
        <v>5865</v>
      </c>
      <c r="B1753" s="110" t="s">
        <v>1321</v>
      </c>
      <c r="C1753" s="111" t="s">
        <v>5859</v>
      </c>
      <c r="D1753" s="111" t="str">
        <f t="shared" ref="D1753:E1753" si="1751">TRIM(B1753)</f>
        <v>California</v>
      </c>
      <c r="E1753" s="111" t="str">
        <f t="shared" si="1751"/>
        <v>Madera</v>
      </c>
    </row>
    <row r="1754" spans="1:5">
      <c r="A1754" s="3" t="s">
        <v>5867</v>
      </c>
      <c r="B1754" s="110" t="s">
        <v>1321</v>
      </c>
      <c r="C1754" s="111" t="s">
        <v>5868</v>
      </c>
      <c r="D1754" s="111" t="str">
        <f t="shared" ref="D1754:E1754" si="1752">TRIM(B1754)</f>
        <v>California</v>
      </c>
      <c r="E1754" s="111" t="str">
        <f t="shared" si="1752"/>
        <v>Malibu</v>
      </c>
    </row>
    <row r="1755" spans="1:5">
      <c r="A1755" s="3" t="s">
        <v>5870</v>
      </c>
      <c r="B1755" s="110" t="s">
        <v>1321</v>
      </c>
      <c r="C1755" s="111" t="s">
        <v>5871</v>
      </c>
      <c r="D1755" s="111" t="str">
        <f t="shared" ref="D1755:E1755" si="1753">TRIM(B1755)</f>
        <v>California</v>
      </c>
      <c r="E1755" s="111" t="str">
        <f t="shared" si="1753"/>
        <v>Mammoth Lakes</v>
      </c>
    </row>
    <row r="1756" spans="1:5">
      <c r="A1756" s="3" t="s">
        <v>5873</v>
      </c>
      <c r="B1756" s="110" t="s">
        <v>1321</v>
      </c>
      <c r="C1756" s="113" t="s">
        <v>5874</v>
      </c>
      <c r="D1756" s="111" t="str">
        <f t="shared" ref="D1756:E1756" si="1754">TRIM(B1756)</f>
        <v>California</v>
      </c>
      <c r="E1756" s="111" t="str">
        <f t="shared" si="1754"/>
        <v>Manhattan Beach</v>
      </c>
    </row>
    <row r="1757" spans="1:5">
      <c r="A1757" s="110" t="s">
        <v>5876</v>
      </c>
      <c r="B1757" s="110" t="s">
        <v>1321</v>
      </c>
      <c r="C1757" s="111" t="s">
        <v>5877</v>
      </c>
      <c r="D1757" s="111" t="str">
        <f t="shared" ref="D1757:E1757" si="1755">TRIM(B1757)</f>
        <v>California</v>
      </c>
      <c r="E1757" s="111" t="str">
        <f t="shared" si="1755"/>
        <v>Manteca</v>
      </c>
    </row>
    <row r="1758" spans="1:5">
      <c r="A1758" s="3" t="s">
        <v>5879</v>
      </c>
      <c r="B1758" s="110" t="s">
        <v>1321</v>
      </c>
      <c r="C1758" s="111" t="s">
        <v>5877</v>
      </c>
      <c r="D1758" s="111" t="str">
        <f t="shared" ref="D1758:E1758" si="1756">TRIM(B1758)</f>
        <v>California</v>
      </c>
      <c r="E1758" s="111" t="str">
        <f t="shared" si="1756"/>
        <v>Manteca</v>
      </c>
    </row>
    <row r="1759" spans="1:5">
      <c r="A1759" s="3" t="s">
        <v>2340</v>
      </c>
      <c r="B1759" s="110" t="s">
        <v>1321</v>
      </c>
      <c r="C1759" s="111" t="s">
        <v>5877</v>
      </c>
      <c r="D1759" s="111" t="str">
        <f t="shared" ref="D1759:E1759" si="1757">TRIM(B1759)</f>
        <v>California</v>
      </c>
      <c r="E1759" s="111" t="str">
        <f t="shared" si="1757"/>
        <v>Manteca</v>
      </c>
    </row>
    <row r="1760" spans="1:5">
      <c r="A1760" s="3" t="s">
        <v>5882</v>
      </c>
      <c r="B1760" s="110" t="s">
        <v>1321</v>
      </c>
      <c r="C1760" s="111" t="s">
        <v>5877</v>
      </c>
      <c r="D1760" s="111" t="str">
        <f t="shared" ref="D1760:E1760" si="1758">TRIM(B1760)</f>
        <v>California</v>
      </c>
      <c r="E1760" s="111" t="str">
        <f t="shared" si="1758"/>
        <v>Manteca</v>
      </c>
    </row>
    <row r="1761" spans="1:5">
      <c r="A1761" s="3" t="s">
        <v>5883</v>
      </c>
      <c r="B1761" s="110" t="s">
        <v>1321</v>
      </c>
      <c r="C1761" s="111" t="s">
        <v>5877</v>
      </c>
      <c r="D1761" s="111" t="str">
        <f t="shared" ref="D1761:E1761" si="1759">TRIM(B1761)</f>
        <v>California</v>
      </c>
      <c r="E1761" s="111" t="str">
        <f t="shared" si="1759"/>
        <v>Manteca</v>
      </c>
    </row>
    <row r="1762" spans="1:5">
      <c r="A1762" s="3" t="s">
        <v>5885</v>
      </c>
      <c r="B1762" s="110" t="s">
        <v>1321</v>
      </c>
      <c r="C1762" s="111" t="s">
        <v>5877</v>
      </c>
      <c r="D1762" s="111" t="str">
        <f t="shared" ref="D1762:E1762" si="1760">TRIM(B1762)</f>
        <v>California</v>
      </c>
      <c r="E1762" s="111" t="str">
        <f t="shared" si="1760"/>
        <v>Manteca</v>
      </c>
    </row>
    <row r="1763" spans="1:5">
      <c r="A1763" s="3" t="s">
        <v>2813</v>
      </c>
      <c r="B1763" s="110" t="s">
        <v>1321</v>
      </c>
      <c r="C1763" s="111" t="s">
        <v>2814</v>
      </c>
      <c r="D1763" s="111" t="str">
        <f t="shared" ref="D1763:E1763" si="1761">TRIM(B1763)</f>
        <v>California</v>
      </c>
      <c r="E1763" s="111" t="str">
        <f t="shared" si="1761"/>
        <v>Maricopa</v>
      </c>
    </row>
    <row r="1764" spans="1:5">
      <c r="A1764" s="110" t="s">
        <v>5888</v>
      </c>
      <c r="B1764" s="110" t="s">
        <v>1321</v>
      </c>
      <c r="C1764" s="111" t="s">
        <v>5889</v>
      </c>
      <c r="D1764" s="111" t="str">
        <f t="shared" ref="D1764:E1764" si="1762">TRIM(B1764)</f>
        <v>California</v>
      </c>
      <c r="E1764" s="111" t="str">
        <f t="shared" si="1762"/>
        <v>Marina</v>
      </c>
    </row>
    <row r="1765" spans="1:5">
      <c r="A1765" s="3" t="s">
        <v>5302</v>
      </c>
      <c r="B1765" s="110" t="s">
        <v>1321</v>
      </c>
      <c r="C1765" s="111" t="s">
        <v>5889</v>
      </c>
      <c r="D1765" s="111" t="str">
        <f t="shared" ref="D1765:E1765" si="1763">TRIM(B1765)</f>
        <v>California</v>
      </c>
      <c r="E1765" s="111" t="str">
        <f t="shared" si="1763"/>
        <v>Marina</v>
      </c>
    </row>
    <row r="1766" spans="1:5">
      <c r="A1766" s="3" t="s">
        <v>5891</v>
      </c>
      <c r="B1766" s="110" t="s">
        <v>1321</v>
      </c>
      <c r="C1766" s="111" t="s">
        <v>5892</v>
      </c>
      <c r="D1766" s="111" t="str">
        <f t="shared" ref="D1766:E1766" si="1764">TRIM(B1766)</f>
        <v>California</v>
      </c>
      <c r="E1766" s="111" t="str">
        <f t="shared" si="1764"/>
        <v>Mariposa</v>
      </c>
    </row>
    <row r="1767" spans="1:5">
      <c r="A1767" s="3" t="s">
        <v>5894</v>
      </c>
      <c r="B1767" s="110" t="s">
        <v>1321</v>
      </c>
      <c r="C1767" s="111" t="s">
        <v>5896</v>
      </c>
      <c r="D1767" s="111" t="str">
        <f t="shared" ref="D1767:E1767" si="1765">TRIM(B1767)</f>
        <v>California</v>
      </c>
      <c r="E1767" s="111" t="str">
        <f t="shared" si="1765"/>
        <v>Martinez</v>
      </c>
    </row>
    <row r="1768" spans="1:5">
      <c r="A1768" s="3" t="s">
        <v>5897</v>
      </c>
      <c r="B1768" s="110" t="s">
        <v>1321</v>
      </c>
      <c r="C1768" s="111" t="s">
        <v>305</v>
      </c>
      <c r="D1768" s="111" t="str">
        <f t="shared" ref="D1768:E1768" si="1766">TRIM(B1768)</f>
        <v>California</v>
      </c>
      <c r="E1768" s="111" t="str">
        <f t="shared" si="1766"/>
        <v>Marysville</v>
      </c>
    </row>
    <row r="1769" spans="1:5">
      <c r="A1769" s="3" t="s">
        <v>5898</v>
      </c>
      <c r="B1769" s="110" t="s">
        <v>1321</v>
      </c>
      <c r="C1769" s="111" t="s">
        <v>305</v>
      </c>
      <c r="D1769" s="111" t="str">
        <f t="shared" ref="D1769:E1769" si="1767">TRIM(B1769)</f>
        <v>California</v>
      </c>
      <c r="E1769" s="111" t="str">
        <f t="shared" si="1767"/>
        <v>Marysville</v>
      </c>
    </row>
    <row r="1770" spans="1:5">
      <c r="A1770" s="3" t="s">
        <v>5902</v>
      </c>
      <c r="B1770" s="110" t="s">
        <v>1321</v>
      </c>
      <c r="C1770" s="111" t="s">
        <v>305</v>
      </c>
      <c r="D1770" s="111" t="str">
        <f t="shared" ref="D1770:E1770" si="1768">TRIM(B1770)</f>
        <v>California</v>
      </c>
      <c r="E1770" s="111" t="str">
        <f t="shared" si="1768"/>
        <v>Marysville</v>
      </c>
    </row>
    <row r="1771" spans="1:5">
      <c r="A1771" s="3" t="s">
        <v>5903</v>
      </c>
      <c r="B1771" s="110" t="s">
        <v>1321</v>
      </c>
      <c r="C1771" s="111" t="s">
        <v>5904</v>
      </c>
      <c r="D1771" s="111" t="str">
        <f t="shared" ref="D1771:E1771" si="1769">TRIM(B1771)</f>
        <v>California</v>
      </c>
      <c r="E1771" s="111" t="str">
        <f t="shared" si="1769"/>
        <v>Maxwell</v>
      </c>
    </row>
    <row r="1772" spans="1:5">
      <c r="A1772" s="3" t="s">
        <v>5906</v>
      </c>
      <c r="B1772" s="110" t="s">
        <v>1321</v>
      </c>
      <c r="C1772" s="111" t="s">
        <v>5908</v>
      </c>
      <c r="D1772" s="111" t="str">
        <f t="shared" ref="D1772:E1772" si="1770">TRIM(B1772)</f>
        <v>California</v>
      </c>
      <c r="E1772" s="111" t="str">
        <f t="shared" si="1770"/>
        <v>Maywood</v>
      </c>
    </row>
    <row r="1773" spans="1:5">
      <c r="A1773" s="110" t="s">
        <v>5911</v>
      </c>
      <c r="B1773" s="110" t="s">
        <v>1321</v>
      </c>
      <c r="C1773" s="111" t="s">
        <v>5908</v>
      </c>
      <c r="D1773" s="111" t="str">
        <f t="shared" ref="D1773:E1773" si="1771">TRIM(B1773)</f>
        <v>California</v>
      </c>
      <c r="E1773" s="111" t="str">
        <f t="shared" si="1771"/>
        <v>Maywood</v>
      </c>
    </row>
    <row r="1774" spans="1:5">
      <c r="A1774" s="3" t="s">
        <v>5912</v>
      </c>
      <c r="B1774" s="110" t="s">
        <v>1321</v>
      </c>
      <c r="C1774" s="111" t="s">
        <v>5913</v>
      </c>
      <c r="D1774" s="111" t="str">
        <f t="shared" ref="D1774:E1774" si="1772">TRIM(B1774)</f>
        <v>California</v>
      </c>
      <c r="E1774" s="111" t="str">
        <f t="shared" si="1772"/>
        <v>Mcarthur</v>
      </c>
    </row>
    <row r="1775" spans="1:5">
      <c r="A1775" s="3" t="s">
        <v>5915</v>
      </c>
      <c r="B1775" s="110" t="s">
        <v>1321</v>
      </c>
      <c r="C1775" s="111" t="s">
        <v>5916</v>
      </c>
      <c r="D1775" s="111" t="str">
        <f t="shared" ref="D1775:E1775" si="1773">TRIM(B1775)</f>
        <v>California</v>
      </c>
      <c r="E1775" s="111" t="str">
        <f t="shared" si="1773"/>
        <v>Mccloud</v>
      </c>
    </row>
    <row r="1776" spans="1:5">
      <c r="A1776" s="3" t="s">
        <v>5919</v>
      </c>
      <c r="B1776" s="110" t="s">
        <v>1321</v>
      </c>
      <c r="C1776" s="111" t="s">
        <v>5920</v>
      </c>
      <c r="D1776" s="111" t="str">
        <f t="shared" ref="D1776:E1776" si="1774">TRIM(B1776)</f>
        <v>California</v>
      </c>
      <c r="E1776" s="111" t="str">
        <f t="shared" si="1774"/>
        <v>Mcfarland</v>
      </c>
    </row>
    <row r="1777" spans="1:5">
      <c r="A1777" s="3" t="s">
        <v>5921</v>
      </c>
      <c r="B1777" s="110" t="s">
        <v>1321</v>
      </c>
      <c r="C1777" s="111" t="s">
        <v>5922</v>
      </c>
      <c r="D1777" s="111" t="str">
        <f t="shared" ref="D1777:E1777" si="1775">TRIM(B1777)</f>
        <v>California</v>
      </c>
      <c r="E1777" s="111" t="str">
        <f t="shared" si="1775"/>
        <v>Mckinleyville</v>
      </c>
    </row>
    <row r="1778" spans="1:5">
      <c r="A1778" s="3" t="s">
        <v>5924</v>
      </c>
      <c r="B1778" s="110" t="s">
        <v>1321</v>
      </c>
      <c r="C1778" s="111" t="s">
        <v>5926</v>
      </c>
      <c r="D1778" s="111" t="str">
        <f t="shared" ref="D1778:E1778" si="1776">TRIM(B1778)</f>
        <v>California</v>
      </c>
      <c r="E1778" s="111" t="str">
        <f t="shared" si="1776"/>
        <v>Mendocino</v>
      </c>
    </row>
    <row r="1779" spans="1:5">
      <c r="A1779" s="3" t="s">
        <v>5928</v>
      </c>
      <c r="B1779" s="110" t="s">
        <v>1321</v>
      </c>
      <c r="C1779" s="111" t="s">
        <v>5929</v>
      </c>
      <c r="D1779" s="111" t="str">
        <f t="shared" ref="D1779:E1779" si="1777">TRIM(B1779)</f>
        <v>California</v>
      </c>
      <c r="E1779" s="111" t="str">
        <f t="shared" si="1777"/>
        <v>Mendota</v>
      </c>
    </row>
    <row r="1780" spans="1:5">
      <c r="A1780" s="3" t="s">
        <v>5930</v>
      </c>
      <c r="B1780" s="110" t="s">
        <v>1321</v>
      </c>
      <c r="C1780" s="111" t="s">
        <v>5931</v>
      </c>
      <c r="D1780" s="111" t="str">
        <f t="shared" ref="D1780:E1780" si="1778">TRIM(B1780)</f>
        <v>California</v>
      </c>
      <c r="E1780" s="111" t="str">
        <f t="shared" si="1778"/>
        <v>Menifee</v>
      </c>
    </row>
    <row r="1781" spans="1:5">
      <c r="A1781" s="3" t="s">
        <v>5934</v>
      </c>
      <c r="B1781" s="110" t="s">
        <v>1321</v>
      </c>
      <c r="C1781" s="111" t="s">
        <v>5935</v>
      </c>
      <c r="D1781" s="111" t="str">
        <f t="shared" ref="D1781:E1781" si="1779">TRIM(B1781)</f>
        <v>California</v>
      </c>
      <c r="E1781" s="111" t="str">
        <f t="shared" si="1779"/>
        <v>Menlo Park</v>
      </c>
    </row>
    <row r="1782" spans="1:5">
      <c r="A1782" s="110" t="s">
        <v>5937</v>
      </c>
      <c r="B1782" s="110" t="s">
        <v>1321</v>
      </c>
      <c r="C1782" s="111" t="s">
        <v>5938</v>
      </c>
      <c r="D1782" s="111" t="str">
        <f t="shared" ref="D1782:E1782" si="1780">TRIM(B1782)</f>
        <v>California</v>
      </c>
      <c r="E1782" s="111" t="str">
        <f t="shared" si="1780"/>
        <v>Merced</v>
      </c>
    </row>
    <row r="1783" spans="1:5">
      <c r="A1783" s="3" t="s">
        <v>5446</v>
      </c>
      <c r="B1783" s="110" t="s">
        <v>1321</v>
      </c>
      <c r="C1783" s="111" t="s">
        <v>5938</v>
      </c>
      <c r="D1783" s="111" t="str">
        <f t="shared" ref="D1783:E1783" si="1781">TRIM(B1783)</f>
        <v>California</v>
      </c>
      <c r="E1783" s="111" t="str">
        <f t="shared" si="1781"/>
        <v>Merced</v>
      </c>
    </row>
    <row r="1784" spans="1:5">
      <c r="A1784" s="3" t="s">
        <v>4428</v>
      </c>
      <c r="B1784" s="110" t="s">
        <v>1321</v>
      </c>
      <c r="C1784" s="111" t="s">
        <v>5938</v>
      </c>
      <c r="D1784" s="111" t="str">
        <f t="shared" ref="D1784:E1784" si="1782">TRIM(B1784)</f>
        <v>California</v>
      </c>
      <c r="E1784" s="111" t="str">
        <f t="shared" si="1782"/>
        <v>Merced</v>
      </c>
    </row>
    <row r="1785" spans="1:5">
      <c r="A1785" s="3" t="s">
        <v>5942</v>
      </c>
      <c r="B1785" s="110" t="s">
        <v>1321</v>
      </c>
      <c r="C1785" s="111" t="s">
        <v>5938</v>
      </c>
      <c r="D1785" s="111" t="str">
        <f t="shared" ref="D1785:E1785" si="1783">TRIM(B1785)</f>
        <v>California</v>
      </c>
      <c r="E1785" s="111" t="str">
        <f t="shared" si="1783"/>
        <v>Merced</v>
      </c>
    </row>
    <row r="1786" spans="1:5">
      <c r="A1786" s="110" t="s">
        <v>5943</v>
      </c>
      <c r="B1786" s="110" t="s">
        <v>1321</v>
      </c>
      <c r="C1786" s="111" t="s">
        <v>5938</v>
      </c>
      <c r="D1786" s="111" t="str">
        <f t="shared" ref="D1786:E1786" si="1784">TRIM(B1786)</f>
        <v>California</v>
      </c>
      <c r="E1786" s="111" t="str">
        <f t="shared" si="1784"/>
        <v>Merced</v>
      </c>
    </row>
    <row r="1787" spans="1:5">
      <c r="A1787" s="3" t="s">
        <v>5945</v>
      </c>
      <c r="B1787" s="110" t="s">
        <v>1321</v>
      </c>
      <c r="C1787" s="111" t="s">
        <v>500</v>
      </c>
      <c r="D1787" s="111" t="str">
        <f t="shared" ref="D1787:E1787" si="1785">TRIM(B1787)</f>
        <v>California</v>
      </c>
      <c r="E1787" s="111" t="str">
        <f t="shared" si="1785"/>
        <v>Middletown</v>
      </c>
    </row>
    <row r="1788" spans="1:5">
      <c r="A1788" s="3" t="s">
        <v>5948</v>
      </c>
      <c r="B1788" s="110" t="s">
        <v>1321</v>
      </c>
      <c r="C1788" s="111" t="s">
        <v>5949</v>
      </c>
      <c r="D1788" s="111" t="str">
        <f t="shared" ref="D1788:E1788" si="1786">TRIM(B1788)</f>
        <v>California</v>
      </c>
      <c r="E1788" s="111" t="str">
        <f t="shared" si="1786"/>
        <v>Mill Valley</v>
      </c>
    </row>
    <row r="1789" spans="1:5">
      <c r="A1789" s="3" t="s">
        <v>5950</v>
      </c>
      <c r="B1789" s="110" t="s">
        <v>1321</v>
      </c>
      <c r="C1789" s="111" t="s">
        <v>5951</v>
      </c>
      <c r="D1789" s="111" t="str">
        <f t="shared" ref="D1789:E1789" si="1787">TRIM(B1789)</f>
        <v>California</v>
      </c>
      <c r="E1789" s="111" t="str">
        <f t="shared" si="1787"/>
        <v>Millbrae</v>
      </c>
    </row>
    <row r="1790" spans="1:5">
      <c r="A1790" s="3" t="s">
        <v>5953</v>
      </c>
      <c r="B1790" s="110" t="s">
        <v>1321</v>
      </c>
      <c r="C1790" s="111" t="s">
        <v>394</v>
      </c>
      <c r="D1790" s="111" t="str">
        <f t="shared" ref="D1790:E1790" si="1788">TRIM(B1790)</f>
        <v>California</v>
      </c>
      <c r="E1790" s="111" t="str">
        <f t="shared" si="1788"/>
        <v>Milpitas</v>
      </c>
    </row>
    <row r="1791" spans="1:5">
      <c r="A1791" s="3" t="s">
        <v>5955</v>
      </c>
      <c r="B1791" s="110" t="s">
        <v>1321</v>
      </c>
      <c r="C1791" s="111" t="s">
        <v>5956</v>
      </c>
      <c r="D1791" s="111" t="str">
        <f t="shared" ref="D1791:E1791" si="1789">TRIM(B1791)</f>
        <v>California</v>
      </c>
      <c r="E1791" s="111" t="str">
        <f t="shared" si="1789"/>
        <v>Miranda</v>
      </c>
    </row>
    <row r="1792" spans="1:5">
      <c r="A1792" s="3" t="s">
        <v>5957</v>
      </c>
      <c r="B1792" s="110" t="s">
        <v>1321</v>
      </c>
      <c r="C1792" s="111" t="s">
        <v>3671</v>
      </c>
      <c r="D1792" s="111" t="str">
        <f t="shared" ref="D1792:E1792" si="1790">TRIM(B1792)</f>
        <v>California</v>
      </c>
      <c r="E1792" s="111" t="str">
        <f t="shared" si="1790"/>
        <v>Mission Viejo</v>
      </c>
    </row>
    <row r="1793" spans="1:5">
      <c r="A1793" s="3" t="s">
        <v>5960</v>
      </c>
      <c r="B1793" s="110" t="s">
        <v>1321</v>
      </c>
      <c r="C1793" s="111" t="s">
        <v>3671</v>
      </c>
      <c r="D1793" s="111" t="str">
        <f t="shared" ref="D1793:E1793" si="1791">TRIM(B1793)</f>
        <v>California</v>
      </c>
      <c r="E1793" s="111" t="str">
        <f t="shared" si="1791"/>
        <v>Mission Viejo</v>
      </c>
    </row>
    <row r="1794" spans="1:5">
      <c r="A1794" s="3" t="s">
        <v>5962</v>
      </c>
      <c r="B1794" s="110" t="s">
        <v>1321</v>
      </c>
      <c r="C1794" s="111" t="s">
        <v>3671</v>
      </c>
      <c r="D1794" s="111" t="str">
        <f t="shared" ref="D1794:E1794" si="1792">TRIM(B1794)</f>
        <v>California</v>
      </c>
      <c r="E1794" s="111" t="str">
        <f t="shared" si="1792"/>
        <v>Mission Viejo</v>
      </c>
    </row>
    <row r="1795" spans="1:5">
      <c r="A1795" s="3" t="s">
        <v>5963</v>
      </c>
      <c r="B1795" s="110" t="s">
        <v>1321</v>
      </c>
      <c r="C1795" s="111" t="s">
        <v>527</v>
      </c>
      <c r="D1795" s="111" t="str">
        <f t="shared" ref="D1795:E1795" si="1793">TRIM(B1795)</f>
        <v>California</v>
      </c>
      <c r="E1795" s="111" t="str">
        <f t="shared" si="1793"/>
        <v>Modesto</v>
      </c>
    </row>
    <row r="1796" spans="1:5">
      <c r="A1796" s="3" t="s">
        <v>5966</v>
      </c>
      <c r="B1796" s="110" t="s">
        <v>1321</v>
      </c>
      <c r="C1796" s="111" t="s">
        <v>527</v>
      </c>
      <c r="D1796" s="111" t="str">
        <f t="shared" ref="D1796:E1796" si="1794">TRIM(B1796)</f>
        <v>California</v>
      </c>
      <c r="E1796" s="111" t="str">
        <f t="shared" si="1794"/>
        <v>Modesto</v>
      </c>
    </row>
    <row r="1797" spans="1:5">
      <c r="A1797" s="3" t="s">
        <v>5968</v>
      </c>
      <c r="B1797" s="110" t="s">
        <v>1321</v>
      </c>
      <c r="C1797" s="111" t="s">
        <v>527</v>
      </c>
      <c r="D1797" s="111" t="str">
        <f t="shared" ref="D1797:E1797" si="1795">TRIM(B1797)</f>
        <v>California</v>
      </c>
      <c r="E1797" s="111" t="str">
        <f t="shared" si="1795"/>
        <v>Modesto</v>
      </c>
    </row>
    <row r="1798" spans="1:5">
      <c r="A1798" s="3" t="s">
        <v>5969</v>
      </c>
      <c r="B1798" s="110" t="s">
        <v>1321</v>
      </c>
      <c r="C1798" s="111" t="s">
        <v>527</v>
      </c>
      <c r="D1798" s="111" t="str">
        <f t="shared" ref="D1798:E1798" si="1796">TRIM(B1798)</f>
        <v>California</v>
      </c>
      <c r="E1798" s="111" t="str">
        <f t="shared" si="1796"/>
        <v>Modesto</v>
      </c>
    </row>
    <row r="1799" spans="1:5">
      <c r="A1799" s="3" t="s">
        <v>5972</v>
      </c>
      <c r="B1799" s="110" t="s">
        <v>1321</v>
      </c>
      <c r="C1799" s="111" t="s">
        <v>527</v>
      </c>
      <c r="D1799" s="111" t="str">
        <f t="shared" ref="D1799:E1799" si="1797">TRIM(B1799)</f>
        <v>California</v>
      </c>
      <c r="E1799" s="111" t="str">
        <f t="shared" si="1797"/>
        <v>Modesto</v>
      </c>
    </row>
    <row r="1800" spans="1:5">
      <c r="A1800" s="3" t="s">
        <v>5974</v>
      </c>
      <c r="B1800" s="110" t="s">
        <v>1321</v>
      </c>
      <c r="C1800" s="111" t="s">
        <v>527</v>
      </c>
      <c r="D1800" s="111" t="str">
        <f t="shared" ref="D1800:E1800" si="1798">TRIM(B1800)</f>
        <v>California</v>
      </c>
      <c r="E1800" s="111" t="str">
        <f t="shared" si="1798"/>
        <v>Modesto</v>
      </c>
    </row>
    <row r="1801" spans="1:5">
      <c r="A1801" s="3" t="s">
        <v>5975</v>
      </c>
      <c r="B1801" s="110" t="s">
        <v>1321</v>
      </c>
      <c r="C1801" s="111" t="s">
        <v>527</v>
      </c>
      <c r="D1801" s="111" t="str">
        <f t="shared" ref="D1801:E1801" si="1799">TRIM(B1801)</f>
        <v>California</v>
      </c>
      <c r="E1801" s="111" t="str">
        <f t="shared" si="1799"/>
        <v>Modesto</v>
      </c>
    </row>
    <row r="1802" spans="1:5">
      <c r="A1802" s="3" t="s">
        <v>5978</v>
      </c>
      <c r="B1802" s="110" t="s">
        <v>1321</v>
      </c>
      <c r="C1802" s="111" t="s">
        <v>527</v>
      </c>
      <c r="D1802" s="111" t="str">
        <f t="shared" ref="D1802:E1802" si="1800">TRIM(B1802)</f>
        <v>California</v>
      </c>
      <c r="E1802" s="111" t="str">
        <f t="shared" si="1800"/>
        <v>Modesto</v>
      </c>
    </row>
    <row r="1803" spans="1:5">
      <c r="A1803" s="3" t="s">
        <v>5980</v>
      </c>
      <c r="B1803" s="110" t="s">
        <v>1321</v>
      </c>
      <c r="C1803" s="111" t="s">
        <v>5981</v>
      </c>
      <c r="D1803" s="111" t="str">
        <f t="shared" ref="D1803:E1803" si="1801">TRIM(B1803)</f>
        <v>California</v>
      </c>
      <c r="E1803" s="111" t="str">
        <f t="shared" si="1801"/>
        <v>Mojave</v>
      </c>
    </row>
    <row r="1804" spans="1:5">
      <c r="A1804" s="3" t="s">
        <v>5983</v>
      </c>
      <c r="B1804" s="110" t="s">
        <v>1321</v>
      </c>
      <c r="C1804" s="111" t="s">
        <v>5984</v>
      </c>
      <c r="D1804" s="111" t="str">
        <f t="shared" ref="D1804:E1804" si="1802">TRIM(B1804)</f>
        <v>California</v>
      </c>
      <c r="E1804" s="111" t="str">
        <f t="shared" si="1802"/>
        <v>Monrovia</v>
      </c>
    </row>
    <row r="1805" spans="1:5">
      <c r="A1805" s="3" t="s">
        <v>5986</v>
      </c>
      <c r="B1805" s="110" t="s">
        <v>1321</v>
      </c>
      <c r="C1805" s="111" t="s">
        <v>374</v>
      </c>
      <c r="D1805" s="111" t="str">
        <f t="shared" ref="D1805:E1805" si="1803">TRIM(B1805)</f>
        <v>California</v>
      </c>
      <c r="E1805" s="111" t="str">
        <f t="shared" si="1803"/>
        <v>Montclair</v>
      </c>
    </row>
    <row r="1806" spans="1:5">
      <c r="A1806" s="110" t="s">
        <v>5988</v>
      </c>
      <c r="B1806" s="110" t="s">
        <v>1321</v>
      </c>
      <c r="C1806" s="111" t="s">
        <v>425</v>
      </c>
      <c r="D1806" s="111" t="str">
        <f t="shared" ref="D1806:E1806" si="1804">TRIM(B1806)</f>
        <v>California</v>
      </c>
      <c r="E1806" s="111" t="str">
        <f t="shared" si="1804"/>
        <v>Montebello</v>
      </c>
    </row>
    <row r="1807" spans="1:5">
      <c r="A1807" s="3" t="s">
        <v>5990</v>
      </c>
      <c r="B1807" s="110" t="s">
        <v>1321</v>
      </c>
      <c r="C1807" s="111" t="s">
        <v>425</v>
      </c>
      <c r="D1807" s="111" t="str">
        <f t="shared" ref="D1807:E1807" si="1805">TRIM(B1807)</f>
        <v>California</v>
      </c>
      <c r="E1807" s="111" t="str">
        <f t="shared" si="1805"/>
        <v>Montebello</v>
      </c>
    </row>
    <row r="1808" spans="1:5">
      <c r="A1808" s="3" t="s">
        <v>5991</v>
      </c>
      <c r="B1808" s="110" t="s">
        <v>1321</v>
      </c>
      <c r="C1808" s="111" t="s">
        <v>425</v>
      </c>
      <c r="D1808" s="111" t="str">
        <f t="shared" ref="D1808:E1808" si="1806">TRIM(B1808)</f>
        <v>California</v>
      </c>
      <c r="E1808" s="111" t="str">
        <f t="shared" si="1806"/>
        <v>Montebello</v>
      </c>
    </row>
    <row r="1809" spans="1:5">
      <c r="A1809" s="3" t="s">
        <v>5994</v>
      </c>
      <c r="B1809" s="110" t="s">
        <v>1321</v>
      </c>
      <c r="C1809" s="111" t="s">
        <v>5995</v>
      </c>
      <c r="D1809" s="111" t="str">
        <f t="shared" ref="D1809:E1809" si="1807">TRIM(B1809)</f>
        <v>California</v>
      </c>
      <c r="E1809" s="111" t="str">
        <f t="shared" si="1807"/>
        <v>Monterey</v>
      </c>
    </row>
    <row r="1810" spans="1:5">
      <c r="A1810" s="110" t="s">
        <v>5997</v>
      </c>
      <c r="B1810" s="110" t="s">
        <v>1321</v>
      </c>
      <c r="C1810" s="111" t="s">
        <v>5998</v>
      </c>
      <c r="D1810" s="111" t="str">
        <f t="shared" ref="D1810:E1810" si="1808">TRIM(B1810)</f>
        <v>California</v>
      </c>
      <c r="E1810" s="111" t="str">
        <f t="shared" si="1808"/>
        <v>Moorpark</v>
      </c>
    </row>
    <row r="1811" spans="1:5">
      <c r="A1811" s="3" t="s">
        <v>5999</v>
      </c>
      <c r="B1811" s="110" t="s">
        <v>1321</v>
      </c>
      <c r="C1811" s="111" t="s">
        <v>5998</v>
      </c>
      <c r="D1811" s="111" t="str">
        <f t="shared" ref="D1811:E1811" si="1809">TRIM(B1811)</f>
        <v>California</v>
      </c>
      <c r="E1811" s="111" t="str">
        <f t="shared" si="1809"/>
        <v>Moorpark</v>
      </c>
    </row>
    <row r="1812" spans="1:5">
      <c r="A1812" s="3" t="s">
        <v>6002</v>
      </c>
      <c r="B1812" s="110" t="s">
        <v>1321</v>
      </c>
      <c r="C1812" s="111" t="s">
        <v>5998</v>
      </c>
      <c r="D1812" s="111" t="str">
        <f t="shared" ref="D1812:E1812" si="1810">TRIM(B1812)</f>
        <v>California</v>
      </c>
      <c r="E1812" s="111" t="str">
        <f t="shared" si="1810"/>
        <v>Moorpark</v>
      </c>
    </row>
    <row r="1813" spans="1:5">
      <c r="A1813" s="3" t="s">
        <v>6004</v>
      </c>
      <c r="B1813" s="110" t="s">
        <v>1321</v>
      </c>
      <c r="C1813" s="111" t="s">
        <v>725</v>
      </c>
      <c r="D1813" s="111" t="str">
        <f t="shared" ref="D1813:E1813" si="1811">TRIM(B1813)</f>
        <v>California</v>
      </c>
      <c r="E1813" s="111" t="str">
        <f t="shared" si="1811"/>
        <v>Moraga</v>
      </c>
    </row>
    <row r="1814" spans="1:5">
      <c r="A1814" s="3" t="s">
        <v>6005</v>
      </c>
      <c r="B1814" s="110" t="s">
        <v>1321</v>
      </c>
      <c r="C1814" s="111" t="s">
        <v>6006</v>
      </c>
      <c r="D1814" s="111" t="str">
        <f t="shared" ref="D1814:E1814" si="1812">TRIM(B1814)</f>
        <v>California</v>
      </c>
      <c r="E1814" s="111" t="str">
        <f t="shared" si="1812"/>
        <v>Moreno Valley</v>
      </c>
    </row>
    <row r="1815" spans="1:5">
      <c r="A1815" s="110" t="s">
        <v>6008</v>
      </c>
      <c r="B1815" s="110" t="s">
        <v>1321</v>
      </c>
      <c r="C1815" s="111" t="s">
        <v>6006</v>
      </c>
      <c r="D1815" s="111" t="str">
        <f t="shared" ref="D1815:E1815" si="1813">TRIM(B1815)</f>
        <v>California</v>
      </c>
      <c r="E1815" s="111" t="str">
        <f t="shared" si="1813"/>
        <v>Moreno Valley</v>
      </c>
    </row>
    <row r="1816" spans="1:5">
      <c r="A1816" s="3" t="s">
        <v>6011</v>
      </c>
      <c r="B1816" s="110" t="s">
        <v>1321</v>
      </c>
      <c r="C1816" s="111" t="s">
        <v>6006</v>
      </c>
      <c r="D1816" s="111" t="str">
        <f t="shared" ref="D1816:E1816" si="1814">TRIM(B1816)</f>
        <v>California</v>
      </c>
      <c r="E1816" s="111" t="str">
        <f t="shared" si="1814"/>
        <v>Moreno Valley</v>
      </c>
    </row>
    <row r="1817" spans="1:5">
      <c r="A1817" s="3" t="s">
        <v>6012</v>
      </c>
      <c r="B1817" s="110" t="s">
        <v>1321</v>
      </c>
      <c r="C1817" s="111" t="s">
        <v>6006</v>
      </c>
      <c r="D1817" s="111" t="str">
        <f t="shared" ref="D1817:E1817" si="1815">TRIM(B1817)</f>
        <v>California</v>
      </c>
      <c r="E1817" s="111" t="str">
        <f t="shared" si="1815"/>
        <v>Moreno Valley</v>
      </c>
    </row>
    <row r="1818" spans="1:5">
      <c r="A1818" s="3" t="s">
        <v>3908</v>
      </c>
      <c r="B1818" s="110" t="s">
        <v>1321</v>
      </c>
      <c r="C1818" s="111" t="s">
        <v>6006</v>
      </c>
      <c r="D1818" s="111" t="str">
        <f t="shared" ref="D1818:E1818" si="1816">TRIM(B1818)</f>
        <v>California</v>
      </c>
      <c r="E1818" s="111" t="str">
        <f t="shared" si="1816"/>
        <v>Moreno Valley</v>
      </c>
    </row>
    <row r="1819" spans="1:5">
      <c r="A1819" s="3" t="s">
        <v>5032</v>
      </c>
      <c r="B1819" s="110" t="s">
        <v>1321</v>
      </c>
      <c r="C1819" s="111" t="s">
        <v>6006</v>
      </c>
      <c r="D1819" s="111" t="str">
        <f t="shared" ref="D1819:E1819" si="1817">TRIM(B1819)</f>
        <v>California</v>
      </c>
      <c r="E1819" s="111" t="str">
        <f t="shared" si="1817"/>
        <v>Moreno Valley</v>
      </c>
    </row>
    <row r="1820" spans="1:5">
      <c r="A1820" s="3" t="s">
        <v>6016</v>
      </c>
      <c r="B1820" s="110" t="s">
        <v>1321</v>
      </c>
      <c r="C1820" s="111" t="s">
        <v>6018</v>
      </c>
      <c r="D1820" s="111" t="str">
        <f t="shared" ref="D1820:E1820" si="1818">TRIM(B1820)</f>
        <v>California</v>
      </c>
      <c r="E1820" s="111" t="str">
        <f t="shared" si="1818"/>
        <v>Morgan Hill</v>
      </c>
    </row>
    <row r="1821" spans="1:5">
      <c r="A1821" s="3" t="s">
        <v>5518</v>
      </c>
      <c r="B1821" s="110" t="s">
        <v>1321</v>
      </c>
      <c r="C1821" s="111" t="s">
        <v>6018</v>
      </c>
      <c r="D1821" s="111" t="str">
        <f t="shared" ref="D1821:E1821" si="1819">TRIM(B1821)</f>
        <v>California</v>
      </c>
      <c r="E1821" s="111" t="str">
        <f t="shared" si="1819"/>
        <v>Morgan Hill</v>
      </c>
    </row>
    <row r="1822" spans="1:5">
      <c r="A1822" s="3" t="s">
        <v>6021</v>
      </c>
      <c r="B1822" s="110" t="s">
        <v>1321</v>
      </c>
      <c r="C1822" s="111" t="s">
        <v>6022</v>
      </c>
      <c r="D1822" s="111" t="str">
        <f t="shared" ref="D1822:E1822" si="1820">TRIM(B1822)</f>
        <v>California</v>
      </c>
      <c r="E1822" s="111" t="str">
        <f t="shared" si="1820"/>
        <v>Morro Bay</v>
      </c>
    </row>
    <row r="1823" spans="1:5">
      <c r="A1823" s="3" t="s">
        <v>6024</v>
      </c>
      <c r="B1823" s="110" t="s">
        <v>1321</v>
      </c>
      <c r="C1823" s="111" t="s">
        <v>6025</v>
      </c>
      <c r="D1823" s="111" t="str">
        <f t="shared" ref="D1823:E1823" si="1821">TRIM(B1823)</f>
        <v>California</v>
      </c>
      <c r="E1823" s="111" t="str">
        <f t="shared" si="1821"/>
        <v>Mount Shasta</v>
      </c>
    </row>
    <row r="1824" spans="1:5">
      <c r="A1824" s="3" t="s">
        <v>6027</v>
      </c>
      <c r="B1824" s="110" t="s">
        <v>1321</v>
      </c>
      <c r="C1824" s="111" t="s">
        <v>6028</v>
      </c>
      <c r="D1824" s="111" t="str">
        <f t="shared" ref="D1824:E1824" si="1822">TRIM(B1824)</f>
        <v>California</v>
      </c>
      <c r="E1824" s="111" t="str">
        <f t="shared" si="1822"/>
        <v>Mountain House</v>
      </c>
    </row>
    <row r="1825" spans="1:5">
      <c r="A1825" s="3" t="s">
        <v>2842</v>
      </c>
      <c r="B1825" s="110" t="s">
        <v>1321</v>
      </c>
      <c r="C1825" s="111" t="s">
        <v>4059</v>
      </c>
      <c r="D1825" s="111" t="str">
        <f t="shared" ref="D1825:E1825" si="1823">TRIM(B1825)</f>
        <v>California</v>
      </c>
      <c r="E1825" s="111" t="str">
        <f t="shared" si="1823"/>
        <v>Mountain View</v>
      </c>
    </row>
    <row r="1826" spans="1:5">
      <c r="A1826" s="3" t="s">
        <v>6032</v>
      </c>
      <c r="B1826" s="110" t="s">
        <v>1321</v>
      </c>
      <c r="C1826" s="111" t="s">
        <v>6033</v>
      </c>
      <c r="D1826" s="111" t="str">
        <f t="shared" ref="D1826:E1826" si="1824">TRIM(B1826)</f>
        <v>California</v>
      </c>
      <c r="E1826" s="111" t="str">
        <f t="shared" si="1824"/>
        <v>Murrieta</v>
      </c>
    </row>
    <row r="1827" spans="1:5">
      <c r="A1827" s="3" t="s">
        <v>6034</v>
      </c>
      <c r="B1827" s="110" t="s">
        <v>1321</v>
      </c>
      <c r="C1827" s="111" t="s">
        <v>6033</v>
      </c>
      <c r="D1827" s="111" t="str">
        <f t="shared" ref="D1827:E1827" si="1825">TRIM(B1827)</f>
        <v>California</v>
      </c>
      <c r="E1827" s="111" t="str">
        <f t="shared" si="1825"/>
        <v>Murrieta</v>
      </c>
    </row>
    <row r="1828" spans="1:5">
      <c r="A1828" s="3" t="s">
        <v>6036</v>
      </c>
      <c r="B1828" s="110" t="s">
        <v>1321</v>
      </c>
      <c r="C1828" s="111" t="s">
        <v>6033</v>
      </c>
      <c r="D1828" s="111" t="str">
        <f t="shared" ref="D1828:E1828" si="1826">TRIM(B1828)</f>
        <v>California</v>
      </c>
      <c r="E1828" s="111" t="str">
        <f t="shared" si="1826"/>
        <v>Murrieta</v>
      </c>
    </row>
    <row r="1829" spans="1:5">
      <c r="A1829" s="3" t="s">
        <v>6039</v>
      </c>
      <c r="B1829" s="110" t="s">
        <v>1321</v>
      </c>
      <c r="C1829" s="111" t="s">
        <v>6033</v>
      </c>
      <c r="D1829" s="111" t="str">
        <f t="shared" ref="D1829:E1829" si="1827">TRIM(B1829)</f>
        <v>California</v>
      </c>
      <c r="E1829" s="111" t="str">
        <f t="shared" si="1827"/>
        <v>Murrieta</v>
      </c>
    </row>
    <row r="1830" spans="1:5">
      <c r="A1830" s="3" t="s">
        <v>6040</v>
      </c>
      <c r="B1830" s="110" t="s">
        <v>1321</v>
      </c>
      <c r="C1830" s="111" t="s">
        <v>597</v>
      </c>
      <c r="D1830" s="111" t="str">
        <f t="shared" ref="D1830:E1830" si="1828">TRIM(B1830)</f>
        <v>California</v>
      </c>
      <c r="E1830" s="111" t="str">
        <f t="shared" si="1828"/>
        <v>Napa</v>
      </c>
    </row>
    <row r="1831" spans="1:5">
      <c r="A1831" s="3" t="s">
        <v>6042</v>
      </c>
      <c r="B1831" s="110" t="s">
        <v>1321</v>
      </c>
      <c r="C1831" s="111" t="s">
        <v>597</v>
      </c>
      <c r="D1831" s="111" t="str">
        <f t="shared" ref="D1831:E1831" si="1829">TRIM(B1831)</f>
        <v>California</v>
      </c>
      <c r="E1831" s="111" t="str">
        <f t="shared" si="1829"/>
        <v>Napa</v>
      </c>
    </row>
    <row r="1832" spans="1:5">
      <c r="A1832" s="3" t="s">
        <v>6044</v>
      </c>
      <c r="B1832" s="110" t="s">
        <v>1321</v>
      </c>
      <c r="C1832" s="111" t="s">
        <v>6045</v>
      </c>
      <c r="D1832" s="111" t="str">
        <f t="shared" ref="D1832:E1832" si="1830">TRIM(B1832)</f>
        <v>California</v>
      </c>
      <c r="E1832" s="111" t="str">
        <f t="shared" si="1830"/>
        <v>National City</v>
      </c>
    </row>
    <row r="1833" spans="1:5">
      <c r="A1833" s="3" t="s">
        <v>6046</v>
      </c>
      <c r="B1833" s="110" t="s">
        <v>1321</v>
      </c>
      <c r="C1833" s="111" t="s">
        <v>6048</v>
      </c>
      <c r="D1833" s="111" t="str">
        <f t="shared" ref="D1833:E1833" si="1831">TRIM(B1833)</f>
        <v>California</v>
      </c>
      <c r="E1833" s="111" t="str">
        <f t="shared" si="1831"/>
        <v>Needles</v>
      </c>
    </row>
    <row r="1834" spans="1:5">
      <c r="A1834" s="3" t="s">
        <v>6051</v>
      </c>
      <c r="B1834" s="110" t="s">
        <v>1321</v>
      </c>
      <c r="C1834" s="111" t="s">
        <v>6052</v>
      </c>
      <c r="D1834" s="111" t="str">
        <f t="shared" ref="D1834:E1834" si="1832">TRIM(B1834)</f>
        <v>California</v>
      </c>
      <c r="E1834" s="111" t="str">
        <f t="shared" si="1832"/>
        <v>Nevada City</v>
      </c>
    </row>
    <row r="1835" spans="1:5">
      <c r="A1835" s="3" t="s">
        <v>6053</v>
      </c>
      <c r="B1835" s="110" t="s">
        <v>1321</v>
      </c>
      <c r="C1835" s="111" t="s">
        <v>6054</v>
      </c>
      <c r="D1835" s="111" t="str">
        <f t="shared" ref="D1835:E1835" si="1833">TRIM(B1835)</f>
        <v>California</v>
      </c>
      <c r="E1835" s="111" t="str">
        <f t="shared" si="1833"/>
        <v>New Cuyama</v>
      </c>
    </row>
    <row r="1836" spans="1:5">
      <c r="A1836" s="3" t="s">
        <v>6057</v>
      </c>
      <c r="B1836" s="110" t="s">
        <v>1321</v>
      </c>
      <c r="C1836" s="111" t="s">
        <v>499</v>
      </c>
      <c r="D1836" s="111" t="str">
        <f t="shared" ref="D1836:E1836" si="1834">TRIM(B1836)</f>
        <v>California</v>
      </c>
      <c r="E1836" s="111" t="str">
        <f t="shared" si="1834"/>
        <v>Newark</v>
      </c>
    </row>
    <row r="1837" spans="1:5">
      <c r="A1837" s="3" t="s">
        <v>6059</v>
      </c>
      <c r="B1837" s="110" t="s">
        <v>1321</v>
      </c>
      <c r="C1837" s="111" t="s">
        <v>6060</v>
      </c>
      <c r="D1837" s="111" t="str">
        <f t="shared" ref="D1837:E1837" si="1835">TRIM(B1837)</f>
        <v>California</v>
      </c>
      <c r="E1837" s="111" t="str">
        <f t="shared" si="1835"/>
        <v>Newbury Park</v>
      </c>
    </row>
    <row r="1838" spans="1:5">
      <c r="A1838" s="3" t="s">
        <v>6061</v>
      </c>
      <c r="B1838" s="110" t="s">
        <v>1321</v>
      </c>
      <c r="C1838" s="111" t="s">
        <v>6062</v>
      </c>
      <c r="D1838" s="111" t="str">
        <f t="shared" ref="D1838:E1838" si="1836">TRIM(B1838)</f>
        <v>California</v>
      </c>
      <c r="E1838" s="111" t="str">
        <f t="shared" si="1836"/>
        <v>Newhall</v>
      </c>
    </row>
    <row r="1839" spans="1:5">
      <c r="A1839" s="3" t="s">
        <v>6064</v>
      </c>
      <c r="B1839" s="110" t="s">
        <v>1321</v>
      </c>
      <c r="C1839" s="111" t="s">
        <v>6065</v>
      </c>
      <c r="D1839" s="111" t="str">
        <f t="shared" ref="D1839:E1839" si="1837">TRIM(B1839)</f>
        <v>California</v>
      </c>
      <c r="E1839" s="111" t="str">
        <f t="shared" si="1837"/>
        <v>Newman</v>
      </c>
    </row>
    <row r="1840" spans="1:5">
      <c r="A1840" s="3" t="s">
        <v>6066</v>
      </c>
      <c r="B1840" s="110" t="s">
        <v>1321</v>
      </c>
      <c r="C1840" s="111" t="s">
        <v>6067</v>
      </c>
      <c r="D1840" s="111" t="str">
        <f t="shared" ref="D1840:E1840" si="1838">TRIM(B1840)</f>
        <v>California</v>
      </c>
      <c r="E1840" s="111" t="str">
        <f t="shared" si="1838"/>
        <v>Nicolaus</v>
      </c>
    </row>
    <row r="1841" spans="1:5">
      <c r="A1841" s="3" t="s">
        <v>6068</v>
      </c>
      <c r="B1841" s="110" t="s">
        <v>1321</v>
      </c>
      <c r="C1841" s="111" t="s">
        <v>6070</v>
      </c>
      <c r="D1841" s="111" t="str">
        <f t="shared" ref="D1841:E1841" si="1839">TRIM(B1841)</f>
        <v>California</v>
      </c>
      <c r="E1841" s="111" t="str">
        <f t="shared" si="1839"/>
        <v>Nipomo</v>
      </c>
    </row>
    <row r="1842" spans="1:5">
      <c r="A1842" s="3" t="s">
        <v>6072</v>
      </c>
      <c r="B1842" s="110" t="s">
        <v>1321</v>
      </c>
      <c r="C1842" s="111" t="s">
        <v>6073</v>
      </c>
      <c r="D1842" s="111" t="str">
        <f t="shared" ref="D1842:E1842" si="1840">TRIM(B1842)</f>
        <v>California</v>
      </c>
      <c r="E1842" s="111" t="str">
        <f t="shared" si="1840"/>
        <v>Norco</v>
      </c>
    </row>
    <row r="1843" spans="1:5">
      <c r="A1843" s="3" t="s">
        <v>6074</v>
      </c>
      <c r="B1843" s="110" t="s">
        <v>1321</v>
      </c>
      <c r="C1843" s="111" t="s">
        <v>6075</v>
      </c>
      <c r="D1843" s="111" t="str">
        <f t="shared" ref="D1843:E1843" si="1841">TRIM(B1843)</f>
        <v>California</v>
      </c>
      <c r="E1843" s="111" t="str">
        <f t="shared" si="1841"/>
        <v>North Fork</v>
      </c>
    </row>
    <row r="1844" spans="1:5">
      <c r="A1844" s="3" t="s">
        <v>6078</v>
      </c>
      <c r="B1844" s="110" t="s">
        <v>1321</v>
      </c>
      <c r="C1844" s="111" t="s">
        <v>6079</v>
      </c>
      <c r="D1844" s="111" t="str">
        <f t="shared" ref="D1844:E1844" si="1842">TRIM(B1844)</f>
        <v>California</v>
      </c>
      <c r="E1844" s="111" t="str">
        <f t="shared" si="1842"/>
        <v>North Highlands</v>
      </c>
    </row>
    <row r="1845" spans="1:5">
      <c r="A1845" s="3" t="s">
        <v>6081</v>
      </c>
      <c r="B1845" s="110" t="s">
        <v>1321</v>
      </c>
      <c r="C1845" s="111" t="s">
        <v>988</v>
      </c>
      <c r="D1845" s="111" t="str">
        <f t="shared" ref="D1845:E1845" si="1843">TRIM(B1845)</f>
        <v>California</v>
      </c>
      <c r="E1845" s="111" t="str">
        <f t="shared" si="1843"/>
        <v>North Hills</v>
      </c>
    </row>
    <row r="1846" spans="1:5">
      <c r="A1846" s="3" t="s">
        <v>6082</v>
      </c>
      <c r="B1846" s="110" t="s">
        <v>1321</v>
      </c>
      <c r="C1846" s="111" t="s">
        <v>988</v>
      </c>
      <c r="D1846" s="111" t="str">
        <f t="shared" ref="D1846:E1846" si="1844">TRIM(B1846)</f>
        <v>California</v>
      </c>
      <c r="E1846" s="111" t="str">
        <f t="shared" si="1844"/>
        <v>North Hills</v>
      </c>
    </row>
    <row r="1847" spans="1:5">
      <c r="A1847" s="3" t="s">
        <v>6086</v>
      </c>
      <c r="B1847" s="110" t="s">
        <v>1321</v>
      </c>
      <c r="C1847" s="111" t="s">
        <v>6087</v>
      </c>
      <c r="D1847" s="111" t="str">
        <f t="shared" ref="D1847:E1847" si="1845">TRIM(B1847)</f>
        <v>California</v>
      </c>
      <c r="E1847" s="111" t="str">
        <f t="shared" si="1845"/>
        <v>North Hollywood</v>
      </c>
    </row>
    <row r="1848" spans="1:5">
      <c r="A1848" s="3" t="s">
        <v>6089</v>
      </c>
      <c r="B1848" s="110" t="s">
        <v>1321</v>
      </c>
      <c r="C1848" s="111" t="s">
        <v>6087</v>
      </c>
      <c r="D1848" s="111" t="str">
        <f t="shared" ref="D1848:E1848" si="1846">TRIM(B1848)</f>
        <v>California</v>
      </c>
      <c r="E1848" s="111" t="str">
        <f t="shared" si="1846"/>
        <v>North Hollywood</v>
      </c>
    </row>
    <row r="1849" spans="1:5">
      <c r="A1849" s="3" t="s">
        <v>6090</v>
      </c>
      <c r="B1849" s="110" t="s">
        <v>1321</v>
      </c>
      <c r="C1849" s="111" t="s">
        <v>6087</v>
      </c>
      <c r="D1849" s="111" t="str">
        <f t="shared" ref="D1849:E1849" si="1847">TRIM(B1849)</f>
        <v>California</v>
      </c>
      <c r="E1849" s="111" t="str">
        <f t="shared" si="1847"/>
        <v>North Hollywood</v>
      </c>
    </row>
    <row r="1850" spans="1:5">
      <c r="A1850" s="3" t="s">
        <v>6093</v>
      </c>
      <c r="B1850" s="110" t="s">
        <v>1321</v>
      </c>
      <c r="C1850" s="111" t="s">
        <v>6094</v>
      </c>
      <c r="D1850" s="111" t="str">
        <f t="shared" ref="D1850:E1850" si="1848">TRIM(B1850)</f>
        <v>California</v>
      </c>
      <c r="E1850" s="111" t="str">
        <f t="shared" si="1848"/>
        <v>Northridge</v>
      </c>
    </row>
    <row r="1851" spans="1:5">
      <c r="A1851" s="3" t="s">
        <v>6095</v>
      </c>
      <c r="B1851" s="110" t="s">
        <v>1321</v>
      </c>
      <c r="C1851" s="111" t="s">
        <v>2873</v>
      </c>
      <c r="D1851" s="111" t="str">
        <f t="shared" ref="D1851:E1851" si="1849">TRIM(B1851)</f>
        <v>California</v>
      </c>
      <c r="E1851" s="111" t="str">
        <f t="shared" si="1849"/>
        <v>Norwalk</v>
      </c>
    </row>
    <row r="1852" spans="1:5">
      <c r="A1852" s="3" t="s">
        <v>6098</v>
      </c>
      <c r="B1852" s="110" t="s">
        <v>1321</v>
      </c>
      <c r="C1852" s="111" t="s">
        <v>2873</v>
      </c>
      <c r="D1852" s="111" t="str">
        <f t="shared" ref="D1852:E1852" si="1850">TRIM(B1852)</f>
        <v>California</v>
      </c>
      <c r="E1852" s="111" t="str">
        <f t="shared" si="1850"/>
        <v>Norwalk</v>
      </c>
    </row>
    <row r="1853" spans="1:5">
      <c r="A1853" s="3" t="s">
        <v>6100</v>
      </c>
      <c r="B1853" s="110" t="s">
        <v>1321</v>
      </c>
      <c r="C1853" s="111" t="s">
        <v>6101</v>
      </c>
      <c r="D1853" s="111" t="str">
        <f t="shared" ref="D1853:E1853" si="1851">TRIM(B1853)</f>
        <v>California</v>
      </c>
      <c r="E1853" s="111" t="str">
        <f t="shared" si="1851"/>
        <v>Novato</v>
      </c>
    </row>
    <row r="1854" spans="1:5">
      <c r="A1854" s="3" t="s">
        <v>6102</v>
      </c>
      <c r="B1854" s="110" t="s">
        <v>1321</v>
      </c>
      <c r="C1854" s="111" t="s">
        <v>6101</v>
      </c>
      <c r="D1854" s="111" t="str">
        <f t="shared" ref="D1854:E1854" si="1852">TRIM(B1854)</f>
        <v>California</v>
      </c>
      <c r="E1854" s="111" t="str">
        <f t="shared" si="1852"/>
        <v>Novato</v>
      </c>
    </row>
    <row r="1855" spans="1:5">
      <c r="A1855" s="3" t="s">
        <v>6105</v>
      </c>
      <c r="B1855" s="110" t="s">
        <v>1321</v>
      </c>
      <c r="C1855" s="111" t="s">
        <v>6106</v>
      </c>
      <c r="D1855" s="111" t="str">
        <f t="shared" ref="D1855:E1855" si="1853">TRIM(B1855)</f>
        <v>California</v>
      </c>
      <c r="E1855" s="111" t="str">
        <f t="shared" si="1853"/>
        <v>Nuevo</v>
      </c>
    </row>
    <row r="1856" spans="1:5">
      <c r="A1856" s="3" t="s">
        <v>6107</v>
      </c>
      <c r="B1856" s="110" t="s">
        <v>1321</v>
      </c>
      <c r="C1856" s="111" t="s">
        <v>6108</v>
      </c>
      <c r="D1856" s="111" t="str">
        <f t="shared" ref="D1856:E1856" si="1854">TRIM(B1856)</f>
        <v>California</v>
      </c>
      <c r="E1856" s="111" t="str">
        <f t="shared" si="1854"/>
        <v>O'Neals</v>
      </c>
    </row>
    <row r="1857" spans="1:5">
      <c r="A1857" s="3" t="s">
        <v>6110</v>
      </c>
      <c r="B1857" s="110" t="s">
        <v>1321</v>
      </c>
      <c r="C1857" s="111" t="s">
        <v>6108</v>
      </c>
      <c r="D1857" s="111" t="str">
        <f t="shared" ref="D1857:E1857" si="1855">TRIM(B1857)</f>
        <v>California</v>
      </c>
      <c r="E1857" s="111" t="str">
        <f t="shared" si="1855"/>
        <v>O'Neals</v>
      </c>
    </row>
    <row r="1858" spans="1:5">
      <c r="A1858" s="3" t="s">
        <v>6113</v>
      </c>
      <c r="B1858" s="110" t="s">
        <v>1321</v>
      </c>
      <c r="C1858" s="111" t="s">
        <v>6114</v>
      </c>
      <c r="D1858" s="111" t="str">
        <f t="shared" ref="D1858:E1858" si="1856">TRIM(B1858)</f>
        <v>California</v>
      </c>
      <c r="E1858" s="111" t="str">
        <f t="shared" si="1856"/>
        <v>Oak Hills</v>
      </c>
    </row>
    <row r="1859" spans="1:5">
      <c r="A1859" s="3" t="s">
        <v>6115</v>
      </c>
      <c r="B1859" s="110" t="s">
        <v>1321</v>
      </c>
      <c r="C1859" s="111" t="s">
        <v>1731</v>
      </c>
      <c r="D1859" s="111" t="str">
        <f t="shared" ref="D1859:E1859" si="1857">TRIM(B1859)</f>
        <v>California</v>
      </c>
      <c r="E1859" s="111" t="str">
        <f t="shared" si="1857"/>
        <v>Oak Park</v>
      </c>
    </row>
    <row r="1860" spans="1:5">
      <c r="A1860" s="110" t="s">
        <v>6117</v>
      </c>
      <c r="B1860" s="110" t="s">
        <v>1321</v>
      </c>
      <c r="C1860" s="111" t="s">
        <v>6119</v>
      </c>
      <c r="D1860" s="111" t="str">
        <f t="shared" ref="D1860:E1860" si="1858">TRIM(B1860)</f>
        <v>California</v>
      </c>
      <c r="E1860" s="111" t="str">
        <f t="shared" si="1858"/>
        <v>Oakdale</v>
      </c>
    </row>
    <row r="1861" spans="1:5">
      <c r="A1861" s="3" t="s">
        <v>6120</v>
      </c>
      <c r="B1861" s="110" t="s">
        <v>1321</v>
      </c>
      <c r="C1861" s="111" t="s">
        <v>6119</v>
      </c>
      <c r="D1861" s="111" t="str">
        <f t="shared" ref="D1861:E1861" si="1859">TRIM(B1861)</f>
        <v>California</v>
      </c>
      <c r="E1861" s="111" t="str">
        <f t="shared" si="1859"/>
        <v>Oakdale</v>
      </c>
    </row>
    <row r="1862" spans="1:5">
      <c r="A1862" s="3" t="s">
        <v>6121</v>
      </c>
      <c r="B1862" s="110" t="s">
        <v>1321</v>
      </c>
      <c r="C1862" s="111" t="s">
        <v>6122</v>
      </c>
      <c r="D1862" s="111" t="str">
        <f t="shared" ref="D1862:E1862" si="1860">TRIM(B1862)</f>
        <v>California</v>
      </c>
      <c r="E1862" s="111" t="str">
        <f t="shared" si="1860"/>
        <v>Oakhurst</v>
      </c>
    </row>
    <row r="1863" spans="1:5">
      <c r="A1863" s="3" t="s">
        <v>6124</v>
      </c>
      <c r="B1863" s="110" t="s">
        <v>1321</v>
      </c>
      <c r="C1863" s="111" t="s">
        <v>6122</v>
      </c>
      <c r="D1863" s="111" t="str">
        <f t="shared" ref="D1863:E1863" si="1861">TRIM(B1863)</f>
        <v>California</v>
      </c>
      <c r="E1863" s="111" t="str">
        <f t="shared" si="1861"/>
        <v>Oakhurst</v>
      </c>
    </row>
    <row r="1864" spans="1:5">
      <c r="A1864" s="110" t="s">
        <v>6125</v>
      </c>
      <c r="B1864" s="110" t="s">
        <v>1321</v>
      </c>
      <c r="C1864" s="111" t="s">
        <v>662</v>
      </c>
      <c r="D1864" s="111" t="str">
        <f t="shared" ref="D1864:E1864" si="1862">TRIM(B1864)</f>
        <v>California</v>
      </c>
      <c r="E1864" s="111" t="str">
        <f t="shared" si="1862"/>
        <v>Oakland</v>
      </c>
    </row>
    <row r="1865" spans="1:5">
      <c r="A1865" s="3" t="s">
        <v>6128</v>
      </c>
      <c r="B1865" s="110" t="s">
        <v>1321</v>
      </c>
      <c r="C1865" s="111" t="s">
        <v>662</v>
      </c>
      <c r="D1865" s="111" t="str">
        <f t="shared" ref="D1865:E1865" si="1863">TRIM(B1865)</f>
        <v>California</v>
      </c>
      <c r="E1865" s="111" t="str">
        <f t="shared" si="1863"/>
        <v>Oakland</v>
      </c>
    </row>
    <row r="1866" spans="1:5">
      <c r="A1866" s="3" t="s">
        <v>6130</v>
      </c>
      <c r="B1866" s="110" t="s">
        <v>1321</v>
      </c>
      <c r="C1866" s="111" t="s">
        <v>662</v>
      </c>
      <c r="D1866" s="111" t="str">
        <f t="shared" ref="D1866:E1866" si="1864">TRIM(B1866)</f>
        <v>California</v>
      </c>
      <c r="E1866" s="111" t="str">
        <f t="shared" si="1864"/>
        <v>Oakland</v>
      </c>
    </row>
    <row r="1867" spans="1:5">
      <c r="A1867" s="3" t="s">
        <v>6132</v>
      </c>
      <c r="B1867" s="110" t="s">
        <v>1321</v>
      </c>
      <c r="C1867" s="111" t="s">
        <v>662</v>
      </c>
      <c r="D1867" s="111" t="str">
        <f t="shared" ref="D1867:E1867" si="1865">TRIM(B1867)</f>
        <v>California</v>
      </c>
      <c r="E1867" s="111" t="str">
        <f t="shared" si="1865"/>
        <v>Oakland</v>
      </c>
    </row>
    <row r="1868" spans="1:5">
      <c r="A1868" s="3" t="s">
        <v>6135</v>
      </c>
      <c r="B1868" s="110" t="s">
        <v>1321</v>
      </c>
      <c r="C1868" s="111" t="s">
        <v>662</v>
      </c>
      <c r="D1868" s="111" t="str">
        <f t="shared" ref="D1868:E1868" si="1866">TRIM(B1868)</f>
        <v>California</v>
      </c>
      <c r="E1868" s="111" t="str">
        <f t="shared" si="1866"/>
        <v>Oakland</v>
      </c>
    </row>
    <row r="1869" spans="1:5">
      <c r="A1869" s="3" t="s">
        <v>6136</v>
      </c>
      <c r="B1869" s="110" t="s">
        <v>1321</v>
      </c>
      <c r="C1869" s="111" t="s">
        <v>662</v>
      </c>
      <c r="D1869" s="111" t="str">
        <f t="shared" ref="D1869:E1869" si="1867">TRIM(B1869)</f>
        <v>California</v>
      </c>
      <c r="E1869" s="111" t="str">
        <f t="shared" si="1867"/>
        <v>Oakland</v>
      </c>
    </row>
    <row r="1870" spans="1:5">
      <c r="A1870" s="3" t="s">
        <v>6138</v>
      </c>
      <c r="B1870" s="110" t="s">
        <v>1321</v>
      </c>
      <c r="C1870" s="111" t="s">
        <v>662</v>
      </c>
      <c r="D1870" s="111" t="str">
        <f t="shared" ref="D1870:E1870" si="1868">TRIM(B1870)</f>
        <v>California</v>
      </c>
      <c r="E1870" s="111" t="str">
        <f t="shared" si="1868"/>
        <v>Oakland</v>
      </c>
    </row>
    <row r="1871" spans="1:5">
      <c r="A1871" s="3" t="s">
        <v>6140</v>
      </c>
      <c r="B1871" s="110" t="s">
        <v>1321</v>
      </c>
      <c r="C1871" s="111" t="s">
        <v>662</v>
      </c>
      <c r="D1871" s="111" t="str">
        <f t="shared" ref="D1871:E1871" si="1869">TRIM(B1871)</f>
        <v>California</v>
      </c>
      <c r="E1871" s="111" t="str">
        <f t="shared" si="1869"/>
        <v>Oakland</v>
      </c>
    </row>
    <row r="1872" spans="1:5">
      <c r="A1872" s="3" t="s">
        <v>6142</v>
      </c>
      <c r="B1872" s="110" t="s">
        <v>1321</v>
      </c>
      <c r="C1872" s="111" t="s">
        <v>662</v>
      </c>
      <c r="D1872" s="111" t="str">
        <f t="shared" ref="D1872:E1872" si="1870">TRIM(B1872)</f>
        <v>California</v>
      </c>
      <c r="E1872" s="111" t="str">
        <f t="shared" si="1870"/>
        <v>Oakland</v>
      </c>
    </row>
    <row r="1873" spans="1:5">
      <c r="A1873" s="3" t="s">
        <v>6145</v>
      </c>
      <c r="B1873" s="110" t="s">
        <v>1321</v>
      </c>
      <c r="C1873" s="111" t="s">
        <v>662</v>
      </c>
      <c r="D1873" s="111" t="str">
        <f t="shared" ref="D1873:E1873" si="1871">TRIM(B1873)</f>
        <v>California</v>
      </c>
      <c r="E1873" s="111" t="str">
        <f t="shared" si="1871"/>
        <v>Oakland</v>
      </c>
    </row>
    <row r="1874" spans="1:5">
      <c r="A1874" s="3" t="s">
        <v>6147</v>
      </c>
      <c r="B1874" s="110" t="s">
        <v>1321</v>
      </c>
      <c r="C1874" s="111" t="s">
        <v>662</v>
      </c>
      <c r="D1874" s="111" t="str">
        <f t="shared" ref="D1874:E1874" si="1872">TRIM(B1874)</f>
        <v>California</v>
      </c>
      <c r="E1874" s="111" t="str">
        <f t="shared" si="1872"/>
        <v>Oakland</v>
      </c>
    </row>
    <row r="1875" spans="1:5">
      <c r="A1875" s="110" t="s">
        <v>6148</v>
      </c>
      <c r="B1875" s="110" t="s">
        <v>1321</v>
      </c>
      <c r="C1875" s="111" t="s">
        <v>662</v>
      </c>
      <c r="D1875" s="111" t="str">
        <f t="shared" ref="D1875:E1875" si="1873">TRIM(B1875)</f>
        <v>California</v>
      </c>
      <c r="E1875" s="111" t="str">
        <f t="shared" si="1873"/>
        <v>Oakland</v>
      </c>
    </row>
    <row r="1876" spans="1:5">
      <c r="A1876" s="3" t="s">
        <v>6149</v>
      </c>
      <c r="B1876" s="110" t="s">
        <v>1321</v>
      </c>
      <c r="C1876" s="111" t="s">
        <v>662</v>
      </c>
      <c r="D1876" s="111" t="str">
        <f t="shared" ref="D1876:E1876" si="1874">TRIM(B1876)</f>
        <v>California</v>
      </c>
      <c r="E1876" s="111" t="str">
        <f t="shared" si="1874"/>
        <v>Oakland</v>
      </c>
    </row>
    <row r="1877" spans="1:5">
      <c r="A1877" s="3" t="s">
        <v>6151</v>
      </c>
      <c r="B1877" s="110" t="s">
        <v>1321</v>
      </c>
      <c r="C1877" s="111" t="s">
        <v>662</v>
      </c>
      <c r="D1877" s="111" t="str">
        <f t="shared" ref="D1877:E1877" si="1875">TRIM(B1877)</f>
        <v>California</v>
      </c>
      <c r="E1877" s="111" t="str">
        <f t="shared" si="1875"/>
        <v>Oakland</v>
      </c>
    </row>
    <row r="1878" spans="1:5">
      <c r="A1878" s="3" t="s">
        <v>6152</v>
      </c>
      <c r="B1878" s="110" t="s">
        <v>1321</v>
      </c>
      <c r="C1878" s="111" t="s">
        <v>662</v>
      </c>
      <c r="D1878" s="111" t="str">
        <f t="shared" ref="D1878:E1878" si="1876">TRIM(B1878)</f>
        <v>California</v>
      </c>
      <c r="E1878" s="111" t="str">
        <f t="shared" si="1876"/>
        <v>Oakland</v>
      </c>
    </row>
    <row r="1879" spans="1:5">
      <c r="A1879" s="3" t="s">
        <v>6156</v>
      </c>
      <c r="B1879" s="110" t="s">
        <v>1321</v>
      </c>
      <c r="C1879" s="111" t="s">
        <v>662</v>
      </c>
      <c r="D1879" s="111" t="str">
        <f t="shared" ref="D1879:E1879" si="1877">TRIM(B1879)</f>
        <v>California</v>
      </c>
      <c r="E1879" s="111" t="str">
        <f t="shared" si="1877"/>
        <v>Oakland</v>
      </c>
    </row>
    <row r="1880" spans="1:5">
      <c r="A1880" s="3" t="s">
        <v>6157</v>
      </c>
      <c r="B1880" s="110" t="s">
        <v>1321</v>
      </c>
      <c r="C1880" s="111" t="s">
        <v>662</v>
      </c>
      <c r="D1880" s="111" t="str">
        <f t="shared" ref="D1880:E1880" si="1878">TRIM(B1880)</f>
        <v>California</v>
      </c>
      <c r="E1880" s="111" t="str">
        <f t="shared" si="1878"/>
        <v>Oakland</v>
      </c>
    </row>
    <row r="1881" spans="1:5">
      <c r="A1881" s="3" t="s">
        <v>6160</v>
      </c>
      <c r="B1881" s="110" t="s">
        <v>1321</v>
      </c>
      <c r="C1881" s="111" t="s">
        <v>662</v>
      </c>
      <c r="D1881" s="111" t="str">
        <f t="shared" ref="D1881:E1881" si="1879">TRIM(B1881)</f>
        <v>California</v>
      </c>
      <c r="E1881" s="111" t="str">
        <f t="shared" si="1879"/>
        <v>Oakland</v>
      </c>
    </row>
    <row r="1882" spans="1:5">
      <c r="A1882" s="3" t="s">
        <v>6162</v>
      </c>
      <c r="B1882" s="110" t="s">
        <v>1321</v>
      </c>
      <c r="C1882" s="111" t="s">
        <v>662</v>
      </c>
      <c r="D1882" s="111" t="str">
        <f t="shared" ref="D1882:E1882" si="1880">TRIM(B1882)</f>
        <v>California</v>
      </c>
      <c r="E1882" s="111" t="str">
        <f t="shared" si="1880"/>
        <v>Oakland</v>
      </c>
    </row>
    <row r="1883" spans="1:5">
      <c r="A1883" s="3" t="s">
        <v>6164</v>
      </c>
      <c r="B1883" s="110" t="s">
        <v>1321</v>
      </c>
      <c r="C1883" s="111" t="s">
        <v>662</v>
      </c>
      <c r="D1883" s="111" t="str">
        <f t="shared" ref="D1883:E1883" si="1881">TRIM(B1883)</f>
        <v>California</v>
      </c>
      <c r="E1883" s="111" t="str">
        <f t="shared" si="1881"/>
        <v>Oakland</v>
      </c>
    </row>
    <row r="1884" spans="1:5">
      <c r="A1884" s="3" t="s">
        <v>6166</v>
      </c>
      <c r="B1884" s="110" t="s">
        <v>1321</v>
      </c>
      <c r="C1884" s="111" t="s">
        <v>662</v>
      </c>
      <c r="D1884" s="111" t="str">
        <f t="shared" ref="D1884:E1884" si="1882">TRIM(B1884)</f>
        <v>California</v>
      </c>
      <c r="E1884" s="111" t="str">
        <f t="shared" si="1882"/>
        <v>Oakland</v>
      </c>
    </row>
    <row r="1885" spans="1:5">
      <c r="A1885" s="3" t="s">
        <v>6167</v>
      </c>
      <c r="B1885" s="110" t="s">
        <v>1321</v>
      </c>
      <c r="C1885" s="111" t="s">
        <v>662</v>
      </c>
      <c r="D1885" s="111" t="str">
        <f t="shared" ref="D1885:E1885" si="1883">TRIM(B1885)</f>
        <v>California</v>
      </c>
      <c r="E1885" s="111" t="str">
        <f t="shared" si="1883"/>
        <v>Oakland</v>
      </c>
    </row>
    <row r="1886" spans="1:5">
      <c r="A1886" s="110" t="s">
        <v>6170</v>
      </c>
      <c r="B1886" s="110" t="s">
        <v>1321</v>
      </c>
      <c r="C1886" s="111" t="s">
        <v>662</v>
      </c>
      <c r="D1886" s="111" t="str">
        <f t="shared" ref="D1886:E1886" si="1884">TRIM(B1886)</f>
        <v>California</v>
      </c>
      <c r="E1886" s="111" t="str">
        <f t="shared" si="1884"/>
        <v>Oakland</v>
      </c>
    </row>
    <row r="1887" spans="1:5">
      <c r="A1887" s="110" t="s">
        <v>6171</v>
      </c>
      <c r="B1887" s="110" t="s">
        <v>1321</v>
      </c>
      <c r="C1887" s="111" t="s">
        <v>662</v>
      </c>
      <c r="D1887" s="111" t="str">
        <f t="shared" ref="D1887:E1887" si="1885">TRIM(B1887)</f>
        <v>California</v>
      </c>
      <c r="E1887" s="111" t="str">
        <f t="shared" si="1885"/>
        <v>Oakland</v>
      </c>
    </row>
    <row r="1888" spans="1:5">
      <c r="A1888" s="3" t="s">
        <v>6173</v>
      </c>
      <c r="B1888" s="110" t="s">
        <v>1321</v>
      </c>
      <c r="C1888" s="111" t="s">
        <v>662</v>
      </c>
      <c r="D1888" s="111" t="str">
        <f t="shared" ref="D1888:E1888" si="1886">TRIM(B1888)</f>
        <v>California</v>
      </c>
      <c r="E1888" s="111" t="str">
        <f t="shared" si="1886"/>
        <v>Oakland</v>
      </c>
    </row>
    <row r="1889" spans="1:5">
      <c r="A1889" s="3" t="s">
        <v>6175</v>
      </c>
      <c r="B1889" s="110" t="s">
        <v>1321</v>
      </c>
      <c r="C1889" s="111" t="s">
        <v>662</v>
      </c>
      <c r="D1889" s="111" t="str">
        <f t="shared" ref="D1889:E1889" si="1887">TRIM(B1889)</f>
        <v>California</v>
      </c>
      <c r="E1889" s="111" t="str">
        <f t="shared" si="1887"/>
        <v>Oakland</v>
      </c>
    </row>
    <row r="1890" spans="1:5">
      <c r="A1890" s="110" t="s">
        <v>6176</v>
      </c>
      <c r="B1890" s="110" t="s">
        <v>1321</v>
      </c>
      <c r="C1890" s="111" t="s">
        <v>662</v>
      </c>
      <c r="D1890" s="111" t="str">
        <f t="shared" ref="D1890:E1890" si="1888">TRIM(B1890)</f>
        <v>California</v>
      </c>
      <c r="E1890" s="111" t="str">
        <f t="shared" si="1888"/>
        <v>Oakland</v>
      </c>
    </row>
    <row r="1891" spans="1:5">
      <c r="A1891" s="3" t="s">
        <v>6180</v>
      </c>
      <c r="B1891" s="110" t="s">
        <v>1321</v>
      </c>
      <c r="C1891" s="111" t="s">
        <v>662</v>
      </c>
      <c r="D1891" s="111" t="str">
        <f t="shared" ref="D1891:E1891" si="1889">TRIM(B1891)</f>
        <v>California</v>
      </c>
      <c r="E1891" s="111" t="str">
        <f t="shared" si="1889"/>
        <v>Oakland</v>
      </c>
    </row>
    <row r="1892" spans="1:5">
      <c r="A1892" s="3" t="s">
        <v>6181</v>
      </c>
      <c r="B1892" s="110" t="s">
        <v>1321</v>
      </c>
      <c r="C1892" s="111" t="s">
        <v>662</v>
      </c>
      <c r="D1892" s="111" t="str">
        <f t="shared" ref="D1892:E1892" si="1890">TRIM(B1892)</f>
        <v>California</v>
      </c>
      <c r="E1892" s="111" t="str">
        <f t="shared" si="1890"/>
        <v>Oakland</v>
      </c>
    </row>
    <row r="1893" spans="1:5">
      <c r="A1893" s="3" t="s">
        <v>6184</v>
      </c>
      <c r="B1893" s="110" t="s">
        <v>1321</v>
      </c>
      <c r="C1893" s="111" t="s">
        <v>662</v>
      </c>
      <c r="D1893" s="111" t="str">
        <f t="shared" ref="D1893:E1893" si="1891">TRIM(B1893)</f>
        <v>California</v>
      </c>
      <c r="E1893" s="111" t="str">
        <f t="shared" si="1891"/>
        <v>Oakland</v>
      </c>
    </row>
    <row r="1894" spans="1:5">
      <c r="A1894" s="3" t="s">
        <v>6186</v>
      </c>
      <c r="B1894" s="110" t="s">
        <v>1321</v>
      </c>
      <c r="C1894" s="111" t="s">
        <v>662</v>
      </c>
      <c r="D1894" s="111" t="str">
        <f t="shared" ref="D1894:E1894" si="1892">TRIM(B1894)</f>
        <v>California</v>
      </c>
      <c r="E1894" s="111" t="str">
        <f t="shared" si="1892"/>
        <v>Oakland</v>
      </c>
    </row>
    <row r="1895" spans="1:5">
      <c r="A1895" s="3" t="s">
        <v>6188</v>
      </c>
      <c r="B1895" s="110" t="s">
        <v>1321</v>
      </c>
      <c r="C1895" s="111" t="s">
        <v>662</v>
      </c>
      <c r="D1895" s="111" t="str">
        <f t="shared" ref="D1895:E1895" si="1893">TRIM(B1895)</f>
        <v>California</v>
      </c>
      <c r="E1895" s="111" t="str">
        <f t="shared" si="1893"/>
        <v>Oakland</v>
      </c>
    </row>
    <row r="1896" spans="1:5">
      <c r="A1896" s="3" t="s">
        <v>6190</v>
      </c>
      <c r="B1896" s="110" t="s">
        <v>1321</v>
      </c>
      <c r="C1896" s="111" t="s">
        <v>662</v>
      </c>
      <c r="D1896" s="111" t="str">
        <f t="shared" ref="D1896:E1896" si="1894">TRIM(B1896)</f>
        <v>California</v>
      </c>
      <c r="E1896" s="111" t="str">
        <f t="shared" si="1894"/>
        <v>Oakland</v>
      </c>
    </row>
    <row r="1897" spans="1:5">
      <c r="A1897" s="110" t="s">
        <v>6193</v>
      </c>
      <c r="B1897" s="110" t="s">
        <v>1321</v>
      </c>
      <c r="C1897" s="111" t="s">
        <v>662</v>
      </c>
      <c r="D1897" s="111" t="str">
        <f t="shared" ref="D1897:E1897" si="1895">TRIM(B1897)</f>
        <v>California</v>
      </c>
      <c r="E1897" s="111" t="str">
        <f t="shared" si="1895"/>
        <v>Oakland</v>
      </c>
    </row>
    <row r="1898" spans="1:5">
      <c r="A1898" s="3" t="s">
        <v>6194</v>
      </c>
      <c r="B1898" s="110" t="s">
        <v>1321</v>
      </c>
      <c r="C1898" s="111" t="s">
        <v>662</v>
      </c>
      <c r="D1898" s="111" t="str">
        <f t="shared" ref="D1898:E1898" si="1896">TRIM(B1898)</f>
        <v>California</v>
      </c>
      <c r="E1898" s="111" t="str">
        <f t="shared" si="1896"/>
        <v>Oakland</v>
      </c>
    </row>
    <row r="1899" spans="1:5">
      <c r="A1899" s="3" t="s">
        <v>6198</v>
      </c>
      <c r="B1899" s="110" t="s">
        <v>1321</v>
      </c>
      <c r="C1899" s="111" t="s">
        <v>662</v>
      </c>
      <c r="D1899" s="111" t="str">
        <f t="shared" ref="D1899:E1899" si="1897">TRIM(B1899)</f>
        <v>California</v>
      </c>
      <c r="E1899" s="111" t="str">
        <f t="shared" si="1897"/>
        <v>Oakland</v>
      </c>
    </row>
    <row r="1900" spans="1:5">
      <c r="A1900" s="3" t="s">
        <v>2853</v>
      </c>
      <c r="B1900" s="110" t="s">
        <v>1321</v>
      </c>
      <c r="C1900" s="111" t="s">
        <v>662</v>
      </c>
      <c r="D1900" s="111" t="str">
        <f t="shared" ref="D1900:E1900" si="1898">TRIM(B1900)</f>
        <v>California</v>
      </c>
      <c r="E1900" s="111" t="str">
        <f t="shared" si="1898"/>
        <v>Oakland</v>
      </c>
    </row>
    <row r="1901" spans="1:5">
      <c r="A1901" s="3" t="s">
        <v>6200</v>
      </c>
      <c r="B1901" s="110" t="s">
        <v>1321</v>
      </c>
      <c r="C1901" s="111" t="s">
        <v>6201</v>
      </c>
      <c r="D1901" s="111" t="str">
        <f t="shared" ref="D1901:E1901" si="1899">TRIM(B1901)</f>
        <v>California</v>
      </c>
      <c r="E1901" s="111" t="str">
        <f t="shared" si="1899"/>
        <v>Oakley</v>
      </c>
    </row>
    <row r="1902" spans="1:5">
      <c r="A1902" s="3" t="s">
        <v>6203</v>
      </c>
      <c r="B1902" s="110" t="s">
        <v>1321</v>
      </c>
      <c r="C1902" s="111" t="s">
        <v>6204</v>
      </c>
      <c r="D1902" s="111" t="str">
        <f t="shared" ref="D1902:E1902" si="1900">TRIM(B1902)</f>
        <v>California</v>
      </c>
      <c r="E1902" s="111" t="str">
        <f t="shared" si="1900"/>
        <v>Oceanside</v>
      </c>
    </row>
    <row r="1903" spans="1:5">
      <c r="A1903" s="3" t="s">
        <v>6205</v>
      </c>
      <c r="B1903" s="110" t="s">
        <v>1321</v>
      </c>
      <c r="C1903" s="112" t="s">
        <v>6204</v>
      </c>
      <c r="D1903" s="111" t="str">
        <f t="shared" ref="D1903:E1903" si="1901">TRIM(B1903)</f>
        <v>California</v>
      </c>
      <c r="E1903" s="111" t="str">
        <f t="shared" si="1901"/>
        <v>Oceanside</v>
      </c>
    </row>
    <row r="1904" spans="1:5">
      <c r="A1904" s="110" t="s">
        <v>6209</v>
      </c>
      <c r="B1904" s="110" t="s">
        <v>1321</v>
      </c>
      <c r="C1904" s="111" t="s">
        <v>6204</v>
      </c>
      <c r="D1904" s="111" t="str">
        <f t="shared" ref="D1904:E1904" si="1902">TRIM(B1904)</f>
        <v>California</v>
      </c>
      <c r="E1904" s="111" t="str">
        <f t="shared" si="1902"/>
        <v>Oceanside</v>
      </c>
    </row>
    <row r="1905" spans="1:5">
      <c r="A1905" s="3" t="s">
        <v>6210</v>
      </c>
      <c r="B1905" s="110" t="s">
        <v>1321</v>
      </c>
      <c r="C1905" s="111" t="s">
        <v>6204</v>
      </c>
      <c r="D1905" s="111" t="str">
        <f t="shared" ref="D1905:E1905" si="1903">TRIM(B1905)</f>
        <v>California</v>
      </c>
      <c r="E1905" s="111" t="str">
        <f t="shared" si="1903"/>
        <v>Oceanside</v>
      </c>
    </row>
    <row r="1906" spans="1:5">
      <c r="A1906" s="3" t="s">
        <v>6211</v>
      </c>
      <c r="B1906" s="110" t="s">
        <v>1321</v>
      </c>
      <c r="C1906" s="111" t="s">
        <v>6212</v>
      </c>
      <c r="D1906" s="111" t="str">
        <f t="shared" ref="D1906:E1906" si="1904">TRIM(B1906)</f>
        <v>California</v>
      </c>
      <c r="E1906" s="111" t="str">
        <f t="shared" si="1904"/>
        <v>Ojai</v>
      </c>
    </row>
    <row r="1907" spans="1:5">
      <c r="A1907" s="3" t="s">
        <v>6216</v>
      </c>
      <c r="B1907" s="110" t="s">
        <v>1321</v>
      </c>
      <c r="C1907" s="111" t="s">
        <v>6217</v>
      </c>
      <c r="D1907" s="111" t="str">
        <f t="shared" ref="D1907:E1907" si="1905">TRIM(B1907)</f>
        <v>California</v>
      </c>
      <c r="E1907" s="111" t="str">
        <f t="shared" si="1905"/>
        <v>Olivehurst</v>
      </c>
    </row>
    <row r="1908" spans="1:5">
      <c r="A1908" s="110" t="s">
        <v>6218</v>
      </c>
      <c r="B1908" s="110" t="s">
        <v>1321</v>
      </c>
      <c r="C1908" s="111" t="s">
        <v>6219</v>
      </c>
      <c r="D1908" s="111" t="str">
        <f t="shared" ref="D1908:E1908" si="1906">TRIM(B1908)</f>
        <v>California</v>
      </c>
      <c r="E1908" s="111" t="str">
        <f t="shared" si="1906"/>
        <v>Ontario</v>
      </c>
    </row>
    <row r="1909" spans="1:5">
      <c r="A1909" s="3" t="s">
        <v>6222</v>
      </c>
      <c r="B1909" s="110" t="s">
        <v>1321</v>
      </c>
      <c r="C1909" s="111" t="s">
        <v>6219</v>
      </c>
      <c r="D1909" s="111" t="str">
        <f t="shared" ref="D1909:E1909" si="1907">TRIM(B1909)</f>
        <v>California</v>
      </c>
      <c r="E1909" s="111" t="str">
        <f t="shared" si="1907"/>
        <v>Ontario</v>
      </c>
    </row>
    <row r="1910" spans="1:5">
      <c r="A1910" s="3" t="s">
        <v>2399</v>
      </c>
      <c r="B1910" s="110" t="s">
        <v>1321</v>
      </c>
      <c r="C1910" s="111" t="s">
        <v>6219</v>
      </c>
      <c r="D1910" s="111" t="str">
        <f t="shared" ref="D1910:E1910" si="1908">TRIM(B1910)</f>
        <v>California</v>
      </c>
      <c r="E1910" s="111" t="str">
        <f t="shared" si="1908"/>
        <v>Ontario</v>
      </c>
    </row>
    <row r="1911" spans="1:5">
      <c r="A1911" s="3" t="s">
        <v>6224</v>
      </c>
      <c r="B1911" s="110" t="s">
        <v>1321</v>
      </c>
      <c r="C1911" s="111" t="s">
        <v>6219</v>
      </c>
      <c r="D1911" s="111" t="str">
        <f t="shared" ref="D1911:E1911" si="1909">TRIM(B1911)</f>
        <v>California</v>
      </c>
      <c r="E1911" s="111" t="str">
        <f t="shared" si="1909"/>
        <v>Ontario</v>
      </c>
    </row>
    <row r="1912" spans="1:5">
      <c r="A1912" s="110" t="s">
        <v>6225</v>
      </c>
      <c r="B1912" s="110" t="s">
        <v>1321</v>
      </c>
      <c r="C1912" s="111" t="s">
        <v>6219</v>
      </c>
      <c r="D1912" s="111" t="str">
        <f t="shared" ref="D1912:E1912" si="1910">TRIM(B1912)</f>
        <v>California</v>
      </c>
      <c r="E1912" s="111" t="str">
        <f t="shared" si="1910"/>
        <v>Ontario</v>
      </c>
    </row>
    <row r="1913" spans="1:5">
      <c r="A1913" s="110" t="s">
        <v>6227</v>
      </c>
      <c r="B1913" s="110" t="s">
        <v>1321</v>
      </c>
      <c r="C1913" s="111" t="s">
        <v>6219</v>
      </c>
      <c r="D1913" s="111" t="str">
        <f t="shared" ref="D1913:E1913" si="1911">TRIM(B1913)</f>
        <v>California</v>
      </c>
      <c r="E1913" s="111" t="str">
        <f t="shared" si="1911"/>
        <v>Ontario</v>
      </c>
    </row>
    <row r="1914" spans="1:5">
      <c r="A1914" s="3" t="s">
        <v>6229</v>
      </c>
      <c r="B1914" s="110" t="s">
        <v>1321</v>
      </c>
      <c r="C1914" s="111" t="s">
        <v>6230</v>
      </c>
      <c r="D1914" s="111" t="str">
        <f t="shared" ref="D1914:E1914" si="1912">TRIM(B1914)</f>
        <v>California</v>
      </c>
      <c r="E1914" s="111" t="str">
        <f t="shared" si="1912"/>
        <v>Orange</v>
      </c>
    </row>
    <row r="1915" spans="1:5">
      <c r="A1915" s="3" t="s">
        <v>6232</v>
      </c>
      <c r="B1915" s="110" t="s">
        <v>1321</v>
      </c>
      <c r="C1915" s="111" t="s">
        <v>6230</v>
      </c>
      <c r="D1915" s="111" t="str">
        <f t="shared" ref="D1915:E1915" si="1913">TRIM(B1915)</f>
        <v>California</v>
      </c>
      <c r="E1915" s="111" t="str">
        <f t="shared" si="1913"/>
        <v>Orange</v>
      </c>
    </row>
    <row r="1916" spans="1:5">
      <c r="A1916" s="3" t="s">
        <v>6233</v>
      </c>
      <c r="B1916" s="110" t="s">
        <v>1321</v>
      </c>
      <c r="C1916" s="111" t="s">
        <v>6230</v>
      </c>
      <c r="D1916" s="111" t="str">
        <f t="shared" ref="D1916:E1916" si="1914">TRIM(B1916)</f>
        <v>California</v>
      </c>
      <c r="E1916" s="111" t="str">
        <f t="shared" si="1914"/>
        <v>Orange</v>
      </c>
    </row>
    <row r="1917" spans="1:5">
      <c r="A1917" s="3" t="s">
        <v>6236</v>
      </c>
      <c r="B1917" s="110" t="s">
        <v>1321</v>
      </c>
      <c r="C1917" s="111" t="s">
        <v>6238</v>
      </c>
      <c r="D1917" s="111" t="str">
        <f t="shared" ref="D1917:E1917" si="1915">TRIM(B1917)</f>
        <v>California</v>
      </c>
      <c r="E1917" s="111" t="str">
        <f t="shared" si="1915"/>
        <v>Orange Cove</v>
      </c>
    </row>
    <row r="1918" spans="1:5">
      <c r="A1918" s="3" t="s">
        <v>6239</v>
      </c>
      <c r="B1918" s="110" t="s">
        <v>1321</v>
      </c>
      <c r="C1918" s="111" t="s">
        <v>6240</v>
      </c>
      <c r="D1918" s="111" t="str">
        <f t="shared" ref="D1918:E1918" si="1916">TRIM(B1918)</f>
        <v>California</v>
      </c>
      <c r="E1918" s="111" t="str">
        <f t="shared" si="1916"/>
        <v>Orangevale</v>
      </c>
    </row>
    <row r="1919" spans="1:5">
      <c r="A1919" s="3" t="s">
        <v>6242</v>
      </c>
      <c r="B1919" s="110" t="s">
        <v>1321</v>
      </c>
      <c r="C1919" s="111" t="s">
        <v>6244</v>
      </c>
      <c r="D1919" s="111" t="str">
        <f t="shared" ref="D1919:E1919" si="1917">TRIM(B1919)</f>
        <v>California</v>
      </c>
      <c r="E1919" s="111" t="str">
        <f t="shared" si="1917"/>
        <v>Orinda</v>
      </c>
    </row>
    <row r="1920" spans="1:5">
      <c r="A1920" s="3" t="s">
        <v>6246</v>
      </c>
      <c r="B1920" s="110" t="s">
        <v>1321</v>
      </c>
      <c r="C1920" s="111" t="s">
        <v>6247</v>
      </c>
      <c r="D1920" s="111" t="str">
        <f t="shared" ref="D1920:E1920" si="1918">TRIM(B1920)</f>
        <v>California</v>
      </c>
      <c r="E1920" s="111" t="str">
        <f t="shared" si="1918"/>
        <v>Orland</v>
      </c>
    </row>
    <row r="1921" spans="1:5">
      <c r="A1921" s="3" t="s">
        <v>6248</v>
      </c>
      <c r="B1921" s="110" t="s">
        <v>1321</v>
      </c>
      <c r="C1921" s="111" t="s">
        <v>6249</v>
      </c>
      <c r="D1921" s="111" t="str">
        <f t="shared" ref="D1921:E1921" si="1919">TRIM(B1921)</f>
        <v>California</v>
      </c>
      <c r="E1921" s="111" t="str">
        <f t="shared" si="1919"/>
        <v>Orosi</v>
      </c>
    </row>
    <row r="1922" spans="1:5">
      <c r="A1922" s="110" t="s">
        <v>6250</v>
      </c>
      <c r="B1922" s="110" t="s">
        <v>1321</v>
      </c>
      <c r="C1922" s="111" t="s">
        <v>6251</v>
      </c>
      <c r="D1922" s="111" t="str">
        <f t="shared" ref="D1922:E1922" si="1920">TRIM(B1922)</f>
        <v>California</v>
      </c>
      <c r="E1922" s="111" t="str">
        <f t="shared" si="1920"/>
        <v>Oroville</v>
      </c>
    </row>
    <row r="1923" spans="1:5">
      <c r="A1923" s="3" t="s">
        <v>6255</v>
      </c>
      <c r="B1923" s="110" t="s">
        <v>1321</v>
      </c>
      <c r="C1923" s="111" t="s">
        <v>6251</v>
      </c>
      <c r="D1923" s="111" t="str">
        <f t="shared" ref="D1923:E1923" si="1921">TRIM(B1923)</f>
        <v>California</v>
      </c>
      <c r="E1923" s="111" t="str">
        <f t="shared" si="1921"/>
        <v>Oroville</v>
      </c>
    </row>
    <row r="1924" spans="1:5">
      <c r="A1924" s="3" t="s">
        <v>6256</v>
      </c>
      <c r="B1924" s="110" t="s">
        <v>1321</v>
      </c>
      <c r="C1924" s="111" t="s">
        <v>6251</v>
      </c>
      <c r="D1924" s="111" t="str">
        <f t="shared" ref="D1924:E1924" si="1922">TRIM(B1924)</f>
        <v>California</v>
      </c>
      <c r="E1924" s="111" t="str">
        <f t="shared" si="1922"/>
        <v>Oroville</v>
      </c>
    </row>
    <row r="1925" spans="1:5">
      <c r="A1925" s="3" t="s">
        <v>6259</v>
      </c>
      <c r="B1925" s="110" t="s">
        <v>1321</v>
      </c>
      <c r="C1925" s="111" t="s">
        <v>1115</v>
      </c>
      <c r="D1925" s="111" t="str">
        <f t="shared" ref="D1925:E1925" si="1923">TRIM(B1925)</f>
        <v>California</v>
      </c>
      <c r="E1925" s="111" t="str">
        <f t="shared" si="1923"/>
        <v>Oxnard</v>
      </c>
    </row>
    <row r="1926" spans="1:5">
      <c r="A1926" s="3" t="s">
        <v>6260</v>
      </c>
      <c r="B1926" s="110" t="s">
        <v>1321</v>
      </c>
      <c r="C1926" s="111" t="s">
        <v>1115</v>
      </c>
      <c r="D1926" s="111" t="str">
        <f t="shared" ref="D1926:E1926" si="1924">TRIM(B1926)</f>
        <v>California</v>
      </c>
      <c r="E1926" s="111" t="str">
        <f t="shared" si="1924"/>
        <v>Oxnard</v>
      </c>
    </row>
    <row r="1927" spans="1:5">
      <c r="A1927" s="3" t="s">
        <v>6263</v>
      </c>
      <c r="B1927" s="110" t="s">
        <v>1321</v>
      </c>
      <c r="C1927" s="111" t="s">
        <v>1115</v>
      </c>
      <c r="D1927" s="111" t="str">
        <f t="shared" ref="D1927:E1927" si="1925">TRIM(B1927)</f>
        <v>California</v>
      </c>
      <c r="E1927" s="111" t="str">
        <f t="shared" si="1925"/>
        <v>Oxnard</v>
      </c>
    </row>
    <row r="1928" spans="1:5">
      <c r="A1928" s="3" t="s">
        <v>5130</v>
      </c>
      <c r="B1928" s="110" t="s">
        <v>1321</v>
      </c>
      <c r="C1928" s="111" t="s">
        <v>1115</v>
      </c>
      <c r="D1928" s="111" t="str">
        <f t="shared" ref="D1928:E1928" si="1926">TRIM(B1928)</f>
        <v>California</v>
      </c>
      <c r="E1928" s="111" t="str">
        <f t="shared" si="1926"/>
        <v>Oxnard</v>
      </c>
    </row>
    <row r="1929" spans="1:5">
      <c r="A1929" s="3" t="s">
        <v>6266</v>
      </c>
      <c r="B1929" s="110" t="s">
        <v>1321</v>
      </c>
      <c r="C1929" s="111" t="s">
        <v>1115</v>
      </c>
      <c r="D1929" s="111" t="str">
        <f t="shared" ref="D1929:E1929" si="1927">TRIM(B1929)</f>
        <v>California</v>
      </c>
      <c r="E1929" s="111" t="str">
        <f t="shared" si="1927"/>
        <v>Oxnard</v>
      </c>
    </row>
    <row r="1930" spans="1:5">
      <c r="A1930" s="3" t="s">
        <v>6268</v>
      </c>
      <c r="B1930" s="110" t="s">
        <v>1321</v>
      </c>
      <c r="C1930" s="111" t="s">
        <v>6269</v>
      </c>
      <c r="D1930" s="111" t="str">
        <f t="shared" ref="D1930:E1930" si="1928">TRIM(B1930)</f>
        <v>California</v>
      </c>
      <c r="E1930" s="111" t="str">
        <f t="shared" si="1928"/>
        <v>Pacific Grove</v>
      </c>
    </row>
    <row r="1931" spans="1:5">
      <c r="A1931" s="3" t="s">
        <v>6270</v>
      </c>
      <c r="B1931" s="110" t="s">
        <v>1321</v>
      </c>
      <c r="C1931" s="111" t="s">
        <v>6271</v>
      </c>
      <c r="D1931" s="111" t="str">
        <f t="shared" ref="D1931:E1931" si="1929">TRIM(B1931)</f>
        <v>California</v>
      </c>
      <c r="E1931" s="111" t="str">
        <f t="shared" si="1929"/>
        <v>Pacific Palisades</v>
      </c>
    </row>
    <row r="1932" spans="1:5">
      <c r="A1932" s="3" t="s">
        <v>6273</v>
      </c>
      <c r="B1932" s="110" t="s">
        <v>1321</v>
      </c>
      <c r="C1932" s="111" t="s">
        <v>6275</v>
      </c>
      <c r="D1932" s="111" t="str">
        <f t="shared" ref="D1932:E1932" si="1930">TRIM(B1932)</f>
        <v>California</v>
      </c>
      <c r="E1932" s="111" t="str">
        <f t="shared" si="1930"/>
        <v>Pacifica</v>
      </c>
    </row>
    <row r="1933" spans="1:5">
      <c r="A1933" s="3" t="s">
        <v>6276</v>
      </c>
      <c r="B1933" s="110" t="s">
        <v>1321</v>
      </c>
      <c r="C1933" s="111" t="s">
        <v>6277</v>
      </c>
      <c r="D1933" s="111" t="str">
        <f t="shared" ref="D1933:E1933" si="1931">TRIM(B1933)</f>
        <v>California</v>
      </c>
      <c r="E1933" s="111" t="str">
        <f t="shared" si="1931"/>
        <v>Pacoima</v>
      </c>
    </row>
    <row r="1934" spans="1:5">
      <c r="A1934" s="3" t="s">
        <v>6279</v>
      </c>
      <c r="B1934" s="110" t="s">
        <v>1321</v>
      </c>
      <c r="C1934" s="111" t="s">
        <v>6281</v>
      </c>
      <c r="D1934" s="111" t="str">
        <f t="shared" ref="D1934:E1934" si="1932">TRIM(B1934)</f>
        <v>California</v>
      </c>
      <c r="E1934" s="111" t="str">
        <f t="shared" si="1932"/>
        <v>Palm Desert</v>
      </c>
    </row>
    <row r="1935" spans="1:5">
      <c r="A1935" s="3" t="s">
        <v>6283</v>
      </c>
      <c r="B1935" s="110" t="s">
        <v>1321</v>
      </c>
      <c r="C1935" s="111" t="s">
        <v>5078</v>
      </c>
      <c r="D1935" s="111" t="str">
        <f t="shared" ref="D1935:E1935" si="1933">TRIM(B1935)</f>
        <v>California</v>
      </c>
      <c r="E1935" s="111" t="str">
        <f t="shared" si="1933"/>
        <v>Palm Springs</v>
      </c>
    </row>
    <row r="1936" spans="1:5">
      <c r="A1936" s="3" t="s">
        <v>2665</v>
      </c>
      <c r="B1936" s="110" t="s">
        <v>1321</v>
      </c>
      <c r="C1936" s="111" t="s">
        <v>6285</v>
      </c>
      <c r="D1936" s="111" t="str">
        <f t="shared" ref="D1936:E1936" si="1934">TRIM(B1936)</f>
        <v>California</v>
      </c>
      <c r="E1936" s="111" t="str">
        <f t="shared" si="1934"/>
        <v>Palmdale</v>
      </c>
    </row>
    <row r="1937" spans="1:5">
      <c r="A1937" s="3" t="s">
        <v>6287</v>
      </c>
      <c r="B1937" s="110" t="s">
        <v>1321</v>
      </c>
      <c r="C1937" s="111" t="s">
        <v>6285</v>
      </c>
      <c r="D1937" s="111" t="str">
        <f t="shared" ref="D1937:E1937" si="1935">TRIM(B1937)</f>
        <v>California</v>
      </c>
      <c r="E1937" s="111" t="str">
        <f t="shared" si="1935"/>
        <v>Palmdale</v>
      </c>
    </row>
    <row r="1938" spans="1:5">
      <c r="A1938" s="3" t="s">
        <v>6290</v>
      </c>
      <c r="B1938" s="110" t="s">
        <v>1321</v>
      </c>
      <c r="C1938" s="111" t="s">
        <v>6285</v>
      </c>
      <c r="D1938" s="111" t="str">
        <f t="shared" ref="D1938:E1938" si="1936">TRIM(B1938)</f>
        <v>California</v>
      </c>
      <c r="E1938" s="111" t="str">
        <f t="shared" si="1936"/>
        <v>Palmdale</v>
      </c>
    </row>
    <row r="1939" spans="1:5">
      <c r="A1939" s="3" t="s">
        <v>6292</v>
      </c>
      <c r="B1939" s="110" t="s">
        <v>1321</v>
      </c>
      <c r="C1939" s="111" t="s">
        <v>4520</v>
      </c>
      <c r="D1939" s="111" t="str">
        <f t="shared" ref="D1939:E1939" si="1937">TRIM(B1939)</f>
        <v>California</v>
      </c>
      <c r="E1939" s="111" t="str">
        <f t="shared" si="1937"/>
        <v>Palo Alto</v>
      </c>
    </row>
    <row r="1940" spans="1:5">
      <c r="A1940" s="3" t="s">
        <v>6293</v>
      </c>
      <c r="B1940" s="110" t="s">
        <v>1321</v>
      </c>
      <c r="C1940" s="111" t="s">
        <v>4520</v>
      </c>
      <c r="D1940" s="111" t="str">
        <f t="shared" ref="D1940:E1940" si="1938">TRIM(B1940)</f>
        <v>California</v>
      </c>
      <c r="E1940" s="111" t="str">
        <f t="shared" si="1938"/>
        <v>Palo Alto</v>
      </c>
    </row>
    <row r="1941" spans="1:5">
      <c r="A1941" s="3" t="s">
        <v>4423</v>
      </c>
      <c r="B1941" s="110" t="s">
        <v>1321</v>
      </c>
      <c r="C1941" s="111" t="s">
        <v>6297</v>
      </c>
      <c r="D1941" s="111" t="str">
        <f t="shared" ref="D1941:E1941" si="1939">TRIM(B1941)</f>
        <v>California</v>
      </c>
      <c r="E1941" s="111" t="str">
        <f t="shared" si="1939"/>
        <v>Palo Cedro</v>
      </c>
    </row>
    <row r="1942" spans="1:5">
      <c r="A1942" s="3" t="s">
        <v>6298</v>
      </c>
      <c r="B1942" s="110" t="s">
        <v>1321</v>
      </c>
      <c r="C1942" s="113" t="s">
        <v>6299</v>
      </c>
      <c r="D1942" s="111" t="str">
        <f t="shared" ref="D1942:E1942" si="1940">TRIM(B1942)</f>
        <v>California</v>
      </c>
      <c r="E1942" s="111" t="str">
        <f t="shared" si="1940"/>
        <v>Palos Verdes Estates</v>
      </c>
    </row>
    <row r="1943" spans="1:5">
      <c r="A1943" s="3" t="s">
        <v>6301</v>
      </c>
      <c r="B1943" s="110" t="s">
        <v>1321</v>
      </c>
      <c r="C1943" s="111" t="s">
        <v>6302</v>
      </c>
      <c r="D1943" s="111" t="str">
        <f t="shared" ref="D1943:E1943" si="1941">TRIM(B1943)</f>
        <v>California</v>
      </c>
      <c r="E1943" s="111" t="str">
        <f t="shared" si="1941"/>
        <v>Panorama City</v>
      </c>
    </row>
    <row r="1944" spans="1:5">
      <c r="A1944" s="3" t="s">
        <v>6304</v>
      </c>
      <c r="B1944" s="110" t="s">
        <v>1321</v>
      </c>
      <c r="C1944" s="111" t="s">
        <v>6305</v>
      </c>
      <c r="D1944" s="111" t="str">
        <f t="shared" ref="D1944:E1944" si="1942">TRIM(B1944)</f>
        <v>California</v>
      </c>
      <c r="E1944" s="111" t="str">
        <f t="shared" si="1942"/>
        <v>Paradise</v>
      </c>
    </row>
    <row r="1945" spans="1:5">
      <c r="A1945" s="3" t="s">
        <v>6307</v>
      </c>
      <c r="B1945" s="110" t="s">
        <v>1321</v>
      </c>
      <c r="C1945" s="111" t="s">
        <v>6305</v>
      </c>
      <c r="D1945" s="111" t="str">
        <f t="shared" ref="D1945:E1945" si="1943">TRIM(B1945)</f>
        <v>California</v>
      </c>
      <c r="E1945" s="111" t="str">
        <f t="shared" si="1943"/>
        <v>Paradise</v>
      </c>
    </row>
    <row r="1946" spans="1:5">
      <c r="A1946" s="3" t="s">
        <v>6311</v>
      </c>
      <c r="B1946" s="110" t="s">
        <v>1321</v>
      </c>
      <c r="C1946" s="111" t="s">
        <v>6305</v>
      </c>
      <c r="D1946" s="111" t="str">
        <f t="shared" ref="D1946:E1946" si="1944">TRIM(B1946)</f>
        <v>California</v>
      </c>
      <c r="E1946" s="111" t="str">
        <f t="shared" si="1944"/>
        <v>Paradise</v>
      </c>
    </row>
    <row r="1947" spans="1:5">
      <c r="A1947" s="3" t="s">
        <v>6312</v>
      </c>
      <c r="B1947" s="110" t="s">
        <v>1321</v>
      </c>
      <c r="C1947" s="111" t="s">
        <v>6313</v>
      </c>
      <c r="D1947" s="111" t="str">
        <f t="shared" ref="D1947:E1947" si="1945">TRIM(B1947)</f>
        <v>California</v>
      </c>
      <c r="E1947" s="111" t="str">
        <f t="shared" si="1945"/>
        <v>Paramount</v>
      </c>
    </row>
    <row r="1948" spans="1:5">
      <c r="A1948" s="3" t="s">
        <v>6315</v>
      </c>
      <c r="B1948" s="110" t="s">
        <v>1321</v>
      </c>
      <c r="C1948" s="111" t="s">
        <v>6317</v>
      </c>
      <c r="D1948" s="111" t="str">
        <f t="shared" ref="D1948:E1948" si="1946">TRIM(B1948)</f>
        <v>California</v>
      </c>
      <c r="E1948" s="111" t="str">
        <f t="shared" si="1946"/>
        <v>Parlier</v>
      </c>
    </row>
    <row r="1949" spans="1:5">
      <c r="A1949" s="3" t="s">
        <v>6318</v>
      </c>
      <c r="B1949" s="110" t="s">
        <v>1321</v>
      </c>
      <c r="C1949" s="111" t="s">
        <v>486</v>
      </c>
      <c r="D1949" s="111" t="str">
        <f t="shared" ref="D1949:E1949" si="1947">TRIM(B1949)</f>
        <v>California</v>
      </c>
      <c r="E1949" s="111" t="str">
        <f t="shared" si="1947"/>
        <v>Pasadena</v>
      </c>
    </row>
    <row r="1950" spans="1:5">
      <c r="A1950" s="3" t="s">
        <v>6321</v>
      </c>
      <c r="B1950" s="110" t="s">
        <v>1321</v>
      </c>
      <c r="C1950" s="111" t="s">
        <v>486</v>
      </c>
      <c r="D1950" s="111" t="str">
        <f t="shared" ref="D1950:E1950" si="1948">TRIM(B1950)</f>
        <v>California</v>
      </c>
      <c r="E1950" s="111" t="str">
        <f t="shared" si="1948"/>
        <v>Pasadena</v>
      </c>
    </row>
    <row r="1951" spans="1:5">
      <c r="A1951" s="110" t="s">
        <v>6323</v>
      </c>
      <c r="B1951" s="110" t="s">
        <v>1321</v>
      </c>
      <c r="C1951" s="111" t="s">
        <v>486</v>
      </c>
      <c r="D1951" s="111" t="str">
        <f t="shared" ref="D1951:E1951" si="1949">TRIM(B1951)</f>
        <v>California</v>
      </c>
      <c r="E1951" s="111" t="str">
        <f t="shared" si="1949"/>
        <v>Pasadena</v>
      </c>
    </row>
    <row r="1952" spans="1:5">
      <c r="A1952" s="110" t="s">
        <v>6324</v>
      </c>
      <c r="B1952" s="110" t="s">
        <v>1321</v>
      </c>
      <c r="C1952" s="111" t="s">
        <v>486</v>
      </c>
      <c r="D1952" s="111" t="str">
        <f t="shared" ref="D1952:E1952" si="1950">TRIM(B1952)</f>
        <v>California</v>
      </c>
      <c r="E1952" s="111" t="str">
        <f t="shared" si="1950"/>
        <v>Pasadena</v>
      </c>
    </row>
    <row r="1953" spans="1:5">
      <c r="A1953" s="110" t="s">
        <v>6327</v>
      </c>
      <c r="B1953" s="110" t="s">
        <v>1321</v>
      </c>
      <c r="C1953" s="111" t="s">
        <v>486</v>
      </c>
      <c r="D1953" s="111" t="str">
        <f t="shared" ref="D1953:E1953" si="1951">TRIM(B1953)</f>
        <v>California</v>
      </c>
      <c r="E1953" s="111" t="str">
        <f t="shared" si="1951"/>
        <v>Pasadena</v>
      </c>
    </row>
    <row r="1954" spans="1:5">
      <c r="A1954" s="110" t="s">
        <v>6329</v>
      </c>
      <c r="B1954" s="110" t="s">
        <v>1321</v>
      </c>
      <c r="C1954" s="111" t="s">
        <v>486</v>
      </c>
      <c r="D1954" s="111" t="str">
        <f t="shared" ref="D1954:E1954" si="1952">TRIM(B1954)</f>
        <v>California</v>
      </c>
      <c r="E1954" s="111" t="str">
        <f t="shared" si="1952"/>
        <v>Pasadena</v>
      </c>
    </row>
    <row r="1955" spans="1:5">
      <c r="A1955" s="110" t="s">
        <v>6333</v>
      </c>
      <c r="B1955" s="110" t="s">
        <v>1321</v>
      </c>
      <c r="C1955" s="111" t="s">
        <v>486</v>
      </c>
      <c r="D1955" s="111" t="str">
        <f t="shared" ref="D1955:E1955" si="1953">TRIM(B1955)</f>
        <v>California</v>
      </c>
      <c r="E1955" s="111" t="str">
        <f t="shared" si="1953"/>
        <v>Pasadena</v>
      </c>
    </row>
    <row r="1956" spans="1:5">
      <c r="A1956" s="110" t="s">
        <v>6334</v>
      </c>
      <c r="B1956" s="110" t="s">
        <v>1321</v>
      </c>
      <c r="C1956" s="111" t="s">
        <v>486</v>
      </c>
      <c r="D1956" s="111" t="str">
        <f t="shared" ref="D1956:E1956" si="1954">TRIM(B1956)</f>
        <v>California</v>
      </c>
      <c r="E1956" s="111" t="str">
        <f t="shared" si="1954"/>
        <v>Pasadena</v>
      </c>
    </row>
    <row r="1957" spans="1:5">
      <c r="A1957" s="110" t="s">
        <v>6336</v>
      </c>
      <c r="B1957" s="110" t="s">
        <v>1321</v>
      </c>
      <c r="C1957" s="111" t="s">
        <v>486</v>
      </c>
      <c r="D1957" s="111" t="str">
        <f t="shared" ref="D1957:E1957" si="1955">TRIM(B1957)</f>
        <v>California</v>
      </c>
      <c r="E1957" s="111" t="str">
        <f t="shared" si="1955"/>
        <v>Pasadena</v>
      </c>
    </row>
    <row r="1958" spans="1:5">
      <c r="A1958" s="110" t="s">
        <v>6338</v>
      </c>
      <c r="B1958" s="110" t="s">
        <v>1321</v>
      </c>
      <c r="C1958" s="111" t="s">
        <v>486</v>
      </c>
      <c r="D1958" s="111" t="str">
        <f t="shared" ref="D1958:E1958" si="1956">TRIM(B1958)</f>
        <v>California</v>
      </c>
      <c r="E1958" s="111" t="str">
        <f t="shared" si="1956"/>
        <v>Pasadena</v>
      </c>
    </row>
    <row r="1959" spans="1:5">
      <c r="A1959" s="110" t="s">
        <v>6339</v>
      </c>
      <c r="B1959" s="110" t="s">
        <v>1321</v>
      </c>
      <c r="C1959" s="111" t="s">
        <v>486</v>
      </c>
      <c r="D1959" s="111" t="str">
        <f t="shared" ref="D1959:E1959" si="1957">TRIM(B1959)</f>
        <v>California</v>
      </c>
      <c r="E1959" s="111" t="str">
        <f t="shared" si="1957"/>
        <v>Pasadena</v>
      </c>
    </row>
    <row r="1960" spans="1:5">
      <c r="A1960" s="3" t="s">
        <v>6342</v>
      </c>
      <c r="B1960" s="110" t="s">
        <v>1321</v>
      </c>
      <c r="C1960" s="111" t="s">
        <v>486</v>
      </c>
      <c r="D1960" s="111" t="str">
        <f t="shared" ref="D1960:E1960" si="1958">TRIM(B1960)</f>
        <v>California</v>
      </c>
      <c r="E1960" s="111" t="str">
        <f t="shared" si="1958"/>
        <v>Pasadena</v>
      </c>
    </row>
    <row r="1961" spans="1:5">
      <c r="A1961" s="3" t="s">
        <v>6344</v>
      </c>
      <c r="B1961" s="110" t="s">
        <v>1321</v>
      </c>
      <c r="C1961" s="111" t="s">
        <v>6345</v>
      </c>
      <c r="D1961" s="111" t="str">
        <f t="shared" ref="D1961:E1961" si="1959">TRIM(B1961)</f>
        <v>California</v>
      </c>
      <c r="E1961" s="111" t="str">
        <f t="shared" si="1959"/>
        <v>Paso Robles</v>
      </c>
    </row>
    <row r="1962" spans="1:5">
      <c r="A1962" s="3" t="s">
        <v>6347</v>
      </c>
      <c r="B1962" s="110" t="s">
        <v>1321</v>
      </c>
      <c r="C1962" s="111" t="s">
        <v>6348</v>
      </c>
      <c r="D1962" s="111" t="str">
        <f t="shared" ref="D1962:E1962" si="1960">TRIM(B1962)</f>
        <v>California</v>
      </c>
      <c r="E1962" s="111" t="str">
        <f t="shared" si="1960"/>
        <v>Patterson</v>
      </c>
    </row>
    <row r="1963" spans="1:5">
      <c r="A1963" s="110" t="s">
        <v>6349</v>
      </c>
      <c r="B1963" s="110" t="s">
        <v>1321</v>
      </c>
      <c r="C1963" s="111" t="s">
        <v>6350</v>
      </c>
      <c r="D1963" s="111" t="str">
        <f t="shared" ref="D1963:E1963" si="1961">TRIM(B1963)</f>
        <v>California</v>
      </c>
      <c r="E1963" s="111" t="str">
        <f t="shared" si="1961"/>
        <v>Perris</v>
      </c>
    </row>
    <row r="1964" spans="1:5">
      <c r="A1964" s="3" t="s">
        <v>6352</v>
      </c>
      <c r="B1964" s="110" t="s">
        <v>1321</v>
      </c>
      <c r="C1964" s="111" t="s">
        <v>6350</v>
      </c>
      <c r="D1964" s="111" t="str">
        <f t="shared" ref="D1964:E1964" si="1962">TRIM(B1964)</f>
        <v>California</v>
      </c>
      <c r="E1964" s="111" t="str">
        <f t="shared" si="1962"/>
        <v>Perris</v>
      </c>
    </row>
    <row r="1965" spans="1:5">
      <c r="A1965" s="3" t="s">
        <v>6354</v>
      </c>
      <c r="B1965" s="110" t="s">
        <v>1321</v>
      </c>
      <c r="C1965" s="111" t="s">
        <v>6350</v>
      </c>
      <c r="D1965" s="111" t="str">
        <f t="shared" ref="D1965:E1965" si="1963">TRIM(B1965)</f>
        <v>California</v>
      </c>
      <c r="E1965" s="111" t="str">
        <f t="shared" si="1963"/>
        <v>Perris</v>
      </c>
    </row>
    <row r="1966" spans="1:5">
      <c r="A1966" s="3" t="s">
        <v>6356</v>
      </c>
      <c r="B1966" s="110" t="s">
        <v>1321</v>
      </c>
      <c r="C1966" s="111" t="s">
        <v>6350</v>
      </c>
      <c r="D1966" s="111" t="str">
        <f t="shared" ref="D1966:E1966" si="1964">TRIM(B1966)</f>
        <v>California</v>
      </c>
      <c r="E1966" s="111" t="str">
        <f t="shared" si="1964"/>
        <v>Perris</v>
      </c>
    </row>
    <row r="1967" spans="1:5">
      <c r="A1967" s="3" t="s">
        <v>6358</v>
      </c>
      <c r="B1967" s="110" t="s">
        <v>1321</v>
      </c>
      <c r="C1967" s="111" t="s">
        <v>6359</v>
      </c>
      <c r="D1967" s="111" t="str">
        <f t="shared" ref="D1967:E1967" si="1965">TRIM(B1967)</f>
        <v>California</v>
      </c>
      <c r="E1967" s="111" t="str">
        <f t="shared" si="1965"/>
        <v>Pescadero</v>
      </c>
    </row>
    <row r="1968" spans="1:5">
      <c r="A1968" s="3" t="s">
        <v>6361</v>
      </c>
      <c r="B1968" s="110" t="s">
        <v>1321</v>
      </c>
      <c r="C1968" s="111" t="s">
        <v>6362</v>
      </c>
      <c r="D1968" s="111" t="str">
        <f t="shared" ref="D1968:E1968" si="1966">TRIM(B1968)</f>
        <v>California</v>
      </c>
      <c r="E1968" s="111" t="str">
        <f t="shared" si="1966"/>
        <v>Petaluma</v>
      </c>
    </row>
    <row r="1969" spans="1:5">
      <c r="A1969" s="3" t="s">
        <v>6364</v>
      </c>
      <c r="B1969" s="110" t="s">
        <v>1321</v>
      </c>
      <c r="C1969" s="111" t="s">
        <v>6362</v>
      </c>
      <c r="D1969" s="111" t="str">
        <f t="shared" ref="D1969:E1969" si="1967">TRIM(B1969)</f>
        <v>California</v>
      </c>
      <c r="E1969" s="111" t="str">
        <f t="shared" si="1967"/>
        <v>Petaluma</v>
      </c>
    </row>
    <row r="1970" spans="1:5">
      <c r="A1970" s="3" t="s">
        <v>6367</v>
      </c>
      <c r="B1970" s="110" t="s">
        <v>1321</v>
      </c>
      <c r="C1970" s="111" t="s">
        <v>6362</v>
      </c>
      <c r="D1970" s="111" t="str">
        <f t="shared" ref="D1970:E1970" si="1968">TRIM(B1970)</f>
        <v>California</v>
      </c>
      <c r="E1970" s="111" t="str">
        <f t="shared" si="1968"/>
        <v>Petaluma</v>
      </c>
    </row>
    <row r="1971" spans="1:5">
      <c r="A1971" s="3" t="s">
        <v>6369</v>
      </c>
      <c r="B1971" s="110" t="s">
        <v>1321</v>
      </c>
      <c r="C1971" s="111" t="s">
        <v>6370</v>
      </c>
      <c r="D1971" s="111" t="str">
        <f t="shared" ref="D1971:E1971" si="1969">TRIM(B1971)</f>
        <v>California</v>
      </c>
      <c r="E1971" s="111" t="str">
        <f t="shared" si="1969"/>
        <v>Petrolia</v>
      </c>
    </row>
    <row r="1972" spans="1:5">
      <c r="A1972" s="3" t="s">
        <v>6371</v>
      </c>
      <c r="B1972" s="110" t="s">
        <v>1321</v>
      </c>
      <c r="C1972" s="111" t="s">
        <v>6373</v>
      </c>
      <c r="D1972" s="111" t="str">
        <f t="shared" ref="D1972:E1972" si="1970">TRIM(B1972)</f>
        <v>California</v>
      </c>
      <c r="E1972" s="111" t="str">
        <f t="shared" si="1970"/>
        <v>Phelan</v>
      </c>
    </row>
    <row r="1973" spans="1:5">
      <c r="A1973" s="3" t="s">
        <v>6376</v>
      </c>
      <c r="B1973" s="110" t="s">
        <v>1321</v>
      </c>
      <c r="C1973" s="111" t="s">
        <v>6377</v>
      </c>
      <c r="D1973" s="111" t="str">
        <f t="shared" ref="D1973:E1973" si="1971">TRIM(B1973)</f>
        <v>California</v>
      </c>
      <c r="E1973" s="111" t="str">
        <f t="shared" si="1971"/>
        <v>Pico Rivera</v>
      </c>
    </row>
    <row r="1974" spans="1:5">
      <c r="A1974" s="3" t="s">
        <v>6378</v>
      </c>
      <c r="B1974" s="110" t="s">
        <v>1321</v>
      </c>
      <c r="C1974" s="111" t="s">
        <v>6377</v>
      </c>
      <c r="D1974" s="111" t="str">
        <f t="shared" ref="D1974:E1974" si="1972">TRIM(B1974)</f>
        <v>California</v>
      </c>
      <c r="E1974" s="111" t="str">
        <f t="shared" si="1972"/>
        <v>Pico Rivera</v>
      </c>
    </row>
    <row r="1975" spans="1:5">
      <c r="A1975" s="3" t="s">
        <v>2092</v>
      </c>
      <c r="B1975" s="110" t="s">
        <v>1321</v>
      </c>
      <c r="C1975" s="111" t="s">
        <v>2093</v>
      </c>
      <c r="D1975" s="111" t="str">
        <f t="shared" ref="D1975:E1975" si="1973">TRIM(B1975)</f>
        <v>California</v>
      </c>
      <c r="E1975" s="111" t="str">
        <f t="shared" si="1973"/>
        <v>Piedmont</v>
      </c>
    </row>
    <row r="1976" spans="1:5">
      <c r="A1976" s="3" t="s">
        <v>6380</v>
      </c>
      <c r="B1976" s="110" t="s">
        <v>1321</v>
      </c>
      <c r="C1976" s="111" t="s">
        <v>6381</v>
      </c>
      <c r="D1976" s="111" t="str">
        <f t="shared" ref="D1976:E1976" si="1974">TRIM(B1976)</f>
        <v>California</v>
      </c>
      <c r="E1976" s="111" t="str">
        <f t="shared" si="1974"/>
        <v>Pine Valley</v>
      </c>
    </row>
    <row r="1977" spans="1:5">
      <c r="A1977" s="3" t="s">
        <v>6384</v>
      </c>
      <c r="B1977" s="110" t="s">
        <v>1321</v>
      </c>
      <c r="C1977" s="111" t="s">
        <v>6385</v>
      </c>
      <c r="D1977" s="111" t="str">
        <f t="shared" ref="D1977:E1977" si="1975">TRIM(B1977)</f>
        <v>California</v>
      </c>
      <c r="E1977" s="111" t="str">
        <f t="shared" si="1975"/>
        <v>Pinole</v>
      </c>
    </row>
    <row r="1978" spans="1:5">
      <c r="A1978" s="3" t="s">
        <v>6387</v>
      </c>
      <c r="B1978" s="110" t="s">
        <v>1321</v>
      </c>
      <c r="C1978" s="111" t="s">
        <v>6388</v>
      </c>
      <c r="D1978" s="111" t="str">
        <f t="shared" ref="D1978:E1978" si="1976">TRIM(B1978)</f>
        <v>California</v>
      </c>
      <c r="E1978" s="111" t="str">
        <f t="shared" si="1976"/>
        <v>Pittsburg</v>
      </c>
    </row>
    <row r="1979" spans="1:5">
      <c r="A1979" s="3" t="s">
        <v>3753</v>
      </c>
      <c r="B1979" s="110" t="s">
        <v>1321</v>
      </c>
      <c r="C1979" s="111" t="s">
        <v>6389</v>
      </c>
      <c r="D1979" s="111" t="str">
        <f t="shared" ref="D1979:E1979" si="1977">TRIM(B1979)</f>
        <v>California</v>
      </c>
      <c r="E1979" s="111" t="str">
        <f t="shared" si="1977"/>
        <v>Placentia</v>
      </c>
    </row>
    <row r="1980" spans="1:5">
      <c r="A1980" s="3" t="s">
        <v>6391</v>
      </c>
      <c r="B1980" s="110" t="s">
        <v>1321</v>
      </c>
      <c r="C1980" s="111" t="s">
        <v>6389</v>
      </c>
      <c r="D1980" s="111" t="str">
        <f t="shared" ref="D1980:E1980" si="1978">TRIM(B1980)</f>
        <v>California</v>
      </c>
      <c r="E1980" s="111" t="str">
        <f t="shared" si="1978"/>
        <v>Placentia</v>
      </c>
    </row>
    <row r="1981" spans="1:5">
      <c r="A1981" s="3" t="s">
        <v>6393</v>
      </c>
      <c r="B1981" s="110" t="s">
        <v>1321</v>
      </c>
      <c r="C1981" s="111" t="s">
        <v>6389</v>
      </c>
      <c r="D1981" s="111" t="str">
        <f t="shared" ref="D1981:E1981" si="1979">TRIM(B1981)</f>
        <v>California</v>
      </c>
      <c r="E1981" s="111" t="str">
        <f t="shared" si="1979"/>
        <v>Placentia</v>
      </c>
    </row>
    <row r="1982" spans="1:5">
      <c r="A1982" s="3" t="s">
        <v>3753</v>
      </c>
      <c r="B1982" s="110" t="s">
        <v>1321</v>
      </c>
      <c r="C1982" s="111" t="s">
        <v>6396</v>
      </c>
      <c r="D1982" s="111" t="str">
        <f t="shared" ref="D1982:E1982" si="1980">TRIM(B1982)</f>
        <v>California</v>
      </c>
      <c r="E1982" s="111" t="str">
        <f t="shared" si="1980"/>
        <v>Placerville</v>
      </c>
    </row>
    <row r="1983" spans="1:5">
      <c r="A1983" s="3" t="s">
        <v>6399</v>
      </c>
      <c r="B1983" s="110" t="s">
        <v>1321</v>
      </c>
      <c r="C1983" s="111" t="s">
        <v>6400</v>
      </c>
      <c r="D1983" s="111" t="str">
        <f t="shared" ref="D1983:E1983" si="1981">TRIM(B1983)</f>
        <v>California</v>
      </c>
      <c r="E1983" s="111" t="str">
        <f t="shared" si="1981"/>
        <v>Pleasant Hill</v>
      </c>
    </row>
    <row r="1984" spans="1:5">
      <c r="A1984" s="3" t="s">
        <v>6401</v>
      </c>
      <c r="B1984" s="110" t="s">
        <v>1321</v>
      </c>
      <c r="C1984" s="111" t="s">
        <v>6403</v>
      </c>
      <c r="D1984" s="111" t="str">
        <f t="shared" ref="D1984:E1984" si="1982">TRIM(B1984)</f>
        <v>California</v>
      </c>
      <c r="E1984" s="111" t="str">
        <f t="shared" si="1982"/>
        <v>Pleasanton</v>
      </c>
    </row>
    <row r="1985" spans="1:5">
      <c r="A1985" s="3" t="s">
        <v>4423</v>
      </c>
      <c r="B1985" s="110" t="s">
        <v>1321</v>
      </c>
      <c r="C1985" s="111" t="s">
        <v>6403</v>
      </c>
      <c r="D1985" s="111" t="str">
        <f t="shared" ref="D1985:E1985" si="1983">TRIM(B1985)</f>
        <v>California</v>
      </c>
      <c r="E1985" s="111" t="str">
        <f t="shared" si="1983"/>
        <v>Pleasanton</v>
      </c>
    </row>
    <row r="1986" spans="1:5">
      <c r="A1986" s="3" t="s">
        <v>6405</v>
      </c>
      <c r="B1986" s="110" t="s">
        <v>1321</v>
      </c>
      <c r="C1986" s="111" t="s">
        <v>6406</v>
      </c>
      <c r="D1986" s="111" t="str">
        <f t="shared" ref="D1986:E1986" si="1984">TRIM(B1986)</f>
        <v>California</v>
      </c>
      <c r="E1986" s="111" t="str">
        <f t="shared" si="1984"/>
        <v>Point Arena</v>
      </c>
    </row>
    <row r="1987" spans="1:5">
      <c r="A1987" s="3" t="s">
        <v>6408</v>
      </c>
      <c r="B1987" s="110" t="s">
        <v>1321</v>
      </c>
      <c r="C1987" s="111" t="s">
        <v>6410</v>
      </c>
      <c r="D1987" s="111" t="str">
        <f t="shared" ref="D1987:E1987" si="1985">TRIM(B1987)</f>
        <v>California</v>
      </c>
      <c r="E1987" s="111" t="str">
        <f t="shared" si="1985"/>
        <v>Pomona</v>
      </c>
    </row>
    <row r="1988" spans="1:5">
      <c r="A1988" s="3" t="s">
        <v>6412</v>
      </c>
      <c r="B1988" s="110" t="s">
        <v>1321</v>
      </c>
      <c r="C1988" s="111" t="s">
        <v>6410</v>
      </c>
      <c r="D1988" s="111" t="str">
        <f t="shared" ref="D1988:E1988" si="1986">TRIM(B1988)</f>
        <v>California</v>
      </c>
      <c r="E1988" s="111" t="str">
        <f t="shared" si="1986"/>
        <v>Pomona</v>
      </c>
    </row>
    <row r="1989" spans="1:5">
      <c r="A1989" s="3" t="s">
        <v>6413</v>
      </c>
      <c r="B1989" s="110" t="s">
        <v>1321</v>
      </c>
      <c r="C1989" s="111" t="s">
        <v>6410</v>
      </c>
      <c r="D1989" s="111" t="str">
        <f t="shared" ref="D1989:E1989" si="1987">TRIM(B1989)</f>
        <v>California</v>
      </c>
      <c r="E1989" s="111" t="str">
        <f t="shared" si="1987"/>
        <v>Pomona</v>
      </c>
    </row>
    <row r="1990" spans="1:5">
      <c r="A1990" s="3" t="s">
        <v>6415</v>
      </c>
      <c r="B1990" s="110" t="s">
        <v>1321</v>
      </c>
      <c r="C1990" s="111" t="s">
        <v>6410</v>
      </c>
      <c r="D1990" s="111" t="str">
        <f t="shared" ref="D1990:E1990" si="1988">TRIM(B1990)</f>
        <v>California</v>
      </c>
      <c r="E1990" s="111" t="str">
        <f t="shared" si="1988"/>
        <v>Pomona</v>
      </c>
    </row>
    <row r="1991" spans="1:5">
      <c r="A1991" s="3" t="s">
        <v>6417</v>
      </c>
      <c r="B1991" s="110" t="s">
        <v>1321</v>
      </c>
      <c r="C1991" s="111" t="s">
        <v>6410</v>
      </c>
      <c r="D1991" s="111" t="str">
        <f t="shared" ref="D1991:E1991" si="1989">TRIM(B1991)</f>
        <v>California</v>
      </c>
      <c r="E1991" s="111" t="str">
        <f t="shared" si="1989"/>
        <v>Pomona</v>
      </c>
    </row>
    <row r="1992" spans="1:5">
      <c r="A1992" s="3" t="s">
        <v>6418</v>
      </c>
      <c r="B1992" s="110" t="s">
        <v>1321</v>
      </c>
      <c r="C1992" s="111" t="s">
        <v>6410</v>
      </c>
      <c r="D1992" s="111" t="str">
        <f t="shared" ref="D1992:E1992" si="1990">TRIM(B1992)</f>
        <v>California</v>
      </c>
      <c r="E1992" s="111" t="str">
        <f t="shared" si="1990"/>
        <v>Pomona</v>
      </c>
    </row>
    <row r="1993" spans="1:5">
      <c r="A1993" s="110" t="s">
        <v>6420</v>
      </c>
      <c r="B1993" s="110" t="s">
        <v>1321</v>
      </c>
      <c r="C1993" s="111" t="s">
        <v>6410</v>
      </c>
      <c r="D1993" s="111" t="str">
        <f t="shared" ref="D1993:E1993" si="1991">TRIM(B1993)</f>
        <v>California</v>
      </c>
      <c r="E1993" s="111" t="str">
        <f t="shared" si="1991"/>
        <v>Pomona</v>
      </c>
    </row>
    <row r="1994" spans="1:5">
      <c r="A1994" s="3" t="s">
        <v>6423</v>
      </c>
      <c r="B1994" s="110" t="s">
        <v>1321</v>
      </c>
      <c r="C1994" s="111" t="s">
        <v>6424</v>
      </c>
      <c r="D1994" s="111" t="str">
        <f t="shared" ref="D1994:E1994" si="1992">TRIM(B1994)</f>
        <v>California</v>
      </c>
      <c r="E1994" s="111" t="str">
        <f t="shared" si="1992"/>
        <v>Porterville</v>
      </c>
    </row>
    <row r="1995" spans="1:5">
      <c r="A1995" s="3" t="s">
        <v>4366</v>
      </c>
      <c r="B1995" s="110" t="s">
        <v>1321</v>
      </c>
      <c r="C1995" s="111" t="s">
        <v>6424</v>
      </c>
      <c r="D1995" s="111" t="str">
        <f t="shared" ref="D1995:E1995" si="1993">TRIM(B1995)</f>
        <v>California</v>
      </c>
      <c r="E1995" s="111" t="str">
        <f t="shared" si="1993"/>
        <v>Porterville</v>
      </c>
    </row>
    <row r="1996" spans="1:5">
      <c r="A1996" s="3" t="s">
        <v>6428</v>
      </c>
      <c r="B1996" s="110" t="s">
        <v>1321</v>
      </c>
      <c r="C1996" s="111" t="s">
        <v>6424</v>
      </c>
      <c r="D1996" s="111" t="str">
        <f t="shared" ref="D1996:E1996" si="1994">TRIM(B1996)</f>
        <v>California</v>
      </c>
      <c r="E1996" s="111" t="str">
        <f t="shared" si="1994"/>
        <v>Porterville</v>
      </c>
    </row>
    <row r="1997" spans="1:5">
      <c r="A1997" s="3" t="s">
        <v>6430</v>
      </c>
      <c r="B1997" s="110" t="s">
        <v>1321</v>
      </c>
      <c r="C1997" s="111" t="s">
        <v>6424</v>
      </c>
      <c r="D1997" s="111" t="str">
        <f t="shared" ref="D1997:E1997" si="1995">TRIM(B1997)</f>
        <v>California</v>
      </c>
      <c r="E1997" s="111" t="str">
        <f t="shared" si="1995"/>
        <v>Porterville</v>
      </c>
    </row>
    <row r="1998" spans="1:5">
      <c r="A1998" s="3" t="s">
        <v>6433</v>
      </c>
      <c r="B1998" s="110" t="s">
        <v>1321</v>
      </c>
      <c r="C1998" s="111" t="s">
        <v>6424</v>
      </c>
      <c r="D1998" s="111" t="str">
        <f t="shared" ref="D1998:E1998" si="1996">TRIM(B1998)</f>
        <v>California</v>
      </c>
      <c r="E1998" s="111" t="str">
        <f t="shared" si="1996"/>
        <v>Porterville</v>
      </c>
    </row>
    <row r="1999" spans="1:5">
      <c r="A1999" s="3" t="s">
        <v>6434</v>
      </c>
      <c r="B1999" s="110" t="s">
        <v>1321</v>
      </c>
      <c r="C1999" s="111" t="s">
        <v>6424</v>
      </c>
      <c r="D1999" s="111" t="str">
        <f t="shared" ref="D1999:E1999" si="1997">TRIM(B1999)</f>
        <v>California</v>
      </c>
      <c r="E1999" s="111" t="str">
        <f t="shared" si="1997"/>
        <v>Porterville</v>
      </c>
    </row>
    <row r="2000" spans="1:5">
      <c r="A2000" s="3" t="s">
        <v>6436</v>
      </c>
      <c r="B2000" s="110" t="s">
        <v>1321</v>
      </c>
      <c r="C2000" s="111" t="s">
        <v>6424</v>
      </c>
      <c r="D2000" s="111" t="str">
        <f t="shared" ref="D2000:E2000" si="1998">TRIM(B2000)</f>
        <v>California</v>
      </c>
      <c r="E2000" s="111" t="str">
        <f t="shared" si="1998"/>
        <v>Porterville</v>
      </c>
    </row>
    <row r="2001" spans="1:5">
      <c r="A2001" s="3" t="s">
        <v>6438</v>
      </c>
      <c r="B2001" s="110" t="s">
        <v>1321</v>
      </c>
      <c r="C2001" s="111" t="s">
        <v>6439</v>
      </c>
      <c r="D2001" s="111" t="str">
        <f t="shared" ref="D2001:E2001" si="1999">TRIM(B2001)</f>
        <v>California</v>
      </c>
      <c r="E2001" s="111" t="str">
        <f t="shared" si="1999"/>
        <v>Portola</v>
      </c>
    </row>
    <row r="2002" spans="1:5">
      <c r="A2002" s="3" t="s">
        <v>6440</v>
      </c>
      <c r="B2002" s="110" t="s">
        <v>1321</v>
      </c>
      <c r="C2002" s="111" t="s">
        <v>6443</v>
      </c>
      <c r="D2002" s="111" t="str">
        <f t="shared" ref="D2002:E2002" si="2000">TRIM(B2002)</f>
        <v>California</v>
      </c>
      <c r="E2002" s="111" t="str">
        <f t="shared" si="2000"/>
        <v>Potter Valley</v>
      </c>
    </row>
    <row r="2003" spans="1:5">
      <c r="A2003" s="3" t="s">
        <v>6446</v>
      </c>
      <c r="B2003" s="110" t="s">
        <v>1321</v>
      </c>
      <c r="C2003" s="111" t="s">
        <v>4044</v>
      </c>
      <c r="D2003" s="111" t="str">
        <f t="shared" ref="D2003:E2003" si="2001">TRIM(B2003)</f>
        <v>California</v>
      </c>
      <c r="E2003" s="111" t="str">
        <f t="shared" si="2001"/>
        <v>Poway</v>
      </c>
    </row>
    <row r="2004" spans="1:5">
      <c r="A2004" s="3" t="s">
        <v>6447</v>
      </c>
      <c r="B2004" s="110" t="s">
        <v>1321</v>
      </c>
      <c r="C2004" s="111" t="s">
        <v>6448</v>
      </c>
      <c r="D2004" s="111" t="str">
        <f t="shared" ref="D2004:E2004" si="2002">TRIM(B2004)</f>
        <v>California</v>
      </c>
      <c r="E2004" s="111" t="str">
        <f t="shared" si="2002"/>
        <v>Princeton</v>
      </c>
    </row>
    <row r="2005" spans="1:5">
      <c r="A2005" s="3" t="s">
        <v>6450</v>
      </c>
      <c r="B2005" s="110" t="s">
        <v>1321</v>
      </c>
      <c r="C2005" s="111" t="s">
        <v>6451</v>
      </c>
      <c r="D2005" s="111" t="str">
        <f t="shared" ref="D2005:E2005" si="2003">TRIM(B2005)</f>
        <v>California</v>
      </c>
      <c r="E2005" s="111" t="str">
        <f t="shared" si="2003"/>
        <v>Quartz Hill</v>
      </c>
    </row>
    <row r="2006" spans="1:5">
      <c r="A2006" s="3" t="s">
        <v>6453</v>
      </c>
      <c r="B2006" s="110" t="s">
        <v>1321</v>
      </c>
      <c r="C2006" s="111" t="s">
        <v>6451</v>
      </c>
      <c r="D2006" s="111" t="str">
        <f t="shared" ref="D2006:E2006" si="2004">TRIM(B2006)</f>
        <v>California</v>
      </c>
      <c r="E2006" s="111" t="str">
        <f t="shared" si="2004"/>
        <v>Quartz Hill</v>
      </c>
    </row>
    <row r="2007" spans="1:5">
      <c r="A2007" s="3" t="s">
        <v>6454</v>
      </c>
      <c r="B2007" s="110" t="s">
        <v>1321</v>
      </c>
      <c r="C2007" s="111" t="s">
        <v>6455</v>
      </c>
      <c r="D2007" s="111" t="str">
        <f t="shared" ref="D2007:E2007" si="2005">TRIM(B2007)</f>
        <v>California</v>
      </c>
      <c r="E2007" s="111" t="str">
        <f t="shared" si="2005"/>
        <v>Quincy</v>
      </c>
    </row>
    <row r="2008" spans="1:5">
      <c r="A2008" s="3" t="s">
        <v>6457</v>
      </c>
      <c r="B2008" s="110" t="s">
        <v>1321</v>
      </c>
      <c r="C2008" s="111" t="s">
        <v>6458</v>
      </c>
      <c r="D2008" s="111" t="str">
        <f t="shared" ref="D2008:E2008" si="2006">TRIM(B2008)</f>
        <v>California</v>
      </c>
      <c r="E2008" s="111" t="str">
        <f t="shared" si="2006"/>
        <v>Ramona</v>
      </c>
    </row>
    <row r="2009" spans="1:5">
      <c r="A2009" s="3" t="s">
        <v>1649</v>
      </c>
      <c r="B2009" s="110" t="s">
        <v>1321</v>
      </c>
      <c r="C2009" s="111" t="s">
        <v>6460</v>
      </c>
      <c r="D2009" s="111" t="str">
        <f t="shared" ref="D2009:E2009" si="2007">TRIM(B2009)</f>
        <v>California</v>
      </c>
      <c r="E2009" s="111" t="str">
        <f t="shared" si="2007"/>
        <v>Rancho Cordova</v>
      </c>
    </row>
    <row r="2010" spans="1:5">
      <c r="A2010" s="3" t="s">
        <v>6461</v>
      </c>
      <c r="B2010" s="110" t="s">
        <v>1321</v>
      </c>
      <c r="C2010" s="113" t="s">
        <v>446</v>
      </c>
      <c r="D2010" s="111" t="str">
        <f t="shared" ref="D2010:E2010" si="2008">TRIM(B2010)</f>
        <v>California</v>
      </c>
      <c r="E2010" s="111" t="str">
        <f t="shared" si="2008"/>
        <v>Rancho Cucamonga</v>
      </c>
    </row>
    <row r="2011" spans="1:5">
      <c r="A2011" s="3" t="s">
        <v>6464</v>
      </c>
      <c r="B2011" s="110" t="s">
        <v>1321</v>
      </c>
      <c r="C2011" s="113" t="s">
        <v>446</v>
      </c>
      <c r="D2011" s="111" t="str">
        <f t="shared" ref="D2011:E2011" si="2009">TRIM(B2011)</f>
        <v>California</v>
      </c>
      <c r="E2011" s="111" t="str">
        <f t="shared" si="2009"/>
        <v>Rancho Cucamonga</v>
      </c>
    </row>
    <row r="2012" spans="1:5">
      <c r="A2012" s="3" t="s">
        <v>6465</v>
      </c>
      <c r="B2012" s="110" t="s">
        <v>1321</v>
      </c>
      <c r="C2012" s="111" t="s">
        <v>6466</v>
      </c>
      <c r="D2012" s="111" t="str">
        <f t="shared" ref="D2012:E2012" si="2010">TRIM(B2012)</f>
        <v>California</v>
      </c>
      <c r="E2012" s="111" t="str">
        <f t="shared" si="2010"/>
        <v>Rancho Mirage</v>
      </c>
    </row>
    <row r="2013" spans="1:5">
      <c r="A2013" s="3" t="s">
        <v>6468</v>
      </c>
      <c r="B2013" s="110" t="s">
        <v>1321</v>
      </c>
      <c r="C2013" s="111" t="s">
        <v>6469</v>
      </c>
      <c r="D2013" s="111" t="str">
        <f t="shared" ref="D2013:E2013" si="2011">TRIM(B2013)</f>
        <v>California</v>
      </c>
      <c r="E2013" s="111" t="str">
        <f t="shared" si="2011"/>
        <v>Red Bluff</v>
      </c>
    </row>
    <row r="2014" spans="1:5">
      <c r="A2014" s="3" t="s">
        <v>4620</v>
      </c>
      <c r="B2014" s="110" t="s">
        <v>1321</v>
      </c>
      <c r="C2014" s="111" t="s">
        <v>6471</v>
      </c>
      <c r="D2014" s="111" t="str">
        <f t="shared" ref="D2014:E2014" si="2012">TRIM(B2014)</f>
        <v>California</v>
      </c>
      <c r="E2014" s="111" t="str">
        <f t="shared" si="2012"/>
        <v>Redding</v>
      </c>
    </row>
    <row r="2015" spans="1:5">
      <c r="A2015" s="3" t="s">
        <v>1727</v>
      </c>
      <c r="B2015" s="110" t="s">
        <v>1321</v>
      </c>
      <c r="C2015" s="111" t="s">
        <v>6471</v>
      </c>
      <c r="D2015" s="111" t="str">
        <f t="shared" ref="D2015:E2015" si="2013">TRIM(B2015)</f>
        <v>California</v>
      </c>
      <c r="E2015" s="111" t="str">
        <f t="shared" si="2013"/>
        <v>Redding</v>
      </c>
    </row>
    <row r="2016" spans="1:5">
      <c r="A2016" s="3" t="s">
        <v>6475</v>
      </c>
      <c r="B2016" s="110" t="s">
        <v>1321</v>
      </c>
      <c r="C2016" s="111" t="s">
        <v>6471</v>
      </c>
      <c r="D2016" s="111" t="str">
        <f t="shared" ref="D2016:E2016" si="2014">TRIM(B2016)</f>
        <v>California</v>
      </c>
      <c r="E2016" s="111" t="str">
        <f t="shared" si="2014"/>
        <v>Redding</v>
      </c>
    </row>
    <row r="2017" spans="1:5">
      <c r="A2017" s="110" t="s">
        <v>6476</v>
      </c>
      <c r="B2017" s="110" t="s">
        <v>1321</v>
      </c>
      <c r="C2017" s="111" t="s">
        <v>6471</v>
      </c>
      <c r="D2017" s="111" t="str">
        <f t="shared" ref="D2017:E2017" si="2015">TRIM(B2017)</f>
        <v>California</v>
      </c>
      <c r="E2017" s="111" t="str">
        <f t="shared" si="2015"/>
        <v>Redding</v>
      </c>
    </row>
    <row r="2018" spans="1:5">
      <c r="A2018" s="3" t="s">
        <v>6479</v>
      </c>
      <c r="B2018" s="110" t="s">
        <v>1321</v>
      </c>
      <c r="C2018" s="111" t="s">
        <v>6471</v>
      </c>
      <c r="D2018" s="111" t="str">
        <f t="shared" ref="D2018:E2018" si="2016">TRIM(B2018)</f>
        <v>California</v>
      </c>
      <c r="E2018" s="111" t="str">
        <f t="shared" si="2016"/>
        <v>Redding</v>
      </c>
    </row>
    <row r="2019" spans="1:5">
      <c r="A2019" s="110" t="s">
        <v>6481</v>
      </c>
      <c r="B2019" s="110" t="s">
        <v>1321</v>
      </c>
      <c r="C2019" s="111" t="s">
        <v>6471</v>
      </c>
      <c r="D2019" s="111" t="str">
        <f t="shared" ref="D2019:E2019" si="2017">TRIM(B2019)</f>
        <v>California</v>
      </c>
      <c r="E2019" s="111" t="str">
        <f t="shared" si="2017"/>
        <v>Redding</v>
      </c>
    </row>
    <row r="2020" spans="1:5">
      <c r="A2020" s="3" t="s">
        <v>6485</v>
      </c>
      <c r="B2020" s="110" t="s">
        <v>1321</v>
      </c>
      <c r="C2020" s="111" t="s">
        <v>6487</v>
      </c>
      <c r="D2020" s="111" t="str">
        <f t="shared" ref="D2020:E2020" si="2018">TRIM(B2020)</f>
        <v>California</v>
      </c>
      <c r="E2020" s="111" t="str">
        <f t="shared" si="2018"/>
        <v>Redlands</v>
      </c>
    </row>
    <row r="2021" spans="1:5">
      <c r="A2021" s="110" t="s">
        <v>6488</v>
      </c>
      <c r="B2021" s="110" t="s">
        <v>1321</v>
      </c>
      <c r="C2021" s="111" t="s">
        <v>6487</v>
      </c>
      <c r="D2021" s="111" t="str">
        <f t="shared" ref="D2021:E2021" si="2019">TRIM(B2021)</f>
        <v>California</v>
      </c>
      <c r="E2021" s="111" t="str">
        <f t="shared" si="2019"/>
        <v>Redlands</v>
      </c>
    </row>
    <row r="2022" spans="1:5">
      <c r="A2022" s="3" t="s">
        <v>6492</v>
      </c>
      <c r="B2022" s="110" t="s">
        <v>1321</v>
      </c>
      <c r="C2022" s="111" t="s">
        <v>6487</v>
      </c>
      <c r="D2022" s="111" t="str">
        <f t="shared" ref="D2022:E2022" si="2020">TRIM(B2022)</f>
        <v>California</v>
      </c>
      <c r="E2022" s="111" t="str">
        <f t="shared" si="2020"/>
        <v>Redlands</v>
      </c>
    </row>
    <row r="2023" spans="1:5">
      <c r="A2023" s="3" t="s">
        <v>6493</v>
      </c>
      <c r="B2023" s="110" t="s">
        <v>1321</v>
      </c>
      <c r="C2023" s="111" t="s">
        <v>6487</v>
      </c>
      <c r="D2023" s="111" t="str">
        <f t="shared" ref="D2023:E2023" si="2021">TRIM(B2023)</f>
        <v>California</v>
      </c>
      <c r="E2023" s="111" t="str">
        <f t="shared" si="2021"/>
        <v>Redlands</v>
      </c>
    </row>
    <row r="2024" spans="1:5">
      <c r="A2024" s="3" t="s">
        <v>6495</v>
      </c>
      <c r="B2024" s="110" t="s">
        <v>1321</v>
      </c>
      <c r="C2024" s="111" t="s">
        <v>6496</v>
      </c>
      <c r="D2024" s="111" t="str">
        <f t="shared" ref="D2024:E2024" si="2022">TRIM(B2024)</f>
        <v>California</v>
      </c>
      <c r="E2024" s="111" t="str">
        <f t="shared" si="2022"/>
        <v>Redondo Beach</v>
      </c>
    </row>
    <row r="2025" spans="1:5">
      <c r="A2025" s="3" t="s">
        <v>6499</v>
      </c>
      <c r="B2025" s="110" t="s">
        <v>1321</v>
      </c>
      <c r="C2025" s="111" t="s">
        <v>6500</v>
      </c>
      <c r="D2025" s="111" t="str">
        <f t="shared" ref="D2025:E2025" si="2023">TRIM(B2025)</f>
        <v>California</v>
      </c>
      <c r="E2025" s="111" t="str">
        <f t="shared" si="2023"/>
        <v>Redwood City</v>
      </c>
    </row>
    <row r="2026" spans="1:5">
      <c r="A2026" s="3" t="s">
        <v>6501</v>
      </c>
      <c r="B2026" s="110" t="s">
        <v>1321</v>
      </c>
      <c r="C2026" s="111" t="s">
        <v>6500</v>
      </c>
      <c r="D2026" s="111" t="str">
        <f t="shared" ref="D2026:E2026" si="2024">TRIM(B2026)</f>
        <v>California</v>
      </c>
      <c r="E2026" s="111" t="str">
        <f t="shared" si="2024"/>
        <v>Redwood City</v>
      </c>
    </row>
    <row r="2027" spans="1:5">
      <c r="A2027" s="3" t="s">
        <v>6503</v>
      </c>
      <c r="B2027" s="110" t="s">
        <v>1321</v>
      </c>
      <c r="C2027" s="111" t="s">
        <v>6500</v>
      </c>
      <c r="D2027" s="111" t="str">
        <f t="shared" ref="D2027:E2027" si="2025">TRIM(B2027)</f>
        <v>California</v>
      </c>
      <c r="E2027" s="111" t="str">
        <f t="shared" si="2025"/>
        <v>Redwood City</v>
      </c>
    </row>
    <row r="2028" spans="1:5">
      <c r="A2028" s="3" t="s">
        <v>6505</v>
      </c>
      <c r="B2028" s="110" t="s">
        <v>1321</v>
      </c>
      <c r="C2028" s="111" t="s">
        <v>6500</v>
      </c>
      <c r="D2028" s="111" t="str">
        <f t="shared" ref="D2028:E2028" si="2026">TRIM(B2028)</f>
        <v>California</v>
      </c>
      <c r="E2028" s="111" t="str">
        <f t="shared" si="2026"/>
        <v>Redwood City</v>
      </c>
    </row>
    <row r="2029" spans="1:5">
      <c r="A2029" s="3" t="s">
        <v>6506</v>
      </c>
      <c r="B2029" s="110" t="s">
        <v>1321</v>
      </c>
      <c r="C2029" s="111" t="s">
        <v>6507</v>
      </c>
      <c r="D2029" s="111" t="str">
        <f t="shared" ref="D2029:E2029" si="2027">TRIM(B2029)</f>
        <v>California</v>
      </c>
      <c r="E2029" s="111" t="str">
        <f t="shared" si="2027"/>
        <v>Reedley</v>
      </c>
    </row>
    <row r="2030" spans="1:5">
      <c r="A2030" s="3" t="s">
        <v>6510</v>
      </c>
      <c r="B2030" s="110" t="s">
        <v>1321</v>
      </c>
      <c r="C2030" s="111" t="s">
        <v>6507</v>
      </c>
      <c r="D2030" s="111" t="str">
        <f t="shared" ref="D2030:E2030" si="2028">TRIM(B2030)</f>
        <v>California</v>
      </c>
      <c r="E2030" s="111" t="str">
        <f t="shared" si="2028"/>
        <v>Reedley</v>
      </c>
    </row>
    <row r="2031" spans="1:5">
      <c r="A2031" s="3" t="s">
        <v>6511</v>
      </c>
      <c r="B2031" s="110" t="s">
        <v>1321</v>
      </c>
      <c r="C2031" s="111" t="s">
        <v>6512</v>
      </c>
      <c r="D2031" s="111" t="str">
        <f t="shared" ref="D2031:E2031" si="2029">TRIM(B2031)</f>
        <v>California</v>
      </c>
      <c r="E2031" s="111" t="str">
        <f t="shared" si="2029"/>
        <v>Reseda</v>
      </c>
    </row>
    <row r="2032" spans="1:5">
      <c r="A2032" s="3" t="s">
        <v>6516</v>
      </c>
      <c r="B2032" s="110" t="s">
        <v>1321</v>
      </c>
      <c r="C2032" s="111" t="s">
        <v>6512</v>
      </c>
      <c r="D2032" s="111" t="str">
        <f t="shared" ref="D2032:E2032" si="2030">TRIM(B2032)</f>
        <v>California</v>
      </c>
      <c r="E2032" s="111" t="str">
        <f t="shared" si="2030"/>
        <v>Reseda</v>
      </c>
    </row>
    <row r="2033" spans="1:5">
      <c r="A2033" s="3" t="s">
        <v>6517</v>
      </c>
      <c r="B2033" s="110" t="s">
        <v>1321</v>
      </c>
      <c r="C2033" s="111" t="s">
        <v>6512</v>
      </c>
      <c r="D2033" s="111" t="str">
        <f t="shared" ref="D2033:E2033" si="2031">TRIM(B2033)</f>
        <v>California</v>
      </c>
      <c r="E2033" s="111" t="str">
        <f t="shared" si="2031"/>
        <v>Reseda</v>
      </c>
    </row>
    <row r="2034" spans="1:5">
      <c r="A2034" s="3" t="s">
        <v>6520</v>
      </c>
      <c r="B2034" s="110" t="s">
        <v>1321</v>
      </c>
      <c r="C2034" s="111" t="s">
        <v>6512</v>
      </c>
      <c r="D2034" s="111" t="str">
        <f t="shared" ref="D2034:E2034" si="2032">TRIM(B2034)</f>
        <v>California</v>
      </c>
      <c r="E2034" s="111" t="str">
        <f t="shared" si="2032"/>
        <v>Reseda</v>
      </c>
    </row>
    <row r="2035" spans="1:5">
      <c r="A2035" s="3" t="s">
        <v>6522</v>
      </c>
      <c r="B2035" s="110" t="s">
        <v>1321</v>
      </c>
      <c r="C2035" s="111" t="s">
        <v>6523</v>
      </c>
      <c r="D2035" s="111" t="str">
        <f t="shared" ref="D2035:E2035" si="2033">TRIM(B2035)</f>
        <v>California</v>
      </c>
      <c r="E2035" s="111" t="str">
        <f t="shared" si="2033"/>
        <v>Rialto</v>
      </c>
    </row>
    <row r="2036" spans="1:5">
      <c r="A2036" s="3" t="s">
        <v>6524</v>
      </c>
      <c r="B2036" s="110" t="s">
        <v>1321</v>
      </c>
      <c r="C2036" s="111" t="s">
        <v>6523</v>
      </c>
      <c r="D2036" s="111" t="str">
        <f t="shared" ref="D2036:E2036" si="2034">TRIM(B2036)</f>
        <v>California</v>
      </c>
      <c r="E2036" s="111" t="str">
        <f t="shared" si="2034"/>
        <v>Rialto</v>
      </c>
    </row>
    <row r="2037" spans="1:5">
      <c r="A2037" s="3" t="s">
        <v>6526</v>
      </c>
      <c r="B2037" s="110" t="s">
        <v>1321</v>
      </c>
      <c r="C2037" s="111" t="s">
        <v>6523</v>
      </c>
      <c r="D2037" s="111" t="str">
        <f t="shared" ref="D2037:E2037" si="2035">TRIM(B2037)</f>
        <v>California</v>
      </c>
      <c r="E2037" s="111" t="str">
        <f t="shared" si="2035"/>
        <v>Rialto</v>
      </c>
    </row>
    <row r="2038" spans="1:5">
      <c r="A2038" s="3" t="s">
        <v>6528</v>
      </c>
      <c r="B2038" s="110" t="s">
        <v>1321</v>
      </c>
      <c r="C2038" s="111" t="s">
        <v>657</v>
      </c>
      <c r="D2038" s="111" t="str">
        <f t="shared" ref="D2038:E2038" si="2036">TRIM(B2038)</f>
        <v>California</v>
      </c>
      <c r="E2038" s="111" t="str">
        <f t="shared" si="2036"/>
        <v>Richmond</v>
      </c>
    </row>
    <row r="2039" spans="1:5">
      <c r="A2039" s="3" t="s">
        <v>5072</v>
      </c>
      <c r="B2039" s="110" t="s">
        <v>1321</v>
      </c>
      <c r="C2039" s="111" t="s">
        <v>657</v>
      </c>
      <c r="D2039" s="111" t="str">
        <f t="shared" ref="D2039:E2039" si="2037">TRIM(B2039)</f>
        <v>California</v>
      </c>
      <c r="E2039" s="111" t="str">
        <f t="shared" si="2037"/>
        <v>Richmond</v>
      </c>
    </row>
    <row r="2040" spans="1:5">
      <c r="A2040" s="3" t="s">
        <v>6532</v>
      </c>
      <c r="B2040" s="110" t="s">
        <v>1321</v>
      </c>
      <c r="C2040" s="111" t="s">
        <v>657</v>
      </c>
      <c r="D2040" s="111" t="str">
        <f t="shared" ref="D2040:E2040" si="2038">TRIM(B2040)</f>
        <v>California</v>
      </c>
      <c r="E2040" s="111" t="str">
        <f t="shared" si="2038"/>
        <v>Richmond</v>
      </c>
    </row>
    <row r="2041" spans="1:5">
      <c r="A2041" s="3" t="s">
        <v>6534</v>
      </c>
      <c r="B2041" s="110" t="s">
        <v>1321</v>
      </c>
      <c r="C2041" s="111" t="s">
        <v>657</v>
      </c>
      <c r="D2041" s="111" t="str">
        <f t="shared" ref="D2041:E2041" si="2039">TRIM(B2041)</f>
        <v>California</v>
      </c>
      <c r="E2041" s="111" t="str">
        <f t="shared" si="2039"/>
        <v>Richmond</v>
      </c>
    </row>
    <row r="2042" spans="1:5">
      <c r="A2042" s="110" t="s">
        <v>6535</v>
      </c>
      <c r="B2042" s="110" t="s">
        <v>1321</v>
      </c>
      <c r="C2042" s="111" t="s">
        <v>657</v>
      </c>
      <c r="D2042" s="111" t="str">
        <f t="shared" ref="D2042:E2042" si="2040">TRIM(B2042)</f>
        <v>California</v>
      </c>
      <c r="E2042" s="111" t="str">
        <f t="shared" si="2040"/>
        <v>Richmond</v>
      </c>
    </row>
    <row r="2043" spans="1:5">
      <c r="A2043" s="3" t="s">
        <v>4527</v>
      </c>
      <c r="B2043" s="110" t="s">
        <v>1321</v>
      </c>
      <c r="C2043" s="111" t="s">
        <v>6538</v>
      </c>
      <c r="D2043" s="111" t="str">
        <f t="shared" ref="D2043:E2043" si="2041">TRIM(B2043)</f>
        <v>California</v>
      </c>
      <c r="E2043" s="111" t="str">
        <f t="shared" si="2041"/>
        <v>Ridgecrest</v>
      </c>
    </row>
    <row r="2044" spans="1:5">
      <c r="A2044" s="3" t="s">
        <v>6539</v>
      </c>
      <c r="B2044" s="110" t="s">
        <v>1321</v>
      </c>
      <c r="C2044" s="111" t="s">
        <v>6540</v>
      </c>
      <c r="D2044" s="111" t="str">
        <f t="shared" ref="D2044:E2044" si="2042">TRIM(B2044)</f>
        <v>California</v>
      </c>
      <c r="E2044" s="111" t="str">
        <f t="shared" si="2042"/>
        <v>Rio Linda</v>
      </c>
    </row>
    <row r="2045" spans="1:5">
      <c r="A2045" s="3" t="s">
        <v>6543</v>
      </c>
      <c r="B2045" s="110" t="s">
        <v>1321</v>
      </c>
      <c r="C2045" s="111" t="s">
        <v>6544</v>
      </c>
      <c r="D2045" s="111" t="str">
        <f t="shared" ref="D2045:E2045" si="2043">TRIM(B2045)</f>
        <v>California</v>
      </c>
      <c r="E2045" s="111" t="str">
        <f t="shared" si="2043"/>
        <v>Rio Vista</v>
      </c>
    </row>
    <row r="2046" spans="1:5">
      <c r="A2046" s="3" t="s">
        <v>6546</v>
      </c>
      <c r="B2046" s="110" t="s">
        <v>1321</v>
      </c>
      <c r="C2046" s="111" t="s">
        <v>6547</v>
      </c>
      <c r="D2046" s="111" t="str">
        <f t="shared" ref="D2046:E2046" si="2044">TRIM(B2046)</f>
        <v>California</v>
      </c>
      <c r="E2046" s="111" t="str">
        <f t="shared" si="2044"/>
        <v>Ripon</v>
      </c>
    </row>
    <row r="2047" spans="1:5">
      <c r="A2047" s="3" t="s">
        <v>6549</v>
      </c>
      <c r="B2047" s="110" t="s">
        <v>1321</v>
      </c>
      <c r="C2047" s="111" t="s">
        <v>6550</v>
      </c>
      <c r="D2047" s="111" t="str">
        <f t="shared" ref="D2047:E2047" si="2045">TRIM(B2047)</f>
        <v>California</v>
      </c>
      <c r="E2047" s="111" t="str">
        <f t="shared" si="2045"/>
        <v>Riverbank</v>
      </c>
    </row>
    <row r="2048" spans="1:5">
      <c r="A2048" s="3" t="s">
        <v>6551</v>
      </c>
      <c r="B2048" s="110" t="s">
        <v>1321</v>
      </c>
      <c r="C2048" s="111" t="s">
        <v>6553</v>
      </c>
      <c r="D2048" s="111" t="str">
        <f t="shared" ref="D2048:E2048" si="2046">TRIM(B2048)</f>
        <v>California</v>
      </c>
      <c r="E2048" s="111" t="str">
        <f t="shared" si="2046"/>
        <v>Riverdale</v>
      </c>
    </row>
    <row r="2049" spans="1:5">
      <c r="A2049" s="3" t="s">
        <v>6555</v>
      </c>
      <c r="B2049" s="110" t="s">
        <v>1321</v>
      </c>
      <c r="C2049" s="111" t="s">
        <v>260</v>
      </c>
      <c r="D2049" s="111" t="str">
        <f t="shared" ref="D2049:E2049" si="2047">TRIM(B2049)</f>
        <v>California</v>
      </c>
      <c r="E2049" s="111" t="str">
        <f t="shared" si="2047"/>
        <v>Riverside</v>
      </c>
    </row>
    <row r="2050" spans="1:5">
      <c r="A2050" s="3" t="s">
        <v>6556</v>
      </c>
      <c r="B2050" s="110" t="s">
        <v>1321</v>
      </c>
      <c r="C2050" s="111" t="s">
        <v>260</v>
      </c>
      <c r="D2050" s="111" t="str">
        <f t="shared" ref="D2050:E2050" si="2048">TRIM(B2050)</f>
        <v>California</v>
      </c>
      <c r="E2050" s="111" t="str">
        <f t="shared" si="2048"/>
        <v>Riverside</v>
      </c>
    </row>
    <row r="2051" spans="1:5">
      <c r="A2051" s="3" t="s">
        <v>6560</v>
      </c>
      <c r="B2051" s="110" t="s">
        <v>1321</v>
      </c>
      <c r="C2051" s="111" t="s">
        <v>260</v>
      </c>
      <c r="D2051" s="111" t="str">
        <f t="shared" ref="D2051:E2051" si="2049">TRIM(B2051)</f>
        <v>California</v>
      </c>
      <c r="E2051" s="111" t="str">
        <f t="shared" si="2049"/>
        <v>Riverside</v>
      </c>
    </row>
    <row r="2052" spans="1:5">
      <c r="A2052" s="3" t="s">
        <v>1736</v>
      </c>
      <c r="B2052" s="110" t="s">
        <v>1321</v>
      </c>
      <c r="C2052" s="111" t="s">
        <v>260</v>
      </c>
      <c r="D2052" s="111" t="str">
        <f t="shared" ref="D2052:E2052" si="2050">TRIM(B2052)</f>
        <v>California</v>
      </c>
      <c r="E2052" s="111" t="str">
        <f t="shared" si="2050"/>
        <v>Riverside</v>
      </c>
    </row>
    <row r="2053" spans="1:5">
      <c r="A2053" s="3" t="s">
        <v>6563</v>
      </c>
      <c r="B2053" s="110" t="s">
        <v>1321</v>
      </c>
      <c r="C2053" s="111" t="s">
        <v>260</v>
      </c>
      <c r="D2053" s="111" t="str">
        <f t="shared" ref="D2053:E2053" si="2051">TRIM(B2053)</f>
        <v>California</v>
      </c>
      <c r="E2053" s="111" t="str">
        <f t="shared" si="2051"/>
        <v>Riverside</v>
      </c>
    </row>
    <row r="2054" spans="1:5">
      <c r="A2054" s="3" t="s">
        <v>6564</v>
      </c>
      <c r="B2054" s="110" t="s">
        <v>1321</v>
      </c>
      <c r="C2054" s="111" t="s">
        <v>260</v>
      </c>
      <c r="D2054" s="111" t="str">
        <f t="shared" ref="D2054:E2054" si="2052">TRIM(B2054)</f>
        <v>California</v>
      </c>
      <c r="E2054" s="111" t="str">
        <f t="shared" si="2052"/>
        <v>Riverside</v>
      </c>
    </row>
    <row r="2055" spans="1:5">
      <c r="A2055" s="3" t="s">
        <v>6568</v>
      </c>
      <c r="B2055" s="110" t="s">
        <v>1321</v>
      </c>
      <c r="C2055" s="111" t="s">
        <v>260</v>
      </c>
      <c r="D2055" s="111" t="str">
        <f t="shared" ref="D2055:E2055" si="2053">TRIM(B2055)</f>
        <v>California</v>
      </c>
      <c r="E2055" s="111" t="str">
        <f t="shared" si="2053"/>
        <v>Riverside</v>
      </c>
    </row>
    <row r="2056" spans="1:5">
      <c r="A2056" s="3" t="s">
        <v>6570</v>
      </c>
      <c r="B2056" s="110" t="s">
        <v>1321</v>
      </c>
      <c r="C2056" s="111" t="s">
        <v>260</v>
      </c>
      <c r="D2056" s="111" t="str">
        <f t="shared" ref="D2056:E2056" si="2054">TRIM(B2056)</f>
        <v>California</v>
      </c>
      <c r="E2056" s="111" t="str">
        <f t="shared" si="2054"/>
        <v>Riverside</v>
      </c>
    </row>
    <row r="2057" spans="1:5">
      <c r="A2057" s="3" t="s">
        <v>5560</v>
      </c>
      <c r="B2057" s="110" t="s">
        <v>1321</v>
      </c>
      <c r="C2057" s="111" t="s">
        <v>260</v>
      </c>
      <c r="D2057" s="111" t="str">
        <f t="shared" ref="D2057:E2057" si="2055">TRIM(B2057)</f>
        <v>California</v>
      </c>
      <c r="E2057" s="111" t="str">
        <f t="shared" si="2055"/>
        <v>Riverside</v>
      </c>
    </row>
    <row r="2058" spans="1:5">
      <c r="A2058" s="3" t="s">
        <v>6457</v>
      </c>
      <c r="B2058" s="110" t="s">
        <v>1321</v>
      </c>
      <c r="C2058" s="111" t="s">
        <v>260</v>
      </c>
      <c r="D2058" s="111" t="str">
        <f t="shared" ref="D2058:E2058" si="2056">TRIM(B2058)</f>
        <v>California</v>
      </c>
      <c r="E2058" s="111" t="str">
        <f t="shared" si="2056"/>
        <v>Riverside</v>
      </c>
    </row>
    <row r="2059" spans="1:5">
      <c r="A2059" s="3" t="s">
        <v>6575</v>
      </c>
      <c r="B2059" s="110" t="s">
        <v>1321</v>
      </c>
      <c r="C2059" s="111" t="s">
        <v>260</v>
      </c>
      <c r="D2059" s="111" t="str">
        <f t="shared" ref="D2059:E2059" si="2057">TRIM(B2059)</f>
        <v>California</v>
      </c>
      <c r="E2059" s="111" t="str">
        <f t="shared" si="2057"/>
        <v>Riverside</v>
      </c>
    </row>
    <row r="2060" spans="1:5">
      <c r="A2060" s="3" t="s">
        <v>6576</v>
      </c>
      <c r="B2060" s="110" t="s">
        <v>1321</v>
      </c>
      <c r="C2060" s="111" t="s">
        <v>4273</v>
      </c>
      <c r="D2060" s="111" t="str">
        <f t="shared" ref="D2060:E2060" si="2058">TRIM(B2060)</f>
        <v>California</v>
      </c>
      <c r="E2060" s="111" t="str">
        <f t="shared" si="2058"/>
        <v>Rocklin</v>
      </c>
    </row>
    <row r="2061" spans="1:5">
      <c r="A2061" s="3" t="s">
        <v>6579</v>
      </c>
      <c r="B2061" s="110" t="s">
        <v>1321</v>
      </c>
      <c r="C2061" s="111" t="s">
        <v>4273</v>
      </c>
      <c r="D2061" s="111" t="str">
        <f t="shared" ref="D2061:E2061" si="2059">TRIM(B2061)</f>
        <v>California</v>
      </c>
      <c r="E2061" s="111" t="str">
        <f t="shared" si="2059"/>
        <v>Rocklin</v>
      </c>
    </row>
    <row r="2062" spans="1:5">
      <c r="A2062" s="3" t="s">
        <v>6581</v>
      </c>
      <c r="B2062" s="110" t="s">
        <v>1321</v>
      </c>
      <c r="C2062" s="111" t="s">
        <v>4273</v>
      </c>
      <c r="D2062" s="111" t="str">
        <f t="shared" ref="D2062:E2062" si="2060">TRIM(B2062)</f>
        <v>California</v>
      </c>
      <c r="E2062" s="111" t="str">
        <f t="shared" si="2060"/>
        <v>Rocklin</v>
      </c>
    </row>
    <row r="2063" spans="1:5">
      <c r="A2063" s="3" t="s">
        <v>6583</v>
      </c>
      <c r="B2063" s="110" t="s">
        <v>1321</v>
      </c>
      <c r="C2063" s="111" t="s">
        <v>6585</v>
      </c>
      <c r="D2063" s="111" t="str">
        <f t="shared" ref="D2063:E2063" si="2061">TRIM(B2063)</f>
        <v>California</v>
      </c>
      <c r="E2063" s="111" t="str">
        <f t="shared" si="2061"/>
        <v>Rohnert Park</v>
      </c>
    </row>
    <row r="2064" spans="1:5">
      <c r="A2064" s="3" t="s">
        <v>6587</v>
      </c>
      <c r="B2064" s="110" t="s">
        <v>1321</v>
      </c>
      <c r="C2064" s="111" t="s">
        <v>6585</v>
      </c>
      <c r="D2064" s="111" t="str">
        <f t="shared" ref="D2064:E2064" si="2062">TRIM(B2064)</f>
        <v>California</v>
      </c>
      <c r="E2064" s="111" t="str">
        <f t="shared" si="2062"/>
        <v>Rohnert Park</v>
      </c>
    </row>
    <row r="2065" spans="1:5">
      <c r="A2065" s="3" t="s">
        <v>6588</v>
      </c>
      <c r="B2065" s="110" t="s">
        <v>1321</v>
      </c>
      <c r="C2065" s="113" t="s">
        <v>6590</v>
      </c>
      <c r="D2065" s="111" t="str">
        <f t="shared" ref="D2065:E2065" si="2063">TRIM(B2065)</f>
        <v>California</v>
      </c>
      <c r="E2065" s="111" t="str">
        <f t="shared" si="2063"/>
        <v>Rolling Hills Estates</v>
      </c>
    </row>
    <row r="2066" spans="1:5">
      <c r="A2066" s="3" t="s">
        <v>4519</v>
      </c>
      <c r="B2066" s="110" t="s">
        <v>1321</v>
      </c>
      <c r="C2066" s="111" t="s">
        <v>6592</v>
      </c>
      <c r="D2066" s="111" t="str">
        <f t="shared" ref="D2066:E2066" si="2064">TRIM(B2066)</f>
        <v>California</v>
      </c>
      <c r="E2066" s="111" t="str">
        <f t="shared" si="2064"/>
        <v>Romoland</v>
      </c>
    </row>
    <row r="2067" spans="1:5">
      <c r="A2067" s="3" t="s">
        <v>6594</v>
      </c>
      <c r="B2067" s="110" t="s">
        <v>1321</v>
      </c>
      <c r="C2067" s="111" t="s">
        <v>6596</v>
      </c>
      <c r="D2067" s="111" t="str">
        <f t="shared" ref="D2067:E2067" si="2065">TRIM(B2067)</f>
        <v>California</v>
      </c>
      <c r="E2067" s="111" t="str">
        <f t="shared" si="2065"/>
        <v>Rosamond</v>
      </c>
    </row>
    <row r="2068" spans="1:5">
      <c r="A2068" s="3" t="s">
        <v>6598</v>
      </c>
      <c r="B2068" s="110" t="s">
        <v>1321</v>
      </c>
      <c r="C2068" s="111" t="s">
        <v>6599</v>
      </c>
      <c r="D2068" s="111" t="str">
        <f t="shared" ref="D2068:E2068" si="2066">TRIM(B2068)</f>
        <v>California</v>
      </c>
      <c r="E2068" s="111" t="str">
        <f t="shared" si="2066"/>
        <v>Rosemead</v>
      </c>
    </row>
    <row r="2069" spans="1:5">
      <c r="A2069" s="3" t="s">
        <v>6600</v>
      </c>
      <c r="B2069" s="110" t="s">
        <v>1321</v>
      </c>
      <c r="C2069" s="111" t="s">
        <v>6602</v>
      </c>
      <c r="D2069" s="111" t="str">
        <f t="shared" ref="D2069:E2069" si="2067">TRIM(B2069)</f>
        <v>California</v>
      </c>
      <c r="E2069" s="111" t="str">
        <f t="shared" si="2067"/>
        <v>Roseville</v>
      </c>
    </row>
    <row r="2070" spans="1:5">
      <c r="A2070" s="3" t="s">
        <v>6605</v>
      </c>
      <c r="B2070" s="110" t="s">
        <v>1321</v>
      </c>
      <c r="C2070" s="111" t="s">
        <v>6602</v>
      </c>
      <c r="D2070" s="111" t="str">
        <f t="shared" ref="D2070:E2070" si="2068">TRIM(B2070)</f>
        <v>California</v>
      </c>
      <c r="E2070" s="111" t="str">
        <f t="shared" si="2068"/>
        <v>Roseville</v>
      </c>
    </row>
    <row r="2071" spans="1:5">
      <c r="A2071" s="3" t="s">
        <v>6606</v>
      </c>
      <c r="B2071" s="110" t="s">
        <v>1321</v>
      </c>
      <c r="C2071" s="111" t="s">
        <v>6602</v>
      </c>
      <c r="D2071" s="111" t="str">
        <f t="shared" ref="D2071:E2071" si="2069">TRIM(B2071)</f>
        <v>California</v>
      </c>
      <c r="E2071" s="111" t="str">
        <f t="shared" si="2069"/>
        <v>Roseville</v>
      </c>
    </row>
    <row r="2072" spans="1:5">
      <c r="A2072" s="3" t="s">
        <v>6608</v>
      </c>
      <c r="B2072" s="110" t="s">
        <v>1321</v>
      </c>
      <c r="C2072" s="111" t="s">
        <v>6609</v>
      </c>
      <c r="D2072" s="111" t="str">
        <f t="shared" ref="D2072:E2072" si="2070">TRIM(B2072)</f>
        <v>California</v>
      </c>
      <c r="E2072" s="111" t="str">
        <f t="shared" si="2070"/>
        <v>Rowland Heights</v>
      </c>
    </row>
    <row r="2073" spans="1:5">
      <c r="A2073" s="3" t="s">
        <v>6611</v>
      </c>
      <c r="B2073" s="110" t="s">
        <v>1321</v>
      </c>
      <c r="C2073" s="111" t="s">
        <v>348</v>
      </c>
      <c r="D2073" s="111" t="str">
        <f t="shared" ref="D2073:E2073" si="2071">TRIM(B2073)</f>
        <v>California</v>
      </c>
      <c r="E2073" s="111" t="str">
        <f t="shared" si="2071"/>
        <v>Sacramento</v>
      </c>
    </row>
    <row r="2074" spans="1:5">
      <c r="A2074" s="3" t="s">
        <v>6612</v>
      </c>
      <c r="B2074" s="110" t="s">
        <v>1321</v>
      </c>
      <c r="C2074" s="111" t="s">
        <v>348</v>
      </c>
      <c r="D2074" s="111" t="str">
        <f t="shared" ref="D2074:E2074" si="2072">TRIM(B2074)</f>
        <v>California</v>
      </c>
      <c r="E2074" s="111" t="str">
        <f t="shared" si="2072"/>
        <v>Sacramento</v>
      </c>
    </row>
    <row r="2075" spans="1:5">
      <c r="A2075" s="3" t="s">
        <v>6616</v>
      </c>
      <c r="B2075" s="110" t="s">
        <v>1321</v>
      </c>
      <c r="C2075" s="111" t="s">
        <v>348</v>
      </c>
      <c r="D2075" s="111" t="str">
        <f t="shared" ref="D2075:E2075" si="2073">TRIM(B2075)</f>
        <v>California</v>
      </c>
      <c r="E2075" s="111" t="str">
        <f t="shared" si="2073"/>
        <v>Sacramento</v>
      </c>
    </row>
    <row r="2076" spans="1:5">
      <c r="A2076" s="3" t="s">
        <v>6617</v>
      </c>
      <c r="B2076" s="110" t="s">
        <v>1321</v>
      </c>
      <c r="C2076" s="111" t="s">
        <v>348</v>
      </c>
      <c r="D2076" s="111" t="str">
        <f t="shared" ref="D2076:E2076" si="2074">TRIM(B2076)</f>
        <v>California</v>
      </c>
      <c r="E2076" s="111" t="str">
        <f t="shared" si="2074"/>
        <v>Sacramento</v>
      </c>
    </row>
    <row r="2077" spans="1:5">
      <c r="A2077" s="3" t="s">
        <v>6621</v>
      </c>
      <c r="B2077" s="110" t="s">
        <v>1321</v>
      </c>
      <c r="C2077" s="111" t="s">
        <v>348</v>
      </c>
      <c r="D2077" s="111" t="str">
        <f t="shared" ref="D2077:E2077" si="2075">TRIM(B2077)</f>
        <v>California</v>
      </c>
      <c r="E2077" s="111" t="str">
        <f t="shared" si="2075"/>
        <v>Sacramento</v>
      </c>
    </row>
    <row r="2078" spans="1:5">
      <c r="A2078" s="3" t="s">
        <v>4423</v>
      </c>
      <c r="B2078" s="110" t="s">
        <v>1321</v>
      </c>
      <c r="C2078" s="111" t="s">
        <v>348</v>
      </c>
      <c r="D2078" s="111" t="str">
        <f t="shared" ref="D2078:E2078" si="2076">TRIM(B2078)</f>
        <v>California</v>
      </c>
      <c r="E2078" s="111" t="str">
        <f t="shared" si="2076"/>
        <v>Sacramento</v>
      </c>
    </row>
    <row r="2079" spans="1:5">
      <c r="A2079" s="3" t="s">
        <v>6624</v>
      </c>
      <c r="B2079" s="110" t="s">
        <v>1321</v>
      </c>
      <c r="C2079" s="111" t="s">
        <v>348</v>
      </c>
      <c r="D2079" s="111" t="str">
        <f t="shared" ref="D2079:E2079" si="2077">TRIM(B2079)</f>
        <v>California</v>
      </c>
      <c r="E2079" s="111" t="str">
        <f t="shared" si="2077"/>
        <v>Sacramento</v>
      </c>
    </row>
    <row r="2080" spans="1:5">
      <c r="A2080" s="110" t="s">
        <v>6625</v>
      </c>
      <c r="B2080" s="110" t="s">
        <v>1321</v>
      </c>
      <c r="C2080" s="111" t="s">
        <v>348</v>
      </c>
      <c r="D2080" s="111" t="str">
        <f t="shared" ref="D2080:E2080" si="2078">TRIM(B2080)</f>
        <v>California</v>
      </c>
      <c r="E2080" s="111" t="str">
        <f t="shared" si="2078"/>
        <v>Sacramento</v>
      </c>
    </row>
    <row r="2081" spans="1:5">
      <c r="A2081" s="3" t="s">
        <v>6628</v>
      </c>
      <c r="B2081" s="110" t="s">
        <v>1321</v>
      </c>
      <c r="C2081" s="111" t="s">
        <v>348</v>
      </c>
      <c r="D2081" s="111" t="str">
        <f t="shared" ref="D2081:E2081" si="2079">TRIM(B2081)</f>
        <v>California</v>
      </c>
      <c r="E2081" s="111" t="str">
        <f t="shared" si="2079"/>
        <v>Sacramento</v>
      </c>
    </row>
    <row r="2082" spans="1:5">
      <c r="A2082" s="3" t="s">
        <v>6630</v>
      </c>
      <c r="B2082" s="110" t="s">
        <v>1321</v>
      </c>
      <c r="C2082" s="111" t="s">
        <v>348</v>
      </c>
      <c r="D2082" s="111" t="str">
        <f t="shared" ref="D2082:E2082" si="2080">TRIM(B2082)</f>
        <v>California</v>
      </c>
      <c r="E2082" s="111" t="str">
        <f t="shared" si="2080"/>
        <v>Sacramento</v>
      </c>
    </row>
    <row r="2083" spans="1:5">
      <c r="A2083" s="3" t="s">
        <v>6631</v>
      </c>
      <c r="B2083" s="110" t="s">
        <v>1321</v>
      </c>
      <c r="C2083" s="111" t="s">
        <v>348</v>
      </c>
      <c r="D2083" s="111" t="str">
        <f t="shared" ref="D2083:E2083" si="2081">TRIM(B2083)</f>
        <v>California</v>
      </c>
      <c r="E2083" s="111" t="str">
        <f t="shared" si="2081"/>
        <v>Sacramento</v>
      </c>
    </row>
    <row r="2084" spans="1:5">
      <c r="A2084" s="3" t="s">
        <v>5072</v>
      </c>
      <c r="B2084" s="110" t="s">
        <v>1321</v>
      </c>
      <c r="C2084" s="111" t="s">
        <v>348</v>
      </c>
      <c r="D2084" s="111" t="str">
        <f t="shared" ref="D2084:E2084" si="2082">TRIM(B2084)</f>
        <v>California</v>
      </c>
      <c r="E2084" s="111" t="str">
        <f t="shared" si="2082"/>
        <v>Sacramento</v>
      </c>
    </row>
    <row r="2085" spans="1:5">
      <c r="A2085" s="3" t="s">
        <v>6635</v>
      </c>
      <c r="B2085" s="110" t="s">
        <v>1321</v>
      </c>
      <c r="C2085" s="111" t="s">
        <v>348</v>
      </c>
      <c r="D2085" s="111" t="str">
        <f t="shared" ref="D2085:E2085" si="2083">TRIM(B2085)</f>
        <v>California</v>
      </c>
      <c r="E2085" s="111" t="str">
        <f t="shared" si="2083"/>
        <v>Sacramento</v>
      </c>
    </row>
    <row r="2086" spans="1:5">
      <c r="A2086" s="3" t="s">
        <v>6639</v>
      </c>
      <c r="B2086" s="110" t="s">
        <v>1321</v>
      </c>
      <c r="C2086" s="111" t="s">
        <v>348</v>
      </c>
      <c r="D2086" s="111" t="str">
        <f t="shared" ref="D2086:E2086" si="2084">TRIM(B2086)</f>
        <v>California</v>
      </c>
      <c r="E2086" s="111" t="str">
        <f t="shared" si="2084"/>
        <v>Sacramento</v>
      </c>
    </row>
    <row r="2087" spans="1:5">
      <c r="A2087" s="3" t="s">
        <v>6640</v>
      </c>
      <c r="B2087" s="110" t="s">
        <v>1321</v>
      </c>
      <c r="C2087" s="111" t="s">
        <v>348</v>
      </c>
      <c r="D2087" s="111" t="str">
        <f t="shared" ref="D2087:E2087" si="2085">TRIM(B2087)</f>
        <v>California</v>
      </c>
      <c r="E2087" s="111" t="str">
        <f t="shared" si="2085"/>
        <v>Sacramento</v>
      </c>
    </row>
    <row r="2088" spans="1:5">
      <c r="A2088" s="3" t="s">
        <v>6642</v>
      </c>
      <c r="B2088" s="110" t="s">
        <v>1321</v>
      </c>
      <c r="C2088" s="111" t="s">
        <v>348</v>
      </c>
      <c r="D2088" s="111" t="str">
        <f t="shared" ref="D2088:E2088" si="2086">TRIM(B2088)</f>
        <v>California</v>
      </c>
      <c r="E2088" s="111" t="str">
        <f t="shared" si="2086"/>
        <v>Sacramento</v>
      </c>
    </row>
    <row r="2089" spans="1:5">
      <c r="A2089" s="3" t="s">
        <v>6644</v>
      </c>
      <c r="B2089" s="110" t="s">
        <v>1321</v>
      </c>
      <c r="C2089" s="111" t="s">
        <v>348</v>
      </c>
      <c r="D2089" s="111" t="str">
        <f t="shared" ref="D2089:E2089" si="2087">TRIM(B2089)</f>
        <v>California</v>
      </c>
      <c r="E2089" s="111" t="str">
        <f t="shared" si="2087"/>
        <v>Sacramento</v>
      </c>
    </row>
    <row r="2090" spans="1:5">
      <c r="A2090" s="110" t="s">
        <v>6647</v>
      </c>
      <c r="B2090" s="110" t="s">
        <v>1321</v>
      </c>
      <c r="C2090" s="111" t="s">
        <v>348</v>
      </c>
      <c r="D2090" s="111" t="str">
        <f t="shared" ref="D2090:E2090" si="2088">TRIM(B2090)</f>
        <v>California</v>
      </c>
      <c r="E2090" s="111" t="str">
        <f t="shared" si="2088"/>
        <v>Sacramento</v>
      </c>
    </row>
    <row r="2091" spans="1:5">
      <c r="A2091" s="3" t="s">
        <v>6649</v>
      </c>
      <c r="B2091" s="110" t="s">
        <v>1321</v>
      </c>
      <c r="C2091" s="111" t="s">
        <v>348</v>
      </c>
      <c r="D2091" s="111" t="str">
        <f t="shared" ref="D2091:E2091" si="2089">TRIM(B2091)</f>
        <v>California</v>
      </c>
      <c r="E2091" s="111" t="str">
        <f t="shared" si="2089"/>
        <v>Sacramento</v>
      </c>
    </row>
    <row r="2092" spans="1:5">
      <c r="A2092" s="3" t="s">
        <v>6651</v>
      </c>
      <c r="B2092" s="110" t="s">
        <v>1321</v>
      </c>
      <c r="C2092" s="111" t="s">
        <v>348</v>
      </c>
      <c r="D2092" s="111" t="str">
        <f t="shared" ref="D2092:E2092" si="2090">TRIM(B2092)</f>
        <v>California</v>
      </c>
      <c r="E2092" s="111" t="str">
        <f t="shared" si="2090"/>
        <v>Sacramento</v>
      </c>
    </row>
    <row r="2093" spans="1:5">
      <c r="A2093" s="3" t="s">
        <v>6654</v>
      </c>
      <c r="B2093" s="110" t="s">
        <v>1321</v>
      </c>
      <c r="C2093" s="111" t="s">
        <v>348</v>
      </c>
      <c r="D2093" s="111" t="str">
        <f t="shared" ref="D2093:E2093" si="2091">TRIM(B2093)</f>
        <v>California</v>
      </c>
      <c r="E2093" s="111" t="str">
        <f t="shared" si="2091"/>
        <v>Sacramento</v>
      </c>
    </row>
    <row r="2094" spans="1:5">
      <c r="A2094" s="3" t="s">
        <v>6655</v>
      </c>
      <c r="B2094" s="110" t="s">
        <v>1321</v>
      </c>
      <c r="C2094" s="111" t="s">
        <v>348</v>
      </c>
      <c r="D2094" s="111" t="str">
        <f t="shared" ref="D2094:E2094" si="2092">TRIM(B2094)</f>
        <v>California</v>
      </c>
      <c r="E2094" s="111" t="str">
        <f t="shared" si="2092"/>
        <v>Sacramento</v>
      </c>
    </row>
    <row r="2095" spans="1:5">
      <c r="A2095" s="110" t="s">
        <v>6657</v>
      </c>
      <c r="B2095" s="110" t="s">
        <v>1321</v>
      </c>
      <c r="C2095" s="111" t="s">
        <v>348</v>
      </c>
      <c r="D2095" s="111" t="str">
        <f t="shared" ref="D2095:E2095" si="2093">TRIM(B2095)</f>
        <v>California</v>
      </c>
      <c r="E2095" s="111" t="str">
        <f t="shared" si="2093"/>
        <v>Sacramento</v>
      </c>
    </row>
    <row r="2096" spans="1:5">
      <c r="A2096" s="3" t="s">
        <v>6658</v>
      </c>
      <c r="B2096" s="110" t="s">
        <v>1321</v>
      </c>
      <c r="C2096" s="112" t="s">
        <v>348</v>
      </c>
      <c r="D2096" s="111" t="str">
        <f t="shared" ref="D2096:E2096" si="2094">TRIM(B2096)</f>
        <v>California</v>
      </c>
      <c r="E2096" s="111" t="str">
        <f t="shared" si="2094"/>
        <v>Sacramento</v>
      </c>
    </row>
    <row r="2097" spans="1:5">
      <c r="A2097" s="3" t="s">
        <v>6661</v>
      </c>
      <c r="B2097" s="110" t="s">
        <v>1321</v>
      </c>
      <c r="C2097" s="111" t="s">
        <v>348</v>
      </c>
      <c r="D2097" s="111" t="str">
        <f t="shared" ref="D2097:E2097" si="2095">TRIM(B2097)</f>
        <v>California</v>
      </c>
      <c r="E2097" s="111" t="str">
        <f t="shared" si="2095"/>
        <v>Sacramento</v>
      </c>
    </row>
    <row r="2098" spans="1:5">
      <c r="A2098" s="3" t="s">
        <v>6662</v>
      </c>
      <c r="B2098" s="110" t="s">
        <v>1321</v>
      </c>
      <c r="C2098" s="111" t="s">
        <v>348</v>
      </c>
      <c r="D2098" s="111" t="str">
        <f t="shared" ref="D2098:E2098" si="2096">TRIM(B2098)</f>
        <v>California</v>
      </c>
      <c r="E2098" s="111" t="str">
        <f t="shared" si="2096"/>
        <v>Sacramento</v>
      </c>
    </row>
    <row r="2099" spans="1:5">
      <c r="A2099" s="110" t="s">
        <v>6666</v>
      </c>
      <c r="B2099" s="110" t="s">
        <v>1321</v>
      </c>
      <c r="C2099" s="111" t="s">
        <v>348</v>
      </c>
      <c r="D2099" s="111" t="str">
        <f t="shared" ref="D2099:E2099" si="2097">TRIM(B2099)</f>
        <v>California</v>
      </c>
      <c r="E2099" s="111" t="str">
        <f t="shared" si="2097"/>
        <v>Sacramento</v>
      </c>
    </row>
    <row r="2100" spans="1:5">
      <c r="A2100" s="3" t="s">
        <v>2256</v>
      </c>
      <c r="B2100" s="110" t="s">
        <v>1321</v>
      </c>
      <c r="C2100" s="111" t="s">
        <v>348</v>
      </c>
      <c r="D2100" s="111" t="str">
        <f t="shared" ref="D2100:E2100" si="2098">TRIM(B2100)</f>
        <v>California</v>
      </c>
      <c r="E2100" s="111" t="str">
        <f t="shared" si="2098"/>
        <v>Sacramento</v>
      </c>
    </row>
    <row r="2101" spans="1:5">
      <c r="A2101" s="110" t="s">
        <v>6670</v>
      </c>
      <c r="B2101" s="110" t="s">
        <v>1321</v>
      </c>
      <c r="C2101" s="111" t="s">
        <v>348</v>
      </c>
      <c r="D2101" s="111" t="str">
        <f t="shared" ref="D2101:E2101" si="2099">TRIM(B2101)</f>
        <v>California</v>
      </c>
      <c r="E2101" s="111" t="str">
        <f t="shared" si="2099"/>
        <v>Sacramento</v>
      </c>
    </row>
    <row r="2102" spans="1:5">
      <c r="A2102" s="3" t="s">
        <v>6671</v>
      </c>
      <c r="B2102" s="110" t="s">
        <v>1321</v>
      </c>
      <c r="C2102" s="111" t="s">
        <v>6672</v>
      </c>
      <c r="D2102" s="111" t="str">
        <f t="shared" ref="D2102:E2102" si="2100">TRIM(B2102)</f>
        <v>California</v>
      </c>
      <c r="E2102" s="111" t="str">
        <f t="shared" si="2100"/>
        <v>Salinas</v>
      </c>
    </row>
    <row r="2103" spans="1:5">
      <c r="A2103" s="3" t="s">
        <v>6675</v>
      </c>
      <c r="B2103" s="110" t="s">
        <v>1321</v>
      </c>
      <c r="C2103" s="111" t="s">
        <v>6672</v>
      </c>
      <c r="D2103" s="111" t="str">
        <f t="shared" ref="D2103:E2103" si="2101">TRIM(B2103)</f>
        <v>California</v>
      </c>
      <c r="E2103" s="111" t="str">
        <f t="shared" si="2101"/>
        <v>Salinas</v>
      </c>
    </row>
    <row r="2104" spans="1:5">
      <c r="A2104" s="3" t="s">
        <v>6676</v>
      </c>
      <c r="B2104" s="110" t="s">
        <v>1321</v>
      </c>
      <c r="C2104" s="111" t="s">
        <v>6672</v>
      </c>
      <c r="D2104" s="111" t="str">
        <f t="shared" ref="D2104:E2104" si="2102">TRIM(B2104)</f>
        <v>California</v>
      </c>
      <c r="E2104" s="111" t="str">
        <f t="shared" si="2102"/>
        <v>Salinas</v>
      </c>
    </row>
    <row r="2105" spans="1:5">
      <c r="A2105" s="3" t="s">
        <v>6678</v>
      </c>
      <c r="B2105" s="110" t="s">
        <v>1321</v>
      </c>
      <c r="C2105" s="111" t="s">
        <v>6672</v>
      </c>
      <c r="D2105" s="111" t="str">
        <f t="shared" ref="D2105:E2105" si="2103">TRIM(B2105)</f>
        <v>California</v>
      </c>
      <c r="E2105" s="111" t="str">
        <f t="shared" si="2103"/>
        <v>Salinas</v>
      </c>
    </row>
    <row r="2106" spans="1:5">
      <c r="A2106" s="3" t="s">
        <v>6681</v>
      </c>
      <c r="B2106" s="110" t="s">
        <v>1321</v>
      </c>
      <c r="C2106" s="111" t="s">
        <v>6672</v>
      </c>
      <c r="D2106" s="111" t="str">
        <f t="shared" ref="D2106:E2106" si="2104">TRIM(B2106)</f>
        <v>California</v>
      </c>
      <c r="E2106" s="111" t="str">
        <f t="shared" si="2104"/>
        <v>Salinas</v>
      </c>
    </row>
    <row r="2107" spans="1:5">
      <c r="A2107" s="3" t="s">
        <v>6682</v>
      </c>
      <c r="B2107" s="110" t="s">
        <v>1321</v>
      </c>
      <c r="C2107" s="111" t="s">
        <v>6683</v>
      </c>
      <c r="D2107" s="111" t="str">
        <f t="shared" ref="D2107:E2107" si="2105">TRIM(B2107)</f>
        <v>California</v>
      </c>
      <c r="E2107" s="111" t="str">
        <f t="shared" si="2105"/>
        <v>Salton City</v>
      </c>
    </row>
    <row r="2108" spans="1:5">
      <c r="A2108" s="3" t="s">
        <v>6687</v>
      </c>
      <c r="B2108" s="110" t="s">
        <v>1321</v>
      </c>
      <c r="C2108" s="111" t="s">
        <v>6688</v>
      </c>
      <c r="D2108" s="111" t="str">
        <f t="shared" ref="D2108:E2108" si="2106">TRIM(B2108)</f>
        <v>California</v>
      </c>
      <c r="E2108" s="111" t="str">
        <f t="shared" si="2106"/>
        <v>San Andreas</v>
      </c>
    </row>
    <row r="2109" spans="1:5">
      <c r="A2109" s="3" t="s">
        <v>6689</v>
      </c>
      <c r="B2109" s="110" t="s">
        <v>1321</v>
      </c>
      <c r="C2109" s="111" t="s">
        <v>6690</v>
      </c>
      <c r="D2109" s="111" t="str">
        <f t="shared" ref="D2109:E2109" si="2107">TRIM(B2109)</f>
        <v>California</v>
      </c>
      <c r="E2109" s="111" t="str">
        <f t="shared" si="2107"/>
        <v>San Anselmo</v>
      </c>
    </row>
    <row r="2110" spans="1:5">
      <c r="A2110" s="3" t="s">
        <v>6692</v>
      </c>
      <c r="B2110" s="110" t="s">
        <v>1321</v>
      </c>
      <c r="C2110" s="111" t="s">
        <v>6694</v>
      </c>
      <c r="D2110" s="111" t="str">
        <f t="shared" ref="D2110:E2110" si="2108">TRIM(B2110)</f>
        <v>California</v>
      </c>
      <c r="E2110" s="111" t="str">
        <f t="shared" si="2108"/>
        <v>San Bernardino</v>
      </c>
    </row>
    <row r="2111" spans="1:5">
      <c r="A2111" s="3" t="s">
        <v>6695</v>
      </c>
      <c r="B2111" s="110" t="s">
        <v>1321</v>
      </c>
      <c r="C2111" s="111" t="s">
        <v>6694</v>
      </c>
      <c r="D2111" s="111" t="str">
        <f t="shared" ref="D2111:E2111" si="2109">TRIM(B2111)</f>
        <v>California</v>
      </c>
      <c r="E2111" s="111" t="str">
        <f t="shared" si="2109"/>
        <v>San Bernardino</v>
      </c>
    </row>
    <row r="2112" spans="1:5">
      <c r="A2112" s="3" t="s">
        <v>6698</v>
      </c>
      <c r="B2112" s="110" t="s">
        <v>1321</v>
      </c>
      <c r="C2112" s="111" t="s">
        <v>6694</v>
      </c>
      <c r="D2112" s="111" t="str">
        <f t="shared" ref="D2112:E2112" si="2110">TRIM(B2112)</f>
        <v>California</v>
      </c>
      <c r="E2112" s="111" t="str">
        <f t="shared" si="2110"/>
        <v>San Bernardino</v>
      </c>
    </row>
    <row r="2113" spans="1:5">
      <c r="A2113" s="3" t="s">
        <v>6700</v>
      </c>
      <c r="B2113" s="110" t="s">
        <v>1321</v>
      </c>
      <c r="C2113" s="111" t="s">
        <v>6694</v>
      </c>
      <c r="D2113" s="111" t="str">
        <f t="shared" ref="D2113:E2113" si="2111">TRIM(B2113)</f>
        <v>California</v>
      </c>
      <c r="E2113" s="111" t="str">
        <f t="shared" si="2111"/>
        <v>San Bernardino</v>
      </c>
    </row>
    <row r="2114" spans="1:5">
      <c r="A2114" s="3" t="s">
        <v>6703</v>
      </c>
      <c r="B2114" s="110" t="s">
        <v>1321</v>
      </c>
      <c r="C2114" s="111" t="s">
        <v>6694</v>
      </c>
      <c r="D2114" s="111" t="str">
        <f t="shared" ref="D2114:E2114" si="2112">TRIM(B2114)</f>
        <v>California</v>
      </c>
      <c r="E2114" s="111" t="str">
        <f t="shared" si="2112"/>
        <v>San Bernardino</v>
      </c>
    </row>
    <row r="2115" spans="1:5">
      <c r="A2115" s="3" t="s">
        <v>6705</v>
      </c>
      <c r="B2115" s="110" t="s">
        <v>1321</v>
      </c>
      <c r="C2115" s="111" t="s">
        <v>6694</v>
      </c>
      <c r="D2115" s="111" t="str">
        <f t="shared" ref="D2115:E2115" si="2113">TRIM(B2115)</f>
        <v>California</v>
      </c>
      <c r="E2115" s="111" t="str">
        <f t="shared" si="2113"/>
        <v>San Bernardino</v>
      </c>
    </row>
    <row r="2116" spans="1:5">
      <c r="A2116" s="3" t="s">
        <v>6707</v>
      </c>
      <c r="B2116" s="110" t="s">
        <v>1321</v>
      </c>
      <c r="C2116" s="111" t="s">
        <v>6694</v>
      </c>
      <c r="D2116" s="111" t="str">
        <f t="shared" ref="D2116:E2116" si="2114">TRIM(B2116)</f>
        <v>California</v>
      </c>
      <c r="E2116" s="111" t="str">
        <f t="shared" si="2114"/>
        <v>San Bernardino</v>
      </c>
    </row>
    <row r="2117" spans="1:5">
      <c r="A2117" s="3" t="s">
        <v>6710</v>
      </c>
      <c r="B2117" s="110" t="s">
        <v>1321</v>
      </c>
      <c r="C2117" s="111" t="s">
        <v>6694</v>
      </c>
      <c r="D2117" s="111" t="str">
        <f t="shared" ref="D2117:E2117" si="2115">TRIM(B2117)</f>
        <v>California</v>
      </c>
      <c r="E2117" s="111" t="str">
        <f t="shared" si="2115"/>
        <v>San Bernardino</v>
      </c>
    </row>
    <row r="2118" spans="1:5">
      <c r="A2118" s="3" t="s">
        <v>6711</v>
      </c>
      <c r="B2118" s="110" t="s">
        <v>1321</v>
      </c>
      <c r="C2118" s="111" t="s">
        <v>6713</v>
      </c>
      <c r="D2118" s="111" t="str">
        <f t="shared" ref="D2118:E2118" si="2116">TRIM(B2118)</f>
        <v>California</v>
      </c>
      <c r="E2118" s="111" t="str">
        <f t="shared" si="2116"/>
        <v>San Bruno</v>
      </c>
    </row>
    <row r="2119" spans="1:5">
      <c r="A2119" s="3" t="s">
        <v>6716</v>
      </c>
      <c r="B2119" s="110" t="s">
        <v>1321</v>
      </c>
      <c r="C2119" s="111" t="s">
        <v>6717</v>
      </c>
      <c r="D2119" s="111" t="str">
        <f t="shared" ref="D2119:E2119" si="2117">TRIM(B2119)</f>
        <v>California</v>
      </c>
      <c r="E2119" s="111" t="str">
        <f t="shared" si="2117"/>
        <v>San Clemente</v>
      </c>
    </row>
    <row r="2120" spans="1:5">
      <c r="A2120" s="110" t="s">
        <v>6718</v>
      </c>
      <c r="B2120" s="110" t="s">
        <v>1321</v>
      </c>
      <c r="C2120" s="111" t="s">
        <v>237</v>
      </c>
      <c r="D2120" s="111" t="str">
        <f t="shared" ref="D2120:E2120" si="2118">TRIM(B2120)</f>
        <v>California</v>
      </c>
      <c r="E2120" s="111" t="str">
        <f t="shared" si="2118"/>
        <v>San Diego</v>
      </c>
    </row>
    <row r="2121" spans="1:5">
      <c r="A2121" s="110" t="s">
        <v>6722</v>
      </c>
      <c r="B2121" s="110" t="s">
        <v>1321</v>
      </c>
      <c r="C2121" s="111" t="s">
        <v>237</v>
      </c>
      <c r="D2121" s="111" t="str">
        <f t="shared" ref="D2121:E2121" si="2119">TRIM(B2121)</f>
        <v>California</v>
      </c>
      <c r="E2121" s="111" t="str">
        <f t="shared" si="2119"/>
        <v>San Diego</v>
      </c>
    </row>
    <row r="2122" spans="1:5">
      <c r="A2122" s="110" t="s">
        <v>6723</v>
      </c>
      <c r="B2122" s="110" t="s">
        <v>1321</v>
      </c>
      <c r="C2122" s="111" t="s">
        <v>237</v>
      </c>
      <c r="D2122" s="111" t="str">
        <f t="shared" ref="D2122:E2122" si="2120">TRIM(B2122)</f>
        <v>California</v>
      </c>
      <c r="E2122" s="111" t="str">
        <f t="shared" si="2120"/>
        <v>San Diego</v>
      </c>
    </row>
    <row r="2123" spans="1:5">
      <c r="A2123" s="3" t="s">
        <v>6727</v>
      </c>
      <c r="B2123" s="110" t="s">
        <v>1321</v>
      </c>
      <c r="C2123" s="111" t="s">
        <v>237</v>
      </c>
      <c r="D2123" s="111" t="str">
        <f t="shared" ref="D2123:E2123" si="2121">TRIM(B2123)</f>
        <v>California</v>
      </c>
      <c r="E2123" s="111" t="str">
        <f t="shared" si="2121"/>
        <v>San Diego</v>
      </c>
    </row>
    <row r="2124" spans="1:5">
      <c r="A2124" s="3" t="s">
        <v>6728</v>
      </c>
      <c r="B2124" s="110" t="s">
        <v>1321</v>
      </c>
      <c r="C2124" s="111" t="s">
        <v>237</v>
      </c>
      <c r="D2124" s="111" t="str">
        <f t="shared" ref="D2124:E2124" si="2122">TRIM(B2124)</f>
        <v>California</v>
      </c>
      <c r="E2124" s="111" t="str">
        <f t="shared" si="2122"/>
        <v>San Diego</v>
      </c>
    </row>
    <row r="2125" spans="1:5">
      <c r="A2125" s="3" t="s">
        <v>4780</v>
      </c>
      <c r="B2125" s="110" t="s">
        <v>1321</v>
      </c>
      <c r="C2125" s="111" t="s">
        <v>237</v>
      </c>
      <c r="D2125" s="111" t="str">
        <f t="shared" ref="D2125:E2125" si="2123">TRIM(B2125)</f>
        <v>California</v>
      </c>
      <c r="E2125" s="111" t="str">
        <f t="shared" si="2123"/>
        <v>San Diego</v>
      </c>
    </row>
    <row r="2126" spans="1:5">
      <c r="A2126" s="3" t="s">
        <v>6731</v>
      </c>
      <c r="B2126" s="110" t="s">
        <v>1321</v>
      </c>
      <c r="C2126" s="111" t="s">
        <v>237</v>
      </c>
      <c r="D2126" s="111" t="str">
        <f t="shared" ref="D2126:E2126" si="2124">TRIM(B2126)</f>
        <v>California</v>
      </c>
      <c r="E2126" s="111" t="str">
        <f t="shared" si="2124"/>
        <v>San Diego</v>
      </c>
    </row>
    <row r="2127" spans="1:5">
      <c r="A2127" s="3" t="s">
        <v>6732</v>
      </c>
      <c r="B2127" s="110" t="s">
        <v>1321</v>
      </c>
      <c r="C2127" s="111" t="s">
        <v>237</v>
      </c>
      <c r="D2127" s="111" t="str">
        <f t="shared" ref="D2127:E2127" si="2125">TRIM(B2127)</f>
        <v>California</v>
      </c>
      <c r="E2127" s="111" t="str">
        <f t="shared" si="2125"/>
        <v>San Diego</v>
      </c>
    </row>
    <row r="2128" spans="1:5">
      <c r="A2128" s="110" t="s">
        <v>6736</v>
      </c>
      <c r="B2128" s="110" t="s">
        <v>1321</v>
      </c>
      <c r="C2128" s="111" t="s">
        <v>237</v>
      </c>
      <c r="D2128" s="111" t="str">
        <f t="shared" ref="D2128:E2128" si="2126">TRIM(B2128)</f>
        <v>California</v>
      </c>
      <c r="E2128" s="111" t="str">
        <f t="shared" si="2126"/>
        <v>San Diego</v>
      </c>
    </row>
    <row r="2129" spans="1:5">
      <c r="A2129" s="3" t="s">
        <v>6737</v>
      </c>
      <c r="B2129" s="110" t="s">
        <v>1321</v>
      </c>
      <c r="C2129" s="111" t="s">
        <v>237</v>
      </c>
      <c r="D2129" s="111" t="str">
        <f t="shared" ref="D2129:E2129" si="2127">TRIM(B2129)</f>
        <v>California</v>
      </c>
      <c r="E2129" s="111" t="str">
        <f t="shared" si="2127"/>
        <v>San Diego</v>
      </c>
    </row>
    <row r="2130" spans="1:5">
      <c r="A2130" s="3" t="s">
        <v>6740</v>
      </c>
      <c r="B2130" s="110" t="s">
        <v>1321</v>
      </c>
      <c r="C2130" s="111" t="s">
        <v>237</v>
      </c>
      <c r="D2130" s="111" t="str">
        <f t="shared" ref="D2130:E2130" si="2128">TRIM(B2130)</f>
        <v>California</v>
      </c>
      <c r="E2130" s="111" t="str">
        <f t="shared" si="2128"/>
        <v>San Diego</v>
      </c>
    </row>
    <row r="2131" spans="1:5">
      <c r="A2131" s="3" t="s">
        <v>6742</v>
      </c>
      <c r="B2131" s="110" t="s">
        <v>1321</v>
      </c>
      <c r="C2131" s="111" t="s">
        <v>237</v>
      </c>
      <c r="D2131" s="111" t="str">
        <f t="shared" ref="D2131:E2131" si="2129">TRIM(B2131)</f>
        <v>California</v>
      </c>
      <c r="E2131" s="111" t="str">
        <f t="shared" si="2129"/>
        <v>San Diego</v>
      </c>
    </row>
    <row r="2132" spans="1:5">
      <c r="A2132" s="3" t="s">
        <v>6745</v>
      </c>
      <c r="B2132" s="110" t="s">
        <v>1321</v>
      </c>
      <c r="C2132" s="111" t="s">
        <v>237</v>
      </c>
      <c r="D2132" s="111" t="str">
        <f t="shared" ref="D2132:E2132" si="2130">TRIM(B2132)</f>
        <v>California</v>
      </c>
      <c r="E2132" s="111" t="str">
        <f t="shared" si="2130"/>
        <v>San Diego</v>
      </c>
    </row>
    <row r="2133" spans="1:5">
      <c r="A2133" s="3" t="s">
        <v>6747</v>
      </c>
      <c r="B2133" s="110" t="s">
        <v>1321</v>
      </c>
      <c r="C2133" s="111" t="s">
        <v>237</v>
      </c>
      <c r="D2133" s="111" t="str">
        <f t="shared" ref="D2133:E2133" si="2131">TRIM(B2133)</f>
        <v>California</v>
      </c>
      <c r="E2133" s="111" t="str">
        <f t="shared" si="2131"/>
        <v>San Diego</v>
      </c>
    </row>
    <row r="2134" spans="1:5">
      <c r="A2134" s="3" t="s">
        <v>6750</v>
      </c>
      <c r="B2134" s="110" t="s">
        <v>1321</v>
      </c>
      <c r="C2134" s="111" t="s">
        <v>237</v>
      </c>
      <c r="D2134" s="111" t="str">
        <f t="shared" ref="D2134:E2134" si="2132">TRIM(B2134)</f>
        <v>California</v>
      </c>
      <c r="E2134" s="111" t="str">
        <f t="shared" si="2132"/>
        <v>San Diego</v>
      </c>
    </row>
    <row r="2135" spans="1:5">
      <c r="A2135" s="3" t="s">
        <v>6752</v>
      </c>
      <c r="B2135" s="110" t="s">
        <v>1321</v>
      </c>
      <c r="C2135" s="111" t="s">
        <v>237</v>
      </c>
      <c r="D2135" s="111" t="str">
        <f t="shared" ref="D2135:E2135" si="2133">TRIM(B2135)</f>
        <v>California</v>
      </c>
      <c r="E2135" s="111" t="str">
        <f t="shared" si="2133"/>
        <v>San Diego</v>
      </c>
    </row>
    <row r="2136" spans="1:5">
      <c r="A2136" s="3" t="s">
        <v>1865</v>
      </c>
      <c r="B2136" s="110" t="s">
        <v>1321</v>
      </c>
      <c r="C2136" s="111" t="s">
        <v>237</v>
      </c>
      <c r="D2136" s="111" t="str">
        <f t="shared" ref="D2136:E2136" si="2134">TRIM(B2136)</f>
        <v>California</v>
      </c>
      <c r="E2136" s="111" t="str">
        <f t="shared" si="2134"/>
        <v>San Diego</v>
      </c>
    </row>
    <row r="2137" spans="1:5">
      <c r="A2137" s="110" t="s">
        <v>6756</v>
      </c>
      <c r="B2137" s="110" t="s">
        <v>1321</v>
      </c>
      <c r="C2137" s="111" t="s">
        <v>237</v>
      </c>
      <c r="D2137" s="111" t="str">
        <f t="shared" ref="D2137:E2137" si="2135">TRIM(B2137)</f>
        <v>California</v>
      </c>
      <c r="E2137" s="111" t="str">
        <f t="shared" si="2135"/>
        <v>San Diego</v>
      </c>
    </row>
    <row r="2138" spans="1:5">
      <c r="A2138" s="110" t="s">
        <v>6758</v>
      </c>
      <c r="B2138" s="110" t="s">
        <v>1321</v>
      </c>
      <c r="C2138" s="111" t="s">
        <v>237</v>
      </c>
      <c r="D2138" s="111" t="str">
        <f t="shared" ref="D2138:E2138" si="2136">TRIM(B2138)</f>
        <v>California</v>
      </c>
      <c r="E2138" s="111" t="str">
        <f t="shared" si="2136"/>
        <v>San Diego</v>
      </c>
    </row>
    <row r="2139" spans="1:5">
      <c r="A2139" s="110" t="s">
        <v>6761</v>
      </c>
      <c r="B2139" s="110" t="s">
        <v>1321</v>
      </c>
      <c r="C2139" s="111" t="s">
        <v>237</v>
      </c>
      <c r="D2139" s="111" t="str">
        <f t="shared" ref="D2139:E2139" si="2137">TRIM(B2139)</f>
        <v>California</v>
      </c>
      <c r="E2139" s="111" t="str">
        <f t="shared" si="2137"/>
        <v>San Diego</v>
      </c>
    </row>
    <row r="2140" spans="1:5">
      <c r="A2140" s="110" t="s">
        <v>6763</v>
      </c>
      <c r="B2140" s="110" t="s">
        <v>1321</v>
      </c>
      <c r="C2140" s="111" t="s">
        <v>237</v>
      </c>
      <c r="D2140" s="111" t="str">
        <f t="shared" ref="D2140:E2140" si="2138">TRIM(B2140)</f>
        <v>California</v>
      </c>
      <c r="E2140" s="111" t="str">
        <f t="shared" si="2138"/>
        <v>San Diego</v>
      </c>
    </row>
    <row r="2141" spans="1:5">
      <c r="A2141" s="110" t="s">
        <v>6767</v>
      </c>
      <c r="B2141" s="110" t="s">
        <v>1321</v>
      </c>
      <c r="C2141" s="111" t="s">
        <v>237</v>
      </c>
      <c r="D2141" s="111" t="str">
        <f t="shared" ref="D2141:E2141" si="2139">TRIM(B2141)</f>
        <v>California</v>
      </c>
      <c r="E2141" s="111" t="str">
        <f t="shared" si="2139"/>
        <v>San Diego</v>
      </c>
    </row>
    <row r="2142" spans="1:5">
      <c r="A2142" s="3" t="s">
        <v>6768</v>
      </c>
      <c r="B2142" s="110" t="s">
        <v>1321</v>
      </c>
      <c r="C2142" s="111" t="s">
        <v>237</v>
      </c>
      <c r="D2142" s="111" t="str">
        <f t="shared" ref="D2142:E2142" si="2140">TRIM(B2142)</f>
        <v>California</v>
      </c>
      <c r="E2142" s="111" t="str">
        <f t="shared" si="2140"/>
        <v>San Diego</v>
      </c>
    </row>
    <row r="2143" spans="1:5">
      <c r="A2143" s="3" t="s">
        <v>1925</v>
      </c>
      <c r="B2143" s="110" t="s">
        <v>1321</v>
      </c>
      <c r="C2143" s="112" t="s">
        <v>237</v>
      </c>
      <c r="D2143" s="111" t="str">
        <f t="shared" ref="D2143:E2143" si="2141">TRIM(B2143)</f>
        <v>California</v>
      </c>
      <c r="E2143" s="111" t="str">
        <f t="shared" si="2141"/>
        <v>San Diego</v>
      </c>
    </row>
    <row r="2144" spans="1:5">
      <c r="A2144" s="3" t="s">
        <v>6772</v>
      </c>
      <c r="B2144" s="110" t="s">
        <v>1321</v>
      </c>
      <c r="C2144" s="111" t="s">
        <v>237</v>
      </c>
      <c r="D2144" s="111" t="str">
        <f t="shared" ref="D2144:E2144" si="2142">TRIM(B2144)</f>
        <v>California</v>
      </c>
      <c r="E2144" s="111" t="str">
        <f t="shared" si="2142"/>
        <v>San Diego</v>
      </c>
    </row>
    <row r="2145" spans="1:5">
      <c r="A2145" s="3" t="s">
        <v>6776</v>
      </c>
      <c r="B2145" s="110" t="s">
        <v>1321</v>
      </c>
      <c r="C2145" s="111" t="s">
        <v>237</v>
      </c>
      <c r="D2145" s="111" t="str">
        <f t="shared" ref="D2145:E2145" si="2143">TRIM(B2145)</f>
        <v>California</v>
      </c>
      <c r="E2145" s="111" t="str">
        <f t="shared" si="2143"/>
        <v>San Diego</v>
      </c>
    </row>
    <row r="2146" spans="1:5">
      <c r="A2146" s="110" t="s">
        <v>6777</v>
      </c>
      <c r="B2146" s="110" t="s">
        <v>1321</v>
      </c>
      <c r="C2146" s="111" t="s">
        <v>237</v>
      </c>
      <c r="D2146" s="111" t="str">
        <f t="shared" ref="D2146:E2146" si="2144">TRIM(B2146)</f>
        <v>California</v>
      </c>
      <c r="E2146" s="111" t="str">
        <f t="shared" si="2144"/>
        <v>San Diego</v>
      </c>
    </row>
    <row r="2147" spans="1:5">
      <c r="A2147" s="3" t="s">
        <v>6781</v>
      </c>
      <c r="B2147" s="110" t="s">
        <v>1321</v>
      </c>
      <c r="C2147" s="111" t="s">
        <v>237</v>
      </c>
      <c r="D2147" s="111" t="str">
        <f t="shared" ref="D2147:E2147" si="2145">TRIM(B2147)</f>
        <v>California</v>
      </c>
      <c r="E2147" s="111" t="str">
        <f t="shared" si="2145"/>
        <v>San Diego</v>
      </c>
    </row>
    <row r="2148" spans="1:5">
      <c r="A2148" s="3" t="s">
        <v>6782</v>
      </c>
      <c r="B2148" s="110" t="s">
        <v>1321</v>
      </c>
      <c r="C2148" s="111" t="s">
        <v>237</v>
      </c>
      <c r="D2148" s="111" t="str">
        <f t="shared" ref="D2148:E2148" si="2146">TRIM(B2148)</f>
        <v>California</v>
      </c>
      <c r="E2148" s="111" t="str">
        <f t="shared" si="2146"/>
        <v>San Diego</v>
      </c>
    </row>
    <row r="2149" spans="1:5">
      <c r="A2149" s="3" t="s">
        <v>6785</v>
      </c>
      <c r="B2149" s="110" t="s">
        <v>1321</v>
      </c>
      <c r="C2149" s="111" t="s">
        <v>237</v>
      </c>
      <c r="D2149" s="111" t="str">
        <f t="shared" ref="D2149:E2149" si="2147">TRIM(B2149)</f>
        <v>California</v>
      </c>
      <c r="E2149" s="111" t="str">
        <f t="shared" si="2147"/>
        <v>San Diego</v>
      </c>
    </row>
    <row r="2150" spans="1:5">
      <c r="A2150" s="3" t="s">
        <v>6787</v>
      </c>
      <c r="B2150" s="110" t="s">
        <v>1321</v>
      </c>
      <c r="C2150" s="111" t="s">
        <v>237</v>
      </c>
      <c r="D2150" s="111" t="str">
        <f t="shared" ref="D2150:E2150" si="2148">TRIM(B2150)</f>
        <v>California</v>
      </c>
      <c r="E2150" s="111" t="str">
        <f t="shared" si="2148"/>
        <v>San Diego</v>
      </c>
    </row>
    <row r="2151" spans="1:5">
      <c r="A2151" s="3" t="s">
        <v>6790</v>
      </c>
      <c r="B2151" s="110" t="s">
        <v>1321</v>
      </c>
      <c r="C2151" s="111" t="s">
        <v>237</v>
      </c>
      <c r="D2151" s="111" t="str">
        <f t="shared" ref="D2151:E2151" si="2149">TRIM(B2151)</f>
        <v>California</v>
      </c>
      <c r="E2151" s="111" t="str">
        <f t="shared" si="2149"/>
        <v>San Diego</v>
      </c>
    </row>
    <row r="2152" spans="1:5">
      <c r="A2152" s="3" t="s">
        <v>6792</v>
      </c>
      <c r="B2152" s="110" t="s">
        <v>1321</v>
      </c>
      <c r="C2152" s="111" t="s">
        <v>237</v>
      </c>
      <c r="D2152" s="111" t="str">
        <f t="shared" ref="D2152:E2152" si="2150">TRIM(B2152)</f>
        <v>California</v>
      </c>
      <c r="E2152" s="111" t="str">
        <f t="shared" si="2150"/>
        <v>San Diego</v>
      </c>
    </row>
    <row r="2153" spans="1:5">
      <c r="A2153" s="110" t="s">
        <v>6795</v>
      </c>
      <c r="B2153" s="110" t="s">
        <v>1321</v>
      </c>
      <c r="C2153" s="111" t="s">
        <v>237</v>
      </c>
      <c r="D2153" s="111" t="str">
        <f t="shared" ref="D2153:E2153" si="2151">TRIM(B2153)</f>
        <v>California</v>
      </c>
      <c r="E2153" s="111" t="str">
        <f t="shared" si="2151"/>
        <v>San Diego</v>
      </c>
    </row>
    <row r="2154" spans="1:5">
      <c r="A2154" s="110" t="s">
        <v>6797</v>
      </c>
      <c r="B2154" s="110" t="s">
        <v>1321</v>
      </c>
      <c r="C2154" s="111" t="s">
        <v>237</v>
      </c>
      <c r="D2154" s="111" t="str">
        <f t="shared" ref="D2154:E2154" si="2152">TRIM(B2154)</f>
        <v>California</v>
      </c>
      <c r="E2154" s="111" t="str">
        <f t="shared" si="2152"/>
        <v>San Diego</v>
      </c>
    </row>
    <row r="2155" spans="1:5">
      <c r="A2155" s="110" t="s">
        <v>6799</v>
      </c>
      <c r="B2155" s="110" t="s">
        <v>1321</v>
      </c>
      <c r="C2155" s="111" t="s">
        <v>237</v>
      </c>
      <c r="D2155" s="111" t="str">
        <f t="shared" ref="D2155:E2155" si="2153">TRIM(B2155)</f>
        <v>California</v>
      </c>
      <c r="E2155" s="111" t="str">
        <f t="shared" si="2153"/>
        <v>San Diego</v>
      </c>
    </row>
    <row r="2156" spans="1:5">
      <c r="A2156" s="110" t="s">
        <v>6802</v>
      </c>
      <c r="B2156" s="110" t="s">
        <v>1321</v>
      </c>
      <c r="C2156" s="111" t="s">
        <v>237</v>
      </c>
      <c r="D2156" s="111" t="str">
        <f t="shared" ref="D2156:E2156" si="2154">TRIM(B2156)</f>
        <v>California</v>
      </c>
      <c r="E2156" s="111" t="str">
        <f t="shared" si="2154"/>
        <v>San Diego</v>
      </c>
    </row>
    <row r="2157" spans="1:5">
      <c r="A2157" s="3" t="s">
        <v>6803</v>
      </c>
      <c r="B2157" s="110" t="s">
        <v>1321</v>
      </c>
      <c r="C2157" s="111" t="s">
        <v>237</v>
      </c>
      <c r="D2157" s="111" t="str">
        <f t="shared" ref="D2157:E2157" si="2155">TRIM(B2157)</f>
        <v>California</v>
      </c>
      <c r="E2157" s="111" t="str">
        <f t="shared" si="2155"/>
        <v>San Diego</v>
      </c>
    </row>
    <row r="2158" spans="1:5">
      <c r="A2158" s="110" t="s">
        <v>6807</v>
      </c>
      <c r="B2158" s="110" t="s">
        <v>1321</v>
      </c>
      <c r="C2158" s="111" t="s">
        <v>237</v>
      </c>
      <c r="D2158" s="111" t="str">
        <f t="shared" ref="D2158:E2158" si="2156">TRIM(B2158)</f>
        <v>California</v>
      </c>
      <c r="E2158" s="111" t="str">
        <f t="shared" si="2156"/>
        <v>San Diego</v>
      </c>
    </row>
    <row r="2159" spans="1:5">
      <c r="A2159" s="3" t="s">
        <v>6808</v>
      </c>
      <c r="B2159" s="110" t="s">
        <v>1321</v>
      </c>
      <c r="C2159" s="111" t="s">
        <v>237</v>
      </c>
      <c r="D2159" s="111" t="str">
        <f t="shared" ref="D2159:E2159" si="2157">TRIM(B2159)</f>
        <v>California</v>
      </c>
      <c r="E2159" s="111" t="str">
        <f t="shared" si="2157"/>
        <v>San Diego</v>
      </c>
    </row>
    <row r="2160" spans="1:5">
      <c r="A2160" s="3" t="s">
        <v>6812</v>
      </c>
      <c r="B2160" s="110" t="s">
        <v>1321</v>
      </c>
      <c r="C2160" s="111" t="s">
        <v>237</v>
      </c>
      <c r="D2160" s="111" t="str">
        <f t="shared" ref="D2160:E2160" si="2158">TRIM(B2160)</f>
        <v>California</v>
      </c>
      <c r="E2160" s="111" t="str">
        <f t="shared" si="2158"/>
        <v>San Diego</v>
      </c>
    </row>
    <row r="2161" spans="1:5">
      <c r="A2161" s="3" t="s">
        <v>6813</v>
      </c>
      <c r="B2161" s="110" t="s">
        <v>1321</v>
      </c>
      <c r="C2161" s="111" t="s">
        <v>237</v>
      </c>
      <c r="D2161" s="111" t="str">
        <f t="shared" ref="D2161:E2161" si="2159">TRIM(B2161)</f>
        <v>California</v>
      </c>
      <c r="E2161" s="111" t="str">
        <f t="shared" si="2159"/>
        <v>San Diego</v>
      </c>
    </row>
    <row r="2162" spans="1:5">
      <c r="A2162" s="3" t="s">
        <v>6815</v>
      </c>
      <c r="B2162" s="110" t="s">
        <v>1321</v>
      </c>
      <c r="C2162" s="111" t="s">
        <v>237</v>
      </c>
      <c r="D2162" s="111" t="str">
        <f t="shared" ref="D2162:E2162" si="2160">TRIM(B2162)</f>
        <v>California</v>
      </c>
      <c r="E2162" s="111" t="str">
        <f t="shared" si="2160"/>
        <v>San Diego</v>
      </c>
    </row>
    <row r="2163" spans="1:5">
      <c r="A2163" s="110" t="s">
        <v>6817</v>
      </c>
      <c r="B2163" s="110" t="s">
        <v>1321</v>
      </c>
      <c r="C2163" s="111" t="s">
        <v>237</v>
      </c>
      <c r="D2163" s="111" t="str">
        <f t="shared" ref="D2163:E2163" si="2161">TRIM(B2163)</f>
        <v>California</v>
      </c>
      <c r="E2163" s="111" t="str">
        <f t="shared" si="2161"/>
        <v>San Diego</v>
      </c>
    </row>
    <row r="2164" spans="1:5">
      <c r="A2164" s="3" t="s">
        <v>2466</v>
      </c>
      <c r="B2164" s="110" t="s">
        <v>1321</v>
      </c>
      <c r="C2164" s="111" t="s">
        <v>237</v>
      </c>
      <c r="D2164" s="111" t="str">
        <f t="shared" ref="D2164:E2164" si="2162">TRIM(B2164)</f>
        <v>California</v>
      </c>
      <c r="E2164" s="111" t="str">
        <f t="shared" si="2162"/>
        <v>San Diego</v>
      </c>
    </row>
    <row r="2165" spans="1:5">
      <c r="A2165" s="3" t="s">
        <v>6820</v>
      </c>
      <c r="B2165" s="110" t="s">
        <v>1321</v>
      </c>
      <c r="C2165" s="111" t="s">
        <v>6821</v>
      </c>
      <c r="D2165" s="111" t="str">
        <f t="shared" ref="D2165:E2165" si="2163">TRIM(B2165)</f>
        <v>California</v>
      </c>
      <c r="E2165" s="111" t="str">
        <f t="shared" si="2163"/>
        <v>San Dimas</v>
      </c>
    </row>
    <row r="2166" spans="1:5">
      <c r="A2166" s="3" t="s">
        <v>6822</v>
      </c>
      <c r="B2166" s="110" t="s">
        <v>1321</v>
      </c>
      <c r="C2166" s="111" t="s">
        <v>6821</v>
      </c>
      <c r="D2166" s="111" t="str">
        <f t="shared" ref="D2166:E2166" si="2164">TRIM(B2166)</f>
        <v>California</v>
      </c>
      <c r="E2166" s="111" t="str">
        <f t="shared" si="2164"/>
        <v>San Dimas</v>
      </c>
    </row>
    <row r="2167" spans="1:5">
      <c r="A2167" s="3" t="s">
        <v>6824</v>
      </c>
      <c r="B2167" s="110" t="s">
        <v>1321</v>
      </c>
      <c r="C2167" s="111" t="s">
        <v>6826</v>
      </c>
      <c r="D2167" s="111" t="str">
        <f t="shared" ref="D2167:E2167" si="2165">TRIM(B2167)</f>
        <v>California</v>
      </c>
      <c r="E2167" s="111" t="str">
        <f t="shared" si="2165"/>
        <v>San Fernando</v>
      </c>
    </row>
    <row r="2168" spans="1:5">
      <c r="A2168" s="3" t="s">
        <v>6827</v>
      </c>
      <c r="B2168" s="110" t="s">
        <v>1321</v>
      </c>
      <c r="C2168" s="111" t="s">
        <v>6826</v>
      </c>
      <c r="D2168" s="111" t="str">
        <f t="shared" ref="D2168:E2168" si="2166">TRIM(B2168)</f>
        <v>California</v>
      </c>
      <c r="E2168" s="111" t="str">
        <f t="shared" si="2166"/>
        <v>San Fernando</v>
      </c>
    </row>
    <row r="2169" spans="1:5">
      <c r="A2169" s="3" t="s">
        <v>6829</v>
      </c>
      <c r="B2169" s="110" t="s">
        <v>1321</v>
      </c>
      <c r="C2169" s="111" t="s">
        <v>6826</v>
      </c>
      <c r="D2169" s="111" t="str">
        <f t="shared" ref="D2169:E2169" si="2167">TRIM(B2169)</f>
        <v>California</v>
      </c>
      <c r="E2169" s="111" t="str">
        <f t="shared" si="2167"/>
        <v>San Fernando</v>
      </c>
    </row>
    <row r="2170" spans="1:5">
      <c r="A2170" s="3" t="s">
        <v>6831</v>
      </c>
      <c r="B2170" s="110" t="s">
        <v>1321</v>
      </c>
      <c r="C2170" s="111" t="s">
        <v>6826</v>
      </c>
      <c r="D2170" s="111" t="str">
        <f t="shared" ref="D2170:E2170" si="2168">TRIM(B2170)</f>
        <v>California</v>
      </c>
      <c r="E2170" s="111" t="str">
        <f t="shared" si="2168"/>
        <v>San Fernando</v>
      </c>
    </row>
    <row r="2171" spans="1:5">
      <c r="A2171" s="3" t="s">
        <v>6833</v>
      </c>
      <c r="B2171" s="110" t="s">
        <v>1321</v>
      </c>
      <c r="C2171" s="111" t="s">
        <v>6826</v>
      </c>
      <c r="D2171" s="111" t="str">
        <f t="shared" ref="D2171:E2171" si="2169">TRIM(B2171)</f>
        <v>California</v>
      </c>
      <c r="E2171" s="111" t="str">
        <f t="shared" si="2169"/>
        <v>San Fernando</v>
      </c>
    </row>
    <row r="2172" spans="1:5">
      <c r="A2172" s="3" t="s">
        <v>6836</v>
      </c>
      <c r="B2172" s="110" t="s">
        <v>1321</v>
      </c>
      <c r="C2172" s="111" t="s">
        <v>424</v>
      </c>
      <c r="D2172" s="111" t="str">
        <f t="shared" ref="D2172:E2172" si="2170">TRIM(B2172)</f>
        <v>California</v>
      </c>
      <c r="E2172" s="111" t="str">
        <f t="shared" si="2170"/>
        <v>San Francisco</v>
      </c>
    </row>
    <row r="2173" spans="1:5">
      <c r="A2173" s="3" t="s">
        <v>6838</v>
      </c>
      <c r="B2173" s="110" t="s">
        <v>1321</v>
      </c>
      <c r="C2173" s="111" t="s">
        <v>424</v>
      </c>
      <c r="D2173" s="111" t="str">
        <f t="shared" ref="D2173:E2173" si="2171">TRIM(B2173)</f>
        <v>California</v>
      </c>
      <c r="E2173" s="111" t="str">
        <f t="shared" si="2171"/>
        <v>San Francisco</v>
      </c>
    </row>
    <row r="2174" spans="1:5">
      <c r="A2174" s="3" t="s">
        <v>6842</v>
      </c>
      <c r="B2174" s="110" t="s">
        <v>1321</v>
      </c>
      <c r="C2174" s="111" t="s">
        <v>424</v>
      </c>
      <c r="D2174" s="111" t="str">
        <f t="shared" ref="D2174:E2174" si="2172">TRIM(B2174)</f>
        <v>California</v>
      </c>
      <c r="E2174" s="111" t="str">
        <f t="shared" si="2172"/>
        <v>San Francisco</v>
      </c>
    </row>
    <row r="2175" spans="1:5">
      <c r="A2175" s="110" t="s">
        <v>6843</v>
      </c>
      <c r="B2175" s="110" t="s">
        <v>1321</v>
      </c>
      <c r="C2175" s="111" t="s">
        <v>424</v>
      </c>
      <c r="D2175" s="111" t="str">
        <f t="shared" ref="D2175:E2175" si="2173">TRIM(B2175)</f>
        <v>California</v>
      </c>
      <c r="E2175" s="111" t="str">
        <f t="shared" si="2173"/>
        <v>San Francisco</v>
      </c>
    </row>
    <row r="2176" spans="1:5">
      <c r="A2176" s="3" t="s">
        <v>6846</v>
      </c>
      <c r="B2176" s="110" t="s">
        <v>1321</v>
      </c>
      <c r="C2176" s="111" t="s">
        <v>424</v>
      </c>
      <c r="D2176" s="111" t="str">
        <f t="shared" ref="D2176:E2176" si="2174">TRIM(B2176)</f>
        <v>California</v>
      </c>
      <c r="E2176" s="111" t="str">
        <f t="shared" si="2174"/>
        <v>San Francisco</v>
      </c>
    </row>
    <row r="2177" spans="1:5">
      <c r="A2177" s="3" t="s">
        <v>6848</v>
      </c>
      <c r="B2177" s="110" t="s">
        <v>1321</v>
      </c>
      <c r="C2177" s="111" t="s">
        <v>424</v>
      </c>
      <c r="D2177" s="111" t="str">
        <f t="shared" ref="D2177:E2177" si="2175">TRIM(B2177)</f>
        <v>California</v>
      </c>
      <c r="E2177" s="111" t="str">
        <f t="shared" si="2175"/>
        <v>San Francisco</v>
      </c>
    </row>
    <row r="2178" spans="1:5">
      <c r="A2178" s="3" t="s">
        <v>6850</v>
      </c>
      <c r="B2178" s="110" t="s">
        <v>1321</v>
      </c>
      <c r="C2178" s="111" t="s">
        <v>424</v>
      </c>
      <c r="D2178" s="111" t="str">
        <f t="shared" ref="D2178:E2178" si="2176">TRIM(B2178)</f>
        <v>California</v>
      </c>
      <c r="E2178" s="111" t="str">
        <f t="shared" si="2176"/>
        <v>San Francisco</v>
      </c>
    </row>
    <row r="2179" spans="1:5">
      <c r="A2179" s="110" t="s">
        <v>6852</v>
      </c>
      <c r="B2179" s="110" t="s">
        <v>1321</v>
      </c>
      <c r="C2179" s="111" t="s">
        <v>424</v>
      </c>
      <c r="D2179" s="111" t="str">
        <f t="shared" ref="D2179:E2179" si="2177">TRIM(B2179)</f>
        <v>California</v>
      </c>
      <c r="E2179" s="111" t="str">
        <f t="shared" si="2177"/>
        <v>San Francisco</v>
      </c>
    </row>
    <row r="2180" spans="1:5">
      <c r="A2180" s="3" t="s">
        <v>6854</v>
      </c>
      <c r="B2180" s="110" t="s">
        <v>1321</v>
      </c>
      <c r="C2180" s="111" t="s">
        <v>424</v>
      </c>
      <c r="D2180" s="111" t="str">
        <f t="shared" ref="D2180:E2180" si="2178">TRIM(B2180)</f>
        <v>California</v>
      </c>
      <c r="E2180" s="111" t="str">
        <f t="shared" si="2178"/>
        <v>San Francisco</v>
      </c>
    </row>
    <row r="2181" spans="1:5">
      <c r="A2181" s="3" t="s">
        <v>6857</v>
      </c>
      <c r="B2181" s="110" t="s">
        <v>1321</v>
      </c>
      <c r="C2181" s="111" t="s">
        <v>424</v>
      </c>
      <c r="D2181" s="111" t="str">
        <f t="shared" ref="D2181:E2181" si="2179">TRIM(B2181)</f>
        <v>California</v>
      </c>
      <c r="E2181" s="111" t="str">
        <f t="shared" si="2179"/>
        <v>San Francisco</v>
      </c>
    </row>
    <row r="2182" spans="1:5">
      <c r="A2182" s="3" t="s">
        <v>6858</v>
      </c>
      <c r="B2182" s="110" t="s">
        <v>1321</v>
      </c>
      <c r="C2182" s="111" t="s">
        <v>424</v>
      </c>
      <c r="D2182" s="111" t="str">
        <f t="shared" ref="D2182:E2182" si="2180">TRIM(B2182)</f>
        <v>California</v>
      </c>
      <c r="E2182" s="111" t="str">
        <f t="shared" si="2180"/>
        <v>San Francisco</v>
      </c>
    </row>
    <row r="2183" spans="1:5">
      <c r="A2183" s="3" t="s">
        <v>6860</v>
      </c>
      <c r="B2183" s="110" t="s">
        <v>1321</v>
      </c>
      <c r="C2183" s="111" t="s">
        <v>424</v>
      </c>
      <c r="D2183" s="111" t="str">
        <f t="shared" ref="D2183:E2183" si="2181">TRIM(B2183)</f>
        <v>California</v>
      </c>
      <c r="E2183" s="111" t="str">
        <f t="shared" si="2181"/>
        <v>San Francisco</v>
      </c>
    </row>
    <row r="2184" spans="1:5">
      <c r="A2184" s="3" t="s">
        <v>6862</v>
      </c>
      <c r="B2184" s="110" t="s">
        <v>1321</v>
      </c>
      <c r="C2184" s="111" t="s">
        <v>424</v>
      </c>
      <c r="D2184" s="111" t="str">
        <f t="shared" ref="D2184:E2184" si="2182">TRIM(B2184)</f>
        <v>California</v>
      </c>
      <c r="E2184" s="111" t="str">
        <f t="shared" si="2182"/>
        <v>San Francisco</v>
      </c>
    </row>
    <row r="2185" spans="1:5">
      <c r="A2185" s="3" t="s">
        <v>6864</v>
      </c>
      <c r="B2185" s="110" t="s">
        <v>1321</v>
      </c>
      <c r="C2185" s="111" t="s">
        <v>424</v>
      </c>
      <c r="D2185" s="111" t="str">
        <f t="shared" ref="D2185:E2185" si="2183">TRIM(B2185)</f>
        <v>California</v>
      </c>
      <c r="E2185" s="111" t="str">
        <f t="shared" si="2183"/>
        <v>San Francisco</v>
      </c>
    </row>
    <row r="2186" spans="1:5">
      <c r="A2186" s="3" t="s">
        <v>6866</v>
      </c>
      <c r="B2186" s="110" t="s">
        <v>1321</v>
      </c>
      <c r="C2186" s="111" t="s">
        <v>424</v>
      </c>
      <c r="D2186" s="111" t="str">
        <f t="shared" ref="D2186:E2186" si="2184">TRIM(B2186)</f>
        <v>California</v>
      </c>
      <c r="E2186" s="111" t="str">
        <f t="shared" si="2184"/>
        <v>San Francisco</v>
      </c>
    </row>
    <row r="2187" spans="1:5">
      <c r="A2187" s="3" t="s">
        <v>6868</v>
      </c>
      <c r="B2187" s="110" t="s">
        <v>1321</v>
      </c>
      <c r="C2187" s="111" t="s">
        <v>424</v>
      </c>
      <c r="D2187" s="111" t="str">
        <f t="shared" ref="D2187:E2187" si="2185">TRIM(B2187)</f>
        <v>California</v>
      </c>
      <c r="E2187" s="111" t="str">
        <f t="shared" si="2185"/>
        <v>San Francisco</v>
      </c>
    </row>
    <row r="2188" spans="1:5">
      <c r="A2188" s="3" t="s">
        <v>6871</v>
      </c>
      <c r="B2188" s="110" t="s">
        <v>1321</v>
      </c>
      <c r="C2188" s="111" t="s">
        <v>424</v>
      </c>
      <c r="D2188" s="111" t="str">
        <f t="shared" ref="D2188:E2188" si="2186">TRIM(B2188)</f>
        <v>California</v>
      </c>
      <c r="E2188" s="111" t="str">
        <f t="shared" si="2186"/>
        <v>San Francisco</v>
      </c>
    </row>
    <row r="2189" spans="1:5">
      <c r="A2189" s="3" t="s">
        <v>6875</v>
      </c>
      <c r="B2189" s="110" t="s">
        <v>1321</v>
      </c>
      <c r="C2189" s="111" t="s">
        <v>6876</v>
      </c>
      <c r="D2189" s="111" t="str">
        <f t="shared" ref="D2189:E2189" si="2187">TRIM(B2189)</f>
        <v>California</v>
      </c>
      <c r="E2189" s="111" t="str">
        <f t="shared" si="2187"/>
        <v>San Gabriel</v>
      </c>
    </row>
    <row r="2190" spans="1:5">
      <c r="A2190" s="3" t="s">
        <v>6877</v>
      </c>
      <c r="B2190" s="110" t="s">
        <v>1321</v>
      </c>
      <c r="C2190" s="111" t="s">
        <v>6876</v>
      </c>
      <c r="D2190" s="111" t="str">
        <f t="shared" ref="D2190:E2190" si="2188">TRIM(B2190)</f>
        <v>California</v>
      </c>
      <c r="E2190" s="111" t="str">
        <f t="shared" si="2188"/>
        <v>San Gabriel</v>
      </c>
    </row>
    <row r="2191" spans="1:5">
      <c r="A2191" s="3" t="s">
        <v>6881</v>
      </c>
      <c r="B2191" s="110" t="s">
        <v>1321</v>
      </c>
      <c r="C2191" s="111" t="s">
        <v>6882</v>
      </c>
      <c r="D2191" s="111" t="str">
        <f t="shared" ref="D2191:E2191" si="2189">TRIM(B2191)</f>
        <v>California</v>
      </c>
      <c r="E2191" s="111" t="str">
        <f t="shared" si="2189"/>
        <v>San Jacinto</v>
      </c>
    </row>
    <row r="2192" spans="1:5">
      <c r="A2192" s="3" t="s">
        <v>6883</v>
      </c>
      <c r="B2192" s="110" t="s">
        <v>1321</v>
      </c>
      <c r="C2192" s="111" t="s">
        <v>6884</v>
      </c>
      <c r="D2192" s="111" t="str">
        <f t="shared" ref="D2192:E2192" si="2190">TRIM(B2192)</f>
        <v>California</v>
      </c>
      <c r="E2192" s="111" t="str">
        <f t="shared" si="2190"/>
        <v>San Joaquin</v>
      </c>
    </row>
    <row r="2193" spans="1:5">
      <c r="A2193" s="3" t="s">
        <v>6888</v>
      </c>
      <c r="B2193" s="110" t="s">
        <v>1321</v>
      </c>
      <c r="C2193" s="111" t="s">
        <v>611</v>
      </c>
      <c r="D2193" s="111" t="str">
        <f t="shared" ref="D2193:E2193" si="2191">TRIM(B2193)</f>
        <v>California</v>
      </c>
      <c r="E2193" s="111" t="str">
        <f t="shared" si="2191"/>
        <v>San Jose</v>
      </c>
    </row>
    <row r="2194" spans="1:5">
      <c r="A2194" s="3" t="s">
        <v>6889</v>
      </c>
      <c r="B2194" s="110" t="s">
        <v>1321</v>
      </c>
      <c r="C2194" s="111" t="s">
        <v>611</v>
      </c>
      <c r="D2194" s="111" t="str">
        <f t="shared" ref="D2194:E2194" si="2192">TRIM(B2194)</f>
        <v>California</v>
      </c>
      <c r="E2194" s="111" t="str">
        <f t="shared" si="2192"/>
        <v>San Jose</v>
      </c>
    </row>
    <row r="2195" spans="1:5">
      <c r="A2195" s="3" t="s">
        <v>6892</v>
      </c>
      <c r="B2195" s="110" t="s">
        <v>1321</v>
      </c>
      <c r="C2195" s="111" t="s">
        <v>611</v>
      </c>
      <c r="D2195" s="111" t="str">
        <f t="shared" ref="D2195:E2195" si="2193">TRIM(B2195)</f>
        <v>California</v>
      </c>
      <c r="E2195" s="111" t="str">
        <f t="shared" si="2193"/>
        <v>San Jose</v>
      </c>
    </row>
    <row r="2196" spans="1:5">
      <c r="A2196" s="3" t="s">
        <v>6894</v>
      </c>
      <c r="B2196" s="110" t="s">
        <v>1321</v>
      </c>
      <c r="C2196" s="111" t="s">
        <v>611</v>
      </c>
      <c r="D2196" s="111" t="str">
        <f t="shared" ref="D2196:E2196" si="2194">TRIM(B2196)</f>
        <v>California</v>
      </c>
      <c r="E2196" s="111" t="str">
        <f t="shared" si="2194"/>
        <v>San Jose</v>
      </c>
    </row>
    <row r="2197" spans="1:5">
      <c r="A2197" s="3" t="s">
        <v>6897</v>
      </c>
      <c r="B2197" s="110" t="s">
        <v>1321</v>
      </c>
      <c r="C2197" s="111" t="s">
        <v>611</v>
      </c>
      <c r="D2197" s="111" t="str">
        <f t="shared" ref="D2197:E2197" si="2195">TRIM(B2197)</f>
        <v>California</v>
      </c>
      <c r="E2197" s="111" t="str">
        <f t="shared" si="2195"/>
        <v>San Jose</v>
      </c>
    </row>
    <row r="2198" spans="1:5">
      <c r="A2198" s="3" t="s">
        <v>6899</v>
      </c>
      <c r="B2198" s="110" t="s">
        <v>1321</v>
      </c>
      <c r="C2198" s="111" t="s">
        <v>611</v>
      </c>
      <c r="D2198" s="111" t="str">
        <f t="shared" ref="D2198:E2198" si="2196">TRIM(B2198)</f>
        <v>California</v>
      </c>
      <c r="E2198" s="111" t="str">
        <f t="shared" si="2196"/>
        <v>San Jose</v>
      </c>
    </row>
    <row r="2199" spans="1:5">
      <c r="A2199" s="3" t="s">
        <v>6901</v>
      </c>
      <c r="B2199" s="110" t="s">
        <v>1321</v>
      </c>
      <c r="C2199" s="111" t="s">
        <v>611</v>
      </c>
      <c r="D2199" s="111" t="str">
        <f t="shared" ref="D2199:E2199" si="2197">TRIM(B2199)</f>
        <v>California</v>
      </c>
      <c r="E2199" s="111" t="str">
        <f t="shared" si="2197"/>
        <v>San Jose</v>
      </c>
    </row>
    <row r="2200" spans="1:5">
      <c r="A2200" s="110" t="s">
        <v>6903</v>
      </c>
      <c r="B2200" s="110" t="s">
        <v>1321</v>
      </c>
      <c r="C2200" s="111" t="s">
        <v>611</v>
      </c>
      <c r="D2200" s="111" t="str">
        <f t="shared" ref="D2200:E2200" si="2198">TRIM(B2200)</f>
        <v>California</v>
      </c>
      <c r="E2200" s="111" t="str">
        <f t="shared" si="2198"/>
        <v>San Jose</v>
      </c>
    </row>
    <row r="2201" spans="1:5">
      <c r="A2201" s="110" t="s">
        <v>6904</v>
      </c>
      <c r="B2201" s="110" t="s">
        <v>1321</v>
      </c>
      <c r="C2201" s="111" t="s">
        <v>611</v>
      </c>
      <c r="D2201" s="111" t="str">
        <f t="shared" ref="D2201:E2201" si="2199">TRIM(B2201)</f>
        <v>California</v>
      </c>
      <c r="E2201" s="111" t="str">
        <f t="shared" si="2199"/>
        <v>San Jose</v>
      </c>
    </row>
    <row r="2202" spans="1:5">
      <c r="A2202" s="110" t="s">
        <v>6908</v>
      </c>
      <c r="B2202" s="110" t="s">
        <v>1321</v>
      </c>
      <c r="C2202" s="111" t="s">
        <v>611</v>
      </c>
      <c r="D2202" s="111" t="str">
        <f t="shared" ref="D2202:E2202" si="2200">TRIM(B2202)</f>
        <v>California</v>
      </c>
      <c r="E2202" s="111" t="str">
        <f t="shared" si="2200"/>
        <v>San Jose</v>
      </c>
    </row>
    <row r="2203" spans="1:5">
      <c r="A2203" s="3" t="s">
        <v>6909</v>
      </c>
      <c r="B2203" s="110" t="s">
        <v>1321</v>
      </c>
      <c r="C2203" s="111" t="s">
        <v>611</v>
      </c>
      <c r="D2203" s="111" t="str">
        <f t="shared" ref="D2203:E2203" si="2201">TRIM(B2203)</f>
        <v>California</v>
      </c>
      <c r="E2203" s="111" t="str">
        <f t="shared" si="2201"/>
        <v>San Jose</v>
      </c>
    </row>
    <row r="2204" spans="1:5">
      <c r="A2204" s="3" t="s">
        <v>6913</v>
      </c>
      <c r="B2204" s="110" t="s">
        <v>1321</v>
      </c>
      <c r="C2204" s="111" t="s">
        <v>611</v>
      </c>
      <c r="D2204" s="111" t="str">
        <f t="shared" ref="D2204:E2204" si="2202">TRIM(B2204)</f>
        <v>California</v>
      </c>
      <c r="E2204" s="111" t="str">
        <f t="shared" si="2202"/>
        <v>San Jose</v>
      </c>
    </row>
    <row r="2205" spans="1:5">
      <c r="A2205" s="3" t="s">
        <v>2727</v>
      </c>
      <c r="B2205" s="110" t="s">
        <v>1321</v>
      </c>
      <c r="C2205" s="111" t="s">
        <v>611</v>
      </c>
      <c r="D2205" s="111" t="str">
        <f t="shared" ref="D2205:E2205" si="2203">TRIM(B2205)</f>
        <v>California</v>
      </c>
      <c r="E2205" s="111" t="str">
        <f t="shared" si="2203"/>
        <v>San Jose</v>
      </c>
    </row>
    <row r="2206" spans="1:5">
      <c r="A2206" s="3" t="s">
        <v>6917</v>
      </c>
      <c r="B2206" s="110" t="s">
        <v>1321</v>
      </c>
      <c r="C2206" s="111" t="s">
        <v>611</v>
      </c>
      <c r="D2206" s="111" t="str">
        <f t="shared" ref="D2206:E2206" si="2204">TRIM(B2206)</f>
        <v>California</v>
      </c>
      <c r="E2206" s="111" t="str">
        <f t="shared" si="2204"/>
        <v>San Jose</v>
      </c>
    </row>
    <row r="2207" spans="1:5">
      <c r="A2207" s="110" t="s">
        <v>6918</v>
      </c>
      <c r="B2207" s="110" t="s">
        <v>1321</v>
      </c>
      <c r="C2207" s="111" t="s">
        <v>611</v>
      </c>
      <c r="D2207" s="111" t="str">
        <f t="shared" ref="D2207:E2207" si="2205">TRIM(B2207)</f>
        <v>California</v>
      </c>
      <c r="E2207" s="111" t="str">
        <f t="shared" si="2205"/>
        <v>San Jose</v>
      </c>
    </row>
    <row r="2208" spans="1:5">
      <c r="A2208" s="3" t="s">
        <v>6919</v>
      </c>
      <c r="B2208" s="110" t="s">
        <v>1321</v>
      </c>
      <c r="C2208" s="111" t="s">
        <v>611</v>
      </c>
      <c r="D2208" s="111" t="str">
        <f t="shared" ref="D2208:E2208" si="2206">TRIM(B2208)</f>
        <v>California</v>
      </c>
      <c r="E2208" s="111" t="str">
        <f t="shared" si="2206"/>
        <v>San Jose</v>
      </c>
    </row>
    <row r="2209" spans="1:5">
      <c r="A2209" s="3" t="s">
        <v>6921</v>
      </c>
      <c r="B2209" s="110" t="s">
        <v>1321</v>
      </c>
      <c r="C2209" s="111" t="s">
        <v>611</v>
      </c>
      <c r="D2209" s="111" t="str">
        <f t="shared" ref="D2209:E2209" si="2207">TRIM(B2209)</f>
        <v>California</v>
      </c>
      <c r="E2209" s="111" t="str">
        <f t="shared" si="2207"/>
        <v>San Jose</v>
      </c>
    </row>
    <row r="2210" spans="1:5">
      <c r="A2210" s="3" t="s">
        <v>6923</v>
      </c>
      <c r="B2210" s="110" t="s">
        <v>1321</v>
      </c>
      <c r="C2210" s="111" t="s">
        <v>611</v>
      </c>
      <c r="D2210" s="111" t="str">
        <f t="shared" ref="D2210:E2210" si="2208">TRIM(B2210)</f>
        <v>California</v>
      </c>
      <c r="E2210" s="111" t="str">
        <f t="shared" si="2208"/>
        <v>San Jose</v>
      </c>
    </row>
    <row r="2211" spans="1:5">
      <c r="A2211" s="3" t="s">
        <v>6925</v>
      </c>
      <c r="B2211" s="110" t="s">
        <v>1321</v>
      </c>
      <c r="C2211" s="111" t="s">
        <v>611</v>
      </c>
      <c r="D2211" s="111" t="str">
        <f t="shared" ref="D2211:E2211" si="2209">TRIM(B2211)</f>
        <v>California</v>
      </c>
      <c r="E2211" s="111" t="str">
        <f t="shared" si="2209"/>
        <v>San Jose</v>
      </c>
    </row>
    <row r="2212" spans="1:5">
      <c r="A2212" s="3" t="s">
        <v>6927</v>
      </c>
      <c r="B2212" s="110" t="s">
        <v>1321</v>
      </c>
      <c r="C2212" s="111" t="s">
        <v>611</v>
      </c>
      <c r="D2212" s="111" t="str">
        <f t="shared" ref="D2212:E2212" si="2210">TRIM(B2212)</f>
        <v>California</v>
      </c>
      <c r="E2212" s="111" t="str">
        <f t="shared" si="2210"/>
        <v>San Jose</v>
      </c>
    </row>
    <row r="2213" spans="1:5">
      <c r="A2213" s="3" t="s">
        <v>5761</v>
      </c>
      <c r="B2213" s="110" t="s">
        <v>1321</v>
      </c>
      <c r="C2213" s="111" t="s">
        <v>611</v>
      </c>
      <c r="D2213" s="111" t="str">
        <f t="shared" ref="D2213:E2213" si="2211">TRIM(B2213)</f>
        <v>California</v>
      </c>
      <c r="E2213" s="111" t="str">
        <f t="shared" si="2211"/>
        <v>San Jose</v>
      </c>
    </row>
    <row r="2214" spans="1:5">
      <c r="A2214" s="3" t="s">
        <v>6930</v>
      </c>
      <c r="B2214" s="110" t="s">
        <v>1321</v>
      </c>
      <c r="C2214" s="111" t="s">
        <v>611</v>
      </c>
      <c r="D2214" s="111" t="str">
        <f t="shared" ref="D2214:E2214" si="2212">TRIM(B2214)</f>
        <v>California</v>
      </c>
      <c r="E2214" s="111" t="str">
        <f t="shared" si="2212"/>
        <v>San Jose</v>
      </c>
    </row>
    <row r="2215" spans="1:5">
      <c r="A2215" s="3" t="s">
        <v>1547</v>
      </c>
      <c r="B2215" s="110" t="s">
        <v>1321</v>
      </c>
      <c r="C2215" s="111" t="s">
        <v>611</v>
      </c>
      <c r="D2215" s="111" t="str">
        <f t="shared" ref="D2215:E2215" si="2213">TRIM(B2215)</f>
        <v>California</v>
      </c>
      <c r="E2215" s="111" t="str">
        <f t="shared" si="2213"/>
        <v>San Jose</v>
      </c>
    </row>
    <row r="2216" spans="1:5">
      <c r="A2216" s="3" t="s">
        <v>6936</v>
      </c>
      <c r="B2216" s="110" t="s">
        <v>1321</v>
      </c>
      <c r="C2216" s="111" t="s">
        <v>611</v>
      </c>
      <c r="D2216" s="111" t="str">
        <f t="shared" ref="D2216:E2216" si="2214">TRIM(B2216)</f>
        <v>California</v>
      </c>
      <c r="E2216" s="111" t="str">
        <f t="shared" si="2214"/>
        <v>San Jose</v>
      </c>
    </row>
    <row r="2217" spans="1:5">
      <c r="A2217" s="3" t="s">
        <v>6937</v>
      </c>
      <c r="B2217" s="110" t="s">
        <v>1321</v>
      </c>
      <c r="C2217" s="111" t="s">
        <v>611</v>
      </c>
      <c r="D2217" s="111" t="str">
        <f t="shared" ref="D2217:E2217" si="2215">TRIM(B2217)</f>
        <v>California</v>
      </c>
      <c r="E2217" s="111" t="str">
        <f t="shared" si="2215"/>
        <v>San Jose</v>
      </c>
    </row>
    <row r="2218" spans="1:5">
      <c r="A2218" s="3" t="s">
        <v>6941</v>
      </c>
      <c r="B2218" s="110" t="s">
        <v>1321</v>
      </c>
      <c r="C2218" s="111" t="s">
        <v>611</v>
      </c>
      <c r="D2218" s="111" t="str">
        <f t="shared" ref="D2218:E2218" si="2216">TRIM(B2218)</f>
        <v>California</v>
      </c>
      <c r="E2218" s="111" t="str">
        <f t="shared" si="2216"/>
        <v>San Jose</v>
      </c>
    </row>
    <row r="2219" spans="1:5">
      <c r="A2219" s="110" t="s">
        <v>6942</v>
      </c>
      <c r="B2219" s="110" t="s">
        <v>1321</v>
      </c>
      <c r="C2219" s="111" t="s">
        <v>611</v>
      </c>
      <c r="D2219" s="111" t="str">
        <f t="shared" ref="D2219:E2219" si="2217">TRIM(B2219)</f>
        <v>California</v>
      </c>
      <c r="E2219" s="111" t="str">
        <f t="shared" si="2217"/>
        <v>San Jose</v>
      </c>
    </row>
    <row r="2220" spans="1:5">
      <c r="A2220" s="3" t="s">
        <v>6944</v>
      </c>
      <c r="B2220" s="110" t="s">
        <v>1321</v>
      </c>
      <c r="C2220" s="111" t="s">
        <v>611</v>
      </c>
      <c r="D2220" s="111" t="str">
        <f t="shared" ref="D2220:E2220" si="2218">TRIM(B2220)</f>
        <v>California</v>
      </c>
      <c r="E2220" s="111" t="str">
        <f t="shared" si="2218"/>
        <v>San Jose</v>
      </c>
    </row>
    <row r="2221" spans="1:5">
      <c r="A2221" s="3" t="s">
        <v>6946</v>
      </c>
      <c r="B2221" s="110" t="s">
        <v>1321</v>
      </c>
      <c r="C2221" s="111" t="s">
        <v>611</v>
      </c>
      <c r="D2221" s="111" t="str">
        <f t="shared" ref="D2221:E2221" si="2219">TRIM(B2221)</f>
        <v>California</v>
      </c>
      <c r="E2221" s="111" t="str">
        <f t="shared" si="2219"/>
        <v>San Jose</v>
      </c>
    </row>
    <row r="2222" spans="1:5">
      <c r="A2222" s="3" t="s">
        <v>6948</v>
      </c>
      <c r="B2222" s="110" t="s">
        <v>1321</v>
      </c>
      <c r="C2222" s="111" t="s">
        <v>611</v>
      </c>
      <c r="D2222" s="111" t="str">
        <f t="shared" ref="D2222:E2222" si="2220">TRIM(B2222)</f>
        <v>California</v>
      </c>
      <c r="E2222" s="111" t="str">
        <f t="shared" si="2220"/>
        <v>San Jose</v>
      </c>
    </row>
    <row r="2223" spans="1:5">
      <c r="A2223" s="110" t="s">
        <v>6951</v>
      </c>
      <c r="B2223" s="110" t="s">
        <v>1321</v>
      </c>
      <c r="C2223" s="111" t="s">
        <v>611</v>
      </c>
      <c r="D2223" s="111" t="str">
        <f t="shared" ref="D2223:E2223" si="2221">TRIM(B2223)</f>
        <v>California</v>
      </c>
      <c r="E2223" s="111" t="str">
        <f t="shared" si="2221"/>
        <v>San Jose</v>
      </c>
    </row>
    <row r="2224" spans="1:5">
      <c r="A2224" s="110" t="s">
        <v>6952</v>
      </c>
      <c r="B2224" s="110" t="s">
        <v>1321</v>
      </c>
      <c r="C2224" s="111" t="s">
        <v>611</v>
      </c>
      <c r="D2224" s="111" t="str">
        <f t="shared" ref="D2224:E2224" si="2222">TRIM(B2224)</f>
        <v>California</v>
      </c>
      <c r="E2224" s="111" t="str">
        <f t="shared" si="2222"/>
        <v>San Jose</v>
      </c>
    </row>
    <row r="2225" spans="1:5">
      <c r="A2225" s="3" t="s">
        <v>6954</v>
      </c>
      <c r="B2225" s="110" t="s">
        <v>1321</v>
      </c>
      <c r="C2225" s="111" t="s">
        <v>611</v>
      </c>
      <c r="D2225" s="111" t="str">
        <f t="shared" ref="D2225:E2225" si="2223">TRIM(B2225)</f>
        <v>California</v>
      </c>
      <c r="E2225" s="111" t="str">
        <f t="shared" si="2223"/>
        <v>San Jose</v>
      </c>
    </row>
    <row r="2226" spans="1:5">
      <c r="A2226" s="3" t="s">
        <v>6955</v>
      </c>
      <c r="B2226" s="110" t="s">
        <v>1321</v>
      </c>
      <c r="C2226" s="111" t="s">
        <v>611</v>
      </c>
      <c r="D2226" s="111" t="str">
        <f t="shared" ref="D2226:E2226" si="2224">TRIM(B2226)</f>
        <v>California</v>
      </c>
      <c r="E2226" s="111" t="str">
        <f t="shared" si="2224"/>
        <v>San Jose</v>
      </c>
    </row>
    <row r="2227" spans="1:5">
      <c r="A2227" s="3" t="s">
        <v>6957</v>
      </c>
      <c r="B2227" s="110" t="s">
        <v>1321</v>
      </c>
      <c r="C2227" s="111" t="s">
        <v>611</v>
      </c>
      <c r="D2227" s="111" t="str">
        <f t="shared" ref="D2227:E2227" si="2225">TRIM(B2227)</f>
        <v>California</v>
      </c>
      <c r="E2227" s="111" t="str">
        <f t="shared" si="2225"/>
        <v>San Jose</v>
      </c>
    </row>
    <row r="2228" spans="1:5">
      <c r="A2228" s="3" t="s">
        <v>6959</v>
      </c>
      <c r="B2228" s="110" t="s">
        <v>1321</v>
      </c>
      <c r="C2228" s="111" t="s">
        <v>611</v>
      </c>
      <c r="D2228" s="111" t="str">
        <f t="shared" ref="D2228:E2228" si="2226">TRIM(B2228)</f>
        <v>California</v>
      </c>
      <c r="E2228" s="111" t="str">
        <f t="shared" si="2226"/>
        <v>San Jose</v>
      </c>
    </row>
    <row r="2229" spans="1:5">
      <c r="A2229" s="3" t="s">
        <v>6960</v>
      </c>
      <c r="B2229" s="110" t="s">
        <v>1321</v>
      </c>
      <c r="C2229" s="113" t="s">
        <v>6962</v>
      </c>
      <c r="D2229" s="111" t="str">
        <f t="shared" ref="D2229:E2229" si="2227">TRIM(B2229)</f>
        <v>California</v>
      </c>
      <c r="E2229" s="111" t="str">
        <f t="shared" si="2227"/>
        <v>San Juan Bautista</v>
      </c>
    </row>
    <row r="2230" spans="1:5">
      <c r="A2230" s="3" t="s">
        <v>6965</v>
      </c>
      <c r="B2230" s="110" t="s">
        <v>1321</v>
      </c>
      <c r="C2230" s="113" t="s">
        <v>259</v>
      </c>
      <c r="D2230" s="111" t="str">
        <f t="shared" ref="D2230:E2230" si="2228">TRIM(B2230)</f>
        <v>California</v>
      </c>
      <c r="E2230" s="111" t="str">
        <f t="shared" si="2228"/>
        <v>San Juan Capistrano</v>
      </c>
    </row>
    <row r="2231" spans="1:5">
      <c r="A2231" s="3" t="s">
        <v>6966</v>
      </c>
      <c r="B2231" s="110" t="s">
        <v>1321</v>
      </c>
      <c r="C2231" s="111" t="s">
        <v>3830</v>
      </c>
      <c r="D2231" s="111" t="str">
        <f t="shared" ref="D2231:E2231" si="2229">TRIM(B2231)</f>
        <v>California</v>
      </c>
      <c r="E2231" s="111" t="str">
        <f t="shared" si="2229"/>
        <v>San Leandro</v>
      </c>
    </row>
    <row r="2232" spans="1:5">
      <c r="A2232" s="3" t="s">
        <v>4907</v>
      </c>
      <c r="B2232" s="110" t="s">
        <v>1321</v>
      </c>
      <c r="C2232" s="111" t="s">
        <v>6970</v>
      </c>
      <c r="D2232" s="111" t="str">
        <f t="shared" ref="D2232:E2232" si="2230">TRIM(B2232)</f>
        <v>California</v>
      </c>
      <c r="E2232" s="111" t="str">
        <f t="shared" si="2230"/>
        <v>San Lorenzo</v>
      </c>
    </row>
    <row r="2233" spans="1:5">
      <c r="A2233" s="3" t="s">
        <v>6971</v>
      </c>
      <c r="B2233" s="110" t="s">
        <v>1321</v>
      </c>
      <c r="C2233" s="111" t="s">
        <v>6970</v>
      </c>
      <c r="D2233" s="111" t="str">
        <f t="shared" ref="D2233:E2233" si="2231">TRIM(B2233)</f>
        <v>California</v>
      </c>
      <c r="E2233" s="111" t="str">
        <f t="shared" si="2231"/>
        <v>San Lorenzo</v>
      </c>
    </row>
    <row r="2234" spans="1:5">
      <c r="A2234" s="3" t="s">
        <v>6974</v>
      </c>
      <c r="B2234" s="110" t="s">
        <v>1321</v>
      </c>
      <c r="C2234" s="111" t="s">
        <v>6970</v>
      </c>
      <c r="D2234" s="111" t="str">
        <f t="shared" ref="D2234:E2234" si="2232">TRIM(B2234)</f>
        <v>California</v>
      </c>
      <c r="E2234" s="111" t="str">
        <f t="shared" si="2232"/>
        <v>San Lorenzo</v>
      </c>
    </row>
    <row r="2235" spans="1:5">
      <c r="A2235" s="110" t="s">
        <v>6975</v>
      </c>
      <c r="B2235" s="110" t="s">
        <v>1321</v>
      </c>
      <c r="C2235" s="111" t="s">
        <v>6976</v>
      </c>
      <c r="D2235" s="111" t="str">
        <f t="shared" ref="D2235:E2235" si="2233">TRIM(B2235)</f>
        <v>California</v>
      </c>
      <c r="E2235" s="111" t="str">
        <f t="shared" si="2233"/>
        <v>San Luis Obispo</v>
      </c>
    </row>
    <row r="2236" spans="1:5">
      <c r="A2236" s="3" t="s">
        <v>6978</v>
      </c>
      <c r="B2236" s="110" t="s">
        <v>1321</v>
      </c>
      <c r="C2236" s="111" t="s">
        <v>6976</v>
      </c>
      <c r="D2236" s="111" t="str">
        <f t="shared" ref="D2236:E2236" si="2234">TRIM(B2236)</f>
        <v>California</v>
      </c>
      <c r="E2236" s="111" t="str">
        <f t="shared" si="2234"/>
        <v>San Luis Obispo</v>
      </c>
    </row>
    <row r="2237" spans="1:5">
      <c r="A2237" s="3" t="s">
        <v>6980</v>
      </c>
      <c r="B2237" s="110" t="s">
        <v>1321</v>
      </c>
      <c r="C2237" s="111" t="s">
        <v>6981</v>
      </c>
      <c r="D2237" s="111" t="str">
        <f t="shared" ref="D2237:E2237" si="2235">TRIM(B2237)</f>
        <v>California</v>
      </c>
      <c r="E2237" s="111" t="str">
        <f t="shared" si="2235"/>
        <v>San Marcos</v>
      </c>
    </row>
    <row r="2238" spans="1:5">
      <c r="A2238" s="3" t="s">
        <v>6982</v>
      </c>
      <c r="B2238" s="110" t="s">
        <v>1321</v>
      </c>
      <c r="C2238" s="111" t="s">
        <v>6981</v>
      </c>
      <c r="D2238" s="111" t="str">
        <f t="shared" ref="D2238:E2238" si="2236">TRIM(B2238)</f>
        <v>California</v>
      </c>
      <c r="E2238" s="111" t="str">
        <f t="shared" si="2236"/>
        <v>San Marcos</v>
      </c>
    </row>
    <row r="2239" spans="1:5">
      <c r="A2239" s="3" t="s">
        <v>6984</v>
      </c>
      <c r="B2239" s="110" t="s">
        <v>1321</v>
      </c>
      <c r="C2239" s="111" t="s">
        <v>6985</v>
      </c>
      <c r="D2239" s="111" t="str">
        <f t="shared" ref="D2239:E2239" si="2237">TRIM(B2239)</f>
        <v>California</v>
      </c>
      <c r="E2239" s="111" t="str">
        <f t="shared" si="2237"/>
        <v>San Marino</v>
      </c>
    </row>
    <row r="2240" spans="1:5">
      <c r="A2240" s="3" t="s">
        <v>6987</v>
      </c>
      <c r="B2240" s="110" t="s">
        <v>1321</v>
      </c>
      <c r="C2240" s="111" t="s">
        <v>6988</v>
      </c>
      <c r="D2240" s="111" t="str">
        <f t="shared" ref="D2240:E2240" si="2238">TRIM(B2240)</f>
        <v>California</v>
      </c>
      <c r="E2240" s="111" t="str">
        <f t="shared" si="2238"/>
        <v>San Mateo</v>
      </c>
    </row>
    <row r="2241" spans="1:5">
      <c r="A2241" s="3" t="s">
        <v>6992</v>
      </c>
      <c r="B2241" s="110" t="s">
        <v>1321</v>
      </c>
      <c r="C2241" s="111" t="s">
        <v>6988</v>
      </c>
      <c r="D2241" s="111" t="str">
        <f t="shared" ref="D2241:E2241" si="2239">TRIM(B2241)</f>
        <v>California</v>
      </c>
      <c r="E2241" s="111" t="str">
        <f t="shared" si="2239"/>
        <v>San Mateo</v>
      </c>
    </row>
    <row r="2242" spans="1:5">
      <c r="A2242" s="3" t="s">
        <v>6993</v>
      </c>
      <c r="B2242" s="110" t="s">
        <v>1321</v>
      </c>
      <c r="C2242" s="111" t="s">
        <v>6988</v>
      </c>
      <c r="D2242" s="111" t="str">
        <f t="shared" ref="D2242:E2242" si="2240">TRIM(B2242)</f>
        <v>California</v>
      </c>
      <c r="E2242" s="111" t="str">
        <f t="shared" si="2240"/>
        <v>San Mateo</v>
      </c>
    </row>
    <row r="2243" spans="1:5">
      <c r="A2243" s="3" t="s">
        <v>5761</v>
      </c>
      <c r="B2243" s="110" t="s">
        <v>1321</v>
      </c>
      <c r="C2243" s="111" t="s">
        <v>6995</v>
      </c>
      <c r="D2243" s="111" t="str">
        <f t="shared" ref="D2243:E2243" si="2241">TRIM(B2243)</f>
        <v>California</v>
      </c>
      <c r="E2243" s="111" t="str">
        <f t="shared" si="2241"/>
        <v>San Pablo</v>
      </c>
    </row>
    <row r="2244" spans="1:5">
      <c r="A2244" s="3" t="s">
        <v>6998</v>
      </c>
      <c r="B2244" s="110" t="s">
        <v>1321</v>
      </c>
      <c r="C2244" s="111" t="s">
        <v>6999</v>
      </c>
      <c r="D2244" s="111" t="str">
        <f t="shared" ref="D2244:E2244" si="2242">TRIM(B2244)</f>
        <v>California</v>
      </c>
      <c r="E2244" s="111" t="str">
        <f t="shared" si="2242"/>
        <v>San Pedro</v>
      </c>
    </row>
    <row r="2245" spans="1:5">
      <c r="A2245" s="3" t="s">
        <v>7000</v>
      </c>
      <c r="B2245" s="110" t="s">
        <v>1321</v>
      </c>
      <c r="C2245" s="111" t="s">
        <v>6999</v>
      </c>
      <c r="D2245" s="111" t="str">
        <f t="shared" ref="D2245:E2245" si="2243">TRIM(B2245)</f>
        <v>California</v>
      </c>
      <c r="E2245" s="111" t="str">
        <f t="shared" si="2243"/>
        <v>San Pedro</v>
      </c>
    </row>
    <row r="2246" spans="1:5">
      <c r="A2246" s="3" t="s">
        <v>7004</v>
      </c>
      <c r="B2246" s="110" t="s">
        <v>1321</v>
      </c>
      <c r="C2246" s="111" t="s">
        <v>7005</v>
      </c>
      <c r="D2246" s="111" t="str">
        <f t="shared" ref="D2246:E2246" si="2244">TRIM(B2246)</f>
        <v>California</v>
      </c>
      <c r="E2246" s="111" t="str">
        <f t="shared" si="2244"/>
        <v>San Rafael</v>
      </c>
    </row>
    <row r="2247" spans="1:5">
      <c r="A2247" s="3" t="s">
        <v>7006</v>
      </c>
      <c r="B2247" s="110" t="s">
        <v>1321</v>
      </c>
      <c r="C2247" s="111" t="s">
        <v>7005</v>
      </c>
      <c r="D2247" s="111" t="str">
        <f t="shared" ref="D2247:E2247" si="2245">TRIM(B2247)</f>
        <v>California</v>
      </c>
      <c r="E2247" s="111" t="str">
        <f t="shared" si="2245"/>
        <v>San Rafael</v>
      </c>
    </row>
    <row r="2248" spans="1:5">
      <c r="A2248" s="3" t="s">
        <v>7008</v>
      </c>
      <c r="B2248" s="110" t="s">
        <v>1321</v>
      </c>
      <c r="C2248" s="111" t="s">
        <v>7010</v>
      </c>
      <c r="D2248" s="111" t="str">
        <f t="shared" ref="D2248:E2248" si="2246">TRIM(B2248)</f>
        <v>California</v>
      </c>
      <c r="E2248" s="111" t="str">
        <f t="shared" si="2246"/>
        <v>San Ramon</v>
      </c>
    </row>
    <row r="2249" spans="1:5">
      <c r="A2249" s="3" t="s">
        <v>7011</v>
      </c>
      <c r="B2249" s="110" t="s">
        <v>1321</v>
      </c>
      <c r="C2249" s="111" t="s">
        <v>7010</v>
      </c>
      <c r="D2249" s="111" t="str">
        <f t="shared" ref="D2249:E2249" si="2247">TRIM(B2249)</f>
        <v>California</v>
      </c>
      <c r="E2249" s="111" t="str">
        <f t="shared" si="2247"/>
        <v>San Ramon</v>
      </c>
    </row>
    <row r="2250" spans="1:5">
      <c r="A2250" s="3" t="s">
        <v>7015</v>
      </c>
      <c r="B2250" s="110" t="s">
        <v>1321</v>
      </c>
      <c r="C2250" s="111" t="s">
        <v>7016</v>
      </c>
      <c r="D2250" s="111" t="str">
        <f t="shared" ref="D2250:E2250" si="2248">TRIM(B2250)</f>
        <v>California</v>
      </c>
      <c r="E2250" s="111" t="str">
        <f t="shared" si="2248"/>
        <v>Sanger</v>
      </c>
    </row>
    <row r="2251" spans="1:5">
      <c r="A2251" s="3" t="s">
        <v>7017</v>
      </c>
      <c r="B2251" s="110" t="s">
        <v>1321</v>
      </c>
      <c r="C2251" s="111" t="s">
        <v>615</v>
      </c>
      <c r="D2251" s="111" t="str">
        <f t="shared" ref="D2251:E2251" si="2249">TRIM(B2251)</f>
        <v>California</v>
      </c>
      <c r="E2251" s="111" t="str">
        <f t="shared" si="2249"/>
        <v>Santa Ana</v>
      </c>
    </row>
    <row r="2252" spans="1:5">
      <c r="A2252" s="110" t="s">
        <v>7021</v>
      </c>
      <c r="B2252" s="110" t="s">
        <v>1321</v>
      </c>
      <c r="C2252" s="111" t="s">
        <v>615</v>
      </c>
      <c r="D2252" s="111" t="str">
        <f t="shared" ref="D2252:E2252" si="2250">TRIM(B2252)</f>
        <v>California</v>
      </c>
      <c r="E2252" s="111" t="str">
        <f t="shared" si="2250"/>
        <v>Santa Ana</v>
      </c>
    </row>
    <row r="2253" spans="1:5">
      <c r="A2253" s="110" t="s">
        <v>7022</v>
      </c>
      <c r="B2253" s="110" t="s">
        <v>1321</v>
      </c>
      <c r="C2253" s="111" t="s">
        <v>615</v>
      </c>
      <c r="D2253" s="111" t="str">
        <f t="shared" ref="D2253:E2253" si="2251">TRIM(B2253)</f>
        <v>California</v>
      </c>
      <c r="E2253" s="111" t="str">
        <f t="shared" si="2251"/>
        <v>Santa Ana</v>
      </c>
    </row>
    <row r="2254" spans="1:5">
      <c r="A2254" s="3" t="s">
        <v>7025</v>
      </c>
      <c r="B2254" s="110" t="s">
        <v>1321</v>
      </c>
      <c r="C2254" s="111" t="s">
        <v>615</v>
      </c>
      <c r="D2254" s="111" t="str">
        <f t="shared" ref="D2254:E2254" si="2252">TRIM(B2254)</f>
        <v>California</v>
      </c>
      <c r="E2254" s="111" t="str">
        <f t="shared" si="2252"/>
        <v>Santa Ana</v>
      </c>
    </row>
    <row r="2255" spans="1:5">
      <c r="A2255" s="3" t="s">
        <v>7027</v>
      </c>
      <c r="B2255" s="110" t="s">
        <v>1321</v>
      </c>
      <c r="C2255" s="111" t="s">
        <v>615</v>
      </c>
      <c r="D2255" s="111" t="str">
        <f t="shared" ref="D2255:E2255" si="2253">TRIM(B2255)</f>
        <v>California</v>
      </c>
      <c r="E2255" s="111" t="str">
        <f t="shared" si="2253"/>
        <v>Santa Ana</v>
      </c>
    </row>
    <row r="2256" spans="1:5">
      <c r="A2256" s="110" t="s">
        <v>7031</v>
      </c>
      <c r="B2256" s="110" t="s">
        <v>1321</v>
      </c>
      <c r="C2256" s="111" t="s">
        <v>615</v>
      </c>
      <c r="D2256" s="111" t="str">
        <f t="shared" ref="D2256:E2256" si="2254">TRIM(B2256)</f>
        <v>California</v>
      </c>
      <c r="E2256" s="111" t="str">
        <f t="shared" si="2254"/>
        <v>Santa Ana</v>
      </c>
    </row>
    <row r="2257" spans="1:5">
      <c r="A2257" s="3" t="s">
        <v>7032</v>
      </c>
      <c r="B2257" s="110" t="s">
        <v>1321</v>
      </c>
      <c r="C2257" s="111" t="s">
        <v>615</v>
      </c>
      <c r="D2257" s="111" t="str">
        <f t="shared" ref="D2257:E2257" si="2255">TRIM(B2257)</f>
        <v>California</v>
      </c>
      <c r="E2257" s="111" t="str">
        <f t="shared" si="2255"/>
        <v>Santa Ana</v>
      </c>
    </row>
    <row r="2258" spans="1:5">
      <c r="A2258" s="3" t="s">
        <v>7036</v>
      </c>
      <c r="B2258" s="110" t="s">
        <v>1321</v>
      </c>
      <c r="C2258" s="111" t="s">
        <v>615</v>
      </c>
      <c r="D2258" s="111" t="str">
        <f t="shared" ref="D2258:E2258" si="2256">TRIM(B2258)</f>
        <v>California</v>
      </c>
      <c r="E2258" s="111" t="str">
        <f t="shared" si="2256"/>
        <v>Santa Ana</v>
      </c>
    </row>
    <row r="2259" spans="1:5">
      <c r="A2259" s="3" t="s">
        <v>7037</v>
      </c>
      <c r="B2259" s="110" t="s">
        <v>1321</v>
      </c>
      <c r="C2259" s="111" t="s">
        <v>615</v>
      </c>
      <c r="D2259" s="111" t="str">
        <f t="shared" ref="D2259:E2259" si="2257">TRIM(B2259)</f>
        <v>California</v>
      </c>
      <c r="E2259" s="111" t="str">
        <f t="shared" si="2257"/>
        <v>Santa Ana</v>
      </c>
    </row>
    <row r="2260" spans="1:5">
      <c r="A2260" s="3" t="s">
        <v>7039</v>
      </c>
      <c r="B2260" s="110" t="s">
        <v>1321</v>
      </c>
      <c r="C2260" s="111" t="s">
        <v>615</v>
      </c>
      <c r="D2260" s="111" t="str">
        <f t="shared" ref="D2260:E2260" si="2258">TRIM(B2260)</f>
        <v>California</v>
      </c>
      <c r="E2260" s="111" t="str">
        <f t="shared" si="2258"/>
        <v>Santa Ana</v>
      </c>
    </row>
    <row r="2261" spans="1:5">
      <c r="A2261" s="3" t="s">
        <v>2256</v>
      </c>
      <c r="B2261" s="110" t="s">
        <v>1321</v>
      </c>
      <c r="C2261" s="111" t="s">
        <v>615</v>
      </c>
      <c r="D2261" s="111" t="str">
        <f t="shared" ref="D2261:E2261" si="2259">TRIM(B2261)</f>
        <v>California</v>
      </c>
      <c r="E2261" s="111" t="str">
        <f t="shared" si="2259"/>
        <v>Santa Ana</v>
      </c>
    </row>
    <row r="2262" spans="1:5">
      <c r="A2262" s="3" t="s">
        <v>7043</v>
      </c>
      <c r="B2262" s="110" t="s">
        <v>1321</v>
      </c>
      <c r="C2262" s="111" t="s">
        <v>7044</v>
      </c>
      <c r="D2262" s="111" t="str">
        <f t="shared" ref="D2262:E2262" si="2260">TRIM(B2262)</f>
        <v>California</v>
      </c>
      <c r="E2262" s="111" t="str">
        <f t="shared" si="2260"/>
        <v>Santa Barbara</v>
      </c>
    </row>
    <row r="2263" spans="1:5">
      <c r="A2263" s="3" t="s">
        <v>7046</v>
      </c>
      <c r="B2263" s="110" t="s">
        <v>1321</v>
      </c>
      <c r="C2263" s="111" t="s">
        <v>7044</v>
      </c>
      <c r="D2263" s="111" t="str">
        <f t="shared" ref="D2263:E2263" si="2261">TRIM(B2263)</f>
        <v>California</v>
      </c>
      <c r="E2263" s="111" t="str">
        <f t="shared" si="2261"/>
        <v>Santa Barbara</v>
      </c>
    </row>
    <row r="2264" spans="1:5">
      <c r="A2264" s="3" t="s">
        <v>7047</v>
      </c>
      <c r="B2264" s="110" t="s">
        <v>1321</v>
      </c>
      <c r="C2264" s="111" t="s">
        <v>585</v>
      </c>
      <c r="D2264" s="111" t="str">
        <f t="shared" ref="D2264:E2264" si="2262">TRIM(B2264)</f>
        <v>California</v>
      </c>
      <c r="E2264" s="111" t="str">
        <f t="shared" si="2262"/>
        <v>Santa Clara</v>
      </c>
    </row>
    <row r="2265" spans="1:5">
      <c r="A2265" s="3" t="s">
        <v>7049</v>
      </c>
      <c r="B2265" s="110" t="s">
        <v>1321</v>
      </c>
      <c r="C2265" s="111" t="s">
        <v>585</v>
      </c>
      <c r="D2265" s="111" t="str">
        <f t="shared" ref="D2265:E2265" si="2263">TRIM(B2265)</f>
        <v>California</v>
      </c>
      <c r="E2265" s="111" t="str">
        <f t="shared" si="2263"/>
        <v>Santa Clara</v>
      </c>
    </row>
    <row r="2266" spans="1:5">
      <c r="A2266" s="3" t="s">
        <v>7052</v>
      </c>
      <c r="B2266" s="110" t="s">
        <v>1321</v>
      </c>
      <c r="C2266" s="111" t="s">
        <v>643</v>
      </c>
      <c r="D2266" s="111" t="str">
        <f t="shared" ref="D2266:E2266" si="2264">TRIM(B2266)</f>
        <v>California</v>
      </c>
      <c r="E2266" s="111" t="str">
        <f t="shared" si="2264"/>
        <v>Santa Clarita</v>
      </c>
    </row>
    <row r="2267" spans="1:5">
      <c r="A2267" s="3" t="s">
        <v>4428</v>
      </c>
      <c r="B2267" s="110" t="s">
        <v>1321</v>
      </c>
      <c r="C2267" s="111" t="s">
        <v>643</v>
      </c>
      <c r="D2267" s="111" t="str">
        <f t="shared" ref="D2267:E2267" si="2265">TRIM(B2267)</f>
        <v>California</v>
      </c>
      <c r="E2267" s="111" t="str">
        <f t="shared" si="2265"/>
        <v>Santa Clarita</v>
      </c>
    </row>
    <row r="2268" spans="1:5">
      <c r="A2268" s="110" t="s">
        <v>7055</v>
      </c>
      <c r="B2268" s="110" t="s">
        <v>1321</v>
      </c>
      <c r="C2268" s="111" t="s">
        <v>643</v>
      </c>
      <c r="D2268" s="111" t="str">
        <f t="shared" ref="D2268:E2268" si="2266">TRIM(B2268)</f>
        <v>California</v>
      </c>
      <c r="E2268" s="111" t="str">
        <f t="shared" si="2266"/>
        <v>Santa Clarita</v>
      </c>
    </row>
    <row r="2269" spans="1:5">
      <c r="A2269" s="3" t="s">
        <v>7058</v>
      </c>
      <c r="B2269" s="110" t="s">
        <v>1321</v>
      </c>
      <c r="C2269" s="111" t="s">
        <v>7059</v>
      </c>
      <c r="D2269" s="111" t="str">
        <f t="shared" ref="D2269:E2269" si="2267">TRIM(B2269)</f>
        <v>California</v>
      </c>
      <c r="E2269" s="111" t="str">
        <f t="shared" si="2267"/>
        <v>Santa Cruz</v>
      </c>
    </row>
    <row r="2270" spans="1:5">
      <c r="A2270" s="3" t="s">
        <v>7061</v>
      </c>
      <c r="B2270" s="110" t="s">
        <v>1321</v>
      </c>
      <c r="C2270" s="111" t="s">
        <v>7059</v>
      </c>
      <c r="D2270" s="111" t="str">
        <f t="shared" ref="D2270:E2270" si="2268">TRIM(B2270)</f>
        <v>California</v>
      </c>
      <c r="E2270" s="111" t="str">
        <f t="shared" si="2268"/>
        <v>Santa Cruz</v>
      </c>
    </row>
    <row r="2271" spans="1:5">
      <c r="A2271" s="110" t="s">
        <v>7064</v>
      </c>
      <c r="B2271" s="110" t="s">
        <v>1321</v>
      </c>
      <c r="C2271" s="111" t="s">
        <v>7059</v>
      </c>
      <c r="D2271" s="111" t="str">
        <f t="shared" ref="D2271:E2271" si="2269">TRIM(B2271)</f>
        <v>California</v>
      </c>
      <c r="E2271" s="111" t="str">
        <f t="shared" si="2269"/>
        <v>Santa Cruz</v>
      </c>
    </row>
    <row r="2272" spans="1:5">
      <c r="A2272" s="3" t="s">
        <v>7066</v>
      </c>
      <c r="B2272" s="110" t="s">
        <v>1321</v>
      </c>
      <c r="C2272" s="111" t="s">
        <v>7059</v>
      </c>
      <c r="D2272" s="111" t="str">
        <f t="shared" ref="D2272:E2272" si="2270">TRIM(B2272)</f>
        <v>California</v>
      </c>
      <c r="E2272" s="111" t="str">
        <f t="shared" si="2270"/>
        <v>Santa Cruz</v>
      </c>
    </row>
    <row r="2273" spans="1:5">
      <c r="A2273" s="3" t="s">
        <v>7069</v>
      </c>
      <c r="B2273" s="110" t="s">
        <v>1321</v>
      </c>
      <c r="C2273" s="113" t="s">
        <v>7070</v>
      </c>
      <c r="D2273" s="111" t="str">
        <f t="shared" ref="D2273:E2273" si="2271">TRIM(B2273)</f>
        <v>California</v>
      </c>
      <c r="E2273" s="111" t="str">
        <f t="shared" si="2271"/>
        <v>Santa Fe Springs</v>
      </c>
    </row>
    <row r="2274" spans="1:5">
      <c r="A2274" s="3" t="s">
        <v>7071</v>
      </c>
      <c r="B2274" s="110" t="s">
        <v>1321</v>
      </c>
      <c r="C2274" s="111" t="s">
        <v>7072</v>
      </c>
      <c r="D2274" s="111" t="str">
        <f t="shared" ref="D2274:E2274" si="2272">TRIM(B2274)</f>
        <v>California</v>
      </c>
      <c r="E2274" s="111" t="str">
        <f t="shared" si="2272"/>
        <v>Santa Maria</v>
      </c>
    </row>
    <row r="2275" spans="1:5">
      <c r="A2275" s="3" t="s">
        <v>7075</v>
      </c>
      <c r="B2275" s="110" t="s">
        <v>1321</v>
      </c>
      <c r="C2275" s="111" t="s">
        <v>7072</v>
      </c>
      <c r="D2275" s="111" t="str">
        <f t="shared" ref="D2275:E2275" si="2273">TRIM(B2275)</f>
        <v>California</v>
      </c>
      <c r="E2275" s="111" t="str">
        <f t="shared" si="2273"/>
        <v>Santa Maria</v>
      </c>
    </row>
    <row r="2276" spans="1:5">
      <c r="A2276" s="3" t="s">
        <v>7077</v>
      </c>
      <c r="B2276" s="110" t="s">
        <v>1321</v>
      </c>
      <c r="C2276" s="111" t="s">
        <v>7072</v>
      </c>
      <c r="D2276" s="111" t="str">
        <f t="shared" ref="D2276:E2276" si="2274">TRIM(B2276)</f>
        <v>California</v>
      </c>
      <c r="E2276" s="111" t="str">
        <f t="shared" si="2274"/>
        <v>Santa Maria</v>
      </c>
    </row>
    <row r="2277" spans="1:5">
      <c r="A2277" s="3" t="s">
        <v>7079</v>
      </c>
      <c r="B2277" s="110" t="s">
        <v>1321</v>
      </c>
      <c r="C2277" s="111" t="s">
        <v>6414</v>
      </c>
      <c r="D2277" s="111" t="str">
        <f t="shared" ref="D2277:E2277" si="2275">TRIM(B2277)</f>
        <v>California</v>
      </c>
      <c r="E2277" s="111" t="str">
        <f t="shared" si="2275"/>
        <v>Santa Monica</v>
      </c>
    </row>
    <row r="2278" spans="1:5">
      <c r="A2278" s="3" t="s">
        <v>7082</v>
      </c>
      <c r="B2278" s="110" t="s">
        <v>1321</v>
      </c>
      <c r="C2278" s="111" t="s">
        <v>7083</v>
      </c>
      <c r="D2278" s="111" t="str">
        <f t="shared" ref="D2278:E2278" si="2276">TRIM(B2278)</f>
        <v>California</v>
      </c>
      <c r="E2278" s="111" t="str">
        <f t="shared" si="2276"/>
        <v>Santa Paula</v>
      </c>
    </row>
    <row r="2279" spans="1:5">
      <c r="A2279" s="3" t="s">
        <v>7084</v>
      </c>
      <c r="B2279" s="110" t="s">
        <v>1321</v>
      </c>
      <c r="C2279" s="111" t="s">
        <v>7085</v>
      </c>
      <c r="D2279" s="111" t="str">
        <f t="shared" ref="D2279:E2279" si="2277">TRIM(B2279)</f>
        <v>California</v>
      </c>
      <c r="E2279" s="111" t="str">
        <f t="shared" si="2277"/>
        <v>Santa Rosa</v>
      </c>
    </row>
    <row r="2280" spans="1:5">
      <c r="A2280" s="3" t="s">
        <v>7087</v>
      </c>
      <c r="B2280" s="110" t="s">
        <v>1321</v>
      </c>
      <c r="C2280" s="111" t="s">
        <v>7085</v>
      </c>
      <c r="D2280" s="111" t="str">
        <f t="shared" ref="D2280:E2280" si="2278">TRIM(B2280)</f>
        <v>California</v>
      </c>
      <c r="E2280" s="111" t="str">
        <f t="shared" si="2278"/>
        <v>Santa Rosa</v>
      </c>
    </row>
    <row r="2281" spans="1:5">
      <c r="A2281" s="3" t="s">
        <v>7088</v>
      </c>
      <c r="B2281" s="110" t="s">
        <v>1321</v>
      </c>
      <c r="C2281" s="111" t="s">
        <v>7085</v>
      </c>
      <c r="D2281" s="111" t="str">
        <f t="shared" ref="D2281:E2281" si="2279">TRIM(B2281)</f>
        <v>California</v>
      </c>
      <c r="E2281" s="111" t="str">
        <f t="shared" si="2279"/>
        <v>Santa Rosa</v>
      </c>
    </row>
    <row r="2282" spans="1:5">
      <c r="A2282" s="110" t="s">
        <v>7091</v>
      </c>
      <c r="B2282" s="110" t="s">
        <v>1321</v>
      </c>
      <c r="C2282" s="111" t="s">
        <v>7085</v>
      </c>
      <c r="D2282" s="111" t="str">
        <f t="shared" ref="D2282:E2282" si="2280">TRIM(B2282)</f>
        <v>California</v>
      </c>
      <c r="E2282" s="111" t="str">
        <f t="shared" si="2280"/>
        <v>Santa Rosa</v>
      </c>
    </row>
    <row r="2283" spans="1:5">
      <c r="A2283" s="3" t="s">
        <v>7092</v>
      </c>
      <c r="B2283" s="110" t="s">
        <v>1321</v>
      </c>
      <c r="C2283" s="111" t="s">
        <v>7085</v>
      </c>
      <c r="D2283" s="111" t="str">
        <f t="shared" ref="D2283:E2283" si="2281">TRIM(B2283)</f>
        <v>California</v>
      </c>
      <c r="E2283" s="111" t="str">
        <f t="shared" si="2281"/>
        <v>Santa Rosa</v>
      </c>
    </row>
    <row r="2284" spans="1:5">
      <c r="A2284" s="3" t="s">
        <v>7093</v>
      </c>
      <c r="B2284" s="110" t="s">
        <v>1321</v>
      </c>
      <c r="C2284" s="111" t="s">
        <v>7085</v>
      </c>
      <c r="D2284" s="111" t="str">
        <f t="shared" ref="D2284:E2284" si="2282">TRIM(B2284)</f>
        <v>California</v>
      </c>
      <c r="E2284" s="111" t="str">
        <f t="shared" si="2282"/>
        <v>Santa Rosa</v>
      </c>
    </row>
    <row r="2285" spans="1:5">
      <c r="A2285" s="3" t="s">
        <v>7096</v>
      </c>
      <c r="B2285" s="110" t="s">
        <v>1321</v>
      </c>
      <c r="C2285" s="111" t="s">
        <v>7097</v>
      </c>
      <c r="D2285" s="111" t="str">
        <f t="shared" ref="D2285:E2285" si="2283">TRIM(B2285)</f>
        <v>California</v>
      </c>
      <c r="E2285" s="111" t="str">
        <f t="shared" si="2283"/>
        <v>Santa Ynez</v>
      </c>
    </row>
    <row r="2286" spans="1:5">
      <c r="A2286" s="3" t="s">
        <v>7099</v>
      </c>
      <c r="B2286" s="110" t="s">
        <v>1321</v>
      </c>
      <c r="C2286" s="111" t="s">
        <v>7100</v>
      </c>
      <c r="D2286" s="111" t="str">
        <f t="shared" ref="D2286:E2286" si="2284">TRIM(B2286)</f>
        <v>California</v>
      </c>
      <c r="E2286" s="111" t="str">
        <f t="shared" si="2284"/>
        <v>Santee</v>
      </c>
    </row>
    <row r="2287" spans="1:5">
      <c r="A2287" s="3" t="s">
        <v>7102</v>
      </c>
      <c r="B2287" s="110" t="s">
        <v>1321</v>
      </c>
      <c r="C2287" s="111" t="s">
        <v>7100</v>
      </c>
      <c r="D2287" s="111" t="str">
        <f t="shared" ref="D2287:E2287" si="2285">TRIM(B2287)</f>
        <v>California</v>
      </c>
      <c r="E2287" s="111" t="str">
        <f t="shared" si="2285"/>
        <v>Santee</v>
      </c>
    </row>
    <row r="2288" spans="1:5">
      <c r="A2288" s="3" t="s">
        <v>7104</v>
      </c>
      <c r="B2288" s="110" t="s">
        <v>1321</v>
      </c>
      <c r="C2288" s="111" t="s">
        <v>7105</v>
      </c>
      <c r="D2288" s="111" t="str">
        <f t="shared" ref="D2288:E2288" si="2286">TRIM(B2288)</f>
        <v>California</v>
      </c>
      <c r="E2288" s="111" t="str">
        <f t="shared" si="2286"/>
        <v>Saratoga</v>
      </c>
    </row>
    <row r="2289" spans="1:5">
      <c r="A2289" s="3" t="s">
        <v>7106</v>
      </c>
      <c r="B2289" s="110" t="s">
        <v>1321</v>
      </c>
      <c r="C2289" s="111" t="s">
        <v>7105</v>
      </c>
      <c r="D2289" s="111" t="str">
        <f t="shared" ref="D2289:E2289" si="2287">TRIM(B2289)</f>
        <v>California</v>
      </c>
      <c r="E2289" s="111" t="str">
        <f t="shared" si="2287"/>
        <v>Saratoga</v>
      </c>
    </row>
    <row r="2290" spans="1:5">
      <c r="A2290" s="3" t="s">
        <v>7108</v>
      </c>
      <c r="B2290" s="110" t="s">
        <v>1321</v>
      </c>
      <c r="C2290" s="111" t="s">
        <v>6069</v>
      </c>
      <c r="D2290" s="111" t="str">
        <f t="shared" ref="D2290:E2290" si="2288">TRIM(B2290)</f>
        <v>California</v>
      </c>
      <c r="E2290" s="111" t="str">
        <f t="shared" si="2288"/>
        <v>Saugus</v>
      </c>
    </row>
    <row r="2291" spans="1:5">
      <c r="A2291" s="3" t="s">
        <v>7111</v>
      </c>
      <c r="B2291" s="110" t="s">
        <v>1321</v>
      </c>
      <c r="C2291" s="111" t="s">
        <v>7112</v>
      </c>
      <c r="D2291" s="111" t="str">
        <f t="shared" ref="D2291:E2291" si="2289">TRIM(B2291)</f>
        <v>California</v>
      </c>
      <c r="E2291" s="111" t="str">
        <f t="shared" si="2289"/>
        <v>Scotts Valley</v>
      </c>
    </row>
    <row r="2292" spans="1:5">
      <c r="A2292" s="3" t="s">
        <v>7114</v>
      </c>
      <c r="B2292" s="110" t="s">
        <v>1321</v>
      </c>
      <c r="C2292" s="111" t="s">
        <v>7115</v>
      </c>
      <c r="D2292" s="111" t="str">
        <f t="shared" ref="D2292:E2292" si="2290">TRIM(B2292)</f>
        <v>California</v>
      </c>
      <c r="E2292" s="111" t="str">
        <f t="shared" si="2290"/>
        <v>Seaside</v>
      </c>
    </row>
    <row r="2293" spans="1:5">
      <c r="A2293" s="3" t="s">
        <v>7117</v>
      </c>
      <c r="B2293" s="110" t="s">
        <v>1321</v>
      </c>
      <c r="C2293" s="111" t="s">
        <v>397</v>
      </c>
      <c r="D2293" s="111" t="str">
        <f t="shared" ref="D2293:E2293" si="2291">TRIM(B2293)</f>
        <v>California</v>
      </c>
      <c r="E2293" s="111" t="str">
        <f t="shared" si="2291"/>
        <v>Sebastopol</v>
      </c>
    </row>
    <row r="2294" spans="1:5">
      <c r="A2294" s="3" t="s">
        <v>2156</v>
      </c>
      <c r="B2294" s="110" t="s">
        <v>1321</v>
      </c>
      <c r="C2294" s="111" t="s">
        <v>2157</v>
      </c>
      <c r="D2294" s="111" t="str">
        <f t="shared" ref="D2294:E2294" si="2292">TRIM(B2294)</f>
        <v>California</v>
      </c>
      <c r="E2294" s="111" t="str">
        <f t="shared" si="2292"/>
        <v>Selma</v>
      </c>
    </row>
    <row r="2295" spans="1:5">
      <c r="A2295" s="3" t="s">
        <v>7120</v>
      </c>
      <c r="B2295" s="110" t="s">
        <v>1321</v>
      </c>
      <c r="C2295" s="111" t="s">
        <v>7121</v>
      </c>
      <c r="D2295" s="111" t="str">
        <f t="shared" ref="D2295:E2295" si="2293">TRIM(B2295)</f>
        <v>California</v>
      </c>
      <c r="E2295" s="111" t="str">
        <f t="shared" si="2293"/>
        <v>Shafter</v>
      </c>
    </row>
    <row r="2296" spans="1:5">
      <c r="A2296" s="3" t="s">
        <v>7122</v>
      </c>
      <c r="B2296" s="110" t="s">
        <v>1321</v>
      </c>
      <c r="C2296" s="111" t="s">
        <v>7123</v>
      </c>
      <c r="D2296" s="111" t="str">
        <f t="shared" ref="D2296:E2296" si="2294">TRIM(B2296)</f>
        <v>California</v>
      </c>
      <c r="E2296" s="111" t="str">
        <f t="shared" si="2294"/>
        <v>Shandon</v>
      </c>
    </row>
    <row r="2297" spans="1:5">
      <c r="A2297" s="3" t="s">
        <v>2615</v>
      </c>
      <c r="B2297" s="110" t="s">
        <v>1321</v>
      </c>
      <c r="C2297" s="111" t="s">
        <v>7126</v>
      </c>
      <c r="D2297" s="111" t="str">
        <f t="shared" ref="D2297:E2297" si="2295">TRIM(B2297)</f>
        <v>California</v>
      </c>
      <c r="E2297" s="111" t="str">
        <f t="shared" si="2295"/>
        <v>Shingle Springs</v>
      </c>
    </row>
    <row r="2298" spans="1:5">
      <c r="A2298" s="3" t="s">
        <v>7127</v>
      </c>
      <c r="B2298" s="110" t="s">
        <v>1321</v>
      </c>
      <c r="C2298" s="111" t="s">
        <v>7129</v>
      </c>
      <c r="D2298" s="111" t="str">
        <f t="shared" ref="D2298:E2298" si="2296">TRIM(B2298)</f>
        <v>California</v>
      </c>
      <c r="E2298" s="111" t="str">
        <f t="shared" si="2296"/>
        <v>Shoshone</v>
      </c>
    </row>
    <row r="2299" spans="1:5">
      <c r="A2299" s="110" t="s">
        <v>7132</v>
      </c>
      <c r="B2299" s="110" t="s">
        <v>1321</v>
      </c>
      <c r="C2299" s="111" t="s">
        <v>7133</v>
      </c>
      <c r="D2299" s="111" t="str">
        <f t="shared" ref="D2299:E2299" si="2297">TRIM(B2299)</f>
        <v>California</v>
      </c>
      <c r="E2299" s="111" t="str">
        <f t="shared" si="2297"/>
        <v>Simi Valley</v>
      </c>
    </row>
    <row r="2300" spans="1:5">
      <c r="A2300" s="3" t="s">
        <v>7134</v>
      </c>
      <c r="B2300" s="110" t="s">
        <v>1321</v>
      </c>
      <c r="C2300" s="111" t="s">
        <v>7133</v>
      </c>
      <c r="D2300" s="111" t="str">
        <f t="shared" ref="D2300:E2300" si="2298">TRIM(B2300)</f>
        <v>California</v>
      </c>
      <c r="E2300" s="111" t="str">
        <f t="shared" si="2298"/>
        <v>Simi Valley</v>
      </c>
    </row>
    <row r="2301" spans="1:5">
      <c r="A2301" s="3" t="s">
        <v>7137</v>
      </c>
      <c r="B2301" s="110" t="s">
        <v>1321</v>
      </c>
      <c r="C2301" s="111" t="s">
        <v>7133</v>
      </c>
      <c r="D2301" s="111" t="str">
        <f t="shared" ref="D2301:E2301" si="2299">TRIM(B2301)</f>
        <v>California</v>
      </c>
      <c r="E2301" s="111" t="str">
        <f t="shared" si="2299"/>
        <v>Simi Valley</v>
      </c>
    </row>
    <row r="2302" spans="1:5">
      <c r="A2302" s="3" t="s">
        <v>7138</v>
      </c>
      <c r="B2302" s="110" t="s">
        <v>1321</v>
      </c>
      <c r="C2302" s="111" t="s">
        <v>7133</v>
      </c>
      <c r="D2302" s="111" t="str">
        <f t="shared" ref="D2302:E2302" si="2300">TRIM(B2302)</f>
        <v>California</v>
      </c>
      <c r="E2302" s="111" t="str">
        <f t="shared" si="2300"/>
        <v>Simi Valley</v>
      </c>
    </row>
    <row r="2303" spans="1:5">
      <c r="A2303" s="110" t="s">
        <v>7140</v>
      </c>
      <c r="B2303" s="110" t="s">
        <v>1321</v>
      </c>
      <c r="C2303" s="111" t="s">
        <v>7142</v>
      </c>
      <c r="D2303" s="111" t="str">
        <f t="shared" ref="D2303:E2303" si="2301">TRIM(B2303)</f>
        <v>California</v>
      </c>
      <c r="E2303" s="111" t="str">
        <f t="shared" si="2301"/>
        <v>Solana Beach</v>
      </c>
    </row>
    <row r="2304" spans="1:5">
      <c r="A2304" s="3" t="s">
        <v>7143</v>
      </c>
      <c r="B2304" s="110" t="s">
        <v>1321</v>
      </c>
      <c r="C2304" s="111" t="s">
        <v>7144</v>
      </c>
      <c r="D2304" s="111" t="str">
        <f t="shared" ref="D2304:E2304" si="2302">TRIM(B2304)</f>
        <v>California</v>
      </c>
      <c r="E2304" s="111" t="str">
        <f t="shared" si="2302"/>
        <v>Soledad</v>
      </c>
    </row>
    <row r="2305" spans="1:5">
      <c r="A2305" s="3" t="s">
        <v>7147</v>
      </c>
      <c r="B2305" s="110" t="s">
        <v>1321</v>
      </c>
      <c r="C2305" s="111" t="s">
        <v>7148</v>
      </c>
      <c r="D2305" s="111" t="str">
        <f t="shared" ref="D2305:E2305" si="2303">TRIM(B2305)</f>
        <v>California</v>
      </c>
      <c r="E2305" s="111" t="str">
        <f t="shared" si="2303"/>
        <v>Sonoma</v>
      </c>
    </row>
    <row r="2306" spans="1:5">
      <c r="A2306" s="3" t="s">
        <v>5392</v>
      </c>
      <c r="B2306" s="110" t="s">
        <v>1321</v>
      </c>
      <c r="C2306" s="111" t="s">
        <v>5970</v>
      </c>
      <c r="D2306" s="111" t="str">
        <f t="shared" ref="D2306:E2306" si="2304">TRIM(B2306)</f>
        <v>California</v>
      </c>
      <c r="E2306" s="111" t="str">
        <f t="shared" si="2304"/>
        <v>Sonora</v>
      </c>
    </row>
    <row r="2307" spans="1:5">
      <c r="A2307" s="3" t="s">
        <v>7150</v>
      </c>
      <c r="B2307" s="110" t="s">
        <v>1321</v>
      </c>
      <c r="C2307" s="111" t="s">
        <v>7151</v>
      </c>
      <c r="D2307" s="111" t="str">
        <f t="shared" ref="D2307:E2307" si="2305">TRIM(B2307)</f>
        <v>California</v>
      </c>
      <c r="E2307" s="111" t="str">
        <f t="shared" si="2305"/>
        <v>Soquel</v>
      </c>
    </row>
    <row r="2308" spans="1:5">
      <c r="A2308" s="3" t="s">
        <v>7155</v>
      </c>
      <c r="B2308" s="110" t="s">
        <v>1321</v>
      </c>
      <c r="C2308" s="111" t="s">
        <v>7156</v>
      </c>
      <c r="D2308" s="111" t="str">
        <f t="shared" ref="D2308:E2308" si="2306">TRIM(B2308)</f>
        <v>California</v>
      </c>
      <c r="E2308" s="111" t="str">
        <f t="shared" si="2306"/>
        <v>South El Monte</v>
      </c>
    </row>
    <row r="2309" spans="1:5">
      <c r="A2309" s="3" t="s">
        <v>7157</v>
      </c>
      <c r="B2309" s="110" t="s">
        <v>1321</v>
      </c>
      <c r="C2309" s="111" t="s">
        <v>7158</v>
      </c>
      <c r="D2309" s="111" t="str">
        <f t="shared" ref="D2309:E2309" si="2307">TRIM(B2309)</f>
        <v>California</v>
      </c>
      <c r="E2309" s="111" t="str">
        <f t="shared" si="2307"/>
        <v>South Gate</v>
      </c>
    </row>
    <row r="2310" spans="1:5">
      <c r="A2310" s="3" t="s">
        <v>7160</v>
      </c>
      <c r="B2310" s="110" t="s">
        <v>1321</v>
      </c>
      <c r="C2310" s="111" t="s">
        <v>7158</v>
      </c>
      <c r="D2310" s="111" t="str">
        <f t="shared" ref="D2310:E2310" si="2308">TRIM(B2310)</f>
        <v>California</v>
      </c>
      <c r="E2310" s="111" t="str">
        <f t="shared" si="2308"/>
        <v>South Gate</v>
      </c>
    </row>
    <row r="2311" spans="1:5">
      <c r="A2311" s="3" t="s">
        <v>7162</v>
      </c>
      <c r="B2311" s="110" t="s">
        <v>1321</v>
      </c>
      <c r="C2311" s="111" t="s">
        <v>7158</v>
      </c>
      <c r="D2311" s="111" t="str">
        <f t="shared" ref="D2311:E2311" si="2309">TRIM(B2311)</f>
        <v>California</v>
      </c>
      <c r="E2311" s="111" t="str">
        <f t="shared" si="2309"/>
        <v>South Gate</v>
      </c>
    </row>
    <row r="2312" spans="1:5">
      <c r="A2312" s="3" t="s">
        <v>7165</v>
      </c>
      <c r="B2312" s="110" t="s">
        <v>1321</v>
      </c>
      <c r="C2312" s="111" t="s">
        <v>7158</v>
      </c>
      <c r="D2312" s="111" t="str">
        <f t="shared" ref="D2312:E2312" si="2310">TRIM(B2312)</f>
        <v>California</v>
      </c>
      <c r="E2312" s="111" t="str">
        <f t="shared" si="2310"/>
        <v>South Gate</v>
      </c>
    </row>
    <row r="2313" spans="1:5">
      <c r="A2313" s="3" t="s">
        <v>7167</v>
      </c>
      <c r="B2313" s="110" t="s">
        <v>1321</v>
      </c>
      <c r="C2313" s="111" t="s">
        <v>7158</v>
      </c>
      <c r="D2313" s="111" t="str">
        <f t="shared" ref="D2313:E2313" si="2311">TRIM(B2313)</f>
        <v>California</v>
      </c>
      <c r="E2313" s="111" t="str">
        <f t="shared" si="2311"/>
        <v>South Gate</v>
      </c>
    </row>
    <row r="2314" spans="1:5">
      <c r="A2314" s="3" t="s">
        <v>7168</v>
      </c>
      <c r="B2314" s="110" t="s">
        <v>1321</v>
      </c>
      <c r="C2314" s="113" t="s">
        <v>7170</v>
      </c>
      <c r="D2314" s="111" t="str">
        <f t="shared" ref="D2314:E2314" si="2312">TRIM(B2314)</f>
        <v>California</v>
      </c>
      <c r="E2314" s="111" t="str">
        <f t="shared" si="2312"/>
        <v>South Lake Tahoe</v>
      </c>
    </row>
    <row r="2315" spans="1:5">
      <c r="A2315" s="3" t="s">
        <v>7172</v>
      </c>
      <c r="B2315" s="110" t="s">
        <v>1321</v>
      </c>
      <c r="C2315" s="111" t="s">
        <v>7173</v>
      </c>
      <c r="D2315" s="111" t="str">
        <f t="shared" ref="D2315:E2315" si="2313">TRIM(B2315)</f>
        <v>California</v>
      </c>
      <c r="E2315" s="111" t="str">
        <f t="shared" si="2313"/>
        <v>South Pasadena</v>
      </c>
    </row>
    <row r="2316" spans="1:5">
      <c r="A2316" s="3" t="s">
        <v>6203</v>
      </c>
      <c r="B2316" s="110" t="s">
        <v>1321</v>
      </c>
      <c r="C2316" s="114" t="s">
        <v>7174</v>
      </c>
      <c r="D2316" s="111" t="str">
        <f t="shared" ref="D2316:E2316" si="2314">TRIM(B2316)</f>
        <v>California</v>
      </c>
      <c r="E2316" s="111" t="str">
        <f t="shared" si="2314"/>
        <v>South San Francisco</v>
      </c>
    </row>
    <row r="2317" spans="1:5">
      <c r="A2317" s="3" t="s">
        <v>7177</v>
      </c>
      <c r="B2317" s="110" t="s">
        <v>1321</v>
      </c>
      <c r="C2317" s="113" t="s">
        <v>7174</v>
      </c>
      <c r="D2317" s="111" t="str">
        <f t="shared" ref="D2317:E2317" si="2315">TRIM(B2317)</f>
        <v>California</v>
      </c>
      <c r="E2317" s="111" t="str">
        <f t="shared" si="2315"/>
        <v>South San Francisco</v>
      </c>
    </row>
    <row r="2318" spans="1:5">
      <c r="A2318" s="3" t="s">
        <v>4810</v>
      </c>
      <c r="B2318" s="110" t="s">
        <v>1321</v>
      </c>
      <c r="C2318" s="111" t="s">
        <v>7178</v>
      </c>
      <c r="D2318" s="111" t="str">
        <f t="shared" ref="D2318:E2318" si="2316">TRIM(B2318)</f>
        <v>California</v>
      </c>
      <c r="E2318" s="111" t="str">
        <f t="shared" si="2316"/>
        <v>Spring Valley</v>
      </c>
    </row>
    <row r="2319" spans="1:5">
      <c r="A2319" s="3" t="s">
        <v>7180</v>
      </c>
      <c r="B2319" s="110" t="s">
        <v>1321</v>
      </c>
      <c r="C2319" s="111" t="s">
        <v>7178</v>
      </c>
      <c r="D2319" s="111" t="str">
        <f t="shared" ref="D2319:E2319" si="2317">TRIM(B2319)</f>
        <v>California</v>
      </c>
      <c r="E2319" s="111" t="str">
        <f t="shared" si="2317"/>
        <v>Spring Valley</v>
      </c>
    </row>
    <row r="2320" spans="1:5">
      <c r="A2320" s="3" t="s">
        <v>7181</v>
      </c>
      <c r="B2320" s="110" t="s">
        <v>1321</v>
      </c>
      <c r="C2320" s="111" t="s">
        <v>7178</v>
      </c>
      <c r="D2320" s="111" t="str">
        <f t="shared" ref="D2320:E2320" si="2318">TRIM(B2320)</f>
        <v>California</v>
      </c>
      <c r="E2320" s="111" t="str">
        <f t="shared" si="2318"/>
        <v>Spring Valley</v>
      </c>
    </row>
    <row r="2321" spans="1:5">
      <c r="A2321" s="3" t="s">
        <v>7185</v>
      </c>
      <c r="B2321" s="110" t="s">
        <v>1321</v>
      </c>
      <c r="C2321" s="111" t="s">
        <v>7186</v>
      </c>
      <c r="D2321" s="111" t="str">
        <f t="shared" ref="D2321:E2321" si="2319">TRIM(B2321)</f>
        <v>California</v>
      </c>
      <c r="E2321" s="111" t="str">
        <f t="shared" si="2319"/>
        <v>St. Helena</v>
      </c>
    </row>
    <row r="2322" spans="1:5">
      <c r="A2322" s="3" t="s">
        <v>7187</v>
      </c>
      <c r="B2322" s="110" t="s">
        <v>1321</v>
      </c>
      <c r="C2322" s="111" t="s">
        <v>7188</v>
      </c>
      <c r="D2322" s="111" t="str">
        <f t="shared" ref="D2322:E2322" si="2320">TRIM(B2322)</f>
        <v>California</v>
      </c>
      <c r="E2322" s="111" t="str">
        <f t="shared" si="2320"/>
        <v>Stockton</v>
      </c>
    </row>
    <row r="2323" spans="1:5">
      <c r="A2323" s="3" t="s">
        <v>2801</v>
      </c>
      <c r="B2323" s="110" t="s">
        <v>1321</v>
      </c>
      <c r="C2323" s="111" t="s">
        <v>7188</v>
      </c>
      <c r="D2323" s="111" t="str">
        <f t="shared" ref="D2323:E2323" si="2321">TRIM(B2323)</f>
        <v>California</v>
      </c>
      <c r="E2323" s="111" t="str">
        <f t="shared" si="2321"/>
        <v>Stockton</v>
      </c>
    </row>
    <row r="2324" spans="1:5">
      <c r="A2324" s="3" t="s">
        <v>5088</v>
      </c>
      <c r="B2324" s="110" t="s">
        <v>1321</v>
      </c>
      <c r="C2324" s="111" t="s">
        <v>7188</v>
      </c>
      <c r="D2324" s="111" t="str">
        <f t="shared" ref="D2324:E2324" si="2322">TRIM(B2324)</f>
        <v>California</v>
      </c>
      <c r="E2324" s="111" t="str">
        <f t="shared" si="2322"/>
        <v>Stockton</v>
      </c>
    </row>
    <row r="2325" spans="1:5">
      <c r="A2325" s="3" t="s">
        <v>4937</v>
      </c>
      <c r="B2325" s="110" t="s">
        <v>1321</v>
      </c>
      <c r="C2325" s="111" t="s">
        <v>7188</v>
      </c>
      <c r="D2325" s="111" t="str">
        <f t="shared" ref="D2325:E2325" si="2323">TRIM(B2325)</f>
        <v>California</v>
      </c>
      <c r="E2325" s="111" t="str">
        <f t="shared" si="2323"/>
        <v>Stockton</v>
      </c>
    </row>
    <row r="2326" spans="1:5">
      <c r="A2326" s="3" t="s">
        <v>7194</v>
      </c>
      <c r="B2326" s="110" t="s">
        <v>1321</v>
      </c>
      <c r="C2326" s="111" t="s">
        <v>7188</v>
      </c>
      <c r="D2326" s="111" t="str">
        <f t="shared" ref="D2326:E2326" si="2324">TRIM(B2326)</f>
        <v>California</v>
      </c>
      <c r="E2326" s="111" t="str">
        <f t="shared" si="2324"/>
        <v>Stockton</v>
      </c>
    </row>
    <row r="2327" spans="1:5">
      <c r="A2327" s="3" t="s">
        <v>1925</v>
      </c>
      <c r="B2327" s="110" t="s">
        <v>1321</v>
      </c>
      <c r="C2327" s="111" t="s">
        <v>7188</v>
      </c>
      <c r="D2327" s="111" t="str">
        <f t="shared" ref="D2327:E2327" si="2325">TRIM(B2327)</f>
        <v>California</v>
      </c>
      <c r="E2327" s="111" t="str">
        <f t="shared" si="2325"/>
        <v>Stockton</v>
      </c>
    </row>
    <row r="2328" spans="1:5">
      <c r="A2328" s="3" t="s">
        <v>5761</v>
      </c>
      <c r="B2328" s="110" t="s">
        <v>1321</v>
      </c>
      <c r="C2328" s="111" t="s">
        <v>7188</v>
      </c>
      <c r="D2328" s="111" t="str">
        <f t="shared" ref="D2328:E2328" si="2326">TRIM(B2328)</f>
        <v>California</v>
      </c>
      <c r="E2328" s="111" t="str">
        <f t="shared" si="2326"/>
        <v>Stockton</v>
      </c>
    </row>
    <row r="2329" spans="1:5">
      <c r="A2329" s="3" t="s">
        <v>7197</v>
      </c>
      <c r="B2329" s="110" t="s">
        <v>1321</v>
      </c>
      <c r="C2329" s="111" t="s">
        <v>7188</v>
      </c>
      <c r="D2329" s="111" t="str">
        <f t="shared" ref="D2329:E2329" si="2327">TRIM(B2329)</f>
        <v>California</v>
      </c>
      <c r="E2329" s="111" t="str">
        <f t="shared" si="2327"/>
        <v>Stockton</v>
      </c>
    </row>
    <row r="2330" spans="1:5">
      <c r="A2330" s="3" t="s">
        <v>7199</v>
      </c>
      <c r="B2330" s="110" t="s">
        <v>1321</v>
      </c>
      <c r="C2330" s="111" t="s">
        <v>7188</v>
      </c>
      <c r="D2330" s="111" t="str">
        <f t="shared" ref="D2330:E2330" si="2328">TRIM(B2330)</f>
        <v>California</v>
      </c>
      <c r="E2330" s="111" t="str">
        <f t="shared" si="2328"/>
        <v>Stockton</v>
      </c>
    </row>
    <row r="2331" spans="1:5">
      <c r="A2331" s="3" t="s">
        <v>7202</v>
      </c>
      <c r="B2331" s="110" t="s">
        <v>1321</v>
      </c>
      <c r="C2331" s="111" t="s">
        <v>7188</v>
      </c>
      <c r="D2331" s="111" t="str">
        <f t="shared" ref="D2331:E2331" si="2329">TRIM(B2331)</f>
        <v>California</v>
      </c>
      <c r="E2331" s="111" t="str">
        <f t="shared" si="2329"/>
        <v>Stockton</v>
      </c>
    </row>
    <row r="2332" spans="1:5">
      <c r="A2332" s="110" t="s">
        <v>7203</v>
      </c>
      <c r="B2332" s="110" t="s">
        <v>1321</v>
      </c>
      <c r="C2332" s="111" t="s">
        <v>7188</v>
      </c>
      <c r="D2332" s="111" t="str">
        <f t="shared" ref="D2332:E2332" si="2330">TRIM(B2332)</f>
        <v>California</v>
      </c>
      <c r="E2332" s="111" t="str">
        <f t="shared" si="2330"/>
        <v>Stockton</v>
      </c>
    </row>
    <row r="2333" spans="1:5">
      <c r="A2333" s="3" t="s">
        <v>7204</v>
      </c>
      <c r="B2333" s="110" t="s">
        <v>1321</v>
      </c>
      <c r="C2333" s="111" t="s">
        <v>7188</v>
      </c>
      <c r="D2333" s="111" t="str">
        <f t="shared" ref="D2333:E2333" si="2331">TRIM(B2333)</f>
        <v>California</v>
      </c>
      <c r="E2333" s="111" t="str">
        <f t="shared" si="2331"/>
        <v>Stockton</v>
      </c>
    </row>
    <row r="2334" spans="1:5">
      <c r="A2334" s="3" t="s">
        <v>7208</v>
      </c>
      <c r="B2334" s="110" t="s">
        <v>1321</v>
      </c>
      <c r="C2334" s="111" t="s">
        <v>7188</v>
      </c>
      <c r="D2334" s="111" t="str">
        <f t="shared" ref="D2334:E2334" si="2332">TRIM(B2334)</f>
        <v>California</v>
      </c>
      <c r="E2334" s="111" t="str">
        <f t="shared" si="2332"/>
        <v>Stockton</v>
      </c>
    </row>
    <row r="2335" spans="1:5">
      <c r="A2335" s="110" t="s">
        <v>7209</v>
      </c>
      <c r="B2335" s="110" t="s">
        <v>1321</v>
      </c>
      <c r="C2335" s="111" t="s">
        <v>7210</v>
      </c>
      <c r="D2335" s="111" t="str">
        <f t="shared" ref="D2335:E2335" si="2333">TRIM(B2335)</f>
        <v>California</v>
      </c>
      <c r="E2335" s="111" t="str">
        <f t="shared" si="2333"/>
        <v>Sun Valley</v>
      </c>
    </row>
    <row r="2336" spans="1:5">
      <c r="A2336" s="3" t="s">
        <v>7213</v>
      </c>
      <c r="B2336" s="110" t="s">
        <v>1321</v>
      </c>
      <c r="C2336" s="111" t="s">
        <v>7210</v>
      </c>
      <c r="D2336" s="111" t="str">
        <f t="shared" ref="D2336:E2336" si="2334">TRIM(B2336)</f>
        <v>California</v>
      </c>
      <c r="E2336" s="111" t="str">
        <f t="shared" si="2334"/>
        <v>Sun Valley</v>
      </c>
    </row>
    <row r="2337" spans="1:5">
      <c r="A2337" s="3" t="s">
        <v>2856</v>
      </c>
      <c r="B2337" s="110" t="s">
        <v>1321</v>
      </c>
      <c r="C2337" s="111" t="s">
        <v>7210</v>
      </c>
      <c r="D2337" s="111" t="str">
        <f t="shared" ref="D2337:E2337" si="2335">TRIM(B2337)</f>
        <v>California</v>
      </c>
      <c r="E2337" s="111" t="str">
        <f t="shared" si="2335"/>
        <v>Sun Valley</v>
      </c>
    </row>
    <row r="2338" spans="1:5">
      <c r="A2338" s="110" t="s">
        <v>7215</v>
      </c>
      <c r="B2338" s="110" t="s">
        <v>1321</v>
      </c>
      <c r="C2338" s="111" t="s">
        <v>7210</v>
      </c>
      <c r="D2338" s="111" t="str">
        <f t="shared" ref="D2338:E2338" si="2336">TRIM(B2338)</f>
        <v>California</v>
      </c>
      <c r="E2338" s="111" t="str">
        <f t="shared" si="2336"/>
        <v>Sun Valley</v>
      </c>
    </row>
    <row r="2339" spans="1:5">
      <c r="A2339" s="3" t="s">
        <v>6162</v>
      </c>
      <c r="B2339" s="110" t="s">
        <v>1321</v>
      </c>
      <c r="C2339" s="111" t="s">
        <v>7217</v>
      </c>
      <c r="D2339" s="111" t="str">
        <f t="shared" ref="D2339:E2339" si="2337">TRIM(B2339)</f>
        <v>California</v>
      </c>
      <c r="E2339" s="111" t="str">
        <f t="shared" si="2337"/>
        <v>Sunnyvale</v>
      </c>
    </row>
    <row r="2340" spans="1:5">
      <c r="A2340" s="3" t="s">
        <v>7218</v>
      </c>
      <c r="B2340" s="110" t="s">
        <v>1321</v>
      </c>
      <c r="C2340" s="111" t="s">
        <v>7219</v>
      </c>
      <c r="D2340" s="111" t="str">
        <f t="shared" ref="D2340:E2340" si="2338">TRIM(B2340)</f>
        <v>California</v>
      </c>
      <c r="E2340" s="111" t="str">
        <f t="shared" si="2338"/>
        <v>Susanville</v>
      </c>
    </row>
    <row r="2341" spans="1:5">
      <c r="A2341" s="3" t="s">
        <v>7221</v>
      </c>
      <c r="B2341" s="110" t="s">
        <v>1321</v>
      </c>
      <c r="C2341" s="111" t="s">
        <v>7223</v>
      </c>
      <c r="D2341" s="111" t="str">
        <f t="shared" ref="D2341:E2341" si="2339">TRIM(B2341)</f>
        <v>California</v>
      </c>
      <c r="E2341" s="111" t="str">
        <f t="shared" si="2339"/>
        <v>Sutter</v>
      </c>
    </row>
    <row r="2342" spans="1:5">
      <c r="A2342" s="3" t="s">
        <v>7224</v>
      </c>
      <c r="B2342" s="110" t="s">
        <v>1321</v>
      </c>
      <c r="C2342" s="111" t="s">
        <v>7225</v>
      </c>
      <c r="D2342" s="111" t="str">
        <f t="shared" ref="D2342:E2342" si="2340">TRIM(B2342)</f>
        <v>California</v>
      </c>
      <c r="E2342" s="111" t="str">
        <f t="shared" si="2340"/>
        <v>Sutter Creek</v>
      </c>
    </row>
    <row r="2343" spans="1:5">
      <c r="A2343" s="110" t="s">
        <v>7227</v>
      </c>
      <c r="B2343" s="110" t="s">
        <v>1321</v>
      </c>
      <c r="C2343" s="111" t="s">
        <v>427</v>
      </c>
      <c r="D2343" s="111" t="str">
        <f t="shared" ref="D2343:E2343" si="2341">TRIM(B2343)</f>
        <v>California</v>
      </c>
      <c r="E2343" s="111" t="str">
        <f t="shared" si="2341"/>
        <v>Sylmar</v>
      </c>
    </row>
    <row r="2344" spans="1:5">
      <c r="A2344" s="3" t="s">
        <v>7229</v>
      </c>
      <c r="B2344" s="110" t="s">
        <v>1321</v>
      </c>
      <c r="C2344" s="111" t="s">
        <v>427</v>
      </c>
      <c r="D2344" s="111" t="str">
        <f t="shared" ref="D2344:E2344" si="2342">TRIM(B2344)</f>
        <v>California</v>
      </c>
      <c r="E2344" s="111" t="str">
        <f t="shared" si="2342"/>
        <v>Sylmar</v>
      </c>
    </row>
    <row r="2345" spans="1:5">
      <c r="A2345" s="3" t="s">
        <v>7230</v>
      </c>
      <c r="B2345" s="110" t="s">
        <v>1321</v>
      </c>
      <c r="C2345" s="111" t="s">
        <v>427</v>
      </c>
      <c r="D2345" s="111" t="str">
        <f t="shared" ref="D2345:E2345" si="2343">TRIM(B2345)</f>
        <v>California</v>
      </c>
      <c r="E2345" s="111" t="str">
        <f t="shared" si="2343"/>
        <v>Sylmar</v>
      </c>
    </row>
    <row r="2346" spans="1:5">
      <c r="A2346" s="3" t="s">
        <v>7233</v>
      </c>
      <c r="B2346" s="110" t="s">
        <v>1321</v>
      </c>
      <c r="C2346" s="111" t="s">
        <v>319</v>
      </c>
      <c r="D2346" s="111" t="str">
        <f t="shared" ref="D2346:E2346" si="2344">TRIM(B2346)</f>
        <v>California</v>
      </c>
      <c r="E2346" s="111" t="str">
        <f t="shared" si="2344"/>
        <v>Taft</v>
      </c>
    </row>
    <row r="2347" spans="1:5">
      <c r="A2347" s="3" t="s">
        <v>7234</v>
      </c>
      <c r="B2347" s="110" t="s">
        <v>1321</v>
      </c>
      <c r="C2347" s="111" t="s">
        <v>7235</v>
      </c>
      <c r="D2347" s="111" t="str">
        <f t="shared" ref="D2347:E2347" si="2345">TRIM(B2347)</f>
        <v>California</v>
      </c>
      <c r="E2347" s="111" t="str">
        <f t="shared" si="2345"/>
        <v>Tahoe City</v>
      </c>
    </row>
    <row r="2348" spans="1:5">
      <c r="A2348" s="110" t="s">
        <v>7238</v>
      </c>
      <c r="B2348" s="110" t="s">
        <v>1321</v>
      </c>
      <c r="C2348" s="111" t="s">
        <v>7239</v>
      </c>
      <c r="D2348" s="111" t="str">
        <f t="shared" ref="D2348:E2348" si="2346">TRIM(B2348)</f>
        <v>California</v>
      </c>
      <c r="E2348" s="111" t="str">
        <f t="shared" si="2346"/>
        <v>Tehachapi</v>
      </c>
    </row>
    <row r="2349" spans="1:5">
      <c r="A2349" s="3" t="s">
        <v>7241</v>
      </c>
      <c r="B2349" s="110" t="s">
        <v>1321</v>
      </c>
      <c r="C2349" s="111" t="s">
        <v>7239</v>
      </c>
      <c r="D2349" s="111" t="str">
        <f t="shared" ref="D2349:E2349" si="2347">TRIM(B2349)</f>
        <v>California</v>
      </c>
      <c r="E2349" s="111" t="str">
        <f t="shared" si="2347"/>
        <v>Tehachapi</v>
      </c>
    </row>
    <row r="2350" spans="1:5">
      <c r="A2350" s="3" t="s">
        <v>3224</v>
      </c>
      <c r="B2350" s="110" t="s">
        <v>1321</v>
      </c>
      <c r="C2350" s="111" t="s">
        <v>292</v>
      </c>
      <c r="D2350" s="111" t="str">
        <f t="shared" ref="D2350:E2350" si="2348">TRIM(B2350)</f>
        <v>California</v>
      </c>
      <c r="E2350" s="111" t="str">
        <f t="shared" si="2348"/>
        <v>Temecula</v>
      </c>
    </row>
    <row r="2351" spans="1:5">
      <c r="A2351" s="3" t="s">
        <v>7244</v>
      </c>
      <c r="B2351" s="110" t="s">
        <v>1321</v>
      </c>
      <c r="C2351" s="111" t="s">
        <v>292</v>
      </c>
      <c r="D2351" s="111" t="str">
        <f t="shared" ref="D2351:E2351" si="2349">TRIM(B2351)</f>
        <v>California</v>
      </c>
      <c r="E2351" s="111" t="str">
        <f t="shared" si="2349"/>
        <v>Temecula</v>
      </c>
    </row>
    <row r="2352" spans="1:5">
      <c r="A2352" s="3" t="s">
        <v>7245</v>
      </c>
      <c r="B2352" s="110" t="s">
        <v>1321</v>
      </c>
      <c r="C2352" s="111" t="s">
        <v>292</v>
      </c>
      <c r="D2352" s="111" t="str">
        <f t="shared" ref="D2352:E2352" si="2350">TRIM(B2352)</f>
        <v>California</v>
      </c>
      <c r="E2352" s="111" t="str">
        <f t="shared" si="2350"/>
        <v>Temecula</v>
      </c>
    </row>
    <row r="2353" spans="1:5">
      <c r="A2353" s="3" t="s">
        <v>7248</v>
      </c>
      <c r="B2353" s="110" t="s">
        <v>1321</v>
      </c>
      <c r="C2353" s="111" t="s">
        <v>7250</v>
      </c>
      <c r="D2353" s="111" t="str">
        <f t="shared" ref="D2353:E2353" si="2351">TRIM(B2353)</f>
        <v>California</v>
      </c>
      <c r="E2353" s="111" t="str">
        <f t="shared" si="2351"/>
        <v>Temple City</v>
      </c>
    </row>
    <row r="2354" spans="1:5">
      <c r="A2354" s="3" t="s">
        <v>7251</v>
      </c>
      <c r="B2354" s="110" t="s">
        <v>1321</v>
      </c>
      <c r="C2354" s="111" t="s">
        <v>7252</v>
      </c>
      <c r="D2354" s="111" t="str">
        <f t="shared" ref="D2354:E2354" si="2352">TRIM(B2354)</f>
        <v>California</v>
      </c>
      <c r="E2354" s="111" t="str">
        <f t="shared" si="2352"/>
        <v>Templeton</v>
      </c>
    </row>
    <row r="2355" spans="1:5">
      <c r="A2355" s="3" t="s">
        <v>7255</v>
      </c>
      <c r="B2355" s="110" t="s">
        <v>1321</v>
      </c>
      <c r="C2355" s="111" t="s">
        <v>7256</v>
      </c>
      <c r="D2355" s="111" t="str">
        <f t="shared" ref="D2355:E2355" si="2353">TRIM(B2355)</f>
        <v>California</v>
      </c>
      <c r="E2355" s="111" t="str">
        <f t="shared" si="2353"/>
        <v>Thermal</v>
      </c>
    </row>
    <row r="2356" spans="1:5">
      <c r="A2356" s="3" t="s">
        <v>7258</v>
      </c>
      <c r="B2356" s="110" t="s">
        <v>1321</v>
      </c>
      <c r="C2356" s="111" t="s">
        <v>7256</v>
      </c>
      <c r="D2356" s="111" t="str">
        <f t="shared" ref="D2356:E2356" si="2354">TRIM(B2356)</f>
        <v>California</v>
      </c>
      <c r="E2356" s="111" t="str">
        <f t="shared" si="2354"/>
        <v>Thermal</v>
      </c>
    </row>
    <row r="2357" spans="1:5">
      <c r="A2357" s="3" t="s">
        <v>7259</v>
      </c>
      <c r="B2357" s="110" t="s">
        <v>1321</v>
      </c>
      <c r="C2357" s="111" t="s">
        <v>7260</v>
      </c>
      <c r="D2357" s="111" t="str">
        <f t="shared" ref="D2357:E2357" si="2355">TRIM(B2357)</f>
        <v>California</v>
      </c>
      <c r="E2357" s="111" t="str">
        <f t="shared" si="2355"/>
        <v>Thousand Oaks</v>
      </c>
    </row>
    <row r="2358" spans="1:5">
      <c r="A2358" s="3" t="s">
        <v>5883</v>
      </c>
      <c r="B2358" s="110" t="s">
        <v>1321</v>
      </c>
      <c r="C2358" s="111" t="s">
        <v>7264</v>
      </c>
      <c r="D2358" s="111" t="str">
        <f t="shared" ref="D2358:E2358" si="2356">TRIM(B2358)</f>
        <v>California</v>
      </c>
      <c r="E2358" s="111" t="str">
        <f t="shared" si="2356"/>
        <v>Tollhouse</v>
      </c>
    </row>
    <row r="2359" spans="1:5">
      <c r="A2359" s="3" t="s">
        <v>7265</v>
      </c>
      <c r="B2359" s="110" t="s">
        <v>1321</v>
      </c>
      <c r="C2359" s="111" t="s">
        <v>7266</v>
      </c>
      <c r="D2359" s="111" t="str">
        <f t="shared" ref="D2359:E2359" si="2357">TRIM(B2359)</f>
        <v>California</v>
      </c>
      <c r="E2359" s="111" t="str">
        <f t="shared" si="2357"/>
        <v>Tomales</v>
      </c>
    </row>
    <row r="2360" spans="1:5">
      <c r="A2360" s="3" t="s">
        <v>3069</v>
      </c>
      <c r="B2360" s="110" t="s">
        <v>1321</v>
      </c>
      <c r="C2360" s="111" t="s">
        <v>403</v>
      </c>
      <c r="D2360" s="111" t="str">
        <f t="shared" ref="D2360:E2360" si="2358">TRIM(B2360)</f>
        <v>California</v>
      </c>
      <c r="E2360" s="111" t="str">
        <f t="shared" si="2358"/>
        <v>Torrance</v>
      </c>
    </row>
    <row r="2361" spans="1:5">
      <c r="A2361" s="3" t="s">
        <v>4439</v>
      </c>
      <c r="B2361" s="110" t="s">
        <v>1321</v>
      </c>
      <c r="C2361" s="111" t="s">
        <v>403</v>
      </c>
      <c r="D2361" s="111" t="str">
        <f t="shared" ref="D2361:E2361" si="2359">TRIM(B2361)</f>
        <v>California</v>
      </c>
      <c r="E2361" s="111" t="str">
        <f t="shared" si="2359"/>
        <v>Torrance</v>
      </c>
    </row>
    <row r="2362" spans="1:5">
      <c r="A2362" s="3" t="s">
        <v>7269</v>
      </c>
      <c r="B2362" s="110" t="s">
        <v>1321</v>
      </c>
      <c r="C2362" s="111" t="s">
        <v>403</v>
      </c>
      <c r="D2362" s="111" t="str">
        <f t="shared" ref="D2362:E2362" si="2360">TRIM(B2362)</f>
        <v>California</v>
      </c>
      <c r="E2362" s="111" t="str">
        <f t="shared" si="2360"/>
        <v>Torrance</v>
      </c>
    </row>
    <row r="2363" spans="1:5">
      <c r="A2363" s="3" t="s">
        <v>2304</v>
      </c>
      <c r="B2363" s="110" t="s">
        <v>1321</v>
      </c>
      <c r="C2363" s="111" t="s">
        <v>403</v>
      </c>
      <c r="D2363" s="111" t="str">
        <f t="shared" ref="D2363:E2363" si="2361">TRIM(B2363)</f>
        <v>California</v>
      </c>
      <c r="E2363" s="111" t="str">
        <f t="shared" si="2361"/>
        <v>Torrance</v>
      </c>
    </row>
    <row r="2364" spans="1:5">
      <c r="A2364" s="3" t="s">
        <v>7272</v>
      </c>
      <c r="B2364" s="110" t="s">
        <v>1321</v>
      </c>
      <c r="C2364" s="111" t="s">
        <v>7273</v>
      </c>
      <c r="D2364" s="111" t="str">
        <f t="shared" ref="D2364:E2364" si="2362">TRIM(B2364)</f>
        <v>California</v>
      </c>
      <c r="E2364" s="111" t="str">
        <f t="shared" si="2362"/>
        <v>Tracy</v>
      </c>
    </row>
    <row r="2365" spans="1:5">
      <c r="A2365" s="3" t="s">
        <v>7276</v>
      </c>
      <c r="B2365" s="110" t="s">
        <v>1321</v>
      </c>
      <c r="C2365" s="111" t="s">
        <v>7273</v>
      </c>
      <c r="D2365" s="111" t="str">
        <f t="shared" ref="D2365:E2365" si="2363">TRIM(B2365)</f>
        <v>California</v>
      </c>
      <c r="E2365" s="111" t="str">
        <f t="shared" si="2363"/>
        <v>Tracy</v>
      </c>
    </row>
    <row r="2366" spans="1:5">
      <c r="A2366" s="110" t="s">
        <v>7278</v>
      </c>
      <c r="B2366" s="110" t="s">
        <v>1321</v>
      </c>
      <c r="C2366" s="111" t="s">
        <v>7273</v>
      </c>
      <c r="D2366" s="111" t="str">
        <f t="shared" ref="D2366:E2366" si="2364">TRIM(B2366)</f>
        <v>California</v>
      </c>
      <c r="E2366" s="111" t="str">
        <f t="shared" si="2364"/>
        <v>Tracy</v>
      </c>
    </row>
    <row r="2367" spans="1:5">
      <c r="A2367" s="3" t="s">
        <v>7279</v>
      </c>
      <c r="B2367" s="110" t="s">
        <v>1321</v>
      </c>
      <c r="C2367" s="111" t="s">
        <v>7273</v>
      </c>
      <c r="D2367" s="111" t="str">
        <f t="shared" ref="D2367:E2367" si="2365">TRIM(B2367)</f>
        <v>California</v>
      </c>
      <c r="E2367" s="111" t="str">
        <f t="shared" si="2365"/>
        <v>Tracy</v>
      </c>
    </row>
    <row r="2368" spans="1:5">
      <c r="A2368" s="3" t="s">
        <v>7283</v>
      </c>
      <c r="B2368" s="110" t="s">
        <v>1321</v>
      </c>
      <c r="C2368" s="111" t="s">
        <v>7284</v>
      </c>
      <c r="D2368" s="111" t="str">
        <f t="shared" ref="D2368:E2368" si="2366">TRIM(B2368)</f>
        <v>California</v>
      </c>
      <c r="E2368" s="111" t="str">
        <f t="shared" si="2366"/>
        <v>Trona</v>
      </c>
    </row>
    <row r="2369" spans="1:5">
      <c r="A2369" s="3" t="s">
        <v>7285</v>
      </c>
      <c r="B2369" s="110" t="s">
        <v>1321</v>
      </c>
      <c r="C2369" s="111" t="s">
        <v>7286</v>
      </c>
      <c r="D2369" s="111" t="str">
        <f t="shared" ref="D2369:E2369" si="2367">TRIM(B2369)</f>
        <v>California</v>
      </c>
      <c r="E2369" s="111" t="str">
        <f t="shared" si="2367"/>
        <v>Truckee</v>
      </c>
    </row>
    <row r="2370" spans="1:5">
      <c r="A2370" s="3" t="s">
        <v>7289</v>
      </c>
      <c r="B2370" s="110" t="s">
        <v>1321</v>
      </c>
      <c r="C2370" s="111" t="s">
        <v>7290</v>
      </c>
      <c r="D2370" s="111" t="str">
        <f t="shared" ref="D2370:E2370" si="2368">TRIM(B2370)</f>
        <v>California</v>
      </c>
      <c r="E2370" s="111" t="str">
        <f t="shared" si="2368"/>
        <v>Tujunga</v>
      </c>
    </row>
    <row r="2371" spans="1:5">
      <c r="A2371" s="3" t="s">
        <v>7292</v>
      </c>
      <c r="B2371" s="110" t="s">
        <v>1321</v>
      </c>
      <c r="C2371" s="111" t="s">
        <v>546</v>
      </c>
      <c r="D2371" s="111" t="str">
        <f t="shared" ref="D2371:E2371" si="2369">TRIM(B2371)</f>
        <v>California</v>
      </c>
      <c r="E2371" s="111" t="str">
        <f t="shared" si="2369"/>
        <v>Tulare</v>
      </c>
    </row>
    <row r="2372" spans="1:5">
      <c r="A2372" s="3" t="s">
        <v>7293</v>
      </c>
      <c r="B2372" s="110" t="s">
        <v>1321</v>
      </c>
      <c r="C2372" s="111" t="s">
        <v>546</v>
      </c>
      <c r="D2372" s="111" t="str">
        <f t="shared" ref="D2372:E2372" si="2370">TRIM(B2372)</f>
        <v>California</v>
      </c>
      <c r="E2372" s="111" t="str">
        <f t="shared" si="2370"/>
        <v>Tulare</v>
      </c>
    </row>
    <row r="2373" spans="1:5">
      <c r="A2373" s="3" t="s">
        <v>7295</v>
      </c>
      <c r="B2373" s="110" t="s">
        <v>1321</v>
      </c>
      <c r="C2373" s="111" t="s">
        <v>546</v>
      </c>
      <c r="D2373" s="111" t="str">
        <f t="shared" ref="D2373:E2373" si="2371">TRIM(B2373)</f>
        <v>California</v>
      </c>
      <c r="E2373" s="111" t="str">
        <f t="shared" si="2371"/>
        <v>Tulare</v>
      </c>
    </row>
    <row r="2374" spans="1:5">
      <c r="A2374" s="3" t="s">
        <v>7297</v>
      </c>
      <c r="B2374" s="110" t="s">
        <v>1321</v>
      </c>
      <c r="C2374" s="111" t="s">
        <v>546</v>
      </c>
      <c r="D2374" s="111" t="str">
        <f t="shared" ref="D2374:E2374" si="2372">TRIM(B2374)</f>
        <v>California</v>
      </c>
      <c r="E2374" s="111" t="str">
        <f t="shared" si="2372"/>
        <v>Tulare</v>
      </c>
    </row>
    <row r="2375" spans="1:5">
      <c r="A2375" s="3" t="s">
        <v>7298</v>
      </c>
      <c r="B2375" s="110" t="s">
        <v>1321</v>
      </c>
      <c r="C2375" s="111" t="s">
        <v>546</v>
      </c>
      <c r="D2375" s="111" t="str">
        <f t="shared" ref="D2375:E2375" si="2373">TRIM(B2375)</f>
        <v>California</v>
      </c>
      <c r="E2375" s="111" t="str">
        <f t="shared" si="2373"/>
        <v>Tulare</v>
      </c>
    </row>
    <row r="2376" spans="1:5">
      <c r="A2376" s="3" t="s">
        <v>7299</v>
      </c>
      <c r="B2376" s="110" t="s">
        <v>1321</v>
      </c>
      <c r="C2376" s="111" t="s">
        <v>7300</v>
      </c>
      <c r="D2376" s="111" t="str">
        <f t="shared" ref="D2376:E2376" si="2374">TRIM(B2376)</f>
        <v>California</v>
      </c>
      <c r="E2376" s="111" t="str">
        <f t="shared" si="2374"/>
        <v>Tulelake</v>
      </c>
    </row>
    <row r="2377" spans="1:5">
      <c r="A2377" s="3" t="s">
        <v>7302</v>
      </c>
      <c r="B2377" s="110" t="s">
        <v>1321</v>
      </c>
      <c r="C2377" s="111" t="s">
        <v>7304</v>
      </c>
      <c r="D2377" s="111" t="str">
        <f t="shared" ref="D2377:E2377" si="2375">TRIM(B2377)</f>
        <v>California</v>
      </c>
      <c r="E2377" s="111" t="str">
        <f t="shared" si="2375"/>
        <v>Tuolomne</v>
      </c>
    </row>
    <row r="2378" spans="1:5">
      <c r="A2378" s="3" t="s">
        <v>1584</v>
      </c>
      <c r="B2378" s="110" t="s">
        <v>1321</v>
      </c>
      <c r="C2378" s="111" t="s">
        <v>7306</v>
      </c>
      <c r="D2378" s="111" t="str">
        <f t="shared" ref="D2378:E2378" si="2376">TRIM(B2378)</f>
        <v>California</v>
      </c>
      <c r="E2378" s="111" t="str">
        <f t="shared" si="2376"/>
        <v>Tuolumne</v>
      </c>
    </row>
    <row r="2379" spans="1:5">
      <c r="A2379" s="3" t="s">
        <v>7308</v>
      </c>
      <c r="B2379" s="110" t="s">
        <v>1321</v>
      </c>
      <c r="C2379" s="111" t="s">
        <v>7306</v>
      </c>
      <c r="D2379" s="111" t="str">
        <f t="shared" ref="D2379:E2379" si="2377">TRIM(B2379)</f>
        <v>California</v>
      </c>
      <c r="E2379" s="111" t="str">
        <f t="shared" si="2377"/>
        <v>Tuolumne</v>
      </c>
    </row>
    <row r="2380" spans="1:5">
      <c r="A2380" s="3" t="s">
        <v>7311</v>
      </c>
      <c r="B2380" s="110" t="s">
        <v>1321</v>
      </c>
      <c r="C2380" s="111" t="s">
        <v>7306</v>
      </c>
      <c r="D2380" s="111" t="str">
        <f t="shared" ref="D2380:E2380" si="2378">TRIM(B2380)</f>
        <v>California</v>
      </c>
      <c r="E2380" s="111" t="str">
        <f t="shared" si="2378"/>
        <v>Tuolumne</v>
      </c>
    </row>
    <row r="2381" spans="1:5">
      <c r="A2381" s="3" t="s">
        <v>7312</v>
      </c>
      <c r="B2381" s="110" t="s">
        <v>1321</v>
      </c>
      <c r="C2381" s="111" t="s">
        <v>7306</v>
      </c>
      <c r="D2381" s="111" t="str">
        <f t="shared" ref="D2381:E2381" si="2379">TRIM(B2381)</f>
        <v>California</v>
      </c>
      <c r="E2381" s="111" t="str">
        <f t="shared" si="2379"/>
        <v>Tuolumne</v>
      </c>
    </row>
    <row r="2382" spans="1:5">
      <c r="A2382" s="110" t="s">
        <v>7315</v>
      </c>
      <c r="B2382" s="110" t="s">
        <v>1321</v>
      </c>
      <c r="C2382" s="111" t="s">
        <v>7316</v>
      </c>
      <c r="D2382" s="111" t="str">
        <f t="shared" ref="D2382:E2382" si="2380">TRIM(B2382)</f>
        <v>California</v>
      </c>
      <c r="E2382" s="111" t="str">
        <f t="shared" si="2380"/>
        <v>Turlock</v>
      </c>
    </row>
    <row r="2383" spans="1:5">
      <c r="A2383" s="3" t="s">
        <v>7318</v>
      </c>
      <c r="B2383" s="110" t="s">
        <v>1321</v>
      </c>
      <c r="C2383" s="111" t="s">
        <v>7316</v>
      </c>
      <c r="D2383" s="111" t="str">
        <f t="shared" ref="D2383:E2383" si="2381">TRIM(B2383)</f>
        <v>California</v>
      </c>
      <c r="E2383" s="111" t="str">
        <f t="shared" si="2381"/>
        <v>Turlock</v>
      </c>
    </row>
    <row r="2384" spans="1:5">
      <c r="A2384" s="3" t="s">
        <v>7319</v>
      </c>
      <c r="B2384" s="110" t="s">
        <v>1321</v>
      </c>
      <c r="C2384" s="111" t="s">
        <v>7316</v>
      </c>
      <c r="D2384" s="111" t="str">
        <f t="shared" ref="D2384:E2384" si="2382">TRIM(B2384)</f>
        <v>California</v>
      </c>
      <c r="E2384" s="111" t="str">
        <f t="shared" si="2382"/>
        <v>Turlock</v>
      </c>
    </row>
    <row r="2385" spans="1:5">
      <c r="A2385" s="3" t="s">
        <v>7323</v>
      </c>
      <c r="B2385" s="110" t="s">
        <v>1321</v>
      </c>
      <c r="C2385" s="111" t="s">
        <v>7324</v>
      </c>
      <c r="D2385" s="111" t="str">
        <f t="shared" ref="D2385:E2385" si="2383">TRIM(B2385)</f>
        <v>California</v>
      </c>
      <c r="E2385" s="111" t="str">
        <f t="shared" si="2383"/>
        <v>Tustin</v>
      </c>
    </row>
    <row r="2386" spans="1:5">
      <c r="A2386" s="3" t="s">
        <v>4423</v>
      </c>
      <c r="B2386" s="110" t="s">
        <v>1321</v>
      </c>
      <c r="C2386" s="111" t="s">
        <v>7324</v>
      </c>
      <c r="D2386" s="111" t="str">
        <f t="shared" ref="D2386:E2386" si="2384">TRIM(B2386)</f>
        <v>California</v>
      </c>
      <c r="E2386" s="111" t="str">
        <f t="shared" si="2384"/>
        <v>Tustin</v>
      </c>
    </row>
    <row r="2387" spans="1:5">
      <c r="A2387" s="3" t="s">
        <v>7327</v>
      </c>
      <c r="B2387" s="110" t="s">
        <v>1321</v>
      </c>
      <c r="C2387" s="111" t="s">
        <v>7324</v>
      </c>
      <c r="D2387" s="111" t="str">
        <f t="shared" ref="D2387:E2387" si="2385">TRIM(B2387)</f>
        <v>California</v>
      </c>
      <c r="E2387" s="111" t="str">
        <f t="shared" si="2385"/>
        <v>Tustin</v>
      </c>
    </row>
    <row r="2388" spans="1:5">
      <c r="A2388" s="3" t="s">
        <v>7328</v>
      </c>
      <c r="B2388" s="110" t="s">
        <v>1321</v>
      </c>
      <c r="C2388" s="113" t="s">
        <v>7329</v>
      </c>
      <c r="D2388" s="111" t="str">
        <f t="shared" ref="D2388:E2388" si="2386">TRIM(B2388)</f>
        <v>California</v>
      </c>
      <c r="E2388" s="111" t="str">
        <f t="shared" si="2386"/>
        <v>Twentynine Palms</v>
      </c>
    </row>
    <row r="2389" spans="1:5">
      <c r="A2389" s="3" t="s">
        <v>7332</v>
      </c>
      <c r="B2389" s="110" t="s">
        <v>1321</v>
      </c>
      <c r="C2389" s="113" t="s">
        <v>7329</v>
      </c>
      <c r="D2389" s="111" t="str">
        <f t="shared" ref="D2389:E2389" si="2387">TRIM(B2389)</f>
        <v>California</v>
      </c>
      <c r="E2389" s="111" t="str">
        <f t="shared" si="2387"/>
        <v>Twentynine Palms</v>
      </c>
    </row>
    <row r="2390" spans="1:5">
      <c r="A2390" s="3" t="s">
        <v>7334</v>
      </c>
      <c r="B2390" s="110" t="s">
        <v>1321</v>
      </c>
      <c r="C2390" s="111" t="s">
        <v>7335</v>
      </c>
      <c r="D2390" s="111" t="str">
        <f t="shared" ref="D2390:E2390" si="2388">TRIM(B2390)</f>
        <v>California</v>
      </c>
      <c r="E2390" s="111" t="str">
        <f t="shared" si="2388"/>
        <v>Ukiah</v>
      </c>
    </row>
    <row r="2391" spans="1:5">
      <c r="A2391" s="3" t="s">
        <v>7337</v>
      </c>
      <c r="B2391" s="110" t="s">
        <v>1321</v>
      </c>
      <c r="C2391" s="111" t="s">
        <v>7335</v>
      </c>
      <c r="D2391" s="111" t="str">
        <f t="shared" ref="D2391:E2391" si="2389">TRIM(B2391)</f>
        <v>California</v>
      </c>
      <c r="E2391" s="111" t="str">
        <f t="shared" si="2389"/>
        <v>Ukiah</v>
      </c>
    </row>
    <row r="2392" spans="1:5">
      <c r="A2392" s="3" t="s">
        <v>7339</v>
      </c>
      <c r="B2392" s="110" t="s">
        <v>1321</v>
      </c>
      <c r="C2392" s="111" t="s">
        <v>7340</v>
      </c>
      <c r="D2392" s="111" t="str">
        <f t="shared" ref="D2392:E2392" si="2390">TRIM(B2392)</f>
        <v>California</v>
      </c>
      <c r="E2392" s="111" t="str">
        <f t="shared" si="2390"/>
        <v>Union City</v>
      </c>
    </row>
    <row r="2393" spans="1:5">
      <c r="A2393" s="3" t="s">
        <v>7341</v>
      </c>
      <c r="B2393" s="110" t="s">
        <v>1321</v>
      </c>
      <c r="C2393" s="111" t="s">
        <v>7342</v>
      </c>
      <c r="D2393" s="111" t="str">
        <f t="shared" ref="D2393:E2393" si="2391">TRIM(B2393)</f>
        <v>California</v>
      </c>
      <c r="E2393" s="111" t="str">
        <f t="shared" si="2391"/>
        <v>Upland</v>
      </c>
    </row>
    <row r="2394" spans="1:5">
      <c r="A2394" s="3" t="s">
        <v>7346</v>
      </c>
      <c r="B2394" s="110" t="s">
        <v>1321</v>
      </c>
      <c r="C2394" s="111" t="s">
        <v>7342</v>
      </c>
      <c r="D2394" s="111" t="str">
        <f t="shared" ref="D2394:E2394" si="2392">TRIM(B2394)</f>
        <v>California</v>
      </c>
      <c r="E2394" s="111" t="str">
        <f t="shared" si="2392"/>
        <v>Upland</v>
      </c>
    </row>
    <row r="2395" spans="1:5">
      <c r="A2395" s="3" t="s">
        <v>7348</v>
      </c>
      <c r="B2395" s="110" t="s">
        <v>1321</v>
      </c>
      <c r="C2395" s="111" t="s">
        <v>7349</v>
      </c>
      <c r="D2395" s="111" t="str">
        <f t="shared" ref="D2395:E2395" si="2393">TRIM(B2395)</f>
        <v>California</v>
      </c>
      <c r="E2395" s="111" t="str">
        <f t="shared" si="2393"/>
        <v>Upper Lake</v>
      </c>
    </row>
    <row r="2396" spans="1:5">
      <c r="A2396" s="3" t="s">
        <v>7351</v>
      </c>
      <c r="B2396" s="110" t="s">
        <v>1321</v>
      </c>
      <c r="C2396" s="111" t="s">
        <v>7352</v>
      </c>
      <c r="D2396" s="111" t="str">
        <f t="shared" ref="D2396:E2396" si="2394">TRIM(B2396)</f>
        <v>California</v>
      </c>
      <c r="E2396" s="111" t="str">
        <f t="shared" si="2394"/>
        <v>Vacaville</v>
      </c>
    </row>
    <row r="2397" spans="1:5">
      <c r="A2397" s="3" t="s">
        <v>7354</v>
      </c>
      <c r="B2397" s="110" t="s">
        <v>1321</v>
      </c>
      <c r="C2397" s="111" t="s">
        <v>7352</v>
      </c>
      <c r="D2397" s="111" t="str">
        <f t="shared" ref="D2397:E2397" si="2395">TRIM(B2397)</f>
        <v>California</v>
      </c>
      <c r="E2397" s="111" t="str">
        <f t="shared" si="2395"/>
        <v>Vacaville</v>
      </c>
    </row>
    <row r="2398" spans="1:5">
      <c r="A2398" s="3" t="s">
        <v>7355</v>
      </c>
      <c r="B2398" s="110" t="s">
        <v>1321</v>
      </c>
      <c r="C2398" s="111" t="s">
        <v>7352</v>
      </c>
      <c r="D2398" s="111" t="str">
        <f t="shared" ref="D2398:E2398" si="2396">TRIM(B2398)</f>
        <v>California</v>
      </c>
      <c r="E2398" s="111" t="str">
        <f t="shared" si="2396"/>
        <v>Vacaville</v>
      </c>
    </row>
    <row r="2399" spans="1:5">
      <c r="A2399" s="3" t="s">
        <v>6393</v>
      </c>
      <c r="B2399" s="110" t="s">
        <v>1321</v>
      </c>
      <c r="C2399" s="111" t="s">
        <v>2662</v>
      </c>
      <c r="D2399" s="111" t="str">
        <f t="shared" ref="D2399:E2399" si="2397">TRIM(B2399)</f>
        <v>California</v>
      </c>
      <c r="E2399" s="111" t="str">
        <f t="shared" si="2397"/>
        <v>Valencia</v>
      </c>
    </row>
    <row r="2400" spans="1:5">
      <c r="A2400" s="3" t="s">
        <v>7359</v>
      </c>
      <c r="B2400" s="110" t="s">
        <v>1321</v>
      </c>
      <c r="C2400" s="111" t="s">
        <v>2662</v>
      </c>
      <c r="D2400" s="111" t="str">
        <f t="shared" ref="D2400:E2400" si="2398">TRIM(B2400)</f>
        <v>California</v>
      </c>
      <c r="E2400" s="111" t="str">
        <f t="shared" si="2398"/>
        <v>Valencia</v>
      </c>
    </row>
    <row r="2401" spans="1:5">
      <c r="A2401" s="3" t="s">
        <v>7360</v>
      </c>
      <c r="B2401" s="110" t="s">
        <v>1321</v>
      </c>
      <c r="C2401" s="111" t="s">
        <v>985</v>
      </c>
      <c r="D2401" s="111" t="str">
        <f t="shared" ref="D2401:E2401" si="2399">TRIM(B2401)</f>
        <v>California</v>
      </c>
      <c r="E2401" s="111" t="str">
        <f t="shared" si="2399"/>
        <v>Vallejo</v>
      </c>
    </row>
    <row r="2402" spans="1:5">
      <c r="A2402" s="3" t="s">
        <v>7362</v>
      </c>
      <c r="B2402" s="110" t="s">
        <v>1321</v>
      </c>
      <c r="C2402" s="111" t="s">
        <v>985</v>
      </c>
      <c r="D2402" s="111" t="str">
        <f t="shared" ref="D2402:E2402" si="2400">TRIM(B2402)</f>
        <v>California</v>
      </c>
      <c r="E2402" s="111" t="str">
        <f t="shared" si="2400"/>
        <v>Vallejo</v>
      </c>
    </row>
    <row r="2403" spans="1:5">
      <c r="A2403" s="3" t="s">
        <v>7363</v>
      </c>
      <c r="B2403" s="110" t="s">
        <v>1321</v>
      </c>
      <c r="C2403" s="111" t="s">
        <v>985</v>
      </c>
      <c r="D2403" s="111" t="str">
        <f t="shared" ref="D2403:E2403" si="2401">TRIM(B2403)</f>
        <v>California</v>
      </c>
      <c r="E2403" s="111" t="str">
        <f t="shared" si="2401"/>
        <v>Vallejo</v>
      </c>
    </row>
    <row r="2404" spans="1:5">
      <c r="A2404" s="110" t="s">
        <v>7364</v>
      </c>
      <c r="B2404" s="110" t="s">
        <v>1321</v>
      </c>
      <c r="C2404" s="111" t="s">
        <v>7365</v>
      </c>
      <c r="D2404" s="111" t="str">
        <f t="shared" ref="D2404:E2404" si="2402">TRIM(B2404)</f>
        <v>California</v>
      </c>
      <c r="E2404" s="111" t="str">
        <f t="shared" si="2402"/>
        <v>Valley Center</v>
      </c>
    </row>
    <row r="2405" spans="1:5">
      <c r="A2405" s="3" t="s">
        <v>7369</v>
      </c>
      <c r="B2405" s="110" t="s">
        <v>1321</v>
      </c>
      <c r="C2405" s="111" t="s">
        <v>7365</v>
      </c>
      <c r="D2405" s="111" t="str">
        <f t="shared" ref="D2405:E2405" si="2403">TRIM(B2405)</f>
        <v>California</v>
      </c>
      <c r="E2405" s="111" t="str">
        <f t="shared" si="2403"/>
        <v>Valley Center</v>
      </c>
    </row>
    <row r="2406" spans="1:5">
      <c r="A2406" s="3" t="s">
        <v>7370</v>
      </c>
      <c r="B2406" s="110" t="s">
        <v>1321</v>
      </c>
      <c r="C2406" s="111" t="s">
        <v>7371</v>
      </c>
      <c r="D2406" s="111" t="str">
        <f t="shared" ref="D2406:E2406" si="2404">TRIM(B2406)</f>
        <v>California</v>
      </c>
      <c r="E2406" s="111" t="str">
        <f t="shared" si="2404"/>
        <v>Valley Village</v>
      </c>
    </row>
    <row r="2407" spans="1:5">
      <c r="A2407" s="3" t="s">
        <v>7374</v>
      </c>
      <c r="B2407" s="110" t="s">
        <v>1321</v>
      </c>
      <c r="C2407" s="111" t="s">
        <v>396</v>
      </c>
      <c r="D2407" s="111" t="str">
        <f t="shared" ref="D2407:E2407" si="2405">TRIM(B2407)</f>
        <v>California</v>
      </c>
      <c r="E2407" s="111" t="str">
        <f t="shared" si="2405"/>
        <v>Van Nuys</v>
      </c>
    </row>
    <row r="2408" spans="1:5">
      <c r="A2408" s="3" t="s">
        <v>7376</v>
      </c>
      <c r="B2408" s="110" t="s">
        <v>1321</v>
      </c>
      <c r="C2408" s="111" t="s">
        <v>396</v>
      </c>
      <c r="D2408" s="111" t="str">
        <f t="shared" ref="D2408:E2408" si="2406">TRIM(B2408)</f>
        <v>California</v>
      </c>
      <c r="E2408" s="111" t="str">
        <f t="shared" si="2406"/>
        <v>Van Nuys</v>
      </c>
    </row>
    <row r="2409" spans="1:5">
      <c r="A2409" s="110" t="s">
        <v>7378</v>
      </c>
      <c r="B2409" s="110" t="s">
        <v>1321</v>
      </c>
      <c r="C2409" s="111" t="s">
        <v>396</v>
      </c>
      <c r="D2409" s="111" t="str">
        <f t="shared" ref="D2409:E2409" si="2407">TRIM(B2409)</f>
        <v>California</v>
      </c>
      <c r="E2409" s="111" t="str">
        <f t="shared" si="2407"/>
        <v>Van Nuys</v>
      </c>
    </row>
    <row r="2410" spans="1:5">
      <c r="A2410" s="3" t="s">
        <v>7380</v>
      </c>
      <c r="B2410" s="110" t="s">
        <v>1321</v>
      </c>
      <c r="C2410" s="111" t="s">
        <v>396</v>
      </c>
      <c r="D2410" s="111" t="str">
        <f t="shared" ref="D2410:E2410" si="2408">TRIM(B2410)</f>
        <v>California</v>
      </c>
      <c r="E2410" s="111" t="str">
        <f t="shared" si="2408"/>
        <v>Van Nuys</v>
      </c>
    </row>
    <row r="2411" spans="1:5">
      <c r="A2411" s="3" t="s">
        <v>7383</v>
      </c>
      <c r="B2411" s="110" t="s">
        <v>1321</v>
      </c>
      <c r="C2411" s="111" t="s">
        <v>396</v>
      </c>
      <c r="D2411" s="111" t="str">
        <f t="shared" ref="D2411:E2411" si="2409">TRIM(B2411)</f>
        <v>California</v>
      </c>
      <c r="E2411" s="111" t="str">
        <f t="shared" si="2409"/>
        <v>Van Nuys</v>
      </c>
    </row>
    <row r="2412" spans="1:5">
      <c r="A2412" s="3" t="s">
        <v>3266</v>
      </c>
      <c r="B2412" s="110" t="s">
        <v>1321</v>
      </c>
      <c r="C2412" s="111" t="s">
        <v>7386</v>
      </c>
      <c r="D2412" s="111" t="str">
        <f t="shared" ref="D2412:E2412" si="2410">TRIM(B2412)</f>
        <v>California</v>
      </c>
      <c r="E2412" s="111" t="str">
        <f t="shared" si="2410"/>
        <v>Ventura</v>
      </c>
    </row>
    <row r="2413" spans="1:5">
      <c r="A2413" s="3" t="s">
        <v>7389</v>
      </c>
      <c r="B2413" s="110" t="s">
        <v>1321</v>
      </c>
      <c r="C2413" s="111" t="s">
        <v>7386</v>
      </c>
      <c r="D2413" s="111" t="str">
        <f t="shared" ref="D2413:E2413" si="2411">TRIM(B2413)</f>
        <v>California</v>
      </c>
      <c r="E2413" s="111" t="str">
        <f t="shared" si="2411"/>
        <v>Ventura</v>
      </c>
    </row>
    <row r="2414" spans="1:5">
      <c r="A2414" s="3" t="s">
        <v>7391</v>
      </c>
      <c r="B2414" s="110" t="s">
        <v>1321</v>
      </c>
      <c r="C2414" s="111" t="s">
        <v>7386</v>
      </c>
      <c r="D2414" s="111" t="str">
        <f t="shared" ref="D2414:E2414" si="2412">TRIM(B2414)</f>
        <v>California</v>
      </c>
      <c r="E2414" s="111" t="str">
        <f t="shared" si="2412"/>
        <v>Ventura</v>
      </c>
    </row>
    <row r="2415" spans="1:5">
      <c r="A2415" s="3" t="s">
        <v>7392</v>
      </c>
      <c r="B2415" s="110" t="s">
        <v>1321</v>
      </c>
      <c r="C2415" s="111" t="s">
        <v>7394</v>
      </c>
      <c r="D2415" s="111" t="str">
        <f t="shared" ref="D2415:E2415" si="2413">TRIM(B2415)</f>
        <v>California</v>
      </c>
      <c r="E2415" s="111" t="str">
        <f t="shared" si="2413"/>
        <v>Victorville</v>
      </c>
    </row>
    <row r="2416" spans="1:5">
      <c r="A2416" s="110" t="s">
        <v>7396</v>
      </c>
      <c r="B2416" s="110" t="s">
        <v>1321</v>
      </c>
      <c r="C2416" s="111" t="s">
        <v>7394</v>
      </c>
      <c r="D2416" s="111" t="str">
        <f t="shared" ref="D2416:E2416" si="2414">TRIM(B2416)</f>
        <v>California</v>
      </c>
      <c r="E2416" s="111" t="str">
        <f t="shared" si="2414"/>
        <v>Victorville</v>
      </c>
    </row>
    <row r="2417" spans="1:5">
      <c r="A2417" s="110" t="s">
        <v>7397</v>
      </c>
      <c r="B2417" s="110" t="s">
        <v>1321</v>
      </c>
      <c r="C2417" s="111" t="s">
        <v>7394</v>
      </c>
      <c r="D2417" s="111" t="str">
        <f t="shared" ref="D2417:E2417" si="2415">TRIM(B2417)</f>
        <v>California</v>
      </c>
      <c r="E2417" s="111" t="str">
        <f t="shared" si="2415"/>
        <v>Victorville</v>
      </c>
    </row>
    <row r="2418" spans="1:5">
      <c r="A2418" s="3" t="s">
        <v>7398</v>
      </c>
      <c r="B2418" s="110" t="s">
        <v>1321</v>
      </c>
      <c r="C2418" s="111" t="s">
        <v>7394</v>
      </c>
      <c r="D2418" s="111" t="str">
        <f t="shared" ref="D2418:E2418" si="2416">TRIM(B2418)</f>
        <v>California</v>
      </c>
      <c r="E2418" s="111" t="str">
        <f t="shared" si="2416"/>
        <v>Victorville</v>
      </c>
    </row>
    <row r="2419" spans="1:5">
      <c r="A2419" s="3" t="s">
        <v>7401</v>
      </c>
      <c r="B2419" s="110" t="s">
        <v>1321</v>
      </c>
      <c r="C2419" s="111" t="s">
        <v>7394</v>
      </c>
      <c r="D2419" s="111" t="str">
        <f t="shared" ref="D2419:E2419" si="2417">TRIM(B2419)</f>
        <v>California</v>
      </c>
      <c r="E2419" s="111" t="str">
        <f t="shared" si="2417"/>
        <v>Victorville</v>
      </c>
    </row>
    <row r="2420" spans="1:5">
      <c r="A2420" s="110" t="s">
        <v>6481</v>
      </c>
      <c r="B2420" s="110" t="s">
        <v>1321</v>
      </c>
      <c r="C2420" s="111" t="s">
        <v>7394</v>
      </c>
      <c r="D2420" s="111" t="str">
        <f t="shared" ref="D2420:E2420" si="2418">TRIM(B2420)</f>
        <v>California</v>
      </c>
      <c r="E2420" s="111" t="str">
        <f t="shared" si="2418"/>
        <v>Victorville</v>
      </c>
    </row>
    <row r="2421" spans="1:5">
      <c r="A2421" s="3" t="s">
        <v>7403</v>
      </c>
      <c r="B2421" s="110" t="s">
        <v>1321</v>
      </c>
      <c r="C2421" s="111" t="s">
        <v>7394</v>
      </c>
      <c r="D2421" s="111" t="str">
        <f t="shared" ref="D2421:E2421" si="2419">TRIM(B2421)</f>
        <v>California</v>
      </c>
      <c r="E2421" s="111" t="str">
        <f t="shared" si="2419"/>
        <v>Victorville</v>
      </c>
    </row>
    <row r="2422" spans="1:5">
      <c r="A2422" s="3" t="s">
        <v>7405</v>
      </c>
      <c r="B2422" s="110" t="s">
        <v>1321</v>
      </c>
      <c r="C2422" s="111" t="s">
        <v>6867</v>
      </c>
      <c r="D2422" s="111" t="str">
        <f t="shared" ref="D2422:E2422" si="2420">TRIM(B2422)</f>
        <v>California</v>
      </c>
      <c r="E2422" s="111" t="str">
        <f t="shared" si="2420"/>
        <v>Villa Park</v>
      </c>
    </row>
    <row r="2423" spans="1:5">
      <c r="A2423" s="3" t="s">
        <v>7407</v>
      </c>
      <c r="B2423" s="110" t="s">
        <v>1321</v>
      </c>
      <c r="C2423" s="111" t="s">
        <v>7408</v>
      </c>
      <c r="D2423" s="111" t="str">
        <f t="shared" ref="D2423:E2423" si="2421">TRIM(B2423)</f>
        <v>California</v>
      </c>
      <c r="E2423" s="111" t="str">
        <f t="shared" si="2421"/>
        <v>Visalia</v>
      </c>
    </row>
    <row r="2424" spans="1:5">
      <c r="A2424" s="3" t="s">
        <v>7409</v>
      </c>
      <c r="B2424" s="110" t="s">
        <v>1321</v>
      </c>
      <c r="C2424" s="111" t="s">
        <v>7408</v>
      </c>
      <c r="D2424" s="111" t="str">
        <f t="shared" ref="D2424:E2424" si="2422">TRIM(B2424)</f>
        <v>California</v>
      </c>
      <c r="E2424" s="111" t="str">
        <f t="shared" si="2422"/>
        <v>Visalia</v>
      </c>
    </row>
    <row r="2425" spans="1:5">
      <c r="A2425" s="3" t="s">
        <v>7412</v>
      </c>
      <c r="B2425" s="110" t="s">
        <v>1321</v>
      </c>
      <c r="C2425" s="111" t="s">
        <v>7408</v>
      </c>
      <c r="D2425" s="111" t="str">
        <f t="shared" ref="D2425:E2425" si="2423">TRIM(B2425)</f>
        <v>California</v>
      </c>
      <c r="E2425" s="111" t="str">
        <f t="shared" si="2423"/>
        <v>Visalia</v>
      </c>
    </row>
    <row r="2426" spans="1:5">
      <c r="A2426" s="3" t="s">
        <v>6564</v>
      </c>
      <c r="B2426" s="110" t="s">
        <v>1321</v>
      </c>
      <c r="C2426" s="111" t="s">
        <v>7408</v>
      </c>
      <c r="D2426" s="111" t="str">
        <f t="shared" ref="D2426:E2426" si="2424">TRIM(B2426)</f>
        <v>California</v>
      </c>
      <c r="E2426" s="111" t="str">
        <f t="shared" si="2424"/>
        <v>Visalia</v>
      </c>
    </row>
    <row r="2427" spans="1:5">
      <c r="A2427" s="3" t="s">
        <v>7414</v>
      </c>
      <c r="B2427" s="110" t="s">
        <v>1321</v>
      </c>
      <c r="C2427" s="111" t="s">
        <v>7408</v>
      </c>
      <c r="D2427" s="111" t="str">
        <f t="shared" ref="D2427:E2427" si="2425">TRIM(B2427)</f>
        <v>California</v>
      </c>
      <c r="E2427" s="111" t="str">
        <f t="shared" si="2425"/>
        <v>Visalia</v>
      </c>
    </row>
    <row r="2428" spans="1:5">
      <c r="A2428" s="3" t="s">
        <v>5465</v>
      </c>
      <c r="B2428" s="110" t="s">
        <v>1321</v>
      </c>
      <c r="C2428" s="111" t="s">
        <v>7408</v>
      </c>
      <c r="D2428" s="111" t="str">
        <f t="shared" ref="D2428:E2428" si="2426">TRIM(B2428)</f>
        <v>California</v>
      </c>
      <c r="E2428" s="111" t="str">
        <f t="shared" si="2426"/>
        <v>Visalia</v>
      </c>
    </row>
    <row r="2429" spans="1:5">
      <c r="A2429" s="3" t="s">
        <v>7418</v>
      </c>
      <c r="B2429" s="110" t="s">
        <v>1321</v>
      </c>
      <c r="C2429" s="111" t="s">
        <v>7408</v>
      </c>
      <c r="D2429" s="111" t="str">
        <f t="shared" ref="D2429:E2429" si="2427">TRIM(B2429)</f>
        <v>California</v>
      </c>
      <c r="E2429" s="111" t="str">
        <f t="shared" si="2427"/>
        <v>Visalia</v>
      </c>
    </row>
    <row r="2430" spans="1:5">
      <c r="A2430" s="110" t="s">
        <v>7421</v>
      </c>
      <c r="B2430" s="110" t="s">
        <v>1321</v>
      </c>
      <c r="C2430" s="111" t="s">
        <v>7408</v>
      </c>
      <c r="D2430" s="111" t="str">
        <f t="shared" ref="D2430:E2430" si="2428">TRIM(B2430)</f>
        <v>California</v>
      </c>
      <c r="E2430" s="111" t="str">
        <f t="shared" si="2428"/>
        <v>Visalia</v>
      </c>
    </row>
    <row r="2431" spans="1:5">
      <c r="A2431" s="110" t="s">
        <v>7422</v>
      </c>
      <c r="B2431" s="110" t="s">
        <v>1321</v>
      </c>
      <c r="C2431" s="111" t="s">
        <v>7408</v>
      </c>
      <c r="D2431" s="111" t="str">
        <f t="shared" ref="D2431:E2431" si="2429">TRIM(B2431)</f>
        <v>California</v>
      </c>
      <c r="E2431" s="111" t="str">
        <f t="shared" si="2429"/>
        <v>Visalia</v>
      </c>
    </row>
    <row r="2432" spans="1:5">
      <c r="A2432" s="3" t="s">
        <v>7424</v>
      </c>
      <c r="B2432" s="110" t="s">
        <v>1321</v>
      </c>
      <c r="C2432" s="111" t="s">
        <v>7425</v>
      </c>
      <c r="D2432" s="111" t="str">
        <f t="shared" ref="D2432:E2432" si="2430">TRIM(B2432)</f>
        <v>California</v>
      </c>
      <c r="E2432" s="111" t="str">
        <f t="shared" si="2430"/>
        <v>Vista</v>
      </c>
    </row>
    <row r="2433" spans="1:5">
      <c r="A2433" s="3" t="s">
        <v>7427</v>
      </c>
      <c r="B2433" s="110" t="s">
        <v>1321</v>
      </c>
      <c r="C2433" s="111" t="s">
        <v>7425</v>
      </c>
      <c r="D2433" s="111" t="str">
        <f t="shared" ref="D2433:E2433" si="2431">TRIM(B2433)</f>
        <v>California</v>
      </c>
      <c r="E2433" s="111" t="str">
        <f t="shared" si="2431"/>
        <v>Vista</v>
      </c>
    </row>
    <row r="2434" spans="1:5">
      <c r="A2434" s="3" t="s">
        <v>7428</v>
      </c>
      <c r="B2434" s="110" t="s">
        <v>1321</v>
      </c>
      <c r="C2434" s="111" t="s">
        <v>7425</v>
      </c>
      <c r="D2434" s="111" t="str">
        <f t="shared" ref="D2434:E2434" si="2432">TRIM(B2434)</f>
        <v>California</v>
      </c>
      <c r="E2434" s="111" t="str">
        <f t="shared" si="2432"/>
        <v>Vista</v>
      </c>
    </row>
    <row r="2435" spans="1:5">
      <c r="A2435" s="3" t="s">
        <v>7431</v>
      </c>
      <c r="B2435" s="110" t="s">
        <v>1321</v>
      </c>
      <c r="C2435" s="111" t="s">
        <v>7425</v>
      </c>
      <c r="D2435" s="111" t="str">
        <f t="shared" ref="D2435:E2435" si="2433">TRIM(B2435)</f>
        <v>California</v>
      </c>
      <c r="E2435" s="111" t="str">
        <f t="shared" si="2433"/>
        <v>Vista</v>
      </c>
    </row>
    <row r="2436" spans="1:5">
      <c r="A2436" s="3" t="s">
        <v>7432</v>
      </c>
      <c r="B2436" s="110" t="s">
        <v>1321</v>
      </c>
      <c r="C2436" s="111" t="s">
        <v>7433</v>
      </c>
      <c r="D2436" s="111" t="str">
        <f t="shared" ref="D2436:E2436" si="2434">TRIM(B2436)</f>
        <v>California</v>
      </c>
      <c r="E2436" s="111" t="str">
        <f t="shared" si="2434"/>
        <v>Walnut</v>
      </c>
    </row>
    <row r="2437" spans="1:5">
      <c r="A2437" s="110" t="s">
        <v>7436</v>
      </c>
      <c r="B2437" s="110" t="s">
        <v>1321</v>
      </c>
      <c r="C2437" s="111" t="s">
        <v>7437</v>
      </c>
      <c r="D2437" s="111" t="str">
        <f t="shared" ref="D2437:E2437" si="2435">TRIM(B2437)</f>
        <v>California</v>
      </c>
      <c r="E2437" s="111" t="str">
        <f t="shared" si="2435"/>
        <v>Walnut Creek</v>
      </c>
    </row>
    <row r="2438" spans="1:5">
      <c r="A2438" s="3" t="s">
        <v>7438</v>
      </c>
      <c r="B2438" s="110" t="s">
        <v>1321</v>
      </c>
      <c r="C2438" s="111" t="s">
        <v>7437</v>
      </c>
      <c r="D2438" s="111" t="str">
        <f t="shared" ref="D2438:E2438" si="2436">TRIM(B2438)</f>
        <v>California</v>
      </c>
      <c r="E2438" s="111" t="str">
        <f t="shared" si="2436"/>
        <v>Walnut Creek</v>
      </c>
    </row>
    <row r="2439" spans="1:5">
      <c r="A2439" s="3" t="s">
        <v>7441</v>
      </c>
      <c r="B2439" s="110" t="s">
        <v>1321</v>
      </c>
      <c r="C2439" s="111" t="s">
        <v>7437</v>
      </c>
      <c r="D2439" s="111" t="str">
        <f t="shared" ref="D2439:E2439" si="2437">TRIM(B2439)</f>
        <v>California</v>
      </c>
      <c r="E2439" s="111" t="str">
        <f t="shared" si="2437"/>
        <v>Walnut Creek</v>
      </c>
    </row>
    <row r="2440" spans="1:5">
      <c r="A2440" s="3" t="s">
        <v>7443</v>
      </c>
      <c r="B2440" s="110" t="s">
        <v>1321</v>
      </c>
      <c r="C2440" s="111" t="s">
        <v>7444</v>
      </c>
      <c r="D2440" s="111" t="str">
        <f t="shared" ref="D2440:E2440" si="2438">TRIM(B2440)</f>
        <v>California</v>
      </c>
      <c r="E2440" s="111" t="str">
        <f t="shared" si="2438"/>
        <v>Warner Springs</v>
      </c>
    </row>
    <row r="2441" spans="1:5">
      <c r="A2441" s="3" t="s">
        <v>7445</v>
      </c>
      <c r="B2441" s="110" t="s">
        <v>1321</v>
      </c>
      <c r="C2441" s="111" t="s">
        <v>7446</v>
      </c>
      <c r="D2441" s="111" t="str">
        <f t="shared" ref="D2441:E2441" si="2439">TRIM(B2441)</f>
        <v>California</v>
      </c>
      <c r="E2441" s="111" t="str">
        <f t="shared" si="2439"/>
        <v>Wasco</v>
      </c>
    </row>
    <row r="2442" spans="1:5">
      <c r="A2442" s="3" t="s">
        <v>7449</v>
      </c>
      <c r="B2442" s="110" t="s">
        <v>1321</v>
      </c>
      <c r="C2442" s="111" t="s">
        <v>334</v>
      </c>
      <c r="D2442" s="111" t="str">
        <f t="shared" ref="D2442:E2442" si="2440">TRIM(B2442)</f>
        <v>California</v>
      </c>
      <c r="E2442" s="111" t="str">
        <f t="shared" si="2440"/>
        <v>Waterford</v>
      </c>
    </row>
    <row r="2443" spans="1:5">
      <c r="A2443" s="3" t="s">
        <v>7450</v>
      </c>
      <c r="B2443" s="110" t="s">
        <v>1321</v>
      </c>
      <c r="C2443" s="111" t="s">
        <v>7451</v>
      </c>
      <c r="D2443" s="111" t="str">
        <f t="shared" ref="D2443:E2443" si="2441">TRIM(B2443)</f>
        <v>California</v>
      </c>
      <c r="E2443" s="111" t="str">
        <f t="shared" si="2441"/>
        <v>Watsonville</v>
      </c>
    </row>
    <row r="2444" spans="1:5">
      <c r="A2444" s="110" t="s">
        <v>7453</v>
      </c>
      <c r="B2444" s="110" t="s">
        <v>1321</v>
      </c>
      <c r="C2444" s="111" t="s">
        <v>7451</v>
      </c>
      <c r="D2444" s="111" t="str">
        <f t="shared" ref="D2444:E2444" si="2442">TRIM(B2444)</f>
        <v>California</v>
      </c>
      <c r="E2444" s="111" t="str">
        <f t="shared" si="2442"/>
        <v>Watsonville</v>
      </c>
    </row>
    <row r="2445" spans="1:5">
      <c r="A2445" s="3" t="s">
        <v>7455</v>
      </c>
      <c r="B2445" s="110" t="s">
        <v>1321</v>
      </c>
      <c r="C2445" s="111" t="s">
        <v>7451</v>
      </c>
      <c r="D2445" s="111" t="str">
        <f t="shared" ref="D2445:E2445" si="2443">TRIM(B2445)</f>
        <v>California</v>
      </c>
      <c r="E2445" s="111" t="str">
        <f t="shared" si="2443"/>
        <v>Watsonville</v>
      </c>
    </row>
    <row r="2446" spans="1:5">
      <c r="A2446" s="3" t="s">
        <v>7456</v>
      </c>
      <c r="B2446" s="110" t="s">
        <v>1321</v>
      </c>
      <c r="C2446" s="111" t="s">
        <v>7451</v>
      </c>
      <c r="D2446" s="111" t="str">
        <f t="shared" ref="D2446:E2446" si="2444">TRIM(B2446)</f>
        <v>California</v>
      </c>
      <c r="E2446" s="111" t="str">
        <f t="shared" si="2444"/>
        <v>Watsonville</v>
      </c>
    </row>
    <row r="2447" spans="1:5">
      <c r="A2447" s="3" t="s">
        <v>7460</v>
      </c>
      <c r="B2447" s="110" t="s">
        <v>1321</v>
      </c>
      <c r="C2447" s="111" t="s">
        <v>7461</v>
      </c>
      <c r="D2447" s="111" t="str">
        <f t="shared" ref="D2447:E2447" si="2445">TRIM(B2447)</f>
        <v>California</v>
      </c>
      <c r="E2447" s="111" t="str">
        <f t="shared" si="2445"/>
        <v>Weaverville</v>
      </c>
    </row>
    <row r="2448" spans="1:5">
      <c r="A2448" s="3" t="s">
        <v>7462</v>
      </c>
      <c r="B2448" s="110" t="s">
        <v>1321</v>
      </c>
      <c r="C2448" s="111" t="s">
        <v>7463</v>
      </c>
      <c r="D2448" s="111" t="str">
        <f t="shared" ref="D2448:E2448" si="2446">TRIM(B2448)</f>
        <v>California</v>
      </c>
      <c r="E2448" s="111" t="str">
        <f t="shared" si="2446"/>
        <v>Weed</v>
      </c>
    </row>
    <row r="2449" spans="1:5">
      <c r="A2449" s="3" t="s">
        <v>7466</v>
      </c>
      <c r="B2449" s="110" t="s">
        <v>1321</v>
      </c>
      <c r="C2449" s="111" t="s">
        <v>7468</v>
      </c>
      <c r="D2449" s="111" t="str">
        <f t="shared" ref="D2449:E2449" si="2447">TRIM(B2449)</f>
        <v>California</v>
      </c>
      <c r="E2449" s="111" t="str">
        <f t="shared" si="2447"/>
        <v>West Covina</v>
      </c>
    </row>
    <row r="2450" spans="1:5">
      <c r="A2450" s="3" t="s">
        <v>7469</v>
      </c>
      <c r="B2450" s="110" t="s">
        <v>1321</v>
      </c>
      <c r="C2450" s="111" t="s">
        <v>7468</v>
      </c>
      <c r="D2450" s="111" t="str">
        <f t="shared" ref="D2450:E2450" si="2448">TRIM(B2450)</f>
        <v>California</v>
      </c>
      <c r="E2450" s="111" t="str">
        <f t="shared" si="2448"/>
        <v>West Covina</v>
      </c>
    </row>
    <row r="2451" spans="1:5">
      <c r="A2451" s="3" t="s">
        <v>7471</v>
      </c>
      <c r="B2451" s="110" t="s">
        <v>1321</v>
      </c>
      <c r="C2451" s="111" t="s">
        <v>7468</v>
      </c>
      <c r="D2451" s="111" t="str">
        <f t="shared" ref="D2451:E2451" si="2449">TRIM(B2451)</f>
        <v>California</v>
      </c>
      <c r="E2451" s="111" t="str">
        <f t="shared" si="2449"/>
        <v>West Covina</v>
      </c>
    </row>
    <row r="2452" spans="1:5">
      <c r="A2452" s="3" t="s">
        <v>7473</v>
      </c>
      <c r="B2452" s="110" t="s">
        <v>1321</v>
      </c>
      <c r="C2452" s="113" t="s">
        <v>7474</v>
      </c>
      <c r="D2452" s="111" t="str">
        <f t="shared" ref="D2452:E2452" si="2450">TRIM(B2452)</f>
        <v>California</v>
      </c>
      <c r="E2452" s="111" t="str">
        <f t="shared" si="2450"/>
        <v>West Sacramento</v>
      </c>
    </row>
    <row r="2453" spans="1:5">
      <c r="A2453" s="3" t="s">
        <v>7475</v>
      </c>
      <c r="B2453" s="110" t="s">
        <v>1321</v>
      </c>
      <c r="C2453" s="113" t="s">
        <v>7474</v>
      </c>
      <c r="D2453" s="111" t="str">
        <f t="shared" ref="D2453:E2453" si="2451">TRIM(B2453)</f>
        <v>California</v>
      </c>
      <c r="E2453" s="111" t="str">
        <f t="shared" si="2451"/>
        <v>West Sacramento</v>
      </c>
    </row>
    <row r="2454" spans="1:5">
      <c r="A2454" s="3" t="s">
        <v>7477</v>
      </c>
      <c r="B2454" s="110" t="s">
        <v>1321</v>
      </c>
      <c r="C2454" s="111" t="s">
        <v>7479</v>
      </c>
      <c r="D2454" s="111" t="str">
        <f t="shared" ref="D2454:E2454" si="2452">TRIM(B2454)</f>
        <v>California</v>
      </c>
      <c r="E2454" s="111" t="str">
        <f t="shared" si="2452"/>
        <v>Westlake Village</v>
      </c>
    </row>
    <row r="2455" spans="1:5">
      <c r="A2455" s="3" t="s">
        <v>5412</v>
      </c>
      <c r="B2455" s="110" t="s">
        <v>1321</v>
      </c>
      <c r="C2455" s="111" t="s">
        <v>7481</v>
      </c>
      <c r="D2455" s="111" t="str">
        <f t="shared" ref="D2455:E2455" si="2453">TRIM(B2455)</f>
        <v>California</v>
      </c>
      <c r="E2455" s="111" t="str">
        <f t="shared" si="2453"/>
        <v>Westminster</v>
      </c>
    </row>
    <row r="2456" spans="1:5">
      <c r="A2456" s="3" t="s">
        <v>7482</v>
      </c>
      <c r="B2456" s="110" t="s">
        <v>1321</v>
      </c>
      <c r="C2456" s="111" t="s">
        <v>7481</v>
      </c>
      <c r="D2456" s="111" t="str">
        <f t="shared" ref="D2456:E2456" si="2454">TRIM(B2456)</f>
        <v>California</v>
      </c>
      <c r="E2456" s="111" t="str">
        <f t="shared" si="2454"/>
        <v>Westminster</v>
      </c>
    </row>
    <row r="2457" spans="1:5">
      <c r="A2457" s="3" t="s">
        <v>2860</v>
      </c>
      <c r="B2457" s="110" t="s">
        <v>1321</v>
      </c>
      <c r="C2457" s="111" t="s">
        <v>6626</v>
      </c>
      <c r="D2457" s="111" t="str">
        <f t="shared" ref="D2457:E2457" si="2455">TRIM(B2457)</f>
        <v>California</v>
      </c>
      <c r="E2457" s="111" t="str">
        <f t="shared" si="2455"/>
        <v>Westwood</v>
      </c>
    </row>
    <row r="2458" spans="1:5">
      <c r="A2458" s="3" t="s">
        <v>7486</v>
      </c>
      <c r="B2458" s="110" t="s">
        <v>1321</v>
      </c>
      <c r="C2458" s="111" t="s">
        <v>7487</v>
      </c>
      <c r="D2458" s="111" t="str">
        <f t="shared" ref="D2458:E2458" si="2456">TRIM(B2458)</f>
        <v>California</v>
      </c>
      <c r="E2458" s="111" t="str">
        <f t="shared" si="2456"/>
        <v>Wheatland</v>
      </c>
    </row>
    <row r="2459" spans="1:5">
      <c r="A2459" s="3" t="s">
        <v>7491</v>
      </c>
      <c r="B2459" s="110" t="s">
        <v>1321</v>
      </c>
      <c r="C2459" s="111" t="s">
        <v>7492</v>
      </c>
      <c r="D2459" s="111" t="str">
        <f t="shared" ref="D2459:E2459" si="2457">TRIM(B2459)</f>
        <v>California</v>
      </c>
      <c r="E2459" s="111" t="str">
        <f t="shared" si="2457"/>
        <v>Whitethorn</v>
      </c>
    </row>
    <row r="2460" spans="1:5">
      <c r="A2460" s="3" t="s">
        <v>7008</v>
      </c>
      <c r="B2460" s="110" t="s">
        <v>1321</v>
      </c>
      <c r="C2460" s="111" t="s">
        <v>7493</v>
      </c>
      <c r="D2460" s="111" t="str">
        <f t="shared" ref="D2460:E2460" si="2458">TRIM(B2460)</f>
        <v>California</v>
      </c>
      <c r="E2460" s="111" t="str">
        <f t="shared" si="2458"/>
        <v>Whittier</v>
      </c>
    </row>
    <row r="2461" spans="1:5">
      <c r="A2461" s="3" t="s">
        <v>7496</v>
      </c>
      <c r="B2461" s="110" t="s">
        <v>1321</v>
      </c>
      <c r="C2461" s="111" t="s">
        <v>7493</v>
      </c>
      <c r="D2461" s="111" t="str">
        <f t="shared" ref="D2461:E2461" si="2459">TRIM(B2461)</f>
        <v>California</v>
      </c>
      <c r="E2461" s="111" t="str">
        <f t="shared" si="2459"/>
        <v>Whittier</v>
      </c>
    </row>
    <row r="2462" spans="1:5">
      <c r="A2462" s="3" t="s">
        <v>6941</v>
      </c>
      <c r="B2462" s="110" t="s">
        <v>1321</v>
      </c>
      <c r="C2462" s="111" t="s">
        <v>7493</v>
      </c>
      <c r="D2462" s="111" t="str">
        <f t="shared" ref="D2462:E2462" si="2460">TRIM(B2462)</f>
        <v>California</v>
      </c>
      <c r="E2462" s="111" t="str">
        <f t="shared" si="2460"/>
        <v>Whittier</v>
      </c>
    </row>
    <row r="2463" spans="1:5">
      <c r="A2463" s="3" t="s">
        <v>7498</v>
      </c>
      <c r="B2463" s="110" t="s">
        <v>1321</v>
      </c>
      <c r="C2463" s="111" t="s">
        <v>7493</v>
      </c>
      <c r="D2463" s="111" t="str">
        <f t="shared" ref="D2463:E2463" si="2461">TRIM(B2463)</f>
        <v>California</v>
      </c>
      <c r="E2463" s="111" t="str">
        <f t="shared" si="2461"/>
        <v>Whittier</v>
      </c>
    </row>
    <row r="2464" spans="1:5">
      <c r="A2464" s="3" t="s">
        <v>7503</v>
      </c>
      <c r="B2464" s="110" t="s">
        <v>1321</v>
      </c>
      <c r="C2464" s="111" t="s">
        <v>7504</v>
      </c>
      <c r="D2464" s="111" t="str">
        <f t="shared" ref="D2464:E2464" si="2462">TRIM(B2464)</f>
        <v>California</v>
      </c>
      <c r="E2464" s="111" t="str">
        <f t="shared" si="2462"/>
        <v>Wildomar</v>
      </c>
    </row>
    <row r="2465" spans="1:5">
      <c r="A2465" s="3" t="s">
        <v>7505</v>
      </c>
      <c r="B2465" s="110" t="s">
        <v>1321</v>
      </c>
      <c r="C2465" s="111" t="s">
        <v>3521</v>
      </c>
      <c r="D2465" s="111" t="str">
        <f t="shared" ref="D2465:E2465" si="2463">TRIM(B2465)</f>
        <v>California</v>
      </c>
      <c r="E2465" s="111" t="str">
        <f t="shared" si="2463"/>
        <v>Williams</v>
      </c>
    </row>
    <row r="2466" spans="1:5">
      <c r="A2466" s="110" t="s">
        <v>7509</v>
      </c>
      <c r="B2466" s="110" t="s">
        <v>1321</v>
      </c>
      <c r="C2466" s="111" t="s">
        <v>7510</v>
      </c>
      <c r="D2466" s="111" t="str">
        <f t="shared" ref="D2466:E2466" si="2464">TRIM(B2466)</f>
        <v>California</v>
      </c>
      <c r="E2466" s="111" t="str">
        <f t="shared" si="2464"/>
        <v>Willits</v>
      </c>
    </row>
    <row r="2467" spans="1:5">
      <c r="A2467" s="3" t="s">
        <v>7511</v>
      </c>
      <c r="B2467" s="110" t="s">
        <v>1321</v>
      </c>
      <c r="C2467" s="111" t="s">
        <v>7510</v>
      </c>
      <c r="D2467" s="111" t="str">
        <f t="shared" ref="D2467:E2467" si="2465">TRIM(B2467)</f>
        <v>California</v>
      </c>
      <c r="E2467" s="111" t="str">
        <f t="shared" si="2465"/>
        <v>Willits</v>
      </c>
    </row>
    <row r="2468" spans="1:5">
      <c r="A2468" s="110" t="s">
        <v>7513</v>
      </c>
      <c r="B2468" s="110" t="s">
        <v>1321</v>
      </c>
      <c r="C2468" s="111" t="s">
        <v>7515</v>
      </c>
      <c r="D2468" s="111" t="str">
        <f t="shared" ref="D2468:E2468" si="2466">TRIM(B2468)</f>
        <v>California</v>
      </c>
      <c r="E2468" s="111" t="str">
        <f t="shared" si="2466"/>
        <v>Willows</v>
      </c>
    </row>
    <row r="2469" spans="1:5">
      <c r="A2469" s="3" t="s">
        <v>7517</v>
      </c>
      <c r="B2469" s="110" t="s">
        <v>1321</v>
      </c>
      <c r="C2469" s="111" t="s">
        <v>7515</v>
      </c>
      <c r="D2469" s="111" t="str">
        <f t="shared" ref="D2469:E2469" si="2467">TRIM(B2469)</f>
        <v>California</v>
      </c>
      <c r="E2469" s="111" t="str">
        <f t="shared" si="2467"/>
        <v>Willows</v>
      </c>
    </row>
    <row r="2470" spans="1:5">
      <c r="A2470" s="3" t="s">
        <v>7519</v>
      </c>
      <c r="B2470" s="110" t="s">
        <v>1321</v>
      </c>
      <c r="C2470" s="111" t="s">
        <v>272</v>
      </c>
      <c r="D2470" s="111" t="str">
        <f t="shared" ref="D2470:E2470" si="2468">TRIM(B2470)</f>
        <v>California</v>
      </c>
      <c r="E2470" s="111" t="str">
        <f t="shared" si="2468"/>
        <v>Wilmington</v>
      </c>
    </row>
    <row r="2471" spans="1:5">
      <c r="A2471" s="3" t="s">
        <v>7522</v>
      </c>
      <c r="B2471" s="110" t="s">
        <v>1321</v>
      </c>
      <c r="C2471" s="111" t="s">
        <v>272</v>
      </c>
      <c r="D2471" s="111" t="str">
        <f t="shared" ref="D2471:E2471" si="2469">TRIM(B2471)</f>
        <v>California</v>
      </c>
      <c r="E2471" s="111" t="str">
        <f t="shared" si="2469"/>
        <v>Wilmington</v>
      </c>
    </row>
    <row r="2472" spans="1:5">
      <c r="A2472" s="3" t="s">
        <v>7523</v>
      </c>
      <c r="B2472" s="110" t="s">
        <v>1321</v>
      </c>
      <c r="C2472" s="111" t="s">
        <v>7524</v>
      </c>
      <c r="D2472" s="111" t="str">
        <f t="shared" ref="D2472:E2472" si="2470">TRIM(B2472)</f>
        <v>California</v>
      </c>
      <c r="E2472" s="111" t="str">
        <f t="shared" si="2470"/>
        <v>Windsor</v>
      </c>
    </row>
    <row r="2473" spans="1:5">
      <c r="A2473" s="3" t="s">
        <v>7528</v>
      </c>
      <c r="B2473" s="110" t="s">
        <v>1321</v>
      </c>
      <c r="C2473" s="111" t="s">
        <v>7529</v>
      </c>
      <c r="D2473" s="111" t="str">
        <f t="shared" ref="D2473:E2473" si="2471">TRIM(B2473)</f>
        <v>California</v>
      </c>
      <c r="E2473" s="111" t="str">
        <f t="shared" si="2471"/>
        <v>Winterhaven</v>
      </c>
    </row>
    <row r="2474" spans="1:5">
      <c r="A2474" s="3" t="s">
        <v>7530</v>
      </c>
      <c r="B2474" s="110" t="s">
        <v>1321</v>
      </c>
      <c r="C2474" s="111" t="s">
        <v>7531</v>
      </c>
      <c r="D2474" s="111" t="str">
        <f t="shared" ref="D2474:E2474" si="2472">TRIM(B2474)</f>
        <v>California</v>
      </c>
      <c r="E2474" s="111" t="str">
        <f t="shared" si="2472"/>
        <v>Winters</v>
      </c>
    </row>
    <row r="2475" spans="1:5">
      <c r="A2475" s="3" t="s">
        <v>7534</v>
      </c>
      <c r="B2475" s="110" t="s">
        <v>1321</v>
      </c>
      <c r="C2475" s="111" t="s">
        <v>7535</v>
      </c>
      <c r="D2475" s="111" t="str">
        <f t="shared" ref="D2475:E2475" si="2473">TRIM(B2475)</f>
        <v>California</v>
      </c>
      <c r="E2475" s="111" t="str">
        <f t="shared" si="2473"/>
        <v>Woodlake</v>
      </c>
    </row>
    <row r="2476" spans="1:5">
      <c r="A2476" s="3" t="s">
        <v>6941</v>
      </c>
      <c r="B2476" s="110" t="s">
        <v>1321</v>
      </c>
      <c r="C2476" s="111" t="s">
        <v>333</v>
      </c>
      <c r="D2476" s="111" t="str">
        <f t="shared" ref="D2476:E2476" si="2474">TRIM(B2476)</f>
        <v>California</v>
      </c>
      <c r="E2476" s="111" t="str">
        <f t="shared" si="2474"/>
        <v>Woodland</v>
      </c>
    </row>
    <row r="2477" spans="1:5">
      <c r="A2477" s="3" t="s">
        <v>7538</v>
      </c>
      <c r="B2477" s="110" t="s">
        <v>1321</v>
      </c>
      <c r="C2477" s="111" t="s">
        <v>333</v>
      </c>
      <c r="D2477" s="111" t="str">
        <f t="shared" ref="D2477:E2477" si="2475">TRIM(B2477)</f>
        <v>California</v>
      </c>
      <c r="E2477" s="111" t="str">
        <f t="shared" si="2475"/>
        <v>Woodland</v>
      </c>
    </row>
    <row r="2478" spans="1:5">
      <c r="A2478" s="3" t="s">
        <v>7541</v>
      </c>
      <c r="B2478" s="110" t="s">
        <v>1321</v>
      </c>
      <c r="C2478" s="111" t="s">
        <v>7542</v>
      </c>
      <c r="D2478" s="111" t="str">
        <f t="shared" ref="D2478:E2478" si="2476">TRIM(B2478)</f>
        <v>California</v>
      </c>
      <c r="E2478" s="111" t="str">
        <f t="shared" si="2476"/>
        <v>Woodland Hills</v>
      </c>
    </row>
    <row r="2479" spans="1:5">
      <c r="A2479" s="3" t="s">
        <v>7543</v>
      </c>
      <c r="B2479" s="110" t="s">
        <v>1321</v>
      </c>
      <c r="C2479" s="111" t="s">
        <v>7542</v>
      </c>
      <c r="D2479" s="111" t="str">
        <f t="shared" ref="D2479:E2479" si="2477">TRIM(B2479)</f>
        <v>California</v>
      </c>
      <c r="E2479" s="111" t="str">
        <f t="shared" si="2477"/>
        <v>Woodland Hills</v>
      </c>
    </row>
    <row r="2480" spans="1:5">
      <c r="A2480" s="3" t="s">
        <v>7545</v>
      </c>
      <c r="B2480" s="110" t="s">
        <v>1321</v>
      </c>
      <c r="C2480" s="111" t="s">
        <v>7546</v>
      </c>
      <c r="D2480" s="111" t="str">
        <f t="shared" ref="D2480:E2480" si="2478">TRIM(B2480)</f>
        <v>California</v>
      </c>
      <c r="E2480" s="111" t="str">
        <f t="shared" si="2478"/>
        <v>Woodside</v>
      </c>
    </row>
    <row r="2481" spans="1:5">
      <c r="A2481" s="3" t="s">
        <v>7548</v>
      </c>
      <c r="B2481" s="110" t="s">
        <v>1321</v>
      </c>
      <c r="C2481" s="111" t="s">
        <v>7549</v>
      </c>
      <c r="D2481" s="111" t="str">
        <f t="shared" ref="D2481:E2481" si="2479">TRIM(B2481)</f>
        <v>California</v>
      </c>
      <c r="E2481" s="111" t="str">
        <f t="shared" si="2479"/>
        <v>Yermo</v>
      </c>
    </row>
    <row r="2482" spans="1:5">
      <c r="A2482" s="3" t="s">
        <v>7551</v>
      </c>
      <c r="B2482" s="110" t="s">
        <v>1321</v>
      </c>
      <c r="C2482" s="111" t="s">
        <v>338</v>
      </c>
      <c r="D2482" s="111" t="str">
        <f t="shared" ref="D2482:E2482" si="2480">TRIM(B2482)</f>
        <v>California</v>
      </c>
      <c r="E2482" s="111" t="str">
        <f t="shared" si="2480"/>
        <v>Yorba Linda</v>
      </c>
    </row>
    <row r="2483" spans="1:5">
      <c r="A2483" s="3" t="s">
        <v>7553</v>
      </c>
      <c r="B2483" s="110" t="s">
        <v>1321</v>
      </c>
      <c r="C2483" s="111" t="s">
        <v>7554</v>
      </c>
      <c r="D2483" s="111" t="str">
        <f t="shared" ref="D2483:E2483" si="2481">TRIM(B2483)</f>
        <v>California</v>
      </c>
      <c r="E2483" s="111" t="str">
        <f t="shared" si="2481"/>
        <v>Yreka</v>
      </c>
    </row>
    <row r="2484" spans="1:5">
      <c r="A2484" s="3" t="s">
        <v>2863</v>
      </c>
      <c r="B2484" s="110" t="s">
        <v>1321</v>
      </c>
      <c r="C2484" s="111" t="s">
        <v>7558</v>
      </c>
      <c r="D2484" s="111" t="str">
        <f t="shared" ref="D2484:E2484" si="2482">TRIM(B2484)</f>
        <v>California</v>
      </c>
      <c r="E2484" s="111" t="str">
        <f t="shared" si="2482"/>
        <v>Yuba City</v>
      </c>
    </row>
    <row r="2485" spans="1:5">
      <c r="A2485" s="3" t="s">
        <v>7559</v>
      </c>
      <c r="B2485" s="110" t="s">
        <v>1321</v>
      </c>
      <c r="C2485" s="111" t="s">
        <v>7558</v>
      </c>
      <c r="D2485" s="111" t="str">
        <f t="shared" ref="D2485:E2485" si="2483">TRIM(B2485)</f>
        <v>California</v>
      </c>
      <c r="E2485" s="111" t="str">
        <f t="shared" si="2483"/>
        <v>Yuba City</v>
      </c>
    </row>
    <row r="2486" spans="1:5">
      <c r="A2486" s="3" t="s">
        <v>7562</v>
      </c>
      <c r="B2486" s="110" t="s">
        <v>1321</v>
      </c>
      <c r="C2486" s="111" t="s">
        <v>7564</v>
      </c>
      <c r="D2486" s="111" t="str">
        <f t="shared" ref="D2486:E2486" si="2484">TRIM(B2486)</f>
        <v>California</v>
      </c>
      <c r="E2486" s="111" t="str">
        <f t="shared" si="2484"/>
        <v>Yucaipa</v>
      </c>
    </row>
    <row r="2487" spans="1:5">
      <c r="A2487" s="3" t="s">
        <v>7565</v>
      </c>
      <c r="B2487" s="110" t="s">
        <v>1323</v>
      </c>
      <c r="C2487" s="111" t="s">
        <v>7566</v>
      </c>
      <c r="D2487" s="111" t="str">
        <f t="shared" ref="D2487:E2487" si="2485">TRIM(B2487)</f>
        <v>Colorado</v>
      </c>
      <c r="E2487" s="111" t="str">
        <f t="shared" si="2485"/>
        <v>Agate</v>
      </c>
    </row>
    <row r="2488" spans="1:5">
      <c r="A2488" s="3" t="s">
        <v>7568</v>
      </c>
      <c r="B2488" s="110" t="s">
        <v>1323</v>
      </c>
      <c r="C2488" s="111" t="s">
        <v>7569</v>
      </c>
      <c r="D2488" s="111" t="str">
        <f t="shared" ref="D2488:E2488" si="2486">TRIM(B2488)</f>
        <v>Colorado</v>
      </c>
      <c r="E2488" s="111" t="str">
        <f t="shared" si="2486"/>
        <v>Aguilar</v>
      </c>
    </row>
    <row r="2489" spans="1:5">
      <c r="A2489" s="3" t="s">
        <v>7571</v>
      </c>
      <c r="B2489" s="110" t="s">
        <v>1323</v>
      </c>
      <c r="C2489" s="111" t="s">
        <v>614</v>
      </c>
      <c r="D2489" s="111" t="str">
        <f t="shared" ref="D2489:E2489" si="2487">TRIM(B2489)</f>
        <v>Colorado</v>
      </c>
      <c r="E2489" s="111" t="str">
        <f t="shared" si="2487"/>
        <v>Akron</v>
      </c>
    </row>
    <row r="2490" spans="1:5">
      <c r="A2490" s="3" t="s">
        <v>7572</v>
      </c>
      <c r="B2490" s="110" t="s">
        <v>1323</v>
      </c>
      <c r="C2490" s="111" t="s">
        <v>7573</v>
      </c>
      <c r="D2490" s="111" t="str">
        <f t="shared" ref="D2490:E2490" si="2488">TRIM(B2490)</f>
        <v>Colorado</v>
      </c>
      <c r="E2490" s="111" t="str">
        <f t="shared" si="2488"/>
        <v>Alamosa</v>
      </c>
    </row>
    <row r="2491" spans="1:5">
      <c r="A2491" s="3" t="s">
        <v>7577</v>
      </c>
      <c r="B2491" s="110" t="s">
        <v>1323</v>
      </c>
      <c r="C2491" s="111" t="s">
        <v>7578</v>
      </c>
      <c r="D2491" s="111" t="str">
        <f t="shared" ref="D2491:E2491" si="2489">TRIM(B2491)</f>
        <v>Colorado</v>
      </c>
      <c r="E2491" s="111" t="str">
        <f t="shared" si="2489"/>
        <v>Anton</v>
      </c>
    </row>
    <row r="2492" spans="1:5">
      <c r="A2492" s="3" t="s">
        <v>7579</v>
      </c>
      <c r="B2492" s="110" t="s">
        <v>1323</v>
      </c>
      <c r="C2492" s="111" t="s">
        <v>7580</v>
      </c>
      <c r="D2492" s="111" t="str">
        <f t="shared" ref="D2492:E2492" si="2490">TRIM(B2492)</f>
        <v>Colorado</v>
      </c>
      <c r="E2492" s="111" t="str">
        <f t="shared" si="2490"/>
        <v>Antonito</v>
      </c>
    </row>
    <row r="2493" spans="1:5">
      <c r="A2493" s="3" t="s">
        <v>7583</v>
      </c>
      <c r="B2493" s="110" t="s">
        <v>1323</v>
      </c>
      <c r="C2493" s="111" t="s">
        <v>7584</v>
      </c>
      <c r="D2493" s="111" t="str">
        <f t="shared" ref="D2493:E2493" si="2491">TRIM(B2493)</f>
        <v>Colorado</v>
      </c>
      <c r="E2493" s="111" t="str">
        <f t="shared" si="2491"/>
        <v>Arvada</v>
      </c>
    </row>
    <row r="2494" spans="1:5">
      <c r="A2494" s="3" t="s">
        <v>7586</v>
      </c>
      <c r="B2494" s="110" t="s">
        <v>1323</v>
      </c>
      <c r="C2494" s="111" t="s">
        <v>7584</v>
      </c>
      <c r="D2494" s="111" t="str">
        <f t="shared" ref="D2494:E2494" si="2492">TRIM(B2494)</f>
        <v>Colorado</v>
      </c>
      <c r="E2494" s="111" t="str">
        <f t="shared" si="2492"/>
        <v>Arvada</v>
      </c>
    </row>
    <row r="2495" spans="1:5">
      <c r="A2495" s="110" t="s">
        <v>7587</v>
      </c>
      <c r="B2495" s="110" t="s">
        <v>1323</v>
      </c>
      <c r="C2495" s="111" t="s">
        <v>7584</v>
      </c>
      <c r="D2495" s="111" t="str">
        <f t="shared" ref="D2495:E2495" si="2493">TRIM(B2495)</f>
        <v>Colorado</v>
      </c>
      <c r="E2495" s="111" t="str">
        <f t="shared" si="2493"/>
        <v>Arvada</v>
      </c>
    </row>
    <row r="2496" spans="1:5">
      <c r="A2496" s="3" t="s">
        <v>6418</v>
      </c>
      <c r="B2496" s="110" t="s">
        <v>1323</v>
      </c>
      <c r="C2496" s="111" t="s">
        <v>7584</v>
      </c>
      <c r="D2496" s="111" t="str">
        <f t="shared" ref="D2496:E2496" si="2494">TRIM(B2496)</f>
        <v>Colorado</v>
      </c>
      <c r="E2496" s="111" t="str">
        <f t="shared" si="2494"/>
        <v>Arvada</v>
      </c>
    </row>
    <row r="2497" spans="1:5">
      <c r="A2497" s="3" t="s">
        <v>7590</v>
      </c>
      <c r="B2497" s="110" t="s">
        <v>1323</v>
      </c>
      <c r="C2497" s="111" t="s">
        <v>7584</v>
      </c>
      <c r="D2497" s="111" t="str">
        <f t="shared" ref="D2497:E2497" si="2495">TRIM(B2497)</f>
        <v>Colorado</v>
      </c>
      <c r="E2497" s="111" t="str">
        <f t="shared" si="2495"/>
        <v>Arvada</v>
      </c>
    </row>
    <row r="2498" spans="1:5">
      <c r="A2498" s="3" t="s">
        <v>7591</v>
      </c>
      <c r="B2498" s="110" t="s">
        <v>1323</v>
      </c>
      <c r="C2498" s="111" t="s">
        <v>7592</v>
      </c>
      <c r="D2498" s="111" t="str">
        <f t="shared" ref="D2498:E2498" si="2496">TRIM(B2498)</f>
        <v>Colorado</v>
      </c>
      <c r="E2498" s="111" t="str">
        <f t="shared" si="2496"/>
        <v>Aspen</v>
      </c>
    </row>
    <row r="2499" spans="1:5">
      <c r="A2499" s="3" t="s">
        <v>2665</v>
      </c>
      <c r="B2499" s="110" t="s">
        <v>1323</v>
      </c>
      <c r="C2499" s="111" t="s">
        <v>7596</v>
      </c>
      <c r="D2499" s="111" t="str">
        <f t="shared" ref="D2499:E2499" si="2497">TRIM(B2499)</f>
        <v>Colorado</v>
      </c>
      <c r="E2499" s="111" t="str">
        <f t="shared" si="2497"/>
        <v>Ault</v>
      </c>
    </row>
    <row r="2500" spans="1:5">
      <c r="A2500" s="3" t="s">
        <v>7597</v>
      </c>
      <c r="B2500" s="110" t="s">
        <v>1323</v>
      </c>
      <c r="C2500" s="111" t="s">
        <v>353</v>
      </c>
      <c r="D2500" s="111" t="str">
        <f t="shared" ref="D2500:E2500" si="2498">TRIM(B2500)</f>
        <v>Colorado</v>
      </c>
      <c r="E2500" s="111" t="str">
        <f t="shared" si="2498"/>
        <v>Aurora</v>
      </c>
    </row>
    <row r="2501" spans="1:5">
      <c r="A2501" s="3" t="s">
        <v>7600</v>
      </c>
      <c r="B2501" s="110" t="s">
        <v>1323</v>
      </c>
      <c r="C2501" s="111" t="s">
        <v>353</v>
      </c>
      <c r="D2501" s="111" t="str">
        <f t="shared" ref="D2501:E2501" si="2499">TRIM(B2501)</f>
        <v>Colorado</v>
      </c>
      <c r="E2501" s="111" t="str">
        <f t="shared" si="2499"/>
        <v>Aurora</v>
      </c>
    </row>
    <row r="2502" spans="1:5">
      <c r="A2502" s="3" t="s">
        <v>7602</v>
      </c>
      <c r="B2502" s="110" t="s">
        <v>1323</v>
      </c>
      <c r="C2502" s="111" t="s">
        <v>353</v>
      </c>
      <c r="D2502" s="111" t="str">
        <f t="shared" ref="D2502:E2502" si="2500">TRIM(B2502)</f>
        <v>Colorado</v>
      </c>
      <c r="E2502" s="111" t="str">
        <f t="shared" si="2500"/>
        <v>Aurora</v>
      </c>
    </row>
    <row r="2503" spans="1:5">
      <c r="A2503" s="110" t="s">
        <v>7604</v>
      </c>
      <c r="B2503" s="110" t="s">
        <v>1323</v>
      </c>
      <c r="C2503" s="111" t="s">
        <v>353</v>
      </c>
      <c r="D2503" s="111" t="str">
        <f t="shared" ref="D2503:E2503" si="2501">TRIM(B2503)</f>
        <v>Colorado</v>
      </c>
      <c r="E2503" s="111" t="str">
        <f t="shared" si="2501"/>
        <v>Aurora</v>
      </c>
    </row>
    <row r="2504" spans="1:5">
      <c r="A2504" s="3" t="s">
        <v>6850</v>
      </c>
      <c r="B2504" s="110" t="s">
        <v>1323</v>
      </c>
      <c r="C2504" s="111" t="s">
        <v>353</v>
      </c>
      <c r="D2504" s="111" t="str">
        <f t="shared" ref="D2504:E2504" si="2502">TRIM(B2504)</f>
        <v>Colorado</v>
      </c>
      <c r="E2504" s="111" t="str">
        <f t="shared" si="2502"/>
        <v>Aurora</v>
      </c>
    </row>
    <row r="2505" spans="1:5">
      <c r="A2505" s="3" t="s">
        <v>7607</v>
      </c>
      <c r="B2505" s="110" t="s">
        <v>1323</v>
      </c>
      <c r="C2505" s="111" t="s">
        <v>353</v>
      </c>
      <c r="D2505" s="111" t="str">
        <f t="shared" ref="D2505:E2505" si="2503">TRIM(B2505)</f>
        <v>Colorado</v>
      </c>
      <c r="E2505" s="111" t="str">
        <f t="shared" si="2503"/>
        <v>Aurora</v>
      </c>
    </row>
    <row r="2506" spans="1:5">
      <c r="A2506" s="3" t="s">
        <v>7608</v>
      </c>
      <c r="B2506" s="110" t="s">
        <v>1323</v>
      </c>
      <c r="C2506" s="111" t="s">
        <v>353</v>
      </c>
      <c r="D2506" s="111" t="str">
        <f t="shared" ref="D2506:E2506" si="2504">TRIM(B2506)</f>
        <v>Colorado</v>
      </c>
      <c r="E2506" s="111" t="str">
        <f t="shared" si="2504"/>
        <v>Aurora</v>
      </c>
    </row>
    <row r="2507" spans="1:5">
      <c r="A2507" s="3" t="s">
        <v>7611</v>
      </c>
      <c r="B2507" s="110" t="s">
        <v>1323</v>
      </c>
      <c r="C2507" s="111" t="s">
        <v>353</v>
      </c>
      <c r="D2507" s="111" t="str">
        <f t="shared" ref="D2507:E2507" si="2505">TRIM(B2507)</f>
        <v>Colorado</v>
      </c>
      <c r="E2507" s="111" t="str">
        <f t="shared" si="2505"/>
        <v>Aurora</v>
      </c>
    </row>
    <row r="2508" spans="1:5">
      <c r="A2508" s="3" t="s">
        <v>7612</v>
      </c>
      <c r="B2508" s="110" t="s">
        <v>1323</v>
      </c>
      <c r="C2508" s="111" t="s">
        <v>353</v>
      </c>
      <c r="D2508" s="111" t="str">
        <f t="shared" ref="D2508:E2508" si="2506">TRIM(B2508)</f>
        <v>Colorado</v>
      </c>
      <c r="E2508" s="111" t="str">
        <f t="shared" si="2506"/>
        <v>Aurora</v>
      </c>
    </row>
    <row r="2509" spans="1:5">
      <c r="A2509" s="3" t="s">
        <v>7614</v>
      </c>
      <c r="B2509" s="110" t="s">
        <v>1323</v>
      </c>
      <c r="C2509" s="111" t="s">
        <v>353</v>
      </c>
      <c r="D2509" s="111" t="str">
        <f t="shared" ref="D2509:E2509" si="2507">TRIM(B2509)</f>
        <v>Colorado</v>
      </c>
      <c r="E2509" s="111" t="str">
        <f t="shared" si="2507"/>
        <v>Aurora</v>
      </c>
    </row>
    <row r="2510" spans="1:5">
      <c r="A2510" s="110" t="s">
        <v>7615</v>
      </c>
      <c r="B2510" s="110" t="s">
        <v>1323</v>
      </c>
      <c r="C2510" s="111" t="s">
        <v>353</v>
      </c>
      <c r="D2510" s="111" t="str">
        <f t="shared" ref="D2510:E2510" si="2508">TRIM(B2510)</f>
        <v>Colorado</v>
      </c>
      <c r="E2510" s="111" t="str">
        <f t="shared" si="2508"/>
        <v>Aurora</v>
      </c>
    </row>
    <row r="2511" spans="1:5">
      <c r="A2511" s="3" t="s">
        <v>7617</v>
      </c>
      <c r="B2511" s="110" t="s">
        <v>1323</v>
      </c>
      <c r="C2511" s="111" t="s">
        <v>353</v>
      </c>
      <c r="D2511" s="111" t="str">
        <f t="shared" ref="D2511:E2511" si="2509">TRIM(B2511)</f>
        <v>Colorado</v>
      </c>
      <c r="E2511" s="111" t="str">
        <f t="shared" si="2509"/>
        <v>Aurora</v>
      </c>
    </row>
    <row r="2512" spans="1:5">
      <c r="A2512" s="3" t="s">
        <v>7619</v>
      </c>
      <c r="B2512" s="110" t="s">
        <v>1323</v>
      </c>
      <c r="C2512" s="111" t="s">
        <v>508</v>
      </c>
      <c r="D2512" s="111" t="str">
        <f t="shared" ref="D2512:E2512" si="2510">TRIM(B2512)</f>
        <v>Colorado</v>
      </c>
      <c r="E2512" s="111" t="str">
        <f t="shared" si="2510"/>
        <v>Bailey</v>
      </c>
    </row>
    <row r="2513" spans="1:5">
      <c r="A2513" s="3" t="s">
        <v>7620</v>
      </c>
      <c r="B2513" s="110" t="s">
        <v>1323</v>
      </c>
      <c r="C2513" s="111" t="s">
        <v>7621</v>
      </c>
      <c r="D2513" s="111" t="str">
        <f t="shared" ref="D2513:E2513" si="2511">TRIM(B2513)</f>
        <v>Colorado</v>
      </c>
      <c r="E2513" s="111" t="str">
        <f t="shared" si="2511"/>
        <v>Basalt</v>
      </c>
    </row>
    <row r="2514" spans="1:5">
      <c r="A2514" s="3" t="s">
        <v>7623</v>
      </c>
      <c r="B2514" s="110" t="s">
        <v>1323</v>
      </c>
      <c r="C2514" s="111" t="s">
        <v>7625</v>
      </c>
      <c r="D2514" s="111" t="str">
        <f t="shared" ref="D2514:E2514" si="2512">TRIM(B2514)</f>
        <v>Colorado</v>
      </c>
      <c r="E2514" s="111" t="str">
        <f t="shared" si="2512"/>
        <v>Bayfield</v>
      </c>
    </row>
    <row r="2515" spans="1:5">
      <c r="A2515" s="3" t="s">
        <v>7627</v>
      </c>
      <c r="B2515" s="110" t="s">
        <v>1323</v>
      </c>
      <c r="C2515" s="111" t="s">
        <v>7628</v>
      </c>
      <c r="D2515" s="111" t="str">
        <f t="shared" ref="D2515:E2515" si="2513">TRIM(B2515)</f>
        <v>Colorado</v>
      </c>
      <c r="E2515" s="111" t="str">
        <f t="shared" si="2513"/>
        <v>Bennett</v>
      </c>
    </row>
    <row r="2516" spans="1:5">
      <c r="A2516" s="3" t="s">
        <v>7630</v>
      </c>
      <c r="B2516" s="110" t="s">
        <v>1323</v>
      </c>
      <c r="C2516" s="111" t="s">
        <v>7632</v>
      </c>
      <c r="D2516" s="111" t="str">
        <f t="shared" ref="D2516:E2516" si="2514">TRIM(B2516)</f>
        <v>Colorado</v>
      </c>
      <c r="E2516" s="111" t="str">
        <f t="shared" si="2514"/>
        <v>Berthoud</v>
      </c>
    </row>
    <row r="2517" spans="1:5">
      <c r="A2517" s="3" t="s">
        <v>7634</v>
      </c>
      <c r="B2517" s="110" t="s">
        <v>1323</v>
      </c>
      <c r="C2517" s="111" t="s">
        <v>7635</v>
      </c>
      <c r="D2517" s="111" t="str">
        <f t="shared" ref="D2517:E2517" si="2515">TRIM(B2517)</f>
        <v>Colorado</v>
      </c>
      <c r="E2517" s="111" t="str">
        <f t="shared" si="2515"/>
        <v>Black Hawk</v>
      </c>
    </row>
    <row r="2518" spans="1:5">
      <c r="A2518" s="3" t="s">
        <v>7636</v>
      </c>
      <c r="B2518" s="110" t="s">
        <v>1323</v>
      </c>
      <c r="C2518" s="112" t="s">
        <v>7638</v>
      </c>
      <c r="D2518" s="111" t="str">
        <f t="shared" ref="D2518:E2518" si="2516">TRIM(B2518)</f>
        <v>Colorado</v>
      </c>
      <c r="E2518" s="111" t="str">
        <f t="shared" si="2516"/>
        <v>Boulder</v>
      </c>
    </row>
    <row r="2519" spans="1:5">
      <c r="A2519" s="3" t="s">
        <v>1663</v>
      </c>
      <c r="B2519" s="110" t="s">
        <v>1323</v>
      </c>
      <c r="C2519" s="111" t="s">
        <v>7638</v>
      </c>
      <c r="D2519" s="111" t="str">
        <f t="shared" ref="D2519:E2519" si="2517">TRIM(B2519)</f>
        <v>Colorado</v>
      </c>
      <c r="E2519" s="111" t="str">
        <f t="shared" si="2517"/>
        <v>Boulder</v>
      </c>
    </row>
    <row r="2520" spans="1:5">
      <c r="A2520" s="3" t="s">
        <v>7640</v>
      </c>
      <c r="B2520" s="110" t="s">
        <v>1323</v>
      </c>
      <c r="C2520" s="111" t="s">
        <v>7638</v>
      </c>
      <c r="D2520" s="111" t="str">
        <f t="shared" ref="D2520:E2520" si="2518">TRIM(B2520)</f>
        <v>Colorado</v>
      </c>
      <c r="E2520" s="111" t="str">
        <f t="shared" si="2518"/>
        <v>Boulder</v>
      </c>
    </row>
    <row r="2521" spans="1:5">
      <c r="A2521" s="3" t="s">
        <v>7642</v>
      </c>
      <c r="B2521" s="110" t="s">
        <v>1323</v>
      </c>
      <c r="C2521" s="111" t="s">
        <v>7643</v>
      </c>
      <c r="D2521" s="111" t="str">
        <f t="shared" ref="D2521:E2521" si="2519">TRIM(B2521)</f>
        <v>Colorado</v>
      </c>
      <c r="E2521" s="111" t="str">
        <f t="shared" si="2519"/>
        <v>Briggsdale</v>
      </c>
    </row>
    <row r="2522" spans="1:5">
      <c r="A2522" s="3" t="s">
        <v>7644</v>
      </c>
      <c r="B2522" s="110" t="s">
        <v>1323</v>
      </c>
      <c r="C2522" s="111" t="s">
        <v>7645</v>
      </c>
      <c r="D2522" s="111" t="str">
        <f t="shared" ref="D2522:E2522" si="2520">TRIM(B2522)</f>
        <v>Colorado</v>
      </c>
      <c r="E2522" s="111" t="str">
        <f t="shared" si="2520"/>
        <v>Brighton</v>
      </c>
    </row>
    <row r="2523" spans="1:5">
      <c r="A2523" s="3" t="s">
        <v>7648</v>
      </c>
      <c r="B2523" s="110" t="s">
        <v>1323</v>
      </c>
      <c r="C2523" s="111" t="s">
        <v>7645</v>
      </c>
      <c r="D2523" s="111" t="str">
        <f t="shared" ref="D2523:E2523" si="2521">TRIM(B2523)</f>
        <v>Colorado</v>
      </c>
      <c r="E2523" s="111" t="str">
        <f t="shared" si="2521"/>
        <v>Brighton</v>
      </c>
    </row>
    <row r="2524" spans="1:5">
      <c r="A2524" s="3" t="s">
        <v>7650</v>
      </c>
      <c r="B2524" s="110" t="s">
        <v>1323</v>
      </c>
      <c r="C2524" s="111" t="s">
        <v>7645</v>
      </c>
      <c r="D2524" s="111" t="str">
        <f t="shared" ref="D2524:E2524" si="2522">TRIM(B2524)</f>
        <v>Colorado</v>
      </c>
      <c r="E2524" s="111" t="str">
        <f t="shared" si="2522"/>
        <v>Brighton</v>
      </c>
    </row>
    <row r="2525" spans="1:5">
      <c r="A2525" s="3" t="s">
        <v>3234</v>
      </c>
      <c r="B2525" s="110" t="s">
        <v>1323</v>
      </c>
      <c r="C2525" s="111" t="s">
        <v>7645</v>
      </c>
      <c r="D2525" s="111" t="str">
        <f t="shared" ref="D2525:E2525" si="2523">TRIM(B2525)</f>
        <v>Colorado</v>
      </c>
      <c r="E2525" s="111" t="str">
        <f t="shared" si="2523"/>
        <v>Brighton</v>
      </c>
    </row>
    <row r="2526" spans="1:5">
      <c r="A2526" s="3" t="s">
        <v>7653</v>
      </c>
      <c r="B2526" s="110" t="s">
        <v>1323</v>
      </c>
      <c r="C2526" s="111" t="s">
        <v>7654</v>
      </c>
      <c r="D2526" s="111" t="str">
        <f t="shared" ref="D2526:E2526" si="2524">TRIM(B2526)</f>
        <v>Colorado</v>
      </c>
      <c r="E2526" s="111" t="str">
        <f t="shared" si="2524"/>
        <v>Broomfield</v>
      </c>
    </row>
    <row r="2527" spans="1:5">
      <c r="A2527" s="3" t="s">
        <v>7655</v>
      </c>
      <c r="B2527" s="110" t="s">
        <v>1323</v>
      </c>
      <c r="C2527" s="111" t="s">
        <v>7654</v>
      </c>
      <c r="D2527" s="111" t="str">
        <f t="shared" ref="D2527:E2527" si="2525">TRIM(B2527)</f>
        <v>Colorado</v>
      </c>
      <c r="E2527" s="111" t="str">
        <f t="shared" si="2525"/>
        <v>Broomfield</v>
      </c>
    </row>
    <row r="2528" spans="1:5">
      <c r="A2528" s="3" t="s">
        <v>7657</v>
      </c>
      <c r="B2528" s="110" t="s">
        <v>1323</v>
      </c>
      <c r="C2528" s="111" t="s">
        <v>7654</v>
      </c>
      <c r="D2528" s="111" t="str">
        <f t="shared" ref="D2528:E2528" si="2526">TRIM(B2528)</f>
        <v>Colorado</v>
      </c>
      <c r="E2528" s="111" t="str">
        <f t="shared" si="2526"/>
        <v>Broomfield</v>
      </c>
    </row>
    <row r="2529" spans="1:5">
      <c r="A2529" s="3" t="s">
        <v>7660</v>
      </c>
      <c r="B2529" s="110" t="s">
        <v>1323</v>
      </c>
      <c r="C2529" s="111" t="s">
        <v>7661</v>
      </c>
      <c r="D2529" s="111" t="str">
        <f t="shared" ref="D2529:E2529" si="2527">TRIM(B2529)</f>
        <v>Colorado</v>
      </c>
      <c r="E2529" s="111" t="str">
        <f t="shared" si="2527"/>
        <v>Brush</v>
      </c>
    </row>
    <row r="2530" spans="1:5">
      <c r="A2530" s="3" t="s">
        <v>7662</v>
      </c>
      <c r="B2530" s="110" t="s">
        <v>1323</v>
      </c>
      <c r="C2530" s="111" t="s">
        <v>7663</v>
      </c>
      <c r="D2530" s="111" t="str">
        <f t="shared" ref="D2530:E2530" si="2528">TRIM(B2530)</f>
        <v>Colorado</v>
      </c>
      <c r="E2530" s="111" t="str">
        <f t="shared" si="2528"/>
        <v>Buena Vista</v>
      </c>
    </row>
    <row r="2531" spans="1:5">
      <c r="A2531" s="3" t="s">
        <v>7666</v>
      </c>
      <c r="B2531" s="110" t="s">
        <v>1323</v>
      </c>
      <c r="C2531" s="111" t="s">
        <v>7667</v>
      </c>
      <c r="D2531" s="111" t="str">
        <f t="shared" ref="D2531:E2531" si="2529">TRIM(B2531)</f>
        <v>Colorado</v>
      </c>
      <c r="E2531" s="111" t="str">
        <f t="shared" si="2529"/>
        <v>Burlington</v>
      </c>
    </row>
    <row r="2532" spans="1:5">
      <c r="A2532" s="3" t="s">
        <v>7669</v>
      </c>
      <c r="B2532" s="110" t="s">
        <v>1323</v>
      </c>
      <c r="C2532" s="111" t="s">
        <v>7670</v>
      </c>
      <c r="D2532" s="111" t="str">
        <f t="shared" ref="D2532:E2532" si="2530">TRIM(B2532)</f>
        <v>Colorado</v>
      </c>
      <c r="E2532" s="111" t="str">
        <f t="shared" si="2530"/>
        <v>Byers</v>
      </c>
    </row>
    <row r="2533" spans="1:5">
      <c r="A2533" s="3" t="s">
        <v>7672</v>
      </c>
      <c r="B2533" s="110" t="s">
        <v>1323</v>
      </c>
      <c r="C2533" s="111" t="s">
        <v>7673</v>
      </c>
      <c r="D2533" s="111" t="str">
        <f t="shared" ref="D2533:E2533" si="2531">TRIM(B2533)</f>
        <v>Colorado</v>
      </c>
      <c r="E2533" s="111" t="str">
        <f t="shared" si="2531"/>
        <v>Calhan</v>
      </c>
    </row>
    <row r="2534" spans="1:5">
      <c r="A2534" s="3" t="s">
        <v>7677</v>
      </c>
      <c r="B2534" s="110" t="s">
        <v>1323</v>
      </c>
      <c r="C2534" s="111" t="s">
        <v>7678</v>
      </c>
      <c r="D2534" s="111" t="str">
        <f t="shared" ref="D2534:E2534" si="2532">TRIM(B2534)</f>
        <v>Colorado</v>
      </c>
      <c r="E2534" s="111" t="str">
        <f t="shared" si="2532"/>
        <v>Campo</v>
      </c>
    </row>
    <row r="2535" spans="1:5">
      <c r="A2535" s="3" t="s">
        <v>7679</v>
      </c>
      <c r="B2535" s="110" t="s">
        <v>1323</v>
      </c>
      <c r="C2535" s="111" t="s">
        <v>7680</v>
      </c>
      <c r="D2535" s="111" t="str">
        <f t="shared" ref="D2535:E2535" si="2533">TRIM(B2535)</f>
        <v>Colorado</v>
      </c>
      <c r="E2535" s="111" t="str">
        <f t="shared" si="2533"/>
        <v>Canon City</v>
      </c>
    </row>
    <row r="2536" spans="1:5">
      <c r="A2536" s="3" t="s">
        <v>7682</v>
      </c>
      <c r="B2536" s="110" t="s">
        <v>1323</v>
      </c>
      <c r="C2536" s="111" t="s">
        <v>5964</v>
      </c>
      <c r="D2536" s="111" t="str">
        <f t="shared" ref="D2536:E2536" si="2534">TRIM(B2536)</f>
        <v>Colorado</v>
      </c>
      <c r="E2536" s="111" t="str">
        <f t="shared" si="2534"/>
        <v>Carbondale</v>
      </c>
    </row>
    <row r="2537" spans="1:5">
      <c r="A2537" s="3" t="s">
        <v>7684</v>
      </c>
      <c r="B2537" s="110" t="s">
        <v>1323</v>
      </c>
      <c r="C2537" s="111" t="s">
        <v>7685</v>
      </c>
      <c r="D2537" s="111" t="str">
        <f t="shared" ref="D2537:E2537" si="2535">TRIM(B2537)</f>
        <v>Colorado</v>
      </c>
      <c r="E2537" s="111" t="str">
        <f t="shared" si="2535"/>
        <v>Castle Rock</v>
      </c>
    </row>
    <row r="2538" spans="1:5">
      <c r="A2538" s="3" t="s">
        <v>7686</v>
      </c>
      <c r="B2538" s="110" t="s">
        <v>1323</v>
      </c>
      <c r="C2538" s="111" t="s">
        <v>7685</v>
      </c>
      <c r="D2538" s="111" t="str">
        <f t="shared" ref="D2538:E2538" si="2536">TRIM(B2538)</f>
        <v>Colorado</v>
      </c>
      <c r="E2538" s="111" t="str">
        <f t="shared" si="2536"/>
        <v>Castle Rock</v>
      </c>
    </row>
    <row r="2539" spans="1:5">
      <c r="A2539" s="3" t="s">
        <v>7687</v>
      </c>
      <c r="B2539" s="110" t="s">
        <v>1323</v>
      </c>
      <c r="C2539" s="111" t="s">
        <v>7689</v>
      </c>
      <c r="D2539" s="111" t="str">
        <f t="shared" ref="D2539:E2539" si="2537">TRIM(B2539)</f>
        <v>Colorado</v>
      </c>
      <c r="E2539" s="111" t="str">
        <f t="shared" si="2537"/>
        <v>Cedaredge</v>
      </c>
    </row>
    <row r="2540" spans="1:5">
      <c r="A2540" s="3" t="s">
        <v>7691</v>
      </c>
      <c r="B2540" s="110" t="s">
        <v>1323</v>
      </c>
      <c r="C2540" s="111" t="s">
        <v>7692</v>
      </c>
      <c r="D2540" s="111" t="str">
        <f t="shared" ref="D2540:E2540" si="2538">TRIM(B2540)</f>
        <v>Colorado</v>
      </c>
      <c r="E2540" s="111" t="str">
        <f t="shared" si="2538"/>
        <v>Centennial</v>
      </c>
    </row>
    <row r="2541" spans="1:5">
      <c r="A2541" s="3" t="s">
        <v>7693</v>
      </c>
      <c r="B2541" s="110" t="s">
        <v>1323</v>
      </c>
      <c r="C2541" s="111" t="s">
        <v>7692</v>
      </c>
      <c r="D2541" s="111" t="str">
        <f t="shared" ref="D2541:E2541" si="2539">TRIM(B2541)</f>
        <v>Colorado</v>
      </c>
      <c r="E2541" s="111" t="str">
        <f t="shared" si="2539"/>
        <v>Centennial</v>
      </c>
    </row>
    <row r="2542" spans="1:5">
      <c r="A2542" s="3" t="s">
        <v>7696</v>
      </c>
      <c r="B2542" s="110" t="s">
        <v>1323</v>
      </c>
      <c r="C2542" s="111" t="s">
        <v>7692</v>
      </c>
      <c r="D2542" s="111" t="str">
        <f t="shared" ref="D2542:E2542" si="2540">TRIM(B2542)</f>
        <v>Colorado</v>
      </c>
      <c r="E2542" s="111" t="str">
        <f t="shared" si="2540"/>
        <v>Centennial</v>
      </c>
    </row>
    <row r="2543" spans="1:5">
      <c r="A2543" s="3" t="s">
        <v>4353</v>
      </c>
      <c r="B2543" s="110" t="s">
        <v>1323</v>
      </c>
      <c r="C2543" s="111" t="s">
        <v>7698</v>
      </c>
      <c r="D2543" s="111" t="str">
        <f t="shared" ref="D2543:E2543" si="2541">TRIM(B2543)</f>
        <v>Colorado</v>
      </c>
      <c r="E2543" s="111" t="str">
        <f t="shared" si="2541"/>
        <v>Center</v>
      </c>
    </row>
    <row r="2544" spans="1:5">
      <c r="A2544" s="3" t="s">
        <v>7699</v>
      </c>
      <c r="B2544" s="110" t="s">
        <v>1323</v>
      </c>
      <c r="C2544" s="111" t="s">
        <v>7701</v>
      </c>
      <c r="D2544" s="111" t="str">
        <f t="shared" ref="D2544:E2544" si="2542">TRIM(B2544)</f>
        <v>Colorado</v>
      </c>
      <c r="E2544" s="111" t="str">
        <f t="shared" si="2542"/>
        <v>Cheyenne Wells</v>
      </c>
    </row>
    <row r="2545" spans="1:5">
      <c r="A2545" s="3" t="s">
        <v>7703</v>
      </c>
      <c r="B2545" s="110" t="s">
        <v>1323</v>
      </c>
      <c r="C2545" s="111" t="s">
        <v>7704</v>
      </c>
      <c r="D2545" s="111" t="str">
        <f t="shared" ref="D2545:E2545" si="2543">TRIM(B2545)</f>
        <v>Colorado</v>
      </c>
      <c r="E2545" s="111" t="str">
        <f t="shared" si="2543"/>
        <v>Collbran</v>
      </c>
    </row>
    <row r="2546" spans="1:5">
      <c r="A2546" s="3" t="s">
        <v>7705</v>
      </c>
      <c r="B2546" s="110" t="s">
        <v>1323</v>
      </c>
      <c r="C2546" s="113" t="s">
        <v>388</v>
      </c>
      <c r="D2546" s="111" t="str">
        <f t="shared" ref="D2546:E2546" si="2544">TRIM(B2546)</f>
        <v>Colorado</v>
      </c>
      <c r="E2546" s="111" t="str">
        <f t="shared" si="2544"/>
        <v>Colorado Springs</v>
      </c>
    </row>
    <row r="2547" spans="1:5">
      <c r="A2547" s="3" t="s">
        <v>7707</v>
      </c>
      <c r="B2547" s="110" t="s">
        <v>1323</v>
      </c>
      <c r="C2547" s="113" t="s">
        <v>388</v>
      </c>
      <c r="D2547" s="111" t="str">
        <f t="shared" ref="D2547:E2547" si="2545">TRIM(B2547)</f>
        <v>Colorado</v>
      </c>
      <c r="E2547" s="111" t="str">
        <f t="shared" si="2545"/>
        <v>Colorado Springs</v>
      </c>
    </row>
    <row r="2548" spans="1:5">
      <c r="A2548" s="3" t="s">
        <v>7709</v>
      </c>
      <c r="B2548" s="110" t="s">
        <v>1323</v>
      </c>
      <c r="C2548" s="113" t="s">
        <v>388</v>
      </c>
      <c r="D2548" s="111" t="str">
        <f t="shared" ref="D2548:E2548" si="2546">TRIM(B2548)</f>
        <v>Colorado</v>
      </c>
      <c r="E2548" s="111" t="str">
        <f t="shared" si="2546"/>
        <v>Colorado Springs</v>
      </c>
    </row>
    <row r="2549" spans="1:5">
      <c r="A2549" s="3" t="s">
        <v>7710</v>
      </c>
      <c r="B2549" s="110" t="s">
        <v>1323</v>
      </c>
      <c r="C2549" s="113" t="s">
        <v>388</v>
      </c>
      <c r="D2549" s="111" t="str">
        <f t="shared" ref="D2549:E2549" si="2547">TRIM(B2549)</f>
        <v>Colorado</v>
      </c>
      <c r="E2549" s="111" t="str">
        <f t="shared" si="2547"/>
        <v>Colorado Springs</v>
      </c>
    </row>
    <row r="2550" spans="1:5">
      <c r="A2550" s="110" t="s">
        <v>7711</v>
      </c>
      <c r="B2550" s="110" t="s">
        <v>1323</v>
      </c>
      <c r="C2550" s="113" t="s">
        <v>388</v>
      </c>
      <c r="D2550" s="111" t="str">
        <f t="shared" ref="D2550:E2550" si="2548">TRIM(B2550)</f>
        <v>Colorado</v>
      </c>
      <c r="E2550" s="111" t="str">
        <f t="shared" si="2548"/>
        <v>Colorado Springs</v>
      </c>
    </row>
    <row r="2551" spans="1:5">
      <c r="A2551" s="3" t="s">
        <v>3225</v>
      </c>
      <c r="B2551" s="110" t="s">
        <v>1323</v>
      </c>
      <c r="C2551" s="113" t="s">
        <v>388</v>
      </c>
      <c r="D2551" s="111" t="str">
        <f t="shared" ref="D2551:E2551" si="2549">TRIM(B2551)</f>
        <v>Colorado</v>
      </c>
      <c r="E2551" s="111" t="str">
        <f t="shared" si="2549"/>
        <v>Colorado Springs</v>
      </c>
    </row>
    <row r="2552" spans="1:5">
      <c r="A2552" s="3" t="s">
        <v>7714</v>
      </c>
      <c r="B2552" s="110" t="s">
        <v>1323</v>
      </c>
      <c r="C2552" s="113" t="s">
        <v>388</v>
      </c>
      <c r="D2552" s="111" t="str">
        <f t="shared" ref="D2552:E2552" si="2550">TRIM(B2552)</f>
        <v>Colorado</v>
      </c>
      <c r="E2552" s="111" t="str">
        <f t="shared" si="2550"/>
        <v>Colorado Springs</v>
      </c>
    </row>
    <row r="2553" spans="1:5">
      <c r="A2553" s="3" t="s">
        <v>7716</v>
      </c>
      <c r="B2553" s="110" t="s">
        <v>1323</v>
      </c>
      <c r="C2553" s="113" t="s">
        <v>388</v>
      </c>
      <c r="D2553" s="111" t="str">
        <f t="shared" ref="D2553:E2553" si="2551">TRIM(B2553)</f>
        <v>Colorado</v>
      </c>
      <c r="E2553" s="111" t="str">
        <f t="shared" si="2551"/>
        <v>Colorado Springs</v>
      </c>
    </row>
    <row r="2554" spans="1:5">
      <c r="A2554" s="3" t="s">
        <v>7720</v>
      </c>
      <c r="B2554" s="110" t="s">
        <v>1323</v>
      </c>
      <c r="C2554" s="113" t="s">
        <v>388</v>
      </c>
      <c r="D2554" s="111" t="str">
        <f t="shared" ref="D2554:E2554" si="2552">TRIM(B2554)</f>
        <v>Colorado</v>
      </c>
      <c r="E2554" s="111" t="str">
        <f t="shared" si="2552"/>
        <v>Colorado Springs</v>
      </c>
    </row>
    <row r="2555" spans="1:5">
      <c r="A2555" s="3" t="s">
        <v>7721</v>
      </c>
      <c r="B2555" s="110" t="s">
        <v>1323</v>
      </c>
      <c r="C2555" s="113" t="s">
        <v>388</v>
      </c>
      <c r="D2555" s="111" t="str">
        <f t="shared" ref="D2555:E2555" si="2553">TRIM(B2555)</f>
        <v>Colorado</v>
      </c>
      <c r="E2555" s="111" t="str">
        <f t="shared" si="2553"/>
        <v>Colorado Springs</v>
      </c>
    </row>
    <row r="2556" spans="1:5">
      <c r="A2556" s="3" t="s">
        <v>3848</v>
      </c>
      <c r="B2556" s="110" t="s">
        <v>1323</v>
      </c>
      <c r="C2556" s="113" t="s">
        <v>388</v>
      </c>
      <c r="D2556" s="111" t="str">
        <f t="shared" ref="D2556:E2556" si="2554">TRIM(B2556)</f>
        <v>Colorado</v>
      </c>
      <c r="E2556" s="111" t="str">
        <f t="shared" si="2554"/>
        <v>Colorado Springs</v>
      </c>
    </row>
    <row r="2557" spans="1:5">
      <c r="A2557" s="3" t="s">
        <v>7724</v>
      </c>
      <c r="B2557" s="110" t="s">
        <v>1323</v>
      </c>
      <c r="C2557" s="113" t="s">
        <v>388</v>
      </c>
      <c r="D2557" s="111" t="str">
        <f t="shared" ref="D2557:E2557" si="2555">TRIM(B2557)</f>
        <v>Colorado</v>
      </c>
      <c r="E2557" s="111" t="str">
        <f t="shared" si="2555"/>
        <v>Colorado Springs</v>
      </c>
    </row>
    <row r="2558" spans="1:5">
      <c r="A2558" s="3" t="s">
        <v>7725</v>
      </c>
      <c r="B2558" s="110" t="s">
        <v>1323</v>
      </c>
      <c r="C2558" s="113" t="s">
        <v>388</v>
      </c>
      <c r="D2558" s="111" t="str">
        <f t="shared" ref="D2558:E2558" si="2556">TRIM(B2558)</f>
        <v>Colorado</v>
      </c>
      <c r="E2558" s="111" t="str">
        <f t="shared" si="2556"/>
        <v>Colorado Springs</v>
      </c>
    </row>
    <row r="2559" spans="1:5">
      <c r="A2559" s="3" t="s">
        <v>2745</v>
      </c>
      <c r="B2559" s="110" t="s">
        <v>1323</v>
      </c>
      <c r="C2559" s="113" t="s">
        <v>388</v>
      </c>
      <c r="D2559" s="111" t="str">
        <f t="shared" ref="D2559:E2559" si="2557">TRIM(B2559)</f>
        <v>Colorado</v>
      </c>
      <c r="E2559" s="111" t="str">
        <f t="shared" si="2557"/>
        <v>Colorado Springs</v>
      </c>
    </row>
    <row r="2560" spans="1:5">
      <c r="A2560" s="3" t="s">
        <v>7728</v>
      </c>
      <c r="B2560" s="110" t="s">
        <v>1323</v>
      </c>
      <c r="C2560" s="113" t="s">
        <v>388</v>
      </c>
      <c r="D2560" s="111" t="str">
        <f t="shared" ref="D2560:E2560" si="2558">TRIM(B2560)</f>
        <v>Colorado</v>
      </c>
      <c r="E2560" s="111" t="str">
        <f t="shared" si="2558"/>
        <v>Colorado Springs</v>
      </c>
    </row>
    <row r="2561" spans="1:5">
      <c r="A2561" s="3" t="s">
        <v>7729</v>
      </c>
      <c r="B2561" s="110" t="s">
        <v>1323</v>
      </c>
      <c r="C2561" s="113" t="s">
        <v>388</v>
      </c>
      <c r="D2561" s="111" t="str">
        <f t="shared" ref="D2561:E2561" si="2559">TRIM(B2561)</f>
        <v>Colorado</v>
      </c>
      <c r="E2561" s="111" t="str">
        <f t="shared" si="2559"/>
        <v>Colorado Springs</v>
      </c>
    </row>
    <row r="2562" spans="1:5">
      <c r="A2562" s="3" t="s">
        <v>2405</v>
      </c>
      <c r="B2562" s="110" t="s">
        <v>1323</v>
      </c>
      <c r="C2562" s="113" t="s">
        <v>388</v>
      </c>
      <c r="D2562" s="111" t="str">
        <f t="shared" ref="D2562:E2562" si="2560">TRIM(B2562)</f>
        <v>Colorado</v>
      </c>
      <c r="E2562" s="111" t="str">
        <f t="shared" si="2560"/>
        <v>Colorado Springs</v>
      </c>
    </row>
    <row r="2563" spans="1:5">
      <c r="A2563" s="110" t="s">
        <v>7733</v>
      </c>
      <c r="B2563" s="110" t="s">
        <v>1323</v>
      </c>
      <c r="C2563" s="113" t="s">
        <v>388</v>
      </c>
      <c r="D2563" s="111" t="str">
        <f t="shared" ref="D2563:E2563" si="2561">TRIM(B2563)</f>
        <v>Colorado</v>
      </c>
      <c r="E2563" s="111" t="str">
        <f t="shared" si="2561"/>
        <v>Colorado Springs</v>
      </c>
    </row>
    <row r="2564" spans="1:5">
      <c r="A2564" s="3" t="s">
        <v>7734</v>
      </c>
      <c r="B2564" s="110" t="s">
        <v>1323</v>
      </c>
      <c r="C2564" s="113" t="s">
        <v>388</v>
      </c>
      <c r="D2564" s="111" t="str">
        <f t="shared" ref="D2564:E2564" si="2562">TRIM(B2564)</f>
        <v>Colorado</v>
      </c>
      <c r="E2564" s="111" t="str">
        <f t="shared" si="2562"/>
        <v>Colorado Springs</v>
      </c>
    </row>
    <row r="2565" spans="1:5">
      <c r="A2565" s="3" t="s">
        <v>7737</v>
      </c>
      <c r="B2565" s="110" t="s">
        <v>1323</v>
      </c>
      <c r="C2565" s="113" t="s">
        <v>388</v>
      </c>
      <c r="D2565" s="111" t="str">
        <f t="shared" ref="D2565:E2565" si="2563">TRIM(B2565)</f>
        <v>Colorado</v>
      </c>
      <c r="E2565" s="111" t="str">
        <f t="shared" si="2563"/>
        <v>Colorado Springs</v>
      </c>
    </row>
    <row r="2566" spans="1:5">
      <c r="A2566" s="3" t="s">
        <v>7739</v>
      </c>
      <c r="B2566" s="110" t="s">
        <v>1323</v>
      </c>
      <c r="C2566" s="113" t="s">
        <v>388</v>
      </c>
      <c r="D2566" s="111" t="str">
        <f t="shared" ref="D2566:E2566" si="2564">TRIM(B2566)</f>
        <v>Colorado</v>
      </c>
      <c r="E2566" s="111" t="str">
        <f t="shared" si="2564"/>
        <v>Colorado Springs</v>
      </c>
    </row>
    <row r="2567" spans="1:5">
      <c r="A2567" s="3" t="s">
        <v>5883</v>
      </c>
      <c r="B2567" s="110" t="s">
        <v>1323</v>
      </c>
      <c r="C2567" s="113" t="s">
        <v>388</v>
      </c>
      <c r="D2567" s="111" t="str">
        <f t="shared" ref="D2567:E2567" si="2565">TRIM(B2567)</f>
        <v>Colorado</v>
      </c>
      <c r="E2567" s="111" t="str">
        <f t="shared" si="2565"/>
        <v>Colorado Springs</v>
      </c>
    </row>
    <row r="2568" spans="1:5">
      <c r="A2568" s="110" t="s">
        <v>7741</v>
      </c>
      <c r="B2568" s="110" t="s">
        <v>1323</v>
      </c>
      <c r="C2568" s="113" t="s">
        <v>388</v>
      </c>
      <c r="D2568" s="111" t="str">
        <f t="shared" ref="D2568:E2568" si="2566">TRIM(B2568)</f>
        <v>Colorado</v>
      </c>
      <c r="E2568" s="111" t="str">
        <f t="shared" si="2566"/>
        <v>Colorado Springs</v>
      </c>
    </row>
    <row r="2569" spans="1:5">
      <c r="A2569" s="3" t="s">
        <v>7744</v>
      </c>
      <c r="B2569" s="110" t="s">
        <v>1323</v>
      </c>
      <c r="C2569" s="113" t="s">
        <v>388</v>
      </c>
      <c r="D2569" s="111" t="str">
        <f t="shared" ref="D2569:E2569" si="2567">TRIM(B2569)</f>
        <v>Colorado</v>
      </c>
      <c r="E2569" s="111" t="str">
        <f t="shared" si="2567"/>
        <v>Colorado Springs</v>
      </c>
    </row>
    <row r="2570" spans="1:5">
      <c r="A2570" s="3" t="s">
        <v>7745</v>
      </c>
      <c r="B2570" s="110" t="s">
        <v>1323</v>
      </c>
      <c r="C2570" s="113" t="s">
        <v>388</v>
      </c>
      <c r="D2570" s="111" t="str">
        <f t="shared" ref="D2570:E2570" si="2568">TRIM(B2570)</f>
        <v>Colorado</v>
      </c>
      <c r="E2570" s="111" t="str">
        <f t="shared" si="2568"/>
        <v>Colorado Springs</v>
      </c>
    </row>
    <row r="2571" spans="1:5">
      <c r="A2571" s="3" t="s">
        <v>7749</v>
      </c>
      <c r="B2571" s="110" t="s">
        <v>1323</v>
      </c>
      <c r="C2571" s="113" t="s">
        <v>388</v>
      </c>
      <c r="D2571" s="111" t="str">
        <f t="shared" ref="D2571:E2571" si="2569">TRIM(B2571)</f>
        <v>Colorado</v>
      </c>
      <c r="E2571" s="111" t="str">
        <f t="shared" si="2569"/>
        <v>Colorado Springs</v>
      </c>
    </row>
    <row r="2572" spans="1:5">
      <c r="A2572" s="3" t="s">
        <v>7751</v>
      </c>
      <c r="B2572" s="110" t="s">
        <v>1323</v>
      </c>
      <c r="C2572" s="113" t="s">
        <v>388</v>
      </c>
      <c r="D2572" s="111" t="str">
        <f t="shared" ref="D2572:E2572" si="2570">TRIM(B2572)</f>
        <v>Colorado</v>
      </c>
      <c r="E2572" s="111" t="str">
        <f t="shared" si="2570"/>
        <v>Colorado Springs</v>
      </c>
    </row>
    <row r="2573" spans="1:5">
      <c r="A2573" s="3" t="s">
        <v>7754</v>
      </c>
      <c r="B2573" s="110" t="s">
        <v>1323</v>
      </c>
      <c r="C2573" s="111" t="s">
        <v>7755</v>
      </c>
      <c r="D2573" s="111" t="str">
        <f t="shared" ref="D2573:E2573" si="2571">TRIM(B2573)</f>
        <v>Colorado</v>
      </c>
      <c r="E2573" s="111" t="str">
        <f t="shared" si="2571"/>
        <v>Commerce City</v>
      </c>
    </row>
    <row r="2574" spans="1:5">
      <c r="A2574" s="3" t="s">
        <v>7756</v>
      </c>
      <c r="B2574" s="110" t="s">
        <v>1323</v>
      </c>
      <c r="C2574" s="111" t="s">
        <v>7755</v>
      </c>
      <c r="D2574" s="111" t="str">
        <f t="shared" ref="D2574:E2574" si="2572">TRIM(B2574)</f>
        <v>Colorado</v>
      </c>
      <c r="E2574" s="111" t="str">
        <f t="shared" si="2572"/>
        <v>Commerce City</v>
      </c>
    </row>
    <row r="2575" spans="1:5">
      <c r="A2575" s="3" t="s">
        <v>7759</v>
      </c>
      <c r="B2575" s="110" t="s">
        <v>1323</v>
      </c>
      <c r="C2575" s="111" t="s">
        <v>7760</v>
      </c>
      <c r="D2575" s="111" t="str">
        <f t="shared" ref="D2575:E2575" si="2573">TRIM(B2575)</f>
        <v>Colorado</v>
      </c>
      <c r="E2575" s="111" t="str">
        <f t="shared" si="2573"/>
        <v>Conifer</v>
      </c>
    </row>
    <row r="2576" spans="1:5">
      <c r="A2576" s="3" t="s">
        <v>7761</v>
      </c>
      <c r="B2576" s="110" t="s">
        <v>1323</v>
      </c>
      <c r="C2576" s="111" t="s">
        <v>7762</v>
      </c>
      <c r="D2576" s="111" t="str">
        <f t="shared" ref="D2576:E2576" si="2574">TRIM(B2576)</f>
        <v>Colorado</v>
      </c>
      <c r="E2576" s="111" t="str">
        <f t="shared" si="2574"/>
        <v>Cortez</v>
      </c>
    </row>
    <row r="2577" spans="1:5">
      <c r="A2577" s="3" t="s">
        <v>7763</v>
      </c>
      <c r="B2577" s="110" t="s">
        <v>1323</v>
      </c>
      <c r="C2577" s="111" t="s">
        <v>7764</v>
      </c>
      <c r="D2577" s="111" t="str">
        <f t="shared" ref="D2577:E2577" si="2575">TRIM(B2577)</f>
        <v>Colorado</v>
      </c>
      <c r="E2577" s="111" t="str">
        <f t="shared" si="2575"/>
        <v>Cotopaxi</v>
      </c>
    </row>
    <row r="2578" spans="1:5">
      <c r="A2578" s="3" t="s">
        <v>7765</v>
      </c>
      <c r="B2578" s="110" t="s">
        <v>1323</v>
      </c>
      <c r="C2578" s="111" t="s">
        <v>2319</v>
      </c>
      <c r="D2578" s="111" t="str">
        <f t="shared" ref="D2578:E2578" si="2576">TRIM(B2578)</f>
        <v>Colorado</v>
      </c>
      <c r="E2578" s="111" t="str">
        <f t="shared" si="2576"/>
        <v>Craig</v>
      </c>
    </row>
    <row r="2579" spans="1:5">
      <c r="A2579" s="110" t="s">
        <v>7767</v>
      </c>
      <c r="B2579" s="110" t="s">
        <v>1323</v>
      </c>
      <c r="C2579" s="111" t="s">
        <v>7768</v>
      </c>
      <c r="D2579" s="111" t="str">
        <f t="shared" ref="D2579:E2579" si="2577">TRIM(B2579)</f>
        <v>Colorado</v>
      </c>
      <c r="E2579" s="111" t="str">
        <f t="shared" si="2577"/>
        <v>Crested Butte</v>
      </c>
    </row>
    <row r="2580" spans="1:5">
      <c r="A2580" s="3" t="s">
        <v>7769</v>
      </c>
      <c r="B2580" s="110" t="s">
        <v>1323</v>
      </c>
      <c r="C2580" s="111" t="s">
        <v>7770</v>
      </c>
      <c r="D2580" s="111" t="str">
        <f t="shared" ref="D2580:E2580" si="2578">TRIM(B2580)</f>
        <v>Colorado</v>
      </c>
      <c r="E2580" s="111" t="str">
        <f t="shared" si="2578"/>
        <v>Cripple Creek</v>
      </c>
    </row>
    <row r="2581" spans="1:5">
      <c r="A2581" s="3" t="s">
        <v>7772</v>
      </c>
      <c r="B2581" s="110" t="s">
        <v>1323</v>
      </c>
      <c r="C2581" s="111" t="s">
        <v>7773</v>
      </c>
      <c r="D2581" s="111" t="str">
        <f t="shared" ref="D2581:E2581" si="2579">TRIM(B2581)</f>
        <v>Colorado</v>
      </c>
      <c r="E2581" s="111" t="str">
        <f t="shared" si="2579"/>
        <v>Deer Trail</v>
      </c>
    </row>
    <row r="2582" spans="1:5">
      <c r="A2582" s="3" t="s">
        <v>7775</v>
      </c>
      <c r="B2582" s="110" t="s">
        <v>1323</v>
      </c>
      <c r="C2582" s="111" t="s">
        <v>7776</v>
      </c>
      <c r="D2582" s="111" t="str">
        <f t="shared" ref="D2582:E2582" si="2580">TRIM(B2582)</f>
        <v>Colorado</v>
      </c>
      <c r="E2582" s="111" t="str">
        <f t="shared" si="2580"/>
        <v>Del Norte</v>
      </c>
    </row>
    <row r="2583" spans="1:5">
      <c r="A2583" s="3" t="s">
        <v>7777</v>
      </c>
      <c r="B2583" s="110" t="s">
        <v>1323</v>
      </c>
      <c r="C2583" s="111" t="s">
        <v>7778</v>
      </c>
      <c r="D2583" s="111" t="str">
        <f t="shared" ref="D2583:E2583" si="2581">TRIM(B2583)</f>
        <v>Colorado</v>
      </c>
      <c r="E2583" s="111" t="str">
        <f t="shared" si="2581"/>
        <v>Delta</v>
      </c>
    </row>
    <row r="2584" spans="1:5">
      <c r="A2584" s="3" t="s">
        <v>4696</v>
      </c>
      <c r="B2584" s="110" t="s">
        <v>1323</v>
      </c>
      <c r="C2584" s="111" t="s">
        <v>7778</v>
      </c>
      <c r="D2584" s="111" t="str">
        <f t="shared" ref="D2584:E2584" si="2582">TRIM(B2584)</f>
        <v>Colorado</v>
      </c>
      <c r="E2584" s="111" t="str">
        <f t="shared" si="2582"/>
        <v>Delta</v>
      </c>
    </row>
    <row r="2585" spans="1:5">
      <c r="A2585" s="3" t="s">
        <v>6888</v>
      </c>
      <c r="B2585" s="110" t="s">
        <v>1323</v>
      </c>
      <c r="C2585" s="111" t="s">
        <v>7781</v>
      </c>
      <c r="D2585" s="111" t="str">
        <f t="shared" ref="D2585:E2585" si="2583">TRIM(B2585)</f>
        <v>Colorado</v>
      </c>
      <c r="E2585" s="111" t="str">
        <f t="shared" si="2583"/>
        <v>Denver</v>
      </c>
    </row>
    <row r="2586" spans="1:5">
      <c r="A2586" s="3" t="s">
        <v>7783</v>
      </c>
      <c r="B2586" s="110" t="s">
        <v>1323</v>
      </c>
      <c r="C2586" s="111" t="s">
        <v>7781</v>
      </c>
      <c r="D2586" s="111" t="str">
        <f t="shared" ref="D2586:E2586" si="2584">TRIM(B2586)</f>
        <v>Colorado</v>
      </c>
      <c r="E2586" s="111" t="str">
        <f t="shared" si="2584"/>
        <v>Denver</v>
      </c>
    </row>
    <row r="2587" spans="1:5">
      <c r="A2587" s="110" t="s">
        <v>7785</v>
      </c>
      <c r="B2587" s="110" t="s">
        <v>1323</v>
      </c>
      <c r="C2587" s="111" t="s">
        <v>7781</v>
      </c>
      <c r="D2587" s="111" t="str">
        <f t="shared" ref="D2587:E2587" si="2585">TRIM(B2587)</f>
        <v>Colorado</v>
      </c>
      <c r="E2587" s="111" t="str">
        <f t="shared" si="2585"/>
        <v>Denver</v>
      </c>
    </row>
    <row r="2588" spans="1:5">
      <c r="A2588" s="3" t="s">
        <v>7786</v>
      </c>
      <c r="B2588" s="110" t="s">
        <v>1323</v>
      </c>
      <c r="C2588" s="111" t="s">
        <v>7781</v>
      </c>
      <c r="D2588" s="111" t="str">
        <f t="shared" ref="D2588:E2588" si="2586">TRIM(B2588)</f>
        <v>Colorado</v>
      </c>
      <c r="E2588" s="111" t="str">
        <f t="shared" si="2586"/>
        <v>Denver</v>
      </c>
    </row>
    <row r="2589" spans="1:5">
      <c r="A2589" s="3" t="s">
        <v>7790</v>
      </c>
      <c r="B2589" s="110" t="s">
        <v>1323</v>
      </c>
      <c r="C2589" s="111" t="s">
        <v>7781</v>
      </c>
      <c r="D2589" s="111" t="str">
        <f t="shared" ref="D2589:E2589" si="2587">TRIM(B2589)</f>
        <v>Colorado</v>
      </c>
      <c r="E2589" s="111" t="str">
        <f t="shared" si="2587"/>
        <v>Denver</v>
      </c>
    </row>
    <row r="2590" spans="1:5">
      <c r="A2590" s="110" t="s">
        <v>7792</v>
      </c>
      <c r="B2590" s="110" t="s">
        <v>1323</v>
      </c>
      <c r="C2590" s="111" t="s">
        <v>7781</v>
      </c>
      <c r="D2590" s="111" t="str">
        <f t="shared" ref="D2590:E2590" si="2588">TRIM(B2590)</f>
        <v>Colorado</v>
      </c>
      <c r="E2590" s="111" t="str">
        <f t="shared" si="2588"/>
        <v>Denver</v>
      </c>
    </row>
    <row r="2591" spans="1:5">
      <c r="A2591" s="110" t="s">
        <v>7793</v>
      </c>
      <c r="B2591" s="110" t="s">
        <v>1323</v>
      </c>
      <c r="C2591" s="111" t="s">
        <v>7781</v>
      </c>
      <c r="D2591" s="111" t="str">
        <f t="shared" ref="D2591:E2591" si="2589">TRIM(B2591)</f>
        <v>Colorado</v>
      </c>
      <c r="E2591" s="111" t="str">
        <f t="shared" si="2589"/>
        <v>Denver</v>
      </c>
    </row>
    <row r="2592" spans="1:5">
      <c r="A2592" s="3" t="s">
        <v>7796</v>
      </c>
      <c r="B2592" s="110" t="s">
        <v>1323</v>
      </c>
      <c r="C2592" s="111" t="s">
        <v>7781</v>
      </c>
      <c r="D2592" s="111" t="str">
        <f t="shared" ref="D2592:E2592" si="2590">TRIM(B2592)</f>
        <v>Colorado</v>
      </c>
      <c r="E2592" s="111" t="str">
        <f t="shared" si="2590"/>
        <v>Denver</v>
      </c>
    </row>
    <row r="2593" spans="1:5">
      <c r="A2593" s="3" t="s">
        <v>7798</v>
      </c>
      <c r="B2593" s="110" t="s">
        <v>1323</v>
      </c>
      <c r="C2593" s="112" t="s">
        <v>7781</v>
      </c>
      <c r="D2593" s="111" t="str">
        <f t="shared" ref="D2593:E2593" si="2591">TRIM(B2593)</f>
        <v>Colorado</v>
      </c>
      <c r="E2593" s="111" t="str">
        <f t="shared" si="2591"/>
        <v>Denver</v>
      </c>
    </row>
    <row r="2594" spans="1:5">
      <c r="A2594" s="110" t="s">
        <v>7800</v>
      </c>
      <c r="B2594" s="110" t="s">
        <v>1323</v>
      </c>
      <c r="C2594" s="111" t="s">
        <v>7781</v>
      </c>
      <c r="D2594" s="111" t="str">
        <f t="shared" ref="D2594:E2594" si="2592">TRIM(B2594)</f>
        <v>Colorado</v>
      </c>
      <c r="E2594" s="111" t="str">
        <f t="shared" si="2592"/>
        <v>Denver</v>
      </c>
    </row>
    <row r="2595" spans="1:5">
      <c r="A2595" s="110" t="s">
        <v>7802</v>
      </c>
      <c r="B2595" s="110" t="s">
        <v>1323</v>
      </c>
      <c r="C2595" s="111" t="s">
        <v>7781</v>
      </c>
      <c r="D2595" s="111" t="str">
        <f t="shared" ref="D2595:E2595" si="2593">TRIM(B2595)</f>
        <v>Colorado</v>
      </c>
      <c r="E2595" s="111" t="str">
        <f t="shared" si="2593"/>
        <v>Denver</v>
      </c>
    </row>
    <row r="2596" spans="1:5">
      <c r="A2596" s="110" t="s">
        <v>7803</v>
      </c>
      <c r="B2596" s="110" t="s">
        <v>1323</v>
      </c>
      <c r="C2596" s="111" t="s">
        <v>7781</v>
      </c>
      <c r="D2596" s="111" t="str">
        <f t="shared" ref="D2596:E2596" si="2594">TRIM(B2596)</f>
        <v>Colorado</v>
      </c>
      <c r="E2596" s="111" t="str">
        <f t="shared" si="2594"/>
        <v>Denver</v>
      </c>
    </row>
    <row r="2597" spans="1:5">
      <c r="A2597" s="3" t="s">
        <v>7804</v>
      </c>
      <c r="B2597" s="110" t="s">
        <v>1323</v>
      </c>
      <c r="C2597" s="111" t="s">
        <v>7781</v>
      </c>
      <c r="D2597" s="111" t="str">
        <f t="shared" ref="D2597:E2597" si="2595">TRIM(B2597)</f>
        <v>Colorado</v>
      </c>
      <c r="E2597" s="111" t="str">
        <f t="shared" si="2595"/>
        <v>Denver</v>
      </c>
    </row>
    <row r="2598" spans="1:5">
      <c r="A2598" s="3" t="s">
        <v>7808</v>
      </c>
      <c r="B2598" s="110" t="s">
        <v>1323</v>
      </c>
      <c r="C2598" s="111" t="s">
        <v>7781</v>
      </c>
      <c r="D2598" s="111" t="str">
        <f t="shared" ref="D2598:E2598" si="2596">TRIM(B2598)</f>
        <v>Colorado</v>
      </c>
      <c r="E2598" s="111" t="str">
        <f t="shared" si="2596"/>
        <v>Denver</v>
      </c>
    </row>
    <row r="2599" spans="1:5">
      <c r="A2599" s="3" t="s">
        <v>7809</v>
      </c>
      <c r="B2599" s="110" t="s">
        <v>1323</v>
      </c>
      <c r="C2599" s="111" t="s">
        <v>7781</v>
      </c>
      <c r="D2599" s="111" t="str">
        <f t="shared" ref="D2599:E2599" si="2597">TRIM(B2599)</f>
        <v>Colorado</v>
      </c>
      <c r="E2599" s="111" t="str">
        <f t="shared" si="2597"/>
        <v>Denver</v>
      </c>
    </row>
    <row r="2600" spans="1:5">
      <c r="A2600" s="3" t="s">
        <v>7812</v>
      </c>
      <c r="B2600" s="110" t="s">
        <v>1323</v>
      </c>
      <c r="C2600" s="111" t="s">
        <v>7781</v>
      </c>
      <c r="D2600" s="111" t="str">
        <f t="shared" ref="D2600:E2600" si="2598">TRIM(B2600)</f>
        <v>Colorado</v>
      </c>
      <c r="E2600" s="111" t="str">
        <f t="shared" si="2598"/>
        <v>Denver</v>
      </c>
    </row>
    <row r="2601" spans="1:5">
      <c r="A2601" s="110" t="s">
        <v>7814</v>
      </c>
      <c r="B2601" s="110" t="s">
        <v>1323</v>
      </c>
      <c r="C2601" s="111" t="s">
        <v>7781</v>
      </c>
      <c r="D2601" s="111" t="str">
        <f t="shared" ref="D2601:E2601" si="2599">TRIM(B2601)</f>
        <v>Colorado</v>
      </c>
      <c r="E2601" s="111" t="str">
        <f t="shared" si="2599"/>
        <v>Denver</v>
      </c>
    </row>
    <row r="2602" spans="1:5">
      <c r="A2602" s="3" t="s">
        <v>2294</v>
      </c>
      <c r="B2602" s="110" t="s">
        <v>1323</v>
      </c>
      <c r="C2602" s="111" t="s">
        <v>7781</v>
      </c>
      <c r="D2602" s="111" t="str">
        <f t="shared" ref="D2602:E2602" si="2600">TRIM(B2602)</f>
        <v>Colorado</v>
      </c>
      <c r="E2602" s="111" t="str">
        <f t="shared" si="2600"/>
        <v>Denver</v>
      </c>
    </row>
    <row r="2603" spans="1:5">
      <c r="A2603" s="3" t="s">
        <v>7817</v>
      </c>
      <c r="B2603" s="110" t="s">
        <v>1323</v>
      </c>
      <c r="C2603" s="111" t="s">
        <v>7781</v>
      </c>
      <c r="D2603" s="111" t="str">
        <f t="shared" ref="D2603:E2603" si="2601">TRIM(B2603)</f>
        <v>Colorado</v>
      </c>
      <c r="E2603" s="111" t="str">
        <f t="shared" si="2601"/>
        <v>Denver</v>
      </c>
    </row>
    <row r="2604" spans="1:5">
      <c r="A2604" s="3" t="s">
        <v>7819</v>
      </c>
      <c r="B2604" s="110" t="s">
        <v>1323</v>
      </c>
      <c r="C2604" s="111" t="s">
        <v>7781</v>
      </c>
      <c r="D2604" s="111" t="str">
        <f t="shared" ref="D2604:E2604" si="2602">TRIM(B2604)</f>
        <v>Colorado</v>
      </c>
      <c r="E2604" s="111" t="str">
        <f t="shared" si="2602"/>
        <v>Denver</v>
      </c>
    </row>
    <row r="2605" spans="1:5">
      <c r="A2605" s="3" t="s">
        <v>7820</v>
      </c>
      <c r="B2605" s="110" t="s">
        <v>1323</v>
      </c>
      <c r="C2605" s="111" t="s">
        <v>7781</v>
      </c>
      <c r="D2605" s="111" t="str">
        <f t="shared" ref="D2605:E2605" si="2603">TRIM(B2605)</f>
        <v>Colorado</v>
      </c>
      <c r="E2605" s="111" t="str">
        <f t="shared" si="2603"/>
        <v>Denver</v>
      </c>
    </row>
    <row r="2606" spans="1:5">
      <c r="A2606" s="3" t="s">
        <v>7821</v>
      </c>
      <c r="B2606" s="110" t="s">
        <v>1323</v>
      </c>
      <c r="C2606" s="111" t="s">
        <v>7781</v>
      </c>
      <c r="D2606" s="111" t="str">
        <f t="shared" ref="D2606:E2606" si="2604">TRIM(B2606)</f>
        <v>Colorado</v>
      </c>
      <c r="E2606" s="111" t="str">
        <f t="shared" si="2604"/>
        <v>Denver</v>
      </c>
    </row>
    <row r="2607" spans="1:5">
      <c r="A2607" s="3" t="s">
        <v>7824</v>
      </c>
      <c r="B2607" s="110" t="s">
        <v>1323</v>
      </c>
      <c r="C2607" s="111" t="s">
        <v>7781</v>
      </c>
      <c r="D2607" s="111" t="str">
        <f t="shared" ref="D2607:E2607" si="2605">TRIM(B2607)</f>
        <v>Colorado</v>
      </c>
      <c r="E2607" s="111" t="str">
        <f t="shared" si="2605"/>
        <v>Denver</v>
      </c>
    </row>
    <row r="2608" spans="1:5">
      <c r="A2608" s="3" t="s">
        <v>7827</v>
      </c>
      <c r="B2608" s="110" t="s">
        <v>1323</v>
      </c>
      <c r="C2608" s="111" t="s">
        <v>7781</v>
      </c>
      <c r="D2608" s="111" t="str">
        <f t="shared" ref="D2608:E2608" si="2606">TRIM(B2608)</f>
        <v>Colorado</v>
      </c>
      <c r="E2608" s="111" t="str">
        <f t="shared" si="2606"/>
        <v>Denver</v>
      </c>
    </row>
    <row r="2609" spans="1:5">
      <c r="A2609" s="3" t="s">
        <v>7829</v>
      </c>
      <c r="B2609" s="110" t="s">
        <v>1323</v>
      </c>
      <c r="C2609" s="111" t="s">
        <v>7781</v>
      </c>
      <c r="D2609" s="111" t="str">
        <f t="shared" ref="D2609:E2609" si="2607">TRIM(B2609)</f>
        <v>Colorado</v>
      </c>
      <c r="E2609" s="111" t="str">
        <f t="shared" si="2607"/>
        <v>Denver</v>
      </c>
    </row>
    <row r="2610" spans="1:5">
      <c r="A2610" s="3" t="s">
        <v>7831</v>
      </c>
      <c r="B2610" s="110" t="s">
        <v>1323</v>
      </c>
      <c r="C2610" s="111" t="s">
        <v>7781</v>
      </c>
      <c r="D2610" s="111" t="str">
        <f t="shared" ref="D2610:E2610" si="2608">TRIM(B2610)</f>
        <v>Colorado</v>
      </c>
      <c r="E2610" s="111" t="str">
        <f t="shared" si="2608"/>
        <v>Denver</v>
      </c>
    </row>
    <row r="2611" spans="1:5">
      <c r="A2611" s="110" t="s">
        <v>7835</v>
      </c>
      <c r="B2611" s="110" t="s">
        <v>1323</v>
      </c>
      <c r="C2611" s="111" t="s">
        <v>7781</v>
      </c>
      <c r="D2611" s="111" t="str">
        <f t="shared" ref="D2611:E2611" si="2609">TRIM(B2611)</f>
        <v>Colorado</v>
      </c>
      <c r="E2611" s="111" t="str">
        <f t="shared" si="2609"/>
        <v>Denver</v>
      </c>
    </row>
    <row r="2612" spans="1:5">
      <c r="A2612" s="3" t="s">
        <v>3069</v>
      </c>
      <c r="B2612" s="110" t="s">
        <v>1323</v>
      </c>
      <c r="C2612" s="111" t="s">
        <v>7781</v>
      </c>
      <c r="D2612" s="111" t="str">
        <f t="shared" ref="D2612:E2612" si="2610">TRIM(B2612)</f>
        <v>Colorado</v>
      </c>
      <c r="E2612" s="111" t="str">
        <f t="shared" si="2610"/>
        <v>Denver</v>
      </c>
    </row>
    <row r="2613" spans="1:5">
      <c r="A2613" s="3" t="s">
        <v>7838</v>
      </c>
      <c r="B2613" s="110" t="s">
        <v>1323</v>
      </c>
      <c r="C2613" s="111" t="s">
        <v>7781</v>
      </c>
      <c r="D2613" s="111" t="str">
        <f t="shared" ref="D2613:E2613" si="2611">TRIM(B2613)</f>
        <v>Colorado</v>
      </c>
      <c r="E2613" s="111" t="str">
        <f t="shared" si="2611"/>
        <v>Denver</v>
      </c>
    </row>
    <row r="2614" spans="1:5">
      <c r="A2614" s="3" t="s">
        <v>4186</v>
      </c>
      <c r="B2614" s="110" t="s">
        <v>1323</v>
      </c>
      <c r="C2614" s="111" t="s">
        <v>7781</v>
      </c>
      <c r="D2614" s="111" t="str">
        <f t="shared" ref="D2614:E2614" si="2612">TRIM(B2614)</f>
        <v>Colorado</v>
      </c>
      <c r="E2614" s="111" t="str">
        <f t="shared" si="2612"/>
        <v>Denver</v>
      </c>
    </row>
    <row r="2615" spans="1:5">
      <c r="A2615" s="3" t="s">
        <v>4439</v>
      </c>
      <c r="B2615" s="110" t="s">
        <v>1323</v>
      </c>
      <c r="C2615" s="111" t="s">
        <v>7781</v>
      </c>
      <c r="D2615" s="111" t="str">
        <f t="shared" ref="D2615:E2615" si="2613">TRIM(B2615)</f>
        <v>Colorado</v>
      </c>
      <c r="E2615" s="111" t="str">
        <f t="shared" si="2613"/>
        <v>Denver</v>
      </c>
    </row>
    <row r="2616" spans="1:5">
      <c r="A2616" s="110" t="s">
        <v>7841</v>
      </c>
      <c r="B2616" s="110" t="s">
        <v>1323</v>
      </c>
      <c r="C2616" s="111" t="s">
        <v>7781</v>
      </c>
      <c r="D2616" s="111" t="str">
        <f t="shared" ref="D2616:E2616" si="2614">TRIM(B2616)</f>
        <v>Colorado</v>
      </c>
      <c r="E2616" s="111" t="str">
        <f t="shared" si="2614"/>
        <v>Denver</v>
      </c>
    </row>
    <row r="2617" spans="1:5">
      <c r="A2617" s="3" t="s">
        <v>7843</v>
      </c>
      <c r="B2617" s="110" t="s">
        <v>1323</v>
      </c>
      <c r="C2617" s="111" t="s">
        <v>7781</v>
      </c>
      <c r="D2617" s="111" t="str">
        <f t="shared" ref="D2617:E2617" si="2615">TRIM(B2617)</f>
        <v>Colorado</v>
      </c>
      <c r="E2617" s="111" t="str">
        <f t="shared" si="2615"/>
        <v>Denver</v>
      </c>
    </row>
    <row r="2618" spans="1:5">
      <c r="A2618" s="3" t="s">
        <v>7844</v>
      </c>
      <c r="B2618" s="110" t="s">
        <v>1323</v>
      </c>
      <c r="C2618" s="111" t="s">
        <v>7781</v>
      </c>
      <c r="D2618" s="111" t="str">
        <f t="shared" ref="D2618:E2618" si="2616">TRIM(B2618)</f>
        <v>Colorado</v>
      </c>
      <c r="E2618" s="111" t="str">
        <f t="shared" si="2616"/>
        <v>Denver</v>
      </c>
    </row>
    <row r="2619" spans="1:5">
      <c r="A2619" s="110" t="s">
        <v>7845</v>
      </c>
      <c r="B2619" s="110" t="s">
        <v>1323</v>
      </c>
      <c r="C2619" s="111" t="s">
        <v>7781</v>
      </c>
      <c r="D2619" s="111" t="str">
        <f t="shared" ref="D2619:E2619" si="2617">TRIM(B2619)</f>
        <v>Colorado</v>
      </c>
      <c r="E2619" s="111" t="str">
        <f t="shared" si="2617"/>
        <v>Denver</v>
      </c>
    </row>
    <row r="2620" spans="1:5">
      <c r="A2620" s="3" t="s">
        <v>7849</v>
      </c>
      <c r="B2620" s="110" t="s">
        <v>1323</v>
      </c>
      <c r="C2620" s="111" t="s">
        <v>7781</v>
      </c>
      <c r="D2620" s="111" t="str">
        <f t="shared" ref="D2620:E2620" si="2618">TRIM(B2620)</f>
        <v>Colorado</v>
      </c>
      <c r="E2620" s="111" t="str">
        <f t="shared" si="2618"/>
        <v>Denver</v>
      </c>
    </row>
    <row r="2621" spans="1:5">
      <c r="A2621" s="110" t="s">
        <v>7850</v>
      </c>
      <c r="B2621" s="110" t="s">
        <v>1323</v>
      </c>
      <c r="C2621" s="111" t="s">
        <v>7851</v>
      </c>
      <c r="D2621" s="111" t="str">
        <f t="shared" ref="D2621:E2621" si="2619">TRIM(B2621)</f>
        <v>Colorado</v>
      </c>
      <c r="E2621" s="111" t="str">
        <f t="shared" si="2619"/>
        <v>Dolores</v>
      </c>
    </row>
    <row r="2622" spans="1:5">
      <c r="A2622" s="3" t="s">
        <v>7852</v>
      </c>
      <c r="B2622" s="110" t="s">
        <v>1323</v>
      </c>
      <c r="C2622" s="111" t="s">
        <v>7854</v>
      </c>
      <c r="D2622" s="111" t="str">
        <f t="shared" ref="D2622:E2622" si="2620">TRIM(B2622)</f>
        <v>Colorado</v>
      </c>
      <c r="E2622" s="111" t="str">
        <f t="shared" si="2620"/>
        <v>Dove Creek</v>
      </c>
    </row>
    <row r="2623" spans="1:5">
      <c r="A2623" s="3" t="s">
        <v>7857</v>
      </c>
      <c r="B2623" s="110" t="s">
        <v>1323</v>
      </c>
      <c r="C2623" s="111" t="s">
        <v>7858</v>
      </c>
      <c r="D2623" s="111" t="str">
        <f t="shared" ref="D2623:E2623" si="2621">TRIM(B2623)</f>
        <v>Colorado</v>
      </c>
      <c r="E2623" s="111" t="str">
        <f t="shared" si="2621"/>
        <v>Durango</v>
      </c>
    </row>
    <row r="2624" spans="1:5">
      <c r="A2624" s="3" t="s">
        <v>7859</v>
      </c>
      <c r="B2624" s="110" t="s">
        <v>1323</v>
      </c>
      <c r="C2624" s="111" t="s">
        <v>7858</v>
      </c>
      <c r="D2624" s="111" t="str">
        <f t="shared" ref="D2624:E2624" si="2622">TRIM(B2624)</f>
        <v>Colorado</v>
      </c>
      <c r="E2624" s="111" t="str">
        <f t="shared" si="2622"/>
        <v>Durango</v>
      </c>
    </row>
    <row r="2625" spans="1:5">
      <c r="A2625" s="110" t="s">
        <v>7860</v>
      </c>
      <c r="B2625" s="110" t="s">
        <v>1323</v>
      </c>
      <c r="C2625" s="111" t="s">
        <v>7858</v>
      </c>
      <c r="D2625" s="111" t="str">
        <f t="shared" ref="D2625:E2625" si="2623">TRIM(B2625)</f>
        <v>Colorado</v>
      </c>
      <c r="E2625" s="111" t="str">
        <f t="shared" si="2623"/>
        <v>Durango</v>
      </c>
    </row>
    <row r="2626" spans="1:5">
      <c r="A2626" s="3" t="s">
        <v>7863</v>
      </c>
      <c r="B2626" s="110" t="s">
        <v>1323</v>
      </c>
      <c r="C2626" s="111" t="s">
        <v>1125</v>
      </c>
      <c r="D2626" s="111" t="str">
        <f t="shared" ref="D2626:E2626" si="2624">TRIM(B2626)</f>
        <v>Colorado</v>
      </c>
      <c r="E2626" s="111" t="str">
        <f t="shared" si="2624"/>
        <v>Eads</v>
      </c>
    </row>
    <row r="2627" spans="1:5">
      <c r="A2627" s="3" t="s">
        <v>7865</v>
      </c>
      <c r="B2627" s="110" t="s">
        <v>1323</v>
      </c>
      <c r="C2627" s="111" t="s">
        <v>7866</v>
      </c>
      <c r="D2627" s="111" t="str">
        <f t="shared" ref="D2627:E2627" si="2625">TRIM(B2627)</f>
        <v>Colorado</v>
      </c>
      <c r="E2627" s="111" t="str">
        <f t="shared" si="2625"/>
        <v>Eaton</v>
      </c>
    </row>
    <row r="2628" spans="1:5">
      <c r="A2628" s="3" t="s">
        <v>7867</v>
      </c>
      <c r="B2628" s="110" t="s">
        <v>1323</v>
      </c>
      <c r="C2628" s="111" t="s">
        <v>7869</v>
      </c>
      <c r="D2628" s="111" t="str">
        <f t="shared" ref="D2628:E2628" si="2626">TRIM(B2628)</f>
        <v>Colorado</v>
      </c>
      <c r="E2628" s="111" t="str">
        <f t="shared" si="2626"/>
        <v>Edgewater</v>
      </c>
    </row>
    <row r="2629" spans="1:5">
      <c r="A2629" s="3" t="s">
        <v>7871</v>
      </c>
      <c r="B2629" s="110" t="s">
        <v>1323</v>
      </c>
      <c r="C2629" s="111" t="s">
        <v>4882</v>
      </c>
      <c r="D2629" s="111" t="str">
        <f t="shared" ref="D2629:E2629" si="2627">TRIM(B2629)</f>
        <v>Colorado</v>
      </c>
      <c r="E2629" s="111" t="str">
        <f t="shared" si="2627"/>
        <v>Edwards</v>
      </c>
    </row>
    <row r="2630" spans="1:5">
      <c r="A2630" s="3" t="s">
        <v>7872</v>
      </c>
      <c r="B2630" s="110" t="s">
        <v>1323</v>
      </c>
      <c r="C2630" s="111" t="s">
        <v>4882</v>
      </c>
      <c r="D2630" s="111" t="str">
        <f t="shared" ref="D2630:E2630" si="2628">TRIM(B2630)</f>
        <v>Colorado</v>
      </c>
      <c r="E2630" s="111" t="str">
        <f t="shared" si="2628"/>
        <v>Edwards</v>
      </c>
    </row>
    <row r="2631" spans="1:5">
      <c r="A2631" s="3" t="s">
        <v>7875</v>
      </c>
      <c r="B2631" s="110" t="s">
        <v>1323</v>
      </c>
      <c r="C2631" s="111" t="s">
        <v>7876</v>
      </c>
      <c r="D2631" s="111" t="str">
        <f t="shared" ref="D2631:E2631" si="2629">TRIM(B2631)</f>
        <v>Colorado</v>
      </c>
      <c r="E2631" s="111" t="str">
        <f t="shared" si="2629"/>
        <v>Elbert</v>
      </c>
    </row>
    <row r="2632" spans="1:5">
      <c r="A2632" s="3" t="s">
        <v>7877</v>
      </c>
      <c r="B2632" s="110" t="s">
        <v>1323</v>
      </c>
      <c r="C2632" s="111" t="s">
        <v>854</v>
      </c>
      <c r="D2632" s="111" t="str">
        <f t="shared" ref="D2632:E2632" si="2630">TRIM(B2632)</f>
        <v>Colorado</v>
      </c>
      <c r="E2632" s="111" t="str">
        <f t="shared" si="2630"/>
        <v>Elizabeth</v>
      </c>
    </row>
    <row r="2633" spans="1:5">
      <c r="A2633" s="3" t="s">
        <v>7878</v>
      </c>
      <c r="B2633" s="110" t="s">
        <v>1323</v>
      </c>
      <c r="C2633" s="111" t="s">
        <v>7880</v>
      </c>
      <c r="D2633" s="111" t="str">
        <f t="shared" ref="D2633:E2633" si="2631">TRIM(B2633)</f>
        <v>Colorado</v>
      </c>
      <c r="E2633" s="111" t="str">
        <f t="shared" si="2631"/>
        <v>Ellicott</v>
      </c>
    </row>
    <row r="2634" spans="1:5">
      <c r="A2634" s="3" t="s">
        <v>7883</v>
      </c>
      <c r="B2634" s="110" t="s">
        <v>1323</v>
      </c>
      <c r="C2634" s="111" t="s">
        <v>7884</v>
      </c>
      <c r="D2634" s="111" t="str">
        <f t="shared" ref="D2634:E2634" si="2632">TRIM(B2634)</f>
        <v>Colorado</v>
      </c>
      <c r="E2634" s="111" t="str">
        <f t="shared" si="2632"/>
        <v>Englewood</v>
      </c>
    </row>
    <row r="2635" spans="1:5">
      <c r="A2635" s="3" t="s">
        <v>7885</v>
      </c>
      <c r="B2635" s="110" t="s">
        <v>1323</v>
      </c>
      <c r="C2635" s="111" t="s">
        <v>1160</v>
      </c>
      <c r="D2635" s="111" t="str">
        <f t="shared" ref="D2635:E2635" si="2633">TRIM(B2635)</f>
        <v>Colorado</v>
      </c>
      <c r="E2635" s="111" t="str">
        <f t="shared" si="2633"/>
        <v>Erie</v>
      </c>
    </row>
    <row r="2636" spans="1:5">
      <c r="A2636" s="3" t="s">
        <v>7888</v>
      </c>
      <c r="B2636" s="110" t="s">
        <v>1323</v>
      </c>
      <c r="C2636" s="111" t="s">
        <v>7889</v>
      </c>
      <c r="D2636" s="111" t="str">
        <f t="shared" ref="D2636:E2636" si="2634">TRIM(B2636)</f>
        <v>Colorado</v>
      </c>
      <c r="E2636" s="111" t="str">
        <f t="shared" si="2634"/>
        <v>Estes Park</v>
      </c>
    </row>
    <row r="2637" spans="1:5">
      <c r="A2637" s="3" t="s">
        <v>7890</v>
      </c>
      <c r="B2637" s="110" t="s">
        <v>1323</v>
      </c>
      <c r="C2637" s="111" t="s">
        <v>1737</v>
      </c>
      <c r="D2637" s="111" t="str">
        <f t="shared" ref="D2637:E2637" si="2635">TRIM(B2637)</f>
        <v>Colorado</v>
      </c>
      <c r="E2637" s="111" t="str">
        <f t="shared" si="2635"/>
        <v>Evergreen</v>
      </c>
    </row>
    <row r="2638" spans="1:5">
      <c r="A2638" s="3" t="s">
        <v>7892</v>
      </c>
      <c r="B2638" s="110" t="s">
        <v>1323</v>
      </c>
      <c r="C2638" s="111" t="s">
        <v>1737</v>
      </c>
      <c r="D2638" s="111" t="str">
        <f t="shared" ref="D2638:E2638" si="2636">TRIM(B2638)</f>
        <v>Colorado</v>
      </c>
      <c r="E2638" s="111" t="str">
        <f t="shared" si="2636"/>
        <v>Evergreen</v>
      </c>
    </row>
    <row r="2639" spans="1:5">
      <c r="A2639" s="3" t="s">
        <v>7894</v>
      </c>
      <c r="B2639" s="110" t="s">
        <v>1323</v>
      </c>
      <c r="C2639" s="111" t="s">
        <v>7895</v>
      </c>
      <c r="D2639" s="111" t="str">
        <f t="shared" ref="D2639:E2639" si="2637">TRIM(B2639)</f>
        <v>Colorado</v>
      </c>
      <c r="E2639" s="111" t="str">
        <f t="shared" si="2637"/>
        <v>Fairplay</v>
      </c>
    </row>
    <row r="2640" spans="1:5">
      <c r="A2640" s="3" t="s">
        <v>7896</v>
      </c>
      <c r="B2640" s="110" t="s">
        <v>1323</v>
      </c>
      <c r="C2640" s="111" t="s">
        <v>7897</v>
      </c>
      <c r="D2640" s="111" t="str">
        <f t="shared" ref="D2640:E2640" si="2638">TRIM(B2640)</f>
        <v>Colorado</v>
      </c>
      <c r="E2640" s="111" t="str">
        <f t="shared" si="2638"/>
        <v>Fleming</v>
      </c>
    </row>
    <row r="2641" spans="1:5">
      <c r="A2641" s="3" t="s">
        <v>1754</v>
      </c>
      <c r="B2641" s="110" t="s">
        <v>1323</v>
      </c>
      <c r="C2641" s="111" t="s">
        <v>1756</v>
      </c>
      <c r="D2641" s="111" t="str">
        <f t="shared" ref="D2641:E2641" si="2639">TRIM(B2641)</f>
        <v>Colorado</v>
      </c>
      <c r="E2641" s="111" t="str">
        <f t="shared" si="2639"/>
        <v>Florence</v>
      </c>
    </row>
    <row r="2642" spans="1:5">
      <c r="A2642" s="110" t="s">
        <v>7901</v>
      </c>
      <c r="B2642" s="110" t="s">
        <v>1323</v>
      </c>
      <c r="C2642" s="111" t="s">
        <v>7902</v>
      </c>
      <c r="D2642" s="111" t="str">
        <f t="shared" ref="D2642:E2642" si="2640">TRIM(B2642)</f>
        <v>Colorado</v>
      </c>
      <c r="E2642" s="111" t="str">
        <f t="shared" si="2640"/>
        <v>Fort Collins</v>
      </c>
    </row>
    <row r="2643" spans="1:5">
      <c r="A2643" s="3" t="s">
        <v>7904</v>
      </c>
      <c r="B2643" s="110" t="s">
        <v>1323</v>
      </c>
      <c r="C2643" s="111" t="s">
        <v>7902</v>
      </c>
      <c r="D2643" s="111" t="str">
        <f t="shared" ref="D2643:E2643" si="2641">TRIM(B2643)</f>
        <v>Colorado</v>
      </c>
      <c r="E2643" s="111" t="str">
        <f t="shared" si="2641"/>
        <v>Fort Collins</v>
      </c>
    </row>
    <row r="2644" spans="1:5">
      <c r="A2644" s="3" t="s">
        <v>7906</v>
      </c>
      <c r="B2644" s="110" t="s">
        <v>1323</v>
      </c>
      <c r="C2644" s="111" t="s">
        <v>7902</v>
      </c>
      <c r="D2644" s="111" t="str">
        <f t="shared" ref="D2644:E2644" si="2642">TRIM(B2644)</f>
        <v>Colorado</v>
      </c>
      <c r="E2644" s="111" t="str">
        <f t="shared" si="2642"/>
        <v>Fort Collins</v>
      </c>
    </row>
    <row r="2645" spans="1:5">
      <c r="A2645" s="3" t="s">
        <v>7907</v>
      </c>
      <c r="B2645" s="110" t="s">
        <v>1323</v>
      </c>
      <c r="C2645" s="111" t="s">
        <v>7902</v>
      </c>
      <c r="D2645" s="111" t="str">
        <f t="shared" ref="D2645:E2645" si="2643">TRIM(B2645)</f>
        <v>Colorado</v>
      </c>
      <c r="E2645" s="111" t="str">
        <f t="shared" si="2643"/>
        <v>Fort Collins</v>
      </c>
    </row>
    <row r="2646" spans="1:5">
      <c r="A2646" s="3" t="s">
        <v>7909</v>
      </c>
      <c r="B2646" s="110" t="s">
        <v>1323</v>
      </c>
      <c r="C2646" s="111" t="s">
        <v>7902</v>
      </c>
      <c r="D2646" s="111" t="str">
        <f t="shared" ref="D2646:E2646" si="2644">TRIM(B2646)</f>
        <v>Colorado</v>
      </c>
      <c r="E2646" s="111" t="str">
        <f t="shared" si="2644"/>
        <v>Fort Collins</v>
      </c>
    </row>
    <row r="2647" spans="1:5">
      <c r="A2647" s="3" t="s">
        <v>7911</v>
      </c>
      <c r="B2647" s="110" t="s">
        <v>1323</v>
      </c>
      <c r="C2647" s="111" t="s">
        <v>7912</v>
      </c>
      <c r="D2647" s="111" t="str">
        <f t="shared" ref="D2647:E2647" si="2645">TRIM(B2647)</f>
        <v>Colorado</v>
      </c>
      <c r="E2647" s="111" t="str">
        <f t="shared" si="2645"/>
        <v>Fort Lupton</v>
      </c>
    </row>
    <row r="2648" spans="1:5">
      <c r="A2648" s="3" t="s">
        <v>7913</v>
      </c>
      <c r="B2648" s="110" t="s">
        <v>1323</v>
      </c>
      <c r="C2648" s="111" t="s">
        <v>7914</v>
      </c>
      <c r="D2648" s="111" t="str">
        <f t="shared" ref="D2648:E2648" si="2646">TRIM(B2648)</f>
        <v>Colorado</v>
      </c>
      <c r="E2648" s="111" t="str">
        <f t="shared" si="2646"/>
        <v>Fort Morgan</v>
      </c>
    </row>
    <row r="2649" spans="1:5">
      <c r="A2649" s="3" t="s">
        <v>7917</v>
      </c>
      <c r="B2649" s="110" t="s">
        <v>1323</v>
      </c>
      <c r="C2649" s="111" t="s">
        <v>7918</v>
      </c>
      <c r="D2649" s="111" t="str">
        <f t="shared" ref="D2649:E2649" si="2647">TRIM(B2649)</f>
        <v>Colorado</v>
      </c>
      <c r="E2649" s="111" t="str">
        <f t="shared" si="2647"/>
        <v>Fountain</v>
      </c>
    </row>
    <row r="2650" spans="1:5">
      <c r="A2650" s="3" t="s">
        <v>5061</v>
      </c>
      <c r="B2650" s="110" t="s">
        <v>1323</v>
      </c>
      <c r="C2650" s="111" t="s">
        <v>5062</v>
      </c>
      <c r="D2650" s="111" t="str">
        <f t="shared" ref="D2650:E2650" si="2648">TRIM(B2650)</f>
        <v>Colorado</v>
      </c>
      <c r="E2650" s="111" t="str">
        <f t="shared" si="2648"/>
        <v>Fowler</v>
      </c>
    </row>
    <row r="2651" spans="1:5">
      <c r="A2651" s="3" t="s">
        <v>7920</v>
      </c>
      <c r="B2651" s="110" t="s">
        <v>1323</v>
      </c>
      <c r="C2651" s="111" t="s">
        <v>7921</v>
      </c>
      <c r="D2651" s="111" t="str">
        <f t="shared" ref="D2651:E2651" si="2649">TRIM(B2651)</f>
        <v>Colorado</v>
      </c>
      <c r="E2651" s="111" t="str">
        <f t="shared" si="2649"/>
        <v>Frederick</v>
      </c>
    </row>
    <row r="2652" spans="1:5">
      <c r="A2652" s="3" t="s">
        <v>2617</v>
      </c>
      <c r="B2652" s="110" t="s">
        <v>1323</v>
      </c>
      <c r="C2652" s="111" t="s">
        <v>7923</v>
      </c>
      <c r="D2652" s="111" t="str">
        <f t="shared" ref="D2652:E2652" si="2650">TRIM(B2652)</f>
        <v>Colorado</v>
      </c>
      <c r="E2652" s="111" t="str">
        <f t="shared" si="2650"/>
        <v>Frisco</v>
      </c>
    </row>
    <row r="2653" spans="1:5">
      <c r="A2653" s="3" t="s">
        <v>7924</v>
      </c>
      <c r="B2653" s="110" t="s">
        <v>1323</v>
      </c>
      <c r="C2653" s="111" t="s">
        <v>7925</v>
      </c>
      <c r="D2653" s="111" t="str">
        <f t="shared" ref="D2653:E2653" si="2651">TRIM(B2653)</f>
        <v>Colorado</v>
      </c>
      <c r="E2653" s="111" t="str">
        <f t="shared" si="2651"/>
        <v>Fruita</v>
      </c>
    </row>
    <row r="2654" spans="1:5">
      <c r="A2654" s="3" t="s">
        <v>2256</v>
      </c>
      <c r="B2654" s="110" t="s">
        <v>1323</v>
      </c>
      <c r="C2654" s="112" t="s">
        <v>7928</v>
      </c>
      <c r="D2654" s="111" t="str">
        <f t="shared" ref="D2654:E2654" si="2652">TRIM(B2654)</f>
        <v>Colorado</v>
      </c>
      <c r="E2654" s="111" t="str">
        <f t="shared" si="2652"/>
        <v>Gilcrest</v>
      </c>
    </row>
    <row r="2655" spans="1:5">
      <c r="A2655" s="3" t="s">
        <v>7929</v>
      </c>
      <c r="B2655" s="110" t="s">
        <v>1323</v>
      </c>
      <c r="C2655" s="113" t="s">
        <v>7930</v>
      </c>
      <c r="D2655" s="111" t="str">
        <f t="shared" ref="D2655:E2655" si="2653">TRIM(B2655)</f>
        <v>Colorado</v>
      </c>
      <c r="E2655" s="111" t="str">
        <f t="shared" si="2653"/>
        <v>Glenwood Springs</v>
      </c>
    </row>
    <row r="2656" spans="1:5">
      <c r="A2656" s="3" t="s">
        <v>7932</v>
      </c>
      <c r="B2656" s="110" t="s">
        <v>1323</v>
      </c>
      <c r="C2656" s="111" t="s">
        <v>7934</v>
      </c>
      <c r="D2656" s="111" t="str">
        <f t="shared" ref="D2656:E2656" si="2654">TRIM(B2656)</f>
        <v>Colorado</v>
      </c>
      <c r="E2656" s="111" t="str">
        <f t="shared" si="2654"/>
        <v>Golden</v>
      </c>
    </row>
    <row r="2657" spans="1:5">
      <c r="A2657" s="3" t="s">
        <v>7935</v>
      </c>
      <c r="B2657" s="110" t="s">
        <v>1323</v>
      </c>
      <c r="C2657" s="111" t="s">
        <v>7937</v>
      </c>
      <c r="D2657" s="111" t="str">
        <f t="shared" ref="D2657:E2657" si="2655">TRIM(B2657)</f>
        <v>Colorado</v>
      </c>
      <c r="E2657" s="111" t="str">
        <f t="shared" si="2655"/>
        <v>Granada</v>
      </c>
    </row>
    <row r="2658" spans="1:5">
      <c r="A2658" s="3" t="s">
        <v>7938</v>
      </c>
      <c r="B2658" s="110" t="s">
        <v>1323</v>
      </c>
      <c r="C2658" s="111" t="s">
        <v>7939</v>
      </c>
      <c r="D2658" s="111" t="str">
        <f t="shared" ref="D2658:E2658" si="2656">TRIM(B2658)</f>
        <v>Colorado</v>
      </c>
      <c r="E2658" s="111" t="str">
        <f t="shared" si="2656"/>
        <v>Granby</v>
      </c>
    </row>
    <row r="2659" spans="1:5">
      <c r="A2659" s="3" t="s">
        <v>1843</v>
      </c>
      <c r="B2659" s="110" t="s">
        <v>1323</v>
      </c>
      <c r="C2659" s="111" t="s">
        <v>321</v>
      </c>
      <c r="D2659" s="111" t="str">
        <f t="shared" ref="D2659:E2659" si="2657">TRIM(B2659)</f>
        <v>Colorado</v>
      </c>
      <c r="E2659" s="111" t="str">
        <f t="shared" si="2657"/>
        <v>Grand Junction</v>
      </c>
    </row>
    <row r="2660" spans="1:5">
      <c r="A2660" s="3" t="s">
        <v>7943</v>
      </c>
      <c r="B2660" s="110" t="s">
        <v>1323</v>
      </c>
      <c r="C2660" s="111" t="s">
        <v>321</v>
      </c>
      <c r="D2660" s="111" t="str">
        <f t="shared" ref="D2660:E2660" si="2658">TRIM(B2660)</f>
        <v>Colorado</v>
      </c>
      <c r="E2660" s="111" t="str">
        <f t="shared" si="2658"/>
        <v>Grand Junction</v>
      </c>
    </row>
    <row r="2661" spans="1:5">
      <c r="A2661" s="3" t="s">
        <v>7945</v>
      </c>
      <c r="B2661" s="110" t="s">
        <v>1323</v>
      </c>
      <c r="C2661" s="111" t="s">
        <v>7946</v>
      </c>
      <c r="D2661" s="111" t="str">
        <f t="shared" ref="D2661:E2661" si="2659">TRIM(B2661)</f>
        <v>Colorado</v>
      </c>
      <c r="E2661" s="111" t="str">
        <f t="shared" si="2659"/>
        <v>Greeley</v>
      </c>
    </row>
    <row r="2662" spans="1:5">
      <c r="A2662" s="3" t="s">
        <v>7948</v>
      </c>
      <c r="B2662" s="110" t="s">
        <v>1323</v>
      </c>
      <c r="C2662" s="111" t="s">
        <v>7946</v>
      </c>
      <c r="D2662" s="111" t="str">
        <f t="shared" ref="D2662:E2662" si="2660">TRIM(B2662)</f>
        <v>Colorado</v>
      </c>
      <c r="E2662" s="111" t="str">
        <f t="shared" si="2660"/>
        <v>Greeley</v>
      </c>
    </row>
    <row r="2663" spans="1:5">
      <c r="A2663" s="3" t="s">
        <v>7949</v>
      </c>
      <c r="B2663" s="110" t="s">
        <v>1323</v>
      </c>
      <c r="C2663" s="111" t="s">
        <v>7946</v>
      </c>
      <c r="D2663" s="111" t="str">
        <f t="shared" ref="D2663:E2663" si="2661">TRIM(B2663)</f>
        <v>Colorado</v>
      </c>
      <c r="E2663" s="111" t="str">
        <f t="shared" si="2661"/>
        <v>Greeley</v>
      </c>
    </row>
    <row r="2664" spans="1:5">
      <c r="A2664" s="3" t="s">
        <v>2240</v>
      </c>
      <c r="B2664" s="110" t="s">
        <v>1323</v>
      </c>
      <c r="C2664" s="111" t="s">
        <v>7946</v>
      </c>
      <c r="D2664" s="111" t="str">
        <f t="shared" ref="D2664:E2664" si="2662">TRIM(B2664)</f>
        <v>Colorado</v>
      </c>
      <c r="E2664" s="111" t="str">
        <f t="shared" si="2662"/>
        <v>Greeley</v>
      </c>
    </row>
    <row r="2665" spans="1:5">
      <c r="A2665" s="110" t="s">
        <v>7953</v>
      </c>
      <c r="B2665" s="110" t="s">
        <v>1323</v>
      </c>
      <c r="C2665" s="111" t="s">
        <v>7946</v>
      </c>
      <c r="D2665" s="111" t="str">
        <f t="shared" ref="D2665:E2665" si="2663">TRIM(B2665)</f>
        <v>Colorado</v>
      </c>
      <c r="E2665" s="111" t="str">
        <f t="shared" si="2663"/>
        <v>Greeley</v>
      </c>
    </row>
    <row r="2666" spans="1:5">
      <c r="A2666" s="3" t="s">
        <v>7954</v>
      </c>
      <c r="B2666" s="110" t="s">
        <v>1323</v>
      </c>
      <c r="C2666" s="113" t="s">
        <v>7955</v>
      </c>
      <c r="D2666" s="111" t="str">
        <f t="shared" ref="D2666:E2666" si="2664">TRIM(B2666)</f>
        <v>Colorado</v>
      </c>
      <c r="E2666" s="111" t="str">
        <f t="shared" si="2664"/>
        <v>Greenwood Village</v>
      </c>
    </row>
    <row r="2667" spans="1:5">
      <c r="A2667" s="3" t="s">
        <v>7958</v>
      </c>
      <c r="B2667" s="110" t="s">
        <v>1323</v>
      </c>
      <c r="C2667" s="111" t="s">
        <v>7959</v>
      </c>
      <c r="D2667" s="111" t="str">
        <f t="shared" ref="D2667:E2667" si="2665">TRIM(B2667)</f>
        <v>Colorado</v>
      </c>
      <c r="E2667" s="111" t="str">
        <f t="shared" si="2665"/>
        <v>Gunnison</v>
      </c>
    </row>
    <row r="2668" spans="1:5">
      <c r="A2668" s="3" t="s">
        <v>7961</v>
      </c>
      <c r="B2668" s="110" t="s">
        <v>1323</v>
      </c>
      <c r="C2668" s="111" t="s">
        <v>7962</v>
      </c>
      <c r="D2668" s="111" t="str">
        <f t="shared" ref="D2668:E2668" si="2666">TRIM(B2668)</f>
        <v>Colorado</v>
      </c>
      <c r="E2668" s="111" t="str">
        <f t="shared" si="2666"/>
        <v>Gypsum</v>
      </c>
    </row>
    <row r="2669" spans="1:5">
      <c r="A2669" s="3" t="s">
        <v>7963</v>
      </c>
      <c r="B2669" s="110" t="s">
        <v>1323</v>
      </c>
      <c r="C2669" s="111" t="s">
        <v>7962</v>
      </c>
      <c r="D2669" s="111" t="str">
        <f t="shared" ref="D2669:E2669" si="2667">TRIM(B2669)</f>
        <v>Colorado</v>
      </c>
      <c r="E2669" s="111" t="str">
        <f t="shared" si="2667"/>
        <v>Gypsum</v>
      </c>
    </row>
    <row r="2670" spans="1:5">
      <c r="A2670" s="3" t="s">
        <v>7966</v>
      </c>
      <c r="B2670" s="110" t="s">
        <v>1323</v>
      </c>
      <c r="C2670" s="111" t="s">
        <v>7967</v>
      </c>
      <c r="D2670" s="111" t="str">
        <f t="shared" ref="D2670:E2670" si="2668">TRIM(B2670)</f>
        <v>Colorado</v>
      </c>
      <c r="E2670" s="111" t="str">
        <f t="shared" si="2668"/>
        <v>Haxtun</v>
      </c>
    </row>
    <row r="2671" spans="1:5">
      <c r="A2671" s="3" t="s">
        <v>1840</v>
      </c>
      <c r="B2671" s="110" t="s">
        <v>1323</v>
      </c>
      <c r="C2671" s="111" t="s">
        <v>1842</v>
      </c>
      <c r="D2671" s="111" t="str">
        <f t="shared" ref="D2671:E2671" si="2669">TRIM(B2671)</f>
        <v>Colorado</v>
      </c>
      <c r="E2671" s="111" t="str">
        <f t="shared" si="2669"/>
        <v>Hayden</v>
      </c>
    </row>
    <row r="2672" spans="1:5">
      <c r="A2672" s="3" t="s">
        <v>7969</v>
      </c>
      <c r="B2672" s="110" t="s">
        <v>1323</v>
      </c>
      <c r="C2672" s="111" t="s">
        <v>7970</v>
      </c>
      <c r="D2672" s="111" t="str">
        <f t="shared" ref="D2672:E2672" si="2670">TRIM(B2672)</f>
        <v>Colorado</v>
      </c>
      <c r="E2672" s="111" t="str">
        <f t="shared" si="2670"/>
        <v>Henderson</v>
      </c>
    </row>
    <row r="2673" spans="1:5">
      <c r="A2673" s="3" t="s">
        <v>7972</v>
      </c>
      <c r="B2673" s="110" t="s">
        <v>1323</v>
      </c>
      <c r="C2673" s="113" t="s">
        <v>7974</v>
      </c>
      <c r="D2673" s="111" t="str">
        <f t="shared" ref="D2673:E2673" si="2671">TRIM(B2673)</f>
        <v>Colorado</v>
      </c>
      <c r="E2673" s="111" t="str">
        <f t="shared" si="2671"/>
        <v>Highlands Ranch</v>
      </c>
    </row>
    <row r="2674" spans="1:5">
      <c r="A2674" s="3" t="s">
        <v>7976</v>
      </c>
      <c r="B2674" s="110" t="s">
        <v>1323</v>
      </c>
      <c r="C2674" s="113" t="s">
        <v>7974</v>
      </c>
      <c r="D2674" s="111" t="str">
        <f t="shared" ref="D2674:E2674" si="2672">TRIM(B2674)</f>
        <v>Colorado</v>
      </c>
      <c r="E2674" s="111" t="str">
        <f t="shared" si="2672"/>
        <v>Highlands Ranch</v>
      </c>
    </row>
    <row r="2675" spans="1:5">
      <c r="A2675" s="3" t="s">
        <v>7977</v>
      </c>
      <c r="B2675" s="110" t="s">
        <v>1323</v>
      </c>
      <c r="C2675" s="113" t="s">
        <v>7974</v>
      </c>
      <c r="D2675" s="111" t="str">
        <f t="shared" ref="D2675:E2675" si="2673">TRIM(B2675)</f>
        <v>Colorado</v>
      </c>
      <c r="E2675" s="111" t="str">
        <f t="shared" si="2673"/>
        <v>Highlands Ranch</v>
      </c>
    </row>
    <row r="2676" spans="1:5">
      <c r="A2676" s="3" t="s">
        <v>7978</v>
      </c>
      <c r="B2676" s="110" t="s">
        <v>1323</v>
      </c>
      <c r="C2676" s="113" t="s">
        <v>7974</v>
      </c>
      <c r="D2676" s="111" t="str">
        <f t="shared" ref="D2676:E2676" si="2674">TRIM(B2676)</f>
        <v>Colorado</v>
      </c>
      <c r="E2676" s="111" t="str">
        <f t="shared" si="2674"/>
        <v>Highlands Ranch</v>
      </c>
    </row>
    <row r="2677" spans="1:5">
      <c r="A2677" s="3" t="s">
        <v>7981</v>
      </c>
      <c r="B2677" s="110" t="s">
        <v>1323</v>
      </c>
      <c r="C2677" s="111" t="s">
        <v>7982</v>
      </c>
      <c r="D2677" s="111" t="str">
        <f t="shared" ref="D2677:E2677" si="2675">TRIM(B2677)</f>
        <v>Colorado</v>
      </c>
      <c r="E2677" s="111" t="str">
        <f t="shared" si="2675"/>
        <v>Holly</v>
      </c>
    </row>
    <row r="2678" spans="1:5">
      <c r="A2678" s="3" t="s">
        <v>7983</v>
      </c>
      <c r="B2678" s="110" t="s">
        <v>1323</v>
      </c>
      <c r="C2678" s="111" t="s">
        <v>7984</v>
      </c>
      <c r="D2678" s="111" t="str">
        <f t="shared" ref="D2678:E2678" si="2676">TRIM(B2678)</f>
        <v>Colorado</v>
      </c>
      <c r="E2678" s="111" t="str">
        <f t="shared" si="2676"/>
        <v>Holyoke</v>
      </c>
    </row>
    <row r="2679" spans="1:5">
      <c r="A2679" s="3" t="s">
        <v>7988</v>
      </c>
      <c r="B2679" s="110" t="s">
        <v>1323</v>
      </c>
      <c r="C2679" s="111" t="s">
        <v>7989</v>
      </c>
      <c r="D2679" s="111" t="str">
        <f t="shared" ref="D2679:E2679" si="2677">TRIM(B2679)</f>
        <v>Colorado</v>
      </c>
      <c r="E2679" s="111" t="str">
        <f t="shared" si="2677"/>
        <v>Hotchkiss</v>
      </c>
    </row>
    <row r="2680" spans="1:5">
      <c r="A2680" s="3" t="s">
        <v>7991</v>
      </c>
      <c r="B2680" s="110" t="s">
        <v>1323</v>
      </c>
      <c r="C2680" s="111" t="s">
        <v>7992</v>
      </c>
      <c r="D2680" s="111" t="str">
        <f t="shared" ref="D2680:E2680" si="2678">TRIM(B2680)</f>
        <v>Colorado</v>
      </c>
      <c r="E2680" s="111" t="str">
        <f t="shared" si="2678"/>
        <v>Idalia</v>
      </c>
    </row>
    <row r="2681" spans="1:5">
      <c r="A2681" s="3" t="s">
        <v>7993</v>
      </c>
      <c r="B2681" s="110" t="s">
        <v>1323</v>
      </c>
      <c r="C2681" s="111" t="s">
        <v>7994</v>
      </c>
      <c r="D2681" s="111" t="str">
        <f t="shared" ref="D2681:E2681" si="2679">TRIM(B2681)</f>
        <v>Colorado</v>
      </c>
      <c r="E2681" s="111" t="str">
        <f t="shared" si="2679"/>
        <v>Ignacio</v>
      </c>
    </row>
    <row r="2682" spans="1:5">
      <c r="A2682" s="3" t="s">
        <v>7998</v>
      </c>
      <c r="B2682" s="110" t="s">
        <v>1323</v>
      </c>
      <c r="C2682" s="111" t="s">
        <v>7999</v>
      </c>
      <c r="D2682" s="111" t="str">
        <f t="shared" ref="D2682:E2682" si="2680">TRIM(B2682)</f>
        <v>Colorado</v>
      </c>
      <c r="E2682" s="111" t="str">
        <f t="shared" si="2680"/>
        <v>Iliff</v>
      </c>
    </row>
    <row r="2683" spans="1:5">
      <c r="A2683" s="3" t="s">
        <v>5101</v>
      </c>
      <c r="B2683" s="110" t="s">
        <v>1323</v>
      </c>
      <c r="C2683" s="111" t="s">
        <v>8000</v>
      </c>
      <c r="D2683" s="111" t="str">
        <f t="shared" ref="D2683:E2683" si="2681">TRIM(B2683)</f>
        <v>Colorado</v>
      </c>
      <c r="E2683" s="111" t="str">
        <f t="shared" si="2681"/>
        <v>Johnstown</v>
      </c>
    </row>
    <row r="2684" spans="1:5">
      <c r="A2684" s="3" t="s">
        <v>8002</v>
      </c>
      <c r="B2684" s="110" t="s">
        <v>1323</v>
      </c>
      <c r="C2684" s="111" t="s">
        <v>8003</v>
      </c>
      <c r="D2684" s="111" t="str">
        <f t="shared" ref="D2684:E2684" si="2682">TRIM(B2684)</f>
        <v>Colorado</v>
      </c>
      <c r="E2684" s="111" t="str">
        <f t="shared" si="2682"/>
        <v>Julesburg</v>
      </c>
    </row>
    <row r="2685" spans="1:5">
      <c r="A2685" s="3" t="s">
        <v>8004</v>
      </c>
      <c r="B2685" s="110" t="s">
        <v>1323</v>
      </c>
      <c r="C2685" s="111" t="s">
        <v>8005</v>
      </c>
      <c r="D2685" s="111" t="str">
        <f t="shared" ref="D2685:E2685" si="2683">TRIM(B2685)</f>
        <v>Colorado</v>
      </c>
      <c r="E2685" s="111" t="str">
        <f t="shared" si="2683"/>
        <v>Karval</v>
      </c>
    </row>
    <row r="2686" spans="1:5">
      <c r="A2686" s="3" t="s">
        <v>8008</v>
      </c>
      <c r="B2686" s="110" t="s">
        <v>1323</v>
      </c>
      <c r="C2686" s="111" t="s">
        <v>8009</v>
      </c>
      <c r="D2686" s="111" t="str">
        <f t="shared" ref="D2686:E2686" si="2684">TRIM(B2686)</f>
        <v>Colorado</v>
      </c>
      <c r="E2686" s="111" t="str">
        <f t="shared" si="2684"/>
        <v>Keenesburg</v>
      </c>
    </row>
    <row r="2687" spans="1:5">
      <c r="A2687" s="3" t="s">
        <v>8010</v>
      </c>
      <c r="B2687" s="110" t="s">
        <v>1323</v>
      </c>
      <c r="C2687" s="112" t="s">
        <v>8011</v>
      </c>
      <c r="D2687" s="111" t="str">
        <f t="shared" ref="D2687:E2687" si="2685">TRIM(B2687)</f>
        <v>Colorado</v>
      </c>
      <c r="E2687" s="111" t="str">
        <f t="shared" si="2685"/>
        <v>Kersey</v>
      </c>
    </row>
    <row r="2688" spans="1:5">
      <c r="A2688" s="3" t="s">
        <v>8015</v>
      </c>
      <c r="B2688" s="110" t="s">
        <v>1323</v>
      </c>
      <c r="C2688" s="111" t="s">
        <v>8016</v>
      </c>
      <c r="D2688" s="111" t="str">
        <f t="shared" ref="D2688:E2688" si="2686">TRIM(B2688)</f>
        <v>Colorado</v>
      </c>
      <c r="E2688" s="111" t="str">
        <f t="shared" si="2686"/>
        <v>Kim</v>
      </c>
    </row>
    <row r="2689" spans="1:5">
      <c r="A2689" s="3" t="s">
        <v>8017</v>
      </c>
      <c r="B2689" s="110" t="s">
        <v>1323</v>
      </c>
      <c r="C2689" s="111" t="s">
        <v>8018</v>
      </c>
      <c r="D2689" s="111" t="str">
        <f t="shared" ref="D2689:E2689" si="2687">TRIM(B2689)</f>
        <v>Colorado</v>
      </c>
      <c r="E2689" s="111" t="str">
        <f t="shared" si="2687"/>
        <v>Kiowa</v>
      </c>
    </row>
    <row r="2690" spans="1:5">
      <c r="A2690" s="3" t="s">
        <v>8021</v>
      </c>
      <c r="B2690" s="110" t="s">
        <v>1323</v>
      </c>
      <c r="C2690" s="111" t="s">
        <v>8022</v>
      </c>
      <c r="D2690" s="111" t="str">
        <f t="shared" ref="D2690:E2690" si="2688">TRIM(B2690)</f>
        <v>Colorado</v>
      </c>
      <c r="E2690" s="111" t="str">
        <f t="shared" si="2688"/>
        <v>Kit Carson</v>
      </c>
    </row>
    <row r="2691" spans="1:5">
      <c r="A2691" s="3" t="s">
        <v>8024</v>
      </c>
      <c r="B2691" s="110" t="s">
        <v>1323</v>
      </c>
      <c r="C2691" s="111" t="s">
        <v>8025</v>
      </c>
      <c r="D2691" s="111" t="str">
        <f t="shared" ref="D2691:E2691" si="2689">TRIM(B2691)</f>
        <v>Colorado</v>
      </c>
      <c r="E2691" s="111" t="str">
        <f t="shared" si="2689"/>
        <v>Kremmling</v>
      </c>
    </row>
    <row r="2692" spans="1:5">
      <c r="A2692" s="3" t="s">
        <v>8026</v>
      </c>
      <c r="B2692" s="110" t="s">
        <v>1323</v>
      </c>
      <c r="C2692" s="111" t="s">
        <v>8027</v>
      </c>
      <c r="D2692" s="111" t="str">
        <f t="shared" ref="D2692:E2692" si="2690">TRIM(B2692)</f>
        <v>Colorado</v>
      </c>
      <c r="E2692" s="111" t="str">
        <f t="shared" si="2690"/>
        <v>La Jara</v>
      </c>
    </row>
    <row r="2693" spans="1:5">
      <c r="A2693" s="3" t="s">
        <v>8030</v>
      </c>
      <c r="B2693" s="110" t="s">
        <v>1323</v>
      </c>
      <c r="C2693" s="111" t="s">
        <v>8031</v>
      </c>
      <c r="D2693" s="111" t="str">
        <f t="shared" ref="D2693:E2693" si="2691">TRIM(B2693)</f>
        <v>Colorado</v>
      </c>
      <c r="E2693" s="111" t="str">
        <f t="shared" si="2691"/>
        <v>La Junta</v>
      </c>
    </row>
    <row r="2694" spans="1:5">
      <c r="A2694" s="3" t="s">
        <v>8032</v>
      </c>
      <c r="B2694" s="110" t="s">
        <v>1323</v>
      </c>
      <c r="C2694" s="111" t="s">
        <v>8033</v>
      </c>
      <c r="D2694" s="111" t="str">
        <f t="shared" ref="D2694:E2694" si="2692">TRIM(B2694)</f>
        <v>Colorado</v>
      </c>
      <c r="E2694" s="111" t="str">
        <f t="shared" si="2692"/>
        <v>La Veta</v>
      </c>
    </row>
    <row r="2695" spans="1:5">
      <c r="A2695" s="3" t="s">
        <v>8034</v>
      </c>
      <c r="B2695" s="110" t="s">
        <v>1323</v>
      </c>
      <c r="C2695" s="111" t="s">
        <v>236</v>
      </c>
      <c r="D2695" s="111" t="str">
        <f t="shared" ref="D2695:E2695" si="2693">TRIM(B2695)</f>
        <v>Colorado</v>
      </c>
      <c r="E2695" s="111" t="str">
        <f t="shared" si="2693"/>
        <v>Lafayette</v>
      </c>
    </row>
    <row r="2696" spans="1:5">
      <c r="A2696" s="3" t="s">
        <v>8038</v>
      </c>
      <c r="B2696" s="110" t="s">
        <v>1323</v>
      </c>
      <c r="C2696" s="111" t="s">
        <v>609</v>
      </c>
      <c r="D2696" s="111" t="str">
        <f t="shared" ref="D2696:E2696" si="2694">TRIM(B2696)</f>
        <v>Colorado</v>
      </c>
      <c r="E2696" s="111" t="str">
        <f t="shared" si="2694"/>
        <v>Lakewood</v>
      </c>
    </row>
    <row r="2697" spans="1:5">
      <c r="A2697" s="3" t="s">
        <v>8039</v>
      </c>
      <c r="B2697" s="110" t="s">
        <v>1323</v>
      </c>
      <c r="C2697" s="111" t="s">
        <v>609</v>
      </c>
      <c r="D2697" s="111" t="str">
        <f t="shared" ref="D2697:E2697" si="2695">TRIM(B2697)</f>
        <v>Colorado</v>
      </c>
      <c r="E2697" s="111" t="str">
        <f t="shared" si="2695"/>
        <v>Lakewood</v>
      </c>
    </row>
    <row r="2698" spans="1:5">
      <c r="A2698" s="3" t="s">
        <v>7187</v>
      </c>
      <c r="B2698" s="110" t="s">
        <v>1323</v>
      </c>
      <c r="C2698" s="111" t="s">
        <v>609</v>
      </c>
      <c r="D2698" s="111" t="str">
        <f t="shared" ref="D2698:E2698" si="2696">TRIM(B2698)</f>
        <v>Colorado</v>
      </c>
      <c r="E2698" s="111" t="str">
        <f t="shared" si="2696"/>
        <v>Lakewood</v>
      </c>
    </row>
    <row r="2699" spans="1:5">
      <c r="A2699" s="3" t="s">
        <v>8043</v>
      </c>
      <c r="B2699" s="110" t="s">
        <v>1323</v>
      </c>
      <c r="C2699" s="111" t="s">
        <v>609</v>
      </c>
      <c r="D2699" s="111" t="str">
        <f t="shared" ref="D2699:E2699" si="2697">TRIM(B2699)</f>
        <v>Colorado</v>
      </c>
      <c r="E2699" s="111" t="str">
        <f t="shared" si="2697"/>
        <v>Lakewood</v>
      </c>
    </row>
    <row r="2700" spans="1:5">
      <c r="A2700" s="3" t="s">
        <v>8045</v>
      </c>
      <c r="B2700" s="110" t="s">
        <v>1323</v>
      </c>
      <c r="C2700" s="111" t="s">
        <v>609</v>
      </c>
      <c r="D2700" s="111" t="str">
        <f t="shared" ref="D2700:E2700" si="2698">TRIM(B2700)</f>
        <v>Colorado</v>
      </c>
      <c r="E2700" s="111" t="str">
        <f t="shared" si="2698"/>
        <v>Lakewood</v>
      </c>
    </row>
    <row r="2701" spans="1:5">
      <c r="A2701" s="110" t="s">
        <v>8048</v>
      </c>
      <c r="B2701" s="110" t="s">
        <v>1323</v>
      </c>
      <c r="C2701" s="111" t="s">
        <v>609</v>
      </c>
      <c r="D2701" s="111" t="str">
        <f t="shared" ref="D2701:E2701" si="2699">TRIM(B2701)</f>
        <v>Colorado</v>
      </c>
      <c r="E2701" s="111" t="str">
        <f t="shared" si="2699"/>
        <v>Lakewood</v>
      </c>
    </row>
    <row r="2702" spans="1:5">
      <c r="A2702" s="3" t="s">
        <v>5451</v>
      </c>
      <c r="B2702" s="110" t="s">
        <v>1323</v>
      </c>
      <c r="C2702" s="111" t="s">
        <v>609</v>
      </c>
      <c r="D2702" s="111" t="str">
        <f t="shared" ref="D2702:E2702" si="2700">TRIM(B2702)</f>
        <v>Colorado</v>
      </c>
      <c r="E2702" s="111" t="str">
        <f t="shared" si="2700"/>
        <v>Lakewood</v>
      </c>
    </row>
    <row r="2703" spans="1:5">
      <c r="A2703" s="3" t="s">
        <v>8051</v>
      </c>
      <c r="B2703" s="110" t="s">
        <v>1323</v>
      </c>
      <c r="C2703" s="111" t="s">
        <v>609</v>
      </c>
      <c r="D2703" s="111" t="str">
        <f t="shared" ref="D2703:E2703" si="2701">TRIM(B2703)</f>
        <v>Colorado</v>
      </c>
      <c r="E2703" s="111" t="str">
        <f t="shared" si="2701"/>
        <v>Lakewood</v>
      </c>
    </row>
    <row r="2704" spans="1:5">
      <c r="A2704" s="3" t="s">
        <v>3927</v>
      </c>
      <c r="B2704" s="110" t="s">
        <v>1323</v>
      </c>
      <c r="C2704" s="111" t="s">
        <v>3928</v>
      </c>
      <c r="D2704" s="111" t="str">
        <f t="shared" ref="D2704:E2704" si="2702">TRIM(B2704)</f>
        <v>Colorado</v>
      </c>
      <c r="E2704" s="111" t="str">
        <f t="shared" si="2702"/>
        <v>Lamar</v>
      </c>
    </row>
    <row r="2705" spans="1:5">
      <c r="A2705" s="3" t="s">
        <v>8054</v>
      </c>
      <c r="B2705" s="110" t="s">
        <v>1323</v>
      </c>
      <c r="C2705" s="111" t="s">
        <v>8055</v>
      </c>
      <c r="D2705" s="111" t="str">
        <f t="shared" ref="D2705:E2705" si="2703">TRIM(B2705)</f>
        <v>Colorado</v>
      </c>
      <c r="E2705" s="111" t="str">
        <f t="shared" si="2703"/>
        <v>Las Animas</v>
      </c>
    </row>
    <row r="2706" spans="1:5">
      <c r="A2706" s="110" t="s">
        <v>8058</v>
      </c>
      <c r="B2706" s="110" t="s">
        <v>1323</v>
      </c>
      <c r="C2706" s="111" t="s">
        <v>8059</v>
      </c>
      <c r="D2706" s="111" t="str">
        <f t="shared" ref="D2706:E2706" si="2704">TRIM(B2706)</f>
        <v>Colorado</v>
      </c>
      <c r="E2706" s="111" t="str">
        <f t="shared" si="2704"/>
        <v>Leadville</v>
      </c>
    </row>
    <row r="2707" spans="1:5">
      <c r="A2707" s="3" t="s">
        <v>8060</v>
      </c>
      <c r="B2707" s="110" t="s">
        <v>1323</v>
      </c>
      <c r="C2707" s="111" t="s">
        <v>8059</v>
      </c>
      <c r="D2707" s="111" t="str">
        <f t="shared" ref="D2707:E2707" si="2705">TRIM(B2707)</f>
        <v>Colorado</v>
      </c>
      <c r="E2707" s="111" t="str">
        <f t="shared" si="2705"/>
        <v>Leadville</v>
      </c>
    </row>
    <row r="2708" spans="1:5">
      <c r="A2708" s="3" t="s">
        <v>8062</v>
      </c>
      <c r="B2708" s="110" t="s">
        <v>1323</v>
      </c>
      <c r="C2708" s="111" t="s">
        <v>8063</v>
      </c>
      <c r="D2708" s="111" t="str">
        <f t="shared" ref="D2708:E2708" si="2706">TRIM(B2708)</f>
        <v>Colorado</v>
      </c>
      <c r="E2708" s="111" t="str">
        <f t="shared" si="2706"/>
        <v>Limon</v>
      </c>
    </row>
    <row r="2709" spans="1:5">
      <c r="A2709" s="3" t="s">
        <v>8065</v>
      </c>
      <c r="B2709" s="110" t="s">
        <v>1323</v>
      </c>
      <c r="C2709" s="111" t="s">
        <v>8066</v>
      </c>
      <c r="D2709" s="111" t="str">
        <f t="shared" ref="D2709:E2709" si="2707">TRIM(B2709)</f>
        <v>Colorado</v>
      </c>
      <c r="E2709" s="111" t="str">
        <f t="shared" si="2707"/>
        <v>Littleton</v>
      </c>
    </row>
    <row r="2710" spans="1:5">
      <c r="A2710" s="3" t="s">
        <v>8067</v>
      </c>
      <c r="B2710" s="110" t="s">
        <v>1323</v>
      </c>
      <c r="C2710" s="111" t="s">
        <v>8066</v>
      </c>
      <c r="D2710" s="111" t="str">
        <f t="shared" ref="D2710:E2710" si="2708">TRIM(B2710)</f>
        <v>Colorado</v>
      </c>
      <c r="E2710" s="111" t="str">
        <f t="shared" si="2708"/>
        <v>Littleton</v>
      </c>
    </row>
    <row r="2711" spans="1:5">
      <c r="A2711" s="3" t="s">
        <v>8070</v>
      </c>
      <c r="B2711" s="110" t="s">
        <v>1323</v>
      </c>
      <c r="C2711" s="111" t="s">
        <v>8066</v>
      </c>
      <c r="D2711" s="111" t="str">
        <f t="shared" ref="D2711:E2711" si="2709">TRIM(B2711)</f>
        <v>Colorado</v>
      </c>
      <c r="E2711" s="111" t="str">
        <f t="shared" si="2709"/>
        <v>Littleton</v>
      </c>
    </row>
    <row r="2712" spans="1:5">
      <c r="A2712" s="3" t="s">
        <v>4519</v>
      </c>
      <c r="B2712" s="110" t="s">
        <v>1323</v>
      </c>
      <c r="C2712" s="111" t="s">
        <v>8066</v>
      </c>
      <c r="D2712" s="111" t="str">
        <f t="shared" ref="D2712:E2712" si="2710">TRIM(B2712)</f>
        <v>Colorado</v>
      </c>
      <c r="E2712" s="111" t="str">
        <f t="shared" si="2710"/>
        <v>Littleton</v>
      </c>
    </row>
    <row r="2713" spans="1:5">
      <c r="A2713" s="3" t="s">
        <v>8073</v>
      </c>
      <c r="B2713" s="110" t="s">
        <v>1323</v>
      </c>
      <c r="C2713" s="111" t="s">
        <v>8066</v>
      </c>
      <c r="D2713" s="111" t="str">
        <f t="shared" ref="D2713:E2713" si="2711">TRIM(B2713)</f>
        <v>Colorado</v>
      </c>
      <c r="E2713" s="111" t="str">
        <f t="shared" si="2711"/>
        <v>Littleton</v>
      </c>
    </row>
    <row r="2714" spans="1:5">
      <c r="A2714" s="3" t="s">
        <v>8076</v>
      </c>
      <c r="B2714" s="110" t="s">
        <v>1323</v>
      </c>
      <c r="C2714" s="111" t="s">
        <v>8078</v>
      </c>
      <c r="D2714" s="111" t="str">
        <f t="shared" ref="D2714:E2714" si="2712">TRIM(B2714)</f>
        <v>Colorado</v>
      </c>
      <c r="E2714" s="111" t="str">
        <f t="shared" si="2712"/>
        <v>Longmont</v>
      </c>
    </row>
    <row r="2715" spans="1:5">
      <c r="A2715" s="3" t="s">
        <v>8079</v>
      </c>
      <c r="B2715" s="110" t="s">
        <v>1323</v>
      </c>
      <c r="C2715" s="111" t="s">
        <v>8078</v>
      </c>
      <c r="D2715" s="111" t="str">
        <f t="shared" ref="D2715:E2715" si="2713">TRIM(B2715)</f>
        <v>Colorado</v>
      </c>
      <c r="E2715" s="111" t="str">
        <f t="shared" si="2713"/>
        <v>Longmont</v>
      </c>
    </row>
    <row r="2716" spans="1:5">
      <c r="A2716" s="3" t="s">
        <v>6948</v>
      </c>
      <c r="B2716" s="110" t="s">
        <v>1323</v>
      </c>
      <c r="C2716" s="111" t="s">
        <v>8078</v>
      </c>
      <c r="D2716" s="111" t="str">
        <f t="shared" ref="D2716:E2716" si="2714">TRIM(B2716)</f>
        <v>Colorado</v>
      </c>
      <c r="E2716" s="111" t="str">
        <f t="shared" si="2714"/>
        <v>Longmont</v>
      </c>
    </row>
    <row r="2717" spans="1:5">
      <c r="A2717" s="3" t="s">
        <v>2853</v>
      </c>
      <c r="B2717" s="110" t="s">
        <v>1323</v>
      </c>
      <c r="C2717" s="111" t="s">
        <v>8078</v>
      </c>
      <c r="D2717" s="111" t="str">
        <f t="shared" ref="D2717:E2717" si="2715">TRIM(B2717)</f>
        <v>Colorado</v>
      </c>
      <c r="E2717" s="111" t="str">
        <f t="shared" si="2715"/>
        <v>Longmont</v>
      </c>
    </row>
    <row r="2718" spans="1:5">
      <c r="A2718" s="3" t="s">
        <v>8083</v>
      </c>
      <c r="B2718" s="110" t="s">
        <v>1323</v>
      </c>
      <c r="C2718" s="111" t="s">
        <v>494</v>
      </c>
      <c r="D2718" s="111" t="str">
        <f t="shared" ref="D2718:E2718" si="2716">TRIM(B2718)</f>
        <v>Colorado</v>
      </c>
      <c r="E2718" s="111" t="str">
        <f t="shared" si="2716"/>
        <v>Louisville</v>
      </c>
    </row>
    <row r="2719" spans="1:5">
      <c r="A2719" s="3" t="s">
        <v>8085</v>
      </c>
      <c r="B2719" s="110" t="s">
        <v>1323</v>
      </c>
      <c r="C2719" s="111" t="s">
        <v>420</v>
      </c>
      <c r="D2719" s="111" t="str">
        <f t="shared" ref="D2719:E2719" si="2717">TRIM(B2719)</f>
        <v>Colorado</v>
      </c>
      <c r="E2719" s="111" t="str">
        <f t="shared" si="2717"/>
        <v>Loveland</v>
      </c>
    </row>
    <row r="2720" spans="1:5">
      <c r="A2720" s="3" t="s">
        <v>2842</v>
      </c>
      <c r="B2720" s="110" t="s">
        <v>1323</v>
      </c>
      <c r="C2720" s="111" t="s">
        <v>420</v>
      </c>
      <c r="D2720" s="111" t="str">
        <f t="shared" ref="D2720:E2720" si="2718">TRIM(B2720)</f>
        <v>Colorado</v>
      </c>
      <c r="E2720" s="111" t="str">
        <f t="shared" si="2718"/>
        <v>Loveland</v>
      </c>
    </row>
    <row r="2721" spans="1:5">
      <c r="A2721" s="3" t="s">
        <v>8087</v>
      </c>
      <c r="B2721" s="110" t="s">
        <v>1323</v>
      </c>
      <c r="C2721" s="111" t="s">
        <v>420</v>
      </c>
      <c r="D2721" s="111" t="str">
        <f t="shared" ref="D2721:E2721" si="2719">TRIM(B2721)</f>
        <v>Colorado</v>
      </c>
      <c r="E2721" s="111" t="str">
        <f t="shared" si="2719"/>
        <v>Loveland</v>
      </c>
    </row>
    <row r="2722" spans="1:5">
      <c r="A2722" s="3" t="s">
        <v>8089</v>
      </c>
      <c r="B2722" s="110" t="s">
        <v>1323</v>
      </c>
      <c r="C2722" s="111" t="s">
        <v>8090</v>
      </c>
      <c r="D2722" s="111" t="str">
        <f t="shared" ref="D2722:E2722" si="2720">TRIM(B2722)</f>
        <v>Colorado</v>
      </c>
      <c r="E2722" s="111" t="str">
        <f t="shared" si="2720"/>
        <v>Lyons</v>
      </c>
    </row>
    <row r="2723" spans="1:5">
      <c r="A2723" s="3" t="s">
        <v>8094</v>
      </c>
      <c r="B2723" s="110" t="s">
        <v>1323</v>
      </c>
      <c r="C2723" s="111" t="s">
        <v>8095</v>
      </c>
      <c r="D2723" s="111" t="str">
        <f t="shared" ref="D2723:E2723" si="2721">TRIM(B2723)</f>
        <v>Colorado</v>
      </c>
      <c r="E2723" s="111" t="str">
        <f t="shared" si="2721"/>
        <v>Mancos</v>
      </c>
    </row>
    <row r="2724" spans="1:5">
      <c r="A2724" s="3" t="s">
        <v>8096</v>
      </c>
      <c r="B2724" s="110" t="s">
        <v>1323</v>
      </c>
      <c r="C2724" s="111" t="s">
        <v>8097</v>
      </c>
      <c r="D2724" s="111" t="str">
        <f t="shared" ref="D2724:E2724" si="2722">TRIM(B2724)</f>
        <v>Colorado</v>
      </c>
      <c r="E2724" s="111" t="str">
        <f t="shared" si="2722"/>
        <v>Manitou Springs</v>
      </c>
    </row>
    <row r="2725" spans="1:5">
      <c r="A2725" s="3" t="s">
        <v>8099</v>
      </c>
      <c r="B2725" s="110" t="s">
        <v>1323</v>
      </c>
      <c r="C2725" s="111" t="s">
        <v>8100</v>
      </c>
      <c r="D2725" s="111" t="str">
        <f t="shared" ref="D2725:E2725" si="2723">TRIM(B2725)</f>
        <v>Colorado</v>
      </c>
      <c r="E2725" s="111" t="str">
        <f t="shared" si="2723"/>
        <v>Manzanola</v>
      </c>
    </row>
    <row r="2726" spans="1:5">
      <c r="A2726" s="3" t="s">
        <v>8102</v>
      </c>
      <c r="B2726" s="110" t="s">
        <v>1323</v>
      </c>
      <c r="C2726" s="111" t="s">
        <v>8103</v>
      </c>
      <c r="D2726" s="111" t="str">
        <f t="shared" ref="D2726:E2726" si="2724">TRIM(B2726)</f>
        <v>Colorado</v>
      </c>
      <c r="E2726" s="111" t="str">
        <f t="shared" si="2724"/>
        <v>Mc Clave</v>
      </c>
    </row>
    <row r="2727" spans="1:5">
      <c r="A2727" s="3" t="s">
        <v>8104</v>
      </c>
      <c r="B2727" s="110" t="s">
        <v>1323</v>
      </c>
      <c r="C2727" s="111" t="s">
        <v>8105</v>
      </c>
      <c r="D2727" s="111" t="str">
        <f t="shared" ref="D2727:E2727" si="2725">TRIM(B2727)</f>
        <v>Colorado</v>
      </c>
      <c r="E2727" s="111" t="str">
        <f t="shared" si="2725"/>
        <v>Meeker</v>
      </c>
    </row>
    <row r="2728" spans="1:5">
      <c r="A2728" s="3" t="s">
        <v>8107</v>
      </c>
      <c r="B2728" s="110" t="s">
        <v>1323</v>
      </c>
      <c r="C2728" s="111" t="s">
        <v>8109</v>
      </c>
      <c r="D2728" s="111" t="str">
        <f t="shared" ref="D2728:E2728" si="2726">TRIM(B2728)</f>
        <v>Colorado</v>
      </c>
      <c r="E2728" s="111" t="str">
        <f t="shared" si="2726"/>
        <v>Merino</v>
      </c>
    </row>
    <row r="2729" spans="1:5">
      <c r="A2729" s="3" t="s">
        <v>8112</v>
      </c>
      <c r="B2729" s="110" t="s">
        <v>1323</v>
      </c>
      <c r="C2729" s="111" t="s">
        <v>8113</v>
      </c>
      <c r="D2729" s="111" t="str">
        <f t="shared" ref="D2729:E2729" si="2727">TRIM(B2729)</f>
        <v>Colorado</v>
      </c>
      <c r="E2729" s="111" t="str">
        <f t="shared" si="2727"/>
        <v>Monte Vista</v>
      </c>
    </row>
    <row r="2730" spans="1:5">
      <c r="A2730" s="3" t="s">
        <v>8114</v>
      </c>
      <c r="B2730" s="110" t="s">
        <v>1323</v>
      </c>
      <c r="C2730" s="111" t="s">
        <v>8113</v>
      </c>
      <c r="D2730" s="111" t="str">
        <f t="shared" ref="D2730:E2730" si="2728">TRIM(B2730)</f>
        <v>Colorado</v>
      </c>
      <c r="E2730" s="111" t="str">
        <f t="shared" si="2728"/>
        <v>Monte Vista</v>
      </c>
    </row>
    <row r="2731" spans="1:5">
      <c r="A2731" s="3" t="s">
        <v>8115</v>
      </c>
      <c r="B2731" s="110" t="s">
        <v>1323</v>
      </c>
      <c r="C2731" s="111" t="s">
        <v>8117</v>
      </c>
      <c r="D2731" s="111" t="str">
        <f t="shared" ref="D2731:E2731" si="2729">TRIM(B2731)</f>
        <v>Colorado</v>
      </c>
      <c r="E2731" s="111" t="str">
        <f t="shared" si="2729"/>
        <v>Montrose</v>
      </c>
    </row>
    <row r="2732" spans="1:5">
      <c r="A2732" s="3" t="s">
        <v>8118</v>
      </c>
      <c r="B2732" s="110" t="s">
        <v>1323</v>
      </c>
      <c r="C2732" s="111" t="s">
        <v>8119</v>
      </c>
      <c r="D2732" s="111" t="str">
        <f t="shared" ref="D2732:E2732" si="2730">TRIM(B2732)</f>
        <v>Colorado</v>
      </c>
      <c r="E2732" s="111" t="str">
        <f t="shared" si="2730"/>
        <v>Monument</v>
      </c>
    </row>
    <row r="2733" spans="1:5">
      <c r="A2733" s="3" t="s">
        <v>8121</v>
      </c>
      <c r="B2733" s="110" t="s">
        <v>1323</v>
      </c>
      <c r="C2733" s="111" t="s">
        <v>8119</v>
      </c>
      <c r="D2733" s="111" t="str">
        <f t="shared" ref="D2733:E2733" si="2731">TRIM(B2733)</f>
        <v>Colorado</v>
      </c>
      <c r="E2733" s="111" t="str">
        <f t="shared" si="2731"/>
        <v>Monument</v>
      </c>
    </row>
    <row r="2734" spans="1:5">
      <c r="A2734" s="3" t="s">
        <v>8122</v>
      </c>
      <c r="B2734" s="110" t="s">
        <v>1323</v>
      </c>
      <c r="C2734" s="111" t="s">
        <v>8123</v>
      </c>
      <c r="D2734" s="111" t="str">
        <f t="shared" ref="D2734:E2734" si="2732">TRIM(B2734)</f>
        <v>Colorado</v>
      </c>
      <c r="E2734" s="111" t="str">
        <f t="shared" si="2732"/>
        <v>Mosca</v>
      </c>
    </row>
    <row r="2735" spans="1:5">
      <c r="A2735" s="3" t="s">
        <v>8126</v>
      </c>
      <c r="B2735" s="110" t="s">
        <v>1323</v>
      </c>
      <c r="C2735" s="111" t="s">
        <v>8127</v>
      </c>
      <c r="D2735" s="111" t="str">
        <f t="shared" ref="D2735:E2735" si="2733">TRIM(B2735)</f>
        <v>Colorado</v>
      </c>
      <c r="E2735" s="111" t="str">
        <f t="shared" si="2733"/>
        <v>Nederland</v>
      </c>
    </row>
    <row r="2736" spans="1:5">
      <c r="A2736" s="3" t="s">
        <v>8129</v>
      </c>
      <c r="B2736" s="110" t="s">
        <v>1323</v>
      </c>
      <c r="C2736" s="111" t="s">
        <v>8130</v>
      </c>
      <c r="D2736" s="111" t="str">
        <f t="shared" ref="D2736:E2736" si="2734">TRIM(B2736)</f>
        <v>Colorado</v>
      </c>
      <c r="E2736" s="111" t="str">
        <f t="shared" si="2734"/>
        <v>New Castle</v>
      </c>
    </row>
    <row r="2737" spans="1:5">
      <c r="A2737" s="3" t="s">
        <v>8132</v>
      </c>
      <c r="B2737" s="110" t="s">
        <v>1323</v>
      </c>
      <c r="C2737" s="111" t="s">
        <v>8134</v>
      </c>
      <c r="D2737" s="111" t="str">
        <f t="shared" ref="D2737:E2737" si="2735">TRIM(B2737)</f>
        <v>Colorado</v>
      </c>
      <c r="E2737" s="111" t="str">
        <f t="shared" si="2735"/>
        <v>New Raymer</v>
      </c>
    </row>
    <row r="2738" spans="1:5">
      <c r="A2738" s="3" t="s">
        <v>8136</v>
      </c>
      <c r="B2738" s="110" t="s">
        <v>1323</v>
      </c>
      <c r="C2738" s="111" t="s">
        <v>8137</v>
      </c>
      <c r="D2738" s="111" t="str">
        <f t="shared" ref="D2738:E2738" si="2736">TRIM(B2738)</f>
        <v>Colorado</v>
      </c>
      <c r="E2738" s="111" t="str">
        <f t="shared" si="2736"/>
        <v>Niwot</v>
      </c>
    </row>
    <row r="2739" spans="1:5">
      <c r="A2739" s="3" t="s">
        <v>8138</v>
      </c>
      <c r="B2739" s="110" t="s">
        <v>1323</v>
      </c>
      <c r="C2739" s="111" t="s">
        <v>8139</v>
      </c>
      <c r="D2739" s="111" t="str">
        <f t="shared" ref="D2739:E2739" si="2737">TRIM(B2739)</f>
        <v>Colorado</v>
      </c>
      <c r="E2739" s="111" t="str">
        <f t="shared" si="2737"/>
        <v>Northglenn</v>
      </c>
    </row>
    <row r="2740" spans="1:5">
      <c r="A2740" s="3" t="s">
        <v>8141</v>
      </c>
      <c r="B2740" s="110" t="s">
        <v>1323</v>
      </c>
      <c r="C2740" s="112" t="s">
        <v>8143</v>
      </c>
      <c r="D2740" s="111" t="str">
        <f t="shared" ref="D2740:E2740" si="2738">TRIM(B2740)</f>
        <v>Colorado</v>
      </c>
      <c r="E2740" s="111" t="str">
        <f t="shared" si="2738"/>
        <v>Nucla</v>
      </c>
    </row>
    <row r="2741" spans="1:5">
      <c r="A2741" s="3" t="s">
        <v>8145</v>
      </c>
      <c r="B2741" s="110" t="s">
        <v>1323</v>
      </c>
      <c r="C2741" s="111" t="s">
        <v>8146</v>
      </c>
      <c r="D2741" s="111" t="str">
        <f t="shared" ref="D2741:E2741" si="2739">TRIM(B2741)</f>
        <v>Colorado</v>
      </c>
      <c r="E2741" s="111" t="str">
        <f t="shared" si="2739"/>
        <v>Oak Creek</v>
      </c>
    </row>
    <row r="2742" spans="1:5">
      <c r="A2742" s="3" t="s">
        <v>8147</v>
      </c>
      <c r="B2742" s="110" t="s">
        <v>1323</v>
      </c>
      <c r="C2742" s="111" t="s">
        <v>8148</v>
      </c>
      <c r="D2742" s="111" t="str">
        <f t="shared" ref="D2742:E2742" si="2740">TRIM(B2742)</f>
        <v>Colorado</v>
      </c>
      <c r="E2742" s="111" t="str">
        <f t="shared" si="2740"/>
        <v>Olathe</v>
      </c>
    </row>
    <row r="2743" spans="1:5">
      <c r="A2743" s="3" t="s">
        <v>8150</v>
      </c>
      <c r="B2743" s="110" t="s">
        <v>1323</v>
      </c>
      <c r="C2743" s="111" t="s">
        <v>8151</v>
      </c>
      <c r="D2743" s="111" t="str">
        <f t="shared" ref="D2743:E2743" si="2741">TRIM(B2743)</f>
        <v>Colorado</v>
      </c>
      <c r="E2743" s="111" t="str">
        <f t="shared" si="2741"/>
        <v>Ordway</v>
      </c>
    </row>
    <row r="2744" spans="1:5">
      <c r="A2744" s="3" t="s">
        <v>8154</v>
      </c>
      <c r="B2744" s="110" t="s">
        <v>1323</v>
      </c>
      <c r="C2744" s="111" t="s">
        <v>8155</v>
      </c>
      <c r="D2744" s="111" t="str">
        <f t="shared" ref="D2744:E2744" si="2742">TRIM(B2744)</f>
        <v>Colorado</v>
      </c>
      <c r="E2744" s="111" t="str">
        <f t="shared" si="2742"/>
        <v>Otis</v>
      </c>
    </row>
    <row r="2745" spans="1:5">
      <c r="A2745" s="3" t="s">
        <v>8156</v>
      </c>
      <c r="B2745" s="110" t="s">
        <v>1323</v>
      </c>
      <c r="C2745" s="111" t="s">
        <v>8155</v>
      </c>
      <c r="D2745" s="111" t="str">
        <f t="shared" ref="D2745:E2745" si="2743">TRIM(B2745)</f>
        <v>Colorado</v>
      </c>
      <c r="E2745" s="111" t="str">
        <f t="shared" si="2743"/>
        <v>Otis</v>
      </c>
    </row>
    <row r="2746" spans="1:5">
      <c r="A2746" s="3" t="s">
        <v>8157</v>
      </c>
      <c r="B2746" s="110" t="s">
        <v>1323</v>
      </c>
      <c r="C2746" s="111" t="s">
        <v>8158</v>
      </c>
      <c r="D2746" s="111" t="str">
        <f t="shared" ref="D2746:E2746" si="2744">TRIM(B2746)</f>
        <v>Colorado</v>
      </c>
      <c r="E2746" s="111" t="str">
        <f t="shared" si="2744"/>
        <v>Ouray</v>
      </c>
    </row>
    <row r="2747" spans="1:5">
      <c r="A2747" s="3" t="s">
        <v>8162</v>
      </c>
      <c r="B2747" s="110" t="s">
        <v>1323</v>
      </c>
      <c r="C2747" s="111" t="s">
        <v>8163</v>
      </c>
      <c r="D2747" s="111" t="str">
        <f t="shared" ref="D2747:E2747" si="2745">TRIM(B2747)</f>
        <v>Colorado</v>
      </c>
      <c r="E2747" s="111" t="str">
        <f t="shared" si="2745"/>
        <v>Ovid</v>
      </c>
    </row>
    <row r="2748" spans="1:5">
      <c r="A2748" s="3" t="s">
        <v>8165</v>
      </c>
      <c r="B2748" s="110" t="s">
        <v>1323</v>
      </c>
      <c r="C2748" s="111" t="s">
        <v>8166</v>
      </c>
      <c r="D2748" s="111" t="str">
        <f t="shared" ref="D2748:E2748" si="2746">TRIM(B2748)</f>
        <v>Colorado</v>
      </c>
      <c r="E2748" s="111" t="str">
        <f t="shared" si="2746"/>
        <v>Pagosa Springs</v>
      </c>
    </row>
    <row r="2749" spans="1:5">
      <c r="A2749" s="3" t="s">
        <v>8168</v>
      </c>
      <c r="B2749" s="110" t="s">
        <v>1323</v>
      </c>
      <c r="C2749" s="111" t="s">
        <v>8170</v>
      </c>
      <c r="D2749" s="111" t="str">
        <f t="shared" ref="D2749:E2749" si="2747">TRIM(B2749)</f>
        <v>Colorado</v>
      </c>
      <c r="E2749" s="111" t="str">
        <f t="shared" si="2747"/>
        <v>Palisade</v>
      </c>
    </row>
    <row r="2750" spans="1:5">
      <c r="A2750" s="3" t="s">
        <v>8172</v>
      </c>
      <c r="B2750" s="110" t="s">
        <v>1323</v>
      </c>
      <c r="C2750" s="111" t="s">
        <v>8173</v>
      </c>
      <c r="D2750" s="111" t="str">
        <f t="shared" ref="D2750:E2750" si="2748">TRIM(B2750)</f>
        <v>Colorado</v>
      </c>
      <c r="E2750" s="111" t="str">
        <f t="shared" si="2748"/>
        <v>Paonia</v>
      </c>
    </row>
    <row r="2751" spans="1:5">
      <c r="A2751" s="3" t="s">
        <v>8174</v>
      </c>
      <c r="B2751" s="110" t="s">
        <v>1323</v>
      </c>
      <c r="C2751" s="111" t="s">
        <v>8175</v>
      </c>
      <c r="D2751" s="111" t="str">
        <f t="shared" ref="D2751:E2751" si="2749">TRIM(B2751)</f>
        <v>Colorado</v>
      </c>
      <c r="E2751" s="111" t="str">
        <f t="shared" si="2749"/>
        <v>Parachute</v>
      </c>
    </row>
    <row r="2752" spans="1:5">
      <c r="A2752" s="3" t="s">
        <v>3224</v>
      </c>
      <c r="B2752" s="110" t="s">
        <v>1323</v>
      </c>
      <c r="C2752" s="111" t="s">
        <v>2891</v>
      </c>
      <c r="D2752" s="111" t="str">
        <f t="shared" ref="D2752:E2752" si="2750">TRIM(B2752)</f>
        <v>Colorado</v>
      </c>
      <c r="E2752" s="111" t="str">
        <f t="shared" si="2750"/>
        <v>Parker</v>
      </c>
    </row>
    <row r="2753" spans="1:5">
      <c r="A2753" s="110" t="s">
        <v>8178</v>
      </c>
      <c r="B2753" s="110" t="s">
        <v>1323</v>
      </c>
      <c r="C2753" s="111" t="s">
        <v>2891</v>
      </c>
      <c r="D2753" s="111" t="str">
        <f t="shared" ref="D2753:E2753" si="2751">TRIM(B2753)</f>
        <v>Colorado</v>
      </c>
      <c r="E2753" s="111" t="str">
        <f t="shared" si="2751"/>
        <v>Parker</v>
      </c>
    </row>
    <row r="2754" spans="1:5">
      <c r="A2754" s="3" t="s">
        <v>8181</v>
      </c>
      <c r="B2754" s="110" t="s">
        <v>1323</v>
      </c>
      <c r="C2754" s="111" t="s">
        <v>2891</v>
      </c>
      <c r="D2754" s="111" t="str">
        <f t="shared" ref="D2754:E2754" si="2752">TRIM(B2754)</f>
        <v>Colorado</v>
      </c>
      <c r="E2754" s="111" t="str">
        <f t="shared" si="2752"/>
        <v>Parker</v>
      </c>
    </row>
    <row r="2755" spans="1:5">
      <c r="A2755" s="3" t="s">
        <v>2615</v>
      </c>
      <c r="B2755" s="110" t="s">
        <v>1323</v>
      </c>
      <c r="C2755" s="111" t="s">
        <v>2891</v>
      </c>
      <c r="D2755" s="111" t="str">
        <f t="shared" ref="D2755:E2755" si="2753">TRIM(B2755)</f>
        <v>Colorado</v>
      </c>
      <c r="E2755" s="111" t="str">
        <f t="shared" si="2753"/>
        <v>Parker</v>
      </c>
    </row>
    <row r="2756" spans="1:5">
      <c r="A2756" s="3" t="s">
        <v>8184</v>
      </c>
      <c r="B2756" s="110" t="s">
        <v>1323</v>
      </c>
      <c r="C2756" s="111" t="s">
        <v>8185</v>
      </c>
      <c r="D2756" s="111" t="str">
        <f t="shared" ref="D2756:E2756" si="2754">TRIM(B2756)</f>
        <v>Colorado</v>
      </c>
      <c r="E2756" s="111" t="str">
        <f t="shared" si="2754"/>
        <v>Peetz</v>
      </c>
    </row>
    <row r="2757" spans="1:5">
      <c r="A2757" s="3" t="s">
        <v>8187</v>
      </c>
      <c r="B2757" s="110" t="s">
        <v>1323</v>
      </c>
      <c r="C2757" s="111" t="s">
        <v>8188</v>
      </c>
      <c r="D2757" s="111" t="str">
        <f t="shared" ref="D2757:E2757" si="2755">TRIM(B2757)</f>
        <v>Colorado</v>
      </c>
      <c r="E2757" s="111" t="str">
        <f t="shared" si="2755"/>
        <v>Peyton</v>
      </c>
    </row>
    <row r="2758" spans="1:5">
      <c r="A2758" s="3" t="s">
        <v>8190</v>
      </c>
      <c r="B2758" s="110" t="s">
        <v>1323</v>
      </c>
      <c r="C2758" s="111" t="s">
        <v>8188</v>
      </c>
      <c r="D2758" s="111" t="str">
        <f t="shared" ref="D2758:E2758" si="2756">TRIM(B2758)</f>
        <v>Colorado</v>
      </c>
      <c r="E2758" s="111" t="str">
        <f t="shared" si="2756"/>
        <v>Peyton</v>
      </c>
    </row>
    <row r="2759" spans="1:5">
      <c r="A2759" s="3" t="s">
        <v>8192</v>
      </c>
      <c r="B2759" s="110" t="s">
        <v>1323</v>
      </c>
      <c r="C2759" s="111" t="s">
        <v>8188</v>
      </c>
      <c r="D2759" s="111" t="str">
        <f t="shared" ref="D2759:E2759" si="2757">TRIM(B2759)</f>
        <v>Colorado</v>
      </c>
      <c r="E2759" s="111" t="str">
        <f t="shared" si="2757"/>
        <v>Peyton</v>
      </c>
    </row>
    <row r="2760" spans="1:5">
      <c r="A2760" s="3" t="s">
        <v>8193</v>
      </c>
      <c r="B2760" s="110" t="s">
        <v>1323</v>
      </c>
      <c r="C2760" s="111" t="s">
        <v>8194</v>
      </c>
      <c r="D2760" s="111" t="str">
        <f t="shared" ref="D2760:E2760" si="2758">TRIM(B2760)</f>
        <v>Colorado</v>
      </c>
      <c r="E2760" s="111" t="str">
        <f t="shared" si="2758"/>
        <v>Pritchett</v>
      </c>
    </row>
    <row r="2761" spans="1:5">
      <c r="A2761" s="3" t="s">
        <v>2905</v>
      </c>
      <c r="B2761" s="110" t="s">
        <v>1323</v>
      </c>
      <c r="C2761" s="111" t="s">
        <v>575</v>
      </c>
      <c r="D2761" s="111" t="str">
        <f t="shared" ref="D2761:E2761" si="2759">TRIM(B2761)</f>
        <v>Colorado</v>
      </c>
      <c r="E2761" s="111" t="str">
        <f t="shared" si="2759"/>
        <v>Pueblo</v>
      </c>
    </row>
    <row r="2762" spans="1:5">
      <c r="A2762" s="3" t="s">
        <v>1843</v>
      </c>
      <c r="B2762" s="110" t="s">
        <v>1323</v>
      </c>
      <c r="C2762" s="111" t="s">
        <v>575</v>
      </c>
      <c r="D2762" s="111" t="str">
        <f t="shared" ref="D2762:E2762" si="2760">TRIM(B2762)</f>
        <v>Colorado</v>
      </c>
      <c r="E2762" s="111" t="str">
        <f t="shared" si="2760"/>
        <v>Pueblo</v>
      </c>
    </row>
    <row r="2763" spans="1:5">
      <c r="A2763" s="3" t="s">
        <v>2294</v>
      </c>
      <c r="B2763" s="110" t="s">
        <v>1323</v>
      </c>
      <c r="C2763" s="111" t="s">
        <v>575</v>
      </c>
      <c r="D2763" s="111" t="str">
        <f t="shared" ref="D2763:E2763" si="2761">TRIM(B2763)</f>
        <v>Colorado</v>
      </c>
      <c r="E2763" s="111" t="str">
        <f t="shared" si="2761"/>
        <v>Pueblo</v>
      </c>
    </row>
    <row r="2764" spans="1:5">
      <c r="A2764" s="110" t="s">
        <v>8201</v>
      </c>
      <c r="B2764" s="110" t="s">
        <v>1323</v>
      </c>
      <c r="C2764" s="111" t="s">
        <v>575</v>
      </c>
      <c r="D2764" s="111" t="str">
        <f t="shared" ref="D2764:E2764" si="2762">TRIM(B2764)</f>
        <v>Colorado</v>
      </c>
      <c r="E2764" s="111" t="str">
        <f t="shared" si="2762"/>
        <v>Pueblo</v>
      </c>
    </row>
    <row r="2765" spans="1:5">
      <c r="A2765" s="3" t="s">
        <v>8202</v>
      </c>
      <c r="B2765" s="110" t="s">
        <v>1323</v>
      </c>
      <c r="C2765" s="111" t="s">
        <v>575</v>
      </c>
      <c r="D2765" s="111" t="str">
        <f t="shared" ref="D2765:E2765" si="2763">TRIM(B2765)</f>
        <v>Colorado</v>
      </c>
      <c r="E2765" s="111" t="str">
        <f t="shared" si="2763"/>
        <v>Pueblo</v>
      </c>
    </row>
    <row r="2766" spans="1:5">
      <c r="A2766" s="3" t="s">
        <v>4439</v>
      </c>
      <c r="B2766" s="110" t="s">
        <v>1323</v>
      </c>
      <c r="C2766" s="111" t="s">
        <v>575</v>
      </c>
      <c r="D2766" s="111" t="str">
        <f t="shared" ref="D2766:E2766" si="2764">TRIM(B2766)</f>
        <v>Colorado</v>
      </c>
      <c r="E2766" s="111" t="str">
        <f t="shared" si="2764"/>
        <v>Pueblo</v>
      </c>
    </row>
    <row r="2767" spans="1:5">
      <c r="A2767" s="3" t="s">
        <v>8207</v>
      </c>
      <c r="B2767" s="110" t="s">
        <v>1323</v>
      </c>
      <c r="C2767" s="112" t="s">
        <v>8208</v>
      </c>
      <c r="D2767" s="111" t="str">
        <f t="shared" ref="D2767:E2767" si="2765">TRIM(B2767)</f>
        <v>Colorado</v>
      </c>
      <c r="E2767" s="111" t="str">
        <f t="shared" si="2765"/>
        <v>Pueblo West</v>
      </c>
    </row>
    <row r="2768" spans="1:5">
      <c r="A2768" s="3" t="s">
        <v>8209</v>
      </c>
      <c r="B2768" s="110" t="s">
        <v>1323</v>
      </c>
      <c r="C2768" s="111" t="s">
        <v>8208</v>
      </c>
      <c r="D2768" s="111" t="str">
        <f t="shared" ref="D2768:E2768" si="2766">TRIM(B2768)</f>
        <v>Colorado</v>
      </c>
      <c r="E2768" s="111" t="str">
        <f t="shared" si="2766"/>
        <v>Pueblo West</v>
      </c>
    </row>
    <row r="2769" spans="1:5">
      <c r="A2769" s="3" t="s">
        <v>8211</v>
      </c>
      <c r="B2769" s="110" t="s">
        <v>1323</v>
      </c>
      <c r="C2769" s="111" t="s">
        <v>8212</v>
      </c>
      <c r="D2769" s="111" t="str">
        <f t="shared" ref="D2769:E2769" si="2767">TRIM(B2769)</f>
        <v>Colorado</v>
      </c>
      <c r="E2769" s="111" t="str">
        <f t="shared" si="2767"/>
        <v>Rangely</v>
      </c>
    </row>
    <row r="2770" spans="1:5">
      <c r="A2770" s="3" t="s">
        <v>8214</v>
      </c>
      <c r="B2770" s="110" t="s">
        <v>1323</v>
      </c>
      <c r="C2770" s="111" t="s">
        <v>8215</v>
      </c>
      <c r="D2770" s="111" t="str">
        <f t="shared" ref="D2770:E2770" si="2768">TRIM(B2770)</f>
        <v>Colorado</v>
      </c>
      <c r="E2770" s="111" t="str">
        <f t="shared" si="2768"/>
        <v>Ridgway</v>
      </c>
    </row>
    <row r="2771" spans="1:5">
      <c r="A2771" s="3" t="s">
        <v>8216</v>
      </c>
      <c r="B2771" s="110" t="s">
        <v>1323</v>
      </c>
      <c r="C2771" s="111" t="s">
        <v>8217</v>
      </c>
      <c r="D2771" s="111" t="str">
        <f t="shared" ref="D2771:E2771" si="2769">TRIM(B2771)</f>
        <v>Colorado</v>
      </c>
      <c r="E2771" s="111" t="str">
        <f t="shared" si="2769"/>
        <v>Rifle</v>
      </c>
    </row>
    <row r="2772" spans="1:5">
      <c r="A2772" s="3" t="s">
        <v>8219</v>
      </c>
      <c r="B2772" s="110" t="s">
        <v>1323</v>
      </c>
      <c r="C2772" s="111" t="s">
        <v>8220</v>
      </c>
      <c r="D2772" s="111" t="str">
        <f t="shared" ref="D2772:E2772" si="2770">TRIM(B2772)</f>
        <v>Colorado</v>
      </c>
      <c r="E2772" s="111" t="str">
        <f t="shared" si="2770"/>
        <v>Rocky Ford</v>
      </c>
    </row>
    <row r="2773" spans="1:5">
      <c r="A2773" s="3" t="s">
        <v>8222</v>
      </c>
      <c r="B2773" s="110" t="s">
        <v>1323</v>
      </c>
      <c r="C2773" s="111" t="s">
        <v>8223</v>
      </c>
      <c r="D2773" s="111" t="str">
        <f t="shared" ref="D2773:E2773" si="2771">TRIM(B2773)</f>
        <v>Colorado</v>
      </c>
      <c r="E2773" s="111" t="str">
        <f t="shared" si="2771"/>
        <v>Rush</v>
      </c>
    </row>
    <row r="2774" spans="1:5">
      <c r="A2774" s="3" t="s">
        <v>8224</v>
      </c>
      <c r="B2774" s="110" t="s">
        <v>1323</v>
      </c>
      <c r="C2774" s="111" t="s">
        <v>6220</v>
      </c>
      <c r="D2774" s="111" t="str">
        <f t="shared" ref="D2774:E2774" si="2772">TRIM(B2774)</f>
        <v>Colorado</v>
      </c>
      <c r="E2774" s="111" t="str">
        <f t="shared" si="2772"/>
        <v>Rye</v>
      </c>
    </row>
    <row r="2775" spans="1:5">
      <c r="A2775" s="3" t="s">
        <v>8227</v>
      </c>
      <c r="B2775" s="110" t="s">
        <v>1323</v>
      </c>
      <c r="C2775" s="111" t="s">
        <v>8228</v>
      </c>
      <c r="D2775" s="111" t="str">
        <f t="shared" ref="D2775:E2775" si="2773">TRIM(B2775)</f>
        <v>Colorado</v>
      </c>
      <c r="E2775" s="111" t="str">
        <f t="shared" si="2773"/>
        <v>Salida</v>
      </c>
    </row>
    <row r="2776" spans="1:5">
      <c r="A2776" s="3" t="s">
        <v>8230</v>
      </c>
      <c r="B2776" s="110" t="s">
        <v>1323</v>
      </c>
      <c r="C2776" s="111" t="s">
        <v>8231</v>
      </c>
      <c r="D2776" s="111" t="str">
        <f t="shared" ref="D2776:E2776" si="2774">TRIM(B2776)</f>
        <v>Colorado</v>
      </c>
      <c r="E2776" s="111" t="str">
        <f t="shared" si="2774"/>
        <v>Sanford</v>
      </c>
    </row>
    <row r="2777" spans="1:5">
      <c r="A2777" s="3" t="s">
        <v>8233</v>
      </c>
      <c r="B2777" s="110" t="s">
        <v>1323</v>
      </c>
      <c r="C2777" s="111" t="s">
        <v>8234</v>
      </c>
      <c r="D2777" s="111" t="str">
        <f t="shared" ref="D2777:E2777" si="2775">TRIM(B2777)</f>
        <v>Colorado</v>
      </c>
      <c r="E2777" s="111" t="str">
        <f t="shared" si="2775"/>
        <v>Sheridan Lake</v>
      </c>
    </row>
    <row r="2778" spans="1:5">
      <c r="A2778" s="3" t="s">
        <v>8236</v>
      </c>
      <c r="B2778" s="110" t="s">
        <v>1323</v>
      </c>
      <c r="C2778" s="111" t="s">
        <v>7073</v>
      </c>
      <c r="D2778" s="111" t="str">
        <f t="shared" ref="D2778:E2778" si="2776">TRIM(B2778)</f>
        <v>Colorado</v>
      </c>
      <c r="E2778" s="111" t="str">
        <f t="shared" si="2776"/>
        <v>Silverton</v>
      </c>
    </row>
    <row r="2779" spans="1:5">
      <c r="A2779" s="3" t="s">
        <v>8237</v>
      </c>
      <c r="B2779" s="110" t="s">
        <v>1323</v>
      </c>
      <c r="C2779" s="111" t="s">
        <v>8239</v>
      </c>
      <c r="D2779" s="111" t="str">
        <f t="shared" ref="D2779:E2779" si="2777">TRIM(B2779)</f>
        <v>Colorado</v>
      </c>
      <c r="E2779" s="111" t="str">
        <f t="shared" si="2777"/>
        <v>Simla</v>
      </c>
    </row>
    <row r="2780" spans="1:5">
      <c r="A2780" s="3" t="s">
        <v>8242</v>
      </c>
      <c r="B2780" s="110" t="s">
        <v>1323</v>
      </c>
      <c r="C2780" s="111" t="s">
        <v>416</v>
      </c>
      <c r="D2780" s="111" t="str">
        <f t="shared" ref="D2780:E2780" si="2778">TRIM(B2780)</f>
        <v>Colorado</v>
      </c>
      <c r="E2780" s="111" t="str">
        <f t="shared" si="2778"/>
        <v>Springfield</v>
      </c>
    </row>
    <row r="2781" spans="1:5">
      <c r="A2781" s="3" t="s">
        <v>8243</v>
      </c>
      <c r="B2781" s="110" t="s">
        <v>1323</v>
      </c>
      <c r="C2781" s="113" t="s">
        <v>8244</v>
      </c>
      <c r="D2781" s="111" t="str">
        <f t="shared" ref="D2781:E2781" si="2779">TRIM(B2781)</f>
        <v>Colorado</v>
      </c>
      <c r="E2781" s="111" t="str">
        <f t="shared" si="2779"/>
        <v>Steamboat Springs</v>
      </c>
    </row>
    <row r="2782" spans="1:5">
      <c r="A2782" s="3" t="s">
        <v>8247</v>
      </c>
      <c r="B2782" s="110" t="s">
        <v>1323</v>
      </c>
      <c r="C2782" s="111" t="s">
        <v>5504</v>
      </c>
      <c r="D2782" s="111" t="str">
        <f t="shared" ref="D2782:E2782" si="2780">TRIM(B2782)</f>
        <v>Colorado</v>
      </c>
      <c r="E2782" s="111" t="str">
        <f t="shared" si="2780"/>
        <v>Sterling</v>
      </c>
    </row>
    <row r="2783" spans="1:5">
      <c r="A2783" s="3" t="s">
        <v>8250</v>
      </c>
      <c r="B2783" s="110" t="s">
        <v>1323</v>
      </c>
      <c r="C2783" s="111" t="s">
        <v>8251</v>
      </c>
      <c r="D2783" s="111" t="str">
        <f t="shared" ref="D2783:E2783" si="2781">TRIM(B2783)</f>
        <v>Colorado</v>
      </c>
      <c r="E2783" s="111" t="str">
        <f t="shared" si="2781"/>
        <v>Strasburg</v>
      </c>
    </row>
    <row r="2784" spans="1:5">
      <c r="A2784" s="3" t="s">
        <v>8252</v>
      </c>
      <c r="B2784" s="110" t="s">
        <v>1323</v>
      </c>
      <c r="C2784" s="111" t="s">
        <v>8253</v>
      </c>
      <c r="D2784" s="111" t="str">
        <f t="shared" ref="D2784:E2784" si="2782">TRIM(B2784)</f>
        <v>Colorado</v>
      </c>
      <c r="E2784" s="111" t="str">
        <f t="shared" si="2782"/>
        <v>Stratton</v>
      </c>
    </row>
    <row r="2785" spans="1:5">
      <c r="A2785" s="3" t="s">
        <v>8257</v>
      </c>
      <c r="B2785" s="110" t="s">
        <v>1323</v>
      </c>
      <c r="C2785" s="111" t="s">
        <v>8258</v>
      </c>
      <c r="D2785" s="111" t="str">
        <f t="shared" ref="D2785:E2785" si="2783">TRIM(B2785)</f>
        <v>Colorado</v>
      </c>
      <c r="E2785" s="111" t="str">
        <f t="shared" si="2783"/>
        <v>Swink</v>
      </c>
    </row>
    <row r="2786" spans="1:5">
      <c r="A2786" s="3" t="s">
        <v>8259</v>
      </c>
      <c r="B2786" s="110" t="s">
        <v>1323</v>
      </c>
      <c r="C2786" s="111" t="s">
        <v>8260</v>
      </c>
      <c r="D2786" s="111" t="str">
        <f t="shared" ref="D2786:E2786" si="2784">TRIM(B2786)</f>
        <v>Colorado</v>
      </c>
      <c r="E2786" s="111" t="str">
        <f t="shared" si="2784"/>
        <v>Telluride</v>
      </c>
    </row>
    <row r="2787" spans="1:5">
      <c r="A2787" s="3" t="s">
        <v>8261</v>
      </c>
      <c r="B2787" s="110" t="s">
        <v>1323</v>
      </c>
      <c r="C2787" s="112" t="s">
        <v>8262</v>
      </c>
      <c r="D2787" s="111" t="str">
        <f t="shared" ref="D2787:E2787" si="2785">TRIM(B2787)</f>
        <v>Colorado</v>
      </c>
      <c r="E2787" s="111" t="str">
        <f t="shared" si="2785"/>
        <v>Thornton</v>
      </c>
    </row>
    <row r="2788" spans="1:5">
      <c r="A2788" s="3" t="s">
        <v>8265</v>
      </c>
      <c r="B2788" s="110" t="s">
        <v>1323</v>
      </c>
      <c r="C2788" s="111" t="s">
        <v>8262</v>
      </c>
      <c r="D2788" s="111" t="str">
        <f t="shared" ref="D2788:E2788" si="2786">TRIM(B2788)</f>
        <v>Colorado</v>
      </c>
      <c r="E2788" s="111" t="str">
        <f t="shared" si="2786"/>
        <v>Thornton</v>
      </c>
    </row>
    <row r="2789" spans="1:5">
      <c r="A2789" s="110" t="s">
        <v>8266</v>
      </c>
      <c r="B2789" s="110" t="s">
        <v>1323</v>
      </c>
      <c r="C2789" s="111" t="s">
        <v>8262</v>
      </c>
      <c r="D2789" s="111" t="str">
        <f t="shared" ref="D2789:E2789" si="2787">TRIM(B2789)</f>
        <v>Colorado</v>
      </c>
      <c r="E2789" s="111" t="str">
        <f t="shared" si="2787"/>
        <v>Thornton</v>
      </c>
    </row>
    <row r="2790" spans="1:5">
      <c r="A2790" s="3" t="s">
        <v>8268</v>
      </c>
      <c r="B2790" s="110" t="s">
        <v>1323</v>
      </c>
      <c r="C2790" s="111" t="s">
        <v>8262</v>
      </c>
      <c r="D2790" s="111" t="str">
        <f t="shared" ref="D2790:E2790" si="2788">TRIM(B2790)</f>
        <v>Colorado</v>
      </c>
      <c r="E2790" s="111" t="str">
        <f t="shared" si="2788"/>
        <v>Thornton</v>
      </c>
    </row>
    <row r="2791" spans="1:5">
      <c r="A2791" s="3" t="s">
        <v>8270</v>
      </c>
      <c r="B2791" s="110" t="s">
        <v>1323</v>
      </c>
      <c r="C2791" s="111" t="s">
        <v>8271</v>
      </c>
      <c r="D2791" s="111" t="str">
        <f t="shared" ref="D2791:E2791" si="2789">TRIM(B2791)</f>
        <v>Colorado</v>
      </c>
      <c r="E2791" s="111" t="str">
        <f t="shared" si="2789"/>
        <v>Trinidad</v>
      </c>
    </row>
    <row r="2792" spans="1:5">
      <c r="A2792" s="3" t="s">
        <v>8272</v>
      </c>
      <c r="B2792" s="110" t="s">
        <v>1323</v>
      </c>
      <c r="C2792" s="111" t="s">
        <v>8273</v>
      </c>
      <c r="D2792" s="111" t="str">
        <f t="shared" ref="D2792:E2792" si="2790">TRIM(B2792)</f>
        <v>Colorado</v>
      </c>
      <c r="E2792" s="111" t="str">
        <f t="shared" si="2790"/>
        <v>Usaf Academy</v>
      </c>
    </row>
    <row r="2793" spans="1:5">
      <c r="A2793" s="3" t="s">
        <v>8275</v>
      </c>
      <c r="B2793" s="110" t="s">
        <v>1323</v>
      </c>
      <c r="C2793" s="111" t="s">
        <v>8276</v>
      </c>
      <c r="D2793" s="111" t="str">
        <f t="shared" ref="D2793:E2793" si="2791">TRIM(B2793)</f>
        <v>Colorado</v>
      </c>
      <c r="E2793" s="111" t="str">
        <f t="shared" si="2791"/>
        <v>Vilas</v>
      </c>
    </row>
    <row r="2794" spans="1:5">
      <c r="A2794" s="3" t="s">
        <v>8278</v>
      </c>
      <c r="B2794" s="110" t="s">
        <v>1323</v>
      </c>
      <c r="C2794" s="111" t="s">
        <v>8279</v>
      </c>
      <c r="D2794" s="111" t="str">
        <f t="shared" ref="D2794:E2794" si="2792">TRIM(B2794)</f>
        <v>Colorado</v>
      </c>
      <c r="E2794" s="111" t="str">
        <f t="shared" si="2792"/>
        <v>Walsenburg</v>
      </c>
    </row>
    <row r="2795" spans="1:5">
      <c r="A2795" s="3" t="s">
        <v>8280</v>
      </c>
      <c r="B2795" s="110" t="s">
        <v>1323</v>
      </c>
      <c r="C2795" s="111" t="s">
        <v>8281</v>
      </c>
      <c r="D2795" s="111" t="str">
        <f t="shared" ref="D2795:E2795" si="2793">TRIM(B2795)</f>
        <v>Colorado</v>
      </c>
      <c r="E2795" s="111" t="str">
        <f t="shared" si="2793"/>
        <v>Walsh</v>
      </c>
    </row>
    <row r="2796" spans="1:5">
      <c r="A2796" s="3" t="s">
        <v>8283</v>
      </c>
      <c r="B2796" s="110" t="s">
        <v>1323</v>
      </c>
      <c r="C2796" s="111" t="s">
        <v>8285</v>
      </c>
      <c r="D2796" s="111" t="str">
        <f t="shared" ref="D2796:E2796" si="2794">TRIM(B2796)</f>
        <v>Colorado</v>
      </c>
      <c r="E2796" s="111" t="str">
        <f t="shared" si="2794"/>
        <v>Weldona</v>
      </c>
    </row>
    <row r="2797" spans="1:5">
      <c r="A2797" s="3" t="s">
        <v>8286</v>
      </c>
      <c r="B2797" s="110" t="s">
        <v>1323</v>
      </c>
      <c r="C2797" s="111" t="s">
        <v>8287</v>
      </c>
      <c r="D2797" s="111" t="str">
        <f t="shared" ref="D2797:E2797" si="2795">TRIM(B2797)</f>
        <v>Colorado</v>
      </c>
      <c r="E2797" s="111" t="str">
        <f t="shared" si="2795"/>
        <v>Westcliffe</v>
      </c>
    </row>
    <row r="2798" spans="1:5">
      <c r="A2798" s="3" t="s">
        <v>8289</v>
      </c>
      <c r="B2798" s="110" t="s">
        <v>1323</v>
      </c>
      <c r="C2798" s="111" t="s">
        <v>7481</v>
      </c>
      <c r="D2798" s="111" t="str">
        <f t="shared" ref="D2798:E2798" si="2796">TRIM(B2798)</f>
        <v>Colorado</v>
      </c>
      <c r="E2798" s="111" t="str">
        <f t="shared" si="2796"/>
        <v>Westminster</v>
      </c>
    </row>
    <row r="2799" spans="1:5">
      <c r="A2799" s="3" t="s">
        <v>8292</v>
      </c>
      <c r="B2799" s="110" t="s">
        <v>1323</v>
      </c>
      <c r="C2799" s="111" t="s">
        <v>7481</v>
      </c>
      <c r="D2799" s="111" t="str">
        <f t="shared" ref="D2799:E2799" si="2797">TRIM(B2799)</f>
        <v>Colorado</v>
      </c>
      <c r="E2799" s="111" t="str">
        <f t="shared" si="2797"/>
        <v>Westminster</v>
      </c>
    </row>
    <row r="2800" spans="1:5">
      <c r="A2800" s="3" t="s">
        <v>8293</v>
      </c>
      <c r="B2800" s="110" t="s">
        <v>1323</v>
      </c>
      <c r="C2800" s="111" t="s">
        <v>7481</v>
      </c>
      <c r="D2800" s="111" t="str">
        <f t="shared" ref="D2800:E2800" si="2798">TRIM(B2800)</f>
        <v>Colorado</v>
      </c>
      <c r="E2800" s="111" t="str">
        <f t="shared" si="2798"/>
        <v>Westminster</v>
      </c>
    </row>
    <row r="2801" spans="1:5">
      <c r="A2801" s="3" t="s">
        <v>7482</v>
      </c>
      <c r="B2801" s="110" t="s">
        <v>1323</v>
      </c>
      <c r="C2801" s="111" t="s">
        <v>7481</v>
      </c>
      <c r="D2801" s="111" t="str">
        <f t="shared" ref="D2801:E2801" si="2799">TRIM(B2801)</f>
        <v>Colorado</v>
      </c>
      <c r="E2801" s="111" t="str">
        <f t="shared" si="2799"/>
        <v>Westminster</v>
      </c>
    </row>
    <row r="2802" spans="1:5">
      <c r="A2802" s="3" t="s">
        <v>8297</v>
      </c>
      <c r="B2802" s="110" t="s">
        <v>1323</v>
      </c>
      <c r="C2802" s="111" t="s">
        <v>8298</v>
      </c>
      <c r="D2802" s="111" t="str">
        <f t="shared" ref="D2802:E2802" si="2800">TRIM(B2802)</f>
        <v>Colorado</v>
      </c>
      <c r="E2802" s="111" t="str">
        <f t="shared" si="2800"/>
        <v>Weston</v>
      </c>
    </row>
    <row r="2803" spans="1:5">
      <c r="A2803" s="3" t="s">
        <v>8301</v>
      </c>
      <c r="B2803" s="110" t="s">
        <v>1323</v>
      </c>
      <c r="C2803" s="111" t="s">
        <v>8302</v>
      </c>
      <c r="D2803" s="111" t="str">
        <f t="shared" ref="D2803:E2803" si="2801">TRIM(B2803)</f>
        <v>Colorado</v>
      </c>
      <c r="E2803" s="111" t="str">
        <f t="shared" si="2801"/>
        <v>Wheat Ridge</v>
      </c>
    </row>
    <row r="2804" spans="1:5">
      <c r="A2804" s="3" t="s">
        <v>8303</v>
      </c>
      <c r="B2804" s="110" t="s">
        <v>1323</v>
      </c>
      <c r="C2804" s="111" t="s">
        <v>8304</v>
      </c>
      <c r="D2804" s="111" t="str">
        <f t="shared" ref="D2804:E2804" si="2802">TRIM(B2804)</f>
        <v>Colorado</v>
      </c>
      <c r="E2804" s="111" t="str">
        <f t="shared" si="2802"/>
        <v>Wiggins</v>
      </c>
    </row>
    <row r="2805" spans="1:5">
      <c r="A2805" s="3" t="s">
        <v>8306</v>
      </c>
      <c r="B2805" s="110" t="s">
        <v>1323</v>
      </c>
      <c r="C2805" s="111" t="s">
        <v>8307</v>
      </c>
      <c r="D2805" s="111" t="str">
        <f t="shared" ref="D2805:E2805" si="2803">TRIM(B2805)</f>
        <v>Colorado</v>
      </c>
      <c r="E2805" s="111" t="str">
        <f t="shared" si="2803"/>
        <v>Wiley</v>
      </c>
    </row>
    <row r="2806" spans="1:5">
      <c r="A2806" s="3" t="s">
        <v>8309</v>
      </c>
      <c r="B2806" s="110" t="s">
        <v>1323</v>
      </c>
      <c r="C2806" s="111" t="s">
        <v>7524</v>
      </c>
      <c r="D2806" s="111" t="str">
        <f t="shared" ref="D2806:E2806" si="2804">TRIM(B2806)</f>
        <v>Colorado</v>
      </c>
      <c r="E2806" s="111" t="str">
        <f t="shared" si="2804"/>
        <v>Windsor</v>
      </c>
    </row>
    <row r="2807" spans="1:5">
      <c r="A2807" s="3" t="s">
        <v>7523</v>
      </c>
      <c r="B2807" s="110" t="s">
        <v>1323</v>
      </c>
      <c r="C2807" s="111" t="s">
        <v>7524</v>
      </c>
      <c r="D2807" s="111" t="str">
        <f t="shared" ref="D2807:E2807" si="2805">TRIM(B2807)</f>
        <v>Colorado</v>
      </c>
      <c r="E2807" s="111" t="str">
        <f t="shared" si="2805"/>
        <v>Windsor</v>
      </c>
    </row>
    <row r="2808" spans="1:5">
      <c r="A2808" s="3" t="s">
        <v>8312</v>
      </c>
      <c r="B2808" s="110" t="s">
        <v>1323</v>
      </c>
      <c r="C2808" s="111" t="s">
        <v>8313</v>
      </c>
      <c r="D2808" s="111" t="str">
        <f t="shared" ref="D2808:E2808" si="2806">TRIM(B2808)</f>
        <v>Colorado</v>
      </c>
      <c r="E2808" s="111" t="str">
        <f t="shared" si="2806"/>
        <v>Woodland Park</v>
      </c>
    </row>
    <row r="2809" spans="1:5">
      <c r="A2809" s="3" t="s">
        <v>8314</v>
      </c>
      <c r="B2809" s="110" t="s">
        <v>1323</v>
      </c>
      <c r="C2809" s="111" t="s">
        <v>8315</v>
      </c>
      <c r="D2809" s="111" t="str">
        <f t="shared" ref="D2809:E2809" si="2807">TRIM(B2809)</f>
        <v>Colorado</v>
      </c>
      <c r="E2809" s="111" t="str">
        <f t="shared" si="2807"/>
        <v>Woodrow</v>
      </c>
    </row>
    <row r="2810" spans="1:5">
      <c r="A2810" s="3" t="s">
        <v>8318</v>
      </c>
      <c r="B2810" s="110" t="s">
        <v>1323</v>
      </c>
      <c r="C2810" s="111" t="s">
        <v>8320</v>
      </c>
      <c r="D2810" s="111" t="str">
        <f t="shared" ref="D2810:E2810" si="2808">TRIM(B2810)</f>
        <v>Colorado</v>
      </c>
      <c r="E2810" s="111" t="str">
        <f t="shared" si="2808"/>
        <v>Wray</v>
      </c>
    </row>
    <row r="2811" spans="1:5">
      <c r="A2811" s="3" t="s">
        <v>8321</v>
      </c>
      <c r="B2811" s="110" t="s">
        <v>1323</v>
      </c>
      <c r="C2811" s="111" t="s">
        <v>8322</v>
      </c>
      <c r="D2811" s="111" t="str">
        <f t="shared" ref="D2811:E2811" si="2809">TRIM(B2811)</f>
        <v>Colorado</v>
      </c>
      <c r="E2811" s="111" t="str">
        <f t="shared" si="2809"/>
        <v>Yoder</v>
      </c>
    </row>
    <row r="2812" spans="1:5">
      <c r="A2812" s="110" t="s">
        <v>8324</v>
      </c>
      <c r="B2812" s="110" t="s">
        <v>1323</v>
      </c>
      <c r="C2812" s="111" t="s">
        <v>8322</v>
      </c>
      <c r="D2812" s="111" t="str">
        <f t="shared" ref="D2812:E2812" si="2810">TRIM(B2812)</f>
        <v>Colorado</v>
      </c>
      <c r="E2812" s="111" t="str">
        <f t="shared" si="2810"/>
        <v>Yoder</v>
      </c>
    </row>
    <row r="2813" spans="1:5">
      <c r="A2813" s="3" t="s">
        <v>3546</v>
      </c>
      <c r="B2813" s="110" t="s">
        <v>1323</v>
      </c>
      <c r="C2813" s="111" t="s">
        <v>3532</v>
      </c>
      <c r="D2813" s="111" t="str">
        <f t="shared" ref="D2813:E2813" si="2811">TRIM(B2813)</f>
        <v>Colorado</v>
      </c>
      <c r="E2813" s="111" t="str">
        <f t="shared" si="2811"/>
        <v>Yuma</v>
      </c>
    </row>
    <row r="2814" spans="1:5">
      <c r="A2814" s="3" t="s">
        <v>8326</v>
      </c>
      <c r="B2814" s="110" t="s">
        <v>1326</v>
      </c>
      <c r="C2814" s="111" t="s">
        <v>8328</v>
      </c>
      <c r="D2814" s="111" t="str">
        <f t="shared" ref="D2814:E2814" si="2812">TRIM(B2814)</f>
        <v>Connecticut</v>
      </c>
      <c r="E2814" s="111" t="str">
        <f t="shared" si="2812"/>
        <v>Ansonia</v>
      </c>
    </row>
    <row r="2815" spans="1:5">
      <c r="A2815" s="3" t="s">
        <v>8330</v>
      </c>
      <c r="B2815" s="110" t="s">
        <v>1326</v>
      </c>
      <c r="C2815" s="111" t="s">
        <v>8331</v>
      </c>
      <c r="D2815" s="111" t="str">
        <f t="shared" ref="D2815:E2815" si="2813">TRIM(B2815)</f>
        <v>Connecticut</v>
      </c>
      <c r="E2815" s="111" t="str">
        <f t="shared" si="2813"/>
        <v>Avon</v>
      </c>
    </row>
    <row r="2816" spans="1:5">
      <c r="A2816" s="3" t="s">
        <v>8332</v>
      </c>
      <c r="B2816" s="110" t="s">
        <v>1326</v>
      </c>
      <c r="C2816" s="111" t="s">
        <v>8333</v>
      </c>
      <c r="D2816" s="111" t="str">
        <f t="shared" ref="D2816:E2816" si="2814">TRIM(B2816)</f>
        <v>Connecticut</v>
      </c>
      <c r="E2816" s="111" t="str">
        <f t="shared" si="2814"/>
        <v>Beacon Falls</v>
      </c>
    </row>
    <row r="2817" spans="1:5">
      <c r="A2817" s="3" t="s">
        <v>8337</v>
      </c>
      <c r="B2817" s="110" t="s">
        <v>1326</v>
      </c>
      <c r="C2817" s="111" t="s">
        <v>8338</v>
      </c>
      <c r="D2817" s="111" t="str">
        <f t="shared" ref="D2817:E2817" si="2815">TRIM(B2817)</f>
        <v>Connecticut</v>
      </c>
      <c r="E2817" s="111" t="str">
        <f t="shared" si="2815"/>
        <v>Berlin</v>
      </c>
    </row>
    <row r="2818" spans="1:5">
      <c r="A2818" s="3" t="s">
        <v>8339</v>
      </c>
      <c r="B2818" s="110" t="s">
        <v>1326</v>
      </c>
      <c r="C2818" s="112" t="s">
        <v>2309</v>
      </c>
      <c r="D2818" s="111" t="str">
        <f t="shared" ref="D2818:E2818" si="2816">TRIM(B2818)</f>
        <v>Connecticut</v>
      </c>
      <c r="E2818" s="111" t="str">
        <f t="shared" si="2816"/>
        <v>Bethel</v>
      </c>
    </row>
    <row r="2819" spans="1:5">
      <c r="A2819" s="3" t="s">
        <v>8342</v>
      </c>
      <c r="B2819" s="110" t="s">
        <v>1326</v>
      </c>
      <c r="C2819" s="111" t="s">
        <v>8344</v>
      </c>
      <c r="D2819" s="111" t="str">
        <f t="shared" ref="D2819:E2819" si="2817">TRIM(B2819)</f>
        <v>Connecticut</v>
      </c>
      <c r="E2819" s="111" t="str">
        <f t="shared" si="2817"/>
        <v>Bloomfield</v>
      </c>
    </row>
    <row r="2820" spans="1:5">
      <c r="A2820" s="110" t="s">
        <v>8345</v>
      </c>
      <c r="B2820" s="110" t="s">
        <v>1326</v>
      </c>
      <c r="C2820" s="111" t="s">
        <v>8344</v>
      </c>
      <c r="D2820" s="111" t="str">
        <f t="shared" ref="D2820:E2820" si="2818">TRIM(B2820)</f>
        <v>Connecticut</v>
      </c>
      <c r="E2820" s="111" t="str">
        <f t="shared" si="2818"/>
        <v>Bloomfield</v>
      </c>
    </row>
    <row r="2821" spans="1:5">
      <c r="A2821" s="110" t="s">
        <v>8348</v>
      </c>
      <c r="B2821" s="110" t="s">
        <v>1326</v>
      </c>
      <c r="C2821" s="111" t="s">
        <v>8344</v>
      </c>
      <c r="D2821" s="111" t="str">
        <f t="shared" ref="D2821:E2821" si="2819">TRIM(B2821)</f>
        <v>Connecticut</v>
      </c>
      <c r="E2821" s="111" t="str">
        <f t="shared" si="2819"/>
        <v>Bloomfield</v>
      </c>
    </row>
    <row r="2822" spans="1:5">
      <c r="A2822" s="3" t="s">
        <v>8349</v>
      </c>
      <c r="B2822" s="110" t="s">
        <v>1326</v>
      </c>
      <c r="C2822" s="111" t="s">
        <v>8350</v>
      </c>
      <c r="D2822" s="111" t="str">
        <f t="shared" ref="D2822:E2822" si="2820">TRIM(B2822)</f>
        <v>Connecticut</v>
      </c>
      <c r="E2822" s="111" t="str">
        <f t="shared" si="2820"/>
        <v>Bolton</v>
      </c>
    </row>
    <row r="2823" spans="1:5">
      <c r="A2823" s="3" t="s">
        <v>8352</v>
      </c>
      <c r="B2823" s="110" t="s">
        <v>1326</v>
      </c>
      <c r="C2823" s="111" t="s">
        <v>8353</v>
      </c>
      <c r="D2823" s="111" t="str">
        <f t="shared" ref="D2823:E2823" si="2821">TRIM(B2823)</f>
        <v>Connecticut</v>
      </c>
      <c r="E2823" s="111" t="str">
        <f t="shared" si="2821"/>
        <v>Branford</v>
      </c>
    </row>
    <row r="2824" spans="1:5">
      <c r="A2824" s="3" t="s">
        <v>8355</v>
      </c>
      <c r="B2824" s="110" t="s">
        <v>1326</v>
      </c>
      <c r="C2824" s="111" t="s">
        <v>3478</v>
      </c>
      <c r="D2824" s="111" t="str">
        <f t="shared" ref="D2824:E2824" si="2822">TRIM(B2824)</f>
        <v>Connecticut</v>
      </c>
      <c r="E2824" s="111" t="str">
        <f t="shared" si="2822"/>
        <v>Bridgeport</v>
      </c>
    </row>
    <row r="2825" spans="1:5">
      <c r="A2825" s="3" t="s">
        <v>8357</v>
      </c>
      <c r="B2825" s="110" t="s">
        <v>1326</v>
      </c>
      <c r="C2825" s="111" t="s">
        <v>3478</v>
      </c>
      <c r="D2825" s="111" t="str">
        <f t="shared" ref="D2825:E2825" si="2823">TRIM(B2825)</f>
        <v>Connecticut</v>
      </c>
      <c r="E2825" s="111" t="str">
        <f t="shared" si="2823"/>
        <v>Bridgeport</v>
      </c>
    </row>
    <row r="2826" spans="1:5">
      <c r="A2826" s="3" t="s">
        <v>8360</v>
      </c>
      <c r="B2826" s="110" t="s">
        <v>1326</v>
      </c>
      <c r="C2826" s="111" t="s">
        <v>3478</v>
      </c>
      <c r="D2826" s="111" t="str">
        <f t="shared" ref="D2826:E2826" si="2824">TRIM(B2826)</f>
        <v>Connecticut</v>
      </c>
      <c r="E2826" s="111" t="str">
        <f t="shared" si="2824"/>
        <v>Bridgeport</v>
      </c>
    </row>
    <row r="2827" spans="1:5">
      <c r="A2827" s="3" t="s">
        <v>8361</v>
      </c>
      <c r="B2827" s="110" t="s">
        <v>1326</v>
      </c>
      <c r="C2827" s="111" t="s">
        <v>3478</v>
      </c>
      <c r="D2827" s="111" t="str">
        <f t="shared" ref="D2827:E2827" si="2825">TRIM(B2827)</f>
        <v>Connecticut</v>
      </c>
      <c r="E2827" s="111" t="str">
        <f t="shared" si="2825"/>
        <v>Bridgeport</v>
      </c>
    </row>
    <row r="2828" spans="1:5">
      <c r="A2828" s="3" t="s">
        <v>1843</v>
      </c>
      <c r="B2828" s="110" t="s">
        <v>1326</v>
      </c>
      <c r="C2828" s="111" t="s">
        <v>3478</v>
      </c>
      <c r="D2828" s="111" t="str">
        <f t="shared" ref="D2828:E2828" si="2826">TRIM(B2828)</f>
        <v>Connecticut</v>
      </c>
      <c r="E2828" s="111" t="str">
        <f t="shared" si="2826"/>
        <v>Bridgeport</v>
      </c>
    </row>
    <row r="2829" spans="1:5">
      <c r="A2829" s="3" t="s">
        <v>8364</v>
      </c>
      <c r="B2829" s="110" t="s">
        <v>1326</v>
      </c>
      <c r="C2829" s="111" t="s">
        <v>3478</v>
      </c>
      <c r="D2829" s="111" t="str">
        <f t="shared" ref="D2829:E2829" si="2827">TRIM(B2829)</f>
        <v>Connecticut</v>
      </c>
      <c r="E2829" s="111" t="str">
        <f t="shared" si="2827"/>
        <v>Bridgeport</v>
      </c>
    </row>
    <row r="2830" spans="1:5">
      <c r="A2830" s="3" t="s">
        <v>8366</v>
      </c>
      <c r="B2830" s="110" t="s">
        <v>1326</v>
      </c>
      <c r="C2830" s="111" t="s">
        <v>3478</v>
      </c>
      <c r="D2830" s="111" t="str">
        <f t="shared" ref="D2830:E2830" si="2828">TRIM(B2830)</f>
        <v>Connecticut</v>
      </c>
      <c r="E2830" s="111" t="str">
        <f t="shared" si="2828"/>
        <v>Bridgeport</v>
      </c>
    </row>
    <row r="2831" spans="1:5">
      <c r="A2831" s="3" t="s">
        <v>8369</v>
      </c>
      <c r="B2831" s="110" t="s">
        <v>1326</v>
      </c>
      <c r="C2831" s="111" t="s">
        <v>3478</v>
      </c>
      <c r="D2831" s="111" t="str">
        <f t="shared" ref="D2831:E2831" si="2829">TRIM(B2831)</f>
        <v>Connecticut</v>
      </c>
      <c r="E2831" s="111" t="str">
        <f t="shared" si="2829"/>
        <v>Bridgeport</v>
      </c>
    </row>
    <row r="2832" spans="1:5">
      <c r="A2832" s="3" t="s">
        <v>8372</v>
      </c>
      <c r="B2832" s="110" t="s">
        <v>1326</v>
      </c>
      <c r="C2832" s="111" t="s">
        <v>561</v>
      </c>
      <c r="D2832" s="111" t="str">
        <f t="shared" ref="D2832:E2832" si="2830">TRIM(B2832)</f>
        <v>Connecticut</v>
      </c>
      <c r="E2832" s="111" t="str">
        <f t="shared" si="2830"/>
        <v>Bristol</v>
      </c>
    </row>
    <row r="2833" spans="1:5">
      <c r="A2833" s="3" t="s">
        <v>8374</v>
      </c>
      <c r="B2833" s="110" t="s">
        <v>1326</v>
      </c>
      <c r="C2833" s="111" t="s">
        <v>561</v>
      </c>
      <c r="D2833" s="111" t="str">
        <f t="shared" ref="D2833:E2833" si="2831">TRIM(B2833)</f>
        <v>Connecticut</v>
      </c>
      <c r="E2833" s="111" t="str">
        <f t="shared" si="2831"/>
        <v>Bristol</v>
      </c>
    </row>
    <row r="2834" spans="1:5">
      <c r="A2834" s="3" t="s">
        <v>8375</v>
      </c>
      <c r="B2834" s="110" t="s">
        <v>1326</v>
      </c>
      <c r="C2834" s="111" t="s">
        <v>430</v>
      </c>
      <c r="D2834" s="111" t="str">
        <f t="shared" ref="D2834:E2834" si="2832">TRIM(B2834)</f>
        <v>Connecticut</v>
      </c>
      <c r="E2834" s="111" t="str">
        <f t="shared" si="2832"/>
        <v>Brookfield</v>
      </c>
    </row>
    <row r="2835" spans="1:5">
      <c r="A2835" s="3" t="s">
        <v>8377</v>
      </c>
      <c r="B2835" s="110" t="s">
        <v>1326</v>
      </c>
      <c r="C2835" s="111" t="s">
        <v>7667</v>
      </c>
      <c r="D2835" s="111" t="str">
        <f t="shared" ref="D2835:E2835" si="2833">TRIM(B2835)</f>
        <v>Connecticut</v>
      </c>
      <c r="E2835" s="111" t="str">
        <f t="shared" si="2833"/>
        <v>Burlington</v>
      </c>
    </row>
    <row r="2836" spans="1:5">
      <c r="A2836" s="3" t="s">
        <v>8378</v>
      </c>
      <c r="B2836" s="110" t="s">
        <v>1326</v>
      </c>
      <c r="C2836" s="111" t="s">
        <v>1205</v>
      </c>
      <c r="D2836" s="111" t="str">
        <f t="shared" ref="D2836:E2836" si="2834">TRIM(B2836)</f>
        <v>Connecticut</v>
      </c>
      <c r="E2836" s="111" t="str">
        <f t="shared" si="2834"/>
        <v>Canton</v>
      </c>
    </row>
    <row r="2837" spans="1:5">
      <c r="A2837" s="3" t="s">
        <v>8382</v>
      </c>
      <c r="B2837" s="110" t="s">
        <v>1326</v>
      </c>
      <c r="C2837" s="111" t="s">
        <v>8383</v>
      </c>
      <c r="D2837" s="111" t="str">
        <f t="shared" ref="D2837:E2837" si="2835">TRIM(B2837)</f>
        <v>Connecticut</v>
      </c>
      <c r="E2837" s="111" t="str">
        <f t="shared" si="2835"/>
        <v>Central Village</v>
      </c>
    </row>
    <row r="2838" spans="1:5">
      <c r="A2838" s="3" t="s">
        <v>8385</v>
      </c>
      <c r="B2838" s="110" t="s">
        <v>1326</v>
      </c>
      <c r="C2838" s="111" t="s">
        <v>8386</v>
      </c>
      <c r="D2838" s="111" t="str">
        <f t="shared" ref="D2838:E2838" si="2836">TRIM(B2838)</f>
        <v>Connecticut</v>
      </c>
      <c r="E2838" s="111" t="str">
        <f t="shared" si="2836"/>
        <v>Chaplin</v>
      </c>
    </row>
    <row r="2839" spans="1:5">
      <c r="A2839" s="3" t="s">
        <v>8388</v>
      </c>
      <c r="B2839" s="110" t="s">
        <v>1326</v>
      </c>
      <c r="C2839" s="111" t="s">
        <v>8389</v>
      </c>
      <c r="D2839" s="111" t="str">
        <f t="shared" ref="D2839:E2839" si="2837">TRIM(B2839)</f>
        <v>Connecticut</v>
      </c>
      <c r="E2839" s="111" t="str">
        <f t="shared" si="2837"/>
        <v>Cheshire</v>
      </c>
    </row>
    <row r="2840" spans="1:5">
      <c r="A2840" s="110" t="s">
        <v>8391</v>
      </c>
      <c r="B2840" s="110" t="s">
        <v>1326</v>
      </c>
      <c r="C2840" s="111" t="s">
        <v>3697</v>
      </c>
      <c r="D2840" s="111" t="str">
        <f t="shared" ref="D2840:E2840" si="2838">TRIM(B2840)</f>
        <v>Connecticut</v>
      </c>
      <c r="E2840" s="111" t="str">
        <f t="shared" si="2838"/>
        <v>Clinton</v>
      </c>
    </row>
    <row r="2841" spans="1:5">
      <c r="A2841" s="3" t="s">
        <v>8392</v>
      </c>
      <c r="B2841" s="110" t="s">
        <v>1326</v>
      </c>
      <c r="C2841" s="111" t="s">
        <v>8393</v>
      </c>
      <c r="D2841" s="111" t="str">
        <f t="shared" ref="D2841:E2841" si="2839">TRIM(B2841)</f>
        <v>Connecticut</v>
      </c>
      <c r="E2841" s="111" t="str">
        <f t="shared" si="2839"/>
        <v>Colchester</v>
      </c>
    </row>
    <row r="2842" spans="1:5">
      <c r="A2842" s="3" t="s">
        <v>8396</v>
      </c>
      <c r="B2842" s="110" t="s">
        <v>1326</v>
      </c>
      <c r="C2842" s="111" t="s">
        <v>8397</v>
      </c>
      <c r="D2842" s="111" t="str">
        <f t="shared" ref="D2842:E2842" si="2840">TRIM(B2842)</f>
        <v>Connecticut</v>
      </c>
      <c r="E2842" s="111" t="str">
        <f t="shared" si="2840"/>
        <v>Coventry</v>
      </c>
    </row>
    <row r="2843" spans="1:5">
      <c r="A2843" s="3" t="s">
        <v>8398</v>
      </c>
      <c r="B2843" s="110" t="s">
        <v>1326</v>
      </c>
      <c r="C2843" s="111" t="s">
        <v>8399</v>
      </c>
      <c r="D2843" s="111" t="str">
        <f t="shared" ref="D2843:E2843" si="2841">TRIM(B2843)</f>
        <v>Connecticut</v>
      </c>
      <c r="E2843" s="111" t="str">
        <f t="shared" si="2841"/>
        <v>Cromwell</v>
      </c>
    </row>
    <row r="2844" spans="1:5">
      <c r="A2844" s="3" t="s">
        <v>8403</v>
      </c>
      <c r="B2844" s="110" t="s">
        <v>1326</v>
      </c>
      <c r="C2844" s="111" t="s">
        <v>8404</v>
      </c>
      <c r="D2844" s="111" t="str">
        <f t="shared" ref="D2844:E2844" si="2842">TRIM(B2844)</f>
        <v>Connecticut</v>
      </c>
      <c r="E2844" s="111" t="str">
        <f t="shared" si="2842"/>
        <v>Danbury</v>
      </c>
    </row>
    <row r="2845" spans="1:5">
      <c r="A2845" s="110" t="s">
        <v>8405</v>
      </c>
      <c r="B2845" s="110" t="s">
        <v>1326</v>
      </c>
      <c r="C2845" s="111" t="s">
        <v>8406</v>
      </c>
      <c r="D2845" s="111" t="str">
        <f t="shared" ref="D2845:E2845" si="2843">TRIM(B2845)</f>
        <v>Connecticut</v>
      </c>
      <c r="E2845" s="111" t="str">
        <f t="shared" si="2843"/>
        <v>Danielson</v>
      </c>
    </row>
    <row r="2846" spans="1:5">
      <c r="A2846" s="3" t="s">
        <v>8409</v>
      </c>
      <c r="B2846" s="110" t="s">
        <v>1326</v>
      </c>
      <c r="C2846" s="111" t="s">
        <v>8410</v>
      </c>
      <c r="D2846" s="111" t="str">
        <f t="shared" ref="D2846:E2846" si="2844">TRIM(B2846)</f>
        <v>Connecticut</v>
      </c>
      <c r="E2846" s="111" t="str">
        <f t="shared" si="2844"/>
        <v>Darien</v>
      </c>
    </row>
    <row r="2847" spans="1:5">
      <c r="A2847" s="3" t="s">
        <v>8412</v>
      </c>
      <c r="B2847" s="110" t="s">
        <v>1326</v>
      </c>
      <c r="C2847" s="111" t="s">
        <v>8413</v>
      </c>
      <c r="D2847" s="111" t="str">
        <f t="shared" ref="D2847:E2847" si="2845">TRIM(B2847)</f>
        <v>Connecticut</v>
      </c>
      <c r="E2847" s="111" t="str">
        <f t="shared" si="2845"/>
        <v>Dayville</v>
      </c>
    </row>
    <row r="2848" spans="1:5">
      <c r="A2848" s="3" t="s">
        <v>8414</v>
      </c>
      <c r="B2848" s="110" t="s">
        <v>1326</v>
      </c>
      <c r="C2848" s="111" t="s">
        <v>8416</v>
      </c>
      <c r="D2848" s="111" t="str">
        <f t="shared" ref="D2848:E2848" si="2846">TRIM(B2848)</f>
        <v>Connecticut</v>
      </c>
      <c r="E2848" s="111" t="str">
        <f t="shared" si="2846"/>
        <v>Deep River</v>
      </c>
    </row>
    <row r="2849" spans="1:5">
      <c r="A2849" s="3" t="s">
        <v>8419</v>
      </c>
      <c r="B2849" s="110" t="s">
        <v>1326</v>
      </c>
      <c r="C2849" s="111" t="s">
        <v>8420</v>
      </c>
      <c r="D2849" s="111" t="str">
        <f t="shared" ref="D2849:E2849" si="2847">TRIM(B2849)</f>
        <v>Connecticut</v>
      </c>
      <c r="E2849" s="111" t="str">
        <f t="shared" si="2847"/>
        <v>Derby</v>
      </c>
    </row>
    <row r="2850" spans="1:5">
      <c r="A2850" s="3" t="s">
        <v>8421</v>
      </c>
      <c r="B2850" s="110" t="s">
        <v>1326</v>
      </c>
      <c r="C2850" s="111" t="s">
        <v>4872</v>
      </c>
      <c r="D2850" s="111" t="str">
        <f t="shared" ref="D2850:E2850" si="2848">TRIM(B2850)</f>
        <v>Connecticut</v>
      </c>
      <c r="E2850" s="111" t="str">
        <f t="shared" si="2848"/>
        <v>Durham</v>
      </c>
    </row>
    <row r="2851" spans="1:5">
      <c r="A2851" s="3" t="s">
        <v>8423</v>
      </c>
      <c r="B2851" s="110" t="s">
        <v>1326</v>
      </c>
      <c r="C2851" s="111" t="s">
        <v>8425</v>
      </c>
      <c r="D2851" s="111" t="str">
        <f t="shared" ref="D2851:E2851" si="2849">TRIM(B2851)</f>
        <v>Connecticut</v>
      </c>
      <c r="E2851" s="111" t="str">
        <f t="shared" si="2849"/>
        <v>East Granby</v>
      </c>
    </row>
    <row r="2852" spans="1:5">
      <c r="A2852" s="3" t="s">
        <v>8426</v>
      </c>
      <c r="B2852" s="110" t="s">
        <v>1326</v>
      </c>
      <c r="C2852" s="111" t="s">
        <v>8427</v>
      </c>
      <c r="D2852" s="111" t="str">
        <f t="shared" ref="D2852:E2852" si="2850">TRIM(B2852)</f>
        <v>Connecticut</v>
      </c>
      <c r="E2852" s="111" t="str">
        <f t="shared" si="2850"/>
        <v>East Hampton</v>
      </c>
    </row>
    <row r="2853" spans="1:5">
      <c r="A2853" s="3" t="s">
        <v>8432</v>
      </c>
      <c r="B2853" s="110" t="s">
        <v>1326</v>
      </c>
      <c r="C2853" s="111" t="s">
        <v>8433</v>
      </c>
      <c r="D2853" s="111" t="str">
        <f t="shared" ref="D2853:E2853" si="2851">TRIM(B2853)</f>
        <v>Connecticut</v>
      </c>
      <c r="E2853" s="111" t="str">
        <f t="shared" si="2851"/>
        <v>East Hartford</v>
      </c>
    </row>
    <row r="2854" spans="1:5">
      <c r="A2854" s="3" t="s">
        <v>8434</v>
      </c>
      <c r="B2854" s="110" t="s">
        <v>1326</v>
      </c>
      <c r="C2854" s="111" t="s">
        <v>8433</v>
      </c>
      <c r="D2854" s="111" t="str">
        <f t="shared" ref="D2854:E2854" si="2852">TRIM(B2854)</f>
        <v>Connecticut</v>
      </c>
      <c r="E2854" s="111" t="str">
        <f t="shared" si="2852"/>
        <v>East Hartford</v>
      </c>
    </row>
    <row r="2855" spans="1:5">
      <c r="A2855" s="3" t="s">
        <v>8438</v>
      </c>
      <c r="B2855" s="110" t="s">
        <v>1326</v>
      </c>
      <c r="C2855" s="111" t="s">
        <v>8433</v>
      </c>
      <c r="D2855" s="111" t="str">
        <f t="shared" ref="D2855:E2855" si="2853">TRIM(B2855)</f>
        <v>Connecticut</v>
      </c>
      <c r="E2855" s="111" t="str">
        <f t="shared" si="2853"/>
        <v>East Hartford</v>
      </c>
    </row>
    <row r="2856" spans="1:5">
      <c r="A2856" s="3" t="s">
        <v>8439</v>
      </c>
      <c r="B2856" s="110" t="s">
        <v>1326</v>
      </c>
      <c r="C2856" s="111" t="s">
        <v>8433</v>
      </c>
      <c r="D2856" s="111" t="str">
        <f t="shared" ref="D2856:E2856" si="2854">TRIM(B2856)</f>
        <v>Connecticut</v>
      </c>
      <c r="E2856" s="111" t="str">
        <f t="shared" si="2854"/>
        <v>East Hartford</v>
      </c>
    </row>
    <row r="2857" spans="1:5">
      <c r="A2857" s="3" t="s">
        <v>8441</v>
      </c>
      <c r="B2857" s="110" t="s">
        <v>1326</v>
      </c>
      <c r="C2857" s="111" t="s">
        <v>8442</v>
      </c>
      <c r="D2857" s="111" t="str">
        <f t="shared" ref="D2857:E2857" si="2855">TRIM(B2857)</f>
        <v>Connecticut</v>
      </c>
      <c r="E2857" s="111" t="str">
        <f t="shared" si="2855"/>
        <v>East Haven</v>
      </c>
    </row>
    <row r="2858" spans="1:5">
      <c r="A2858" s="3" t="s">
        <v>8444</v>
      </c>
      <c r="B2858" s="110" t="s">
        <v>1326</v>
      </c>
      <c r="C2858" s="111" t="s">
        <v>8445</v>
      </c>
      <c r="D2858" s="111" t="str">
        <f t="shared" ref="D2858:E2858" si="2856">TRIM(B2858)</f>
        <v>Connecticut</v>
      </c>
      <c r="E2858" s="111" t="str">
        <f t="shared" si="2856"/>
        <v>East Lyme</v>
      </c>
    </row>
    <row r="2859" spans="1:5">
      <c r="A2859" s="3" t="s">
        <v>8446</v>
      </c>
      <c r="B2859" s="110" t="s">
        <v>1326</v>
      </c>
      <c r="C2859" s="111" t="s">
        <v>8448</v>
      </c>
      <c r="D2859" s="111" t="str">
        <f t="shared" ref="D2859:E2859" si="2857">TRIM(B2859)</f>
        <v>Connecticut</v>
      </c>
      <c r="E2859" s="111" t="str">
        <f t="shared" si="2857"/>
        <v>East Windsor</v>
      </c>
    </row>
    <row r="2860" spans="1:5">
      <c r="A2860" s="3" t="s">
        <v>8451</v>
      </c>
      <c r="B2860" s="110" t="s">
        <v>1326</v>
      </c>
      <c r="C2860" s="111" t="s">
        <v>8452</v>
      </c>
      <c r="D2860" s="111" t="str">
        <f t="shared" ref="D2860:E2860" si="2858">TRIM(B2860)</f>
        <v>Connecticut</v>
      </c>
      <c r="E2860" s="111" t="str">
        <f t="shared" si="2858"/>
        <v>Ellington</v>
      </c>
    </row>
    <row r="2861" spans="1:5">
      <c r="A2861" s="3" t="s">
        <v>8453</v>
      </c>
      <c r="B2861" s="110" t="s">
        <v>1326</v>
      </c>
      <c r="C2861" s="111" t="s">
        <v>8454</v>
      </c>
      <c r="D2861" s="111" t="str">
        <f t="shared" ref="D2861:E2861" si="2859">TRIM(B2861)</f>
        <v>Connecticut</v>
      </c>
      <c r="E2861" s="111" t="str">
        <f t="shared" si="2859"/>
        <v>Enfield</v>
      </c>
    </row>
    <row r="2862" spans="1:5">
      <c r="A2862" s="3" t="s">
        <v>8457</v>
      </c>
      <c r="B2862" s="110" t="s">
        <v>1326</v>
      </c>
      <c r="C2862" s="111" t="s">
        <v>8454</v>
      </c>
      <c r="D2862" s="111" t="str">
        <f t="shared" ref="D2862:E2862" si="2860">TRIM(B2862)</f>
        <v>Connecticut</v>
      </c>
      <c r="E2862" s="111" t="str">
        <f t="shared" si="2860"/>
        <v>Enfield</v>
      </c>
    </row>
    <row r="2863" spans="1:5">
      <c r="A2863" s="3" t="s">
        <v>8459</v>
      </c>
      <c r="B2863" s="110" t="s">
        <v>1326</v>
      </c>
      <c r="C2863" s="111" t="s">
        <v>303</v>
      </c>
      <c r="D2863" s="111" t="str">
        <f t="shared" ref="D2863:E2863" si="2861">TRIM(B2863)</f>
        <v>Connecticut</v>
      </c>
      <c r="E2863" s="111" t="str">
        <f t="shared" si="2861"/>
        <v>Fairfield</v>
      </c>
    </row>
    <row r="2864" spans="1:5">
      <c r="A2864" s="3" t="s">
        <v>8461</v>
      </c>
      <c r="B2864" s="110" t="s">
        <v>1326</v>
      </c>
      <c r="C2864" s="111" t="s">
        <v>303</v>
      </c>
      <c r="D2864" s="111" t="str">
        <f t="shared" ref="D2864:E2864" si="2862">TRIM(B2864)</f>
        <v>Connecticut</v>
      </c>
      <c r="E2864" s="111" t="str">
        <f t="shared" si="2862"/>
        <v>Fairfield</v>
      </c>
    </row>
    <row r="2865" spans="1:5">
      <c r="A2865" s="3" t="s">
        <v>8464</v>
      </c>
      <c r="B2865" s="110" t="s">
        <v>1326</v>
      </c>
      <c r="C2865" s="111" t="s">
        <v>8465</v>
      </c>
      <c r="D2865" s="111" t="str">
        <f t="shared" ref="D2865:E2865" si="2863">TRIM(B2865)</f>
        <v>Connecticut</v>
      </c>
      <c r="E2865" s="111" t="str">
        <f t="shared" si="2863"/>
        <v>Falls Village</v>
      </c>
    </row>
    <row r="2866" spans="1:5">
      <c r="A2866" s="3" t="s">
        <v>8466</v>
      </c>
      <c r="B2866" s="110" t="s">
        <v>1326</v>
      </c>
      <c r="C2866" s="111" t="s">
        <v>3773</v>
      </c>
      <c r="D2866" s="111" t="str">
        <f t="shared" ref="D2866:E2866" si="2864">TRIM(B2866)</f>
        <v>Connecticut</v>
      </c>
      <c r="E2866" s="111" t="str">
        <f t="shared" si="2864"/>
        <v>Farmington</v>
      </c>
    </row>
    <row r="2867" spans="1:5">
      <c r="A2867" s="3" t="s">
        <v>8469</v>
      </c>
      <c r="B2867" s="110" t="s">
        <v>1326</v>
      </c>
      <c r="C2867" s="111" t="s">
        <v>8470</v>
      </c>
      <c r="D2867" s="111" t="str">
        <f t="shared" ref="D2867:E2867" si="2865">TRIM(B2867)</f>
        <v>Connecticut</v>
      </c>
      <c r="E2867" s="111" t="str">
        <f t="shared" si="2865"/>
        <v>Glastonbury</v>
      </c>
    </row>
    <row r="2868" spans="1:5">
      <c r="A2868" s="3" t="s">
        <v>8472</v>
      </c>
      <c r="B2868" s="110" t="s">
        <v>1326</v>
      </c>
      <c r="C2868" s="111" t="s">
        <v>7939</v>
      </c>
      <c r="D2868" s="111" t="str">
        <f t="shared" ref="D2868:E2868" si="2866">TRIM(B2868)</f>
        <v>Connecticut</v>
      </c>
      <c r="E2868" s="111" t="str">
        <f t="shared" si="2866"/>
        <v>Granby</v>
      </c>
    </row>
    <row r="2869" spans="1:5">
      <c r="A2869" s="3" t="s">
        <v>8474</v>
      </c>
      <c r="B2869" s="110" t="s">
        <v>1326</v>
      </c>
      <c r="C2869" s="111" t="s">
        <v>8476</v>
      </c>
      <c r="D2869" s="111" t="str">
        <f t="shared" ref="D2869:E2869" si="2867">TRIM(B2869)</f>
        <v>Connecticut</v>
      </c>
      <c r="E2869" s="111" t="str">
        <f t="shared" si="2867"/>
        <v>Greenwich</v>
      </c>
    </row>
    <row r="2870" spans="1:5">
      <c r="A2870" s="3" t="s">
        <v>8478</v>
      </c>
      <c r="B2870" s="110" t="s">
        <v>1326</v>
      </c>
      <c r="C2870" s="111" t="s">
        <v>8479</v>
      </c>
      <c r="D2870" s="111" t="str">
        <f t="shared" ref="D2870:E2870" si="2868">TRIM(B2870)</f>
        <v>Connecticut</v>
      </c>
      <c r="E2870" s="111" t="str">
        <f t="shared" si="2868"/>
        <v>Griswold</v>
      </c>
    </row>
    <row r="2871" spans="1:5">
      <c r="A2871" s="3" t="s">
        <v>8480</v>
      </c>
      <c r="B2871" s="110" t="s">
        <v>1326</v>
      </c>
      <c r="C2871" s="111" t="s">
        <v>8481</v>
      </c>
      <c r="D2871" s="111" t="str">
        <f t="shared" ref="D2871:E2871" si="2869">TRIM(B2871)</f>
        <v>Connecticut</v>
      </c>
      <c r="E2871" s="111" t="str">
        <f t="shared" si="2869"/>
        <v>Groton</v>
      </c>
    </row>
    <row r="2872" spans="1:5">
      <c r="A2872" s="3" t="s">
        <v>8485</v>
      </c>
      <c r="B2872" s="110" t="s">
        <v>1326</v>
      </c>
      <c r="C2872" s="111" t="s">
        <v>8481</v>
      </c>
      <c r="D2872" s="111" t="str">
        <f t="shared" ref="D2872:E2872" si="2870">TRIM(B2872)</f>
        <v>Connecticut</v>
      </c>
      <c r="E2872" s="111" t="str">
        <f t="shared" si="2870"/>
        <v>Groton</v>
      </c>
    </row>
    <row r="2873" spans="1:5">
      <c r="A2873" s="3" t="s">
        <v>8486</v>
      </c>
      <c r="B2873" s="110" t="s">
        <v>1326</v>
      </c>
      <c r="C2873" s="111" t="s">
        <v>8487</v>
      </c>
      <c r="D2873" s="111" t="str">
        <f t="shared" ref="D2873:E2873" si="2871">TRIM(B2873)</f>
        <v>Connecticut</v>
      </c>
      <c r="E2873" s="111" t="str">
        <f t="shared" si="2871"/>
        <v>Guilford</v>
      </c>
    </row>
    <row r="2874" spans="1:5">
      <c r="A2874" s="3" t="s">
        <v>8489</v>
      </c>
      <c r="B2874" s="110" t="s">
        <v>1326</v>
      </c>
      <c r="C2874" s="112" t="s">
        <v>8491</v>
      </c>
      <c r="D2874" s="111" t="str">
        <f t="shared" ref="D2874:E2874" si="2872">TRIM(B2874)</f>
        <v>Connecticut</v>
      </c>
      <c r="E2874" s="111" t="str">
        <f t="shared" si="2872"/>
        <v>Hamden</v>
      </c>
    </row>
    <row r="2875" spans="1:5">
      <c r="A2875" s="3" t="s">
        <v>8492</v>
      </c>
      <c r="B2875" s="110" t="s">
        <v>1326</v>
      </c>
      <c r="C2875" s="111" t="s">
        <v>1832</v>
      </c>
      <c r="D2875" s="111" t="str">
        <f t="shared" ref="D2875:E2875" si="2873">TRIM(B2875)</f>
        <v>Connecticut</v>
      </c>
      <c r="E2875" s="111" t="str">
        <f t="shared" si="2873"/>
        <v>Hartford</v>
      </c>
    </row>
    <row r="2876" spans="1:5">
      <c r="A2876" s="3" t="s">
        <v>8494</v>
      </c>
      <c r="B2876" s="110" t="s">
        <v>1326</v>
      </c>
      <c r="C2876" s="111" t="s">
        <v>1832</v>
      </c>
      <c r="D2876" s="111" t="str">
        <f t="shared" ref="D2876:E2876" si="2874">TRIM(B2876)</f>
        <v>Connecticut</v>
      </c>
      <c r="E2876" s="111" t="str">
        <f t="shared" si="2874"/>
        <v>Hartford</v>
      </c>
    </row>
    <row r="2877" spans="1:5">
      <c r="A2877" s="110" t="s">
        <v>8497</v>
      </c>
      <c r="B2877" s="110" t="s">
        <v>1326</v>
      </c>
      <c r="C2877" s="111" t="s">
        <v>1832</v>
      </c>
      <c r="D2877" s="111" t="str">
        <f t="shared" ref="D2877:E2877" si="2875">TRIM(B2877)</f>
        <v>Connecticut</v>
      </c>
      <c r="E2877" s="111" t="str">
        <f t="shared" si="2875"/>
        <v>Hartford</v>
      </c>
    </row>
    <row r="2878" spans="1:5">
      <c r="A2878" s="3" t="s">
        <v>8498</v>
      </c>
      <c r="B2878" s="110" t="s">
        <v>1326</v>
      </c>
      <c r="C2878" s="111" t="s">
        <v>1832</v>
      </c>
      <c r="D2878" s="111" t="str">
        <f t="shared" ref="D2878:E2878" si="2876">TRIM(B2878)</f>
        <v>Connecticut</v>
      </c>
      <c r="E2878" s="111" t="str">
        <f t="shared" si="2876"/>
        <v>Hartford</v>
      </c>
    </row>
    <row r="2879" spans="1:5">
      <c r="A2879" s="3" t="s">
        <v>8500</v>
      </c>
      <c r="B2879" s="110" t="s">
        <v>1326</v>
      </c>
      <c r="C2879" s="111" t="s">
        <v>1832</v>
      </c>
      <c r="D2879" s="111" t="str">
        <f t="shared" ref="D2879:E2879" si="2877">TRIM(B2879)</f>
        <v>Connecticut</v>
      </c>
      <c r="E2879" s="111" t="str">
        <f t="shared" si="2877"/>
        <v>Hartford</v>
      </c>
    </row>
    <row r="2880" spans="1:5">
      <c r="A2880" s="3" t="s">
        <v>8502</v>
      </c>
      <c r="B2880" s="110" t="s">
        <v>1326</v>
      </c>
      <c r="C2880" s="111" t="s">
        <v>1832</v>
      </c>
      <c r="D2880" s="111" t="str">
        <f t="shared" ref="D2880:E2880" si="2878">TRIM(B2880)</f>
        <v>Connecticut</v>
      </c>
      <c r="E2880" s="111" t="str">
        <f t="shared" si="2878"/>
        <v>Hartford</v>
      </c>
    </row>
    <row r="2881" spans="1:5">
      <c r="A2881" s="3" t="s">
        <v>8504</v>
      </c>
      <c r="B2881" s="110" t="s">
        <v>1326</v>
      </c>
      <c r="C2881" s="111" t="s">
        <v>1832</v>
      </c>
      <c r="D2881" s="111" t="str">
        <f t="shared" ref="D2881:E2881" si="2879">TRIM(B2881)</f>
        <v>Connecticut</v>
      </c>
      <c r="E2881" s="111" t="str">
        <f t="shared" si="2879"/>
        <v>Hartford</v>
      </c>
    </row>
    <row r="2882" spans="1:5">
      <c r="A2882" s="3" t="s">
        <v>8506</v>
      </c>
      <c r="B2882" s="110" t="s">
        <v>1326</v>
      </c>
      <c r="C2882" s="111" t="s">
        <v>1832</v>
      </c>
      <c r="D2882" s="111" t="str">
        <f t="shared" ref="D2882:E2882" si="2880">TRIM(B2882)</f>
        <v>Connecticut</v>
      </c>
      <c r="E2882" s="111" t="str">
        <f t="shared" si="2880"/>
        <v>Hartford</v>
      </c>
    </row>
    <row r="2883" spans="1:5">
      <c r="A2883" s="3" t="s">
        <v>8507</v>
      </c>
      <c r="B2883" s="110" t="s">
        <v>1326</v>
      </c>
      <c r="C2883" s="111" t="s">
        <v>1832</v>
      </c>
      <c r="D2883" s="111" t="str">
        <f t="shared" ref="D2883:E2883" si="2881">TRIM(B2883)</f>
        <v>Connecticut</v>
      </c>
      <c r="E2883" s="111" t="str">
        <f t="shared" si="2881"/>
        <v>Hartford</v>
      </c>
    </row>
    <row r="2884" spans="1:5">
      <c r="A2884" s="3" t="s">
        <v>8509</v>
      </c>
      <c r="B2884" s="110" t="s">
        <v>1326</v>
      </c>
      <c r="C2884" s="111" t="s">
        <v>1832</v>
      </c>
      <c r="D2884" s="111" t="str">
        <f t="shared" ref="D2884:E2884" si="2882">TRIM(B2884)</f>
        <v>Connecticut</v>
      </c>
      <c r="E2884" s="111" t="str">
        <f t="shared" si="2882"/>
        <v>Hartford</v>
      </c>
    </row>
    <row r="2885" spans="1:5">
      <c r="A2885" s="3" t="s">
        <v>8512</v>
      </c>
      <c r="B2885" s="110" t="s">
        <v>1326</v>
      </c>
      <c r="C2885" s="111" t="s">
        <v>1832</v>
      </c>
      <c r="D2885" s="111" t="str">
        <f t="shared" ref="D2885:E2885" si="2883">TRIM(B2885)</f>
        <v>Connecticut</v>
      </c>
      <c r="E2885" s="111" t="str">
        <f t="shared" si="2883"/>
        <v>Hartford</v>
      </c>
    </row>
    <row r="2886" spans="1:5">
      <c r="A2886" s="3" t="s">
        <v>8513</v>
      </c>
      <c r="B2886" s="110" t="s">
        <v>1326</v>
      </c>
      <c r="C2886" s="111" t="s">
        <v>1832</v>
      </c>
      <c r="D2886" s="111" t="str">
        <f t="shared" ref="D2886:E2886" si="2884">TRIM(B2886)</f>
        <v>Connecticut</v>
      </c>
      <c r="E2886" s="111" t="str">
        <f t="shared" si="2884"/>
        <v>Hartford</v>
      </c>
    </row>
    <row r="2887" spans="1:5">
      <c r="A2887" s="3" t="s">
        <v>8514</v>
      </c>
      <c r="B2887" s="110" t="s">
        <v>1326</v>
      </c>
      <c r="C2887" s="111" t="s">
        <v>1832</v>
      </c>
      <c r="D2887" s="111" t="str">
        <f t="shared" ref="D2887:E2887" si="2885">TRIM(B2887)</f>
        <v>Connecticut</v>
      </c>
      <c r="E2887" s="111" t="str">
        <f t="shared" si="2885"/>
        <v>Hartford</v>
      </c>
    </row>
    <row r="2888" spans="1:5">
      <c r="A2888" s="3" t="s">
        <v>8517</v>
      </c>
      <c r="B2888" s="110" t="s">
        <v>1326</v>
      </c>
      <c r="C2888" s="111" t="s">
        <v>8519</v>
      </c>
      <c r="D2888" s="111" t="str">
        <f t="shared" ref="D2888:E2888" si="2886">TRIM(B2888)</f>
        <v>Connecticut</v>
      </c>
      <c r="E2888" s="111" t="str">
        <f t="shared" si="2886"/>
        <v>Hebron</v>
      </c>
    </row>
    <row r="2889" spans="1:5">
      <c r="A2889" s="3" t="s">
        <v>8520</v>
      </c>
      <c r="B2889" s="110" t="s">
        <v>1326</v>
      </c>
      <c r="C2889" s="111" t="s">
        <v>8521</v>
      </c>
      <c r="D2889" s="111" t="str">
        <f t="shared" ref="D2889:E2889" si="2887">TRIM(B2889)</f>
        <v>Connecticut</v>
      </c>
      <c r="E2889" s="111" t="str">
        <f t="shared" si="2887"/>
        <v>Higganum</v>
      </c>
    </row>
    <row r="2890" spans="1:5">
      <c r="A2890" s="3" t="s">
        <v>8524</v>
      </c>
      <c r="B2890" s="110" t="s">
        <v>1326</v>
      </c>
      <c r="C2890" s="111" t="s">
        <v>8525</v>
      </c>
      <c r="D2890" s="111" t="str">
        <f t="shared" ref="D2890:E2890" si="2888">TRIM(B2890)</f>
        <v>Connecticut</v>
      </c>
      <c r="E2890" s="111" t="str">
        <f t="shared" si="2888"/>
        <v>Lebanon</v>
      </c>
    </row>
    <row r="2891" spans="1:5">
      <c r="A2891" s="3" t="s">
        <v>8527</v>
      </c>
      <c r="B2891" s="110" t="s">
        <v>1326</v>
      </c>
      <c r="C2891" s="111" t="s">
        <v>8528</v>
      </c>
      <c r="D2891" s="111" t="str">
        <f t="shared" ref="D2891:E2891" si="2889">TRIM(B2891)</f>
        <v>Connecticut</v>
      </c>
      <c r="E2891" s="111" t="str">
        <f t="shared" si="2889"/>
        <v>Ledyard</v>
      </c>
    </row>
    <row r="2892" spans="1:5">
      <c r="A2892" s="3" t="s">
        <v>8529</v>
      </c>
      <c r="B2892" s="110" t="s">
        <v>1326</v>
      </c>
      <c r="C2892" s="111" t="s">
        <v>8531</v>
      </c>
      <c r="D2892" s="111" t="str">
        <f t="shared" ref="D2892:E2892" si="2890">TRIM(B2892)</f>
        <v>Connecticut</v>
      </c>
      <c r="E2892" s="111" t="str">
        <f t="shared" si="2890"/>
        <v>Litchfield</v>
      </c>
    </row>
    <row r="2893" spans="1:5">
      <c r="A2893" s="3" t="s">
        <v>8534</v>
      </c>
      <c r="B2893" s="110" t="s">
        <v>1326</v>
      </c>
      <c r="C2893" s="111" t="s">
        <v>8531</v>
      </c>
      <c r="D2893" s="111" t="str">
        <f t="shared" ref="D2893:E2893" si="2891">TRIM(B2893)</f>
        <v>Connecticut</v>
      </c>
      <c r="E2893" s="111" t="str">
        <f t="shared" si="2891"/>
        <v>Litchfield</v>
      </c>
    </row>
    <row r="2894" spans="1:5">
      <c r="A2894" s="3" t="s">
        <v>8535</v>
      </c>
      <c r="B2894" s="110" t="s">
        <v>1326</v>
      </c>
      <c r="C2894" s="111" t="s">
        <v>488</v>
      </c>
      <c r="D2894" s="111" t="str">
        <f t="shared" ref="D2894:E2894" si="2892">TRIM(B2894)</f>
        <v>Connecticut</v>
      </c>
      <c r="E2894" s="111" t="str">
        <f t="shared" si="2892"/>
        <v>Madison</v>
      </c>
    </row>
    <row r="2895" spans="1:5">
      <c r="A2895" s="3" t="s">
        <v>8538</v>
      </c>
      <c r="B2895" s="110" t="s">
        <v>1326</v>
      </c>
      <c r="C2895" s="111" t="s">
        <v>8540</v>
      </c>
      <c r="D2895" s="111" t="str">
        <f t="shared" ref="D2895:E2895" si="2893">TRIM(B2895)</f>
        <v>Connecticut</v>
      </c>
      <c r="E2895" s="111" t="str">
        <f t="shared" si="2893"/>
        <v>Manchester</v>
      </c>
    </row>
    <row r="2896" spans="1:5">
      <c r="A2896" s="3" t="s">
        <v>8541</v>
      </c>
      <c r="B2896" s="110" t="s">
        <v>1326</v>
      </c>
      <c r="C2896" s="111" t="s">
        <v>8540</v>
      </c>
      <c r="D2896" s="111" t="str">
        <f t="shared" ref="D2896:E2896" si="2894">TRIM(B2896)</f>
        <v>Connecticut</v>
      </c>
      <c r="E2896" s="111" t="str">
        <f t="shared" si="2894"/>
        <v>Manchester</v>
      </c>
    </row>
    <row r="2897" spans="1:5">
      <c r="A2897" s="3" t="s">
        <v>8543</v>
      </c>
      <c r="B2897" s="110" t="s">
        <v>1326</v>
      </c>
      <c r="C2897" s="111" t="s">
        <v>8544</v>
      </c>
      <c r="D2897" s="111" t="str">
        <f t="shared" ref="D2897:E2897" si="2895">TRIM(B2897)</f>
        <v>Connecticut</v>
      </c>
      <c r="E2897" s="111" t="str">
        <f t="shared" si="2895"/>
        <v>Meriden</v>
      </c>
    </row>
    <row r="2898" spans="1:5">
      <c r="A2898" s="3" t="s">
        <v>8547</v>
      </c>
      <c r="B2898" s="110" t="s">
        <v>1326</v>
      </c>
      <c r="C2898" s="111" t="s">
        <v>8544</v>
      </c>
      <c r="D2898" s="111" t="str">
        <f t="shared" ref="D2898:E2898" si="2896">TRIM(B2898)</f>
        <v>Connecticut</v>
      </c>
      <c r="E2898" s="111" t="str">
        <f t="shared" si="2896"/>
        <v>Meriden</v>
      </c>
    </row>
    <row r="2899" spans="1:5">
      <c r="A2899" s="3" t="s">
        <v>5945</v>
      </c>
      <c r="B2899" s="110" t="s">
        <v>1326</v>
      </c>
      <c r="C2899" s="111" t="s">
        <v>500</v>
      </c>
      <c r="D2899" s="111" t="str">
        <f t="shared" ref="D2899:E2899" si="2897">TRIM(B2899)</f>
        <v>Connecticut</v>
      </c>
      <c r="E2899" s="111" t="str">
        <f t="shared" si="2897"/>
        <v>Middletown</v>
      </c>
    </row>
    <row r="2900" spans="1:5">
      <c r="A2900" s="3" t="s">
        <v>8551</v>
      </c>
      <c r="B2900" s="110" t="s">
        <v>1326</v>
      </c>
      <c r="C2900" s="111" t="s">
        <v>8552</v>
      </c>
      <c r="D2900" s="111" t="str">
        <f t="shared" ref="D2900:E2900" si="2898">TRIM(B2900)</f>
        <v>Connecticut</v>
      </c>
      <c r="E2900" s="111" t="str">
        <f t="shared" si="2898"/>
        <v>Milford</v>
      </c>
    </row>
    <row r="2901" spans="1:5">
      <c r="A2901" s="3" t="s">
        <v>8553</v>
      </c>
      <c r="B2901" s="110" t="s">
        <v>1326</v>
      </c>
      <c r="C2901" s="111" t="s">
        <v>8552</v>
      </c>
      <c r="D2901" s="111" t="str">
        <f t="shared" ref="D2901:E2901" si="2899">TRIM(B2901)</f>
        <v>Connecticut</v>
      </c>
      <c r="E2901" s="111" t="str">
        <f t="shared" si="2899"/>
        <v>Milford</v>
      </c>
    </row>
    <row r="2902" spans="1:5">
      <c r="A2902" s="3" t="s">
        <v>8555</v>
      </c>
      <c r="B2902" s="110" t="s">
        <v>1326</v>
      </c>
      <c r="C2902" s="111" t="s">
        <v>380</v>
      </c>
      <c r="D2902" s="111" t="str">
        <f t="shared" ref="D2902:E2902" si="2900">TRIM(B2902)</f>
        <v>Connecticut</v>
      </c>
      <c r="E2902" s="111" t="str">
        <f t="shared" si="2900"/>
        <v>Monroe</v>
      </c>
    </row>
    <row r="2903" spans="1:5">
      <c r="A2903" s="3" t="s">
        <v>8557</v>
      </c>
      <c r="B2903" s="110" t="s">
        <v>1326</v>
      </c>
      <c r="C2903" s="111" t="s">
        <v>8558</v>
      </c>
      <c r="D2903" s="111" t="str">
        <f t="shared" ref="D2903:E2903" si="2901">TRIM(B2903)</f>
        <v>Connecticut</v>
      </c>
      <c r="E2903" s="111" t="str">
        <f t="shared" si="2901"/>
        <v>Moodus</v>
      </c>
    </row>
    <row r="2904" spans="1:5">
      <c r="A2904" s="3" t="s">
        <v>8561</v>
      </c>
      <c r="B2904" s="110" t="s">
        <v>1326</v>
      </c>
      <c r="C2904" s="111" t="s">
        <v>8562</v>
      </c>
      <c r="D2904" s="111" t="str">
        <f t="shared" ref="D2904:E2904" si="2902">TRIM(B2904)</f>
        <v>Connecticut</v>
      </c>
      <c r="E2904" s="111" t="str">
        <f t="shared" si="2902"/>
        <v>Naugatuck</v>
      </c>
    </row>
    <row r="2905" spans="1:5">
      <c r="A2905" s="3" t="s">
        <v>8564</v>
      </c>
      <c r="B2905" s="110" t="s">
        <v>1326</v>
      </c>
      <c r="C2905" s="111" t="s">
        <v>8566</v>
      </c>
      <c r="D2905" s="111" t="str">
        <f t="shared" ref="D2905:E2905" si="2903">TRIM(B2905)</f>
        <v>Connecticut</v>
      </c>
      <c r="E2905" s="111" t="str">
        <f t="shared" si="2903"/>
        <v>New Britain</v>
      </c>
    </row>
    <row r="2906" spans="1:5">
      <c r="A2906" s="3" t="s">
        <v>8568</v>
      </c>
      <c r="B2906" s="110" t="s">
        <v>1326</v>
      </c>
      <c r="C2906" s="111" t="s">
        <v>8566</v>
      </c>
      <c r="D2906" s="111" t="str">
        <f t="shared" ref="D2906:E2906" si="2904">TRIM(B2906)</f>
        <v>Connecticut</v>
      </c>
      <c r="E2906" s="111" t="str">
        <f t="shared" si="2904"/>
        <v>New Britain</v>
      </c>
    </row>
    <row r="2907" spans="1:5">
      <c r="A2907" s="3" t="s">
        <v>8570</v>
      </c>
      <c r="B2907" s="110" t="s">
        <v>1326</v>
      </c>
      <c r="C2907" s="111" t="s">
        <v>8571</v>
      </c>
      <c r="D2907" s="111" t="str">
        <f t="shared" ref="D2907:E2907" si="2905">TRIM(B2907)</f>
        <v>Connecticut</v>
      </c>
      <c r="E2907" s="111" t="str">
        <f t="shared" si="2905"/>
        <v>New Canaan</v>
      </c>
    </row>
    <row r="2908" spans="1:5">
      <c r="A2908" s="3" t="s">
        <v>8572</v>
      </c>
      <c r="B2908" s="110" t="s">
        <v>1326</v>
      </c>
      <c r="C2908" s="111" t="s">
        <v>8573</v>
      </c>
      <c r="D2908" s="111" t="str">
        <f t="shared" ref="D2908:E2908" si="2906">TRIM(B2908)</f>
        <v>Connecticut</v>
      </c>
      <c r="E2908" s="111" t="str">
        <f t="shared" si="2906"/>
        <v>New Fairfield</v>
      </c>
    </row>
    <row r="2909" spans="1:5">
      <c r="A2909" s="3" t="s">
        <v>8577</v>
      </c>
      <c r="B2909" s="110" t="s">
        <v>1326</v>
      </c>
      <c r="C2909" s="111" t="s">
        <v>6967</v>
      </c>
      <c r="D2909" s="111" t="str">
        <f t="shared" ref="D2909:E2909" si="2907">TRIM(B2909)</f>
        <v>Connecticut</v>
      </c>
      <c r="E2909" s="111" t="str">
        <f t="shared" si="2907"/>
        <v>New Haven</v>
      </c>
    </row>
    <row r="2910" spans="1:5">
      <c r="A2910" s="3" t="s">
        <v>8578</v>
      </c>
      <c r="B2910" s="110" t="s">
        <v>1326</v>
      </c>
      <c r="C2910" s="111" t="s">
        <v>6967</v>
      </c>
      <c r="D2910" s="111" t="str">
        <f t="shared" ref="D2910:E2910" si="2908">TRIM(B2910)</f>
        <v>Connecticut</v>
      </c>
      <c r="E2910" s="111" t="str">
        <f t="shared" si="2908"/>
        <v>New Haven</v>
      </c>
    </row>
    <row r="2911" spans="1:5">
      <c r="A2911" s="3" t="s">
        <v>8580</v>
      </c>
      <c r="B2911" s="110" t="s">
        <v>1326</v>
      </c>
      <c r="C2911" s="111" t="s">
        <v>6967</v>
      </c>
      <c r="D2911" s="111" t="str">
        <f t="shared" ref="D2911:E2911" si="2909">TRIM(B2911)</f>
        <v>Connecticut</v>
      </c>
      <c r="E2911" s="111" t="str">
        <f t="shared" si="2909"/>
        <v>New Haven</v>
      </c>
    </row>
    <row r="2912" spans="1:5">
      <c r="A2912" s="3" t="s">
        <v>8582</v>
      </c>
      <c r="B2912" s="110" t="s">
        <v>1326</v>
      </c>
      <c r="C2912" s="111" t="s">
        <v>6967</v>
      </c>
      <c r="D2912" s="111" t="str">
        <f t="shared" ref="D2912:E2912" si="2910">TRIM(B2912)</f>
        <v>Connecticut</v>
      </c>
      <c r="E2912" s="111" t="str">
        <f t="shared" si="2910"/>
        <v>New Haven</v>
      </c>
    </row>
    <row r="2913" spans="1:5">
      <c r="A2913" s="3" t="s">
        <v>8583</v>
      </c>
      <c r="B2913" s="110" t="s">
        <v>1326</v>
      </c>
      <c r="C2913" s="111" t="s">
        <v>6967</v>
      </c>
      <c r="D2913" s="111" t="str">
        <f t="shared" ref="D2913:E2913" si="2911">TRIM(B2913)</f>
        <v>Connecticut</v>
      </c>
      <c r="E2913" s="111" t="str">
        <f t="shared" si="2911"/>
        <v>New Haven</v>
      </c>
    </row>
    <row r="2914" spans="1:5">
      <c r="A2914" s="3" t="s">
        <v>8587</v>
      </c>
      <c r="B2914" s="110" t="s">
        <v>1326</v>
      </c>
      <c r="C2914" s="111" t="s">
        <v>6967</v>
      </c>
      <c r="D2914" s="111" t="str">
        <f t="shared" ref="D2914:E2914" si="2912">TRIM(B2914)</f>
        <v>Connecticut</v>
      </c>
      <c r="E2914" s="111" t="str">
        <f t="shared" si="2912"/>
        <v>New Haven</v>
      </c>
    </row>
    <row r="2915" spans="1:5">
      <c r="A2915" s="3" t="s">
        <v>8588</v>
      </c>
      <c r="B2915" s="110" t="s">
        <v>1326</v>
      </c>
      <c r="C2915" s="111" t="s">
        <v>6967</v>
      </c>
      <c r="D2915" s="111" t="str">
        <f t="shared" ref="D2915:E2915" si="2913">TRIM(B2915)</f>
        <v>Connecticut</v>
      </c>
      <c r="E2915" s="111" t="str">
        <f t="shared" si="2913"/>
        <v>New Haven</v>
      </c>
    </row>
    <row r="2916" spans="1:5">
      <c r="A2916" s="110" t="s">
        <v>8590</v>
      </c>
      <c r="B2916" s="110" t="s">
        <v>1326</v>
      </c>
      <c r="C2916" s="111" t="s">
        <v>6967</v>
      </c>
      <c r="D2916" s="111" t="str">
        <f t="shared" ref="D2916:E2916" si="2914">TRIM(B2916)</f>
        <v>Connecticut</v>
      </c>
      <c r="E2916" s="111" t="str">
        <f t="shared" si="2914"/>
        <v>New Haven</v>
      </c>
    </row>
    <row r="2917" spans="1:5">
      <c r="A2917" s="3" t="s">
        <v>8592</v>
      </c>
      <c r="B2917" s="110" t="s">
        <v>1326</v>
      </c>
      <c r="C2917" s="111" t="s">
        <v>6967</v>
      </c>
      <c r="D2917" s="111" t="str">
        <f t="shared" ref="D2917:E2917" si="2915">TRIM(B2917)</f>
        <v>Connecticut</v>
      </c>
      <c r="E2917" s="111" t="str">
        <f t="shared" si="2915"/>
        <v>New Haven</v>
      </c>
    </row>
    <row r="2918" spans="1:5">
      <c r="A2918" s="3" t="s">
        <v>8595</v>
      </c>
      <c r="B2918" s="110" t="s">
        <v>1326</v>
      </c>
      <c r="C2918" s="111" t="s">
        <v>8596</v>
      </c>
      <c r="D2918" s="111" t="str">
        <f t="shared" ref="D2918:E2918" si="2916">TRIM(B2918)</f>
        <v>Connecticut</v>
      </c>
      <c r="E2918" s="111" t="str">
        <f t="shared" si="2916"/>
        <v>New London</v>
      </c>
    </row>
    <row r="2919" spans="1:5">
      <c r="A2919" s="110" t="s">
        <v>8598</v>
      </c>
      <c r="B2919" s="110" t="s">
        <v>1326</v>
      </c>
      <c r="C2919" s="111" t="s">
        <v>8596</v>
      </c>
      <c r="D2919" s="111" t="str">
        <f t="shared" ref="D2919:E2919" si="2917">TRIM(B2919)</f>
        <v>Connecticut</v>
      </c>
      <c r="E2919" s="111" t="str">
        <f t="shared" si="2917"/>
        <v>New London</v>
      </c>
    </row>
    <row r="2920" spans="1:5">
      <c r="A2920" s="3" t="s">
        <v>8599</v>
      </c>
      <c r="B2920" s="110" t="s">
        <v>1326</v>
      </c>
      <c r="C2920" s="111" t="s">
        <v>8600</v>
      </c>
      <c r="D2920" s="111" t="str">
        <f t="shared" ref="D2920:E2920" si="2918">TRIM(B2920)</f>
        <v>Connecticut</v>
      </c>
      <c r="E2920" s="111" t="str">
        <f t="shared" si="2918"/>
        <v>New Milford</v>
      </c>
    </row>
    <row r="2921" spans="1:5">
      <c r="A2921" s="3" t="s">
        <v>8603</v>
      </c>
      <c r="B2921" s="110" t="s">
        <v>1326</v>
      </c>
      <c r="C2921" s="111" t="s">
        <v>8605</v>
      </c>
      <c r="D2921" s="111" t="str">
        <f t="shared" ref="D2921:E2921" si="2919">TRIM(B2921)</f>
        <v>Connecticut</v>
      </c>
      <c r="E2921" s="111" t="str">
        <f t="shared" si="2919"/>
        <v>Newington</v>
      </c>
    </row>
    <row r="2922" spans="1:5">
      <c r="A2922" s="3" t="s">
        <v>8606</v>
      </c>
      <c r="B2922" s="110" t="s">
        <v>1326</v>
      </c>
      <c r="C2922" s="111" t="s">
        <v>8607</v>
      </c>
      <c r="D2922" s="111" t="str">
        <f t="shared" ref="D2922:E2922" si="2920">TRIM(B2922)</f>
        <v>Connecticut</v>
      </c>
      <c r="E2922" s="111" t="str">
        <f t="shared" si="2920"/>
        <v>North Branford</v>
      </c>
    </row>
    <row r="2923" spans="1:5">
      <c r="A2923" s="3" t="s">
        <v>8608</v>
      </c>
      <c r="B2923" s="110" t="s">
        <v>1326</v>
      </c>
      <c r="C2923" s="113" t="s">
        <v>8611</v>
      </c>
      <c r="D2923" s="111" t="str">
        <f t="shared" ref="D2923:E2923" si="2921">TRIM(B2923)</f>
        <v>Connecticut</v>
      </c>
      <c r="E2923" s="111" t="str">
        <f t="shared" si="2921"/>
        <v>North Grosvenordale</v>
      </c>
    </row>
    <row r="2924" spans="1:5">
      <c r="A2924" s="3" t="s">
        <v>8614</v>
      </c>
      <c r="B2924" s="110" t="s">
        <v>1326</v>
      </c>
      <c r="C2924" s="111" t="s">
        <v>8615</v>
      </c>
      <c r="D2924" s="111" t="str">
        <f t="shared" ref="D2924:E2924" si="2922">TRIM(B2924)</f>
        <v>Connecticut</v>
      </c>
      <c r="E2924" s="111" t="str">
        <f t="shared" si="2922"/>
        <v>North Haven</v>
      </c>
    </row>
    <row r="2925" spans="1:5">
      <c r="A2925" s="3" t="s">
        <v>8616</v>
      </c>
      <c r="B2925" s="110" t="s">
        <v>1326</v>
      </c>
      <c r="C2925" s="111" t="s">
        <v>8617</v>
      </c>
      <c r="D2925" s="111" t="str">
        <f t="shared" ref="D2925:E2925" si="2923">TRIM(B2925)</f>
        <v>Connecticut</v>
      </c>
      <c r="E2925" s="111" t="str">
        <f t="shared" si="2923"/>
        <v>North Stonington</v>
      </c>
    </row>
    <row r="2926" spans="1:5">
      <c r="A2926" s="3" t="s">
        <v>8618</v>
      </c>
      <c r="B2926" s="110" t="s">
        <v>1326</v>
      </c>
      <c r="C2926" s="111" t="s">
        <v>2873</v>
      </c>
      <c r="D2926" s="111" t="str">
        <f t="shared" ref="D2926:E2926" si="2924">TRIM(B2926)</f>
        <v>Connecticut</v>
      </c>
      <c r="E2926" s="111" t="str">
        <f t="shared" si="2924"/>
        <v>Norwalk</v>
      </c>
    </row>
    <row r="2927" spans="1:5">
      <c r="A2927" s="110" t="s">
        <v>8621</v>
      </c>
      <c r="B2927" s="110" t="s">
        <v>1326</v>
      </c>
      <c r="C2927" s="111" t="s">
        <v>2873</v>
      </c>
      <c r="D2927" s="111" t="str">
        <f t="shared" ref="D2927:E2927" si="2925">TRIM(B2927)</f>
        <v>Connecticut</v>
      </c>
      <c r="E2927" s="111" t="str">
        <f t="shared" si="2925"/>
        <v>Norwalk</v>
      </c>
    </row>
    <row r="2928" spans="1:5">
      <c r="A2928" s="3" t="s">
        <v>6098</v>
      </c>
      <c r="B2928" s="110" t="s">
        <v>1326</v>
      </c>
      <c r="C2928" s="111" t="s">
        <v>2873</v>
      </c>
      <c r="D2928" s="111" t="str">
        <f t="shared" ref="D2928:E2928" si="2926">TRIM(B2928)</f>
        <v>Connecticut</v>
      </c>
      <c r="E2928" s="111" t="str">
        <f t="shared" si="2926"/>
        <v>Norwalk</v>
      </c>
    </row>
    <row r="2929" spans="1:5">
      <c r="A2929" s="3" t="s">
        <v>8622</v>
      </c>
      <c r="B2929" s="110" t="s">
        <v>1326</v>
      </c>
      <c r="C2929" s="111" t="s">
        <v>342</v>
      </c>
      <c r="D2929" s="111" t="str">
        <f t="shared" ref="D2929:E2929" si="2927">TRIM(B2929)</f>
        <v>Connecticut</v>
      </c>
      <c r="E2929" s="111" t="str">
        <f t="shared" si="2927"/>
        <v>Norwich</v>
      </c>
    </row>
    <row r="2930" spans="1:5">
      <c r="A2930" s="110" t="s">
        <v>8625</v>
      </c>
      <c r="B2930" s="110" t="s">
        <v>1326</v>
      </c>
      <c r="C2930" s="111" t="s">
        <v>342</v>
      </c>
      <c r="D2930" s="111" t="str">
        <f t="shared" ref="D2930:E2930" si="2928">TRIM(B2930)</f>
        <v>Connecticut</v>
      </c>
      <c r="E2930" s="111" t="str">
        <f t="shared" si="2928"/>
        <v>Norwich</v>
      </c>
    </row>
    <row r="2931" spans="1:5">
      <c r="A2931" s="3" t="s">
        <v>8627</v>
      </c>
      <c r="B2931" s="110" t="s">
        <v>1326</v>
      </c>
      <c r="C2931" s="111" t="s">
        <v>6119</v>
      </c>
      <c r="D2931" s="111" t="str">
        <f t="shared" ref="D2931:E2931" si="2929">TRIM(B2931)</f>
        <v>Connecticut</v>
      </c>
      <c r="E2931" s="111" t="str">
        <f t="shared" si="2929"/>
        <v>Oakdale</v>
      </c>
    </row>
    <row r="2932" spans="1:5">
      <c r="A2932" s="3" t="s">
        <v>8628</v>
      </c>
      <c r="B2932" s="110" t="s">
        <v>1326</v>
      </c>
      <c r="C2932" s="111" t="s">
        <v>8629</v>
      </c>
      <c r="D2932" s="111" t="str">
        <f t="shared" ref="D2932:E2932" si="2930">TRIM(B2932)</f>
        <v>Connecticut</v>
      </c>
      <c r="E2932" s="111" t="str">
        <f t="shared" si="2930"/>
        <v>Old Lyme</v>
      </c>
    </row>
    <row r="2933" spans="1:5">
      <c r="A2933" s="3" t="s">
        <v>8631</v>
      </c>
      <c r="B2933" s="110" t="s">
        <v>1326</v>
      </c>
      <c r="C2933" s="111" t="s">
        <v>8633</v>
      </c>
      <c r="D2933" s="111" t="str">
        <f t="shared" ref="D2933:E2933" si="2931">TRIM(B2933)</f>
        <v>Connecticut</v>
      </c>
      <c r="E2933" s="111" t="str">
        <f t="shared" si="2931"/>
        <v>Old Saybrook</v>
      </c>
    </row>
    <row r="2934" spans="1:5">
      <c r="A2934" s="3" t="s">
        <v>2072</v>
      </c>
      <c r="B2934" s="110" t="s">
        <v>1326</v>
      </c>
      <c r="C2934" s="111" t="s">
        <v>279</v>
      </c>
      <c r="D2934" s="111" t="str">
        <f t="shared" ref="D2934:E2934" si="2932">TRIM(B2934)</f>
        <v>Connecticut</v>
      </c>
      <c r="E2934" s="111" t="str">
        <f t="shared" si="2932"/>
        <v>Oxford</v>
      </c>
    </row>
    <row r="2935" spans="1:5">
      <c r="A2935" s="3" t="s">
        <v>8635</v>
      </c>
      <c r="B2935" s="110" t="s">
        <v>1326</v>
      </c>
      <c r="C2935" s="111" t="s">
        <v>8636</v>
      </c>
      <c r="D2935" s="111" t="str">
        <f t="shared" ref="D2935:E2935" si="2933">TRIM(B2935)</f>
        <v>Connecticut</v>
      </c>
      <c r="E2935" s="111" t="str">
        <f t="shared" si="2933"/>
        <v>Pawcatuck</v>
      </c>
    </row>
    <row r="2936" spans="1:5">
      <c r="A2936" s="3" t="s">
        <v>8640</v>
      </c>
      <c r="B2936" s="110" t="s">
        <v>1326</v>
      </c>
      <c r="C2936" s="111" t="s">
        <v>8641</v>
      </c>
      <c r="D2936" s="111" t="str">
        <f t="shared" ref="D2936:E2936" si="2934">TRIM(B2936)</f>
        <v>Connecticut</v>
      </c>
      <c r="E2936" s="111" t="str">
        <f t="shared" si="2934"/>
        <v>Plainville</v>
      </c>
    </row>
    <row r="2937" spans="1:5">
      <c r="A2937" s="3" t="s">
        <v>8642</v>
      </c>
      <c r="B2937" s="110" t="s">
        <v>1326</v>
      </c>
      <c r="C2937" s="111" t="s">
        <v>8643</v>
      </c>
      <c r="D2937" s="111" t="str">
        <f t="shared" ref="D2937:E2937" si="2935">TRIM(B2937)</f>
        <v>Connecticut</v>
      </c>
      <c r="E2937" s="111" t="str">
        <f t="shared" si="2935"/>
        <v>Portland</v>
      </c>
    </row>
    <row r="2938" spans="1:5">
      <c r="A2938" s="3" t="s">
        <v>8645</v>
      </c>
      <c r="B2938" s="110" t="s">
        <v>1326</v>
      </c>
      <c r="C2938" s="111" t="s">
        <v>8646</v>
      </c>
      <c r="D2938" s="111" t="str">
        <f t="shared" ref="D2938:E2938" si="2936">TRIM(B2938)</f>
        <v>Connecticut</v>
      </c>
      <c r="E2938" s="111" t="str">
        <f t="shared" si="2936"/>
        <v>Putnam</v>
      </c>
    </row>
    <row r="2939" spans="1:5">
      <c r="A2939" s="3" t="s">
        <v>8649</v>
      </c>
      <c r="B2939" s="110" t="s">
        <v>1326</v>
      </c>
      <c r="C2939" s="111" t="s">
        <v>6471</v>
      </c>
      <c r="D2939" s="111" t="str">
        <f t="shared" ref="D2939:E2939" si="2937">TRIM(B2939)</f>
        <v>Connecticut</v>
      </c>
      <c r="E2939" s="111" t="str">
        <f t="shared" si="2937"/>
        <v>Redding</v>
      </c>
    </row>
    <row r="2940" spans="1:5">
      <c r="A2940" s="3" t="s">
        <v>8650</v>
      </c>
      <c r="B2940" s="110" t="s">
        <v>1326</v>
      </c>
      <c r="C2940" s="111" t="s">
        <v>8651</v>
      </c>
      <c r="D2940" s="111" t="str">
        <f t="shared" ref="D2940:E2940" si="2938">TRIM(B2940)</f>
        <v>Connecticut</v>
      </c>
      <c r="E2940" s="111" t="str">
        <f t="shared" si="2938"/>
        <v>Ridgefield</v>
      </c>
    </row>
    <row r="2941" spans="1:5">
      <c r="A2941" s="3" t="s">
        <v>8655</v>
      </c>
      <c r="B2941" s="110" t="s">
        <v>1326</v>
      </c>
      <c r="C2941" s="111" t="s">
        <v>8656</v>
      </c>
      <c r="D2941" s="111" t="str">
        <f t="shared" ref="D2941:E2941" si="2939">TRIM(B2941)</f>
        <v>Connecticut</v>
      </c>
      <c r="E2941" s="111" t="str">
        <f t="shared" si="2939"/>
        <v>Rocky Hill</v>
      </c>
    </row>
    <row r="2942" spans="1:5">
      <c r="A2942" s="3" t="s">
        <v>8657</v>
      </c>
      <c r="B2942" s="110" t="s">
        <v>1326</v>
      </c>
      <c r="C2942" s="111" t="s">
        <v>8658</v>
      </c>
      <c r="D2942" s="111" t="str">
        <f t="shared" ref="D2942:E2942" si="2940">TRIM(B2942)</f>
        <v>Connecticut</v>
      </c>
      <c r="E2942" s="111" t="str">
        <f t="shared" si="2940"/>
        <v>Sandy Hook</v>
      </c>
    </row>
    <row r="2943" spans="1:5">
      <c r="A2943" s="3" t="s">
        <v>8660</v>
      </c>
      <c r="B2943" s="110" t="s">
        <v>1326</v>
      </c>
      <c r="C2943" s="111" t="s">
        <v>6650</v>
      </c>
      <c r="D2943" s="111" t="str">
        <f t="shared" ref="D2943:E2943" si="2941">TRIM(B2943)</f>
        <v>Connecticut</v>
      </c>
      <c r="E2943" s="111" t="str">
        <f t="shared" si="2941"/>
        <v>Seymour</v>
      </c>
    </row>
    <row r="2944" spans="1:5">
      <c r="A2944" s="3" t="s">
        <v>8664</v>
      </c>
      <c r="B2944" s="110" t="s">
        <v>1326</v>
      </c>
      <c r="C2944" s="111" t="s">
        <v>8665</v>
      </c>
      <c r="D2944" s="111" t="str">
        <f t="shared" ref="D2944:E2944" si="2942">TRIM(B2944)</f>
        <v>Connecticut</v>
      </c>
      <c r="E2944" s="111" t="str">
        <f t="shared" si="2942"/>
        <v>Shelton</v>
      </c>
    </row>
    <row r="2945" spans="1:5">
      <c r="A2945" s="3" t="s">
        <v>8666</v>
      </c>
      <c r="B2945" s="110" t="s">
        <v>1326</v>
      </c>
      <c r="C2945" s="111" t="s">
        <v>8667</v>
      </c>
      <c r="D2945" s="111" t="str">
        <f t="shared" ref="D2945:E2945" si="2943">TRIM(B2945)</f>
        <v>Connecticut</v>
      </c>
      <c r="E2945" s="111" t="str">
        <f t="shared" si="2943"/>
        <v>Simsbury</v>
      </c>
    </row>
    <row r="2946" spans="1:5">
      <c r="A2946" s="3" t="s">
        <v>8669</v>
      </c>
      <c r="B2946" s="110" t="s">
        <v>1326</v>
      </c>
      <c r="C2946" s="111" t="s">
        <v>8670</v>
      </c>
      <c r="D2946" s="111" t="str">
        <f t="shared" ref="D2946:E2946" si="2944">TRIM(B2946)</f>
        <v>Connecticut</v>
      </c>
      <c r="E2946" s="111" t="str">
        <f t="shared" si="2944"/>
        <v>Somers</v>
      </c>
    </row>
    <row r="2947" spans="1:5">
      <c r="A2947" s="3" t="s">
        <v>8672</v>
      </c>
      <c r="B2947" s="110" t="s">
        <v>1326</v>
      </c>
      <c r="C2947" s="111" t="s">
        <v>8673</v>
      </c>
      <c r="D2947" s="111" t="str">
        <f t="shared" ref="D2947:E2947" si="2945">TRIM(B2947)</f>
        <v>Connecticut</v>
      </c>
      <c r="E2947" s="111" t="str">
        <f t="shared" si="2945"/>
        <v>South Windsor</v>
      </c>
    </row>
    <row r="2948" spans="1:5">
      <c r="A2948" s="3" t="s">
        <v>8674</v>
      </c>
      <c r="B2948" s="110" t="s">
        <v>1326</v>
      </c>
      <c r="C2948" s="111" t="s">
        <v>8675</v>
      </c>
      <c r="D2948" s="111" t="str">
        <f t="shared" ref="D2948:E2948" si="2946">TRIM(B2948)</f>
        <v>Connecticut</v>
      </c>
      <c r="E2948" s="111" t="str">
        <f t="shared" si="2946"/>
        <v>Southbury</v>
      </c>
    </row>
    <row r="2949" spans="1:5">
      <c r="A2949" s="3" t="s">
        <v>8676</v>
      </c>
      <c r="B2949" s="110" t="s">
        <v>1326</v>
      </c>
      <c r="C2949" s="111" t="s">
        <v>8677</v>
      </c>
      <c r="D2949" s="111" t="str">
        <f t="shared" ref="D2949:E2949" si="2947">TRIM(B2949)</f>
        <v>Connecticut</v>
      </c>
      <c r="E2949" s="111" t="str">
        <f t="shared" si="2947"/>
        <v>Southington</v>
      </c>
    </row>
    <row r="2950" spans="1:5">
      <c r="A2950" s="3" t="s">
        <v>8679</v>
      </c>
      <c r="B2950" s="110" t="s">
        <v>1326</v>
      </c>
      <c r="C2950" s="111" t="s">
        <v>8680</v>
      </c>
      <c r="D2950" s="111" t="str">
        <f t="shared" ref="D2950:E2950" si="2948">TRIM(B2950)</f>
        <v>Connecticut</v>
      </c>
      <c r="E2950" s="111" t="str">
        <f t="shared" si="2948"/>
        <v>Stafford Springs</v>
      </c>
    </row>
    <row r="2951" spans="1:5">
      <c r="A2951" s="3" t="s">
        <v>8682</v>
      </c>
      <c r="B2951" s="110" t="s">
        <v>1326</v>
      </c>
      <c r="C2951" s="111" t="s">
        <v>8683</v>
      </c>
      <c r="D2951" s="111" t="str">
        <f t="shared" ref="D2951:E2951" si="2949">TRIM(B2951)</f>
        <v>Connecticut</v>
      </c>
      <c r="E2951" s="111" t="str">
        <f t="shared" si="2949"/>
        <v>Stamford</v>
      </c>
    </row>
    <row r="2952" spans="1:5">
      <c r="A2952" s="3" t="s">
        <v>8685</v>
      </c>
      <c r="B2952" s="110" t="s">
        <v>1326</v>
      </c>
      <c r="C2952" s="111" t="s">
        <v>8683</v>
      </c>
      <c r="D2952" s="111" t="str">
        <f t="shared" ref="D2952:E2952" si="2950">TRIM(B2952)</f>
        <v>Connecticut</v>
      </c>
      <c r="E2952" s="111" t="str">
        <f t="shared" si="2950"/>
        <v>Stamford</v>
      </c>
    </row>
    <row r="2953" spans="1:5">
      <c r="A2953" s="3" t="s">
        <v>8686</v>
      </c>
      <c r="B2953" s="110" t="s">
        <v>1326</v>
      </c>
      <c r="C2953" s="112" t="s">
        <v>8683</v>
      </c>
      <c r="D2953" s="111" t="str">
        <f t="shared" ref="D2953:E2953" si="2951">TRIM(B2953)</f>
        <v>Connecticut</v>
      </c>
      <c r="E2953" s="111" t="str">
        <f t="shared" si="2951"/>
        <v>Stamford</v>
      </c>
    </row>
    <row r="2954" spans="1:5">
      <c r="A2954" s="3" t="s">
        <v>8689</v>
      </c>
      <c r="B2954" s="110" t="s">
        <v>1326</v>
      </c>
      <c r="C2954" s="111" t="s">
        <v>8683</v>
      </c>
      <c r="D2954" s="111" t="str">
        <f t="shared" ref="D2954:E2954" si="2952">TRIM(B2954)</f>
        <v>Connecticut</v>
      </c>
      <c r="E2954" s="111" t="str">
        <f t="shared" si="2952"/>
        <v>Stamford</v>
      </c>
    </row>
    <row r="2955" spans="1:5">
      <c r="A2955" s="3" t="s">
        <v>8691</v>
      </c>
      <c r="B2955" s="110" t="s">
        <v>1326</v>
      </c>
      <c r="C2955" s="111" t="s">
        <v>8692</v>
      </c>
      <c r="D2955" s="111" t="str">
        <f t="shared" ref="D2955:E2955" si="2953">TRIM(B2955)</f>
        <v>Connecticut</v>
      </c>
      <c r="E2955" s="111" t="str">
        <f t="shared" si="2953"/>
        <v>Storrs</v>
      </c>
    </row>
    <row r="2956" spans="1:5">
      <c r="A2956" s="3" t="s">
        <v>8694</v>
      </c>
      <c r="B2956" s="110" t="s">
        <v>1326</v>
      </c>
      <c r="C2956" s="111" t="s">
        <v>5209</v>
      </c>
      <c r="D2956" s="111" t="str">
        <f t="shared" ref="D2956:E2956" si="2954">TRIM(B2956)</f>
        <v>Connecticut</v>
      </c>
      <c r="E2956" s="111" t="str">
        <f t="shared" si="2954"/>
        <v>Stratford</v>
      </c>
    </row>
    <row r="2957" spans="1:5">
      <c r="A2957" s="3" t="s">
        <v>8697</v>
      </c>
      <c r="B2957" s="110" t="s">
        <v>1326</v>
      </c>
      <c r="C2957" s="111" t="s">
        <v>5209</v>
      </c>
      <c r="D2957" s="111" t="str">
        <f t="shared" ref="D2957:E2957" si="2955">TRIM(B2957)</f>
        <v>Connecticut</v>
      </c>
      <c r="E2957" s="111" t="str">
        <f t="shared" si="2955"/>
        <v>Stratford</v>
      </c>
    </row>
    <row r="2958" spans="1:5">
      <c r="A2958" s="3" t="s">
        <v>8698</v>
      </c>
      <c r="B2958" s="110" t="s">
        <v>1326</v>
      </c>
      <c r="C2958" s="111" t="s">
        <v>8699</v>
      </c>
      <c r="D2958" s="111" t="str">
        <f t="shared" ref="D2958:E2958" si="2956">TRIM(B2958)</f>
        <v>Connecticut</v>
      </c>
      <c r="E2958" s="111" t="str">
        <f t="shared" si="2956"/>
        <v>Terryville</v>
      </c>
    </row>
    <row r="2959" spans="1:5">
      <c r="A2959" s="3" t="s">
        <v>8701</v>
      </c>
      <c r="B2959" s="110" t="s">
        <v>1326</v>
      </c>
      <c r="C2959" s="111" t="s">
        <v>8703</v>
      </c>
      <c r="D2959" s="111" t="str">
        <f t="shared" ref="D2959:E2959" si="2957">TRIM(B2959)</f>
        <v>Connecticut</v>
      </c>
      <c r="E2959" s="111" t="str">
        <f t="shared" si="2957"/>
        <v>Thomaston</v>
      </c>
    </row>
    <row r="2960" spans="1:5">
      <c r="A2960" s="3" t="s">
        <v>8704</v>
      </c>
      <c r="B2960" s="110" t="s">
        <v>1326</v>
      </c>
      <c r="C2960" s="111" t="s">
        <v>8705</v>
      </c>
      <c r="D2960" s="111" t="str">
        <f t="shared" ref="D2960:E2960" si="2958">TRIM(B2960)</f>
        <v>Connecticut</v>
      </c>
      <c r="E2960" s="111" t="str">
        <f t="shared" si="2958"/>
        <v>Tolland</v>
      </c>
    </row>
    <row r="2961" spans="1:5">
      <c r="A2961" s="3" t="s">
        <v>8707</v>
      </c>
      <c r="B2961" s="110" t="s">
        <v>1326</v>
      </c>
      <c r="C2961" s="111" t="s">
        <v>8708</v>
      </c>
      <c r="D2961" s="111" t="str">
        <f t="shared" ref="D2961:E2961" si="2959">TRIM(B2961)</f>
        <v>Connecticut</v>
      </c>
      <c r="E2961" s="111" t="str">
        <f t="shared" si="2959"/>
        <v>Torrington</v>
      </c>
    </row>
    <row r="2962" spans="1:5">
      <c r="A2962" s="3" t="s">
        <v>8710</v>
      </c>
      <c r="B2962" s="110" t="s">
        <v>1326</v>
      </c>
      <c r="C2962" s="111" t="s">
        <v>8711</v>
      </c>
      <c r="D2962" s="111" t="str">
        <f t="shared" ref="D2962:E2962" si="2960">TRIM(B2962)</f>
        <v>Connecticut</v>
      </c>
      <c r="E2962" s="111" t="str">
        <f t="shared" si="2960"/>
        <v>Trumbull</v>
      </c>
    </row>
    <row r="2963" spans="1:5">
      <c r="A2963" s="3" t="s">
        <v>8713</v>
      </c>
      <c r="B2963" s="110" t="s">
        <v>1326</v>
      </c>
      <c r="C2963" s="111" t="s">
        <v>8714</v>
      </c>
      <c r="D2963" s="111" t="str">
        <f t="shared" ref="D2963:E2963" si="2961">TRIM(B2963)</f>
        <v>Connecticut</v>
      </c>
      <c r="E2963" s="111" t="str">
        <f t="shared" si="2961"/>
        <v>Vernon</v>
      </c>
    </row>
    <row r="2964" spans="1:5">
      <c r="A2964" s="3" t="s">
        <v>8715</v>
      </c>
      <c r="B2964" s="110" t="s">
        <v>1326</v>
      </c>
      <c r="C2964" s="111" t="s">
        <v>8716</v>
      </c>
      <c r="D2964" s="111" t="str">
        <f t="shared" ref="D2964:E2964" si="2962">TRIM(B2964)</f>
        <v>Connecticut</v>
      </c>
      <c r="E2964" s="111" t="str">
        <f t="shared" si="2962"/>
        <v>Wallingford</v>
      </c>
    </row>
    <row r="2965" spans="1:5">
      <c r="A2965" s="3" t="s">
        <v>8717</v>
      </c>
      <c r="B2965" s="110" t="s">
        <v>1326</v>
      </c>
      <c r="C2965" s="111" t="s">
        <v>8716</v>
      </c>
      <c r="D2965" s="111" t="str">
        <f t="shared" ref="D2965:E2965" si="2963">TRIM(B2965)</f>
        <v>Connecticut</v>
      </c>
      <c r="E2965" s="111" t="str">
        <f t="shared" si="2963"/>
        <v>Wallingford</v>
      </c>
    </row>
    <row r="2966" spans="1:5">
      <c r="A2966" s="110" t="s">
        <v>8719</v>
      </c>
      <c r="B2966" s="110" t="s">
        <v>1326</v>
      </c>
      <c r="C2966" s="111" t="s">
        <v>276</v>
      </c>
      <c r="D2966" s="111" t="str">
        <f t="shared" ref="D2966:E2966" si="2964">TRIM(B2966)</f>
        <v>Connecticut</v>
      </c>
      <c r="E2966" s="111" t="str">
        <f t="shared" si="2964"/>
        <v>Washington</v>
      </c>
    </row>
    <row r="2967" spans="1:5">
      <c r="A2967" s="3" t="s">
        <v>8720</v>
      </c>
      <c r="B2967" s="110" t="s">
        <v>1326</v>
      </c>
      <c r="C2967" s="111" t="s">
        <v>8721</v>
      </c>
      <c r="D2967" s="111" t="str">
        <f t="shared" ref="D2967:E2967" si="2965">TRIM(B2967)</f>
        <v>Connecticut</v>
      </c>
      <c r="E2967" s="111" t="str">
        <f t="shared" si="2965"/>
        <v>Waterbury</v>
      </c>
    </row>
    <row r="2968" spans="1:5">
      <c r="A2968" s="3" t="s">
        <v>5072</v>
      </c>
      <c r="B2968" s="110" t="s">
        <v>1326</v>
      </c>
      <c r="C2968" s="111" t="s">
        <v>8721</v>
      </c>
      <c r="D2968" s="111" t="str">
        <f t="shared" ref="D2968:E2968" si="2966">TRIM(B2968)</f>
        <v>Connecticut</v>
      </c>
      <c r="E2968" s="111" t="str">
        <f t="shared" si="2966"/>
        <v>Waterbury</v>
      </c>
    </row>
    <row r="2969" spans="1:5">
      <c r="A2969" s="3" t="s">
        <v>8725</v>
      </c>
      <c r="B2969" s="110" t="s">
        <v>1326</v>
      </c>
      <c r="C2969" s="111" t="s">
        <v>8721</v>
      </c>
      <c r="D2969" s="111" t="str">
        <f t="shared" ref="D2969:E2969" si="2967">TRIM(B2969)</f>
        <v>Connecticut</v>
      </c>
      <c r="E2969" s="111" t="str">
        <f t="shared" si="2967"/>
        <v>Waterbury</v>
      </c>
    </row>
    <row r="2970" spans="1:5">
      <c r="A2970" s="3" t="s">
        <v>8727</v>
      </c>
      <c r="B2970" s="110" t="s">
        <v>1326</v>
      </c>
      <c r="C2970" s="111" t="s">
        <v>8721</v>
      </c>
      <c r="D2970" s="111" t="str">
        <f t="shared" ref="D2970:E2970" si="2968">TRIM(B2970)</f>
        <v>Connecticut</v>
      </c>
      <c r="E2970" s="111" t="str">
        <f t="shared" si="2968"/>
        <v>Waterbury</v>
      </c>
    </row>
    <row r="2971" spans="1:5">
      <c r="A2971" s="3" t="s">
        <v>8730</v>
      </c>
      <c r="B2971" s="110" t="s">
        <v>1326</v>
      </c>
      <c r="C2971" s="111" t="s">
        <v>8721</v>
      </c>
      <c r="D2971" s="111" t="str">
        <f t="shared" ref="D2971:E2971" si="2969">TRIM(B2971)</f>
        <v>Connecticut</v>
      </c>
      <c r="E2971" s="111" t="str">
        <f t="shared" si="2969"/>
        <v>Waterbury</v>
      </c>
    </row>
    <row r="2972" spans="1:5">
      <c r="A2972" s="3" t="s">
        <v>7449</v>
      </c>
      <c r="B2972" s="110" t="s">
        <v>1326</v>
      </c>
      <c r="C2972" s="111" t="s">
        <v>334</v>
      </c>
      <c r="D2972" s="111" t="str">
        <f t="shared" ref="D2972:E2972" si="2970">TRIM(B2972)</f>
        <v>Connecticut</v>
      </c>
      <c r="E2972" s="111" t="str">
        <f t="shared" si="2970"/>
        <v>Waterford</v>
      </c>
    </row>
    <row r="2973" spans="1:5">
      <c r="A2973" s="3" t="s">
        <v>8736</v>
      </c>
      <c r="B2973" s="110" t="s">
        <v>1326</v>
      </c>
      <c r="C2973" s="111" t="s">
        <v>8737</v>
      </c>
      <c r="D2973" s="111" t="str">
        <f t="shared" ref="D2973:E2973" si="2971">TRIM(B2973)</f>
        <v>Connecticut</v>
      </c>
      <c r="E2973" s="111" t="str">
        <f t="shared" si="2971"/>
        <v>Watertown</v>
      </c>
    </row>
    <row r="2974" spans="1:5">
      <c r="A2974" s="3" t="s">
        <v>8738</v>
      </c>
      <c r="B2974" s="110" t="s">
        <v>1326</v>
      </c>
      <c r="C2974" s="111" t="s">
        <v>8739</v>
      </c>
      <c r="D2974" s="111" t="str">
        <f t="shared" ref="D2974:E2974" si="2972">TRIM(B2974)</f>
        <v>Connecticut</v>
      </c>
      <c r="E2974" s="111" t="str">
        <f t="shared" si="2972"/>
        <v>West Hartford</v>
      </c>
    </row>
    <row r="2975" spans="1:5">
      <c r="A2975" s="3" t="s">
        <v>3949</v>
      </c>
      <c r="B2975" s="110" t="s">
        <v>1326</v>
      </c>
      <c r="C2975" s="111" t="s">
        <v>8739</v>
      </c>
      <c r="D2975" s="111" t="str">
        <f t="shared" ref="D2975:E2975" si="2973">TRIM(B2975)</f>
        <v>Connecticut</v>
      </c>
      <c r="E2975" s="111" t="str">
        <f t="shared" si="2973"/>
        <v>West Hartford</v>
      </c>
    </row>
    <row r="2976" spans="1:5">
      <c r="A2976" s="110" t="s">
        <v>8742</v>
      </c>
      <c r="B2976" s="110" t="s">
        <v>1326</v>
      </c>
      <c r="C2976" s="111" t="s">
        <v>8743</v>
      </c>
      <c r="D2976" s="111" t="str">
        <f t="shared" ref="D2976:E2976" si="2974">TRIM(B2976)</f>
        <v>Connecticut</v>
      </c>
      <c r="E2976" s="111" t="str">
        <f t="shared" si="2974"/>
        <v>West Haven</v>
      </c>
    </row>
    <row r="2977" spans="1:5">
      <c r="A2977" s="3" t="s">
        <v>8744</v>
      </c>
      <c r="B2977" s="110" t="s">
        <v>1326</v>
      </c>
      <c r="C2977" s="111" t="s">
        <v>8743</v>
      </c>
      <c r="D2977" s="111" t="str">
        <f t="shared" ref="D2977:E2977" si="2975">TRIM(B2977)</f>
        <v>Connecticut</v>
      </c>
      <c r="E2977" s="111" t="str">
        <f t="shared" si="2975"/>
        <v>West Haven</v>
      </c>
    </row>
    <row r="2978" spans="1:5">
      <c r="A2978" s="3" t="s">
        <v>8746</v>
      </c>
      <c r="B2978" s="110" t="s">
        <v>1326</v>
      </c>
      <c r="C2978" s="111" t="s">
        <v>8748</v>
      </c>
      <c r="D2978" s="111" t="str">
        <f t="shared" ref="D2978:E2978" si="2976">TRIM(B2978)</f>
        <v>Connecticut</v>
      </c>
      <c r="E2978" s="111" t="str">
        <f t="shared" si="2976"/>
        <v>West Suffield</v>
      </c>
    </row>
    <row r="2979" spans="1:5">
      <c r="A2979" s="3" t="s">
        <v>8749</v>
      </c>
      <c r="B2979" s="110" t="s">
        <v>1326</v>
      </c>
      <c r="C2979" s="111" t="s">
        <v>8750</v>
      </c>
      <c r="D2979" s="111" t="str">
        <f t="shared" ref="D2979:E2979" si="2977">TRIM(B2979)</f>
        <v>Connecticut</v>
      </c>
      <c r="E2979" s="111" t="str">
        <f t="shared" si="2977"/>
        <v>Westbrook</v>
      </c>
    </row>
    <row r="2980" spans="1:5">
      <c r="A2980" s="3" t="s">
        <v>8752</v>
      </c>
      <c r="B2980" s="110" t="s">
        <v>1326</v>
      </c>
      <c r="C2980" s="111" t="s">
        <v>8298</v>
      </c>
      <c r="D2980" s="111" t="str">
        <f t="shared" ref="D2980:E2980" si="2978">TRIM(B2980)</f>
        <v>Connecticut</v>
      </c>
      <c r="E2980" s="111" t="str">
        <f t="shared" si="2978"/>
        <v>Weston</v>
      </c>
    </row>
    <row r="2981" spans="1:5">
      <c r="A2981" s="3" t="s">
        <v>8754</v>
      </c>
      <c r="B2981" s="110" t="s">
        <v>1326</v>
      </c>
      <c r="C2981" s="111" t="s">
        <v>8755</v>
      </c>
      <c r="D2981" s="111" t="str">
        <f t="shared" ref="D2981:E2981" si="2979">TRIM(B2981)</f>
        <v>Connecticut</v>
      </c>
      <c r="E2981" s="111" t="str">
        <f t="shared" si="2979"/>
        <v>Westport</v>
      </c>
    </row>
    <row r="2982" spans="1:5">
      <c r="A2982" s="3" t="s">
        <v>8756</v>
      </c>
      <c r="B2982" s="110" t="s">
        <v>1326</v>
      </c>
      <c r="C2982" s="111" t="s">
        <v>8758</v>
      </c>
      <c r="D2982" s="111" t="str">
        <f t="shared" ref="D2982:E2982" si="2980">TRIM(B2982)</f>
        <v>Connecticut</v>
      </c>
      <c r="E2982" s="111" t="str">
        <f t="shared" si="2980"/>
        <v>Wethersfield</v>
      </c>
    </row>
    <row r="2983" spans="1:5">
      <c r="A2983" s="110" t="s">
        <v>8760</v>
      </c>
      <c r="B2983" s="110" t="s">
        <v>1326</v>
      </c>
      <c r="C2983" s="111" t="s">
        <v>8761</v>
      </c>
      <c r="D2983" s="111" t="str">
        <f t="shared" ref="D2983:E2983" si="2981">TRIM(B2983)</f>
        <v>Connecticut</v>
      </c>
      <c r="E2983" s="111" t="str">
        <f t="shared" si="2981"/>
        <v>Willimantic</v>
      </c>
    </row>
    <row r="2984" spans="1:5">
      <c r="A2984" s="3" t="s">
        <v>8762</v>
      </c>
      <c r="B2984" s="110" t="s">
        <v>1326</v>
      </c>
      <c r="C2984" s="111" t="s">
        <v>8761</v>
      </c>
      <c r="D2984" s="111" t="str">
        <f t="shared" ref="D2984:E2984" si="2982">TRIM(B2984)</f>
        <v>Connecticut</v>
      </c>
      <c r="E2984" s="111" t="str">
        <f t="shared" si="2982"/>
        <v>Willimantic</v>
      </c>
    </row>
    <row r="2985" spans="1:5">
      <c r="A2985" s="3" t="s">
        <v>8765</v>
      </c>
      <c r="B2985" s="110" t="s">
        <v>1326</v>
      </c>
      <c r="C2985" s="111" t="s">
        <v>8766</v>
      </c>
      <c r="D2985" s="111" t="str">
        <f t="shared" ref="D2985:E2985" si="2983">TRIM(B2985)</f>
        <v>Connecticut</v>
      </c>
      <c r="E2985" s="111" t="str">
        <f t="shared" si="2983"/>
        <v>Wilton</v>
      </c>
    </row>
    <row r="2986" spans="1:5">
      <c r="A2986" s="3" t="s">
        <v>8767</v>
      </c>
      <c r="B2986" s="110" t="s">
        <v>1326</v>
      </c>
      <c r="C2986" s="111" t="s">
        <v>7524</v>
      </c>
      <c r="D2986" s="111" t="str">
        <f t="shared" ref="D2986:E2986" si="2984">TRIM(B2986)</f>
        <v>Connecticut</v>
      </c>
      <c r="E2986" s="111" t="str">
        <f t="shared" si="2984"/>
        <v>Windsor</v>
      </c>
    </row>
    <row r="2987" spans="1:5">
      <c r="A2987" s="3" t="s">
        <v>7523</v>
      </c>
      <c r="B2987" s="110" t="s">
        <v>1326</v>
      </c>
      <c r="C2987" s="111" t="s">
        <v>7524</v>
      </c>
      <c r="D2987" s="111" t="str">
        <f t="shared" ref="D2987:E2987" si="2985">TRIM(B2987)</f>
        <v>Connecticut</v>
      </c>
      <c r="E2987" s="111" t="str">
        <f t="shared" si="2985"/>
        <v>Windsor</v>
      </c>
    </row>
    <row r="2988" spans="1:5">
      <c r="A2988" s="3" t="s">
        <v>8771</v>
      </c>
      <c r="B2988" s="110" t="s">
        <v>1326</v>
      </c>
      <c r="C2988" s="111" t="s">
        <v>8772</v>
      </c>
      <c r="D2988" s="111" t="str">
        <f t="shared" ref="D2988:E2988" si="2986">TRIM(B2988)</f>
        <v>Connecticut</v>
      </c>
      <c r="E2988" s="111" t="str">
        <f t="shared" si="2986"/>
        <v>Windsor Locks</v>
      </c>
    </row>
    <row r="2989" spans="1:5">
      <c r="A2989" s="110" t="s">
        <v>8773</v>
      </c>
      <c r="B2989" s="110" t="s">
        <v>1326</v>
      </c>
      <c r="C2989" s="111" t="s">
        <v>8775</v>
      </c>
      <c r="D2989" s="111" t="str">
        <f t="shared" ref="D2989:E2989" si="2987">TRIM(B2989)</f>
        <v>Connecticut</v>
      </c>
      <c r="E2989" s="111" t="str">
        <f t="shared" si="2987"/>
        <v>Winsted</v>
      </c>
    </row>
    <row r="2990" spans="1:5">
      <c r="A2990" s="3" t="s">
        <v>8778</v>
      </c>
      <c r="B2990" s="110" t="s">
        <v>1326</v>
      </c>
      <c r="C2990" s="111" t="s">
        <v>8775</v>
      </c>
      <c r="D2990" s="111" t="str">
        <f t="shared" ref="D2990:E2990" si="2988">TRIM(B2990)</f>
        <v>Connecticut</v>
      </c>
      <c r="E2990" s="111" t="str">
        <f t="shared" si="2988"/>
        <v>Winsted</v>
      </c>
    </row>
    <row r="2991" spans="1:5">
      <c r="A2991" s="110" t="s">
        <v>8779</v>
      </c>
      <c r="B2991" s="110" t="s">
        <v>1326</v>
      </c>
      <c r="C2991" s="111" t="s">
        <v>8775</v>
      </c>
      <c r="D2991" s="111" t="str">
        <f t="shared" ref="D2991:E2991" si="2989">TRIM(B2991)</f>
        <v>Connecticut</v>
      </c>
      <c r="E2991" s="111" t="str">
        <f t="shared" si="2989"/>
        <v>Winsted</v>
      </c>
    </row>
    <row r="2992" spans="1:5">
      <c r="A2992" s="3" t="s">
        <v>8781</v>
      </c>
      <c r="B2992" s="110" t="s">
        <v>1326</v>
      </c>
      <c r="C2992" s="111" t="s">
        <v>8782</v>
      </c>
      <c r="D2992" s="111" t="str">
        <f t="shared" ref="D2992:E2992" si="2990">TRIM(B2992)</f>
        <v>Connecticut</v>
      </c>
      <c r="E2992" s="111" t="str">
        <f t="shared" si="2990"/>
        <v>Wolcott</v>
      </c>
    </row>
    <row r="2993" spans="1:5">
      <c r="A2993" s="3" t="s">
        <v>8784</v>
      </c>
      <c r="B2993" s="110" t="s">
        <v>1326</v>
      </c>
      <c r="C2993" s="111" t="s">
        <v>8785</v>
      </c>
      <c r="D2993" s="111" t="str">
        <f t="shared" ref="D2993:E2993" si="2991">TRIM(B2993)</f>
        <v>Connecticut</v>
      </c>
      <c r="E2993" s="111" t="str">
        <f t="shared" si="2991"/>
        <v>Woodbridge</v>
      </c>
    </row>
    <row r="2994" spans="1:5">
      <c r="A2994" s="3" t="s">
        <v>8788</v>
      </c>
      <c r="B2994" s="110" t="s">
        <v>1326</v>
      </c>
      <c r="C2994" s="111" t="s">
        <v>8789</v>
      </c>
      <c r="D2994" s="111" t="str">
        <f t="shared" ref="D2994:E2994" si="2992">TRIM(B2994)</f>
        <v>Connecticut</v>
      </c>
      <c r="E2994" s="111" t="str">
        <f t="shared" si="2992"/>
        <v>Woodbury</v>
      </c>
    </row>
    <row r="2995" spans="1:5">
      <c r="A2995" s="3" t="s">
        <v>8791</v>
      </c>
      <c r="B2995" s="110" t="s">
        <v>1326</v>
      </c>
      <c r="C2995" s="111" t="s">
        <v>8792</v>
      </c>
      <c r="D2995" s="111" t="str">
        <f t="shared" ref="D2995:E2995" si="2993">TRIM(B2995)</f>
        <v>Connecticut</v>
      </c>
      <c r="E2995" s="111" t="str">
        <f t="shared" si="2993"/>
        <v>Woodstock</v>
      </c>
    </row>
    <row r="2996" spans="1:5">
      <c r="A2996" s="3" t="s">
        <v>8795</v>
      </c>
      <c r="B2996" s="110" t="s">
        <v>1327</v>
      </c>
      <c r="C2996" s="111" t="s">
        <v>773</v>
      </c>
      <c r="D2996" s="111" t="str">
        <f t="shared" ref="D2996:E2996" si="2994">TRIM(B2996)</f>
        <v>Delaware</v>
      </c>
      <c r="E2996" s="111" t="str">
        <f t="shared" si="2994"/>
        <v>Camden</v>
      </c>
    </row>
    <row r="2997" spans="1:5">
      <c r="A2997" s="110" t="s">
        <v>8797</v>
      </c>
      <c r="B2997" s="110" t="s">
        <v>1327</v>
      </c>
      <c r="C2997" s="111" t="s">
        <v>773</v>
      </c>
      <c r="D2997" s="111" t="str">
        <f t="shared" ref="D2997:E2997" si="2995">TRIM(B2997)</f>
        <v>Delaware</v>
      </c>
      <c r="E2997" s="111" t="str">
        <f t="shared" si="2995"/>
        <v>Camden</v>
      </c>
    </row>
    <row r="2998" spans="1:5">
      <c r="A2998" s="110" t="s">
        <v>8798</v>
      </c>
      <c r="B2998" s="110" t="s">
        <v>1327</v>
      </c>
      <c r="C2998" s="111" t="s">
        <v>8799</v>
      </c>
      <c r="D2998" s="111" t="str">
        <f t="shared" ref="D2998:E2998" si="2996">TRIM(B2998)</f>
        <v>Delaware</v>
      </c>
      <c r="E2998" s="111" t="str">
        <f t="shared" si="2996"/>
        <v>Claymont</v>
      </c>
    </row>
    <row r="2999" spans="1:5">
      <c r="A2999" s="3" t="s">
        <v>8803</v>
      </c>
      <c r="B2999" s="110" t="s">
        <v>1327</v>
      </c>
      <c r="C2999" s="111" t="s">
        <v>1640</v>
      </c>
      <c r="D2999" s="111" t="str">
        <f t="shared" ref="D2999:E2999" si="2997">TRIM(B2999)</f>
        <v>Delaware</v>
      </c>
      <c r="E2999" s="111" t="str">
        <f t="shared" si="2997"/>
        <v>Clayton</v>
      </c>
    </row>
    <row r="3000" spans="1:5">
      <c r="A3000" s="3" t="s">
        <v>8804</v>
      </c>
      <c r="B3000" s="110" t="s">
        <v>1327</v>
      </c>
      <c r="C3000" s="111" t="s">
        <v>8806</v>
      </c>
      <c r="D3000" s="111" t="str">
        <f t="shared" ref="D3000:E3000" si="2998">TRIM(B3000)</f>
        <v>Delaware</v>
      </c>
      <c r="E3000" s="111" t="str">
        <f t="shared" si="2998"/>
        <v>Dagsboro</v>
      </c>
    </row>
    <row r="3001" spans="1:5">
      <c r="A3001" s="3" t="s">
        <v>8808</v>
      </c>
      <c r="B3001" s="110" t="s">
        <v>1327</v>
      </c>
      <c r="C3001" s="111" t="s">
        <v>8809</v>
      </c>
      <c r="D3001" s="111" t="str">
        <f t="shared" ref="D3001:E3001" si="2999">TRIM(B3001)</f>
        <v>Delaware</v>
      </c>
      <c r="E3001" s="111" t="str">
        <f t="shared" si="2999"/>
        <v>Delmar</v>
      </c>
    </row>
    <row r="3002" spans="1:5">
      <c r="A3002" s="3" t="s">
        <v>3743</v>
      </c>
      <c r="B3002" s="110" t="s">
        <v>1327</v>
      </c>
      <c r="C3002" s="111" t="s">
        <v>3744</v>
      </c>
      <c r="D3002" s="111" t="str">
        <f t="shared" ref="D3002:E3002" si="3000">TRIM(B3002)</f>
        <v>Delaware</v>
      </c>
      <c r="E3002" s="111" t="str">
        <f t="shared" si="3000"/>
        <v>Dover</v>
      </c>
    </row>
    <row r="3003" spans="1:5">
      <c r="A3003" s="3" t="s">
        <v>8812</v>
      </c>
      <c r="B3003" s="110" t="s">
        <v>1327</v>
      </c>
      <c r="C3003" s="111" t="s">
        <v>3744</v>
      </c>
      <c r="D3003" s="111" t="str">
        <f t="shared" ref="D3003:E3003" si="3001">TRIM(B3003)</f>
        <v>Delaware</v>
      </c>
      <c r="E3003" s="111" t="str">
        <f t="shared" si="3001"/>
        <v>Dover</v>
      </c>
    </row>
    <row r="3004" spans="1:5">
      <c r="A3004" s="3" t="s">
        <v>8814</v>
      </c>
      <c r="B3004" s="110" t="s">
        <v>1327</v>
      </c>
      <c r="C3004" s="111" t="s">
        <v>5018</v>
      </c>
      <c r="D3004" s="111" t="str">
        <f t="shared" ref="D3004:E3004" si="3002">TRIM(B3004)</f>
        <v>Delaware</v>
      </c>
      <c r="E3004" s="111" t="str">
        <f t="shared" si="3002"/>
        <v>Felton</v>
      </c>
    </row>
    <row r="3005" spans="1:5">
      <c r="A3005" s="3" t="s">
        <v>8816</v>
      </c>
      <c r="B3005" s="110" t="s">
        <v>1327</v>
      </c>
      <c r="C3005" s="111" t="s">
        <v>8818</v>
      </c>
      <c r="D3005" s="111" t="str">
        <f t="shared" ref="D3005:E3005" si="3003">TRIM(B3005)</f>
        <v>Delaware</v>
      </c>
      <c r="E3005" s="111" t="str">
        <f t="shared" si="3003"/>
        <v>Georgetown</v>
      </c>
    </row>
    <row r="3006" spans="1:5">
      <c r="A3006" s="3" t="s">
        <v>8820</v>
      </c>
      <c r="B3006" s="110" t="s">
        <v>1327</v>
      </c>
      <c r="C3006" s="111" t="s">
        <v>8818</v>
      </c>
      <c r="D3006" s="111" t="str">
        <f t="shared" ref="D3006:E3006" si="3004">TRIM(B3006)</f>
        <v>Delaware</v>
      </c>
      <c r="E3006" s="111" t="str">
        <f t="shared" si="3004"/>
        <v>Georgetown</v>
      </c>
    </row>
    <row r="3007" spans="1:5">
      <c r="A3007" s="3" t="s">
        <v>5346</v>
      </c>
      <c r="B3007" s="110" t="s">
        <v>1327</v>
      </c>
      <c r="C3007" s="111" t="s">
        <v>3820</v>
      </c>
      <c r="D3007" s="111" t="str">
        <f t="shared" ref="D3007:E3007" si="3005">TRIM(B3007)</f>
        <v>Delaware</v>
      </c>
      <c r="E3007" s="111" t="str">
        <f t="shared" si="3005"/>
        <v>Greenwood</v>
      </c>
    </row>
    <row r="3008" spans="1:5">
      <c r="A3008" s="3" t="s">
        <v>8823</v>
      </c>
      <c r="B3008" s="110" t="s">
        <v>1327</v>
      </c>
      <c r="C3008" s="111" t="s">
        <v>8825</v>
      </c>
      <c r="D3008" s="111" t="str">
        <f t="shared" ref="D3008:E3008" si="3006">TRIM(B3008)</f>
        <v>Delaware</v>
      </c>
      <c r="E3008" s="111" t="str">
        <f t="shared" si="3006"/>
        <v>Laurel</v>
      </c>
    </row>
    <row r="3009" spans="1:5">
      <c r="A3009" s="3" t="s">
        <v>8826</v>
      </c>
      <c r="B3009" s="110" t="s">
        <v>1327</v>
      </c>
      <c r="C3009" s="111" t="s">
        <v>8827</v>
      </c>
      <c r="D3009" s="111" t="str">
        <f t="shared" ref="D3009:E3009" si="3007">TRIM(B3009)</f>
        <v>Delaware</v>
      </c>
      <c r="E3009" s="111" t="str">
        <f t="shared" si="3007"/>
        <v>Lewes</v>
      </c>
    </row>
    <row r="3010" spans="1:5">
      <c r="A3010" s="3" t="s">
        <v>8828</v>
      </c>
      <c r="B3010" s="110" t="s">
        <v>1327</v>
      </c>
      <c r="C3010" s="111" t="s">
        <v>500</v>
      </c>
      <c r="D3010" s="111" t="str">
        <f t="shared" ref="D3010:E3010" si="3008">TRIM(B3010)</f>
        <v>Delaware</v>
      </c>
      <c r="E3010" s="111" t="str">
        <f t="shared" si="3008"/>
        <v>Middletown</v>
      </c>
    </row>
    <row r="3011" spans="1:5">
      <c r="A3011" s="3" t="s">
        <v>5945</v>
      </c>
      <c r="B3011" s="110" t="s">
        <v>1327</v>
      </c>
      <c r="C3011" s="111" t="s">
        <v>500</v>
      </c>
      <c r="D3011" s="111" t="str">
        <f t="shared" ref="D3011:E3011" si="3009">TRIM(B3011)</f>
        <v>Delaware</v>
      </c>
      <c r="E3011" s="111" t="str">
        <f t="shared" si="3009"/>
        <v>Middletown</v>
      </c>
    </row>
    <row r="3012" spans="1:5">
      <c r="A3012" s="3" t="s">
        <v>8831</v>
      </c>
      <c r="B3012" s="110" t="s">
        <v>1327</v>
      </c>
      <c r="C3012" s="111" t="s">
        <v>8552</v>
      </c>
      <c r="D3012" s="111" t="str">
        <f t="shared" ref="D3012:E3012" si="3010">TRIM(B3012)</f>
        <v>Delaware</v>
      </c>
      <c r="E3012" s="111" t="str">
        <f t="shared" si="3010"/>
        <v>Milford</v>
      </c>
    </row>
    <row r="3013" spans="1:5">
      <c r="A3013" s="3" t="s">
        <v>8832</v>
      </c>
      <c r="B3013" s="110" t="s">
        <v>1327</v>
      </c>
      <c r="C3013" s="111" t="s">
        <v>8130</v>
      </c>
      <c r="D3013" s="111" t="str">
        <f t="shared" ref="D3013:E3013" si="3011">TRIM(B3013)</f>
        <v>Delaware</v>
      </c>
      <c r="E3013" s="111" t="str">
        <f t="shared" si="3011"/>
        <v>New Castle</v>
      </c>
    </row>
    <row r="3014" spans="1:5">
      <c r="A3014" s="3" t="s">
        <v>8834</v>
      </c>
      <c r="B3014" s="110" t="s">
        <v>1327</v>
      </c>
      <c r="C3014" s="111" t="s">
        <v>499</v>
      </c>
      <c r="D3014" s="111" t="str">
        <f t="shared" ref="D3014:E3014" si="3012">TRIM(B3014)</f>
        <v>Delaware</v>
      </c>
      <c r="E3014" s="111" t="str">
        <f t="shared" si="3012"/>
        <v>Newark</v>
      </c>
    </row>
    <row r="3015" spans="1:5">
      <c r="A3015" s="3" t="s">
        <v>8836</v>
      </c>
      <c r="B3015" s="110" t="s">
        <v>1327</v>
      </c>
      <c r="C3015" s="111" t="s">
        <v>499</v>
      </c>
      <c r="D3015" s="111" t="str">
        <f t="shared" ref="D3015:E3015" si="3013">TRIM(B3015)</f>
        <v>Delaware</v>
      </c>
      <c r="E3015" s="111" t="str">
        <f t="shared" si="3013"/>
        <v>Newark</v>
      </c>
    </row>
    <row r="3016" spans="1:5">
      <c r="A3016" s="3" t="s">
        <v>8837</v>
      </c>
      <c r="B3016" s="110" t="s">
        <v>1327</v>
      </c>
      <c r="C3016" s="111" t="s">
        <v>499</v>
      </c>
      <c r="D3016" s="111" t="str">
        <f t="shared" ref="D3016:E3016" si="3014">TRIM(B3016)</f>
        <v>Delaware</v>
      </c>
      <c r="E3016" s="111" t="str">
        <f t="shared" si="3014"/>
        <v>Newark</v>
      </c>
    </row>
    <row r="3017" spans="1:5">
      <c r="A3017" s="3" t="s">
        <v>8840</v>
      </c>
      <c r="B3017" s="110" t="s">
        <v>1327</v>
      </c>
      <c r="C3017" s="111" t="s">
        <v>499</v>
      </c>
      <c r="D3017" s="111" t="str">
        <f t="shared" ref="D3017:E3017" si="3015">TRIM(B3017)</f>
        <v>Delaware</v>
      </c>
      <c r="E3017" s="111" t="str">
        <f t="shared" si="3015"/>
        <v>Newark</v>
      </c>
    </row>
    <row r="3018" spans="1:5">
      <c r="A3018" s="3" t="s">
        <v>8841</v>
      </c>
      <c r="B3018" s="110" t="s">
        <v>1327</v>
      </c>
      <c r="C3018" s="111" t="s">
        <v>8842</v>
      </c>
      <c r="D3018" s="111" t="str">
        <f t="shared" ref="D3018:E3018" si="3016">TRIM(B3018)</f>
        <v>Delaware</v>
      </c>
      <c r="E3018" s="111" t="str">
        <f t="shared" si="3016"/>
        <v>Seaford</v>
      </c>
    </row>
    <row r="3019" spans="1:5">
      <c r="A3019" s="3" t="s">
        <v>8844</v>
      </c>
      <c r="B3019" s="110" t="s">
        <v>1327</v>
      </c>
      <c r="C3019" s="111" t="s">
        <v>8845</v>
      </c>
      <c r="D3019" s="111" t="str">
        <f t="shared" ref="D3019:E3019" si="3017">TRIM(B3019)</f>
        <v>Delaware</v>
      </c>
      <c r="E3019" s="111" t="str">
        <f t="shared" si="3017"/>
        <v>Smyrna</v>
      </c>
    </row>
    <row r="3020" spans="1:5">
      <c r="A3020" s="3" t="s">
        <v>8847</v>
      </c>
      <c r="B3020" s="110" t="s">
        <v>1327</v>
      </c>
      <c r="C3020" s="111" t="s">
        <v>272</v>
      </c>
      <c r="D3020" s="111" t="str">
        <f t="shared" ref="D3020:E3020" si="3018">TRIM(B3020)</f>
        <v>Delaware</v>
      </c>
      <c r="E3020" s="111" t="str">
        <f t="shared" si="3018"/>
        <v>Wilmington</v>
      </c>
    </row>
    <row r="3021" spans="1:5">
      <c r="A3021" s="110" t="s">
        <v>8851</v>
      </c>
      <c r="B3021" s="110" t="s">
        <v>1327</v>
      </c>
      <c r="C3021" s="111" t="s">
        <v>272</v>
      </c>
      <c r="D3021" s="111" t="str">
        <f t="shared" ref="D3021:E3021" si="3019">TRIM(B3021)</f>
        <v>Delaware</v>
      </c>
      <c r="E3021" s="111" t="str">
        <f t="shared" si="3019"/>
        <v>Wilmington</v>
      </c>
    </row>
    <row r="3022" spans="1:5">
      <c r="A3022" s="110" t="s">
        <v>8853</v>
      </c>
      <c r="B3022" s="110" t="s">
        <v>1327</v>
      </c>
      <c r="C3022" s="111" t="s">
        <v>272</v>
      </c>
      <c r="D3022" s="111" t="str">
        <f t="shared" ref="D3022:E3022" si="3020">TRIM(B3022)</f>
        <v>Delaware</v>
      </c>
      <c r="E3022" s="111" t="str">
        <f t="shared" si="3020"/>
        <v>Wilmington</v>
      </c>
    </row>
    <row r="3023" spans="1:5">
      <c r="A3023" s="3" t="s">
        <v>3702</v>
      </c>
      <c r="B3023" s="110" t="s">
        <v>1327</v>
      </c>
      <c r="C3023" s="111" t="s">
        <v>272</v>
      </c>
      <c r="D3023" s="111" t="str">
        <f t="shared" ref="D3023:E3023" si="3021">TRIM(B3023)</f>
        <v>Delaware</v>
      </c>
      <c r="E3023" s="111" t="str">
        <f t="shared" si="3021"/>
        <v>Wilmington</v>
      </c>
    </row>
    <row r="3024" spans="1:5">
      <c r="A3024" s="110" t="s">
        <v>8857</v>
      </c>
      <c r="B3024" s="110" t="s">
        <v>1327</v>
      </c>
      <c r="C3024" s="111" t="s">
        <v>272</v>
      </c>
      <c r="D3024" s="111" t="str">
        <f t="shared" ref="D3024:E3024" si="3022">TRIM(B3024)</f>
        <v>Delaware</v>
      </c>
      <c r="E3024" s="111" t="str">
        <f t="shared" si="3022"/>
        <v>Wilmington</v>
      </c>
    </row>
    <row r="3025" spans="1:5">
      <c r="A3025" s="3" t="s">
        <v>8858</v>
      </c>
      <c r="B3025" s="110" t="s">
        <v>1327</v>
      </c>
      <c r="C3025" s="111" t="s">
        <v>272</v>
      </c>
      <c r="D3025" s="111" t="str">
        <f t="shared" ref="D3025:E3025" si="3023">TRIM(B3025)</f>
        <v>Delaware</v>
      </c>
      <c r="E3025" s="111" t="str">
        <f t="shared" si="3023"/>
        <v>Wilmington</v>
      </c>
    </row>
    <row r="3026" spans="1:5">
      <c r="A3026" s="3" t="s">
        <v>8862</v>
      </c>
      <c r="B3026" s="110" t="s">
        <v>1327</v>
      </c>
      <c r="C3026" s="112" t="s">
        <v>272</v>
      </c>
      <c r="D3026" s="111" t="str">
        <f t="shared" ref="D3026:E3026" si="3024">TRIM(B3026)</f>
        <v>Delaware</v>
      </c>
      <c r="E3026" s="111" t="str">
        <f t="shared" si="3024"/>
        <v>Wilmington</v>
      </c>
    </row>
    <row r="3027" spans="1:5">
      <c r="A3027" s="3" t="s">
        <v>8863</v>
      </c>
      <c r="B3027" s="110" t="s">
        <v>1327</v>
      </c>
      <c r="C3027" s="111" t="s">
        <v>272</v>
      </c>
      <c r="D3027" s="111" t="str">
        <f t="shared" ref="D3027:E3027" si="3025">TRIM(B3027)</f>
        <v>Delaware</v>
      </c>
      <c r="E3027" s="111" t="str">
        <f t="shared" si="3025"/>
        <v>Wilmington</v>
      </c>
    </row>
    <row r="3028" spans="1:5">
      <c r="A3028" s="110" t="s">
        <v>8867</v>
      </c>
      <c r="B3028" s="110" t="s">
        <v>1327</v>
      </c>
      <c r="C3028" s="111" t="s">
        <v>272</v>
      </c>
      <c r="D3028" s="111" t="str">
        <f t="shared" ref="D3028:E3028" si="3026">TRIM(B3028)</f>
        <v>Delaware</v>
      </c>
      <c r="E3028" s="111" t="str">
        <f t="shared" si="3026"/>
        <v>Wilmington</v>
      </c>
    </row>
    <row r="3029" spans="1:5">
      <c r="A3029" s="3" t="s">
        <v>8868</v>
      </c>
      <c r="B3029" s="110" t="s">
        <v>1327</v>
      </c>
      <c r="C3029" s="111" t="s">
        <v>272</v>
      </c>
      <c r="D3029" s="111" t="str">
        <f t="shared" ref="D3029:E3029" si="3027">TRIM(B3029)</f>
        <v>Delaware</v>
      </c>
      <c r="E3029" s="111" t="str">
        <f t="shared" si="3027"/>
        <v>Wilmington</v>
      </c>
    </row>
    <row r="3030" spans="1:5">
      <c r="A3030" s="3" t="s">
        <v>8871</v>
      </c>
      <c r="B3030" s="110" t="s">
        <v>1327</v>
      </c>
      <c r="C3030" s="111" t="s">
        <v>272</v>
      </c>
      <c r="D3030" s="111" t="str">
        <f t="shared" ref="D3030:E3030" si="3028">TRIM(B3030)</f>
        <v>Delaware</v>
      </c>
      <c r="E3030" s="111" t="str">
        <f t="shared" si="3028"/>
        <v>Wilmington</v>
      </c>
    </row>
    <row r="3031" spans="1:5">
      <c r="A3031" s="3" t="s">
        <v>8873</v>
      </c>
      <c r="B3031" s="110" t="s">
        <v>1382</v>
      </c>
      <c r="C3031" s="111" t="s">
        <v>276</v>
      </c>
      <c r="D3031" s="111" t="str">
        <f t="shared" ref="D3031:E3031" si="3029">TRIM(B3031)</f>
        <v>District Of Columbia</v>
      </c>
      <c r="E3031" s="111" t="str">
        <f t="shared" si="3029"/>
        <v>Washington</v>
      </c>
    </row>
    <row r="3032" spans="1:5">
      <c r="A3032" s="3" t="s">
        <v>8876</v>
      </c>
      <c r="B3032" s="110" t="s">
        <v>1382</v>
      </c>
      <c r="C3032" s="111" t="s">
        <v>276</v>
      </c>
      <c r="D3032" s="111" t="str">
        <f t="shared" ref="D3032:E3032" si="3030">TRIM(B3032)</f>
        <v>District Of Columbia</v>
      </c>
      <c r="E3032" s="111" t="str">
        <f t="shared" si="3030"/>
        <v>Washington</v>
      </c>
    </row>
    <row r="3033" spans="1:5">
      <c r="A3033" s="110" t="s">
        <v>8878</v>
      </c>
      <c r="B3033" s="110" t="s">
        <v>1382</v>
      </c>
      <c r="C3033" s="111" t="s">
        <v>276</v>
      </c>
      <c r="D3033" s="111" t="str">
        <f t="shared" ref="D3033:E3033" si="3031">TRIM(B3033)</f>
        <v>District Of Columbia</v>
      </c>
      <c r="E3033" s="111" t="str">
        <f t="shared" si="3031"/>
        <v>Washington</v>
      </c>
    </row>
    <row r="3034" spans="1:5">
      <c r="A3034" s="3" t="s">
        <v>8880</v>
      </c>
      <c r="B3034" s="110" t="s">
        <v>1382</v>
      </c>
      <c r="C3034" s="111" t="s">
        <v>276</v>
      </c>
      <c r="D3034" s="111" t="str">
        <f t="shared" ref="D3034:E3034" si="3032">TRIM(B3034)</f>
        <v>District Of Columbia</v>
      </c>
      <c r="E3034" s="111" t="str">
        <f t="shared" si="3032"/>
        <v>Washington</v>
      </c>
    </row>
    <row r="3035" spans="1:5">
      <c r="A3035" s="3" t="s">
        <v>8882</v>
      </c>
      <c r="B3035" s="110" t="s">
        <v>1382</v>
      </c>
      <c r="C3035" s="111" t="s">
        <v>276</v>
      </c>
      <c r="D3035" s="111" t="str">
        <f t="shared" ref="D3035:E3035" si="3033">TRIM(B3035)</f>
        <v>District Of Columbia</v>
      </c>
      <c r="E3035" s="111" t="str">
        <f t="shared" si="3033"/>
        <v>Washington</v>
      </c>
    </row>
    <row r="3036" spans="1:5">
      <c r="A3036" s="110" t="s">
        <v>8883</v>
      </c>
      <c r="B3036" s="110" t="s">
        <v>1382</v>
      </c>
      <c r="C3036" s="111" t="s">
        <v>276</v>
      </c>
      <c r="D3036" s="111" t="str">
        <f t="shared" ref="D3036:E3036" si="3034">TRIM(B3036)</f>
        <v>District Of Columbia</v>
      </c>
      <c r="E3036" s="111" t="str">
        <f t="shared" si="3034"/>
        <v>Washington</v>
      </c>
    </row>
    <row r="3037" spans="1:5">
      <c r="A3037" s="110" t="s">
        <v>8885</v>
      </c>
      <c r="B3037" s="110" t="s">
        <v>1382</v>
      </c>
      <c r="C3037" s="111" t="s">
        <v>276</v>
      </c>
      <c r="D3037" s="111" t="str">
        <f t="shared" ref="D3037:E3037" si="3035">TRIM(B3037)</f>
        <v>District Of Columbia</v>
      </c>
      <c r="E3037" s="111" t="str">
        <f t="shared" si="3035"/>
        <v>Washington</v>
      </c>
    </row>
    <row r="3038" spans="1:5">
      <c r="A3038" s="3" t="s">
        <v>8888</v>
      </c>
      <c r="B3038" s="110" t="s">
        <v>1382</v>
      </c>
      <c r="C3038" s="111" t="s">
        <v>276</v>
      </c>
      <c r="D3038" s="111" t="str">
        <f t="shared" ref="D3038:E3038" si="3036">TRIM(B3038)</f>
        <v>District Of Columbia</v>
      </c>
      <c r="E3038" s="111" t="str">
        <f t="shared" si="3036"/>
        <v>Washington</v>
      </c>
    </row>
    <row r="3039" spans="1:5">
      <c r="A3039" s="110" t="s">
        <v>8889</v>
      </c>
      <c r="B3039" s="110" t="s">
        <v>1382</v>
      </c>
      <c r="C3039" s="111" t="s">
        <v>276</v>
      </c>
      <c r="D3039" s="111" t="str">
        <f t="shared" ref="D3039:E3039" si="3037">TRIM(B3039)</f>
        <v>District Of Columbia</v>
      </c>
      <c r="E3039" s="111" t="str">
        <f t="shared" si="3037"/>
        <v>Washington</v>
      </c>
    </row>
    <row r="3040" spans="1:5">
      <c r="A3040" s="3" t="s">
        <v>2576</v>
      </c>
      <c r="B3040" s="110" t="s">
        <v>1382</v>
      </c>
      <c r="C3040" s="111" t="s">
        <v>276</v>
      </c>
      <c r="D3040" s="111" t="str">
        <f t="shared" ref="D3040:E3040" si="3038">TRIM(B3040)</f>
        <v>District Of Columbia</v>
      </c>
      <c r="E3040" s="111" t="str">
        <f t="shared" si="3038"/>
        <v>Washington</v>
      </c>
    </row>
    <row r="3041" spans="1:5">
      <c r="A3041" s="110" t="s">
        <v>8893</v>
      </c>
      <c r="B3041" s="110" t="s">
        <v>1382</v>
      </c>
      <c r="C3041" s="111" t="s">
        <v>276</v>
      </c>
      <c r="D3041" s="111" t="str">
        <f t="shared" ref="D3041:E3041" si="3039">TRIM(B3041)</f>
        <v>District Of Columbia</v>
      </c>
      <c r="E3041" s="111" t="str">
        <f t="shared" si="3039"/>
        <v>Washington</v>
      </c>
    </row>
    <row r="3042" spans="1:5">
      <c r="A3042" s="3" t="s">
        <v>8894</v>
      </c>
      <c r="B3042" s="110" t="s">
        <v>1382</v>
      </c>
      <c r="C3042" s="111" t="s">
        <v>276</v>
      </c>
      <c r="D3042" s="111" t="str">
        <f t="shared" ref="D3042:E3042" si="3040">TRIM(B3042)</f>
        <v>District Of Columbia</v>
      </c>
      <c r="E3042" s="111" t="str">
        <f t="shared" si="3040"/>
        <v>Washington</v>
      </c>
    </row>
    <row r="3043" spans="1:5">
      <c r="A3043" s="3" t="s">
        <v>8896</v>
      </c>
      <c r="B3043" s="110" t="s">
        <v>1382</v>
      </c>
      <c r="C3043" s="111" t="s">
        <v>276</v>
      </c>
      <c r="D3043" s="111" t="str">
        <f t="shared" ref="D3043:E3043" si="3041">TRIM(B3043)</f>
        <v>District Of Columbia</v>
      </c>
      <c r="E3043" s="111" t="str">
        <f t="shared" si="3041"/>
        <v>Washington</v>
      </c>
    </row>
    <row r="3044" spans="1:5">
      <c r="A3044" s="3" t="s">
        <v>8899</v>
      </c>
      <c r="B3044" s="110" t="s">
        <v>1382</v>
      </c>
      <c r="C3044" s="111" t="s">
        <v>276</v>
      </c>
      <c r="D3044" s="111" t="str">
        <f t="shared" ref="D3044:E3044" si="3042">TRIM(B3044)</f>
        <v>District Of Columbia</v>
      </c>
      <c r="E3044" s="111" t="str">
        <f t="shared" si="3042"/>
        <v>Washington</v>
      </c>
    </row>
    <row r="3045" spans="1:5">
      <c r="A3045" s="3" t="s">
        <v>8900</v>
      </c>
      <c r="B3045" s="110" t="s">
        <v>1382</v>
      </c>
      <c r="C3045" s="111" t="s">
        <v>276</v>
      </c>
      <c r="D3045" s="111" t="str">
        <f t="shared" ref="D3045:E3045" si="3043">TRIM(B3045)</f>
        <v>District Of Columbia</v>
      </c>
      <c r="E3045" s="111" t="str">
        <f t="shared" si="3043"/>
        <v>Washington</v>
      </c>
    </row>
    <row r="3046" spans="1:5">
      <c r="A3046" s="3" t="s">
        <v>8904</v>
      </c>
      <c r="B3046" s="110" t="s">
        <v>1382</v>
      </c>
      <c r="C3046" s="111" t="s">
        <v>276</v>
      </c>
      <c r="D3046" s="111" t="str">
        <f t="shared" ref="D3046:E3046" si="3044">TRIM(B3046)</f>
        <v>District Of Columbia</v>
      </c>
      <c r="E3046" s="111" t="str">
        <f t="shared" si="3044"/>
        <v>Washington</v>
      </c>
    </row>
    <row r="3047" spans="1:5">
      <c r="A3047" s="110" t="s">
        <v>8905</v>
      </c>
      <c r="B3047" s="110" t="s">
        <v>1382</v>
      </c>
      <c r="C3047" s="111" t="s">
        <v>276</v>
      </c>
      <c r="D3047" s="111" t="str">
        <f t="shared" ref="D3047:E3047" si="3045">TRIM(B3047)</f>
        <v>District Of Columbia</v>
      </c>
      <c r="E3047" s="111" t="str">
        <f t="shared" si="3045"/>
        <v>Washington</v>
      </c>
    </row>
    <row r="3048" spans="1:5">
      <c r="A3048" s="3" t="s">
        <v>8906</v>
      </c>
      <c r="B3048" s="110" t="s">
        <v>1382</v>
      </c>
      <c r="C3048" s="111" t="s">
        <v>276</v>
      </c>
      <c r="D3048" s="111" t="str">
        <f t="shared" ref="D3048:E3048" si="3046">TRIM(B3048)</f>
        <v>District Of Columbia</v>
      </c>
      <c r="E3048" s="111" t="str">
        <f t="shared" si="3046"/>
        <v>Washington</v>
      </c>
    </row>
    <row r="3049" spans="1:5">
      <c r="A3049" s="110" t="s">
        <v>8910</v>
      </c>
      <c r="B3049" s="110" t="s">
        <v>1382</v>
      </c>
      <c r="C3049" s="111" t="s">
        <v>276</v>
      </c>
      <c r="D3049" s="111" t="str">
        <f t="shared" ref="D3049:E3049" si="3047">TRIM(B3049)</f>
        <v>District Of Columbia</v>
      </c>
      <c r="E3049" s="111" t="str">
        <f t="shared" si="3047"/>
        <v>Washington</v>
      </c>
    </row>
    <row r="3050" spans="1:5">
      <c r="A3050" s="3" t="s">
        <v>8911</v>
      </c>
      <c r="B3050" s="110" t="s">
        <v>1382</v>
      </c>
      <c r="C3050" s="111" t="s">
        <v>276</v>
      </c>
      <c r="D3050" s="111" t="str">
        <f t="shared" ref="D3050:E3050" si="3048">TRIM(B3050)</f>
        <v>District Of Columbia</v>
      </c>
      <c r="E3050" s="111" t="str">
        <f t="shared" si="3048"/>
        <v>Washington</v>
      </c>
    </row>
    <row r="3051" spans="1:5">
      <c r="A3051" s="3" t="s">
        <v>8913</v>
      </c>
      <c r="B3051" s="110" t="s">
        <v>1382</v>
      </c>
      <c r="C3051" s="111" t="s">
        <v>276</v>
      </c>
      <c r="D3051" s="111" t="str">
        <f t="shared" ref="D3051:E3051" si="3049">TRIM(B3051)</f>
        <v>District Of Columbia</v>
      </c>
      <c r="E3051" s="111" t="str">
        <f t="shared" si="3049"/>
        <v>Washington</v>
      </c>
    </row>
    <row r="3052" spans="1:5">
      <c r="A3052" s="3" t="s">
        <v>8916</v>
      </c>
      <c r="B3052" s="110" t="s">
        <v>1382</v>
      </c>
      <c r="C3052" s="111" t="s">
        <v>276</v>
      </c>
      <c r="D3052" s="111" t="str">
        <f t="shared" ref="D3052:E3052" si="3050">TRIM(B3052)</f>
        <v>District Of Columbia</v>
      </c>
      <c r="E3052" s="111" t="str">
        <f t="shared" si="3050"/>
        <v>Washington</v>
      </c>
    </row>
    <row r="3053" spans="1:5">
      <c r="A3053" s="3" t="s">
        <v>8917</v>
      </c>
      <c r="B3053" s="110" t="s">
        <v>1382</v>
      </c>
      <c r="C3053" s="111" t="s">
        <v>276</v>
      </c>
      <c r="D3053" s="111" t="str">
        <f t="shared" ref="D3053:E3053" si="3051">TRIM(B3053)</f>
        <v>District Of Columbia</v>
      </c>
      <c r="E3053" s="111" t="str">
        <f t="shared" si="3051"/>
        <v>Washington</v>
      </c>
    </row>
    <row r="3054" spans="1:5">
      <c r="A3054" s="3" t="s">
        <v>8919</v>
      </c>
      <c r="B3054" s="110" t="s">
        <v>1382</v>
      </c>
      <c r="C3054" s="111" t="s">
        <v>276</v>
      </c>
      <c r="D3054" s="111" t="str">
        <f t="shared" ref="D3054:E3054" si="3052">TRIM(B3054)</f>
        <v>District Of Columbia</v>
      </c>
      <c r="E3054" s="111" t="str">
        <f t="shared" si="3052"/>
        <v>Washington</v>
      </c>
    </row>
    <row r="3055" spans="1:5">
      <c r="A3055" s="3" t="s">
        <v>8921</v>
      </c>
      <c r="B3055" s="110" t="s">
        <v>1382</v>
      </c>
      <c r="C3055" s="111" t="s">
        <v>276</v>
      </c>
      <c r="D3055" s="111" t="str">
        <f t="shared" ref="D3055:E3055" si="3053">TRIM(B3055)</f>
        <v>District Of Columbia</v>
      </c>
      <c r="E3055" s="111" t="str">
        <f t="shared" si="3053"/>
        <v>Washington</v>
      </c>
    </row>
    <row r="3056" spans="1:5">
      <c r="A3056" s="110" t="s">
        <v>8922</v>
      </c>
      <c r="B3056" s="110" t="s">
        <v>1382</v>
      </c>
      <c r="C3056" s="111" t="s">
        <v>276</v>
      </c>
      <c r="D3056" s="111" t="str">
        <f t="shared" ref="D3056:E3056" si="3054">TRIM(B3056)</f>
        <v>District Of Columbia</v>
      </c>
      <c r="E3056" s="111" t="str">
        <f t="shared" si="3054"/>
        <v>Washington</v>
      </c>
    </row>
    <row r="3057" spans="1:5">
      <c r="A3057" s="3" t="s">
        <v>5101</v>
      </c>
      <c r="B3057" s="110" t="s">
        <v>1382</v>
      </c>
      <c r="C3057" s="111" t="s">
        <v>276</v>
      </c>
      <c r="D3057" s="111" t="str">
        <f t="shared" ref="D3057:E3057" si="3055">TRIM(B3057)</f>
        <v>District Of Columbia</v>
      </c>
      <c r="E3057" s="111" t="str">
        <f t="shared" si="3055"/>
        <v>Washington</v>
      </c>
    </row>
    <row r="3058" spans="1:5">
      <c r="A3058" s="3" t="s">
        <v>8925</v>
      </c>
      <c r="B3058" s="110" t="s">
        <v>1382</v>
      </c>
      <c r="C3058" s="111" t="s">
        <v>276</v>
      </c>
      <c r="D3058" s="111" t="str">
        <f t="shared" ref="D3058:E3058" si="3056">TRIM(B3058)</f>
        <v>District Of Columbia</v>
      </c>
      <c r="E3058" s="111" t="str">
        <f t="shared" si="3056"/>
        <v>Washington</v>
      </c>
    </row>
    <row r="3059" spans="1:5">
      <c r="A3059" s="110" t="s">
        <v>8927</v>
      </c>
      <c r="B3059" s="110" t="s">
        <v>1382</v>
      </c>
      <c r="C3059" s="111" t="s">
        <v>276</v>
      </c>
      <c r="D3059" s="111" t="str">
        <f t="shared" ref="D3059:E3059" si="3057">TRIM(B3059)</f>
        <v>District Of Columbia</v>
      </c>
      <c r="E3059" s="111" t="str">
        <f t="shared" si="3057"/>
        <v>Washington</v>
      </c>
    </row>
    <row r="3060" spans="1:5">
      <c r="A3060" s="3" t="s">
        <v>8931</v>
      </c>
      <c r="B3060" s="110" t="s">
        <v>1382</v>
      </c>
      <c r="C3060" s="111" t="s">
        <v>276</v>
      </c>
      <c r="D3060" s="111" t="str">
        <f t="shared" ref="D3060:E3060" si="3058">TRIM(B3060)</f>
        <v>District Of Columbia</v>
      </c>
      <c r="E3060" s="111" t="str">
        <f t="shared" si="3058"/>
        <v>Washington</v>
      </c>
    </row>
    <row r="3061" spans="1:5">
      <c r="A3061" s="3" t="s">
        <v>8932</v>
      </c>
      <c r="B3061" s="110" t="s">
        <v>1382</v>
      </c>
      <c r="C3061" s="111" t="s">
        <v>276</v>
      </c>
      <c r="D3061" s="111" t="str">
        <f t="shared" ref="D3061:E3061" si="3059">TRIM(B3061)</f>
        <v>District Of Columbia</v>
      </c>
      <c r="E3061" s="111" t="str">
        <f t="shared" si="3059"/>
        <v>Washington</v>
      </c>
    </row>
    <row r="3062" spans="1:5">
      <c r="A3062" s="110" t="s">
        <v>8934</v>
      </c>
      <c r="B3062" s="110" t="s">
        <v>1382</v>
      </c>
      <c r="C3062" s="111" t="s">
        <v>276</v>
      </c>
      <c r="D3062" s="111" t="str">
        <f t="shared" ref="D3062:E3062" si="3060">TRIM(B3062)</f>
        <v>District Of Columbia</v>
      </c>
      <c r="E3062" s="111" t="str">
        <f t="shared" si="3060"/>
        <v>Washington</v>
      </c>
    </row>
    <row r="3063" spans="1:5">
      <c r="A3063" s="3" t="s">
        <v>8935</v>
      </c>
      <c r="B3063" s="110" t="s">
        <v>1382</v>
      </c>
      <c r="C3063" s="111" t="s">
        <v>276</v>
      </c>
      <c r="D3063" s="111" t="str">
        <f t="shared" ref="D3063:E3063" si="3061">TRIM(B3063)</f>
        <v>District Of Columbia</v>
      </c>
      <c r="E3063" s="111" t="str">
        <f t="shared" si="3061"/>
        <v>Washington</v>
      </c>
    </row>
    <row r="3064" spans="1:5">
      <c r="A3064" s="3" t="s">
        <v>7069</v>
      </c>
      <c r="B3064" s="110" t="s">
        <v>1328</v>
      </c>
      <c r="C3064" s="111" t="s">
        <v>8937</v>
      </c>
      <c r="D3064" s="111" t="str">
        <f t="shared" ref="D3064:E3064" si="3062">TRIM(B3064)</f>
        <v>Florida</v>
      </c>
      <c r="E3064" s="111" t="str">
        <f t="shared" si="3062"/>
        <v>Alachua</v>
      </c>
    </row>
    <row r="3065" spans="1:5">
      <c r="A3065" s="3" t="s">
        <v>8940</v>
      </c>
      <c r="B3065" s="110" t="s">
        <v>1328</v>
      </c>
      <c r="C3065" s="113" t="s">
        <v>8941</v>
      </c>
      <c r="D3065" s="111" t="str">
        <f t="shared" ref="D3065:E3065" si="3063">TRIM(B3065)</f>
        <v>Florida</v>
      </c>
      <c r="E3065" s="111" t="str">
        <f t="shared" si="3063"/>
        <v>Altamonte Springs</v>
      </c>
    </row>
    <row r="3066" spans="1:5">
      <c r="A3066" s="3" t="s">
        <v>8942</v>
      </c>
      <c r="B3066" s="110" t="s">
        <v>1328</v>
      </c>
      <c r="C3066" s="111" t="s">
        <v>404</v>
      </c>
      <c r="D3066" s="111" t="str">
        <f t="shared" ref="D3066:E3066" si="3064">TRIM(B3066)</f>
        <v>Florida</v>
      </c>
      <c r="E3066" s="111" t="str">
        <f t="shared" si="3064"/>
        <v>Apopka</v>
      </c>
    </row>
    <row r="3067" spans="1:5">
      <c r="A3067" s="3" t="s">
        <v>8943</v>
      </c>
      <c r="B3067" s="110" t="s">
        <v>1328</v>
      </c>
      <c r="C3067" s="111" t="s">
        <v>404</v>
      </c>
      <c r="D3067" s="111" t="str">
        <f t="shared" ref="D3067:E3067" si="3065">TRIM(B3067)</f>
        <v>Florida</v>
      </c>
      <c r="E3067" s="111" t="str">
        <f t="shared" si="3065"/>
        <v>Apopka</v>
      </c>
    </row>
    <row r="3068" spans="1:5">
      <c r="A3068" s="3" t="s">
        <v>8944</v>
      </c>
      <c r="B3068" s="110" t="s">
        <v>1328</v>
      </c>
      <c r="C3068" s="111" t="s">
        <v>4375</v>
      </c>
      <c r="D3068" s="111" t="str">
        <f t="shared" ref="D3068:E3068" si="3066">TRIM(B3068)</f>
        <v>Florida</v>
      </c>
      <c r="E3068" s="111" t="str">
        <f t="shared" si="3066"/>
        <v>Arcadia</v>
      </c>
    </row>
    <row r="3069" spans="1:5">
      <c r="A3069" s="3" t="s">
        <v>8945</v>
      </c>
      <c r="B3069" s="110" t="s">
        <v>1328</v>
      </c>
      <c r="C3069" s="111" t="s">
        <v>8946</v>
      </c>
      <c r="D3069" s="111" t="str">
        <f t="shared" ref="D3069:E3069" si="3067">TRIM(B3069)</f>
        <v>Florida</v>
      </c>
      <c r="E3069" s="111" t="str">
        <f t="shared" si="3067"/>
        <v>Auburndale</v>
      </c>
    </row>
    <row r="3070" spans="1:5">
      <c r="A3070" s="3" t="s">
        <v>8947</v>
      </c>
      <c r="B3070" s="110" t="s">
        <v>1328</v>
      </c>
      <c r="C3070" s="111" t="s">
        <v>8948</v>
      </c>
      <c r="D3070" s="111" t="str">
        <f t="shared" ref="D3070:E3070" si="3068">TRIM(B3070)</f>
        <v>Florida</v>
      </c>
      <c r="E3070" s="111" t="str">
        <f t="shared" si="3068"/>
        <v>Avon Park</v>
      </c>
    </row>
    <row r="3071" spans="1:5">
      <c r="A3071" s="3" t="s">
        <v>8949</v>
      </c>
      <c r="B3071" s="110" t="s">
        <v>1328</v>
      </c>
      <c r="C3071" s="111" t="s">
        <v>8950</v>
      </c>
      <c r="D3071" s="111" t="str">
        <f t="shared" ref="D3071:E3071" si="3069">TRIM(B3071)</f>
        <v>Florida</v>
      </c>
      <c r="E3071" s="111" t="str">
        <f t="shared" si="3069"/>
        <v>Baldwin</v>
      </c>
    </row>
    <row r="3072" spans="1:5">
      <c r="A3072" s="3" t="s">
        <v>8951</v>
      </c>
      <c r="B3072" s="110" t="s">
        <v>1328</v>
      </c>
      <c r="C3072" s="111" t="s">
        <v>757</v>
      </c>
      <c r="D3072" s="111" t="str">
        <f t="shared" ref="D3072:E3072" si="3070">TRIM(B3072)</f>
        <v>Florida</v>
      </c>
      <c r="E3072" s="111" t="str">
        <f t="shared" si="3070"/>
        <v>Bartow</v>
      </c>
    </row>
    <row r="3073" spans="1:5">
      <c r="A3073" s="3" t="s">
        <v>8952</v>
      </c>
      <c r="B3073" s="110" t="s">
        <v>1328</v>
      </c>
      <c r="C3073" s="111" t="s">
        <v>4458</v>
      </c>
      <c r="D3073" s="111" t="str">
        <f t="shared" ref="D3073:E3073" si="3071">TRIM(B3073)</f>
        <v>Florida</v>
      </c>
      <c r="E3073" s="111" t="str">
        <f t="shared" si="3071"/>
        <v>Bell</v>
      </c>
    </row>
    <row r="3074" spans="1:5">
      <c r="A3074" s="3" t="s">
        <v>8955</v>
      </c>
      <c r="B3074" s="110" t="s">
        <v>1328</v>
      </c>
      <c r="C3074" s="111" t="s">
        <v>8956</v>
      </c>
      <c r="D3074" s="111" t="str">
        <f t="shared" ref="D3074:E3074" si="3072">TRIM(B3074)</f>
        <v>Florida</v>
      </c>
      <c r="E3074" s="111" t="str">
        <f t="shared" si="3072"/>
        <v>Belle Glade</v>
      </c>
    </row>
    <row r="3075" spans="1:5">
      <c r="A3075" s="3" t="s">
        <v>8958</v>
      </c>
      <c r="B3075" s="110" t="s">
        <v>1328</v>
      </c>
      <c r="C3075" s="111" t="s">
        <v>8959</v>
      </c>
      <c r="D3075" s="111" t="str">
        <f t="shared" ref="D3075:E3075" si="3073">TRIM(B3075)</f>
        <v>Florida</v>
      </c>
      <c r="E3075" s="111" t="str">
        <f t="shared" si="3073"/>
        <v>Belle Isle</v>
      </c>
    </row>
    <row r="3076" spans="1:5">
      <c r="A3076" s="3" t="s">
        <v>8961</v>
      </c>
      <c r="B3076" s="110" t="s">
        <v>1328</v>
      </c>
      <c r="C3076" s="111" t="s">
        <v>8962</v>
      </c>
      <c r="D3076" s="111" t="str">
        <f t="shared" ref="D3076:E3076" si="3074">TRIM(B3076)</f>
        <v>Florida</v>
      </c>
      <c r="E3076" s="111" t="str">
        <f t="shared" si="3074"/>
        <v>Belleview</v>
      </c>
    </row>
    <row r="3077" spans="1:5">
      <c r="A3077" s="3" t="s">
        <v>8964</v>
      </c>
      <c r="B3077" s="110" t="s">
        <v>1328</v>
      </c>
      <c r="C3077" s="112" t="s">
        <v>8965</v>
      </c>
      <c r="D3077" s="111" t="str">
        <f t="shared" ref="D3077:E3077" si="3075">TRIM(B3077)</f>
        <v>Florida</v>
      </c>
      <c r="E3077" s="111" t="str">
        <f t="shared" si="3075"/>
        <v>Blountstown</v>
      </c>
    </row>
    <row r="3078" spans="1:5">
      <c r="A3078" s="3" t="s">
        <v>8967</v>
      </c>
      <c r="B3078" s="110" t="s">
        <v>1328</v>
      </c>
      <c r="C3078" s="111" t="s">
        <v>894</v>
      </c>
      <c r="D3078" s="111" t="str">
        <f t="shared" ref="D3078:E3078" si="3076">TRIM(B3078)</f>
        <v>Florida</v>
      </c>
      <c r="E3078" s="111" t="str">
        <f t="shared" si="3076"/>
        <v>Boca Raton</v>
      </c>
    </row>
    <row r="3079" spans="1:5">
      <c r="A3079" s="3" t="s">
        <v>8969</v>
      </c>
      <c r="B3079" s="110" t="s">
        <v>1328</v>
      </c>
      <c r="C3079" s="111" t="s">
        <v>894</v>
      </c>
      <c r="D3079" s="111" t="str">
        <f t="shared" ref="D3079:E3079" si="3077">TRIM(B3079)</f>
        <v>Florida</v>
      </c>
      <c r="E3079" s="111" t="str">
        <f t="shared" si="3077"/>
        <v>Boca Raton</v>
      </c>
    </row>
    <row r="3080" spans="1:5">
      <c r="A3080" s="3" t="s">
        <v>8970</v>
      </c>
      <c r="B3080" s="110" t="s">
        <v>1328</v>
      </c>
      <c r="C3080" s="111" t="s">
        <v>894</v>
      </c>
      <c r="D3080" s="111" t="str">
        <f t="shared" ref="D3080:E3080" si="3078">TRIM(B3080)</f>
        <v>Florida</v>
      </c>
      <c r="E3080" s="111" t="str">
        <f t="shared" si="3078"/>
        <v>Boca Raton</v>
      </c>
    </row>
    <row r="3081" spans="1:5">
      <c r="A3081" s="3" t="s">
        <v>8972</v>
      </c>
      <c r="B3081" s="110" t="s">
        <v>1328</v>
      </c>
      <c r="C3081" s="111" t="s">
        <v>894</v>
      </c>
      <c r="D3081" s="111" t="str">
        <f t="shared" ref="D3081:E3081" si="3079">TRIM(B3081)</f>
        <v>Florida</v>
      </c>
      <c r="E3081" s="111" t="str">
        <f t="shared" si="3079"/>
        <v>Boca Raton</v>
      </c>
    </row>
    <row r="3082" spans="1:5">
      <c r="A3082" s="3" t="s">
        <v>8975</v>
      </c>
      <c r="B3082" s="110" t="s">
        <v>1328</v>
      </c>
      <c r="C3082" s="111" t="s">
        <v>8976</v>
      </c>
      <c r="D3082" s="111" t="str">
        <f t="shared" ref="D3082:E3082" si="3080">TRIM(B3082)</f>
        <v>Florida</v>
      </c>
      <c r="E3082" s="111" t="str">
        <f t="shared" si="3080"/>
        <v>Bonifay</v>
      </c>
    </row>
    <row r="3083" spans="1:5">
      <c r="A3083" s="3" t="s">
        <v>8978</v>
      </c>
      <c r="B3083" s="110" t="s">
        <v>1328</v>
      </c>
      <c r="C3083" s="111" t="s">
        <v>8979</v>
      </c>
      <c r="D3083" s="111" t="str">
        <f t="shared" ref="D3083:E3083" si="3081">TRIM(B3083)</f>
        <v>Florida</v>
      </c>
      <c r="E3083" s="111" t="str">
        <f t="shared" si="3081"/>
        <v>Bonita Springs</v>
      </c>
    </row>
    <row r="3084" spans="1:5">
      <c r="A3084" s="3" t="s">
        <v>8981</v>
      </c>
      <c r="B3084" s="110" t="s">
        <v>1328</v>
      </c>
      <c r="C3084" s="111" t="s">
        <v>8982</v>
      </c>
      <c r="D3084" s="111" t="str">
        <f t="shared" ref="D3084:E3084" si="3082">TRIM(B3084)</f>
        <v>Florida</v>
      </c>
      <c r="E3084" s="111" t="str">
        <f t="shared" si="3082"/>
        <v>Boynton Beach</v>
      </c>
    </row>
    <row r="3085" spans="1:5">
      <c r="A3085" s="3" t="s">
        <v>8985</v>
      </c>
      <c r="B3085" s="110" t="s">
        <v>1328</v>
      </c>
      <c r="C3085" s="111" t="s">
        <v>8982</v>
      </c>
      <c r="D3085" s="111" t="str">
        <f t="shared" ref="D3085:E3085" si="3083">TRIM(B3085)</f>
        <v>Florida</v>
      </c>
      <c r="E3085" s="111" t="str">
        <f t="shared" si="3083"/>
        <v>Boynton Beach</v>
      </c>
    </row>
    <row r="3086" spans="1:5">
      <c r="A3086" s="3" t="s">
        <v>8987</v>
      </c>
      <c r="B3086" s="110" t="s">
        <v>1328</v>
      </c>
      <c r="C3086" s="111" t="s">
        <v>8982</v>
      </c>
      <c r="D3086" s="111" t="str">
        <f t="shared" ref="D3086:E3086" si="3084">TRIM(B3086)</f>
        <v>Florida</v>
      </c>
      <c r="E3086" s="111" t="str">
        <f t="shared" si="3084"/>
        <v>Boynton Beach</v>
      </c>
    </row>
    <row r="3087" spans="1:5">
      <c r="A3087" s="3" t="s">
        <v>8989</v>
      </c>
      <c r="B3087" s="110" t="s">
        <v>1328</v>
      </c>
      <c r="C3087" s="111" t="s">
        <v>720</v>
      </c>
      <c r="D3087" s="111" t="str">
        <f t="shared" ref="D3087:E3087" si="3085">TRIM(B3087)</f>
        <v>Florida</v>
      </c>
      <c r="E3087" s="111" t="str">
        <f t="shared" si="3085"/>
        <v>Bradenton</v>
      </c>
    </row>
    <row r="3088" spans="1:5">
      <c r="A3088" s="3" t="s">
        <v>8992</v>
      </c>
      <c r="B3088" s="110" t="s">
        <v>1328</v>
      </c>
      <c r="C3088" s="111" t="s">
        <v>720</v>
      </c>
      <c r="D3088" s="111" t="str">
        <f t="shared" ref="D3088:E3088" si="3086">TRIM(B3088)</f>
        <v>Florida</v>
      </c>
      <c r="E3088" s="111" t="str">
        <f t="shared" si="3086"/>
        <v>Bradenton</v>
      </c>
    </row>
    <row r="3089" spans="1:5">
      <c r="A3089" s="3" t="s">
        <v>8994</v>
      </c>
      <c r="B3089" s="110" t="s">
        <v>1328</v>
      </c>
      <c r="C3089" s="111" t="s">
        <v>720</v>
      </c>
      <c r="D3089" s="111" t="str">
        <f t="shared" ref="D3089:E3089" si="3087">TRIM(B3089)</f>
        <v>Florida</v>
      </c>
      <c r="E3089" s="111" t="str">
        <f t="shared" si="3087"/>
        <v>Bradenton</v>
      </c>
    </row>
    <row r="3090" spans="1:5">
      <c r="A3090" s="3" t="s">
        <v>8997</v>
      </c>
      <c r="B3090" s="110" t="s">
        <v>1328</v>
      </c>
      <c r="C3090" s="111" t="s">
        <v>720</v>
      </c>
      <c r="D3090" s="111" t="str">
        <f t="shared" ref="D3090:E3090" si="3088">TRIM(B3090)</f>
        <v>Florida</v>
      </c>
      <c r="E3090" s="111" t="str">
        <f t="shared" si="3088"/>
        <v>Bradenton</v>
      </c>
    </row>
    <row r="3091" spans="1:5">
      <c r="A3091" s="3" t="s">
        <v>8999</v>
      </c>
      <c r="B3091" s="110" t="s">
        <v>1328</v>
      </c>
      <c r="C3091" s="111" t="s">
        <v>720</v>
      </c>
      <c r="D3091" s="111" t="str">
        <f t="shared" ref="D3091:E3091" si="3089">TRIM(B3091)</f>
        <v>Florida</v>
      </c>
      <c r="E3091" s="111" t="str">
        <f t="shared" si="3089"/>
        <v>Bradenton</v>
      </c>
    </row>
    <row r="3092" spans="1:5">
      <c r="A3092" s="110" t="s">
        <v>9001</v>
      </c>
      <c r="B3092" s="110" t="s">
        <v>1328</v>
      </c>
      <c r="C3092" s="111" t="s">
        <v>720</v>
      </c>
      <c r="D3092" s="111" t="str">
        <f t="shared" ref="D3092:E3092" si="3090">TRIM(B3092)</f>
        <v>Florida</v>
      </c>
      <c r="E3092" s="111" t="str">
        <f t="shared" si="3090"/>
        <v>Bradenton</v>
      </c>
    </row>
    <row r="3093" spans="1:5">
      <c r="A3093" s="3" t="s">
        <v>9004</v>
      </c>
      <c r="B3093" s="110" t="s">
        <v>1328</v>
      </c>
      <c r="C3093" s="111" t="s">
        <v>9005</v>
      </c>
      <c r="D3093" s="111" t="str">
        <f t="shared" ref="D3093:E3093" si="3091">TRIM(B3093)</f>
        <v>Florida</v>
      </c>
      <c r="E3093" s="111" t="str">
        <f t="shared" si="3091"/>
        <v>Brandon</v>
      </c>
    </row>
    <row r="3094" spans="1:5">
      <c r="A3094" s="3" t="s">
        <v>8352</v>
      </c>
      <c r="B3094" s="110" t="s">
        <v>1328</v>
      </c>
      <c r="C3094" s="111" t="s">
        <v>8353</v>
      </c>
      <c r="D3094" s="111" t="str">
        <f t="shared" ref="D3094:E3094" si="3092">TRIM(B3094)</f>
        <v>Florida</v>
      </c>
      <c r="E3094" s="111" t="str">
        <f t="shared" si="3092"/>
        <v>Branford</v>
      </c>
    </row>
    <row r="3095" spans="1:5">
      <c r="A3095" s="3" t="s">
        <v>9009</v>
      </c>
      <c r="B3095" s="110" t="s">
        <v>1328</v>
      </c>
      <c r="C3095" s="111" t="s">
        <v>561</v>
      </c>
      <c r="D3095" s="111" t="str">
        <f t="shared" ref="D3095:E3095" si="3093">TRIM(B3095)</f>
        <v>Florida</v>
      </c>
      <c r="E3095" s="111" t="str">
        <f t="shared" si="3093"/>
        <v>Bristol</v>
      </c>
    </row>
    <row r="3096" spans="1:5">
      <c r="A3096" s="3" t="s">
        <v>9012</v>
      </c>
      <c r="B3096" s="110" t="s">
        <v>1328</v>
      </c>
      <c r="C3096" s="111" t="s">
        <v>9013</v>
      </c>
      <c r="D3096" s="111" t="str">
        <f t="shared" ref="D3096:E3096" si="3094">TRIM(B3096)</f>
        <v>Florida</v>
      </c>
      <c r="E3096" s="111" t="str">
        <f t="shared" si="3094"/>
        <v>Bronson</v>
      </c>
    </row>
    <row r="3097" spans="1:5">
      <c r="A3097" s="3" t="s">
        <v>1843</v>
      </c>
      <c r="B3097" s="110" t="s">
        <v>1328</v>
      </c>
      <c r="C3097" s="111" t="s">
        <v>9016</v>
      </c>
      <c r="D3097" s="111" t="str">
        <f t="shared" ref="D3097:E3097" si="3095">TRIM(B3097)</f>
        <v>Florida</v>
      </c>
      <c r="E3097" s="111" t="str">
        <f t="shared" si="3095"/>
        <v>Brooksville</v>
      </c>
    </row>
    <row r="3098" spans="1:5">
      <c r="A3098" s="3" t="s">
        <v>9018</v>
      </c>
      <c r="B3098" s="110" t="s">
        <v>1328</v>
      </c>
      <c r="C3098" s="111" t="s">
        <v>9016</v>
      </c>
      <c r="D3098" s="111" t="str">
        <f t="shared" ref="D3098:E3098" si="3096">TRIM(B3098)</f>
        <v>Florida</v>
      </c>
      <c r="E3098" s="111" t="str">
        <f t="shared" si="3096"/>
        <v>Brooksville</v>
      </c>
    </row>
    <row r="3099" spans="1:5">
      <c r="A3099" s="3" t="s">
        <v>9020</v>
      </c>
      <c r="B3099" s="110" t="s">
        <v>1328</v>
      </c>
      <c r="C3099" s="111" t="s">
        <v>9016</v>
      </c>
      <c r="D3099" s="111" t="str">
        <f t="shared" ref="D3099:E3099" si="3097">TRIM(B3099)</f>
        <v>Florida</v>
      </c>
      <c r="E3099" s="111" t="str">
        <f t="shared" si="3097"/>
        <v>Brooksville</v>
      </c>
    </row>
    <row r="3100" spans="1:5">
      <c r="A3100" s="3" t="s">
        <v>9022</v>
      </c>
      <c r="B3100" s="110" t="s">
        <v>1328</v>
      </c>
      <c r="C3100" s="111" t="s">
        <v>9023</v>
      </c>
      <c r="D3100" s="111" t="str">
        <f t="shared" ref="D3100:E3100" si="3098">TRIM(B3100)</f>
        <v>Florida</v>
      </c>
      <c r="E3100" s="111" t="str">
        <f t="shared" si="3098"/>
        <v>Bushnell</v>
      </c>
    </row>
    <row r="3101" spans="1:5">
      <c r="A3101" s="3" t="s">
        <v>9024</v>
      </c>
      <c r="B3101" s="110" t="s">
        <v>1328</v>
      </c>
      <c r="C3101" s="111" t="s">
        <v>9025</v>
      </c>
      <c r="D3101" s="111" t="str">
        <f t="shared" ref="D3101:E3101" si="3099">TRIM(B3101)</f>
        <v>Florida</v>
      </c>
      <c r="E3101" s="111" t="str">
        <f t="shared" si="3099"/>
        <v>Callahan</v>
      </c>
    </row>
    <row r="3102" spans="1:5">
      <c r="A3102" s="3" t="s">
        <v>9028</v>
      </c>
      <c r="B3102" s="110" t="s">
        <v>1328</v>
      </c>
      <c r="C3102" s="111" t="s">
        <v>9029</v>
      </c>
      <c r="D3102" s="111" t="str">
        <f t="shared" ref="D3102:E3102" si="3100">TRIM(B3102)</f>
        <v>Florida</v>
      </c>
      <c r="E3102" s="111" t="str">
        <f t="shared" si="3100"/>
        <v>Cantonment</v>
      </c>
    </row>
    <row r="3103" spans="1:5">
      <c r="A3103" s="3" t="s">
        <v>9031</v>
      </c>
      <c r="B3103" s="110" t="s">
        <v>1328</v>
      </c>
      <c r="C3103" s="111" t="s">
        <v>9032</v>
      </c>
      <c r="D3103" s="111" t="str">
        <f t="shared" ref="D3103:E3103" si="3101">TRIM(B3103)</f>
        <v>Florida</v>
      </c>
      <c r="E3103" s="111" t="str">
        <f t="shared" si="3101"/>
        <v>Cape Coral</v>
      </c>
    </row>
    <row r="3104" spans="1:5">
      <c r="A3104" s="3" t="s">
        <v>9034</v>
      </c>
      <c r="B3104" s="110" t="s">
        <v>1328</v>
      </c>
      <c r="C3104" s="111" t="s">
        <v>9032</v>
      </c>
      <c r="D3104" s="111" t="str">
        <f t="shared" ref="D3104:E3104" si="3102">TRIM(B3104)</f>
        <v>Florida</v>
      </c>
      <c r="E3104" s="111" t="str">
        <f t="shared" si="3102"/>
        <v>Cape Coral</v>
      </c>
    </row>
    <row r="3105" spans="1:5">
      <c r="A3105" s="3" t="s">
        <v>9036</v>
      </c>
      <c r="B3105" s="110" t="s">
        <v>1328</v>
      </c>
      <c r="C3105" s="111" t="s">
        <v>9032</v>
      </c>
      <c r="D3105" s="111" t="str">
        <f t="shared" ref="D3105:E3105" si="3103">TRIM(B3105)</f>
        <v>Florida</v>
      </c>
      <c r="E3105" s="111" t="str">
        <f t="shared" si="3103"/>
        <v>Cape Coral</v>
      </c>
    </row>
    <row r="3106" spans="1:5">
      <c r="A3106" s="3" t="s">
        <v>9038</v>
      </c>
      <c r="B3106" s="110" t="s">
        <v>1328</v>
      </c>
      <c r="C3106" s="111" t="s">
        <v>9032</v>
      </c>
      <c r="D3106" s="111" t="str">
        <f t="shared" ref="D3106:E3106" si="3104">TRIM(B3106)</f>
        <v>Florida</v>
      </c>
      <c r="E3106" s="111" t="str">
        <f t="shared" si="3104"/>
        <v>Cape Coral</v>
      </c>
    </row>
    <row r="3107" spans="1:5">
      <c r="A3107" s="3" t="s">
        <v>9040</v>
      </c>
      <c r="B3107" s="110" t="s">
        <v>1328</v>
      </c>
      <c r="C3107" s="111" t="s">
        <v>9032</v>
      </c>
      <c r="D3107" s="111" t="str">
        <f t="shared" ref="D3107:E3107" si="3105">TRIM(B3107)</f>
        <v>Florida</v>
      </c>
      <c r="E3107" s="111" t="str">
        <f t="shared" si="3105"/>
        <v>Cape Coral</v>
      </c>
    </row>
    <row r="3108" spans="1:5">
      <c r="A3108" s="3" t="s">
        <v>9042</v>
      </c>
      <c r="B3108" s="110" t="s">
        <v>1328</v>
      </c>
      <c r="C3108" s="111" t="s">
        <v>9043</v>
      </c>
      <c r="D3108" s="111" t="str">
        <f t="shared" ref="D3108:E3108" si="3106">TRIM(B3108)</f>
        <v>Florida</v>
      </c>
      <c r="E3108" s="111" t="str">
        <f t="shared" si="3106"/>
        <v>Celebration</v>
      </c>
    </row>
    <row r="3109" spans="1:5">
      <c r="A3109" s="3" t="s">
        <v>1700</v>
      </c>
      <c r="B3109" s="110" t="s">
        <v>1328</v>
      </c>
      <c r="C3109" s="111" t="s">
        <v>9045</v>
      </c>
      <c r="D3109" s="111" t="str">
        <f t="shared" ref="D3109:E3109" si="3107">TRIM(B3109)</f>
        <v>Florida</v>
      </c>
      <c r="E3109" s="111" t="str">
        <f t="shared" si="3107"/>
        <v>Century</v>
      </c>
    </row>
    <row r="3110" spans="1:5">
      <c r="A3110" s="3" t="s">
        <v>9047</v>
      </c>
      <c r="B3110" s="110" t="s">
        <v>1328</v>
      </c>
      <c r="C3110" s="111" t="s">
        <v>9048</v>
      </c>
      <c r="D3110" s="111" t="str">
        <f t="shared" ref="D3110:E3110" si="3108">TRIM(B3110)</f>
        <v>Florida</v>
      </c>
      <c r="E3110" s="111" t="str">
        <f t="shared" si="3108"/>
        <v>Chiefland</v>
      </c>
    </row>
    <row r="3111" spans="1:5">
      <c r="A3111" s="3" t="s">
        <v>9050</v>
      </c>
      <c r="B3111" s="110" t="s">
        <v>1328</v>
      </c>
      <c r="C3111" s="111" t="s">
        <v>9051</v>
      </c>
      <c r="D3111" s="111" t="str">
        <f t="shared" ref="D3111:E3111" si="3109">TRIM(B3111)</f>
        <v>Florida</v>
      </c>
      <c r="E3111" s="111" t="str">
        <f t="shared" si="3109"/>
        <v>Chipley</v>
      </c>
    </row>
    <row r="3112" spans="1:5">
      <c r="A3112" s="3" t="s">
        <v>9053</v>
      </c>
      <c r="B3112" s="110" t="s">
        <v>1328</v>
      </c>
      <c r="C3112" s="111" t="s">
        <v>9054</v>
      </c>
      <c r="D3112" s="111" t="str">
        <f t="shared" ref="D3112:E3112" si="3110">TRIM(B3112)</f>
        <v>Florida</v>
      </c>
      <c r="E3112" s="111" t="str">
        <f t="shared" si="3110"/>
        <v>Citra</v>
      </c>
    </row>
    <row r="3113" spans="1:5">
      <c r="A3113" s="3" t="s">
        <v>9055</v>
      </c>
      <c r="B3113" s="110" t="s">
        <v>1328</v>
      </c>
      <c r="C3113" s="111" t="s">
        <v>6382</v>
      </c>
      <c r="D3113" s="111" t="str">
        <f t="shared" ref="D3113:E3113" si="3111">TRIM(B3113)</f>
        <v>Florida</v>
      </c>
      <c r="E3113" s="111" t="str">
        <f t="shared" si="3111"/>
        <v>Clearwater</v>
      </c>
    </row>
    <row r="3114" spans="1:5">
      <c r="A3114" s="3" t="s">
        <v>9057</v>
      </c>
      <c r="B3114" s="110" t="s">
        <v>1328</v>
      </c>
      <c r="C3114" s="111" t="s">
        <v>6382</v>
      </c>
      <c r="D3114" s="111" t="str">
        <f t="shared" ref="D3114:E3114" si="3112">TRIM(B3114)</f>
        <v>Florida</v>
      </c>
      <c r="E3114" s="111" t="str">
        <f t="shared" si="3112"/>
        <v>Clearwater</v>
      </c>
    </row>
    <row r="3115" spans="1:5">
      <c r="A3115" s="3" t="s">
        <v>9059</v>
      </c>
      <c r="B3115" s="110" t="s">
        <v>1328</v>
      </c>
      <c r="C3115" s="111" t="s">
        <v>9060</v>
      </c>
      <c r="D3115" s="111" t="str">
        <f t="shared" ref="D3115:E3115" si="3113">TRIM(B3115)</f>
        <v>Florida</v>
      </c>
      <c r="E3115" s="111" t="str">
        <f t="shared" si="3113"/>
        <v>Clermont</v>
      </c>
    </row>
    <row r="3116" spans="1:5">
      <c r="A3116" s="3" t="s">
        <v>9063</v>
      </c>
      <c r="B3116" s="110" t="s">
        <v>1328</v>
      </c>
      <c r="C3116" s="111" t="s">
        <v>9064</v>
      </c>
      <c r="D3116" s="111" t="str">
        <f t="shared" ref="D3116:E3116" si="3114">TRIM(B3116)</f>
        <v>Florida</v>
      </c>
      <c r="E3116" s="111" t="str">
        <f t="shared" si="3114"/>
        <v>Clewiston</v>
      </c>
    </row>
    <row r="3117" spans="1:5">
      <c r="A3117" s="3" t="s">
        <v>9066</v>
      </c>
      <c r="B3117" s="110" t="s">
        <v>1328</v>
      </c>
      <c r="C3117" s="111" t="s">
        <v>540</v>
      </c>
      <c r="D3117" s="111" t="str">
        <f t="shared" ref="D3117:E3117" si="3115">TRIM(B3117)</f>
        <v>Florida</v>
      </c>
      <c r="E3117" s="111" t="str">
        <f t="shared" si="3115"/>
        <v>Cocoa</v>
      </c>
    </row>
    <row r="3118" spans="1:5">
      <c r="A3118" s="3" t="s">
        <v>9068</v>
      </c>
      <c r="B3118" s="110" t="s">
        <v>1328</v>
      </c>
      <c r="C3118" s="111" t="s">
        <v>540</v>
      </c>
      <c r="D3118" s="111" t="str">
        <f t="shared" ref="D3118:E3118" si="3116">TRIM(B3118)</f>
        <v>Florida</v>
      </c>
      <c r="E3118" s="111" t="str">
        <f t="shared" si="3116"/>
        <v>Cocoa</v>
      </c>
    </row>
    <row r="3119" spans="1:5">
      <c r="A3119" s="3" t="s">
        <v>9071</v>
      </c>
      <c r="B3119" s="110" t="s">
        <v>1328</v>
      </c>
      <c r="C3119" s="111" t="s">
        <v>9072</v>
      </c>
      <c r="D3119" s="111" t="str">
        <f t="shared" ref="D3119:E3119" si="3117">TRIM(B3119)</f>
        <v>Florida</v>
      </c>
      <c r="E3119" s="111" t="str">
        <f t="shared" si="3117"/>
        <v>Cocoa Beach</v>
      </c>
    </row>
    <row r="3120" spans="1:5">
      <c r="A3120" s="3" t="s">
        <v>9074</v>
      </c>
      <c r="B3120" s="110" t="s">
        <v>1328</v>
      </c>
      <c r="C3120" s="111" t="s">
        <v>9075</v>
      </c>
      <c r="D3120" s="111" t="str">
        <f t="shared" ref="D3120:E3120" si="3118">TRIM(B3120)</f>
        <v>Florida</v>
      </c>
      <c r="E3120" s="111" t="str">
        <f t="shared" si="3118"/>
        <v>Coconut Creek</v>
      </c>
    </row>
    <row r="3121" spans="1:5">
      <c r="A3121" s="3" t="s">
        <v>8083</v>
      </c>
      <c r="B3121" s="110" t="s">
        <v>1328</v>
      </c>
      <c r="C3121" s="111" t="s">
        <v>9075</v>
      </c>
      <c r="D3121" s="111" t="str">
        <f t="shared" ref="D3121:E3121" si="3119">TRIM(B3121)</f>
        <v>Florida</v>
      </c>
      <c r="E3121" s="111" t="str">
        <f t="shared" si="3119"/>
        <v>Coconut Creek</v>
      </c>
    </row>
    <row r="3122" spans="1:5">
      <c r="A3122" s="3" t="s">
        <v>9078</v>
      </c>
      <c r="B3122" s="110" t="s">
        <v>1328</v>
      </c>
      <c r="C3122" s="111" t="s">
        <v>9079</v>
      </c>
      <c r="D3122" s="111" t="str">
        <f t="shared" ref="D3122:E3122" si="3120">TRIM(B3122)</f>
        <v>Florida</v>
      </c>
      <c r="E3122" s="111" t="str">
        <f t="shared" si="3120"/>
        <v>Cooper City</v>
      </c>
    </row>
    <row r="3123" spans="1:5">
      <c r="A3123" s="3" t="s">
        <v>9081</v>
      </c>
      <c r="B3123" s="110" t="s">
        <v>1328</v>
      </c>
      <c r="C3123" s="111" t="s">
        <v>8084</v>
      </c>
      <c r="D3123" s="111" t="str">
        <f t="shared" ref="D3123:E3123" si="3121">TRIM(B3123)</f>
        <v>Florida</v>
      </c>
      <c r="E3123" s="111" t="str">
        <f t="shared" si="3121"/>
        <v>Coral Gables</v>
      </c>
    </row>
    <row r="3124" spans="1:5">
      <c r="A3124" s="3" t="s">
        <v>9084</v>
      </c>
      <c r="B3124" s="110" t="s">
        <v>1328</v>
      </c>
      <c r="C3124" s="111" t="s">
        <v>8084</v>
      </c>
      <c r="D3124" s="111" t="str">
        <f t="shared" ref="D3124:E3124" si="3122">TRIM(B3124)</f>
        <v>Florida</v>
      </c>
      <c r="E3124" s="111" t="str">
        <f t="shared" si="3122"/>
        <v>Coral Gables</v>
      </c>
    </row>
    <row r="3125" spans="1:5">
      <c r="A3125" s="3" t="s">
        <v>9087</v>
      </c>
      <c r="B3125" s="110" t="s">
        <v>1328</v>
      </c>
      <c r="C3125" s="111" t="s">
        <v>9089</v>
      </c>
      <c r="D3125" s="111" t="str">
        <f t="shared" ref="D3125:E3125" si="3123">TRIM(B3125)</f>
        <v>Florida</v>
      </c>
      <c r="E3125" s="111" t="str">
        <f t="shared" si="3123"/>
        <v>Coral Springs</v>
      </c>
    </row>
    <row r="3126" spans="1:5">
      <c r="A3126" s="110" t="s">
        <v>9091</v>
      </c>
      <c r="B3126" s="110" t="s">
        <v>1328</v>
      </c>
      <c r="C3126" s="111" t="s">
        <v>9089</v>
      </c>
      <c r="D3126" s="111" t="str">
        <f t="shared" ref="D3126:E3126" si="3124">TRIM(B3126)</f>
        <v>Florida</v>
      </c>
      <c r="E3126" s="111" t="str">
        <f t="shared" si="3124"/>
        <v>Coral Springs</v>
      </c>
    </row>
    <row r="3127" spans="1:5">
      <c r="A3127" s="3" t="s">
        <v>9094</v>
      </c>
      <c r="B3127" s="110" t="s">
        <v>1328</v>
      </c>
      <c r="C3127" s="111" t="s">
        <v>9089</v>
      </c>
      <c r="D3127" s="111" t="str">
        <f t="shared" ref="D3127:E3127" si="3125">TRIM(B3127)</f>
        <v>Florida</v>
      </c>
      <c r="E3127" s="111" t="str">
        <f t="shared" si="3125"/>
        <v>Coral Springs</v>
      </c>
    </row>
    <row r="3128" spans="1:5">
      <c r="A3128" s="3" t="s">
        <v>9097</v>
      </c>
      <c r="B3128" s="110" t="s">
        <v>1328</v>
      </c>
      <c r="C3128" s="111" t="s">
        <v>9089</v>
      </c>
      <c r="D3128" s="111" t="str">
        <f t="shared" ref="D3128:E3128" si="3126">TRIM(B3128)</f>
        <v>Florida</v>
      </c>
      <c r="E3128" s="111" t="str">
        <f t="shared" si="3126"/>
        <v>Coral Springs</v>
      </c>
    </row>
    <row r="3129" spans="1:5">
      <c r="A3129" s="3" t="s">
        <v>9100</v>
      </c>
      <c r="B3129" s="110" t="s">
        <v>1328</v>
      </c>
      <c r="C3129" s="111" t="s">
        <v>1653</v>
      </c>
      <c r="D3129" s="111" t="str">
        <f t="shared" ref="D3129:E3129" si="3127">TRIM(B3129)</f>
        <v>Florida</v>
      </c>
      <c r="E3129" s="111" t="str">
        <f t="shared" si="3127"/>
        <v>Cottondale</v>
      </c>
    </row>
    <row r="3130" spans="1:5">
      <c r="A3130" s="3" t="s">
        <v>9102</v>
      </c>
      <c r="B3130" s="110" t="s">
        <v>1328</v>
      </c>
      <c r="C3130" s="111" t="s">
        <v>9103</v>
      </c>
      <c r="D3130" s="111" t="str">
        <f t="shared" ref="D3130:E3130" si="3128">TRIM(B3130)</f>
        <v>Florida</v>
      </c>
      <c r="E3130" s="111" t="str">
        <f t="shared" si="3128"/>
        <v>Crawfordville</v>
      </c>
    </row>
    <row r="3131" spans="1:5">
      <c r="A3131" s="3" t="s">
        <v>9105</v>
      </c>
      <c r="B3131" s="110" t="s">
        <v>1328</v>
      </c>
      <c r="C3131" s="111" t="s">
        <v>4781</v>
      </c>
      <c r="D3131" s="111" t="str">
        <f t="shared" ref="D3131:E3131" si="3129">TRIM(B3131)</f>
        <v>Florida</v>
      </c>
      <c r="E3131" s="111" t="str">
        <f t="shared" si="3129"/>
        <v>Crescent City</v>
      </c>
    </row>
    <row r="3132" spans="1:5">
      <c r="A3132" s="3" t="s">
        <v>9108</v>
      </c>
      <c r="B3132" s="110" t="s">
        <v>1328</v>
      </c>
      <c r="C3132" s="111" t="s">
        <v>9110</v>
      </c>
      <c r="D3132" s="111" t="str">
        <f t="shared" ref="D3132:E3132" si="3130">TRIM(B3132)</f>
        <v>Florida</v>
      </c>
      <c r="E3132" s="111" t="str">
        <f t="shared" si="3130"/>
        <v>Crestview</v>
      </c>
    </row>
    <row r="3133" spans="1:5">
      <c r="A3133" s="3" t="s">
        <v>9112</v>
      </c>
      <c r="B3133" s="110" t="s">
        <v>1328</v>
      </c>
      <c r="C3133" s="111" t="s">
        <v>9113</v>
      </c>
      <c r="D3133" s="111" t="str">
        <f t="shared" ref="D3133:E3133" si="3131">TRIM(B3133)</f>
        <v>Florida</v>
      </c>
      <c r="E3133" s="111" t="str">
        <f t="shared" si="3131"/>
        <v>Cross City</v>
      </c>
    </row>
    <row r="3134" spans="1:5">
      <c r="A3134" s="3" t="s">
        <v>9115</v>
      </c>
      <c r="B3134" s="110" t="s">
        <v>1328</v>
      </c>
      <c r="C3134" s="111" t="s">
        <v>9116</v>
      </c>
      <c r="D3134" s="111" t="str">
        <f t="shared" ref="D3134:E3134" si="3132">TRIM(B3134)</f>
        <v>Florida</v>
      </c>
      <c r="E3134" s="111" t="str">
        <f t="shared" si="3132"/>
        <v>Crystal River</v>
      </c>
    </row>
    <row r="3135" spans="1:5">
      <c r="A3135" s="3" t="s">
        <v>9118</v>
      </c>
      <c r="B3135" s="110" t="s">
        <v>1328</v>
      </c>
      <c r="C3135" s="111" t="s">
        <v>9116</v>
      </c>
      <c r="D3135" s="111" t="str">
        <f t="shared" ref="D3135:E3135" si="3133">TRIM(B3135)</f>
        <v>Florida</v>
      </c>
      <c r="E3135" s="111" t="str">
        <f t="shared" si="3133"/>
        <v>Crystal River</v>
      </c>
    </row>
    <row r="3136" spans="1:5">
      <c r="A3136" s="3" t="s">
        <v>9121</v>
      </c>
      <c r="B3136" s="110" t="s">
        <v>1328</v>
      </c>
      <c r="C3136" s="111" t="s">
        <v>9122</v>
      </c>
      <c r="D3136" s="111" t="str">
        <f t="shared" ref="D3136:E3136" si="3134">TRIM(B3136)</f>
        <v>Florida</v>
      </c>
      <c r="E3136" s="111" t="str">
        <f t="shared" si="3134"/>
        <v>Cutler Bay</v>
      </c>
    </row>
    <row r="3137" spans="1:5">
      <c r="A3137" s="3" t="s">
        <v>9124</v>
      </c>
      <c r="B3137" s="110" t="s">
        <v>1328</v>
      </c>
      <c r="C3137" s="111" t="s">
        <v>9125</v>
      </c>
      <c r="D3137" s="111" t="str">
        <f t="shared" ref="D3137:E3137" si="3135">TRIM(B3137)</f>
        <v>Florida</v>
      </c>
      <c r="E3137" s="111" t="str">
        <f t="shared" si="3135"/>
        <v>Dade City</v>
      </c>
    </row>
    <row r="3138" spans="1:5">
      <c r="A3138" s="110" t="s">
        <v>9127</v>
      </c>
      <c r="B3138" s="110" t="s">
        <v>1328</v>
      </c>
      <c r="C3138" s="111" t="s">
        <v>9128</v>
      </c>
      <c r="D3138" s="111" t="str">
        <f t="shared" ref="D3138:E3138" si="3136">TRIM(B3138)</f>
        <v>Florida</v>
      </c>
      <c r="E3138" s="111" t="str">
        <f t="shared" si="3136"/>
        <v>Davenport</v>
      </c>
    </row>
    <row r="3139" spans="1:5">
      <c r="A3139" s="3" t="s">
        <v>9130</v>
      </c>
      <c r="B3139" s="110" t="s">
        <v>1328</v>
      </c>
      <c r="C3139" s="111" t="s">
        <v>9128</v>
      </c>
      <c r="D3139" s="111" t="str">
        <f t="shared" ref="D3139:E3139" si="3137">TRIM(B3139)</f>
        <v>Florida</v>
      </c>
      <c r="E3139" s="111" t="str">
        <f t="shared" si="3137"/>
        <v>Davenport</v>
      </c>
    </row>
    <row r="3140" spans="1:5">
      <c r="A3140" s="3" t="s">
        <v>9133</v>
      </c>
      <c r="B3140" s="110" t="s">
        <v>1328</v>
      </c>
      <c r="C3140" s="111" t="s">
        <v>9134</v>
      </c>
      <c r="D3140" s="111" t="str">
        <f t="shared" ref="D3140:E3140" si="3138">TRIM(B3140)</f>
        <v>Florida</v>
      </c>
      <c r="E3140" s="111" t="str">
        <f t="shared" si="3138"/>
        <v>Davie</v>
      </c>
    </row>
    <row r="3141" spans="1:5">
      <c r="A3141" s="3" t="s">
        <v>9136</v>
      </c>
      <c r="B3141" s="110" t="s">
        <v>1328</v>
      </c>
      <c r="C3141" s="111" t="s">
        <v>9134</v>
      </c>
      <c r="D3141" s="111" t="str">
        <f t="shared" ref="D3141:E3141" si="3139">TRIM(B3141)</f>
        <v>Florida</v>
      </c>
      <c r="E3141" s="111" t="str">
        <f t="shared" si="3139"/>
        <v>Davie</v>
      </c>
    </row>
    <row r="3142" spans="1:5">
      <c r="A3142" s="3" t="s">
        <v>4343</v>
      </c>
      <c r="B3142" s="110" t="s">
        <v>1328</v>
      </c>
      <c r="C3142" s="111" t="s">
        <v>9134</v>
      </c>
      <c r="D3142" s="111" t="str">
        <f t="shared" ref="D3142:E3142" si="3140">TRIM(B3142)</f>
        <v>Florida</v>
      </c>
      <c r="E3142" s="111" t="str">
        <f t="shared" si="3140"/>
        <v>Davie</v>
      </c>
    </row>
    <row r="3143" spans="1:5">
      <c r="A3143" s="3" t="s">
        <v>9141</v>
      </c>
      <c r="B3143" s="110" t="s">
        <v>1328</v>
      </c>
      <c r="C3143" s="111" t="s">
        <v>9142</v>
      </c>
      <c r="D3143" s="111" t="str">
        <f t="shared" ref="D3143:E3143" si="3141">TRIM(B3143)</f>
        <v>Florida</v>
      </c>
      <c r="E3143" s="111" t="str">
        <f t="shared" si="3141"/>
        <v>Daytona Beach</v>
      </c>
    </row>
    <row r="3144" spans="1:5">
      <c r="A3144" s="3" t="s">
        <v>9144</v>
      </c>
      <c r="B3144" s="110" t="s">
        <v>1328</v>
      </c>
      <c r="C3144" s="111" t="s">
        <v>9142</v>
      </c>
      <c r="D3144" s="111" t="str">
        <f t="shared" ref="D3144:E3144" si="3142">TRIM(B3144)</f>
        <v>Florida</v>
      </c>
      <c r="E3144" s="111" t="str">
        <f t="shared" si="3142"/>
        <v>Daytona Beach</v>
      </c>
    </row>
    <row r="3145" spans="1:5">
      <c r="A3145" s="3" t="s">
        <v>9147</v>
      </c>
      <c r="B3145" s="110" t="s">
        <v>1328</v>
      </c>
      <c r="C3145" s="111" t="s">
        <v>7026</v>
      </c>
      <c r="D3145" s="111" t="str">
        <f t="shared" ref="D3145:E3145" si="3143">TRIM(B3145)</f>
        <v>Florida</v>
      </c>
      <c r="E3145" s="111" t="str">
        <f t="shared" si="3143"/>
        <v>Deerfield Beach</v>
      </c>
    </row>
    <row r="3146" spans="1:5">
      <c r="A3146" s="3" t="s">
        <v>9150</v>
      </c>
      <c r="B3146" s="110" t="s">
        <v>1328</v>
      </c>
      <c r="C3146" s="113" t="s">
        <v>9152</v>
      </c>
      <c r="D3146" s="111" t="str">
        <f t="shared" ref="D3146:E3146" si="3144">TRIM(B3146)</f>
        <v>Florida</v>
      </c>
      <c r="E3146" s="111" t="str">
        <f t="shared" si="3144"/>
        <v>Defuniak Springs</v>
      </c>
    </row>
    <row r="3147" spans="1:5">
      <c r="A3147" s="3" t="s">
        <v>9154</v>
      </c>
      <c r="B3147" s="110" t="s">
        <v>1328</v>
      </c>
      <c r="C3147" s="111" t="s">
        <v>9155</v>
      </c>
      <c r="D3147" s="111" t="str">
        <f t="shared" ref="D3147:E3147" si="3145">TRIM(B3147)</f>
        <v>Florida</v>
      </c>
      <c r="E3147" s="111" t="str">
        <f t="shared" si="3145"/>
        <v>Deland</v>
      </c>
    </row>
    <row r="3148" spans="1:5">
      <c r="A3148" s="3" t="s">
        <v>9157</v>
      </c>
      <c r="B3148" s="110" t="s">
        <v>1328</v>
      </c>
      <c r="C3148" s="111" t="s">
        <v>9158</v>
      </c>
      <c r="D3148" s="111" t="str">
        <f t="shared" ref="D3148:E3148" si="3146">TRIM(B3148)</f>
        <v>Florida</v>
      </c>
      <c r="E3148" s="111" t="str">
        <f t="shared" si="3146"/>
        <v>Delray Beach</v>
      </c>
    </row>
    <row r="3149" spans="1:5">
      <c r="A3149" s="3" t="s">
        <v>9161</v>
      </c>
      <c r="B3149" s="110" t="s">
        <v>1328</v>
      </c>
      <c r="C3149" s="111" t="s">
        <v>9162</v>
      </c>
      <c r="D3149" s="111" t="str">
        <f t="shared" ref="D3149:E3149" si="3147">TRIM(B3149)</f>
        <v>Florida</v>
      </c>
      <c r="E3149" s="111" t="str">
        <f t="shared" si="3147"/>
        <v>Deltona</v>
      </c>
    </row>
    <row r="3150" spans="1:5">
      <c r="A3150" s="3" t="s">
        <v>9164</v>
      </c>
      <c r="B3150" s="110" t="s">
        <v>1328</v>
      </c>
      <c r="C3150" s="111" t="s">
        <v>9162</v>
      </c>
      <c r="D3150" s="111" t="str">
        <f t="shared" ref="D3150:E3150" si="3148">TRIM(B3150)</f>
        <v>Florida</v>
      </c>
      <c r="E3150" s="111" t="str">
        <f t="shared" si="3148"/>
        <v>Deltona</v>
      </c>
    </row>
    <row r="3151" spans="1:5">
      <c r="A3151" s="3" t="s">
        <v>9166</v>
      </c>
      <c r="B3151" s="110" t="s">
        <v>1328</v>
      </c>
      <c r="C3151" s="111" t="s">
        <v>9167</v>
      </c>
      <c r="D3151" s="111" t="str">
        <f t="shared" ref="D3151:E3151" si="3149">TRIM(B3151)</f>
        <v>Florida</v>
      </c>
      <c r="E3151" s="111" t="str">
        <f t="shared" si="3149"/>
        <v>Doral</v>
      </c>
    </row>
    <row r="3152" spans="1:5">
      <c r="A3152" s="3" t="s">
        <v>9169</v>
      </c>
      <c r="B3152" s="110" t="s">
        <v>1328</v>
      </c>
      <c r="C3152" s="111" t="s">
        <v>9167</v>
      </c>
      <c r="D3152" s="111" t="str">
        <f t="shared" ref="D3152:E3152" si="3150">TRIM(B3152)</f>
        <v>Florida</v>
      </c>
      <c r="E3152" s="111" t="str">
        <f t="shared" si="3150"/>
        <v>Doral</v>
      </c>
    </row>
    <row r="3153" spans="1:5">
      <c r="A3153" s="110" t="s">
        <v>9171</v>
      </c>
      <c r="B3153" s="110" t="s">
        <v>1328</v>
      </c>
      <c r="C3153" s="111" t="s">
        <v>9167</v>
      </c>
      <c r="D3153" s="111" t="str">
        <f t="shared" ref="D3153:E3153" si="3151">TRIM(B3153)</f>
        <v>Florida</v>
      </c>
      <c r="E3153" s="111" t="str">
        <f t="shared" si="3151"/>
        <v>Doral</v>
      </c>
    </row>
    <row r="3154" spans="1:5">
      <c r="A3154" s="3" t="s">
        <v>9174</v>
      </c>
      <c r="B3154" s="110" t="s">
        <v>1328</v>
      </c>
      <c r="C3154" s="111" t="s">
        <v>9167</v>
      </c>
      <c r="D3154" s="111" t="str">
        <f t="shared" ref="D3154:E3154" si="3152">TRIM(B3154)</f>
        <v>Florida</v>
      </c>
      <c r="E3154" s="111" t="str">
        <f t="shared" si="3152"/>
        <v>Doral</v>
      </c>
    </row>
    <row r="3155" spans="1:5">
      <c r="A3155" s="110" t="s">
        <v>9177</v>
      </c>
      <c r="B3155" s="110" t="s">
        <v>1328</v>
      </c>
      <c r="C3155" s="111" t="s">
        <v>9167</v>
      </c>
      <c r="D3155" s="111" t="str">
        <f t="shared" ref="D3155:E3155" si="3153">TRIM(B3155)</f>
        <v>Florida</v>
      </c>
      <c r="E3155" s="111" t="str">
        <f t="shared" si="3153"/>
        <v>Doral</v>
      </c>
    </row>
    <row r="3156" spans="1:5">
      <c r="A3156" s="3" t="s">
        <v>9179</v>
      </c>
      <c r="B3156" s="110" t="s">
        <v>1328</v>
      </c>
      <c r="C3156" s="111" t="s">
        <v>3744</v>
      </c>
      <c r="D3156" s="111" t="str">
        <f t="shared" ref="D3156:E3156" si="3154">TRIM(B3156)</f>
        <v>Florida</v>
      </c>
      <c r="E3156" s="111" t="str">
        <f t="shared" si="3154"/>
        <v>Dover</v>
      </c>
    </row>
    <row r="3157" spans="1:5">
      <c r="A3157" s="3" t="s">
        <v>9181</v>
      </c>
      <c r="B3157" s="110" t="s">
        <v>1328</v>
      </c>
      <c r="C3157" s="111" t="s">
        <v>9182</v>
      </c>
      <c r="D3157" s="111" t="str">
        <f t="shared" ref="D3157:E3157" si="3155">TRIM(B3157)</f>
        <v>Florida</v>
      </c>
      <c r="E3157" s="111" t="str">
        <f t="shared" si="3155"/>
        <v>Dunedin</v>
      </c>
    </row>
    <row r="3158" spans="1:5">
      <c r="A3158" s="3" t="s">
        <v>9184</v>
      </c>
      <c r="B3158" s="110" t="s">
        <v>1328</v>
      </c>
      <c r="C3158" s="111" t="s">
        <v>9185</v>
      </c>
      <c r="D3158" s="111" t="str">
        <f t="shared" ref="D3158:E3158" si="3156">TRIM(B3158)</f>
        <v>Florida</v>
      </c>
      <c r="E3158" s="111" t="str">
        <f t="shared" si="3156"/>
        <v>Dunnellon</v>
      </c>
    </row>
    <row r="3159" spans="1:5">
      <c r="A3159" s="3" t="s">
        <v>9187</v>
      </c>
      <c r="B3159" s="110" t="s">
        <v>1328</v>
      </c>
      <c r="C3159" s="111" t="s">
        <v>9188</v>
      </c>
      <c r="D3159" s="111" t="str">
        <f t="shared" ref="D3159:E3159" si="3157">TRIM(B3159)</f>
        <v>Florida</v>
      </c>
      <c r="E3159" s="111" t="str">
        <f t="shared" si="3157"/>
        <v>Eagle Lake</v>
      </c>
    </row>
    <row r="3160" spans="1:5">
      <c r="A3160" s="3" t="s">
        <v>9190</v>
      </c>
      <c r="B3160" s="110" t="s">
        <v>1328</v>
      </c>
      <c r="C3160" s="111" t="s">
        <v>7884</v>
      </c>
      <c r="D3160" s="111" t="str">
        <f t="shared" ref="D3160:E3160" si="3158">TRIM(B3160)</f>
        <v>Florida</v>
      </c>
      <c r="E3160" s="111" t="str">
        <f t="shared" si="3158"/>
        <v>Englewood</v>
      </c>
    </row>
    <row r="3161" spans="1:5">
      <c r="A3161" s="3" t="s">
        <v>9192</v>
      </c>
      <c r="B3161" s="110" t="s">
        <v>1328</v>
      </c>
      <c r="C3161" s="111" t="s">
        <v>9193</v>
      </c>
      <c r="D3161" s="111" t="str">
        <f t="shared" ref="D3161:E3161" si="3159">TRIM(B3161)</f>
        <v>Florida</v>
      </c>
      <c r="E3161" s="111" t="str">
        <f t="shared" si="3159"/>
        <v>Estero</v>
      </c>
    </row>
    <row r="3162" spans="1:5">
      <c r="A3162" s="3" t="s">
        <v>9194</v>
      </c>
      <c r="B3162" s="110" t="s">
        <v>1328</v>
      </c>
      <c r="C3162" s="111" t="s">
        <v>9196</v>
      </c>
      <c r="D3162" s="111" t="str">
        <f t="shared" ref="D3162:E3162" si="3160">TRIM(B3162)</f>
        <v>Florida</v>
      </c>
      <c r="E3162" s="111" t="str">
        <f t="shared" si="3160"/>
        <v>Eustis</v>
      </c>
    </row>
    <row r="3163" spans="1:5">
      <c r="A3163" s="3" t="s">
        <v>9199</v>
      </c>
      <c r="B3163" s="110" t="s">
        <v>1328</v>
      </c>
      <c r="C3163" s="111" t="s">
        <v>9201</v>
      </c>
      <c r="D3163" s="111" t="str">
        <f t="shared" ref="D3163:E3163" si="3161">TRIM(B3163)</f>
        <v>Florida</v>
      </c>
      <c r="E3163" s="111" t="str">
        <f t="shared" si="3161"/>
        <v>Florahome</v>
      </c>
    </row>
    <row r="3164" spans="1:5">
      <c r="A3164" s="3" t="s">
        <v>9203</v>
      </c>
      <c r="B3164" s="110" t="s">
        <v>1328</v>
      </c>
      <c r="C3164" s="111" t="s">
        <v>9204</v>
      </c>
      <c r="D3164" s="111" t="str">
        <f t="shared" ref="D3164:E3164" si="3162">TRIM(B3164)</f>
        <v>Florida</v>
      </c>
      <c r="E3164" s="111" t="str">
        <f t="shared" si="3162"/>
        <v>Florida City</v>
      </c>
    </row>
    <row r="3165" spans="1:5">
      <c r="A3165" s="110" t="s">
        <v>9206</v>
      </c>
      <c r="B3165" s="110" t="s">
        <v>1328</v>
      </c>
      <c r="C3165" s="111" t="s">
        <v>943</v>
      </c>
      <c r="D3165" s="111" t="str">
        <f t="shared" ref="D3165:E3165" si="3163">TRIM(B3165)</f>
        <v>Florida</v>
      </c>
      <c r="E3165" s="111" t="str">
        <f t="shared" si="3163"/>
        <v>Fort Lauderdale</v>
      </c>
    </row>
    <row r="3166" spans="1:5">
      <c r="A3166" s="3" t="s">
        <v>9207</v>
      </c>
      <c r="B3166" s="110" t="s">
        <v>1328</v>
      </c>
      <c r="C3166" s="111" t="s">
        <v>943</v>
      </c>
      <c r="D3166" s="111" t="str">
        <f t="shared" ref="D3166:E3166" si="3164">TRIM(B3166)</f>
        <v>Florida</v>
      </c>
      <c r="E3166" s="111" t="str">
        <f t="shared" si="3164"/>
        <v>Fort Lauderdale</v>
      </c>
    </row>
    <row r="3167" spans="1:5">
      <c r="A3167" s="3" t="s">
        <v>9209</v>
      </c>
      <c r="B3167" s="110" t="s">
        <v>1328</v>
      </c>
      <c r="C3167" s="111" t="s">
        <v>943</v>
      </c>
      <c r="D3167" s="111" t="str">
        <f t="shared" ref="D3167:E3167" si="3165">TRIM(B3167)</f>
        <v>Florida</v>
      </c>
      <c r="E3167" s="111" t="str">
        <f t="shared" si="3165"/>
        <v>Fort Lauderdale</v>
      </c>
    </row>
    <row r="3168" spans="1:5">
      <c r="A3168" s="3" t="s">
        <v>9211</v>
      </c>
      <c r="B3168" s="110" t="s">
        <v>1328</v>
      </c>
      <c r="C3168" s="111" t="s">
        <v>9213</v>
      </c>
      <c r="D3168" s="111" t="str">
        <f t="shared" ref="D3168:E3168" si="3166">TRIM(B3168)</f>
        <v>Florida</v>
      </c>
      <c r="E3168" s="111" t="str">
        <f t="shared" si="3166"/>
        <v>Fort Meade</v>
      </c>
    </row>
    <row r="3169" spans="1:5">
      <c r="A3169" s="3" t="s">
        <v>9214</v>
      </c>
      <c r="B3169" s="110" t="s">
        <v>1328</v>
      </c>
      <c r="C3169" s="111" t="s">
        <v>9215</v>
      </c>
      <c r="D3169" s="111" t="str">
        <f t="shared" ref="D3169:E3169" si="3167">TRIM(B3169)</f>
        <v>Florida</v>
      </c>
      <c r="E3169" s="111" t="str">
        <f t="shared" si="3167"/>
        <v>Fort Myers</v>
      </c>
    </row>
    <row r="3170" spans="1:5">
      <c r="A3170" s="3" t="s">
        <v>8894</v>
      </c>
      <c r="B3170" s="110" t="s">
        <v>1328</v>
      </c>
      <c r="C3170" s="111" t="s">
        <v>9215</v>
      </c>
      <c r="D3170" s="111" t="str">
        <f t="shared" ref="D3170:E3170" si="3168">TRIM(B3170)</f>
        <v>Florida</v>
      </c>
      <c r="E3170" s="111" t="str">
        <f t="shared" si="3168"/>
        <v>Fort Myers</v>
      </c>
    </row>
    <row r="3171" spans="1:5">
      <c r="A3171" s="3" t="s">
        <v>9219</v>
      </c>
      <c r="B3171" s="110" t="s">
        <v>1328</v>
      </c>
      <c r="C3171" s="111" t="s">
        <v>9215</v>
      </c>
      <c r="D3171" s="111" t="str">
        <f t="shared" ref="D3171:E3171" si="3169">TRIM(B3171)</f>
        <v>Florida</v>
      </c>
      <c r="E3171" s="111" t="str">
        <f t="shared" si="3169"/>
        <v>Fort Myers</v>
      </c>
    </row>
    <row r="3172" spans="1:5">
      <c r="A3172" s="3" t="s">
        <v>9221</v>
      </c>
      <c r="B3172" s="110" t="s">
        <v>1328</v>
      </c>
      <c r="C3172" s="111" t="s">
        <v>9215</v>
      </c>
      <c r="D3172" s="111" t="str">
        <f t="shared" ref="D3172:E3172" si="3170">TRIM(B3172)</f>
        <v>Florida</v>
      </c>
      <c r="E3172" s="111" t="str">
        <f t="shared" si="3170"/>
        <v>Fort Myers</v>
      </c>
    </row>
    <row r="3173" spans="1:5">
      <c r="A3173" s="3" t="s">
        <v>6551</v>
      </c>
      <c r="B3173" s="110" t="s">
        <v>1328</v>
      </c>
      <c r="C3173" s="111" t="s">
        <v>9215</v>
      </c>
      <c r="D3173" s="111" t="str">
        <f t="shared" ref="D3173:E3173" si="3171">TRIM(B3173)</f>
        <v>Florida</v>
      </c>
      <c r="E3173" s="111" t="str">
        <f t="shared" si="3171"/>
        <v>Fort Myers</v>
      </c>
    </row>
    <row r="3174" spans="1:5">
      <c r="A3174" s="3" t="s">
        <v>9224</v>
      </c>
      <c r="B3174" s="110" t="s">
        <v>1328</v>
      </c>
      <c r="C3174" s="111" t="s">
        <v>9215</v>
      </c>
      <c r="D3174" s="111" t="str">
        <f t="shared" ref="D3174:E3174" si="3172">TRIM(B3174)</f>
        <v>Florida</v>
      </c>
      <c r="E3174" s="111" t="str">
        <f t="shared" si="3172"/>
        <v>Fort Myers</v>
      </c>
    </row>
    <row r="3175" spans="1:5">
      <c r="A3175" s="3" t="s">
        <v>9226</v>
      </c>
      <c r="B3175" s="110" t="s">
        <v>1328</v>
      </c>
      <c r="C3175" s="111" t="s">
        <v>9228</v>
      </c>
      <c r="D3175" s="111" t="str">
        <f t="shared" ref="D3175:E3175" si="3173">TRIM(B3175)</f>
        <v>Florida</v>
      </c>
      <c r="E3175" s="111" t="str">
        <f t="shared" si="3173"/>
        <v>Fort Pierce</v>
      </c>
    </row>
    <row r="3176" spans="1:5">
      <c r="A3176" s="3" t="s">
        <v>9230</v>
      </c>
      <c r="B3176" s="110" t="s">
        <v>1328</v>
      </c>
      <c r="C3176" s="111" t="s">
        <v>9228</v>
      </c>
      <c r="D3176" s="111" t="str">
        <f t="shared" ref="D3176:E3176" si="3174">TRIM(B3176)</f>
        <v>Florida</v>
      </c>
      <c r="E3176" s="111" t="str">
        <f t="shared" si="3174"/>
        <v>Fort Pierce</v>
      </c>
    </row>
    <row r="3177" spans="1:5">
      <c r="A3177" s="3" t="s">
        <v>9232</v>
      </c>
      <c r="B3177" s="110" t="s">
        <v>1328</v>
      </c>
      <c r="C3177" s="111" t="s">
        <v>9228</v>
      </c>
      <c r="D3177" s="111" t="str">
        <f t="shared" ref="D3177:E3177" si="3175">TRIM(B3177)</f>
        <v>Florida</v>
      </c>
      <c r="E3177" s="111" t="str">
        <f t="shared" si="3175"/>
        <v>Fort Pierce</v>
      </c>
    </row>
    <row r="3178" spans="1:5">
      <c r="A3178" s="3" t="s">
        <v>9234</v>
      </c>
      <c r="B3178" s="110" t="s">
        <v>1328</v>
      </c>
      <c r="C3178" s="113" t="s">
        <v>9235</v>
      </c>
      <c r="D3178" s="111" t="str">
        <f t="shared" ref="D3178:E3178" si="3176">TRIM(B3178)</f>
        <v>Florida</v>
      </c>
      <c r="E3178" s="111" t="str">
        <f t="shared" si="3176"/>
        <v>Fort Walton Beach</v>
      </c>
    </row>
    <row r="3179" spans="1:5">
      <c r="A3179" s="3" t="s">
        <v>9237</v>
      </c>
      <c r="B3179" s="110" t="s">
        <v>1328</v>
      </c>
      <c r="C3179" s="113" t="s">
        <v>9235</v>
      </c>
      <c r="D3179" s="111" t="str">
        <f t="shared" ref="D3179:E3179" si="3177">TRIM(B3179)</f>
        <v>Florida</v>
      </c>
      <c r="E3179" s="111" t="str">
        <f t="shared" si="3177"/>
        <v>Fort Walton Beach</v>
      </c>
    </row>
    <row r="3180" spans="1:5">
      <c r="A3180" s="3" t="s">
        <v>9241</v>
      </c>
      <c r="B3180" s="110" t="s">
        <v>1328</v>
      </c>
      <c r="C3180" s="111" t="s">
        <v>9242</v>
      </c>
      <c r="D3180" s="111" t="str">
        <f t="shared" ref="D3180:E3180" si="3178">TRIM(B3180)</f>
        <v>Florida</v>
      </c>
      <c r="E3180" s="111" t="str">
        <f t="shared" si="3178"/>
        <v>Fort White</v>
      </c>
    </row>
    <row r="3181" spans="1:5">
      <c r="A3181" s="3" t="s">
        <v>9245</v>
      </c>
      <c r="B3181" s="110" t="s">
        <v>1328</v>
      </c>
      <c r="C3181" s="111" t="s">
        <v>9246</v>
      </c>
      <c r="D3181" s="111" t="str">
        <f t="shared" ref="D3181:E3181" si="3179">TRIM(B3181)</f>
        <v>Florida</v>
      </c>
      <c r="E3181" s="111" t="str">
        <f t="shared" si="3179"/>
        <v>Freeport</v>
      </c>
    </row>
    <row r="3182" spans="1:5">
      <c r="A3182" s="3" t="s">
        <v>9248</v>
      </c>
      <c r="B3182" s="110" t="s">
        <v>1328</v>
      </c>
      <c r="C3182" s="111" t="s">
        <v>9249</v>
      </c>
      <c r="D3182" s="111" t="str">
        <f t="shared" ref="D3182:E3182" si="3180">TRIM(B3182)</f>
        <v>Florida</v>
      </c>
      <c r="E3182" s="111" t="str">
        <f t="shared" si="3180"/>
        <v>Frostproof</v>
      </c>
    </row>
    <row r="3183" spans="1:5">
      <c r="A3183" s="3" t="s">
        <v>9252</v>
      </c>
      <c r="B3183" s="110" t="s">
        <v>1328</v>
      </c>
      <c r="C3183" s="112" t="s">
        <v>9253</v>
      </c>
      <c r="D3183" s="111" t="str">
        <f t="shared" ref="D3183:E3183" si="3181">TRIM(B3183)</f>
        <v>Florida</v>
      </c>
      <c r="E3183" s="111" t="str">
        <f t="shared" si="3181"/>
        <v>Ft Myers</v>
      </c>
    </row>
    <row r="3184" spans="1:5">
      <c r="A3184" s="110" t="s">
        <v>9255</v>
      </c>
      <c r="B3184" s="110" t="s">
        <v>1328</v>
      </c>
      <c r="C3184" s="111" t="s">
        <v>291</v>
      </c>
      <c r="D3184" s="111" t="str">
        <f t="shared" ref="D3184:E3184" si="3182">TRIM(B3184)</f>
        <v>Florida</v>
      </c>
      <c r="E3184" s="111" t="str">
        <f t="shared" si="3182"/>
        <v>Gainesville</v>
      </c>
    </row>
    <row r="3185" spans="1:5">
      <c r="A3185" s="3" t="s">
        <v>5459</v>
      </c>
      <c r="B3185" s="110" t="s">
        <v>1328</v>
      </c>
      <c r="C3185" s="111" t="s">
        <v>291</v>
      </c>
      <c r="D3185" s="111" t="str">
        <f t="shared" ref="D3185:E3185" si="3183">TRIM(B3185)</f>
        <v>Florida</v>
      </c>
      <c r="E3185" s="111" t="str">
        <f t="shared" si="3183"/>
        <v>Gainesville</v>
      </c>
    </row>
    <row r="3186" spans="1:5">
      <c r="A3186" s="3" t="s">
        <v>9258</v>
      </c>
      <c r="B3186" s="110" t="s">
        <v>1328</v>
      </c>
      <c r="C3186" s="111" t="s">
        <v>291</v>
      </c>
      <c r="D3186" s="111" t="str">
        <f t="shared" ref="D3186:E3186" si="3184">TRIM(B3186)</f>
        <v>Florida</v>
      </c>
      <c r="E3186" s="111" t="str">
        <f t="shared" si="3184"/>
        <v>Gainesville</v>
      </c>
    </row>
    <row r="3187" spans="1:5">
      <c r="A3187" s="3" t="s">
        <v>9260</v>
      </c>
      <c r="B3187" s="110" t="s">
        <v>1328</v>
      </c>
      <c r="C3187" s="111" t="s">
        <v>291</v>
      </c>
      <c r="D3187" s="111" t="str">
        <f t="shared" ref="D3187:E3187" si="3185">TRIM(B3187)</f>
        <v>Florida</v>
      </c>
      <c r="E3187" s="111" t="str">
        <f t="shared" si="3185"/>
        <v>Gainesville</v>
      </c>
    </row>
    <row r="3188" spans="1:5">
      <c r="A3188" s="3" t="s">
        <v>9262</v>
      </c>
      <c r="B3188" s="110" t="s">
        <v>1328</v>
      </c>
      <c r="C3188" s="111" t="s">
        <v>9263</v>
      </c>
      <c r="D3188" s="111" t="str">
        <f t="shared" ref="D3188:E3188" si="3186">TRIM(B3188)</f>
        <v>Florida</v>
      </c>
      <c r="E3188" s="111" t="str">
        <f t="shared" si="3186"/>
        <v>Gibsonton</v>
      </c>
    </row>
    <row r="3189" spans="1:5">
      <c r="A3189" s="3" t="s">
        <v>9265</v>
      </c>
      <c r="B3189" s="110" t="s">
        <v>1328</v>
      </c>
      <c r="C3189" s="111" t="s">
        <v>9267</v>
      </c>
      <c r="D3189" s="111" t="str">
        <f t="shared" ref="D3189:E3189" si="3187">TRIM(B3189)</f>
        <v>Florida</v>
      </c>
      <c r="E3189" s="111" t="str">
        <f t="shared" si="3187"/>
        <v>Glen St Mary</v>
      </c>
    </row>
    <row r="3190" spans="1:5">
      <c r="A3190" s="110" t="s">
        <v>9270</v>
      </c>
      <c r="B3190" s="110" t="s">
        <v>1328</v>
      </c>
      <c r="C3190" s="111" t="s">
        <v>9271</v>
      </c>
      <c r="D3190" s="111" t="str">
        <f t="shared" ref="D3190:E3190" si="3188">TRIM(B3190)</f>
        <v>Florida</v>
      </c>
      <c r="E3190" s="111" t="str">
        <f t="shared" si="3188"/>
        <v>Goulds</v>
      </c>
    </row>
    <row r="3191" spans="1:5">
      <c r="A3191" s="3" t="s">
        <v>9273</v>
      </c>
      <c r="B3191" s="110" t="s">
        <v>1328</v>
      </c>
      <c r="C3191" s="111" t="s">
        <v>9274</v>
      </c>
      <c r="D3191" s="111" t="str">
        <f t="shared" ref="D3191:E3191" si="3189">TRIM(B3191)</f>
        <v>Florida</v>
      </c>
      <c r="E3191" s="111" t="str">
        <f t="shared" si="3189"/>
        <v>Graceville</v>
      </c>
    </row>
    <row r="3192" spans="1:5">
      <c r="A3192" s="3" t="s">
        <v>9276</v>
      </c>
      <c r="B3192" s="110" t="s">
        <v>1328</v>
      </c>
      <c r="C3192" s="113" t="s">
        <v>9277</v>
      </c>
      <c r="D3192" s="111" t="str">
        <f t="shared" ref="D3192:E3192" si="3190">TRIM(B3192)</f>
        <v>Florida</v>
      </c>
      <c r="E3192" s="111" t="str">
        <f t="shared" si="3190"/>
        <v>Green Cove Springs</v>
      </c>
    </row>
    <row r="3193" spans="1:5">
      <c r="A3193" s="3" t="s">
        <v>9280</v>
      </c>
      <c r="B3193" s="110" t="s">
        <v>1328</v>
      </c>
      <c r="C3193" s="111" t="s">
        <v>9281</v>
      </c>
      <c r="D3193" s="111" t="str">
        <f t="shared" ref="D3193:E3193" si="3191">TRIM(B3193)</f>
        <v>Florida</v>
      </c>
      <c r="E3193" s="111" t="str">
        <f t="shared" si="3191"/>
        <v>Greenacres</v>
      </c>
    </row>
    <row r="3194" spans="1:5">
      <c r="A3194" s="3" t="s">
        <v>9283</v>
      </c>
      <c r="B3194" s="110" t="s">
        <v>1328</v>
      </c>
      <c r="C3194" s="111" t="s">
        <v>5197</v>
      </c>
      <c r="D3194" s="111" t="str">
        <f t="shared" ref="D3194:E3194" si="3192">TRIM(B3194)</f>
        <v>Florida</v>
      </c>
      <c r="E3194" s="111" t="str">
        <f t="shared" si="3192"/>
        <v>Groveland</v>
      </c>
    </row>
    <row r="3195" spans="1:5">
      <c r="A3195" s="3" t="s">
        <v>9285</v>
      </c>
      <c r="B3195" s="110" t="s">
        <v>1328</v>
      </c>
      <c r="C3195" s="111" t="s">
        <v>9286</v>
      </c>
      <c r="D3195" s="111" t="str">
        <f t="shared" ref="D3195:E3195" si="3193">TRIM(B3195)</f>
        <v>Florida</v>
      </c>
      <c r="E3195" s="111" t="str">
        <f t="shared" si="3193"/>
        <v>Gulf Breeze</v>
      </c>
    </row>
    <row r="3196" spans="1:5">
      <c r="A3196" s="3" t="s">
        <v>9288</v>
      </c>
      <c r="B3196" s="110" t="s">
        <v>1328</v>
      </c>
      <c r="C3196" s="111" t="s">
        <v>4748</v>
      </c>
      <c r="D3196" s="111" t="str">
        <f t="shared" ref="D3196:E3196" si="3194">TRIM(B3196)</f>
        <v>Florida</v>
      </c>
      <c r="E3196" s="111" t="str">
        <f t="shared" si="3194"/>
        <v>Gulfport</v>
      </c>
    </row>
    <row r="3197" spans="1:5">
      <c r="A3197" s="3" t="s">
        <v>9291</v>
      </c>
      <c r="B3197" s="110" t="s">
        <v>1328</v>
      </c>
      <c r="C3197" s="111" t="s">
        <v>9292</v>
      </c>
      <c r="D3197" s="111" t="str">
        <f t="shared" ref="D3197:E3197" si="3195">TRIM(B3197)</f>
        <v>Florida</v>
      </c>
      <c r="E3197" s="111" t="str">
        <f t="shared" si="3195"/>
        <v>Haines City</v>
      </c>
    </row>
    <row r="3198" spans="1:5">
      <c r="A3198" s="3" t="s">
        <v>9294</v>
      </c>
      <c r="B3198" s="110" t="s">
        <v>1328</v>
      </c>
      <c r="C3198" s="113" t="s">
        <v>9295</v>
      </c>
      <c r="D3198" s="111" t="str">
        <f t="shared" ref="D3198:E3198" si="3196">TRIM(B3198)</f>
        <v>Florida</v>
      </c>
      <c r="E3198" s="111" t="str">
        <f t="shared" si="3196"/>
        <v>Hallandale Beach</v>
      </c>
    </row>
    <row r="3199" spans="1:5">
      <c r="A3199" s="3" t="s">
        <v>9298</v>
      </c>
      <c r="B3199" s="110" t="s">
        <v>1328</v>
      </c>
      <c r="C3199" s="111" t="s">
        <v>9299</v>
      </c>
      <c r="D3199" s="111" t="str">
        <f t="shared" ref="D3199:E3199" si="3197">TRIM(B3199)</f>
        <v>Florida</v>
      </c>
      <c r="E3199" s="111" t="str">
        <f t="shared" si="3197"/>
        <v>Harmony</v>
      </c>
    </row>
    <row r="3200" spans="1:5">
      <c r="A3200" s="3" t="s">
        <v>9302</v>
      </c>
      <c r="B3200" s="110" t="s">
        <v>1328</v>
      </c>
      <c r="C3200" s="111" t="s">
        <v>3855</v>
      </c>
      <c r="D3200" s="111" t="str">
        <f t="shared" ref="D3200:E3200" si="3198">TRIM(B3200)</f>
        <v>Florida</v>
      </c>
      <c r="E3200" s="111" t="str">
        <f t="shared" si="3198"/>
        <v>Havana</v>
      </c>
    </row>
    <row r="3201" spans="1:5">
      <c r="A3201" s="3" t="s">
        <v>9304</v>
      </c>
      <c r="B3201" s="110" t="s">
        <v>1328</v>
      </c>
      <c r="C3201" s="111" t="s">
        <v>510</v>
      </c>
      <c r="D3201" s="111" t="str">
        <f t="shared" ref="D3201:E3201" si="3199">TRIM(B3201)</f>
        <v>Florida</v>
      </c>
      <c r="E3201" s="111" t="str">
        <f t="shared" si="3199"/>
        <v>Hawthorne</v>
      </c>
    </row>
    <row r="3202" spans="1:5">
      <c r="A3202" s="3" t="s">
        <v>9306</v>
      </c>
      <c r="B3202" s="110" t="s">
        <v>1328</v>
      </c>
      <c r="C3202" s="111" t="s">
        <v>285</v>
      </c>
      <c r="D3202" s="111" t="str">
        <f t="shared" ref="D3202:E3202" si="3200">TRIM(B3202)</f>
        <v>Florida</v>
      </c>
      <c r="E3202" s="111" t="str">
        <f t="shared" si="3200"/>
        <v>Hialeah</v>
      </c>
    </row>
    <row r="3203" spans="1:5">
      <c r="A3203" s="3" t="s">
        <v>9308</v>
      </c>
      <c r="B3203" s="110" t="s">
        <v>1328</v>
      </c>
      <c r="C3203" s="111" t="s">
        <v>285</v>
      </c>
      <c r="D3203" s="111" t="str">
        <f t="shared" ref="D3203:E3203" si="3201">TRIM(B3203)</f>
        <v>Florida</v>
      </c>
      <c r="E3203" s="111" t="str">
        <f t="shared" si="3201"/>
        <v>Hialeah</v>
      </c>
    </row>
    <row r="3204" spans="1:5">
      <c r="A3204" s="3" t="s">
        <v>9310</v>
      </c>
      <c r="B3204" s="110" t="s">
        <v>1328</v>
      </c>
      <c r="C3204" s="111" t="s">
        <v>285</v>
      </c>
      <c r="D3204" s="111" t="str">
        <f t="shared" ref="D3204:E3204" si="3202">TRIM(B3204)</f>
        <v>Florida</v>
      </c>
      <c r="E3204" s="111" t="str">
        <f t="shared" si="3202"/>
        <v>Hialeah</v>
      </c>
    </row>
    <row r="3205" spans="1:5">
      <c r="A3205" s="3" t="s">
        <v>9312</v>
      </c>
      <c r="B3205" s="110" t="s">
        <v>1328</v>
      </c>
      <c r="C3205" s="111" t="s">
        <v>285</v>
      </c>
      <c r="D3205" s="111" t="str">
        <f t="shared" ref="D3205:E3205" si="3203">TRIM(B3205)</f>
        <v>Florida</v>
      </c>
      <c r="E3205" s="111" t="str">
        <f t="shared" si="3203"/>
        <v>Hialeah</v>
      </c>
    </row>
    <row r="3206" spans="1:5">
      <c r="A3206" s="3" t="s">
        <v>9314</v>
      </c>
      <c r="B3206" s="110" t="s">
        <v>1328</v>
      </c>
      <c r="C3206" s="111" t="s">
        <v>285</v>
      </c>
      <c r="D3206" s="111" t="str">
        <f t="shared" ref="D3206:E3206" si="3204">TRIM(B3206)</f>
        <v>Florida</v>
      </c>
      <c r="E3206" s="111" t="str">
        <f t="shared" si="3204"/>
        <v>Hialeah</v>
      </c>
    </row>
    <row r="3207" spans="1:5">
      <c r="A3207" s="3" t="s">
        <v>9316</v>
      </c>
      <c r="B3207" s="110" t="s">
        <v>1328</v>
      </c>
      <c r="C3207" s="111" t="s">
        <v>285</v>
      </c>
      <c r="D3207" s="111" t="str">
        <f t="shared" ref="D3207:E3207" si="3205">TRIM(B3207)</f>
        <v>Florida</v>
      </c>
      <c r="E3207" s="111" t="str">
        <f t="shared" si="3205"/>
        <v>Hialeah</v>
      </c>
    </row>
    <row r="3208" spans="1:5">
      <c r="A3208" s="3" t="s">
        <v>9320</v>
      </c>
      <c r="B3208" s="110" t="s">
        <v>1328</v>
      </c>
      <c r="C3208" s="111" t="s">
        <v>285</v>
      </c>
      <c r="D3208" s="111" t="str">
        <f t="shared" ref="D3208:E3208" si="3206">TRIM(B3208)</f>
        <v>Florida</v>
      </c>
      <c r="E3208" s="111" t="str">
        <f t="shared" si="3206"/>
        <v>Hialeah</v>
      </c>
    </row>
    <row r="3209" spans="1:5">
      <c r="A3209" s="3" t="s">
        <v>9322</v>
      </c>
      <c r="B3209" s="110" t="s">
        <v>1328</v>
      </c>
      <c r="C3209" s="111" t="s">
        <v>285</v>
      </c>
      <c r="D3209" s="111" t="str">
        <f t="shared" ref="D3209:E3209" si="3207">TRIM(B3209)</f>
        <v>Florida</v>
      </c>
      <c r="E3209" s="111" t="str">
        <f t="shared" si="3207"/>
        <v>Hialeah</v>
      </c>
    </row>
    <row r="3210" spans="1:5">
      <c r="A3210" s="3" t="s">
        <v>9324</v>
      </c>
      <c r="B3210" s="110" t="s">
        <v>1328</v>
      </c>
      <c r="C3210" s="111" t="s">
        <v>285</v>
      </c>
      <c r="D3210" s="111" t="str">
        <f t="shared" ref="D3210:E3210" si="3208">TRIM(B3210)</f>
        <v>Florida</v>
      </c>
      <c r="E3210" s="111" t="str">
        <f t="shared" si="3208"/>
        <v>Hialeah</v>
      </c>
    </row>
    <row r="3211" spans="1:5">
      <c r="A3211" s="3" t="s">
        <v>9326</v>
      </c>
      <c r="B3211" s="110" t="s">
        <v>1328</v>
      </c>
      <c r="C3211" s="111" t="s">
        <v>1092</v>
      </c>
      <c r="D3211" s="111" t="str">
        <f t="shared" ref="D3211:E3211" si="3209">TRIM(B3211)</f>
        <v>Florida</v>
      </c>
      <c r="E3211" s="111" t="str">
        <f t="shared" si="3209"/>
        <v>Hialeah Gardens</v>
      </c>
    </row>
    <row r="3212" spans="1:5">
      <c r="A3212" s="110" t="s">
        <v>9329</v>
      </c>
      <c r="B3212" s="110" t="s">
        <v>1328</v>
      </c>
      <c r="C3212" s="111" t="s">
        <v>1092</v>
      </c>
      <c r="D3212" s="111" t="str">
        <f t="shared" ref="D3212:E3212" si="3210">TRIM(B3212)</f>
        <v>Florida</v>
      </c>
      <c r="E3212" s="111" t="str">
        <f t="shared" si="3210"/>
        <v>Hialeah Gardens</v>
      </c>
    </row>
    <row r="3213" spans="1:5">
      <c r="A3213" s="3" t="s">
        <v>9331</v>
      </c>
      <c r="B3213" s="110" t="s">
        <v>1328</v>
      </c>
      <c r="C3213" s="111" t="s">
        <v>1092</v>
      </c>
      <c r="D3213" s="111" t="str">
        <f t="shared" ref="D3213:E3213" si="3211">TRIM(B3213)</f>
        <v>Florida</v>
      </c>
      <c r="E3213" s="111" t="str">
        <f t="shared" si="3211"/>
        <v>Hialeah Gardens</v>
      </c>
    </row>
    <row r="3214" spans="1:5">
      <c r="A3214" s="3" t="s">
        <v>9333</v>
      </c>
      <c r="B3214" s="110" t="s">
        <v>1328</v>
      </c>
      <c r="C3214" s="111" t="s">
        <v>1092</v>
      </c>
      <c r="D3214" s="111" t="str">
        <f t="shared" ref="D3214:E3214" si="3212">TRIM(B3214)</f>
        <v>Florida</v>
      </c>
      <c r="E3214" s="111" t="str">
        <f t="shared" si="3212"/>
        <v>Hialeah Gardens</v>
      </c>
    </row>
    <row r="3215" spans="1:5">
      <c r="A3215" s="3" t="s">
        <v>9335</v>
      </c>
      <c r="B3215" s="110" t="s">
        <v>1328</v>
      </c>
      <c r="C3215" s="111" t="s">
        <v>1101</v>
      </c>
      <c r="D3215" s="111" t="str">
        <f t="shared" ref="D3215:E3215" si="3213">TRIM(B3215)</f>
        <v>Florida</v>
      </c>
      <c r="E3215" s="111" t="str">
        <f t="shared" si="3213"/>
        <v>Hilliard</v>
      </c>
    </row>
    <row r="3216" spans="1:5">
      <c r="A3216" s="3" t="s">
        <v>9336</v>
      </c>
      <c r="B3216" s="110" t="s">
        <v>1328</v>
      </c>
      <c r="C3216" s="111" t="s">
        <v>9338</v>
      </c>
      <c r="D3216" s="111" t="str">
        <f t="shared" ref="D3216:E3216" si="3214">TRIM(B3216)</f>
        <v>Florida</v>
      </c>
      <c r="E3216" s="111" t="str">
        <f t="shared" si="3214"/>
        <v>Holiday</v>
      </c>
    </row>
    <row r="3217" spans="1:5">
      <c r="A3217" s="3" t="s">
        <v>9340</v>
      </c>
      <c r="B3217" s="110" t="s">
        <v>1328</v>
      </c>
      <c r="C3217" s="111" t="s">
        <v>5286</v>
      </c>
      <c r="D3217" s="111" t="str">
        <f t="shared" ref="D3217:E3217" si="3215">TRIM(B3217)</f>
        <v>Florida</v>
      </c>
      <c r="E3217" s="111" t="str">
        <f t="shared" si="3215"/>
        <v>Hollywood</v>
      </c>
    </row>
    <row r="3218" spans="1:5">
      <c r="A3218" s="3" t="s">
        <v>9342</v>
      </c>
      <c r="B3218" s="110" t="s">
        <v>1328</v>
      </c>
      <c r="C3218" s="111" t="s">
        <v>5286</v>
      </c>
      <c r="D3218" s="111" t="str">
        <f t="shared" ref="D3218:E3218" si="3216">TRIM(B3218)</f>
        <v>Florida</v>
      </c>
      <c r="E3218" s="111" t="str">
        <f t="shared" si="3216"/>
        <v>Hollywood</v>
      </c>
    </row>
    <row r="3219" spans="1:5">
      <c r="A3219" s="110" t="s">
        <v>9345</v>
      </c>
      <c r="B3219" s="110" t="s">
        <v>1328</v>
      </c>
      <c r="C3219" s="111" t="s">
        <v>5286</v>
      </c>
      <c r="D3219" s="111" t="str">
        <f t="shared" ref="D3219:E3219" si="3217">TRIM(B3219)</f>
        <v>Florida</v>
      </c>
      <c r="E3219" s="111" t="str">
        <f t="shared" si="3217"/>
        <v>Hollywood</v>
      </c>
    </row>
    <row r="3220" spans="1:5">
      <c r="A3220" s="3" t="s">
        <v>9347</v>
      </c>
      <c r="B3220" s="110" t="s">
        <v>1328</v>
      </c>
      <c r="C3220" s="111" t="s">
        <v>5286</v>
      </c>
      <c r="D3220" s="111" t="str">
        <f t="shared" ref="D3220:E3220" si="3218">TRIM(B3220)</f>
        <v>Florida</v>
      </c>
      <c r="E3220" s="111" t="str">
        <f t="shared" si="3218"/>
        <v>Hollywood</v>
      </c>
    </row>
    <row r="3221" spans="1:5">
      <c r="A3221" s="3" t="s">
        <v>9349</v>
      </c>
      <c r="B3221" s="110" t="s">
        <v>1328</v>
      </c>
      <c r="C3221" s="111" t="s">
        <v>5286</v>
      </c>
      <c r="D3221" s="111" t="str">
        <f t="shared" ref="D3221:E3221" si="3219">TRIM(B3221)</f>
        <v>Florida</v>
      </c>
      <c r="E3221" s="111" t="str">
        <f t="shared" si="3219"/>
        <v>Hollywood</v>
      </c>
    </row>
    <row r="3222" spans="1:5">
      <c r="A3222" s="3" t="s">
        <v>9351</v>
      </c>
      <c r="B3222" s="110" t="s">
        <v>1328</v>
      </c>
      <c r="C3222" s="111" t="s">
        <v>5286</v>
      </c>
      <c r="D3222" s="111" t="str">
        <f t="shared" ref="D3222:E3222" si="3220">TRIM(B3222)</f>
        <v>Florida</v>
      </c>
      <c r="E3222" s="111" t="str">
        <f t="shared" si="3220"/>
        <v>Hollywood</v>
      </c>
    </row>
    <row r="3223" spans="1:5">
      <c r="A3223" s="110" t="s">
        <v>9353</v>
      </c>
      <c r="B3223" s="110" t="s">
        <v>1328</v>
      </c>
      <c r="C3223" s="111" t="s">
        <v>9354</v>
      </c>
      <c r="D3223" s="111" t="str">
        <f t="shared" ref="D3223:E3223" si="3221">TRIM(B3223)</f>
        <v>Florida</v>
      </c>
      <c r="E3223" s="111" t="str">
        <f t="shared" si="3221"/>
        <v>Homestead</v>
      </c>
    </row>
    <row r="3224" spans="1:5">
      <c r="A3224" s="3" t="s">
        <v>9356</v>
      </c>
      <c r="B3224" s="110" t="s">
        <v>1328</v>
      </c>
      <c r="C3224" s="111" t="s">
        <v>9354</v>
      </c>
      <c r="D3224" s="111" t="str">
        <f t="shared" ref="D3224:E3224" si="3222">TRIM(B3224)</f>
        <v>Florida</v>
      </c>
      <c r="E3224" s="111" t="str">
        <f t="shared" si="3222"/>
        <v>Homestead</v>
      </c>
    </row>
    <row r="3225" spans="1:5">
      <c r="A3225" s="3" t="s">
        <v>9358</v>
      </c>
      <c r="B3225" s="110" t="s">
        <v>1328</v>
      </c>
      <c r="C3225" s="111" t="s">
        <v>9354</v>
      </c>
      <c r="D3225" s="111" t="str">
        <f t="shared" ref="D3225:E3225" si="3223">TRIM(B3225)</f>
        <v>Florida</v>
      </c>
      <c r="E3225" s="111" t="str">
        <f t="shared" si="3223"/>
        <v>Homestead</v>
      </c>
    </row>
    <row r="3226" spans="1:5">
      <c r="A3226" s="3" t="s">
        <v>9360</v>
      </c>
      <c r="B3226" s="110" t="s">
        <v>1328</v>
      </c>
      <c r="C3226" s="111" t="s">
        <v>9354</v>
      </c>
      <c r="D3226" s="111" t="str">
        <f t="shared" ref="D3226:E3226" si="3224">TRIM(B3226)</f>
        <v>Florida</v>
      </c>
      <c r="E3226" s="111" t="str">
        <f t="shared" si="3224"/>
        <v>Homestead</v>
      </c>
    </row>
    <row r="3227" spans="1:5">
      <c r="A3227" s="3" t="s">
        <v>9362</v>
      </c>
      <c r="B3227" s="110" t="s">
        <v>1328</v>
      </c>
      <c r="C3227" s="111" t="s">
        <v>9354</v>
      </c>
      <c r="D3227" s="111" t="str">
        <f t="shared" ref="D3227:E3227" si="3225">TRIM(B3227)</f>
        <v>Florida</v>
      </c>
      <c r="E3227" s="111" t="str">
        <f t="shared" si="3225"/>
        <v>Homestead</v>
      </c>
    </row>
    <row r="3228" spans="1:5">
      <c r="A3228" s="110" t="s">
        <v>9364</v>
      </c>
      <c r="B3228" s="110" t="s">
        <v>1328</v>
      </c>
      <c r="C3228" s="111" t="s">
        <v>9354</v>
      </c>
      <c r="D3228" s="111" t="str">
        <f t="shared" ref="D3228:E3228" si="3226">TRIM(B3228)</f>
        <v>Florida</v>
      </c>
      <c r="E3228" s="111" t="str">
        <f t="shared" si="3226"/>
        <v>Homestead</v>
      </c>
    </row>
    <row r="3229" spans="1:5">
      <c r="A3229" s="3" t="s">
        <v>9366</v>
      </c>
      <c r="B3229" s="110" t="s">
        <v>1328</v>
      </c>
      <c r="C3229" s="111" t="s">
        <v>9354</v>
      </c>
      <c r="D3229" s="111" t="str">
        <f t="shared" ref="D3229:E3229" si="3227">TRIM(B3229)</f>
        <v>Florida</v>
      </c>
      <c r="E3229" s="111" t="str">
        <f t="shared" si="3227"/>
        <v>Homestead</v>
      </c>
    </row>
    <row r="3230" spans="1:5">
      <c r="A3230" s="3" t="s">
        <v>9368</v>
      </c>
      <c r="B3230" s="110" t="s">
        <v>1328</v>
      </c>
      <c r="C3230" s="111" t="s">
        <v>9354</v>
      </c>
      <c r="D3230" s="111" t="str">
        <f t="shared" ref="D3230:E3230" si="3228">TRIM(B3230)</f>
        <v>Florida</v>
      </c>
      <c r="E3230" s="111" t="str">
        <f t="shared" si="3228"/>
        <v>Homestead</v>
      </c>
    </row>
    <row r="3231" spans="1:5">
      <c r="A3231" s="3" t="s">
        <v>9370</v>
      </c>
      <c r="B3231" s="110" t="s">
        <v>1328</v>
      </c>
      <c r="C3231" s="111" t="s">
        <v>9354</v>
      </c>
      <c r="D3231" s="111" t="str">
        <f t="shared" ref="D3231:E3231" si="3229">TRIM(B3231)</f>
        <v>Florida</v>
      </c>
      <c r="E3231" s="111" t="str">
        <f t="shared" si="3229"/>
        <v>Homestead</v>
      </c>
    </row>
    <row r="3232" spans="1:5">
      <c r="A3232" s="3" t="s">
        <v>9372</v>
      </c>
      <c r="B3232" s="110" t="s">
        <v>1328</v>
      </c>
      <c r="C3232" s="111" t="s">
        <v>886</v>
      </c>
      <c r="D3232" s="111" t="str">
        <f t="shared" ref="D3232:E3232" si="3230">TRIM(B3232)</f>
        <v>Florida</v>
      </c>
      <c r="E3232" s="111" t="str">
        <f t="shared" si="3230"/>
        <v>Hudson</v>
      </c>
    </row>
    <row r="3233" spans="1:5">
      <c r="A3233" s="3" t="s">
        <v>9374</v>
      </c>
      <c r="B3233" s="110" t="s">
        <v>1328</v>
      </c>
      <c r="C3233" s="111" t="s">
        <v>886</v>
      </c>
      <c r="D3233" s="111" t="str">
        <f t="shared" ref="D3233:E3233" si="3231">TRIM(B3233)</f>
        <v>Florida</v>
      </c>
      <c r="E3233" s="111" t="str">
        <f t="shared" si="3231"/>
        <v>Hudson</v>
      </c>
    </row>
    <row r="3234" spans="1:5">
      <c r="A3234" s="3" t="s">
        <v>9376</v>
      </c>
      <c r="B3234" s="110" t="s">
        <v>1328</v>
      </c>
      <c r="C3234" s="111" t="s">
        <v>9377</v>
      </c>
      <c r="D3234" s="111" t="str">
        <f t="shared" ref="D3234:E3234" si="3232">TRIM(B3234)</f>
        <v>Florida</v>
      </c>
      <c r="E3234" s="111" t="str">
        <f t="shared" si="3232"/>
        <v>Immokalee</v>
      </c>
    </row>
    <row r="3235" spans="1:5">
      <c r="A3235" s="110" t="s">
        <v>9380</v>
      </c>
      <c r="B3235" s="110" t="s">
        <v>1328</v>
      </c>
      <c r="C3235" s="111" t="s">
        <v>9381</v>
      </c>
      <c r="D3235" s="111" t="str">
        <f t="shared" ref="D3235:E3235" si="3233">TRIM(B3235)</f>
        <v>Florida</v>
      </c>
      <c r="E3235" s="111" t="str">
        <f t="shared" si="3233"/>
        <v>Indiantown</v>
      </c>
    </row>
    <row r="3236" spans="1:5">
      <c r="A3236" s="3" t="s">
        <v>9384</v>
      </c>
      <c r="B3236" s="110" t="s">
        <v>1328</v>
      </c>
      <c r="C3236" s="111" t="s">
        <v>9386</v>
      </c>
      <c r="D3236" s="111" t="str">
        <f t="shared" ref="D3236:E3236" si="3234">TRIM(B3236)</f>
        <v>Florida</v>
      </c>
      <c r="E3236" s="111" t="str">
        <f t="shared" si="3234"/>
        <v>Interlachen</v>
      </c>
    </row>
    <row r="3237" spans="1:5">
      <c r="A3237" s="3" t="s">
        <v>9388</v>
      </c>
      <c r="B3237" s="110" t="s">
        <v>1328</v>
      </c>
      <c r="C3237" s="111" t="s">
        <v>9389</v>
      </c>
      <c r="D3237" s="111" t="str">
        <f t="shared" ref="D3237:E3237" si="3235">TRIM(B3237)</f>
        <v>Florida</v>
      </c>
      <c r="E3237" s="111" t="str">
        <f t="shared" si="3235"/>
        <v>Inverness</v>
      </c>
    </row>
    <row r="3238" spans="1:5">
      <c r="A3238" s="3" t="s">
        <v>9391</v>
      </c>
      <c r="B3238" s="110" t="s">
        <v>1328</v>
      </c>
      <c r="C3238" s="111" t="s">
        <v>1045</v>
      </c>
      <c r="D3238" s="111" t="str">
        <f t="shared" ref="D3238:E3238" si="3236">TRIM(B3238)</f>
        <v>Florida</v>
      </c>
      <c r="E3238" s="111" t="str">
        <f t="shared" si="3236"/>
        <v>Jacksonville</v>
      </c>
    </row>
    <row r="3239" spans="1:5">
      <c r="A3239" s="3" t="s">
        <v>9393</v>
      </c>
      <c r="B3239" s="110" t="s">
        <v>1328</v>
      </c>
      <c r="C3239" s="111" t="s">
        <v>1045</v>
      </c>
      <c r="D3239" s="111" t="str">
        <f t="shared" ref="D3239:E3239" si="3237">TRIM(B3239)</f>
        <v>Florida</v>
      </c>
      <c r="E3239" s="111" t="str">
        <f t="shared" si="3237"/>
        <v>Jacksonville</v>
      </c>
    </row>
    <row r="3240" spans="1:5">
      <c r="A3240" s="3" t="s">
        <v>9395</v>
      </c>
      <c r="B3240" s="110" t="s">
        <v>1328</v>
      </c>
      <c r="C3240" s="111" t="s">
        <v>1045</v>
      </c>
      <c r="D3240" s="111" t="str">
        <f t="shared" ref="D3240:E3240" si="3238">TRIM(B3240)</f>
        <v>Florida</v>
      </c>
      <c r="E3240" s="111" t="str">
        <f t="shared" si="3238"/>
        <v>Jacksonville</v>
      </c>
    </row>
    <row r="3241" spans="1:5">
      <c r="A3241" s="3" t="s">
        <v>9397</v>
      </c>
      <c r="B3241" s="110" t="s">
        <v>1328</v>
      </c>
      <c r="C3241" s="111" t="s">
        <v>1045</v>
      </c>
      <c r="D3241" s="111" t="str">
        <f t="shared" ref="D3241:E3241" si="3239">TRIM(B3241)</f>
        <v>Florida</v>
      </c>
      <c r="E3241" s="111" t="str">
        <f t="shared" si="3239"/>
        <v>Jacksonville</v>
      </c>
    </row>
    <row r="3242" spans="1:5">
      <c r="A3242" s="110" t="s">
        <v>9399</v>
      </c>
      <c r="B3242" s="110" t="s">
        <v>1328</v>
      </c>
      <c r="C3242" s="111" t="s">
        <v>1045</v>
      </c>
      <c r="D3242" s="111" t="str">
        <f t="shared" ref="D3242:E3242" si="3240">TRIM(B3242)</f>
        <v>Florida</v>
      </c>
      <c r="E3242" s="111" t="str">
        <f t="shared" si="3240"/>
        <v>Jacksonville</v>
      </c>
    </row>
    <row r="3243" spans="1:5">
      <c r="A3243" s="3" t="s">
        <v>9401</v>
      </c>
      <c r="B3243" s="110" t="s">
        <v>1328</v>
      </c>
      <c r="C3243" s="111" t="s">
        <v>1045</v>
      </c>
      <c r="D3243" s="111" t="str">
        <f t="shared" ref="D3243:E3243" si="3241">TRIM(B3243)</f>
        <v>Florida</v>
      </c>
      <c r="E3243" s="111" t="str">
        <f t="shared" si="3241"/>
        <v>Jacksonville</v>
      </c>
    </row>
    <row r="3244" spans="1:5">
      <c r="A3244" s="3" t="s">
        <v>9403</v>
      </c>
      <c r="B3244" s="110" t="s">
        <v>1328</v>
      </c>
      <c r="C3244" s="111" t="s">
        <v>1045</v>
      </c>
      <c r="D3244" s="111" t="str">
        <f t="shared" ref="D3244:E3244" si="3242">TRIM(B3244)</f>
        <v>Florida</v>
      </c>
      <c r="E3244" s="111" t="str">
        <f t="shared" si="3242"/>
        <v>Jacksonville</v>
      </c>
    </row>
    <row r="3245" spans="1:5">
      <c r="A3245" s="3" t="s">
        <v>7883</v>
      </c>
      <c r="B3245" s="110" t="s">
        <v>1328</v>
      </c>
      <c r="C3245" s="111" t="s">
        <v>1045</v>
      </c>
      <c r="D3245" s="111" t="str">
        <f t="shared" ref="D3245:E3245" si="3243">TRIM(B3245)</f>
        <v>Florida</v>
      </c>
      <c r="E3245" s="111" t="str">
        <f t="shared" si="3243"/>
        <v>Jacksonville</v>
      </c>
    </row>
    <row r="3246" spans="1:5">
      <c r="A3246" s="3" t="s">
        <v>9405</v>
      </c>
      <c r="B3246" s="110" t="s">
        <v>1328</v>
      </c>
      <c r="C3246" s="111" t="s">
        <v>1045</v>
      </c>
      <c r="D3246" s="111" t="str">
        <f t="shared" ref="D3246:E3246" si="3244">TRIM(B3246)</f>
        <v>Florida</v>
      </c>
      <c r="E3246" s="111" t="str">
        <f t="shared" si="3244"/>
        <v>Jacksonville</v>
      </c>
    </row>
    <row r="3247" spans="1:5">
      <c r="A3247" s="3" t="s">
        <v>9407</v>
      </c>
      <c r="B3247" s="110" t="s">
        <v>1328</v>
      </c>
      <c r="C3247" s="111" t="s">
        <v>1045</v>
      </c>
      <c r="D3247" s="111" t="str">
        <f t="shared" ref="D3247:E3247" si="3245">TRIM(B3247)</f>
        <v>Florida</v>
      </c>
      <c r="E3247" s="111" t="str">
        <f t="shared" si="3245"/>
        <v>Jacksonville</v>
      </c>
    </row>
    <row r="3248" spans="1:5">
      <c r="A3248" s="3" t="s">
        <v>9409</v>
      </c>
      <c r="B3248" s="110" t="s">
        <v>1328</v>
      </c>
      <c r="C3248" s="111" t="s">
        <v>1045</v>
      </c>
      <c r="D3248" s="111" t="str">
        <f t="shared" ref="D3248:E3248" si="3246">TRIM(B3248)</f>
        <v>Florida</v>
      </c>
      <c r="E3248" s="111" t="str">
        <f t="shared" si="3246"/>
        <v>Jacksonville</v>
      </c>
    </row>
    <row r="3249" spans="1:5">
      <c r="A3249" s="3" t="s">
        <v>9411</v>
      </c>
      <c r="B3249" s="110" t="s">
        <v>1328</v>
      </c>
      <c r="C3249" s="111" t="s">
        <v>1045</v>
      </c>
      <c r="D3249" s="111" t="str">
        <f t="shared" ref="D3249:E3249" si="3247">TRIM(B3249)</f>
        <v>Florida</v>
      </c>
      <c r="E3249" s="111" t="str">
        <f t="shared" si="3247"/>
        <v>Jacksonville</v>
      </c>
    </row>
    <row r="3250" spans="1:5">
      <c r="A3250" s="110" t="s">
        <v>9413</v>
      </c>
      <c r="B3250" s="110" t="s">
        <v>1328</v>
      </c>
      <c r="C3250" s="111" t="s">
        <v>1045</v>
      </c>
      <c r="D3250" s="111" t="str">
        <f t="shared" ref="D3250:E3250" si="3248">TRIM(B3250)</f>
        <v>Florida</v>
      </c>
      <c r="E3250" s="111" t="str">
        <f t="shared" si="3248"/>
        <v>Jacksonville</v>
      </c>
    </row>
    <row r="3251" spans="1:5">
      <c r="A3251" s="3" t="s">
        <v>9415</v>
      </c>
      <c r="B3251" s="110" t="s">
        <v>1328</v>
      </c>
      <c r="C3251" s="111" t="s">
        <v>1045</v>
      </c>
      <c r="D3251" s="111" t="str">
        <f t="shared" ref="D3251:E3251" si="3249">TRIM(B3251)</f>
        <v>Florida</v>
      </c>
      <c r="E3251" s="111" t="str">
        <f t="shared" si="3249"/>
        <v>Jacksonville</v>
      </c>
    </row>
    <row r="3252" spans="1:5">
      <c r="A3252" s="3" t="s">
        <v>9417</v>
      </c>
      <c r="B3252" s="110" t="s">
        <v>1328</v>
      </c>
      <c r="C3252" s="111" t="s">
        <v>1045</v>
      </c>
      <c r="D3252" s="111" t="str">
        <f t="shared" ref="D3252:E3252" si="3250">TRIM(B3252)</f>
        <v>Florida</v>
      </c>
      <c r="E3252" s="111" t="str">
        <f t="shared" si="3250"/>
        <v>Jacksonville</v>
      </c>
    </row>
    <row r="3253" spans="1:5">
      <c r="A3253" s="3" t="s">
        <v>9419</v>
      </c>
      <c r="B3253" s="110" t="s">
        <v>1328</v>
      </c>
      <c r="C3253" s="111" t="s">
        <v>1045</v>
      </c>
      <c r="D3253" s="111" t="str">
        <f t="shared" ref="D3253:E3253" si="3251">TRIM(B3253)</f>
        <v>Florida</v>
      </c>
      <c r="E3253" s="111" t="str">
        <f t="shared" si="3251"/>
        <v>Jacksonville</v>
      </c>
    </row>
    <row r="3254" spans="1:5">
      <c r="A3254" s="3" t="s">
        <v>9422</v>
      </c>
      <c r="B3254" s="110" t="s">
        <v>1328</v>
      </c>
      <c r="C3254" s="111" t="s">
        <v>1045</v>
      </c>
      <c r="D3254" s="111" t="str">
        <f t="shared" ref="D3254:E3254" si="3252">TRIM(B3254)</f>
        <v>Florida</v>
      </c>
      <c r="E3254" s="111" t="str">
        <f t="shared" si="3252"/>
        <v>Jacksonville</v>
      </c>
    </row>
    <row r="3255" spans="1:5">
      <c r="A3255" s="3" t="s">
        <v>9424</v>
      </c>
      <c r="B3255" s="110" t="s">
        <v>1328</v>
      </c>
      <c r="C3255" s="112" t="s">
        <v>1045</v>
      </c>
      <c r="D3255" s="111" t="str">
        <f t="shared" ref="D3255:E3255" si="3253">TRIM(B3255)</f>
        <v>Florida</v>
      </c>
      <c r="E3255" s="111" t="str">
        <f t="shared" si="3253"/>
        <v>Jacksonville</v>
      </c>
    </row>
    <row r="3256" spans="1:5">
      <c r="A3256" s="110" t="s">
        <v>9426</v>
      </c>
      <c r="B3256" s="110" t="s">
        <v>1328</v>
      </c>
      <c r="C3256" s="111" t="s">
        <v>1045</v>
      </c>
      <c r="D3256" s="111" t="str">
        <f t="shared" ref="D3256:E3256" si="3254">TRIM(B3256)</f>
        <v>Florida</v>
      </c>
      <c r="E3256" s="111" t="str">
        <f t="shared" si="3254"/>
        <v>Jacksonville</v>
      </c>
    </row>
    <row r="3257" spans="1:5">
      <c r="A3257" s="3" t="s">
        <v>9428</v>
      </c>
      <c r="B3257" s="110" t="s">
        <v>1328</v>
      </c>
      <c r="C3257" s="111" t="s">
        <v>1045</v>
      </c>
      <c r="D3257" s="111" t="str">
        <f t="shared" ref="D3257:E3257" si="3255">TRIM(B3257)</f>
        <v>Florida</v>
      </c>
      <c r="E3257" s="111" t="str">
        <f t="shared" si="3255"/>
        <v>Jacksonville</v>
      </c>
    </row>
    <row r="3258" spans="1:5">
      <c r="A3258" s="3" t="s">
        <v>3698</v>
      </c>
      <c r="B3258" s="110" t="s">
        <v>1328</v>
      </c>
      <c r="C3258" s="111" t="s">
        <v>1045</v>
      </c>
      <c r="D3258" s="111" t="str">
        <f t="shared" ref="D3258:E3258" si="3256">TRIM(B3258)</f>
        <v>Florida</v>
      </c>
      <c r="E3258" s="111" t="str">
        <f t="shared" si="3256"/>
        <v>Jacksonville</v>
      </c>
    </row>
    <row r="3259" spans="1:5">
      <c r="A3259" s="3" t="s">
        <v>9430</v>
      </c>
      <c r="B3259" s="110" t="s">
        <v>1328</v>
      </c>
      <c r="C3259" s="111" t="s">
        <v>1045</v>
      </c>
      <c r="D3259" s="111" t="str">
        <f t="shared" ref="D3259:E3259" si="3257">TRIM(B3259)</f>
        <v>Florida</v>
      </c>
      <c r="E3259" s="111" t="str">
        <f t="shared" si="3257"/>
        <v>Jacksonville</v>
      </c>
    </row>
    <row r="3260" spans="1:5">
      <c r="A3260" s="3" t="s">
        <v>9432</v>
      </c>
      <c r="B3260" s="110" t="s">
        <v>1328</v>
      </c>
      <c r="C3260" s="111" t="s">
        <v>263</v>
      </c>
      <c r="D3260" s="111" t="str">
        <f t="shared" ref="D3260:E3260" si="3258">TRIM(B3260)</f>
        <v>Florida</v>
      </c>
      <c r="E3260" s="111" t="str">
        <f t="shared" si="3258"/>
        <v>Jasper</v>
      </c>
    </row>
    <row r="3261" spans="1:5">
      <c r="A3261" s="3" t="s">
        <v>9434</v>
      </c>
      <c r="B3261" s="110" t="s">
        <v>1328</v>
      </c>
      <c r="C3261" s="111" t="s">
        <v>9436</v>
      </c>
      <c r="D3261" s="111" t="str">
        <f t="shared" ref="D3261:E3261" si="3259">TRIM(B3261)</f>
        <v>Florida</v>
      </c>
      <c r="E3261" s="111" t="str">
        <f t="shared" si="3259"/>
        <v>Jay</v>
      </c>
    </row>
    <row r="3262" spans="1:5">
      <c r="A3262" s="3" t="s">
        <v>9437</v>
      </c>
      <c r="B3262" s="110" t="s">
        <v>1328</v>
      </c>
      <c r="C3262" s="111" t="s">
        <v>9439</v>
      </c>
      <c r="D3262" s="111" t="str">
        <f t="shared" ref="D3262:E3262" si="3260">TRIM(B3262)</f>
        <v>Florida</v>
      </c>
      <c r="E3262" s="111" t="str">
        <f t="shared" si="3260"/>
        <v>Jensen Beach</v>
      </c>
    </row>
    <row r="3263" spans="1:5">
      <c r="A3263" s="3" t="s">
        <v>9440</v>
      </c>
      <c r="B3263" s="110" t="s">
        <v>1328</v>
      </c>
      <c r="C3263" s="111" t="s">
        <v>9441</v>
      </c>
      <c r="D3263" s="111" t="str">
        <f t="shared" ref="D3263:E3263" si="3261">TRIM(B3263)</f>
        <v>Florida</v>
      </c>
      <c r="E3263" s="111" t="str">
        <f t="shared" si="3261"/>
        <v>Jupiter</v>
      </c>
    </row>
    <row r="3264" spans="1:5">
      <c r="A3264" s="3" t="s">
        <v>9444</v>
      </c>
      <c r="B3264" s="110" t="s">
        <v>1328</v>
      </c>
      <c r="C3264" s="111" t="s">
        <v>9445</v>
      </c>
      <c r="D3264" s="111" t="str">
        <f t="shared" ref="D3264:E3264" si="3262">TRIM(B3264)</f>
        <v>Florida</v>
      </c>
      <c r="E3264" s="111" t="str">
        <f t="shared" si="3262"/>
        <v>Kenneth City</v>
      </c>
    </row>
    <row r="3265" spans="1:5">
      <c r="A3265" s="3" t="s">
        <v>9447</v>
      </c>
      <c r="B3265" s="110" t="s">
        <v>1328</v>
      </c>
      <c r="C3265" s="111" t="s">
        <v>9448</v>
      </c>
      <c r="D3265" s="111" t="str">
        <f t="shared" ref="D3265:E3265" si="3263">TRIM(B3265)</f>
        <v>Florida</v>
      </c>
      <c r="E3265" s="111" t="str">
        <f t="shared" si="3263"/>
        <v>Key Biscayne</v>
      </c>
    </row>
    <row r="3266" spans="1:5">
      <c r="A3266" s="110" t="s">
        <v>9450</v>
      </c>
      <c r="B3266" s="110" t="s">
        <v>1328</v>
      </c>
      <c r="C3266" s="111" t="s">
        <v>9451</v>
      </c>
      <c r="D3266" s="111" t="str">
        <f t="shared" ref="D3266:E3266" si="3264">TRIM(B3266)</f>
        <v>Florida</v>
      </c>
      <c r="E3266" s="111" t="str">
        <f t="shared" si="3264"/>
        <v>Key West</v>
      </c>
    </row>
    <row r="3267" spans="1:5">
      <c r="A3267" s="3" t="s">
        <v>9453</v>
      </c>
      <c r="B3267" s="110" t="s">
        <v>1328</v>
      </c>
      <c r="C3267" s="111" t="s">
        <v>9451</v>
      </c>
      <c r="D3267" s="111" t="str">
        <f t="shared" ref="D3267:E3267" si="3265">TRIM(B3267)</f>
        <v>Florida</v>
      </c>
      <c r="E3267" s="111" t="str">
        <f t="shared" si="3265"/>
        <v>Key West</v>
      </c>
    </row>
    <row r="3268" spans="1:5">
      <c r="A3268" s="3" t="s">
        <v>9456</v>
      </c>
      <c r="B3268" s="110" t="s">
        <v>1328</v>
      </c>
      <c r="C3268" s="113" t="s">
        <v>9457</v>
      </c>
      <c r="D3268" s="111" t="str">
        <f t="shared" ref="D3268:E3268" si="3266">TRIM(B3268)</f>
        <v>Florida</v>
      </c>
      <c r="E3268" s="111" t="str">
        <f t="shared" si="3266"/>
        <v>Keystone Heights</v>
      </c>
    </row>
    <row r="3269" spans="1:5">
      <c r="A3269" s="3" t="s">
        <v>9459</v>
      </c>
      <c r="B3269" s="110" t="s">
        <v>1328</v>
      </c>
      <c r="C3269" s="111" t="s">
        <v>1275</v>
      </c>
      <c r="D3269" s="111" t="str">
        <f t="shared" ref="D3269:E3269" si="3267">TRIM(B3269)</f>
        <v>Florida</v>
      </c>
      <c r="E3269" s="111" t="str">
        <f t="shared" si="3267"/>
        <v>Kissimmee</v>
      </c>
    </row>
    <row r="3270" spans="1:5">
      <c r="A3270" s="3" t="s">
        <v>6850</v>
      </c>
      <c r="B3270" s="110" t="s">
        <v>1328</v>
      </c>
      <c r="C3270" s="111" t="s">
        <v>1275</v>
      </c>
      <c r="D3270" s="111" t="str">
        <f t="shared" ref="D3270:E3270" si="3268">TRIM(B3270)</f>
        <v>Florida</v>
      </c>
      <c r="E3270" s="111" t="str">
        <f t="shared" si="3268"/>
        <v>Kissimmee</v>
      </c>
    </row>
    <row r="3271" spans="1:5">
      <c r="A3271" s="3" t="s">
        <v>2745</v>
      </c>
      <c r="B3271" s="110" t="s">
        <v>1328</v>
      </c>
      <c r="C3271" s="111" t="s">
        <v>1275</v>
      </c>
      <c r="D3271" s="111" t="str">
        <f t="shared" ref="D3271:E3271" si="3269">TRIM(B3271)</f>
        <v>Florida</v>
      </c>
      <c r="E3271" s="111" t="str">
        <f t="shared" si="3269"/>
        <v>Kissimmee</v>
      </c>
    </row>
    <row r="3272" spans="1:5">
      <c r="A3272" s="3" t="s">
        <v>9465</v>
      </c>
      <c r="B3272" s="110" t="s">
        <v>1328</v>
      </c>
      <c r="C3272" s="111" t="s">
        <v>1275</v>
      </c>
      <c r="D3272" s="111" t="str">
        <f t="shared" ref="D3272:E3272" si="3270">TRIM(B3272)</f>
        <v>Florida</v>
      </c>
      <c r="E3272" s="111" t="str">
        <f t="shared" si="3270"/>
        <v>Kissimmee</v>
      </c>
    </row>
    <row r="3273" spans="1:5">
      <c r="A3273" s="3" t="s">
        <v>9468</v>
      </c>
      <c r="B3273" s="110" t="s">
        <v>1328</v>
      </c>
      <c r="C3273" s="111" t="s">
        <v>1275</v>
      </c>
      <c r="D3273" s="111" t="str">
        <f t="shared" ref="D3273:E3273" si="3271">TRIM(B3273)</f>
        <v>Florida</v>
      </c>
      <c r="E3273" s="111" t="str">
        <f t="shared" si="3271"/>
        <v>Kissimmee</v>
      </c>
    </row>
    <row r="3274" spans="1:5">
      <c r="A3274" s="110" t="s">
        <v>9469</v>
      </c>
      <c r="B3274" s="110" t="s">
        <v>1328</v>
      </c>
      <c r="C3274" s="111" t="s">
        <v>1275</v>
      </c>
      <c r="D3274" s="111" t="str">
        <f t="shared" ref="D3274:E3274" si="3272">TRIM(B3274)</f>
        <v>Florida</v>
      </c>
      <c r="E3274" s="111" t="str">
        <f t="shared" si="3272"/>
        <v>Kissimmee</v>
      </c>
    </row>
    <row r="3275" spans="1:5">
      <c r="A3275" s="3" t="s">
        <v>4099</v>
      </c>
      <c r="B3275" s="110" t="s">
        <v>1328</v>
      </c>
      <c r="C3275" s="111" t="s">
        <v>1275</v>
      </c>
      <c r="D3275" s="111" t="str">
        <f t="shared" ref="D3275:E3275" si="3273">TRIM(B3275)</f>
        <v>Florida</v>
      </c>
      <c r="E3275" s="111" t="str">
        <f t="shared" si="3273"/>
        <v>Kissimmee</v>
      </c>
    </row>
    <row r="3276" spans="1:5">
      <c r="A3276" s="3" t="s">
        <v>9470</v>
      </c>
      <c r="B3276" s="110" t="s">
        <v>1328</v>
      </c>
      <c r="C3276" s="111" t="s">
        <v>1275</v>
      </c>
      <c r="D3276" s="111" t="str">
        <f t="shared" ref="D3276:E3276" si="3274">TRIM(B3276)</f>
        <v>Florida</v>
      </c>
      <c r="E3276" s="111" t="str">
        <f t="shared" si="3274"/>
        <v>Kissimmee</v>
      </c>
    </row>
    <row r="3277" spans="1:5">
      <c r="A3277" s="3" t="s">
        <v>9472</v>
      </c>
      <c r="B3277" s="110" t="s">
        <v>1328</v>
      </c>
      <c r="C3277" s="111" t="s">
        <v>1275</v>
      </c>
      <c r="D3277" s="111" t="str">
        <f t="shared" ref="D3277:E3277" si="3275">TRIM(B3277)</f>
        <v>Florida</v>
      </c>
      <c r="E3277" s="111" t="str">
        <f t="shared" si="3275"/>
        <v>Kissimmee</v>
      </c>
    </row>
    <row r="3278" spans="1:5">
      <c r="A3278" s="110" t="s">
        <v>9474</v>
      </c>
      <c r="B3278" s="110" t="s">
        <v>1328</v>
      </c>
      <c r="C3278" s="112" t="s">
        <v>1275</v>
      </c>
      <c r="D3278" s="111" t="str">
        <f t="shared" ref="D3278:E3278" si="3276">TRIM(B3278)</f>
        <v>Florida</v>
      </c>
      <c r="E3278" s="111" t="str">
        <f t="shared" si="3276"/>
        <v>Kissimmee</v>
      </c>
    </row>
    <row r="3279" spans="1:5">
      <c r="A3279" s="3" t="s">
        <v>9476</v>
      </c>
      <c r="B3279" s="110" t="s">
        <v>1328</v>
      </c>
      <c r="C3279" s="111" t="s">
        <v>1275</v>
      </c>
      <c r="D3279" s="111" t="str">
        <f t="shared" ref="D3279:E3279" si="3277">TRIM(B3279)</f>
        <v>Florida</v>
      </c>
      <c r="E3279" s="111" t="str">
        <f t="shared" si="3277"/>
        <v>Kissimmee</v>
      </c>
    </row>
    <row r="3280" spans="1:5">
      <c r="A3280" s="3" t="s">
        <v>9478</v>
      </c>
      <c r="B3280" s="110" t="s">
        <v>1328</v>
      </c>
      <c r="C3280" s="111" t="s">
        <v>9479</v>
      </c>
      <c r="D3280" s="111" t="str">
        <f t="shared" ref="D3280:E3280" si="3278">TRIM(B3280)</f>
        <v>Florida</v>
      </c>
      <c r="E3280" s="111" t="str">
        <f t="shared" si="3278"/>
        <v>Labelle</v>
      </c>
    </row>
    <row r="3281" spans="1:5">
      <c r="A3281" s="3" t="s">
        <v>9482</v>
      </c>
      <c r="B3281" s="110" t="s">
        <v>1328</v>
      </c>
      <c r="C3281" s="111" t="s">
        <v>9483</v>
      </c>
      <c r="D3281" s="111" t="str">
        <f t="shared" ref="D3281:E3281" si="3279">TRIM(B3281)</f>
        <v>Florida</v>
      </c>
      <c r="E3281" s="111" t="str">
        <f t="shared" si="3279"/>
        <v>Lake Alfred</v>
      </c>
    </row>
    <row r="3282" spans="1:5">
      <c r="A3282" s="3" t="s">
        <v>9484</v>
      </c>
      <c r="B3282" s="110" t="s">
        <v>1328</v>
      </c>
      <c r="C3282" s="111" t="s">
        <v>9486</v>
      </c>
      <c r="D3282" s="111" t="str">
        <f t="shared" ref="D3282:E3282" si="3280">TRIM(B3282)</f>
        <v>Florida</v>
      </c>
      <c r="E3282" s="111" t="str">
        <f t="shared" si="3280"/>
        <v>Lake Butler</v>
      </c>
    </row>
    <row r="3283" spans="1:5">
      <c r="A3283" s="3" t="s">
        <v>1870</v>
      </c>
      <c r="B3283" s="110" t="s">
        <v>1328</v>
      </c>
      <c r="C3283" s="111" t="s">
        <v>3922</v>
      </c>
      <c r="D3283" s="111" t="str">
        <f t="shared" ref="D3283:E3283" si="3281">TRIM(B3283)</f>
        <v>Florida</v>
      </c>
      <c r="E3283" s="111" t="str">
        <f t="shared" si="3281"/>
        <v>Lake City</v>
      </c>
    </row>
    <row r="3284" spans="1:5">
      <c r="A3284" s="3" t="s">
        <v>9488</v>
      </c>
      <c r="B3284" s="110" t="s">
        <v>1328</v>
      </c>
      <c r="C3284" s="111" t="s">
        <v>3922</v>
      </c>
      <c r="D3284" s="111" t="str">
        <f t="shared" ref="D3284:E3284" si="3282">TRIM(B3284)</f>
        <v>Florida</v>
      </c>
      <c r="E3284" s="111" t="str">
        <f t="shared" si="3282"/>
        <v>Lake City</v>
      </c>
    </row>
    <row r="3285" spans="1:5">
      <c r="A3285" s="3" t="s">
        <v>9489</v>
      </c>
      <c r="B3285" s="110" t="s">
        <v>1328</v>
      </c>
      <c r="C3285" s="111" t="s">
        <v>9490</v>
      </c>
      <c r="D3285" s="111" t="str">
        <f t="shared" ref="D3285:E3285" si="3283">TRIM(B3285)</f>
        <v>Florida</v>
      </c>
      <c r="E3285" s="111" t="str">
        <f t="shared" si="3283"/>
        <v>Lake Mary</v>
      </c>
    </row>
    <row r="3286" spans="1:5">
      <c r="A3286" s="3" t="s">
        <v>9492</v>
      </c>
      <c r="B3286" s="110" t="s">
        <v>1328</v>
      </c>
      <c r="C3286" s="112" t="s">
        <v>9494</v>
      </c>
      <c r="D3286" s="111" t="str">
        <f t="shared" ref="D3286:E3286" si="3284">TRIM(B3286)</f>
        <v>Florida</v>
      </c>
      <c r="E3286" s="111" t="str">
        <f t="shared" si="3284"/>
        <v>Lake Placid</v>
      </c>
    </row>
    <row r="3287" spans="1:5">
      <c r="A3287" s="3" t="s">
        <v>9496</v>
      </c>
      <c r="B3287" s="110" t="s">
        <v>1328</v>
      </c>
      <c r="C3287" s="111" t="s">
        <v>9497</v>
      </c>
      <c r="D3287" s="111" t="str">
        <f t="shared" ref="D3287:E3287" si="3285">TRIM(B3287)</f>
        <v>Florida</v>
      </c>
      <c r="E3287" s="111" t="str">
        <f t="shared" si="3285"/>
        <v>Lake Wales</v>
      </c>
    </row>
    <row r="3288" spans="1:5">
      <c r="A3288" s="3" t="s">
        <v>9499</v>
      </c>
      <c r="B3288" s="110" t="s">
        <v>1328</v>
      </c>
      <c r="C3288" s="111" t="s">
        <v>9500</v>
      </c>
      <c r="D3288" s="111" t="str">
        <f t="shared" ref="D3288:E3288" si="3286">TRIM(B3288)</f>
        <v>Florida</v>
      </c>
      <c r="E3288" s="111" t="str">
        <f t="shared" si="3286"/>
        <v>Lake Worth</v>
      </c>
    </row>
    <row r="3289" spans="1:5">
      <c r="A3289" s="3" t="s">
        <v>9502</v>
      </c>
      <c r="B3289" s="110" t="s">
        <v>1328</v>
      </c>
      <c r="C3289" s="111" t="s">
        <v>9500</v>
      </c>
      <c r="D3289" s="111" t="str">
        <f t="shared" ref="D3289:E3289" si="3287">TRIM(B3289)</f>
        <v>Florida</v>
      </c>
      <c r="E3289" s="111" t="str">
        <f t="shared" si="3287"/>
        <v>Lake Worth</v>
      </c>
    </row>
    <row r="3290" spans="1:5">
      <c r="A3290" s="3" t="s">
        <v>9505</v>
      </c>
      <c r="B3290" s="110" t="s">
        <v>1328</v>
      </c>
      <c r="C3290" s="111" t="s">
        <v>1009</v>
      </c>
      <c r="D3290" s="111" t="str">
        <f t="shared" ref="D3290:E3290" si="3288">TRIM(B3290)</f>
        <v>Florida</v>
      </c>
      <c r="E3290" s="111" t="str">
        <f t="shared" si="3288"/>
        <v>Lakeland</v>
      </c>
    </row>
    <row r="3291" spans="1:5">
      <c r="A3291" s="3" t="s">
        <v>9506</v>
      </c>
      <c r="B3291" s="110" t="s">
        <v>1328</v>
      </c>
      <c r="C3291" s="111" t="s">
        <v>1009</v>
      </c>
      <c r="D3291" s="111" t="str">
        <f t="shared" ref="D3291:E3291" si="3289">TRIM(B3291)</f>
        <v>Florida</v>
      </c>
      <c r="E3291" s="111" t="str">
        <f t="shared" si="3289"/>
        <v>Lakeland</v>
      </c>
    </row>
    <row r="3292" spans="1:5">
      <c r="A3292" s="3" t="s">
        <v>9508</v>
      </c>
      <c r="B3292" s="110" t="s">
        <v>1328</v>
      </c>
      <c r="C3292" s="111" t="s">
        <v>1009</v>
      </c>
      <c r="D3292" s="111" t="str">
        <f t="shared" ref="D3292:E3292" si="3290">TRIM(B3292)</f>
        <v>Florida</v>
      </c>
      <c r="E3292" s="111" t="str">
        <f t="shared" si="3290"/>
        <v>Lakeland</v>
      </c>
    </row>
    <row r="3293" spans="1:5">
      <c r="A3293" s="3" t="s">
        <v>9513</v>
      </c>
      <c r="B3293" s="110" t="s">
        <v>1328</v>
      </c>
      <c r="C3293" s="111" t="s">
        <v>1009</v>
      </c>
      <c r="D3293" s="111" t="str">
        <f t="shared" ref="D3293:E3293" si="3291">TRIM(B3293)</f>
        <v>Florida</v>
      </c>
      <c r="E3293" s="111" t="str">
        <f t="shared" si="3291"/>
        <v>Lakeland</v>
      </c>
    </row>
    <row r="3294" spans="1:5">
      <c r="A3294" s="3" t="s">
        <v>9514</v>
      </c>
      <c r="B3294" s="110" t="s">
        <v>1328</v>
      </c>
      <c r="C3294" s="111" t="s">
        <v>1009</v>
      </c>
      <c r="D3294" s="111" t="str">
        <f t="shared" ref="D3294:E3294" si="3292">TRIM(B3294)</f>
        <v>Florida</v>
      </c>
      <c r="E3294" s="111" t="str">
        <f t="shared" si="3292"/>
        <v>Lakeland</v>
      </c>
    </row>
    <row r="3295" spans="1:5">
      <c r="A3295" s="3" t="s">
        <v>9516</v>
      </c>
      <c r="B3295" s="110" t="s">
        <v>1328</v>
      </c>
      <c r="C3295" s="111" t="s">
        <v>1009</v>
      </c>
      <c r="D3295" s="111" t="str">
        <f t="shared" ref="D3295:E3295" si="3293">TRIM(B3295)</f>
        <v>Florida</v>
      </c>
      <c r="E3295" s="111" t="str">
        <f t="shared" si="3293"/>
        <v>Lakeland</v>
      </c>
    </row>
    <row r="3296" spans="1:5">
      <c r="A3296" s="3" t="s">
        <v>9518</v>
      </c>
      <c r="B3296" s="110" t="s">
        <v>1328</v>
      </c>
      <c r="C3296" s="111" t="s">
        <v>1009</v>
      </c>
      <c r="D3296" s="111" t="str">
        <f t="shared" ref="D3296:E3296" si="3294">TRIM(B3296)</f>
        <v>Florida</v>
      </c>
      <c r="E3296" s="111" t="str">
        <f t="shared" si="3294"/>
        <v>Lakeland</v>
      </c>
    </row>
    <row r="3297" spans="1:5">
      <c r="A3297" s="3" t="s">
        <v>9519</v>
      </c>
      <c r="B3297" s="110" t="s">
        <v>1328</v>
      </c>
      <c r="C3297" s="111" t="s">
        <v>9521</v>
      </c>
      <c r="D3297" s="111" t="str">
        <f t="shared" ref="D3297:E3297" si="3295">TRIM(B3297)</f>
        <v>Florida</v>
      </c>
      <c r="E3297" s="111" t="str">
        <f t="shared" si="3295"/>
        <v>Land O Lakes</v>
      </c>
    </row>
    <row r="3298" spans="1:5">
      <c r="A3298" s="3" t="s">
        <v>9523</v>
      </c>
      <c r="B3298" s="110" t="s">
        <v>1328</v>
      </c>
      <c r="C3298" s="111" t="s">
        <v>9521</v>
      </c>
      <c r="D3298" s="111" t="str">
        <f t="shared" ref="D3298:E3298" si="3296">TRIM(B3298)</f>
        <v>Florida</v>
      </c>
      <c r="E3298" s="111" t="str">
        <f t="shared" si="3296"/>
        <v>Land O Lakes</v>
      </c>
    </row>
    <row r="3299" spans="1:5">
      <c r="A3299" s="3" t="s">
        <v>9525</v>
      </c>
      <c r="B3299" s="110" t="s">
        <v>1328</v>
      </c>
      <c r="C3299" s="111" t="s">
        <v>9526</v>
      </c>
      <c r="D3299" s="111" t="str">
        <f t="shared" ref="D3299:E3299" si="3297">TRIM(B3299)</f>
        <v>Florida</v>
      </c>
      <c r="E3299" s="111" t="str">
        <f t="shared" si="3297"/>
        <v>Lantana</v>
      </c>
    </row>
    <row r="3300" spans="1:5">
      <c r="A3300" s="3" t="s">
        <v>9528</v>
      </c>
      <c r="B3300" s="110" t="s">
        <v>1328</v>
      </c>
      <c r="C3300" s="111" t="s">
        <v>9526</v>
      </c>
      <c r="D3300" s="111" t="str">
        <f t="shared" ref="D3300:E3300" si="3298">TRIM(B3300)</f>
        <v>Florida</v>
      </c>
      <c r="E3300" s="111" t="str">
        <f t="shared" si="3298"/>
        <v>Lantana</v>
      </c>
    </row>
    <row r="3301" spans="1:5">
      <c r="A3301" s="3" t="s">
        <v>9530</v>
      </c>
      <c r="B3301" s="110" t="s">
        <v>1328</v>
      </c>
      <c r="C3301" s="111" t="s">
        <v>9531</v>
      </c>
      <c r="D3301" s="111" t="str">
        <f t="shared" ref="D3301:E3301" si="3299">TRIM(B3301)</f>
        <v>Florida</v>
      </c>
      <c r="E3301" s="111" t="str">
        <f t="shared" si="3299"/>
        <v>Largo</v>
      </c>
    </row>
    <row r="3302" spans="1:5">
      <c r="A3302" s="3" t="s">
        <v>9533</v>
      </c>
      <c r="B3302" s="110" t="s">
        <v>1328</v>
      </c>
      <c r="C3302" s="111" t="s">
        <v>9531</v>
      </c>
      <c r="D3302" s="111" t="str">
        <f t="shared" ref="D3302:E3302" si="3300">TRIM(B3302)</f>
        <v>Florida</v>
      </c>
      <c r="E3302" s="111" t="str">
        <f t="shared" si="3300"/>
        <v>Largo</v>
      </c>
    </row>
    <row r="3303" spans="1:5">
      <c r="A3303" s="3" t="s">
        <v>9536</v>
      </c>
      <c r="B3303" s="110" t="s">
        <v>1328</v>
      </c>
      <c r="C3303" s="113" t="s">
        <v>9537</v>
      </c>
      <c r="D3303" s="111" t="str">
        <f t="shared" ref="D3303:E3303" si="3301">TRIM(B3303)</f>
        <v>Florida</v>
      </c>
      <c r="E3303" s="111" t="str">
        <f t="shared" si="3301"/>
        <v>Lauderdale Lakes</v>
      </c>
    </row>
    <row r="3304" spans="1:5">
      <c r="A3304" s="3" t="s">
        <v>9539</v>
      </c>
      <c r="B3304" s="110" t="s">
        <v>1328</v>
      </c>
      <c r="C3304" s="113" t="s">
        <v>9537</v>
      </c>
      <c r="D3304" s="111" t="str">
        <f t="shared" ref="D3304:E3304" si="3302">TRIM(B3304)</f>
        <v>Florida</v>
      </c>
      <c r="E3304" s="111" t="str">
        <f t="shared" si="3302"/>
        <v>Lauderdale Lakes</v>
      </c>
    </row>
    <row r="3305" spans="1:5">
      <c r="A3305" s="110" t="s">
        <v>9541</v>
      </c>
      <c r="B3305" s="110" t="s">
        <v>1328</v>
      </c>
      <c r="C3305" s="111" t="s">
        <v>9542</v>
      </c>
      <c r="D3305" s="111" t="str">
        <f t="shared" ref="D3305:E3305" si="3303">TRIM(B3305)</f>
        <v>Florida</v>
      </c>
      <c r="E3305" s="111" t="str">
        <f t="shared" si="3303"/>
        <v>Lauderhill</v>
      </c>
    </row>
    <row r="3306" spans="1:5">
      <c r="A3306" s="3" t="s">
        <v>9544</v>
      </c>
      <c r="B3306" s="110" t="s">
        <v>1328</v>
      </c>
      <c r="C3306" s="111" t="s">
        <v>9542</v>
      </c>
      <c r="D3306" s="111" t="str">
        <f t="shared" ref="D3306:E3306" si="3304">TRIM(B3306)</f>
        <v>Florida</v>
      </c>
      <c r="E3306" s="111" t="str">
        <f t="shared" si="3304"/>
        <v>Lauderhill</v>
      </c>
    </row>
    <row r="3307" spans="1:5">
      <c r="A3307" s="3" t="s">
        <v>9546</v>
      </c>
      <c r="B3307" s="110" t="s">
        <v>1328</v>
      </c>
      <c r="C3307" s="111" t="s">
        <v>9547</v>
      </c>
      <c r="D3307" s="111" t="str">
        <f t="shared" ref="D3307:E3307" si="3305">TRIM(B3307)</f>
        <v>Florida</v>
      </c>
      <c r="E3307" s="111" t="str">
        <f t="shared" si="3305"/>
        <v>Lecanto</v>
      </c>
    </row>
    <row r="3308" spans="1:5">
      <c r="A3308" s="3" t="s">
        <v>9549</v>
      </c>
      <c r="B3308" s="110" t="s">
        <v>1328</v>
      </c>
      <c r="C3308" s="111" t="s">
        <v>9550</v>
      </c>
      <c r="D3308" s="111" t="str">
        <f t="shared" ref="D3308:E3308" si="3306">TRIM(B3308)</f>
        <v>Florida</v>
      </c>
      <c r="E3308" s="111" t="str">
        <f t="shared" si="3306"/>
        <v>Leesburg</v>
      </c>
    </row>
    <row r="3309" spans="1:5">
      <c r="A3309" s="3" t="s">
        <v>9552</v>
      </c>
      <c r="B3309" s="110" t="s">
        <v>1328</v>
      </c>
      <c r="C3309" s="111" t="s">
        <v>9554</v>
      </c>
      <c r="D3309" s="111" t="str">
        <f t="shared" ref="D3309:E3309" si="3307">TRIM(B3309)</f>
        <v>Florida</v>
      </c>
      <c r="E3309" s="111" t="str">
        <f t="shared" si="3307"/>
        <v>Lehigh Acres</v>
      </c>
    </row>
    <row r="3310" spans="1:5">
      <c r="A3310" s="3" t="s">
        <v>9556</v>
      </c>
      <c r="B3310" s="110" t="s">
        <v>1328</v>
      </c>
      <c r="C3310" s="111" t="s">
        <v>9554</v>
      </c>
      <c r="D3310" s="111" t="str">
        <f t="shared" ref="D3310:E3310" si="3308">TRIM(B3310)</f>
        <v>Florida</v>
      </c>
      <c r="E3310" s="111" t="str">
        <f t="shared" si="3308"/>
        <v>Lehigh Acres</v>
      </c>
    </row>
    <row r="3311" spans="1:5">
      <c r="A3311" s="3" t="s">
        <v>9559</v>
      </c>
      <c r="B3311" s="110" t="s">
        <v>1328</v>
      </c>
      <c r="C3311" s="111" t="s">
        <v>9560</v>
      </c>
      <c r="D3311" s="111" t="str">
        <f t="shared" ref="D3311:E3311" si="3309">TRIM(B3311)</f>
        <v>Florida</v>
      </c>
      <c r="E3311" s="111" t="str">
        <f t="shared" si="3309"/>
        <v>Lithia</v>
      </c>
    </row>
    <row r="3312" spans="1:5">
      <c r="A3312" s="3" t="s">
        <v>9562</v>
      </c>
      <c r="B3312" s="110" t="s">
        <v>1328</v>
      </c>
      <c r="C3312" s="111" t="s">
        <v>5520</v>
      </c>
      <c r="D3312" s="111" t="str">
        <f t="shared" ref="D3312:E3312" si="3310">TRIM(B3312)</f>
        <v>Florida</v>
      </c>
      <c r="E3312" s="111" t="str">
        <f t="shared" si="3310"/>
        <v>Live Oak</v>
      </c>
    </row>
    <row r="3313" spans="1:5">
      <c r="A3313" s="3" t="s">
        <v>9564</v>
      </c>
      <c r="B3313" s="110" t="s">
        <v>1328</v>
      </c>
      <c r="C3313" s="111" t="s">
        <v>9565</v>
      </c>
      <c r="D3313" s="111" t="str">
        <f t="shared" ref="D3313:E3313" si="3311">TRIM(B3313)</f>
        <v>Florida</v>
      </c>
      <c r="E3313" s="111" t="str">
        <f t="shared" si="3311"/>
        <v>Longwood</v>
      </c>
    </row>
    <row r="3314" spans="1:5">
      <c r="A3314" s="3" t="s">
        <v>9567</v>
      </c>
      <c r="B3314" s="110" t="s">
        <v>1328</v>
      </c>
      <c r="C3314" s="111" t="s">
        <v>9568</v>
      </c>
      <c r="D3314" s="111" t="str">
        <f t="shared" ref="D3314:E3314" si="3312">TRIM(B3314)</f>
        <v>Florida</v>
      </c>
      <c r="E3314" s="111" t="str">
        <f t="shared" si="3312"/>
        <v>Loxahatchee</v>
      </c>
    </row>
    <row r="3315" spans="1:5">
      <c r="A3315" s="3" t="s">
        <v>9570</v>
      </c>
      <c r="B3315" s="110" t="s">
        <v>1328</v>
      </c>
      <c r="C3315" s="111" t="s">
        <v>9571</v>
      </c>
      <c r="D3315" s="111" t="str">
        <f t="shared" ref="D3315:E3315" si="3313">TRIM(B3315)</f>
        <v>Florida</v>
      </c>
      <c r="E3315" s="111" t="str">
        <f t="shared" si="3313"/>
        <v>Lutz</v>
      </c>
    </row>
    <row r="3316" spans="1:5">
      <c r="A3316" s="3" t="s">
        <v>9573</v>
      </c>
      <c r="B3316" s="110" t="s">
        <v>1328</v>
      </c>
      <c r="C3316" s="111" t="s">
        <v>9574</v>
      </c>
      <c r="D3316" s="111" t="str">
        <f t="shared" ref="D3316:E3316" si="3314">TRIM(B3316)</f>
        <v>Florida</v>
      </c>
      <c r="E3316" s="111" t="str">
        <f t="shared" si="3314"/>
        <v>Lynn Haven</v>
      </c>
    </row>
    <row r="3317" spans="1:5">
      <c r="A3317" s="3" t="s">
        <v>9576</v>
      </c>
      <c r="B3317" s="110" t="s">
        <v>1328</v>
      </c>
      <c r="C3317" s="111" t="s">
        <v>488</v>
      </c>
      <c r="D3317" s="111" t="str">
        <f t="shared" ref="D3317:E3317" si="3315">TRIM(B3317)</f>
        <v>Florida</v>
      </c>
      <c r="E3317" s="111" t="str">
        <f t="shared" si="3315"/>
        <v>Madison</v>
      </c>
    </row>
    <row r="3318" spans="1:5">
      <c r="A3318" s="3" t="s">
        <v>1818</v>
      </c>
      <c r="B3318" s="110" t="s">
        <v>1328</v>
      </c>
      <c r="C3318" s="111" t="s">
        <v>488</v>
      </c>
      <c r="D3318" s="111" t="str">
        <f t="shared" ref="D3318:E3318" si="3316">TRIM(B3318)</f>
        <v>Florida</v>
      </c>
      <c r="E3318" s="111" t="str">
        <f t="shared" si="3316"/>
        <v>Madison</v>
      </c>
    </row>
    <row r="3319" spans="1:5">
      <c r="A3319" s="110" t="s">
        <v>9580</v>
      </c>
      <c r="B3319" s="110" t="s">
        <v>1328</v>
      </c>
      <c r="C3319" s="111" t="s">
        <v>9581</v>
      </c>
      <c r="D3319" s="111" t="str">
        <f t="shared" ref="D3319:E3319" si="3317">TRIM(B3319)</f>
        <v>Florida</v>
      </c>
      <c r="E3319" s="111" t="str">
        <f t="shared" si="3317"/>
        <v>Marathon</v>
      </c>
    </row>
    <row r="3320" spans="1:5">
      <c r="A3320" s="3" t="s">
        <v>9583</v>
      </c>
      <c r="B3320" s="110" t="s">
        <v>1328</v>
      </c>
      <c r="C3320" s="111" t="s">
        <v>9585</v>
      </c>
      <c r="D3320" s="111" t="str">
        <f t="shared" ref="D3320:E3320" si="3318">TRIM(B3320)</f>
        <v>Florida</v>
      </c>
      <c r="E3320" s="111" t="str">
        <f t="shared" si="3318"/>
        <v>Marco Island</v>
      </c>
    </row>
    <row r="3321" spans="1:5">
      <c r="A3321" s="3" t="s">
        <v>9587</v>
      </c>
      <c r="B3321" s="110" t="s">
        <v>1328</v>
      </c>
      <c r="C3321" s="111" t="s">
        <v>3992</v>
      </c>
      <c r="D3321" s="111" t="str">
        <f t="shared" ref="D3321:E3321" si="3319">TRIM(B3321)</f>
        <v>Florida</v>
      </c>
      <c r="E3321" s="111" t="str">
        <f t="shared" si="3319"/>
        <v>Marianna</v>
      </c>
    </row>
    <row r="3322" spans="1:5">
      <c r="A3322" s="3" t="s">
        <v>1907</v>
      </c>
      <c r="B3322" s="110" t="s">
        <v>1328</v>
      </c>
      <c r="C3322" s="111" t="s">
        <v>9589</v>
      </c>
      <c r="D3322" s="111" t="str">
        <f t="shared" ref="D3322:E3322" si="3320">TRIM(B3322)</f>
        <v>Florida</v>
      </c>
      <c r="E3322" s="111" t="str">
        <f t="shared" si="3320"/>
        <v>Mayo</v>
      </c>
    </row>
    <row r="3323" spans="1:5">
      <c r="A3323" s="3" t="s">
        <v>9592</v>
      </c>
      <c r="B3323" s="110" t="s">
        <v>1328</v>
      </c>
      <c r="C3323" s="111" t="s">
        <v>170</v>
      </c>
      <c r="D3323" s="111" t="str">
        <f t="shared" ref="D3323:E3323" si="3321">TRIM(B3323)</f>
        <v>Florida</v>
      </c>
      <c r="E3323" s="111" t="str">
        <f t="shared" si="3321"/>
        <v>Melbourne</v>
      </c>
    </row>
    <row r="3324" spans="1:5">
      <c r="A3324" s="3" t="s">
        <v>9594</v>
      </c>
      <c r="B3324" s="110" t="s">
        <v>1328</v>
      </c>
      <c r="C3324" s="111" t="s">
        <v>170</v>
      </c>
      <c r="D3324" s="111" t="str">
        <f t="shared" ref="D3324:E3324" si="3322">TRIM(B3324)</f>
        <v>Florida</v>
      </c>
      <c r="E3324" s="111" t="str">
        <f t="shared" si="3322"/>
        <v>Melbourne</v>
      </c>
    </row>
    <row r="3325" spans="1:5">
      <c r="A3325" s="3" t="s">
        <v>9596</v>
      </c>
      <c r="B3325" s="110" t="s">
        <v>1328</v>
      </c>
      <c r="C3325" s="111" t="s">
        <v>170</v>
      </c>
      <c r="D3325" s="111" t="str">
        <f t="shared" ref="D3325:E3325" si="3323">TRIM(B3325)</f>
        <v>Florida</v>
      </c>
      <c r="E3325" s="111" t="str">
        <f t="shared" si="3323"/>
        <v>Melbourne</v>
      </c>
    </row>
    <row r="3326" spans="1:5">
      <c r="A3326" s="3" t="s">
        <v>9597</v>
      </c>
      <c r="B3326" s="110" t="s">
        <v>1328</v>
      </c>
      <c r="C3326" s="111" t="s">
        <v>170</v>
      </c>
      <c r="D3326" s="111" t="str">
        <f t="shared" ref="D3326:E3326" si="3324">TRIM(B3326)</f>
        <v>Florida</v>
      </c>
      <c r="E3326" s="111" t="str">
        <f t="shared" si="3324"/>
        <v>Melbourne</v>
      </c>
    </row>
    <row r="3327" spans="1:5">
      <c r="A3327" s="3" t="s">
        <v>9599</v>
      </c>
      <c r="B3327" s="110" t="s">
        <v>1328</v>
      </c>
      <c r="C3327" s="111" t="s">
        <v>9600</v>
      </c>
      <c r="D3327" s="111" t="str">
        <f t="shared" ref="D3327:E3327" si="3325">TRIM(B3327)</f>
        <v>Florida</v>
      </c>
      <c r="E3327" s="111" t="str">
        <f t="shared" si="3325"/>
        <v>Merritt Island</v>
      </c>
    </row>
    <row r="3328" spans="1:5">
      <c r="A3328" s="3" t="s">
        <v>9602</v>
      </c>
      <c r="B3328" s="110" t="s">
        <v>1328</v>
      </c>
      <c r="C3328" s="111" t="s">
        <v>9600</v>
      </c>
      <c r="D3328" s="111" t="str">
        <f t="shared" ref="D3328:E3328" si="3326">TRIM(B3328)</f>
        <v>Florida</v>
      </c>
      <c r="E3328" s="111" t="str">
        <f t="shared" si="3326"/>
        <v>Merritt Island</v>
      </c>
    </row>
    <row r="3329" spans="1:5">
      <c r="A3329" s="3" t="s">
        <v>9603</v>
      </c>
      <c r="B3329" s="110" t="s">
        <v>1328</v>
      </c>
      <c r="C3329" s="111" t="s">
        <v>115</v>
      </c>
      <c r="D3329" s="111" t="str">
        <f t="shared" ref="D3329:E3329" si="3327">TRIM(B3329)</f>
        <v>Florida</v>
      </c>
      <c r="E3329" s="111" t="str">
        <f t="shared" si="3327"/>
        <v>Miami</v>
      </c>
    </row>
    <row r="3330" spans="1:5">
      <c r="A3330" s="110" t="s">
        <v>9605</v>
      </c>
      <c r="B3330" s="110" t="s">
        <v>1328</v>
      </c>
      <c r="C3330" s="111" t="s">
        <v>115</v>
      </c>
      <c r="D3330" s="111" t="str">
        <f t="shared" ref="D3330:E3330" si="3328">TRIM(B3330)</f>
        <v>Florida</v>
      </c>
      <c r="E3330" s="111" t="str">
        <f t="shared" si="3328"/>
        <v>Miami</v>
      </c>
    </row>
    <row r="3331" spans="1:5">
      <c r="A3331" s="3" t="s">
        <v>9607</v>
      </c>
      <c r="B3331" s="110" t="s">
        <v>1328</v>
      </c>
      <c r="C3331" s="111" t="s">
        <v>115</v>
      </c>
      <c r="D3331" s="111" t="str">
        <f t="shared" ref="D3331:E3331" si="3329">TRIM(B3331)</f>
        <v>Florida</v>
      </c>
      <c r="E3331" s="111" t="str">
        <f t="shared" si="3329"/>
        <v>Miami</v>
      </c>
    </row>
    <row r="3332" spans="1:5">
      <c r="A3332" s="3" t="s">
        <v>9608</v>
      </c>
      <c r="B3332" s="110" t="s">
        <v>1328</v>
      </c>
      <c r="C3332" s="112" t="s">
        <v>115</v>
      </c>
      <c r="D3332" s="111" t="str">
        <f t="shared" ref="D3332:E3332" si="3330">TRIM(B3332)</f>
        <v>Florida</v>
      </c>
      <c r="E3332" s="111" t="str">
        <f t="shared" si="3330"/>
        <v>Miami</v>
      </c>
    </row>
    <row r="3333" spans="1:5">
      <c r="A3333" s="3" t="s">
        <v>9610</v>
      </c>
      <c r="B3333" s="110" t="s">
        <v>1328</v>
      </c>
      <c r="C3333" s="111" t="s">
        <v>115</v>
      </c>
      <c r="D3333" s="111" t="str">
        <f t="shared" ref="D3333:E3333" si="3331">TRIM(B3333)</f>
        <v>Florida</v>
      </c>
      <c r="E3333" s="111" t="str">
        <f t="shared" si="3331"/>
        <v>Miami</v>
      </c>
    </row>
    <row r="3334" spans="1:5">
      <c r="A3334" s="3" t="s">
        <v>9613</v>
      </c>
      <c r="B3334" s="110" t="s">
        <v>1328</v>
      </c>
      <c r="C3334" s="111" t="s">
        <v>115</v>
      </c>
      <c r="D3334" s="111" t="str">
        <f t="shared" ref="D3334:E3334" si="3332">TRIM(B3334)</f>
        <v>Florida</v>
      </c>
      <c r="E3334" s="111" t="str">
        <f t="shared" si="3332"/>
        <v>Miami</v>
      </c>
    </row>
    <row r="3335" spans="1:5">
      <c r="A3335" s="3" t="s">
        <v>9615</v>
      </c>
      <c r="B3335" s="110" t="s">
        <v>1328</v>
      </c>
      <c r="C3335" s="111" t="s">
        <v>115</v>
      </c>
      <c r="D3335" s="111" t="str">
        <f t="shared" ref="D3335:E3335" si="3333">TRIM(B3335)</f>
        <v>Florida</v>
      </c>
      <c r="E3335" s="111" t="str">
        <f t="shared" si="3333"/>
        <v>Miami</v>
      </c>
    </row>
    <row r="3336" spans="1:5">
      <c r="A3336" s="3" t="s">
        <v>9618</v>
      </c>
      <c r="B3336" s="110" t="s">
        <v>1328</v>
      </c>
      <c r="C3336" s="111" t="s">
        <v>115</v>
      </c>
      <c r="D3336" s="111" t="str">
        <f t="shared" ref="D3336:E3336" si="3334">TRIM(B3336)</f>
        <v>Florida</v>
      </c>
      <c r="E3336" s="111" t="str">
        <f t="shared" si="3334"/>
        <v>Miami</v>
      </c>
    </row>
    <row r="3337" spans="1:5">
      <c r="A3337" s="3" t="s">
        <v>9621</v>
      </c>
      <c r="B3337" s="110" t="s">
        <v>1328</v>
      </c>
      <c r="C3337" s="111" t="s">
        <v>115</v>
      </c>
      <c r="D3337" s="111" t="str">
        <f t="shared" ref="D3337:E3337" si="3335">TRIM(B3337)</f>
        <v>Florida</v>
      </c>
      <c r="E3337" s="111" t="str">
        <f t="shared" si="3335"/>
        <v>Miami</v>
      </c>
    </row>
    <row r="3338" spans="1:5">
      <c r="A3338" s="3" t="s">
        <v>9623</v>
      </c>
      <c r="B3338" s="110" t="s">
        <v>1328</v>
      </c>
      <c r="C3338" s="111" t="s">
        <v>115</v>
      </c>
      <c r="D3338" s="111" t="str">
        <f t="shared" ref="D3338:E3338" si="3336">TRIM(B3338)</f>
        <v>Florida</v>
      </c>
      <c r="E3338" s="111" t="str">
        <f t="shared" si="3336"/>
        <v>Miami</v>
      </c>
    </row>
    <row r="3339" spans="1:5">
      <c r="A3339" s="3" t="s">
        <v>9625</v>
      </c>
      <c r="B3339" s="110" t="s">
        <v>1328</v>
      </c>
      <c r="C3339" s="111" t="s">
        <v>115</v>
      </c>
      <c r="D3339" s="111" t="str">
        <f t="shared" ref="D3339:E3339" si="3337">TRIM(B3339)</f>
        <v>Florida</v>
      </c>
      <c r="E3339" s="111" t="str">
        <f t="shared" si="3337"/>
        <v>Miami</v>
      </c>
    </row>
    <row r="3340" spans="1:5">
      <c r="A3340" s="110" t="s">
        <v>9627</v>
      </c>
      <c r="B3340" s="110" t="s">
        <v>1328</v>
      </c>
      <c r="C3340" s="111" t="s">
        <v>115</v>
      </c>
      <c r="D3340" s="111" t="str">
        <f t="shared" ref="D3340:E3340" si="3338">TRIM(B3340)</f>
        <v>Florida</v>
      </c>
      <c r="E3340" s="111" t="str">
        <f t="shared" si="3338"/>
        <v>Miami</v>
      </c>
    </row>
    <row r="3341" spans="1:5">
      <c r="A3341" s="3" t="s">
        <v>9629</v>
      </c>
      <c r="B3341" s="110" t="s">
        <v>1328</v>
      </c>
      <c r="C3341" s="111" t="s">
        <v>115</v>
      </c>
      <c r="D3341" s="111" t="str">
        <f t="shared" ref="D3341:E3341" si="3339">TRIM(B3341)</f>
        <v>Florida</v>
      </c>
      <c r="E3341" s="111" t="str">
        <f t="shared" si="3339"/>
        <v>Miami</v>
      </c>
    </row>
    <row r="3342" spans="1:5">
      <c r="A3342" s="3" t="s">
        <v>9631</v>
      </c>
      <c r="B3342" s="110" t="s">
        <v>1328</v>
      </c>
      <c r="C3342" s="111" t="s">
        <v>115</v>
      </c>
      <c r="D3342" s="111" t="str">
        <f t="shared" ref="D3342:E3342" si="3340">TRIM(B3342)</f>
        <v>Florida</v>
      </c>
      <c r="E3342" s="111" t="str">
        <f t="shared" si="3340"/>
        <v>Miami</v>
      </c>
    </row>
    <row r="3343" spans="1:5">
      <c r="A3343" s="3" t="s">
        <v>9633</v>
      </c>
      <c r="B3343" s="110" t="s">
        <v>1328</v>
      </c>
      <c r="C3343" s="111" t="s">
        <v>115</v>
      </c>
      <c r="D3343" s="111" t="str">
        <f t="shared" ref="D3343:E3343" si="3341">TRIM(B3343)</f>
        <v>Florida</v>
      </c>
      <c r="E3343" s="111" t="str">
        <f t="shared" si="3341"/>
        <v>Miami</v>
      </c>
    </row>
    <row r="3344" spans="1:5">
      <c r="A3344" s="3" t="s">
        <v>9635</v>
      </c>
      <c r="B3344" s="110" t="s">
        <v>1328</v>
      </c>
      <c r="C3344" s="111" t="s">
        <v>115</v>
      </c>
      <c r="D3344" s="111" t="str">
        <f t="shared" ref="D3344:E3344" si="3342">TRIM(B3344)</f>
        <v>Florida</v>
      </c>
      <c r="E3344" s="111" t="str">
        <f t="shared" si="3342"/>
        <v>Miami</v>
      </c>
    </row>
    <row r="3345" spans="1:5">
      <c r="A3345" s="110" t="s">
        <v>9637</v>
      </c>
      <c r="B3345" s="110" t="s">
        <v>1328</v>
      </c>
      <c r="C3345" s="111" t="s">
        <v>115</v>
      </c>
      <c r="D3345" s="111" t="str">
        <f t="shared" ref="D3345:E3345" si="3343">TRIM(B3345)</f>
        <v>Florida</v>
      </c>
      <c r="E3345" s="111" t="str">
        <f t="shared" si="3343"/>
        <v>Miami</v>
      </c>
    </row>
    <row r="3346" spans="1:5">
      <c r="A3346" s="110" t="s">
        <v>9639</v>
      </c>
      <c r="B3346" s="110" t="s">
        <v>1328</v>
      </c>
      <c r="C3346" s="111" t="s">
        <v>115</v>
      </c>
      <c r="D3346" s="111" t="str">
        <f t="shared" ref="D3346:E3346" si="3344">TRIM(B3346)</f>
        <v>Florida</v>
      </c>
      <c r="E3346" s="111" t="str">
        <f t="shared" si="3344"/>
        <v>Miami</v>
      </c>
    </row>
    <row r="3347" spans="1:5">
      <c r="A3347" s="3" t="s">
        <v>9642</v>
      </c>
      <c r="B3347" s="110" t="s">
        <v>1328</v>
      </c>
      <c r="C3347" s="111" t="s">
        <v>115</v>
      </c>
      <c r="D3347" s="111" t="str">
        <f t="shared" ref="D3347:E3347" si="3345">TRIM(B3347)</f>
        <v>Florida</v>
      </c>
      <c r="E3347" s="111" t="str">
        <f t="shared" si="3345"/>
        <v>Miami</v>
      </c>
    </row>
    <row r="3348" spans="1:5">
      <c r="A3348" s="3" t="s">
        <v>9644</v>
      </c>
      <c r="B3348" s="110" t="s">
        <v>1328</v>
      </c>
      <c r="C3348" s="111" t="s">
        <v>115</v>
      </c>
      <c r="D3348" s="111" t="str">
        <f t="shared" ref="D3348:E3348" si="3346">TRIM(B3348)</f>
        <v>Florida</v>
      </c>
      <c r="E3348" s="111" t="str">
        <f t="shared" si="3346"/>
        <v>Miami</v>
      </c>
    </row>
    <row r="3349" spans="1:5">
      <c r="A3349" s="3" t="s">
        <v>9646</v>
      </c>
      <c r="B3349" s="110" t="s">
        <v>1328</v>
      </c>
      <c r="C3349" s="111" t="s">
        <v>115</v>
      </c>
      <c r="D3349" s="111" t="str">
        <f t="shared" ref="D3349:E3349" si="3347">TRIM(B3349)</f>
        <v>Florida</v>
      </c>
      <c r="E3349" s="111" t="str">
        <f t="shared" si="3347"/>
        <v>Miami</v>
      </c>
    </row>
    <row r="3350" spans="1:5">
      <c r="A3350" s="3" t="s">
        <v>9649</v>
      </c>
      <c r="B3350" s="110" t="s">
        <v>1328</v>
      </c>
      <c r="C3350" s="111" t="s">
        <v>115</v>
      </c>
      <c r="D3350" s="111" t="str">
        <f t="shared" ref="D3350:E3350" si="3348">TRIM(B3350)</f>
        <v>Florida</v>
      </c>
      <c r="E3350" s="111" t="str">
        <f t="shared" si="3348"/>
        <v>Miami</v>
      </c>
    </row>
    <row r="3351" spans="1:5">
      <c r="A3351" s="3" t="s">
        <v>9650</v>
      </c>
      <c r="B3351" s="110" t="s">
        <v>1328</v>
      </c>
      <c r="C3351" s="111" t="s">
        <v>115</v>
      </c>
      <c r="D3351" s="111" t="str">
        <f t="shared" ref="D3351:E3351" si="3349">TRIM(B3351)</f>
        <v>Florida</v>
      </c>
      <c r="E3351" s="111" t="str">
        <f t="shared" si="3349"/>
        <v>Miami</v>
      </c>
    </row>
    <row r="3352" spans="1:5">
      <c r="A3352" s="3" t="s">
        <v>9654</v>
      </c>
      <c r="B3352" s="110" t="s">
        <v>1328</v>
      </c>
      <c r="C3352" s="111" t="s">
        <v>115</v>
      </c>
      <c r="D3352" s="111" t="str">
        <f t="shared" ref="D3352:E3352" si="3350">TRIM(B3352)</f>
        <v>Florida</v>
      </c>
      <c r="E3352" s="111" t="str">
        <f t="shared" si="3350"/>
        <v>Miami</v>
      </c>
    </row>
    <row r="3353" spans="1:5">
      <c r="A3353" s="3" t="s">
        <v>9656</v>
      </c>
      <c r="B3353" s="110" t="s">
        <v>1328</v>
      </c>
      <c r="C3353" s="111" t="s">
        <v>115</v>
      </c>
      <c r="D3353" s="111" t="str">
        <f t="shared" ref="D3353:E3353" si="3351">TRIM(B3353)</f>
        <v>Florida</v>
      </c>
      <c r="E3353" s="111" t="str">
        <f t="shared" si="3351"/>
        <v>Miami</v>
      </c>
    </row>
    <row r="3354" spans="1:5">
      <c r="A3354" s="3" t="s">
        <v>9658</v>
      </c>
      <c r="B3354" s="110" t="s">
        <v>1328</v>
      </c>
      <c r="C3354" s="111" t="s">
        <v>115</v>
      </c>
      <c r="D3354" s="111" t="str">
        <f t="shared" ref="D3354:E3354" si="3352">TRIM(B3354)</f>
        <v>Florida</v>
      </c>
      <c r="E3354" s="111" t="str">
        <f t="shared" si="3352"/>
        <v>Miami</v>
      </c>
    </row>
    <row r="3355" spans="1:5">
      <c r="A3355" s="3" t="s">
        <v>9660</v>
      </c>
      <c r="B3355" s="110" t="s">
        <v>1328</v>
      </c>
      <c r="C3355" s="111" t="s">
        <v>115</v>
      </c>
      <c r="D3355" s="111" t="str">
        <f t="shared" ref="D3355:E3355" si="3353">TRIM(B3355)</f>
        <v>Florida</v>
      </c>
      <c r="E3355" s="111" t="str">
        <f t="shared" si="3353"/>
        <v>Miami</v>
      </c>
    </row>
    <row r="3356" spans="1:5">
      <c r="A3356" s="3" t="s">
        <v>9662</v>
      </c>
      <c r="B3356" s="110" t="s">
        <v>1328</v>
      </c>
      <c r="C3356" s="111" t="s">
        <v>115</v>
      </c>
      <c r="D3356" s="111" t="str">
        <f t="shared" ref="D3356:E3356" si="3354">TRIM(B3356)</f>
        <v>Florida</v>
      </c>
      <c r="E3356" s="111" t="str">
        <f t="shared" si="3354"/>
        <v>Miami</v>
      </c>
    </row>
    <row r="3357" spans="1:5">
      <c r="A3357" s="3" t="s">
        <v>9664</v>
      </c>
      <c r="B3357" s="110" t="s">
        <v>1328</v>
      </c>
      <c r="C3357" s="111" t="s">
        <v>115</v>
      </c>
      <c r="D3357" s="111" t="str">
        <f t="shared" ref="D3357:E3357" si="3355">TRIM(B3357)</f>
        <v>Florida</v>
      </c>
      <c r="E3357" s="111" t="str">
        <f t="shared" si="3355"/>
        <v>Miami</v>
      </c>
    </row>
    <row r="3358" spans="1:5">
      <c r="A3358" s="110" t="s">
        <v>9666</v>
      </c>
      <c r="B3358" s="110" t="s">
        <v>1328</v>
      </c>
      <c r="C3358" s="111" t="s">
        <v>115</v>
      </c>
      <c r="D3358" s="111" t="str">
        <f t="shared" ref="D3358:E3358" si="3356">TRIM(B3358)</f>
        <v>Florida</v>
      </c>
      <c r="E3358" s="111" t="str">
        <f t="shared" si="3356"/>
        <v>Miami</v>
      </c>
    </row>
    <row r="3359" spans="1:5">
      <c r="A3359" s="3" t="s">
        <v>9668</v>
      </c>
      <c r="B3359" s="110" t="s">
        <v>1328</v>
      </c>
      <c r="C3359" s="111" t="s">
        <v>115</v>
      </c>
      <c r="D3359" s="111" t="str">
        <f t="shared" ref="D3359:E3359" si="3357">TRIM(B3359)</f>
        <v>Florida</v>
      </c>
      <c r="E3359" s="111" t="str">
        <f t="shared" si="3357"/>
        <v>Miami</v>
      </c>
    </row>
    <row r="3360" spans="1:5">
      <c r="A3360" s="3" t="s">
        <v>9671</v>
      </c>
      <c r="B3360" s="110" t="s">
        <v>1328</v>
      </c>
      <c r="C3360" s="111" t="s">
        <v>115</v>
      </c>
      <c r="D3360" s="111" t="str">
        <f t="shared" ref="D3360:E3360" si="3358">TRIM(B3360)</f>
        <v>Florida</v>
      </c>
      <c r="E3360" s="111" t="str">
        <f t="shared" si="3358"/>
        <v>Miami</v>
      </c>
    </row>
    <row r="3361" spans="1:5">
      <c r="A3361" s="3" t="s">
        <v>9673</v>
      </c>
      <c r="B3361" s="110" t="s">
        <v>1328</v>
      </c>
      <c r="C3361" s="111" t="s">
        <v>115</v>
      </c>
      <c r="D3361" s="111" t="str">
        <f t="shared" ref="D3361:E3361" si="3359">TRIM(B3361)</f>
        <v>Florida</v>
      </c>
      <c r="E3361" s="111" t="str">
        <f t="shared" si="3359"/>
        <v>Miami</v>
      </c>
    </row>
    <row r="3362" spans="1:5">
      <c r="A3362" s="110" t="s">
        <v>9676</v>
      </c>
      <c r="B3362" s="110" t="s">
        <v>1328</v>
      </c>
      <c r="C3362" s="111" t="s">
        <v>115</v>
      </c>
      <c r="D3362" s="111" t="str">
        <f t="shared" ref="D3362:E3362" si="3360">TRIM(B3362)</f>
        <v>Florida</v>
      </c>
      <c r="E3362" s="111" t="str">
        <f t="shared" si="3360"/>
        <v>Miami</v>
      </c>
    </row>
    <row r="3363" spans="1:5">
      <c r="A3363" s="110" t="s">
        <v>9678</v>
      </c>
      <c r="B3363" s="110" t="s">
        <v>1328</v>
      </c>
      <c r="C3363" s="111" t="s">
        <v>115</v>
      </c>
      <c r="D3363" s="111" t="str">
        <f t="shared" ref="D3363:E3363" si="3361">TRIM(B3363)</f>
        <v>Florida</v>
      </c>
      <c r="E3363" s="111" t="str">
        <f t="shared" si="3361"/>
        <v>Miami</v>
      </c>
    </row>
    <row r="3364" spans="1:5">
      <c r="A3364" s="110" t="s">
        <v>9680</v>
      </c>
      <c r="B3364" s="110" t="s">
        <v>1328</v>
      </c>
      <c r="C3364" s="111" t="s">
        <v>115</v>
      </c>
      <c r="D3364" s="111" t="str">
        <f t="shared" ref="D3364:E3364" si="3362">TRIM(B3364)</f>
        <v>Florida</v>
      </c>
      <c r="E3364" s="111" t="str">
        <f t="shared" si="3362"/>
        <v>Miami</v>
      </c>
    </row>
    <row r="3365" spans="1:5">
      <c r="A3365" s="110" t="s">
        <v>9682</v>
      </c>
      <c r="B3365" s="110" t="s">
        <v>1328</v>
      </c>
      <c r="C3365" s="111" t="s">
        <v>115</v>
      </c>
      <c r="D3365" s="111" t="str">
        <f t="shared" ref="D3365:E3365" si="3363">TRIM(B3365)</f>
        <v>Florida</v>
      </c>
      <c r="E3365" s="111" t="str">
        <f t="shared" si="3363"/>
        <v>Miami</v>
      </c>
    </row>
    <row r="3366" spans="1:5">
      <c r="A3366" s="110" t="s">
        <v>9685</v>
      </c>
      <c r="B3366" s="110" t="s">
        <v>1328</v>
      </c>
      <c r="C3366" s="111" t="s">
        <v>115</v>
      </c>
      <c r="D3366" s="111" t="str">
        <f t="shared" ref="D3366:E3366" si="3364">TRIM(B3366)</f>
        <v>Florida</v>
      </c>
      <c r="E3366" s="111" t="str">
        <f t="shared" si="3364"/>
        <v>Miami</v>
      </c>
    </row>
    <row r="3367" spans="1:5">
      <c r="A3367" s="3" t="s">
        <v>9687</v>
      </c>
      <c r="B3367" s="110" t="s">
        <v>1328</v>
      </c>
      <c r="C3367" s="111" t="s">
        <v>115</v>
      </c>
      <c r="D3367" s="111" t="str">
        <f t="shared" ref="D3367:E3367" si="3365">TRIM(B3367)</f>
        <v>Florida</v>
      </c>
      <c r="E3367" s="111" t="str">
        <f t="shared" si="3365"/>
        <v>Miami</v>
      </c>
    </row>
    <row r="3368" spans="1:5">
      <c r="A3368" s="3" t="s">
        <v>9689</v>
      </c>
      <c r="B3368" s="110" t="s">
        <v>1328</v>
      </c>
      <c r="C3368" s="111" t="s">
        <v>115</v>
      </c>
      <c r="D3368" s="111" t="str">
        <f t="shared" ref="D3368:E3368" si="3366">TRIM(B3368)</f>
        <v>Florida</v>
      </c>
      <c r="E3368" s="111" t="str">
        <f t="shared" si="3366"/>
        <v>Miami</v>
      </c>
    </row>
    <row r="3369" spans="1:5">
      <c r="A3369" s="3" t="s">
        <v>9691</v>
      </c>
      <c r="B3369" s="110" t="s">
        <v>1328</v>
      </c>
      <c r="C3369" s="111" t="s">
        <v>115</v>
      </c>
      <c r="D3369" s="111" t="str">
        <f t="shared" ref="D3369:E3369" si="3367">TRIM(B3369)</f>
        <v>Florida</v>
      </c>
      <c r="E3369" s="111" t="str">
        <f t="shared" si="3367"/>
        <v>Miami</v>
      </c>
    </row>
    <row r="3370" spans="1:5">
      <c r="A3370" s="3" t="s">
        <v>9693</v>
      </c>
      <c r="B3370" s="110" t="s">
        <v>1328</v>
      </c>
      <c r="C3370" s="111" t="s">
        <v>115</v>
      </c>
      <c r="D3370" s="111" t="str">
        <f t="shared" ref="D3370:E3370" si="3368">TRIM(B3370)</f>
        <v>Florida</v>
      </c>
      <c r="E3370" s="111" t="str">
        <f t="shared" si="3368"/>
        <v>Miami</v>
      </c>
    </row>
    <row r="3371" spans="1:5">
      <c r="A3371" s="110" t="s">
        <v>9696</v>
      </c>
      <c r="B3371" s="110" t="s">
        <v>1328</v>
      </c>
      <c r="C3371" s="111" t="s">
        <v>115</v>
      </c>
      <c r="D3371" s="111" t="str">
        <f t="shared" ref="D3371:E3371" si="3369">TRIM(B3371)</f>
        <v>Florida</v>
      </c>
      <c r="E3371" s="111" t="str">
        <f t="shared" si="3369"/>
        <v>Miami</v>
      </c>
    </row>
    <row r="3372" spans="1:5">
      <c r="A3372" s="3" t="s">
        <v>9698</v>
      </c>
      <c r="B3372" s="110" t="s">
        <v>1328</v>
      </c>
      <c r="C3372" s="111" t="s">
        <v>115</v>
      </c>
      <c r="D3372" s="111" t="str">
        <f t="shared" ref="D3372:E3372" si="3370">TRIM(B3372)</f>
        <v>Florida</v>
      </c>
      <c r="E3372" s="111" t="str">
        <f t="shared" si="3370"/>
        <v>Miami</v>
      </c>
    </row>
    <row r="3373" spans="1:5">
      <c r="A3373" s="3" t="s">
        <v>9700</v>
      </c>
      <c r="B3373" s="110" t="s">
        <v>1328</v>
      </c>
      <c r="C3373" s="111" t="s">
        <v>115</v>
      </c>
      <c r="D3373" s="111" t="str">
        <f t="shared" ref="D3373:E3373" si="3371">TRIM(B3373)</f>
        <v>Florida</v>
      </c>
      <c r="E3373" s="111" t="str">
        <f t="shared" si="3371"/>
        <v>Miami</v>
      </c>
    </row>
    <row r="3374" spans="1:5">
      <c r="A3374" s="3" t="s">
        <v>9702</v>
      </c>
      <c r="B3374" s="110" t="s">
        <v>1328</v>
      </c>
      <c r="C3374" s="111" t="s">
        <v>115</v>
      </c>
      <c r="D3374" s="111" t="str">
        <f t="shared" ref="D3374:E3374" si="3372">TRIM(B3374)</f>
        <v>Florida</v>
      </c>
      <c r="E3374" s="111" t="str">
        <f t="shared" si="3372"/>
        <v>Miami</v>
      </c>
    </row>
    <row r="3375" spans="1:5">
      <c r="A3375" s="3" t="s">
        <v>9704</v>
      </c>
      <c r="B3375" s="110" t="s">
        <v>1328</v>
      </c>
      <c r="C3375" s="111" t="s">
        <v>115</v>
      </c>
      <c r="D3375" s="111" t="str">
        <f t="shared" ref="D3375:E3375" si="3373">TRIM(B3375)</f>
        <v>Florida</v>
      </c>
      <c r="E3375" s="111" t="str">
        <f t="shared" si="3373"/>
        <v>Miami</v>
      </c>
    </row>
    <row r="3376" spans="1:5">
      <c r="A3376" s="3" t="s">
        <v>9708</v>
      </c>
      <c r="B3376" s="110" t="s">
        <v>1328</v>
      </c>
      <c r="C3376" s="111" t="s">
        <v>9709</v>
      </c>
      <c r="D3376" s="111" t="str">
        <f t="shared" ref="D3376:E3376" si="3374">TRIM(B3376)</f>
        <v>Florida</v>
      </c>
      <c r="E3376" s="111" t="str">
        <f t="shared" si="3374"/>
        <v>Miami Beach</v>
      </c>
    </row>
    <row r="3377" spans="1:5">
      <c r="A3377" s="3" t="s">
        <v>9711</v>
      </c>
      <c r="B3377" s="110" t="s">
        <v>1328</v>
      </c>
      <c r="C3377" s="111" t="s">
        <v>9712</v>
      </c>
      <c r="D3377" s="111" t="str">
        <f t="shared" ref="D3377:E3377" si="3375">TRIM(B3377)</f>
        <v>Florida</v>
      </c>
      <c r="E3377" s="111" t="str">
        <f t="shared" si="3375"/>
        <v>Miami Gardens</v>
      </c>
    </row>
    <row r="3378" spans="1:5">
      <c r="A3378" s="3" t="s">
        <v>9714</v>
      </c>
      <c r="B3378" s="110" t="s">
        <v>1328</v>
      </c>
      <c r="C3378" s="111" t="s">
        <v>9715</v>
      </c>
      <c r="D3378" s="111" t="str">
        <f t="shared" ref="D3378:E3378" si="3376">TRIM(B3378)</f>
        <v>Florida</v>
      </c>
      <c r="E3378" s="111" t="str">
        <f t="shared" si="3376"/>
        <v>Miami Lakes</v>
      </c>
    </row>
    <row r="3379" spans="1:5">
      <c r="A3379" s="110" t="s">
        <v>9717</v>
      </c>
      <c r="B3379" s="110" t="s">
        <v>1328</v>
      </c>
      <c r="C3379" s="111" t="s">
        <v>9715</v>
      </c>
      <c r="D3379" s="111" t="str">
        <f t="shared" ref="D3379:E3379" si="3377">TRIM(B3379)</f>
        <v>Florida</v>
      </c>
      <c r="E3379" s="111" t="str">
        <f t="shared" si="3377"/>
        <v>Miami Lakes</v>
      </c>
    </row>
    <row r="3380" spans="1:5">
      <c r="A3380" s="110" t="s">
        <v>9718</v>
      </c>
      <c r="B3380" s="110" t="s">
        <v>1328</v>
      </c>
      <c r="C3380" s="111" t="s">
        <v>9719</v>
      </c>
      <c r="D3380" s="111" t="str">
        <f t="shared" ref="D3380:E3380" si="3378">TRIM(B3380)</f>
        <v>Florida</v>
      </c>
      <c r="E3380" s="111" t="str">
        <f t="shared" si="3378"/>
        <v>Miami Shores</v>
      </c>
    </row>
    <row r="3381" spans="1:5">
      <c r="A3381" s="3" t="s">
        <v>9721</v>
      </c>
      <c r="B3381" s="110" t="s">
        <v>1328</v>
      </c>
      <c r="C3381" s="111" t="s">
        <v>9722</v>
      </c>
      <c r="D3381" s="111" t="str">
        <f t="shared" ref="D3381:E3381" si="3379">TRIM(B3381)</f>
        <v>Florida</v>
      </c>
      <c r="E3381" s="111" t="str">
        <f t="shared" si="3379"/>
        <v>Miami Springs</v>
      </c>
    </row>
    <row r="3382" spans="1:5">
      <c r="A3382" s="3" t="s">
        <v>9724</v>
      </c>
      <c r="B3382" s="110" t="s">
        <v>1328</v>
      </c>
      <c r="C3382" s="111" t="s">
        <v>9725</v>
      </c>
      <c r="D3382" s="111" t="str">
        <f t="shared" ref="D3382:E3382" si="3380">TRIM(B3382)</f>
        <v>Florida</v>
      </c>
      <c r="E3382" s="111" t="str">
        <f t="shared" si="3380"/>
        <v>Middleburg</v>
      </c>
    </row>
    <row r="3383" spans="1:5">
      <c r="A3383" s="3" t="s">
        <v>9727</v>
      </c>
      <c r="B3383" s="110" t="s">
        <v>1328</v>
      </c>
      <c r="C3383" s="111" t="s">
        <v>503</v>
      </c>
      <c r="D3383" s="111" t="str">
        <f t="shared" ref="D3383:E3383" si="3381">TRIM(B3383)</f>
        <v>Florida</v>
      </c>
      <c r="E3383" s="111" t="str">
        <f t="shared" si="3381"/>
        <v>Milton</v>
      </c>
    </row>
    <row r="3384" spans="1:5">
      <c r="A3384" s="3" t="s">
        <v>9729</v>
      </c>
      <c r="B3384" s="110" t="s">
        <v>1328</v>
      </c>
      <c r="C3384" s="111" t="s">
        <v>9730</v>
      </c>
      <c r="D3384" s="111" t="str">
        <f t="shared" ref="D3384:E3384" si="3382">TRIM(B3384)</f>
        <v>Florida</v>
      </c>
      <c r="E3384" s="111" t="str">
        <f t="shared" si="3382"/>
        <v>Minneola</v>
      </c>
    </row>
    <row r="3385" spans="1:5">
      <c r="A3385" s="3" t="s">
        <v>9731</v>
      </c>
      <c r="B3385" s="110" t="s">
        <v>1328</v>
      </c>
      <c r="C3385" s="111" t="s">
        <v>1018</v>
      </c>
      <c r="D3385" s="111" t="str">
        <f t="shared" ref="D3385:E3385" si="3383">TRIM(B3385)</f>
        <v>Florida</v>
      </c>
      <c r="E3385" s="111" t="str">
        <f t="shared" si="3383"/>
        <v>Miramar</v>
      </c>
    </row>
    <row r="3386" spans="1:5">
      <c r="A3386" s="3" t="s">
        <v>9732</v>
      </c>
      <c r="B3386" s="110" t="s">
        <v>1328</v>
      </c>
      <c r="C3386" s="111" t="s">
        <v>1018</v>
      </c>
      <c r="D3386" s="111" t="str">
        <f t="shared" ref="D3386:E3386" si="3384">TRIM(B3386)</f>
        <v>Florida</v>
      </c>
      <c r="E3386" s="111" t="str">
        <f t="shared" si="3384"/>
        <v>Miramar</v>
      </c>
    </row>
    <row r="3387" spans="1:5">
      <c r="A3387" s="3" t="s">
        <v>9734</v>
      </c>
      <c r="B3387" s="110" t="s">
        <v>1328</v>
      </c>
      <c r="C3387" s="111" t="s">
        <v>1018</v>
      </c>
      <c r="D3387" s="111" t="str">
        <f t="shared" ref="D3387:E3387" si="3385">TRIM(B3387)</f>
        <v>Florida</v>
      </c>
      <c r="E3387" s="111" t="str">
        <f t="shared" si="3385"/>
        <v>Miramar</v>
      </c>
    </row>
    <row r="3388" spans="1:5">
      <c r="A3388" s="3" t="s">
        <v>9737</v>
      </c>
      <c r="B3388" s="110" t="s">
        <v>1328</v>
      </c>
      <c r="C3388" s="111" t="s">
        <v>9739</v>
      </c>
      <c r="D3388" s="111" t="str">
        <f t="shared" ref="D3388:E3388" si="3386">TRIM(B3388)</f>
        <v>Florida</v>
      </c>
      <c r="E3388" s="111" t="str">
        <f t="shared" si="3386"/>
        <v>Moore Haven</v>
      </c>
    </row>
    <row r="3389" spans="1:5">
      <c r="A3389" s="3" t="s">
        <v>9740</v>
      </c>
      <c r="B3389" s="110" t="s">
        <v>1328</v>
      </c>
      <c r="C3389" s="111" t="s">
        <v>9742</v>
      </c>
      <c r="D3389" s="111" t="str">
        <f t="shared" ref="D3389:E3389" si="3387">TRIM(B3389)</f>
        <v>Florida</v>
      </c>
      <c r="E3389" s="111" t="str">
        <f t="shared" si="3387"/>
        <v>Mount Dora</v>
      </c>
    </row>
    <row r="3390" spans="1:5">
      <c r="A3390" s="3" t="s">
        <v>9743</v>
      </c>
      <c r="B3390" s="110" t="s">
        <v>1328</v>
      </c>
      <c r="C3390" s="111" t="s">
        <v>4068</v>
      </c>
      <c r="D3390" s="111" t="str">
        <f t="shared" ref="D3390:E3390" si="3388">TRIM(B3390)</f>
        <v>Florida</v>
      </c>
      <c r="E3390" s="111" t="str">
        <f t="shared" si="3388"/>
        <v>Mulberry</v>
      </c>
    </row>
    <row r="3391" spans="1:5">
      <c r="A3391" s="3" t="s">
        <v>9746</v>
      </c>
      <c r="B3391" s="110" t="s">
        <v>1328</v>
      </c>
      <c r="C3391" s="111" t="s">
        <v>354</v>
      </c>
      <c r="D3391" s="111" t="str">
        <f t="shared" ref="D3391:E3391" si="3389">TRIM(B3391)</f>
        <v>Florida</v>
      </c>
      <c r="E3391" s="111" t="str">
        <f t="shared" si="3389"/>
        <v>Naples</v>
      </c>
    </row>
    <row r="3392" spans="1:5">
      <c r="A3392" s="3" t="s">
        <v>9749</v>
      </c>
      <c r="B3392" s="110" t="s">
        <v>1328</v>
      </c>
      <c r="C3392" s="111" t="s">
        <v>354</v>
      </c>
      <c r="D3392" s="111" t="str">
        <f t="shared" ref="D3392:E3392" si="3390">TRIM(B3392)</f>
        <v>Florida</v>
      </c>
      <c r="E3392" s="111" t="str">
        <f t="shared" si="3390"/>
        <v>Naples</v>
      </c>
    </row>
    <row r="3393" spans="1:5">
      <c r="A3393" s="3" t="s">
        <v>9751</v>
      </c>
      <c r="B3393" s="110" t="s">
        <v>1328</v>
      </c>
      <c r="C3393" s="111" t="s">
        <v>354</v>
      </c>
      <c r="D3393" s="111" t="str">
        <f t="shared" ref="D3393:E3393" si="3391">TRIM(B3393)</f>
        <v>Florida</v>
      </c>
      <c r="E3393" s="111" t="str">
        <f t="shared" si="3391"/>
        <v>Naples</v>
      </c>
    </row>
    <row r="3394" spans="1:5">
      <c r="A3394" s="3" t="s">
        <v>9753</v>
      </c>
      <c r="B3394" s="110" t="s">
        <v>1328</v>
      </c>
      <c r="C3394" s="111" t="s">
        <v>354</v>
      </c>
      <c r="D3394" s="111" t="str">
        <f t="shared" ref="D3394:E3394" si="3392">TRIM(B3394)</f>
        <v>Florida</v>
      </c>
      <c r="E3394" s="111" t="str">
        <f t="shared" si="3392"/>
        <v>Naples</v>
      </c>
    </row>
    <row r="3395" spans="1:5">
      <c r="A3395" s="3" t="s">
        <v>9755</v>
      </c>
      <c r="B3395" s="110" t="s">
        <v>1328</v>
      </c>
      <c r="C3395" s="111" t="s">
        <v>354</v>
      </c>
      <c r="D3395" s="111" t="str">
        <f t="shared" ref="D3395:E3395" si="3393">TRIM(B3395)</f>
        <v>Florida</v>
      </c>
      <c r="E3395" s="111" t="str">
        <f t="shared" si="3393"/>
        <v>Naples</v>
      </c>
    </row>
    <row r="3396" spans="1:5">
      <c r="A3396" s="3" t="s">
        <v>9757</v>
      </c>
      <c r="B3396" s="110" t="s">
        <v>1328</v>
      </c>
      <c r="C3396" s="111" t="s">
        <v>354</v>
      </c>
      <c r="D3396" s="111" t="str">
        <f t="shared" ref="D3396:E3396" si="3394">TRIM(B3396)</f>
        <v>Florida</v>
      </c>
      <c r="E3396" s="111" t="str">
        <f t="shared" si="3394"/>
        <v>Naples</v>
      </c>
    </row>
    <row r="3397" spans="1:5">
      <c r="A3397" s="3" t="s">
        <v>9758</v>
      </c>
      <c r="B3397" s="110" t="s">
        <v>1328</v>
      </c>
      <c r="C3397" s="111" t="s">
        <v>9759</v>
      </c>
      <c r="D3397" s="111" t="str">
        <f t="shared" ref="D3397:E3397" si="3395">TRIM(B3397)</f>
        <v>Florida</v>
      </c>
      <c r="E3397" s="111" t="str">
        <f t="shared" si="3395"/>
        <v>Neptune Beach</v>
      </c>
    </row>
    <row r="3398" spans="1:5">
      <c r="A3398" s="3" t="s">
        <v>9762</v>
      </c>
      <c r="B3398" s="110" t="s">
        <v>1328</v>
      </c>
      <c r="C3398" s="111" t="s">
        <v>530</v>
      </c>
      <c r="D3398" s="111" t="str">
        <f t="shared" ref="D3398:E3398" si="3396">TRIM(B3398)</f>
        <v>Florida</v>
      </c>
      <c r="E3398" s="111" t="str">
        <f t="shared" si="3396"/>
        <v>New Port Richey</v>
      </c>
    </row>
    <row r="3399" spans="1:5">
      <c r="A3399" s="3" t="s">
        <v>9764</v>
      </c>
      <c r="B3399" s="110" t="s">
        <v>1328</v>
      </c>
      <c r="C3399" s="111" t="s">
        <v>530</v>
      </c>
      <c r="D3399" s="111" t="str">
        <f t="shared" ref="D3399:E3399" si="3397">TRIM(B3399)</f>
        <v>Florida</v>
      </c>
      <c r="E3399" s="111" t="str">
        <f t="shared" si="3397"/>
        <v>New Port Richey</v>
      </c>
    </row>
    <row r="3400" spans="1:5">
      <c r="A3400" s="3" t="s">
        <v>9766</v>
      </c>
      <c r="B3400" s="110" t="s">
        <v>1328</v>
      </c>
      <c r="C3400" s="111" t="s">
        <v>530</v>
      </c>
      <c r="D3400" s="111" t="str">
        <f t="shared" ref="D3400:E3400" si="3398">TRIM(B3400)</f>
        <v>Florida</v>
      </c>
      <c r="E3400" s="111" t="str">
        <f t="shared" si="3398"/>
        <v>New Port Richey</v>
      </c>
    </row>
    <row r="3401" spans="1:5">
      <c r="A3401" s="3" t="s">
        <v>9768</v>
      </c>
      <c r="B3401" s="110" t="s">
        <v>1328</v>
      </c>
      <c r="C3401" s="113" t="s">
        <v>9769</v>
      </c>
      <c r="D3401" s="111" t="str">
        <f t="shared" ref="D3401:E3401" si="3399">TRIM(B3401)</f>
        <v>Florida</v>
      </c>
      <c r="E3401" s="111" t="str">
        <f t="shared" si="3399"/>
        <v>New Smyrna Beach</v>
      </c>
    </row>
    <row r="3402" spans="1:5">
      <c r="A3402" s="3" t="s">
        <v>9771</v>
      </c>
      <c r="B3402" s="110" t="s">
        <v>1328</v>
      </c>
      <c r="C3402" s="111" t="s">
        <v>9773</v>
      </c>
      <c r="D3402" s="111" t="str">
        <f t="shared" ref="D3402:E3402" si="3400">TRIM(B3402)</f>
        <v>Florida</v>
      </c>
      <c r="E3402" s="111" t="str">
        <f t="shared" si="3400"/>
        <v>Newberry</v>
      </c>
    </row>
    <row r="3403" spans="1:5">
      <c r="A3403" s="3" t="s">
        <v>9776</v>
      </c>
      <c r="B3403" s="110" t="s">
        <v>1328</v>
      </c>
      <c r="C3403" s="111" t="s">
        <v>9777</v>
      </c>
      <c r="D3403" s="111" t="str">
        <f t="shared" ref="D3403:E3403" si="3401">TRIM(B3403)</f>
        <v>Florida</v>
      </c>
      <c r="E3403" s="111" t="str">
        <f t="shared" si="3401"/>
        <v>Niceville</v>
      </c>
    </row>
    <row r="3404" spans="1:5">
      <c r="A3404" s="3" t="s">
        <v>9779</v>
      </c>
      <c r="B3404" s="110" t="s">
        <v>1328</v>
      </c>
      <c r="C3404" s="111" t="s">
        <v>9777</v>
      </c>
      <c r="D3404" s="111" t="str">
        <f t="shared" ref="D3404:E3404" si="3402">TRIM(B3404)</f>
        <v>Florida</v>
      </c>
      <c r="E3404" s="111" t="str">
        <f t="shared" si="3402"/>
        <v>Niceville</v>
      </c>
    </row>
    <row r="3405" spans="1:5">
      <c r="A3405" s="3" t="s">
        <v>9781</v>
      </c>
      <c r="B3405" s="110" t="s">
        <v>1328</v>
      </c>
      <c r="C3405" s="111" t="s">
        <v>9782</v>
      </c>
      <c r="D3405" s="111" t="str">
        <f t="shared" ref="D3405:E3405" si="3403">TRIM(B3405)</f>
        <v>Florida</v>
      </c>
      <c r="E3405" s="111" t="str">
        <f t="shared" si="3403"/>
        <v>North Fort Myers</v>
      </c>
    </row>
    <row r="3406" spans="1:5">
      <c r="A3406" s="3" t="s">
        <v>9784</v>
      </c>
      <c r="B3406" s="110" t="s">
        <v>1328</v>
      </c>
      <c r="C3406" s="113" t="s">
        <v>9785</v>
      </c>
      <c r="D3406" s="111" t="str">
        <f t="shared" ref="D3406:E3406" si="3404">TRIM(B3406)</f>
        <v>Florida</v>
      </c>
      <c r="E3406" s="111" t="str">
        <f t="shared" si="3404"/>
        <v>North Lauderdale</v>
      </c>
    </row>
    <row r="3407" spans="1:5">
      <c r="A3407" s="110" t="s">
        <v>9787</v>
      </c>
      <c r="B3407" s="110" t="s">
        <v>1328</v>
      </c>
      <c r="C3407" s="111" t="s">
        <v>9788</v>
      </c>
      <c r="D3407" s="111" t="str">
        <f t="shared" ref="D3407:E3407" si="3405">TRIM(B3407)</f>
        <v>Florida</v>
      </c>
      <c r="E3407" s="111" t="str">
        <f t="shared" si="3405"/>
        <v>North Miami</v>
      </c>
    </row>
    <row r="3408" spans="1:5">
      <c r="A3408" s="3" t="s">
        <v>9789</v>
      </c>
      <c r="B3408" s="110" t="s">
        <v>1328</v>
      </c>
      <c r="C3408" s="111" t="s">
        <v>9788</v>
      </c>
      <c r="D3408" s="111" t="str">
        <f t="shared" ref="D3408:E3408" si="3406">TRIM(B3408)</f>
        <v>Florida</v>
      </c>
      <c r="E3408" s="111" t="str">
        <f t="shared" si="3406"/>
        <v>North Miami</v>
      </c>
    </row>
    <row r="3409" spans="1:5">
      <c r="A3409" s="3" t="s">
        <v>9791</v>
      </c>
      <c r="B3409" s="110" t="s">
        <v>1328</v>
      </c>
      <c r="C3409" s="113" t="s">
        <v>447</v>
      </c>
      <c r="D3409" s="111" t="str">
        <f t="shared" ref="D3409:E3409" si="3407">TRIM(B3409)</f>
        <v>Florida</v>
      </c>
      <c r="E3409" s="111" t="str">
        <f t="shared" si="3407"/>
        <v>North Miami Beach</v>
      </c>
    </row>
    <row r="3410" spans="1:5">
      <c r="A3410" s="3" t="s">
        <v>9794</v>
      </c>
      <c r="B3410" s="110" t="s">
        <v>1328</v>
      </c>
      <c r="C3410" s="111" t="s">
        <v>9795</v>
      </c>
      <c r="D3410" s="111" t="str">
        <f t="shared" ref="D3410:E3410" si="3408">TRIM(B3410)</f>
        <v>Florida</v>
      </c>
      <c r="E3410" s="111" t="str">
        <f t="shared" si="3408"/>
        <v>North Port</v>
      </c>
    </row>
    <row r="3411" spans="1:5">
      <c r="A3411" s="3" t="s">
        <v>9797</v>
      </c>
      <c r="B3411" s="110" t="s">
        <v>1328</v>
      </c>
      <c r="C3411" s="111" t="s">
        <v>1235</v>
      </c>
      <c r="D3411" s="111" t="str">
        <f t="shared" ref="D3411:E3411" si="3409">TRIM(B3411)</f>
        <v>Florida</v>
      </c>
      <c r="E3411" s="111" t="str">
        <f t="shared" si="3409"/>
        <v>Oakland Park</v>
      </c>
    </row>
    <row r="3412" spans="1:5">
      <c r="A3412" s="3" t="s">
        <v>9799</v>
      </c>
      <c r="B3412" s="110" t="s">
        <v>1328</v>
      </c>
      <c r="C3412" s="111" t="s">
        <v>9800</v>
      </c>
      <c r="D3412" s="111" t="str">
        <f t="shared" ref="D3412:E3412" si="3410">TRIM(B3412)</f>
        <v>Florida</v>
      </c>
      <c r="E3412" s="111" t="str">
        <f t="shared" si="3410"/>
        <v>Ocala</v>
      </c>
    </row>
    <row r="3413" spans="1:5">
      <c r="A3413" s="3" t="s">
        <v>9802</v>
      </c>
      <c r="B3413" s="110" t="s">
        <v>1328</v>
      </c>
      <c r="C3413" s="111" t="s">
        <v>9800</v>
      </c>
      <c r="D3413" s="111" t="str">
        <f t="shared" ref="D3413:E3413" si="3411">TRIM(B3413)</f>
        <v>Florida</v>
      </c>
      <c r="E3413" s="111" t="str">
        <f t="shared" si="3411"/>
        <v>Ocala</v>
      </c>
    </row>
    <row r="3414" spans="1:5">
      <c r="A3414" s="3" t="s">
        <v>9805</v>
      </c>
      <c r="B3414" s="110" t="s">
        <v>1328</v>
      </c>
      <c r="C3414" s="111" t="s">
        <v>9800</v>
      </c>
      <c r="D3414" s="111" t="str">
        <f t="shared" ref="D3414:E3414" si="3412">TRIM(B3414)</f>
        <v>Florida</v>
      </c>
      <c r="E3414" s="111" t="str">
        <f t="shared" si="3412"/>
        <v>Ocala</v>
      </c>
    </row>
    <row r="3415" spans="1:5">
      <c r="A3415" s="3" t="s">
        <v>9809</v>
      </c>
      <c r="B3415" s="110" t="s">
        <v>1328</v>
      </c>
      <c r="C3415" s="111" t="s">
        <v>9800</v>
      </c>
      <c r="D3415" s="111" t="str">
        <f t="shared" ref="D3415:E3415" si="3413">TRIM(B3415)</f>
        <v>Florida</v>
      </c>
      <c r="E3415" s="111" t="str">
        <f t="shared" si="3413"/>
        <v>Ocala</v>
      </c>
    </row>
    <row r="3416" spans="1:5">
      <c r="A3416" s="3" t="s">
        <v>9810</v>
      </c>
      <c r="B3416" s="110" t="s">
        <v>1328</v>
      </c>
      <c r="C3416" s="111" t="s">
        <v>9800</v>
      </c>
      <c r="D3416" s="111" t="str">
        <f t="shared" ref="D3416:E3416" si="3414">TRIM(B3416)</f>
        <v>Florida</v>
      </c>
      <c r="E3416" s="111" t="str">
        <f t="shared" si="3414"/>
        <v>Ocala</v>
      </c>
    </row>
    <row r="3417" spans="1:5">
      <c r="A3417" s="3" t="s">
        <v>9812</v>
      </c>
      <c r="B3417" s="110" t="s">
        <v>1328</v>
      </c>
      <c r="C3417" s="111" t="s">
        <v>2604</v>
      </c>
      <c r="D3417" s="111" t="str">
        <f t="shared" ref="D3417:E3417" si="3415">TRIM(B3417)</f>
        <v>Florida</v>
      </c>
      <c r="E3417" s="111" t="str">
        <f t="shared" si="3415"/>
        <v>Ocoee</v>
      </c>
    </row>
    <row r="3418" spans="1:5">
      <c r="A3418" s="3" t="s">
        <v>9813</v>
      </c>
      <c r="B3418" s="110" t="s">
        <v>1328</v>
      </c>
      <c r="C3418" s="111" t="s">
        <v>2604</v>
      </c>
      <c r="D3418" s="111" t="str">
        <f t="shared" ref="D3418:E3418" si="3416">TRIM(B3418)</f>
        <v>Florida</v>
      </c>
      <c r="E3418" s="111" t="str">
        <f t="shared" si="3416"/>
        <v>Ocoee</v>
      </c>
    </row>
    <row r="3419" spans="1:5">
      <c r="A3419" s="3" t="s">
        <v>9816</v>
      </c>
      <c r="B3419" s="110" t="s">
        <v>1328</v>
      </c>
      <c r="C3419" s="111" t="s">
        <v>2604</v>
      </c>
      <c r="D3419" s="111" t="str">
        <f t="shared" ref="D3419:E3419" si="3417">TRIM(B3419)</f>
        <v>Florida</v>
      </c>
      <c r="E3419" s="111" t="str">
        <f t="shared" si="3417"/>
        <v>Ocoee</v>
      </c>
    </row>
    <row r="3420" spans="1:5">
      <c r="A3420" s="3" t="s">
        <v>9819</v>
      </c>
      <c r="B3420" s="110" t="s">
        <v>1328</v>
      </c>
      <c r="C3420" s="111" t="s">
        <v>8182</v>
      </c>
      <c r="D3420" s="111" t="str">
        <f t="shared" ref="D3420:E3420" si="3418">TRIM(B3420)</f>
        <v>Florida</v>
      </c>
      <c r="E3420" s="111" t="str">
        <f t="shared" si="3418"/>
        <v>Okeechobee</v>
      </c>
    </row>
    <row r="3421" spans="1:5">
      <c r="A3421" s="3" t="s">
        <v>9822</v>
      </c>
      <c r="B3421" s="110" t="s">
        <v>1328</v>
      </c>
      <c r="C3421" s="111" t="s">
        <v>9824</v>
      </c>
      <c r="D3421" s="111" t="str">
        <f t="shared" ref="D3421:E3421" si="3419">TRIM(B3421)</f>
        <v>Florida</v>
      </c>
      <c r="E3421" s="111" t="str">
        <f t="shared" si="3419"/>
        <v>Opa Locka</v>
      </c>
    </row>
    <row r="3422" spans="1:5">
      <c r="A3422" s="3" t="s">
        <v>3364</v>
      </c>
      <c r="B3422" s="110" t="s">
        <v>1328</v>
      </c>
      <c r="C3422" s="111" t="s">
        <v>9826</v>
      </c>
      <c r="D3422" s="111" t="str">
        <f t="shared" ref="D3422:E3422" si="3420">TRIM(B3422)</f>
        <v>Florida</v>
      </c>
      <c r="E3422" s="111" t="str">
        <f t="shared" si="3420"/>
        <v>Orange City</v>
      </c>
    </row>
    <row r="3423" spans="1:5">
      <c r="A3423" s="3" t="s">
        <v>9828</v>
      </c>
      <c r="B3423" s="110" t="s">
        <v>1328</v>
      </c>
      <c r="C3423" s="111" t="s">
        <v>9829</v>
      </c>
      <c r="D3423" s="111" t="str">
        <f t="shared" ref="D3423:E3423" si="3421">TRIM(B3423)</f>
        <v>Florida</v>
      </c>
      <c r="E3423" s="111" t="str">
        <f t="shared" si="3421"/>
        <v>Orange Park</v>
      </c>
    </row>
    <row r="3424" spans="1:5">
      <c r="A3424" s="3" t="s">
        <v>9831</v>
      </c>
      <c r="B3424" s="110" t="s">
        <v>1328</v>
      </c>
      <c r="C3424" s="111" t="s">
        <v>9829</v>
      </c>
      <c r="D3424" s="111" t="str">
        <f t="shared" ref="D3424:E3424" si="3422">TRIM(B3424)</f>
        <v>Florida</v>
      </c>
      <c r="E3424" s="111" t="str">
        <f t="shared" si="3422"/>
        <v>Orange Park</v>
      </c>
    </row>
    <row r="3425" spans="1:5">
      <c r="A3425" s="3" t="s">
        <v>9834</v>
      </c>
      <c r="B3425" s="110" t="s">
        <v>1328</v>
      </c>
      <c r="C3425" s="111" t="s">
        <v>9829</v>
      </c>
      <c r="D3425" s="111" t="str">
        <f t="shared" ref="D3425:E3425" si="3423">TRIM(B3425)</f>
        <v>Florida</v>
      </c>
      <c r="E3425" s="111" t="str">
        <f t="shared" si="3423"/>
        <v>Orange Park</v>
      </c>
    </row>
    <row r="3426" spans="1:5">
      <c r="A3426" s="3" t="s">
        <v>4436</v>
      </c>
      <c r="B3426" s="110" t="s">
        <v>1328</v>
      </c>
      <c r="C3426" s="111" t="s">
        <v>9829</v>
      </c>
      <c r="D3426" s="111" t="str">
        <f t="shared" ref="D3426:E3426" si="3424">TRIM(B3426)</f>
        <v>Florida</v>
      </c>
      <c r="E3426" s="111" t="str">
        <f t="shared" si="3424"/>
        <v>Orange Park</v>
      </c>
    </row>
    <row r="3427" spans="1:5">
      <c r="A3427" s="3" t="s">
        <v>9838</v>
      </c>
      <c r="B3427" s="110" t="s">
        <v>1328</v>
      </c>
      <c r="C3427" s="111" t="s">
        <v>167</v>
      </c>
      <c r="D3427" s="111" t="str">
        <f t="shared" ref="D3427:E3427" si="3425">TRIM(B3427)</f>
        <v>Florida</v>
      </c>
      <c r="E3427" s="111" t="str">
        <f t="shared" si="3425"/>
        <v>Orlando</v>
      </c>
    </row>
    <row r="3428" spans="1:5">
      <c r="A3428" s="3" t="s">
        <v>9841</v>
      </c>
      <c r="B3428" s="110" t="s">
        <v>1328</v>
      </c>
      <c r="C3428" s="111" t="s">
        <v>167</v>
      </c>
      <c r="D3428" s="111" t="str">
        <f t="shared" ref="D3428:E3428" si="3426">TRIM(B3428)</f>
        <v>Florida</v>
      </c>
      <c r="E3428" s="111" t="str">
        <f t="shared" si="3426"/>
        <v>Orlando</v>
      </c>
    </row>
    <row r="3429" spans="1:5">
      <c r="A3429" s="3" t="s">
        <v>9843</v>
      </c>
      <c r="B3429" s="110" t="s">
        <v>1328</v>
      </c>
      <c r="C3429" s="111" t="s">
        <v>167</v>
      </c>
      <c r="D3429" s="111" t="str">
        <f t="shared" ref="D3429:E3429" si="3427">TRIM(B3429)</f>
        <v>Florida</v>
      </c>
      <c r="E3429" s="111" t="str">
        <f t="shared" si="3427"/>
        <v>Orlando</v>
      </c>
    </row>
    <row r="3430" spans="1:5">
      <c r="A3430" s="3" t="s">
        <v>9846</v>
      </c>
      <c r="B3430" s="110" t="s">
        <v>1328</v>
      </c>
      <c r="C3430" s="111" t="s">
        <v>167</v>
      </c>
      <c r="D3430" s="111" t="str">
        <f t="shared" ref="D3430:E3430" si="3428">TRIM(B3430)</f>
        <v>Florida</v>
      </c>
      <c r="E3430" s="111" t="str">
        <f t="shared" si="3428"/>
        <v>Orlando</v>
      </c>
    </row>
    <row r="3431" spans="1:5">
      <c r="A3431" s="3" t="s">
        <v>9848</v>
      </c>
      <c r="B3431" s="110" t="s">
        <v>1328</v>
      </c>
      <c r="C3431" s="111" t="s">
        <v>167</v>
      </c>
      <c r="D3431" s="111" t="str">
        <f t="shared" ref="D3431:E3431" si="3429">TRIM(B3431)</f>
        <v>Florida</v>
      </c>
      <c r="E3431" s="111" t="str">
        <f t="shared" si="3429"/>
        <v>Orlando</v>
      </c>
    </row>
    <row r="3432" spans="1:5">
      <c r="A3432" s="3" t="s">
        <v>9850</v>
      </c>
      <c r="B3432" s="110" t="s">
        <v>1328</v>
      </c>
      <c r="C3432" s="111" t="s">
        <v>167</v>
      </c>
      <c r="D3432" s="111" t="str">
        <f t="shared" ref="D3432:E3432" si="3430">TRIM(B3432)</f>
        <v>Florida</v>
      </c>
      <c r="E3432" s="111" t="str">
        <f t="shared" si="3430"/>
        <v>Orlando</v>
      </c>
    </row>
    <row r="3433" spans="1:5">
      <c r="A3433" s="110" t="s">
        <v>9852</v>
      </c>
      <c r="B3433" s="110" t="s">
        <v>1328</v>
      </c>
      <c r="C3433" s="111" t="s">
        <v>167</v>
      </c>
      <c r="D3433" s="111" t="str">
        <f t="shared" ref="D3433:E3433" si="3431">TRIM(B3433)</f>
        <v>Florida</v>
      </c>
      <c r="E3433" s="111" t="str">
        <f t="shared" si="3431"/>
        <v>Orlando</v>
      </c>
    </row>
    <row r="3434" spans="1:5">
      <c r="A3434" s="110" t="s">
        <v>9854</v>
      </c>
      <c r="B3434" s="110" t="s">
        <v>1328</v>
      </c>
      <c r="C3434" s="111" t="s">
        <v>167</v>
      </c>
      <c r="D3434" s="111" t="str">
        <f t="shared" ref="D3434:E3434" si="3432">TRIM(B3434)</f>
        <v>Florida</v>
      </c>
      <c r="E3434" s="111" t="str">
        <f t="shared" si="3432"/>
        <v>Orlando</v>
      </c>
    </row>
    <row r="3435" spans="1:5">
      <c r="A3435" s="3" t="s">
        <v>6200</v>
      </c>
      <c r="B3435" s="110" t="s">
        <v>1328</v>
      </c>
      <c r="C3435" s="111" t="s">
        <v>167</v>
      </c>
      <c r="D3435" s="111" t="str">
        <f t="shared" ref="D3435:E3435" si="3433">TRIM(B3435)</f>
        <v>Florida</v>
      </c>
      <c r="E3435" s="111" t="str">
        <f t="shared" si="3433"/>
        <v>Orlando</v>
      </c>
    </row>
    <row r="3436" spans="1:5">
      <c r="A3436" s="3" t="s">
        <v>9857</v>
      </c>
      <c r="B3436" s="110" t="s">
        <v>1328</v>
      </c>
      <c r="C3436" s="111" t="s">
        <v>167</v>
      </c>
      <c r="D3436" s="111" t="str">
        <f t="shared" ref="D3436:E3436" si="3434">TRIM(B3436)</f>
        <v>Florida</v>
      </c>
      <c r="E3436" s="111" t="str">
        <f t="shared" si="3434"/>
        <v>Orlando</v>
      </c>
    </row>
    <row r="3437" spans="1:5">
      <c r="A3437" s="3" t="s">
        <v>9859</v>
      </c>
      <c r="B3437" s="110" t="s">
        <v>1328</v>
      </c>
      <c r="C3437" s="111" t="s">
        <v>167</v>
      </c>
      <c r="D3437" s="111" t="str">
        <f t="shared" ref="D3437:E3437" si="3435">TRIM(B3437)</f>
        <v>Florida</v>
      </c>
      <c r="E3437" s="111" t="str">
        <f t="shared" si="3435"/>
        <v>Orlando</v>
      </c>
    </row>
    <row r="3438" spans="1:5">
      <c r="A3438" s="3" t="s">
        <v>9861</v>
      </c>
      <c r="B3438" s="110" t="s">
        <v>1328</v>
      </c>
      <c r="C3438" s="111" t="s">
        <v>167</v>
      </c>
      <c r="D3438" s="111" t="str">
        <f t="shared" ref="D3438:E3438" si="3436">TRIM(B3438)</f>
        <v>Florida</v>
      </c>
      <c r="E3438" s="111" t="str">
        <f t="shared" si="3436"/>
        <v>Orlando</v>
      </c>
    </row>
    <row r="3439" spans="1:5">
      <c r="A3439" s="3" t="s">
        <v>4902</v>
      </c>
      <c r="B3439" s="110" t="s">
        <v>1328</v>
      </c>
      <c r="C3439" s="111" t="s">
        <v>167</v>
      </c>
      <c r="D3439" s="111" t="str">
        <f t="shared" ref="D3439:E3439" si="3437">TRIM(B3439)</f>
        <v>Florida</v>
      </c>
      <c r="E3439" s="111" t="str">
        <f t="shared" si="3437"/>
        <v>Orlando</v>
      </c>
    </row>
    <row r="3440" spans="1:5">
      <c r="A3440" s="3" t="s">
        <v>9864</v>
      </c>
      <c r="B3440" s="110" t="s">
        <v>1328</v>
      </c>
      <c r="C3440" s="111" t="s">
        <v>167</v>
      </c>
      <c r="D3440" s="111" t="str">
        <f t="shared" ref="D3440:E3440" si="3438">TRIM(B3440)</f>
        <v>Florida</v>
      </c>
      <c r="E3440" s="111" t="str">
        <f t="shared" si="3438"/>
        <v>Orlando</v>
      </c>
    </row>
    <row r="3441" spans="1:5">
      <c r="A3441" s="3" t="s">
        <v>9866</v>
      </c>
      <c r="B3441" s="110" t="s">
        <v>1328</v>
      </c>
      <c r="C3441" s="111" t="s">
        <v>167</v>
      </c>
      <c r="D3441" s="111" t="str">
        <f t="shared" ref="D3441:E3441" si="3439">TRIM(B3441)</f>
        <v>Florida</v>
      </c>
      <c r="E3441" s="111" t="str">
        <f t="shared" si="3439"/>
        <v>Orlando</v>
      </c>
    </row>
    <row r="3442" spans="1:5">
      <c r="A3442" s="3" t="s">
        <v>9869</v>
      </c>
      <c r="B3442" s="110" t="s">
        <v>1328</v>
      </c>
      <c r="C3442" s="111" t="s">
        <v>167</v>
      </c>
      <c r="D3442" s="111" t="str">
        <f t="shared" ref="D3442:E3442" si="3440">TRIM(B3442)</f>
        <v>Florida</v>
      </c>
      <c r="E3442" s="111" t="str">
        <f t="shared" si="3440"/>
        <v>Orlando</v>
      </c>
    </row>
    <row r="3443" spans="1:5">
      <c r="A3443" s="3" t="s">
        <v>3364</v>
      </c>
      <c r="B3443" s="110" t="s">
        <v>1328</v>
      </c>
      <c r="C3443" s="111" t="s">
        <v>167</v>
      </c>
      <c r="D3443" s="111" t="str">
        <f t="shared" ref="D3443:E3443" si="3441">TRIM(B3443)</f>
        <v>Florida</v>
      </c>
      <c r="E3443" s="111" t="str">
        <f t="shared" si="3441"/>
        <v>Orlando</v>
      </c>
    </row>
    <row r="3444" spans="1:5">
      <c r="A3444" s="3" t="s">
        <v>9872</v>
      </c>
      <c r="B3444" s="110" t="s">
        <v>1328</v>
      </c>
      <c r="C3444" s="111" t="s">
        <v>167</v>
      </c>
      <c r="D3444" s="111" t="str">
        <f t="shared" ref="D3444:E3444" si="3442">TRIM(B3444)</f>
        <v>Florida</v>
      </c>
      <c r="E3444" s="111" t="str">
        <f t="shared" si="3442"/>
        <v>Orlando</v>
      </c>
    </row>
    <row r="3445" spans="1:5">
      <c r="A3445" s="3" t="s">
        <v>9874</v>
      </c>
      <c r="B3445" s="110" t="s">
        <v>1328</v>
      </c>
      <c r="C3445" s="111" t="s">
        <v>230</v>
      </c>
      <c r="D3445" s="111" t="str">
        <f t="shared" ref="D3445:E3445" si="3443">TRIM(B3445)</f>
        <v>Florida</v>
      </c>
      <c r="E3445" s="111" t="str">
        <f t="shared" si="3443"/>
        <v>Oviedo</v>
      </c>
    </row>
    <row r="3446" spans="1:5">
      <c r="A3446" s="3" t="s">
        <v>9876</v>
      </c>
      <c r="B3446" s="110" t="s">
        <v>1328</v>
      </c>
      <c r="C3446" s="111" t="s">
        <v>230</v>
      </c>
      <c r="D3446" s="111" t="str">
        <f t="shared" ref="D3446:E3446" si="3444">TRIM(B3446)</f>
        <v>Florida</v>
      </c>
      <c r="E3446" s="111" t="str">
        <f t="shared" si="3444"/>
        <v>Oviedo</v>
      </c>
    </row>
    <row r="3447" spans="1:5">
      <c r="A3447" s="3" t="s">
        <v>9878</v>
      </c>
      <c r="B3447" s="110" t="s">
        <v>1328</v>
      </c>
      <c r="C3447" s="111" t="s">
        <v>9880</v>
      </c>
      <c r="D3447" s="111" t="str">
        <f t="shared" ref="D3447:E3447" si="3445">TRIM(B3447)</f>
        <v>Florida</v>
      </c>
      <c r="E3447" s="111" t="str">
        <f t="shared" si="3445"/>
        <v>Pace</v>
      </c>
    </row>
    <row r="3448" spans="1:5">
      <c r="A3448" s="3" t="s">
        <v>9882</v>
      </c>
      <c r="B3448" s="110" t="s">
        <v>1328</v>
      </c>
      <c r="C3448" s="111" t="s">
        <v>9883</v>
      </c>
      <c r="D3448" s="111" t="str">
        <f t="shared" ref="D3448:E3448" si="3446">TRIM(B3448)</f>
        <v>Florida</v>
      </c>
      <c r="E3448" s="111" t="str">
        <f t="shared" si="3446"/>
        <v>Pahokee</v>
      </c>
    </row>
    <row r="3449" spans="1:5">
      <c r="A3449" s="3" t="s">
        <v>9885</v>
      </c>
      <c r="B3449" s="110" t="s">
        <v>1328</v>
      </c>
      <c r="C3449" s="111" t="s">
        <v>9886</v>
      </c>
      <c r="D3449" s="111" t="str">
        <f t="shared" ref="D3449:E3449" si="3447">TRIM(B3449)</f>
        <v>Florida</v>
      </c>
      <c r="E3449" s="111" t="str">
        <f t="shared" si="3447"/>
        <v>Palatka</v>
      </c>
    </row>
    <row r="3450" spans="1:5">
      <c r="A3450" s="3" t="s">
        <v>9888</v>
      </c>
      <c r="B3450" s="110" t="s">
        <v>1328</v>
      </c>
      <c r="C3450" s="111" t="s">
        <v>9886</v>
      </c>
      <c r="D3450" s="111" t="str">
        <f t="shared" ref="D3450:E3450" si="3448">TRIM(B3450)</f>
        <v>Florida</v>
      </c>
      <c r="E3450" s="111" t="str">
        <f t="shared" si="3448"/>
        <v>Palatka</v>
      </c>
    </row>
    <row r="3451" spans="1:5">
      <c r="A3451" s="3" t="s">
        <v>9890</v>
      </c>
      <c r="B3451" s="110" t="s">
        <v>1328</v>
      </c>
      <c r="C3451" s="111" t="s">
        <v>9891</v>
      </c>
      <c r="D3451" s="111" t="str">
        <f t="shared" ref="D3451:E3451" si="3449">TRIM(B3451)</f>
        <v>Florida</v>
      </c>
      <c r="E3451" s="111" t="str">
        <f t="shared" si="3449"/>
        <v>Palm Bay</v>
      </c>
    </row>
    <row r="3452" spans="1:5">
      <c r="A3452" s="3" t="s">
        <v>4519</v>
      </c>
      <c r="B3452" s="110" t="s">
        <v>1328</v>
      </c>
      <c r="C3452" s="111" t="s">
        <v>9891</v>
      </c>
      <c r="D3452" s="111" t="str">
        <f t="shared" ref="D3452:E3452" si="3450">TRIM(B3452)</f>
        <v>Florida</v>
      </c>
      <c r="E3452" s="111" t="str">
        <f t="shared" si="3450"/>
        <v>Palm Bay</v>
      </c>
    </row>
    <row r="3453" spans="1:5">
      <c r="A3453" s="3" t="s">
        <v>9896</v>
      </c>
      <c r="B3453" s="110" t="s">
        <v>1328</v>
      </c>
      <c r="C3453" s="113" t="s">
        <v>417</v>
      </c>
      <c r="D3453" s="111" t="str">
        <f t="shared" ref="D3453:E3453" si="3451">TRIM(B3453)</f>
        <v>Florida</v>
      </c>
      <c r="E3453" s="111" t="str">
        <f t="shared" si="3451"/>
        <v>Palm Beach Gardens</v>
      </c>
    </row>
    <row r="3454" spans="1:5">
      <c r="A3454" s="3" t="s">
        <v>9897</v>
      </c>
      <c r="B3454" s="110" t="s">
        <v>1328</v>
      </c>
      <c r="C3454" s="111" t="s">
        <v>9898</v>
      </c>
      <c r="D3454" s="111" t="str">
        <f t="shared" ref="D3454:E3454" si="3452">TRIM(B3454)</f>
        <v>Florida</v>
      </c>
      <c r="E3454" s="111" t="str">
        <f t="shared" si="3452"/>
        <v>Palm Coast</v>
      </c>
    </row>
    <row r="3455" spans="1:5">
      <c r="A3455" s="3" t="s">
        <v>9901</v>
      </c>
      <c r="B3455" s="110" t="s">
        <v>1328</v>
      </c>
      <c r="C3455" s="111" t="s">
        <v>9898</v>
      </c>
      <c r="D3455" s="111" t="str">
        <f t="shared" ref="D3455:E3455" si="3453">TRIM(B3455)</f>
        <v>Florida</v>
      </c>
      <c r="E3455" s="111" t="str">
        <f t="shared" si="3453"/>
        <v>Palm Coast</v>
      </c>
    </row>
    <row r="3456" spans="1:5">
      <c r="A3456" s="3" t="s">
        <v>9905</v>
      </c>
      <c r="B3456" s="110" t="s">
        <v>1328</v>
      </c>
      <c r="C3456" s="112" t="s">
        <v>9906</v>
      </c>
      <c r="D3456" s="111" t="str">
        <f t="shared" ref="D3456:E3456" si="3454">TRIM(B3456)</f>
        <v>Florida</v>
      </c>
      <c r="E3456" s="111" t="str">
        <f t="shared" si="3454"/>
        <v>Palm Harbor</v>
      </c>
    </row>
    <row r="3457" spans="1:5">
      <c r="A3457" s="110" t="s">
        <v>9908</v>
      </c>
      <c r="B3457" s="110" t="s">
        <v>1328</v>
      </c>
      <c r="C3457" s="111" t="s">
        <v>473</v>
      </c>
      <c r="D3457" s="111" t="str">
        <f t="shared" ref="D3457:E3457" si="3455">TRIM(B3457)</f>
        <v>Florida</v>
      </c>
      <c r="E3457" s="111" t="str">
        <f t="shared" si="3455"/>
        <v>Palmetto</v>
      </c>
    </row>
    <row r="3458" spans="1:5">
      <c r="A3458" s="3" t="s">
        <v>9910</v>
      </c>
      <c r="B3458" s="110" t="s">
        <v>1328</v>
      </c>
      <c r="C3458" s="111" t="s">
        <v>473</v>
      </c>
      <c r="D3458" s="111" t="str">
        <f t="shared" ref="D3458:E3458" si="3456">TRIM(B3458)</f>
        <v>Florida</v>
      </c>
      <c r="E3458" s="111" t="str">
        <f t="shared" si="3456"/>
        <v>Palmetto</v>
      </c>
    </row>
    <row r="3459" spans="1:5">
      <c r="A3459" s="3" t="s">
        <v>3592</v>
      </c>
      <c r="B3459" s="110" t="s">
        <v>1328</v>
      </c>
      <c r="C3459" s="111" t="s">
        <v>9913</v>
      </c>
      <c r="D3459" s="111" t="str">
        <f t="shared" ref="D3459:E3459" si="3457">TRIM(B3459)</f>
        <v>Florida</v>
      </c>
      <c r="E3459" s="111" t="str">
        <f t="shared" si="3457"/>
        <v>Panama City</v>
      </c>
    </row>
    <row r="3460" spans="1:5">
      <c r="A3460" s="3" t="s">
        <v>9916</v>
      </c>
      <c r="B3460" s="110" t="s">
        <v>1328</v>
      </c>
      <c r="C3460" s="111" t="s">
        <v>9913</v>
      </c>
      <c r="D3460" s="111" t="str">
        <f t="shared" ref="D3460:E3460" si="3458">TRIM(B3460)</f>
        <v>Florida</v>
      </c>
      <c r="E3460" s="111" t="str">
        <f t="shared" si="3458"/>
        <v>Panama City</v>
      </c>
    </row>
    <row r="3461" spans="1:5">
      <c r="A3461" s="3" t="s">
        <v>9918</v>
      </c>
      <c r="B3461" s="110" t="s">
        <v>1328</v>
      </c>
      <c r="C3461" s="111" t="s">
        <v>9913</v>
      </c>
      <c r="D3461" s="111" t="str">
        <f t="shared" ref="D3461:E3461" si="3459">TRIM(B3461)</f>
        <v>Florida</v>
      </c>
      <c r="E3461" s="111" t="str">
        <f t="shared" si="3459"/>
        <v>Panama City</v>
      </c>
    </row>
    <row r="3462" spans="1:5">
      <c r="A3462" s="3" t="s">
        <v>9920</v>
      </c>
      <c r="B3462" s="110" t="s">
        <v>1328</v>
      </c>
      <c r="C3462" s="111" t="s">
        <v>9913</v>
      </c>
      <c r="D3462" s="111" t="str">
        <f t="shared" ref="D3462:E3462" si="3460">TRIM(B3462)</f>
        <v>Florida</v>
      </c>
      <c r="E3462" s="111" t="str">
        <f t="shared" si="3460"/>
        <v>Panama City</v>
      </c>
    </row>
    <row r="3463" spans="1:5">
      <c r="A3463" s="3" t="s">
        <v>9922</v>
      </c>
      <c r="B3463" s="110" t="s">
        <v>1328</v>
      </c>
      <c r="C3463" s="113" t="s">
        <v>9923</v>
      </c>
      <c r="D3463" s="111" t="str">
        <f t="shared" ref="D3463:E3463" si="3461">TRIM(B3463)</f>
        <v>Florida</v>
      </c>
      <c r="E3463" s="111" t="str">
        <f t="shared" si="3461"/>
        <v>Panama City Beach</v>
      </c>
    </row>
    <row r="3464" spans="1:5">
      <c r="A3464" s="3" t="s">
        <v>9925</v>
      </c>
      <c r="B3464" s="110" t="s">
        <v>1328</v>
      </c>
      <c r="C3464" s="111" t="s">
        <v>9927</v>
      </c>
      <c r="D3464" s="111" t="str">
        <f t="shared" ref="D3464:E3464" si="3462">TRIM(B3464)</f>
        <v>Florida</v>
      </c>
      <c r="E3464" s="111" t="str">
        <f t="shared" si="3462"/>
        <v>Parkland</v>
      </c>
    </row>
    <row r="3465" spans="1:5">
      <c r="A3465" s="3" t="s">
        <v>9929</v>
      </c>
      <c r="B3465" s="110" t="s">
        <v>1328</v>
      </c>
      <c r="C3465" s="111" t="s">
        <v>955</v>
      </c>
      <c r="D3465" s="111" t="str">
        <f t="shared" ref="D3465:E3465" si="3463">TRIM(B3465)</f>
        <v>Florida</v>
      </c>
      <c r="E3465" s="111" t="str">
        <f t="shared" si="3463"/>
        <v>Pembroke Pines</v>
      </c>
    </row>
    <row r="3466" spans="1:5">
      <c r="A3466" s="3" t="s">
        <v>9931</v>
      </c>
      <c r="B3466" s="110" t="s">
        <v>1328</v>
      </c>
      <c r="C3466" s="111" t="s">
        <v>955</v>
      </c>
      <c r="D3466" s="111" t="str">
        <f t="shared" ref="D3466:E3466" si="3464">TRIM(B3466)</f>
        <v>Florida</v>
      </c>
      <c r="E3466" s="111" t="str">
        <f t="shared" si="3464"/>
        <v>Pembroke Pines</v>
      </c>
    </row>
    <row r="3467" spans="1:5">
      <c r="A3467" s="3" t="s">
        <v>9934</v>
      </c>
      <c r="B3467" s="110" t="s">
        <v>1328</v>
      </c>
      <c r="C3467" s="111" t="s">
        <v>955</v>
      </c>
      <c r="D3467" s="111" t="str">
        <f t="shared" ref="D3467:E3467" si="3465">TRIM(B3467)</f>
        <v>Florida</v>
      </c>
      <c r="E3467" s="111" t="str">
        <f t="shared" si="3465"/>
        <v>Pembroke Pines</v>
      </c>
    </row>
    <row r="3468" spans="1:5">
      <c r="A3468" s="3" t="s">
        <v>9366</v>
      </c>
      <c r="B3468" s="110" t="s">
        <v>1328</v>
      </c>
      <c r="C3468" s="111" t="s">
        <v>955</v>
      </c>
      <c r="D3468" s="111" t="str">
        <f t="shared" ref="D3468:E3468" si="3466">TRIM(B3468)</f>
        <v>Florida</v>
      </c>
      <c r="E3468" s="111" t="str">
        <f t="shared" si="3466"/>
        <v>Pembroke Pines</v>
      </c>
    </row>
    <row r="3469" spans="1:5">
      <c r="A3469" s="110" t="s">
        <v>9939</v>
      </c>
      <c r="B3469" s="110" t="s">
        <v>1328</v>
      </c>
      <c r="C3469" s="111" t="s">
        <v>955</v>
      </c>
      <c r="D3469" s="111" t="str">
        <f t="shared" ref="D3469:E3469" si="3467">TRIM(B3469)</f>
        <v>Florida</v>
      </c>
      <c r="E3469" s="111" t="str">
        <f t="shared" si="3467"/>
        <v>Pembroke Pines</v>
      </c>
    </row>
    <row r="3470" spans="1:5">
      <c r="A3470" s="3" t="s">
        <v>9941</v>
      </c>
      <c r="B3470" s="110" t="s">
        <v>1328</v>
      </c>
      <c r="C3470" s="111" t="s">
        <v>955</v>
      </c>
      <c r="D3470" s="111" t="str">
        <f t="shared" ref="D3470:E3470" si="3468">TRIM(B3470)</f>
        <v>Florida</v>
      </c>
      <c r="E3470" s="111" t="str">
        <f t="shared" si="3468"/>
        <v>Pembroke Pines</v>
      </c>
    </row>
    <row r="3471" spans="1:5">
      <c r="A3471" s="3" t="s">
        <v>9943</v>
      </c>
      <c r="B3471" s="110" t="s">
        <v>1328</v>
      </c>
      <c r="C3471" s="111" t="s">
        <v>9944</v>
      </c>
      <c r="D3471" s="111" t="str">
        <f t="shared" ref="D3471:E3471" si="3469">TRIM(B3471)</f>
        <v>Florida</v>
      </c>
      <c r="E3471" s="111" t="str">
        <f t="shared" si="3469"/>
        <v>Pensacola</v>
      </c>
    </row>
    <row r="3472" spans="1:5">
      <c r="A3472" s="3" t="s">
        <v>9946</v>
      </c>
      <c r="B3472" s="110" t="s">
        <v>1328</v>
      </c>
      <c r="C3472" s="111" t="s">
        <v>9944</v>
      </c>
      <c r="D3472" s="111" t="str">
        <f t="shared" ref="D3472:E3472" si="3470">TRIM(B3472)</f>
        <v>Florida</v>
      </c>
      <c r="E3472" s="111" t="str">
        <f t="shared" si="3470"/>
        <v>Pensacola</v>
      </c>
    </row>
    <row r="3473" spans="1:5">
      <c r="A3473" s="3" t="s">
        <v>9949</v>
      </c>
      <c r="B3473" s="110" t="s">
        <v>1328</v>
      </c>
      <c r="C3473" s="111" t="s">
        <v>9944</v>
      </c>
      <c r="D3473" s="111" t="str">
        <f t="shared" ref="D3473:E3473" si="3471">TRIM(B3473)</f>
        <v>Florida</v>
      </c>
      <c r="E3473" s="111" t="str">
        <f t="shared" si="3471"/>
        <v>Pensacola</v>
      </c>
    </row>
    <row r="3474" spans="1:5">
      <c r="A3474" s="3" t="s">
        <v>9951</v>
      </c>
      <c r="B3474" s="110" t="s">
        <v>1328</v>
      </c>
      <c r="C3474" s="111" t="s">
        <v>9944</v>
      </c>
      <c r="D3474" s="111" t="str">
        <f t="shared" ref="D3474:E3474" si="3472">TRIM(B3474)</f>
        <v>Florida</v>
      </c>
      <c r="E3474" s="111" t="str">
        <f t="shared" si="3472"/>
        <v>Pensacola</v>
      </c>
    </row>
    <row r="3475" spans="1:5">
      <c r="A3475" s="3" t="s">
        <v>9953</v>
      </c>
      <c r="B3475" s="110" t="s">
        <v>1328</v>
      </c>
      <c r="C3475" s="111" t="s">
        <v>9944</v>
      </c>
      <c r="D3475" s="111" t="str">
        <f t="shared" ref="D3475:E3475" si="3473">TRIM(B3475)</f>
        <v>Florida</v>
      </c>
      <c r="E3475" s="111" t="str">
        <f t="shared" si="3473"/>
        <v>Pensacola</v>
      </c>
    </row>
    <row r="3476" spans="1:5">
      <c r="A3476" s="3" t="s">
        <v>9955</v>
      </c>
      <c r="B3476" s="110" t="s">
        <v>1328</v>
      </c>
      <c r="C3476" s="111" t="s">
        <v>9957</v>
      </c>
      <c r="D3476" s="111" t="str">
        <f t="shared" ref="D3476:E3476" si="3474">TRIM(B3476)</f>
        <v>Florida</v>
      </c>
      <c r="E3476" s="111" t="str">
        <f t="shared" si="3474"/>
        <v>Perry</v>
      </c>
    </row>
    <row r="3477" spans="1:5">
      <c r="A3477" s="3" t="s">
        <v>9960</v>
      </c>
      <c r="B3477" s="110" t="s">
        <v>1328</v>
      </c>
      <c r="C3477" s="111" t="s">
        <v>9961</v>
      </c>
      <c r="D3477" s="111" t="str">
        <f t="shared" ref="D3477:E3477" si="3475">TRIM(B3477)</f>
        <v>Florida</v>
      </c>
      <c r="E3477" s="111" t="str">
        <f t="shared" si="3475"/>
        <v>Pierson</v>
      </c>
    </row>
    <row r="3478" spans="1:5">
      <c r="A3478" s="3" t="s">
        <v>9963</v>
      </c>
      <c r="B3478" s="110" t="s">
        <v>1328</v>
      </c>
      <c r="C3478" s="111" t="s">
        <v>9964</v>
      </c>
      <c r="D3478" s="111" t="str">
        <f t="shared" ref="D3478:E3478" si="3476">TRIM(B3478)</f>
        <v>Florida</v>
      </c>
      <c r="E3478" s="111" t="str">
        <f t="shared" si="3476"/>
        <v>Plant City</v>
      </c>
    </row>
    <row r="3479" spans="1:5">
      <c r="A3479" s="3" t="s">
        <v>9966</v>
      </c>
      <c r="B3479" s="110" t="s">
        <v>1328</v>
      </c>
      <c r="C3479" s="111" t="s">
        <v>9964</v>
      </c>
      <c r="D3479" s="111" t="str">
        <f t="shared" ref="D3479:E3479" si="3477">TRIM(B3479)</f>
        <v>Florida</v>
      </c>
      <c r="E3479" s="111" t="str">
        <f t="shared" si="3477"/>
        <v>Plant City</v>
      </c>
    </row>
    <row r="3480" spans="1:5">
      <c r="A3480" s="3" t="s">
        <v>9969</v>
      </c>
      <c r="B3480" s="110" t="s">
        <v>1328</v>
      </c>
      <c r="C3480" s="111" t="s">
        <v>9903</v>
      </c>
      <c r="D3480" s="111" t="str">
        <f t="shared" ref="D3480:E3480" si="3478">TRIM(B3480)</f>
        <v>Florida</v>
      </c>
      <c r="E3480" s="111" t="str">
        <f t="shared" si="3478"/>
        <v>Plantation</v>
      </c>
    </row>
    <row r="3481" spans="1:5">
      <c r="A3481" s="3" t="s">
        <v>9971</v>
      </c>
      <c r="B3481" s="110" t="s">
        <v>1328</v>
      </c>
      <c r="C3481" s="111" t="s">
        <v>9903</v>
      </c>
      <c r="D3481" s="111" t="str">
        <f t="shared" ref="D3481:E3481" si="3479">TRIM(B3481)</f>
        <v>Florida</v>
      </c>
      <c r="E3481" s="111" t="str">
        <f t="shared" si="3479"/>
        <v>Plantation</v>
      </c>
    </row>
    <row r="3482" spans="1:5">
      <c r="A3482" s="3" t="s">
        <v>9973</v>
      </c>
      <c r="B3482" s="110" t="s">
        <v>1328</v>
      </c>
      <c r="C3482" s="111" t="s">
        <v>504</v>
      </c>
      <c r="D3482" s="111" t="str">
        <f t="shared" ref="D3482:E3482" si="3480">TRIM(B3482)</f>
        <v>Florida</v>
      </c>
      <c r="E3482" s="111" t="str">
        <f t="shared" si="3480"/>
        <v>Pompano Beach</v>
      </c>
    </row>
    <row r="3483" spans="1:5">
      <c r="A3483" s="110" t="s">
        <v>9975</v>
      </c>
      <c r="B3483" s="110" t="s">
        <v>1328</v>
      </c>
      <c r="C3483" s="111" t="s">
        <v>504</v>
      </c>
      <c r="D3483" s="111" t="str">
        <f t="shared" ref="D3483:E3483" si="3481">TRIM(B3483)</f>
        <v>Florida</v>
      </c>
      <c r="E3483" s="111" t="str">
        <f t="shared" si="3481"/>
        <v>Pompano Beach</v>
      </c>
    </row>
    <row r="3484" spans="1:5">
      <c r="A3484" s="3" t="s">
        <v>9977</v>
      </c>
      <c r="B3484" s="110" t="s">
        <v>1328</v>
      </c>
      <c r="C3484" s="111" t="s">
        <v>9978</v>
      </c>
      <c r="D3484" s="111" t="str">
        <f t="shared" ref="D3484:E3484" si="3482">TRIM(B3484)</f>
        <v>Florida</v>
      </c>
      <c r="E3484" s="111" t="str">
        <f t="shared" si="3482"/>
        <v>Ponce De Leon</v>
      </c>
    </row>
    <row r="3485" spans="1:5">
      <c r="A3485" s="3" t="s">
        <v>9980</v>
      </c>
      <c r="B3485" s="110" t="s">
        <v>1328</v>
      </c>
      <c r="C3485" s="111" t="s">
        <v>9981</v>
      </c>
      <c r="D3485" s="111" t="str">
        <f t="shared" ref="D3485:E3485" si="3483">TRIM(B3485)</f>
        <v>Florida</v>
      </c>
      <c r="E3485" s="111" t="str">
        <f t="shared" si="3483"/>
        <v>Ponte Vedra</v>
      </c>
    </row>
    <row r="3486" spans="1:5">
      <c r="A3486" s="3" t="s">
        <v>9983</v>
      </c>
      <c r="B3486" s="110" t="s">
        <v>1328</v>
      </c>
      <c r="C3486" s="111" t="s">
        <v>9981</v>
      </c>
      <c r="D3486" s="111" t="str">
        <f t="shared" ref="D3486:E3486" si="3484">TRIM(B3486)</f>
        <v>Florida</v>
      </c>
      <c r="E3486" s="111" t="str">
        <f t="shared" si="3484"/>
        <v>Ponte Vedra</v>
      </c>
    </row>
    <row r="3487" spans="1:5">
      <c r="A3487" s="3" t="s">
        <v>9986</v>
      </c>
      <c r="B3487" s="110" t="s">
        <v>1328</v>
      </c>
      <c r="C3487" s="111" t="s">
        <v>9987</v>
      </c>
      <c r="D3487" s="111" t="str">
        <f t="shared" ref="D3487:E3487" si="3485">TRIM(B3487)</f>
        <v>Florida</v>
      </c>
      <c r="E3487" s="111" t="str">
        <f t="shared" si="3485"/>
        <v>Port Charlotte</v>
      </c>
    </row>
    <row r="3488" spans="1:5">
      <c r="A3488" s="3" t="s">
        <v>9157</v>
      </c>
      <c r="B3488" s="110" t="s">
        <v>1328</v>
      </c>
      <c r="C3488" s="111" t="s">
        <v>9990</v>
      </c>
      <c r="D3488" s="111" t="str">
        <f t="shared" ref="D3488:E3488" si="3486">TRIM(B3488)</f>
        <v>Florida</v>
      </c>
      <c r="E3488" s="111" t="str">
        <f t="shared" si="3486"/>
        <v>Port Orange</v>
      </c>
    </row>
    <row r="3489" spans="1:5">
      <c r="A3489" s="3" t="s">
        <v>9993</v>
      </c>
      <c r="B3489" s="110" t="s">
        <v>1328</v>
      </c>
      <c r="C3489" s="111" t="s">
        <v>9990</v>
      </c>
      <c r="D3489" s="111" t="str">
        <f t="shared" ref="D3489:E3489" si="3487">TRIM(B3489)</f>
        <v>Florida</v>
      </c>
      <c r="E3489" s="111" t="str">
        <f t="shared" si="3487"/>
        <v>Port Orange</v>
      </c>
    </row>
    <row r="3490" spans="1:5">
      <c r="A3490" s="3" t="s">
        <v>9995</v>
      </c>
      <c r="B3490" s="110" t="s">
        <v>1328</v>
      </c>
      <c r="C3490" s="111" t="s">
        <v>9996</v>
      </c>
      <c r="D3490" s="111" t="str">
        <f t="shared" ref="D3490:E3490" si="3488">TRIM(B3490)</f>
        <v>Florida</v>
      </c>
      <c r="E3490" s="111" t="str">
        <f t="shared" si="3488"/>
        <v>Port Saint Lucie</v>
      </c>
    </row>
    <row r="3491" spans="1:5">
      <c r="A3491" s="3" t="s">
        <v>9998</v>
      </c>
      <c r="B3491" s="110" t="s">
        <v>1328</v>
      </c>
      <c r="C3491" s="111" t="s">
        <v>9999</v>
      </c>
      <c r="D3491" s="111" t="str">
        <f t="shared" ref="D3491:E3491" si="3489">TRIM(B3491)</f>
        <v>Florida</v>
      </c>
      <c r="E3491" s="111" t="str">
        <f t="shared" si="3489"/>
        <v>Port St Joe</v>
      </c>
    </row>
    <row r="3492" spans="1:5">
      <c r="A3492" s="3" t="s">
        <v>10002</v>
      </c>
      <c r="B3492" s="110" t="s">
        <v>1328</v>
      </c>
      <c r="C3492" s="111" t="s">
        <v>9958</v>
      </c>
      <c r="D3492" s="111" t="str">
        <f t="shared" ref="D3492:E3492" si="3490">TRIM(B3492)</f>
        <v>Florida</v>
      </c>
      <c r="E3492" s="111" t="str">
        <f t="shared" si="3490"/>
        <v>Port St Lucie</v>
      </c>
    </row>
    <row r="3493" spans="1:5">
      <c r="A3493" s="3" t="s">
        <v>10005</v>
      </c>
      <c r="B3493" s="110" t="s">
        <v>1328</v>
      </c>
      <c r="C3493" s="111" t="s">
        <v>9958</v>
      </c>
      <c r="D3493" s="111" t="str">
        <f t="shared" ref="D3493:E3493" si="3491">TRIM(B3493)</f>
        <v>Florida</v>
      </c>
      <c r="E3493" s="111" t="str">
        <f t="shared" si="3491"/>
        <v>Port St Lucie</v>
      </c>
    </row>
    <row r="3494" spans="1:5">
      <c r="A3494" s="3" t="s">
        <v>10007</v>
      </c>
      <c r="B3494" s="110" t="s">
        <v>1328</v>
      </c>
      <c r="C3494" s="111" t="s">
        <v>9958</v>
      </c>
      <c r="D3494" s="111" t="str">
        <f t="shared" ref="D3494:E3494" si="3492">TRIM(B3494)</f>
        <v>Florida</v>
      </c>
      <c r="E3494" s="111" t="str">
        <f t="shared" si="3492"/>
        <v>Port St Lucie</v>
      </c>
    </row>
    <row r="3495" spans="1:5">
      <c r="A3495" s="3" t="s">
        <v>10009</v>
      </c>
      <c r="B3495" s="110" t="s">
        <v>1328</v>
      </c>
      <c r="C3495" s="111" t="s">
        <v>10010</v>
      </c>
      <c r="D3495" s="111" t="str">
        <f t="shared" ref="D3495:E3495" si="3493">TRIM(B3495)</f>
        <v>Florida</v>
      </c>
      <c r="E3495" s="111" t="str">
        <f t="shared" si="3493"/>
        <v>Punta Gorda</v>
      </c>
    </row>
    <row r="3496" spans="1:5">
      <c r="A3496" s="3" t="s">
        <v>9252</v>
      </c>
      <c r="B3496" s="110" t="s">
        <v>1328</v>
      </c>
      <c r="C3496" s="111" t="s">
        <v>10010</v>
      </c>
      <c r="D3496" s="111" t="str">
        <f t="shared" ref="D3496:E3496" si="3494">TRIM(B3496)</f>
        <v>Florida</v>
      </c>
      <c r="E3496" s="111" t="str">
        <f t="shared" si="3494"/>
        <v>Punta Gorda</v>
      </c>
    </row>
    <row r="3497" spans="1:5">
      <c r="A3497" s="3" t="s">
        <v>10014</v>
      </c>
      <c r="B3497" s="110" t="s">
        <v>1328</v>
      </c>
      <c r="C3497" s="111" t="s">
        <v>10015</v>
      </c>
      <c r="D3497" s="111" t="str">
        <f t="shared" ref="D3497:E3497" si="3495">TRIM(B3497)</f>
        <v>Florida</v>
      </c>
      <c r="E3497" s="111" t="str">
        <f t="shared" si="3495"/>
        <v>Riverview</v>
      </c>
    </row>
    <row r="3498" spans="1:5">
      <c r="A3498" s="3" t="s">
        <v>10017</v>
      </c>
      <c r="B3498" s="110" t="s">
        <v>1328</v>
      </c>
      <c r="C3498" s="111" t="s">
        <v>10015</v>
      </c>
      <c r="D3498" s="111" t="str">
        <f t="shared" ref="D3498:E3498" si="3496">TRIM(B3498)</f>
        <v>Florida</v>
      </c>
      <c r="E3498" s="111" t="str">
        <f t="shared" si="3496"/>
        <v>Riverview</v>
      </c>
    </row>
    <row r="3499" spans="1:5">
      <c r="A3499" s="110" t="s">
        <v>10020</v>
      </c>
      <c r="B3499" s="110" t="s">
        <v>1328</v>
      </c>
      <c r="C3499" s="111" t="s">
        <v>10015</v>
      </c>
      <c r="D3499" s="111" t="str">
        <f t="shared" ref="D3499:E3499" si="3497">TRIM(B3499)</f>
        <v>Florida</v>
      </c>
      <c r="E3499" s="111" t="str">
        <f t="shared" si="3497"/>
        <v>Riverview</v>
      </c>
    </row>
    <row r="3500" spans="1:5">
      <c r="A3500" s="3" t="s">
        <v>4181</v>
      </c>
      <c r="B3500" s="110" t="s">
        <v>1328</v>
      </c>
      <c r="C3500" s="111" t="s">
        <v>10015</v>
      </c>
      <c r="D3500" s="111" t="str">
        <f t="shared" ref="D3500:E3500" si="3498">TRIM(B3500)</f>
        <v>Florida</v>
      </c>
      <c r="E3500" s="111" t="str">
        <f t="shared" si="3498"/>
        <v>Riverview</v>
      </c>
    </row>
    <row r="3501" spans="1:5">
      <c r="A3501" s="3" t="s">
        <v>10024</v>
      </c>
      <c r="B3501" s="110" t="s">
        <v>1328</v>
      </c>
      <c r="C3501" s="111" t="s">
        <v>10015</v>
      </c>
      <c r="D3501" s="111" t="str">
        <f t="shared" ref="D3501:E3501" si="3499">TRIM(B3501)</f>
        <v>Florida</v>
      </c>
      <c r="E3501" s="111" t="str">
        <f t="shared" si="3499"/>
        <v>Riverview</v>
      </c>
    </row>
    <row r="3502" spans="1:5">
      <c r="A3502" s="3" t="s">
        <v>10027</v>
      </c>
      <c r="B3502" s="110" t="s">
        <v>1328</v>
      </c>
      <c r="C3502" s="111" t="s">
        <v>10029</v>
      </c>
      <c r="D3502" s="111" t="str">
        <f t="shared" ref="D3502:E3502" si="3500">TRIM(B3502)</f>
        <v>Florida</v>
      </c>
      <c r="E3502" s="111" t="str">
        <f t="shared" si="3500"/>
        <v>Riviera Beach</v>
      </c>
    </row>
    <row r="3503" spans="1:5">
      <c r="A3503" s="3" t="s">
        <v>10031</v>
      </c>
      <c r="B3503" s="110" t="s">
        <v>1328</v>
      </c>
      <c r="C3503" s="111" t="s">
        <v>10029</v>
      </c>
      <c r="D3503" s="111" t="str">
        <f t="shared" ref="D3503:E3503" si="3501">TRIM(B3503)</f>
        <v>Florida</v>
      </c>
      <c r="E3503" s="111" t="str">
        <f t="shared" si="3501"/>
        <v>Riviera Beach</v>
      </c>
    </row>
    <row r="3504" spans="1:5">
      <c r="A3504" s="3" t="s">
        <v>10034</v>
      </c>
      <c r="B3504" s="110" t="s">
        <v>1328</v>
      </c>
      <c r="C3504" s="111" t="s">
        <v>339</v>
      </c>
      <c r="D3504" s="111" t="str">
        <f t="shared" ref="D3504:E3504" si="3502">TRIM(B3504)</f>
        <v>Florida</v>
      </c>
      <c r="E3504" s="111" t="str">
        <f t="shared" si="3502"/>
        <v>Rockledge</v>
      </c>
    </row>
    <row r="3505" spans="1:5">
      <c r="A3505" s="3" t="s">
        <v>10037</v>
      </c>
      <c r="B3505" s="110" t="s">
        <v>1328</v>
      </c>
      <c r="C3505" s="113" t="s">
        <v>10038</v>
      </c>
      <c r="D3505" s="111" t="str">
        <f t="shared" ref="D3505:E3505" si="3503">TRIM(B3505)</f>
        <v>Florida</v>
      </c>
      <c r="E3505" s="111" t="str">
        <f t="shared" si="3503"/>
        <v>Royal Palm Beach</v>
      </c>
    </row>
    <row r="3506" spans="1:5">
      <c r="A3506" s="3" t="s">
        <v>10041</v>
      </c>
      <c r="B3506" s="110" t="s">
        <v>1328</v>
      </c>
      <c r="C3506" s="111" t="s">
        <v>10043</v>
      </c>
      <c r="D3506" s="111" t="str">
        <f t="shared" ref="D3506:E3506" si="3504">TRIM(B3506)</f>
        <v>Florida</v>
      </c>
      <c r="E3506" s="111" t="str">
        <f t="shared" si="3504"/>
        <v>Ruskin</v>
      </c>
    </row>
    <row r="3507" spans="1:5">
      <c r="A3507" s="3" t="s">
        <v>10045</v>
      </c>
      <c r="B3507" s="110" t="s">
        <v>1328</v>
      </c>
      <c r="C3507" s="111" t="s">
        <v>3200</v>
      </c>
      <c r="D3507" s="111" t="str">
        <f t="shared" ref="D3507:E3507" si="3505">TRIM(B3507)</f>
        <v>Florida</v>
      </c>
      <c r="E3507" s="111" t="str">
        <f t="shared" si="3505"/>
        <v>Saint Johns</v>
      </c>
    </row>
    <row r="3508" spans="1:5">
      <c r="A3508" s="3" t="s">
        <v>10047</v>
      </c>
      <c r="B3508" s="110" t="s">
        <v>1328</v>
      </c>
      <c r="C3508" s="111" t="s">
        <v>3200</v>
      </c>
      <c r="D3508" s="111" t="str">
        <f t="shared" ref="D3508:E3508" si="3506">TRIM(B3508)</f>
        <v>Florida</v>
      </c>
      <c r="E3508" s="111" t="str">
        <f t="shared" si="3506"/>
        <v>Saint Johns</v>
      </c>
    </row>
    <row r="3509" spans="1:5">
      <c r="A3509" s="3" t="s">
        <v>10049</v>
      </c>
      <c r="B3509" s="110" t="s">
        <v>1328</v>
      </c>
      <c r="C3509" s="111" t="s">
        <v>8231</v>
      </c>
      <c r="D3509" s="111" t="str">
        <f t="shared" ref="D3509:E3509" si="3507">TRIM(B3509)</f>
        <v>Florida</v>
      </c>
      <c r="E3509" s="111" t="str">
        <f t="shared" si="3507"/>
        <v>Sanford</v>
      </c>
    </row>
    <row r="3510" spans="1:5">
      <c r="A3510" s="3" t="s">
        <v>10051</v>
      </c>
      <c r="B3510" s="110" t="s">
        <v>1328</v>
      </c>
      <c r="C3510" s="111" t="s">
        <v>8231</v>
      </c>
      <c r="D3510" s="111" t="str">
        <f t="shared" ref="D3510:E3510" si="3508">TRIM(B3510)</f>
        <v>Florida</v>
      </c>
      <c r="E3510" s="111" t="str">
        <f t="shared" si="3508"/>
        <v>Sanford</v>
      </c>
    </row>
    <row r="3511" spans="1:5">
      <c r="A3511" s="110" t="s">
        <v>10053</v>
      </c>
      <c r="B3511" s="110" t="s">
        <v>1328</v>
      </c>
      <c r="C3511" s="113" t="s">
        <v>10054</v>
      </c>
      <c r="D3511" s="111" t="str">
        <f t="shared" ref="D3511:E3511" si="3509">TRIM(B3511)</f>
        <v>Florida</v>
      </c>
      <c r="E3511" s="111" t="str">
        <f t="shared" si="3509"/>
        <v>Santa Rosa Beach</v>
      </c>
    </row>
    <row r="3512" spans="1:5">
      <c r="A3512" s="3" t="s">
        <v>10057</v>
      </c>
      <c r="B3512" s="110" t="s">
        <v>1328</v>
      </c>
      <c r="C3512" s="113" t="s">
        <v>10054</v>
      </c>
      <c r="D3512" s="111" t="str">
        <f t="shared" ref="D3512:E3512" si="3510">TRIM(B3512)</f>
        <v>Florida</v>
      </c>
      <c r="E3512" s="111" t="str">
        <f t="shared" si="3510"/>
        <v>Santa Rosa Beach</v>
      </c>
    </row>
    <row r="3513" spans="1:5">
      <c r="A3513" s="3" t="s">
        <v>10059</v>
      </c>
      <c r="B3513" s="110" t="s">
        <v>1328</v>
      </c>
      <c r="C3513" s="111" t="s">
        <v>9937</v>
      </c>
      <c r="D3513" s="111" t="str">
        <f t="shared" ref="D3513:E3513" si="3511">TRIM(B3513)</f>
        <v>Florida</v>
      </c>
      <c r="E3513" s="111" t="str">
        <f t="shared" si="3511"/>
        <v>Sarasota</v>
      </c>
    </row>
    <row r="3514" spans="1:5">
      <c r="A3514" s="3" t="s">
        <v>4181</v>
      </c>
      <c r="B3514" s="110" t="s">
        <v>1328</v>
      </c>
      <c r="C3514" s="111" t="s">
        <v>9937</v>
      </c>
      <c r="D3514" s="111" t="str">
        <f t="shared" ref="D3514:E3514" si="3512">TRIM(B3514)</f>
        <v>Florida</v>
      </c>
      <c r="E3514" s="111" t="str">
        <f t="shared" si="3512"/>
        <v>Sarasota</v>
      </c>
    </row>
    <row r="3515" spans="1:5">
      <c r="A3515" s="3" t="s">
        <v>10063</v>
      </c>
      <c r="B3515" s="110" t="s">
        <v>1328</v>
      </c>
      <c r="C3515" s="111" t="s">
        <v>9937</v>
      </c>
      <c r="D3515" s="111" t="str">
        <f t="shared" ref="D3515:E3515" si="3513">TRIM(B3515)</f>
        <v>Florida</v>
      </c>
      <c r="E3515" s="111" t="str">
        <f t="shared" si="3513"/>
        <v>Sarasota</v>
      </c>
    </row>
    <row r="3516" spans="1:5">
      <c r="A3516" s="3" t="s">
        <v>10067</v>
      </c>
      <c r="B3516" s="110" t="s">
        <v>1328</v>
      </c>
      <c r="C3516" s="111" t="s">
        <v>9937</v>
      </c>
      <c r="D3516" s="111" t="str">
        <f t="shared" ref="D3516:E3516" si="3514">TRIM(B3516)</f>
        <v>Florida</v>
      </c>
      <c r="E3516" s="111" t="str">
        <f t="shared" si="3514"/>
        <v>Sarasota</v>
      </c>
    </row>
    <row r="3517" spans="1:5">
      <c r="A3517" s="3" t="s">
        <v>10069</v>
      </c>
      <c r="B3517" s="110" t="s">
        <v>1328</v>
      </c>
      <c r="C3517" s="111" t="s">
        <v>9937</v>
      </c>
      <c r="D3517" s="111" t="str">
        <f t="shared" ref="D3517:E3517" si="3515">TRIM(B3517)</f>
        <v>Florida</v>
      </c>
      <c r="E3517" s="111" t="str">
        <f t="shared" si="3515"/>
        <v>Sarasota</v>
      </c>
    </row>
    <row r="3518" spans="1:5">
      <c r="A3518" s="3" t="s">
        <v>10071</v>
      </c>
      <c r="B3518" s="110" t="s">
        <v>1328</v>
      </c>
      <c r="C3518" s="111" t="s">
        <v>10072</v>
      </c>
      <c r="D3518" s="111" t="str">
        <f t="shared" ref="D3518:E3518" si="3516">TRIM(B3518)</f>
        <v>Florida</v>
      </c>
      <c r="E3518" s="111" t="str">
        <f t="shared" si="3516"/>
        <v>Satellite Beach</v>
      </c>
    </row>
    <row r="3519" spans="1:5">
      <c r="A3519" s="3" t="s">
        <v>10074</v>
      </c>
      <c r="B3519" s="110" t="s">
        <v>1328</v>
      </c>
      <c r="C3519" s="111" t="s">
        <v>10075</v>
      </c>
      <c r="D3519" s="111" t="str">
        <f t="shared" ref="D3519:E3519" si="3517">TRIM(B3519)</f>
        <v>Florida</v>
      </c>
      <c r="E3519" s="111" t="str">
        <f t="shared" si="3517"/>
        <v>Sebastian</v>
      </c>
    </row>
    <row r="3520" spans="1:5">
      <c r="A3520" s="3" t="s">
        <v>10077</v>
      </c>
      <c r="B3520" s="110" t="s">
        <v>1328</v>
      </c>
      <c r="C3520" s="111" t="s">
        <v>4424</v>
      </c>
      <c r="D3520" s="111" t="str">
        <f t="shared" ref="D3520:E3520" si="3518">TRIM(B3520)</f>
        <v>Florida</v>
      </c>
      <c r="E3520" s="111" t="str">
        <f t="shared" si="3518"/>
        <v>Sebring</v>
      </c>
    </row>
    <row r="3521" spans="1:5">
      <c r="A3521" s="3" t="s">
        <v>10080</v>
      </c>
      <c r="B3521" s="110" t="s">
        <v>1328</v>
      </c>
      <c r="C3521" s="111" t="s">
        <v>10081</v>
      </c>
      <c r="D3521" s="111" t="str">
        <f t="shared" ref="D3521:E3521" si="3519">TRIM(B3521)</f>
        <v>Florida</v>
      </c>
      <c r="E3521" s="111" t="str">
        <f t="shared" si="3519"/>
        <v>Seffner</v>
      </c>
    </row>
    <row r="3522" spans="1:5">
      <c r="A3522" s="3" t="s">
        <v>10083</v>
      </c>
      <c r="B3522" s="110" t="s">
        <v>1328</v>
      </c>
      <c r="C3522" s="111" t="s">
        <v>10084</v>
      </c>
      <c r="D3522" s="111" t="str">
        <f t="shared" ref="D3522:E3522" si="3520">TRIM(B3522)</f>
        <v>Florida</v>
      </c>
      <c r="E3522" s="111" t="str">
        <f t="shared" si="3520"/>
        <v>Seminole</v>
      </c>
    </row>
    <row r="3523" spans="1:5">
      <c r="A3523" s="3" t="s">
        <v>10086</v>
      </c>
      <c r="B3523" s="110" t="s">
        <v>1328</v>
      </c>
      <c r="C3523" s="111" t="s">
        <v>10084</v>
      </c>
      <c r="D3523" s="111" t="str">
        <f t="shared" ref="D3523:E3523" si="3521">TRIM(B3523)</f>
        <v>Florida</v>
      </c>
      <c r="E3523" s="111" t="str">
        <f t="shared" si="3521"/>
        <v>Seminole</v>
      </c>
    </row>
    <row r="3524" spans="1:5">
      <c r="A3524" s="3" t="s">
        <v>10051</v>
      </c>
      <c r="B3524" s="110" t="s">
        <v>1328</v>
      </c>
      <c r="C3524" s="111" t="s">
        <v>10084</v>
      </c>
      <c r="D3524" s="111" t="str">
        <f t="shared" ref="D3524:E3524" si="3522">TRIM(B3524)</f>
        <v>Florida</v>
      </c>
      <c r="E3524" s="111" t="str">
        <f t="shared" si="3522"/>
        <v>Seminole</v>
      </c>
    </row>
    <row r="3525" spans="1:5">
      <c r="A3525" s="3" t="s">
        <v>10089</v>
      </c>
      <c r="B3525" s="110" t="s">
        <v>1328</v>
      </c>
      <c r="C3525" s="111" t="s">
        <v>10090</v>
      </c>
      <c r="D3525" s="111" t="str">
        <f t="shared" ref="D3525:E3525" si="3523">TRIM(B3525)</f>
        <v>Florida</v>
      </c>
      <c r="E3525" s="111" t="str">
        <f t="shared" si="3523"/>
        <v>Sneads</v>
      </c>
    </row>
    <row r="3526" spans="1:5">
      <c r="A3526" s="3" t="s">
        <v>10092</v>
      </c>
      <c r="B3526" s="110" t="s">
        <v>1328</v>
      </c>
      <c r="C3526" s="111" t="s">
        <v>10093</v>
      </c>
      <c r="D3526" s="111" t="str">
        <f t="shared" ref="D3526:E3526" si="3524">TRIM(B3526)</f>
        <v>Florida</v>
      </c>
      <c r="E3526" s="111" t="str">
        <f t="shared" si="3524"/>
        <v>Spring Hill</v>
      </c>
    </row>
    <row r="3527" spans="1:5">
      <c r="A3527" s="3" t="s">
        <v>10095</v>
      </c>
      <c r="B3527" s="110" t="s">
        <v>1328</v>
      </c>
      <c r="C3527" s="111" t="s">
        <v>10097</v>
      </c>
      <c r="D3527" s="111" t="str">
        <f t="shared" ref="D3527:E3527" si="3525">TRIM(B3527)</f>
        <v>Florida</v>
      </c>
      <c r="E3527" s="111" t="str">
        <f t="shared" si="3525"/>
        <v>St Augustine</v>
      </c>
    </row>
    <row r="3528" spans="1:5">
      <c r="A3528" s="3" t="s">
        <v>10100</v>
      </c>
      <c r="B3528" s="110" t="s">
        <v>1328</v>
      </c>
      <c r="C3528" s="111" t="s">
        <v>10097</v>
      </c>
      <c r="D3528" s="111" t="str">
        <f t="shared" ref="D3528:E3528" si="3526">TRIM(B3528)</f>
        <v>Florida</v>
      </c>
      <c r="E3528" s="111" t="str">
        <f t="shared" si="3526"/>
        <v>St Augustine</v>
      </c>
    </row>
    <row r="3529" spans="1:5">
      <c r="A3529" s="3" t="s">
        <v>10102</v>
      </c>
      <c r="B3529" s="110" t="s">
        <v>1328</v>
      </c>
      <c r="C3529" s="111" t="s">
        <v>10104</v>
      </c>
      <c r="D3529" s="111" t="str">
        <f t="shared" ref="D3529:E3529" si="3527">TRIM(B3529)</f>
        <v>Florida</v>
      </c>
      <c r="E3529" s="111" t="str">
        <f t="shared" si="3527"/>
        <v>St Cloud</v>
      </c>
    </row>
    <row r="3530" spans="1:5">
      <c r="A3530" s="3" t="s">
        <v>10106</v>
      </c>
      <c r="B3530" s="110" t="s">
        <v>1328</v>
      </c>
      <c r="C3530" s="111" t="s">
        <v>9894</v>
      </c>
      <c r="D3530" s="111" t="str">
        <f t="shared" ref="D3530:E3530" si="3528">TRIM(B3530)</f>
        <v>Florida</v>
      </c>
      <c r="E3530" s="111" t="str">
        <f t="shared" si="3528"/>
        <v>St Petersburg</v>
      </c>
    </row>
    <row r="3531" spans="1:5">
      <c r="A3531" s="3" t="s">
        <v>5451</v>
      </c>
      <c r="B3531" s="110" t="s">
        <v>1328</v>
      </c>
      <c r="C3531" s="111" t="s">
        <v>9894</v>
      </c>
      <c r="D3531" s="111" t="str">
        <f t="shared" ref="D3531:E3531" si="3529">TRIM(B3531)</f>
        <v>Florida</v>
      </c>
      <c r="E3531" s="111" t="str">
        <f t="shared" si="3529"/>
        <v>St Petersburg</v>
      </c>
    </row>
    <row r="3532" spans="1:5">
      <c r="A3532" s="3" t="s">
        <v>9797</v>
      </c>
      <c r="B3532" s="110" t="s">
        <v>1328</v>
      </c>
      <c r="C3532" s="111" t="s">
        <v>9894</v>
      </c>
      <c r="D3532" s="111" t="str">
        <f t="shared" ref="D3532:E3532" si="3530">TRIM(B3532)</f>
        <v>Florida</v>
      </c>
      <c r="E3532" s="111" t="str">
        <f t="shared" si="3530"/>
        <v>St Petersburg</v>
      </c>
    </row>
    <row r="3533" spans="1:5">
      <c r="A3533" s="3" t="s">
        <v>10110</v>
      </c>
      <c r="B3533" s="110" t="s">
        <v>1328</v>
      </c>
      <c r="C3533" s="111" t="s">
        <v>9894</v>
      </c>
      <c r="D3533" s="111" t="str">
        <f t="shared" ref="D3533:E3533" si="3531">TRIM(B3533)</f>
        <v>Florida</v>
      </c>
      <c r="E3533" s="111" t="str">
        <f t="shared" si="3531"/>
        <v>St Petersburg</v>
      </c>
    </row>
    <row r="3534" spans="1:5">
      <c r="A3534" s="3" t="s">
        <v>10113</v>
      </c>
      <c r="B3534" s="110" t="s">
        <v>1328</v>
      </c>
      <c r="C3534" s="111" t="s">
        <v>9894</v>
      </c>
      <c r="D3534" s="111" t="str">
        <f t="shared" ref="D3534:E3534" si="3532">TRIM(B3534)</f>
        <v>Florida</v>
      </c>
      <c r="E3534" s="111" t="str">
        <f t="shared" si="3532"/>
        <v>St Petersburg</v>
      </c>
    </row>
    <row r="3535" spans="1:5">
      <c r="A3535" s="3" t="s">
        <v>3640</v>
      </c>
      <c r="B3535" s="110" t="s">
        <v>1328</v>
      </c>
      <c r="C3535" s="111" t="s">
        <v>10115</v>
      </c>
      <c r="D3535" s="111" t="str">
        <f t="shared" ref="D3535:E3535" si="3533">TRIM(B3535)</f>
        <v>Florida</v>
      </c>
      <c r="E3535" s="111" t="str">
        <f t="shared" si="3533"/>
        <v>Starke</v>
      </c>
    </row>
    <row r="3536" spans="1:5">
      <c r="A3536" s="3" t="s">
        <v>10117</v>
      </c>
      <c r="B3536" s="110" t="s">
        <v>1328</v>
      </c>
      <c r="C3536" s="111" t="s">
        <v>10115</v>
      </c>
      <c r="D3536" s="111" t="str">
        <f t="shared" ref="D3536:E3536" si="3534">TRIM(B3536)</f>
        <v>Florida</v>
      </c>
      <c r="E3536" s="111" t="str">
        <f t="shared" si="3534"/>
        <v>Starke</v>
      </c>
    </row>
    <row r="3537" spans="1:5">
      <c r="A3537" s="110" t="s">
        <v>10119</v>
      </c>
      <c r="B3537" s="110" t="s">
        <v>1328</v>
      </c>
      <c r="C3537" s="111" t="s">
        <v>10120</v>
      </c>
      <c r="D3537" s="111" t="str">
        <f t="shared" ref="D3537:E3537" si="3535">TRIM(B3537)</f>
        <v>Florida</v>
      </c>
      <c r="E3537" s="111" t="str">
        <f t="shared" si="3535"/>
        <v>Stuart</v>
      </c>
    </row>
    <row r="3538" spans="1:5">
      <c r="A3538" s="3" t="s">
        <v>10122</v>
      </c>
      <c r="B3538" s="110" t="s">
        <v>1328</v>
      </c>
      <c r="C3538" s="111" t="s">
        <v>10120</v>
      </c>
      <c r="D3538" s="111" t="str">
        <f t="shared" ref="D3538:E3538" si="3536">TRIM(B3538)</f>
        <v>Florida</v>
      </c>
      <c r="E3538" s="111" t="str">
        <f t="shared" si="3536"/>
        <v>Stuart</v>
      </c>
    </row>
    <row r="3539" spans="1:5">
      <c r="A3539" s="3" t="s">
        <v>7311</v>
      </c>
      <c r="B3539" s="110" t="s">
        <v>1328</v>
      </c>
      <c r="C3539" s="111" t="s">
        <v>10120</v>
      </c>
      <c r="D3539" s="111" t="str">
        <f t="shared" ref="D3539:E3539" si="3537">TRIM(B3539)</f>
        <v>Florida</v>
      </c>
      <c r="E3539" s="111" t="str">
        <f t="shared" si="3537"/>
        <v>Stuart</v>
      </c>
    </row>
    <row r="3540" spans="1:5">
      <c r="A3540" s="3" t="s">
        <v>10126</v>
      </c>
      <c r="B3540" s="110" t="s">
        <v>1328</v>
      </c>
      <c r="C3540" s="111" t="s">
        <v>1058</v>
      </c>
      <c r="D3540" s="111" t="str">
        <f t="shared" ref="D3540:E3540" si="3538">TRIM(B3540)</f>
        <v>Florida</v>
      </c>
      <c r="E3540" s="111" t="str">
        <f t="shared" si="3538"/>
        <v>Tallahassee</v>
      </c>
    </row>
    <row r="3541" spans="1:5">
      <c r="A3541" s="3" t="s">
        <v>10128</v>
      </c>
      <c r="B3541" s="110" t="s">
        <v>1328</v>
      </c>
      <c r="C3541" s="111" t="s">
        <v>1058</v>
      </c>
      <c r="D3541" s="111" t="str">
        <f t="shared" ref="D3541:E3541" si="3539">TRIM(B3541)</f>
        <v>Florida</v>
      </c>
      <c r="E3541" s="111" t="str">
        <f t="shared" si="3539"/>
        <v>Tallahassee</v>
      </c>
    </row>
    <row r="3542" spans="1:5">
      <c r="A3542" s="3" t="s">
        <v>10131</v>
      </c>
      <c r="B3542" s="110" t="s">
        <v>1328</v>
      </c>
      <c r="C3542" s="111" t="s">
        <v>1058</v>
      </c>
      <c r="D3542" s="111" t="str">
        <f t="shared" ref="D3542:E3542" si="3540">TRIM(B3542)</f>
        <v>Florida</v>
      </c>
      <c r="E3542" s="111" t="str">
        <f t="shared" si="3540"/>
        <v>Tallahassee</v>
      </c>
    </row>
    <row r="3543" spans="1:5">
      <c r="A3543" s="3" t="s">
        <v>10133</v>
      </c>
      <c r="B3543" s="110" t="s">
        <v>1328</v>
      </c>
      <c r="C3543" s="111" t="s">
        <v>1058</v>
      </c>
      <c r="D3543" s="111" t="str">
        <f t="shared" ref="D3543:E3543" si="3541">TRIM(B3543)</f>
        <v>Florida</v>
      </c>
      <c r="E3543" s="111" t="str">
        <f t="shared" si="3541"/>
        <v>Tallahassee</v>
      </c>
    </row>
    <row r="3544" spans="1:5">
      <c r="A3544" s="3" t="s">
        <v>1925</v>
      </c>
      <c r="B3544" s="110" t="s">
        <v>1328</v>
      </c>
      <c r="C3544" s="111" t="s">
        <v>1058</v>
      </c>
      <c r="D3544" s="111" t="str">
        <f t="shared" ref="D3544:E3544" si="3542">TRIM(B3544)</f>
        <v>Florida</v>
      </c>
      <c r="E3544" s="111" t="str">
        <f t="shared" si="3542"/>
        <v>Tallahassee</v>
      </c>
    </row>
    <row r="3545" spans="1:5">
      <c r="A3545" s="110" t="s">
        <v>10136</v>
      </c>
      <c r="B3545" s="110" t="s">
        <v>1328</v>
      </c>
      <c r="C3545" s="111" t="s">
        <v>1058</v>
      </c>
      <c r="D3545" s="111" t="str">
        <f t="shared" ref="D3545:E3545" si="3543">TRIM(B3545)</f>
        <v>Florida</v>
      </c>
      <c r="E3545" s="111" t="str">
        <f t="shared" si="3543"/>
        <v>Tallahassee</v>
      </c>
    </row>
    <row r="3546" spans="1:5">
      <c r="A3546" s="3" t="s">
        <v>10138</v>
      </c>
      <c r="B3546" s="110" t="s">
        <v>1328</v>
      </c>
      <c r="C3546" s="111" t="s">
        <v>874</v>
      </c>
      <c r="D3546" s="111" t="str">
        <f t="shared" ref="D3546:E3546" si="3544">TRIM(B3546)</f>
        <v>Florida</v>
      </c>
      <c r="E3546" s="111" t="str">
        <f t="shared" si="3544"/>
        <v>Tampa</v>
      </c>
    </row>
    <row r="3547" spans="1:5">
      <c r="A3547" s="3" t="s">
        <v>10140</v>
      </c>
      <c r="B3547" s="110" t="s">
        <v>1328</v>
      </c>
      <c r="C3547" s="111" t="s">
        <v>874</v>
      </c>
      <c r="D3547" s="111" t="str">
        <f t="shared" ref="D3547:E3547" si="3545">TRIM(B3547)</f>
        <v>Florida</v>
      </c>
      <c r="E3547" s="111" t="str">
        <f t="shared" si="3545"/>
        <v>Tampa</v>
      </c>
    </row>
    <row r="3548" spans="1:5">
      <c r="A3548" s="3" t="s">
        <v>10142</v>
      </c>
      <c r="B3548" s="110" t="s">
        <v>1328</v>
      </c>
      <c r="C3548" s="111" t="s">
        <v>874</v>
      </c>
      <c r="D3548" s="111" t="str">
        <f t="shared" ref="D3548:E3548" si="3546">TRIM(B3548)</f>
        <v>Florida</v>
      </c>
      <c r="E3548" s="111" t="str">
        <f t="shared" si="3546"/>
        <v>Tampa</v>
      </c>
    </row>
    <row r="3549" spans="1:5">
      <c r="A3549" s="3" t="s">
        <v>10145</v>
      </c>
      <c r="B3549" s="110" t="s">
        <v>1328</v>
      </c>
      <c r="C3549" s="111" t="s">
        <v>874</v>
      </c>
      <c r="D3549" s="111" t="str">
        <f t="shared" ref="D3549:E3549" si="3547">TRIM(B3549)</f>
        <v>Florida</v>
      </c>
      <c r="E3549" s="111" t="str">
        <f t="shared" si="3547"/>
        <v>Tampa</v>
      </c>
    </row>
    <row r="3550" spans="1:5">
      <c r="A3550" s="3" t="s">
        <v>6200</v>
      </c>
      <c r="B3550" s="110" t="s">
        <v>1328</v>
      </c>
      <c r="C3550" s="111" t="s">
        <v>874</v>
      </c>
      <c r="D3550" s="111" t="str">
        <f t="shared" ref="D3550:E3550" si="3548">TRIM(B3550)</f>
        <v>Florida</v>
      </c>
      <c r="E3550" s="111" t="str">
        <f t="shared" si="3548"/>
        <v>Tampa</v>
      </c>
    </row>
    <row r="3551" spans="1:5">
      <c r="A3551" s="3" t="s">
        <v>10149</v>
      </c>
      <c r="B3551" s="110" t="s">
        <v>1328</v>
      </c>
      <c r="C3551" s="111" t="s">
        <v>874</v>
      </c>
      <c r="D3551" s="111" t="str">
        <f t="shared" ref="D3551:E3551" si="3549">TRIM(B3551)</f>
        <v>Florida</v>
      </c>
      <c r="E3551" s="111" t="str">
        <f t="shared" si="3549"/>
        <v>Tampa</v>
      </c>
    </row>
    <row r="3552" spans="1:5">
      <c r="A3552" s="3" t="s">
        <v>10151</v>
      </c>
      <c r="B3552" s="110" t="s">
        <v>1328</v>
      </c>
      <c r="C3552" s="111" t="s">
        <v>874</v>
      </c>
      <c r="D3552" s="111" t="str">
        <f t="shared" ref="D3552:E3552" si="3550">TRIM(B3552)</f>
        <v>Florida</v>
      </c>
      <c r="E3552" s="111" t="str">
        <f t="shared" si="3550"/>
        <v>Tampa</v>
      </c>
    </row>
    <row r="3553" spans="1:5">
      <c r="A3553" s="3" t="s">
        <v>4802</v>
      </c>
      <c r="B3553" s="110" t="s">
        <v>1328</v>
      </c>
      <c r="C3553" s="111" t="s">
        <v>874</v>
      </c>
      <c r="D3553" s="111" t="str">
        <f t="shared" ref="D3553:E3553" si="3551">TRIM(B3553)</f>
        <v>Florida</v>
      </c>
      <c r="E3553" s="111" t="str">
        <f t="shared" si="3551"/>
        <v>Tampa</v>
      </c>
    </row>
    <row r="3554" spans="1:5">
      <c r="A3554" s="3" t="s">
        <v>10155</v>
      </c>
      <c r="B3554" s="110" t="s">
        <v>1328</v>
      </c>
      <c r="C3554" s="111" t="s">
        <v>874</v>
      </c>
      <c r="D3554" s="111" t="str">
        <f t="shared" ref="D3554:E3554" si="3552">TRIM(B3554)</f>
        <v>Florida</v>
      </c>
      <c r="E3554" s="111" t="str">
        <f t="shared" si="3552"/>
        <v>Tampa</v>
      </c>
    </row>
    <row r="3555" spans="1:5">
      <c r="A3555" s="3" t="s">
        <v>10157</v>
      </c>
      <c r="B3555" s="110" t="s">
        <v>1328</v>
      </c>
      <c r="C3555" s="111" t="s">
        <v>874</v>
      </c>
      <c r="D3555" s="111" t="str">
        <f t="shared" ref="D3555:E3555" si="3553">TRIM(B3555)</f>
        <v>Florida</v>
      </c>
      <c r="E3555" s="111" t="str">
        <f t="shared" si="3553"/>
        <v>Tampa</v>
      </c>
    </row>
    <row r="3556" spans="1:5">
      <c r="A3556" s="3" t="s">
        <v>10160</v>
      </c>
      <c r="B3556" s="110" t="s">
        <v>1328</v>
      </c>
      <c r="C3556" s="111" t="s">
        <v>874</v>
      </c>
      <c r="D3556" s="111" t="str">
        <f t="shared" ref="D3556:E3556" si="3554">TRIM(B3556)</f>
        <v>Florida</v>
      </c>
      <c r="E3556" s="111" t="str">
        <f t="shared" si="3554"/>
        <v>Tampa</v>
      </c>
    </row>
    <row r="3557" spans="1:5">
      <c r="A3557" s="3" t="s">
        <v>10163</v>
      </c>
      <c r="B3557" s="110" t="s">
        <v>1328</v>
      </c>
      <c r="C3557" s="111" t="s">
        <v>874</v>
      </c>
      <c r="D3557" s="111" t="str">
        <f t="shared" ref="D3557:E3557" si="3555">TRIM(B3557)</f>
        <v>Florida</v>
      </c>
      <c r="E3557" s="111" t="str">
        <f t="shared" si="3555"/>
        <v>Tampa</v>
      </c>
    </row>
    <row r="3558" spans="1:5">
      <c r="A3558" s="3" t="s">
        <v>10165</v>
      </c>
      <c r="B3558" s="110" t="s">
        <v>1328</v>
      </c>
      <c r="C3558" s="111" t="s">
        <v>874</v>
      </c>
      <c r="D3558" s="111" t="str">
        <f t="shared" ref="D3558:E3558" si="3556">TRIM(B3558)</f>
        <v>Florida</v>
      </c>
      <c r="E3558" s="111" t="str">
        <f t="shared" si="3556"/>
        <v>Tampa</v>
      </c>
    </row>
    <row r="3559" spans="1:5">
      <c r="A3559" s="3" t="s">
        <v>10167</v>
      </c>
      <c r="B3559" s="110" t="s">
        <v>1328</v>
      </c>
      <c r="C3559" s="111" t="s">
        <v>874</v>
      </c>
      <c r="D3559" s="111" t="str">
        <f t="shared" ref="D3559:E3559" si="3557">TRIM(B3559)</f>
        <v>Florida</v>
      </c>
      <c r="E3559" s="111" t="str">
        <f t="shared" si="3557"/>
        <v>Tampa</v>
      </c>
    </row>
    <row r="3560" spans="1:5">
      <c r="A3560" s="3" t="s">
        <v>10169</v>
      </c>
      <c r="B3560" s="110" t="s">
        <v>1328</v>
      </c>
      <c r="C3560" s="111" t="s">
        <v>874</v>
      </c>
      <c r="D3560" s="111" t="str">
        <f t="shared" ref="D3560:E3560" si="3558">TRIM(B3560)</f>
        <v>Florida</v>
      </c>
      <c r="E3560" s="111" t="str">
        <f t="shared" si="3558"/>
        <v>Tampa</v>
      </c>
    </row>
    <row r="3561" spans="1:5">
      <c r="A3561" s="3" t="s">
        <v>10172</v>
      </c>
      <c r="B3561" s="110" t="s">
        <v>1328</v>
      </c>
      <c r="C3561" s="111" t="s">
        <v>874</v>
      </c>
      <c r="D3561" s="111" t="str">
        <f t="shared" ref="D3561:E3561" si="3559">TRIM(B3561)</f>
        <v>Florida</v>
      </c>
      <c r="E3561" s="111" t="str">
        <f t="shared" si="3559"/>
        <v>Tampa</v>
      </c>
    </row>
    <row r="3562" spans="1:5">
      <c r="A3562" s="3" t="s">
        <v>10174</v>
      </c>
      <c r="B3562" s="110" t="s">
        <v>1328</v>
      </c>
      <c r="C3562" s="111" t="s">
        <v>874</v>
      </c>
      <c r="D3562" s="111" t="str">
        <f t="shared" ref="D3562:E3562" si="3560">TRIM(B3562)</f>
        <v>Florida</v>
      </c>
      <c r="E3562" s="111" t="str">
        <f t="shared" si="3560"/>
        <v>Tampa</v>
      </c>
    </row>
    <row r="3563" spans="1:5">
      <c r="A3563" s="3" t="s">
        <v>10176</v>
      </c>
      <c r="B3563" s="110" t="s">
        <v>1328</v>
      </c>
      <c r="C3563" s="111" t="s">
        <v>10148</v>
      </c>
      <c r="D3563" s="111" t="str">
        <f t="shared" ref="D3563:E3563" si="3561">TRIM(B3563)</f>
        <v>Florida</v>
      </c>
      <c r="E3563" s="111" t="str">
        <f t="shared" si="3561"/>
        <v>Tarpon Springs</v>
      </c>
    </row>
    <row r="3564" spans="1:5">
      <c r="A3564" s="3" t="s">
        <v>10179</v>
      </c>
      <c r="B3564" s="110" t="s">
        <v>1328</v>
      </c>
      <c r="C3564" s="112" t="s">
        <v>10148</v>
      </c>
      <c r="D3564" s="111" t="str">
        <f t="shared" ref="D3564:E3564" si="3562">TRIM(B3564)</f>
        <v>Florida</v>
      </c>
      <c r="E3564" s="111" t="str">
        <f t="shared" si="3562"/>
        <v>Tarpon Springs</v>
      </c>
    </row>
    <row r="3565" spans="1:5">
      <c r="A3565" s="3" t="s">
        <v>10181</v>
      </c>
      <c r="B3565" s="110" t="s">
        <v>1328</v>
      </c>
      <c r="C3565" s="111" t="s">
        <v>10182</v>
      </c>
      <c r="D3565" s="111" t="str">
        <f t="shared" ref="D3565:E3565" si="3563">TRIM(B3565)</f>
        <v>Florida</v>
      </c>
      <c r="E3565" s="111" t="str">
        <f t="shared" si="3563"/>
        <v>Tavares</v>
      </c>
    </row>
    <row r="3566" spans="1:5">
      <c r="A3566" s="3" t="s">
        <v>10184</v>
      </c>
      <c r="B3566" s="110" t="s">
        <v>1328</v>
      </c>
      <c r="C3566" s="111" t="s">
        <v>10185</v>
      </c>
      <c r="D3566" s="111" t="str">
        <f t="shared" ref="D3566:E3566" si="3564">TRIM(B3566)</f>
        <v>Florida</v>
      </c>
      <c r="E3566" s="111" t="str">
        <f t="shared" si="3564"/>
        <v>Tavernier</v>
      </c>
    </row>
    <row r="3567" spans="1:5">
      <c r="A3567" s="3" t="s">
        <v>10186</v>
      </c>
      <c r="B3567" s="110" t="s">
        <v>1328</v>
      </c>
      <c r="C3567" s="111" t="s">
        <v>10188</v>
      </c>
      <c r="D3567" s="111" t="str">
        <f t="shared" ref="D3567:E3567" si="3565">TRIM(B3567)</f>
        <v>Florida</v>
      </c>
      <c r="E3567" s="111" t="str">
        <f t="shared" si="3565"/>
        <v>Titusville</v>
      </c>
    </row>
    <row r="3568" spans="1:5">
      <c r="A3568" s="3" t="s">
        <v>10190</v>
      </c>
      <c r="B3568" s="110" t="s">
        <v>1328</v>
      </c>
      <c r="C3568" s="111" t="s">
        <v>10188</v>
      </c>
      <c r="D3568" s="111" t="str">
        <f t="shared" ref="D3568:E3568" si="3566">TRIM(B3568)</f>
        <v>Florida</v>
      </c>
      <c r="E3568" s="111" t="str">
        <f t="shared" si="3566"/>
        <v>Titusville</v>
      </c>
    </row>
    <row r="3569" spans="1:5">
      <c r="A3569" s="3" t="s">
        <v>10193</v>
      </c>
      <c r="B3569" s="110" t="s">
        <v>1328</v>
      </c>
      <c r="C3569" s="111" t="s">
        <v>10194</v>
      </c>
      <c r="D3569" s="111" t="str">
        <f t="shared" ref="D3569:E3569" si="3567">TRIM(B3569)</f>
        <v>Florida</v>
      </c>
      <c r="E3569" s="111" t="str">
        <f t="shared" si="3567"/>
        <v>Trenton</v>
      </c>
    </row>
    <row r="3570" spans="1:5">
      <c r="A3570" s="3" t="s">
        <v>10196</v>
      </c>
      <c r="B3570" s="110" t="s">
        <v>1328</v>
      </c>
      <c r="C3570" s="111" t="s">
        <v>2224</v>
      </c>
      <c r="D3570" s="111" t="str">
        <f t="shared" ref="D3570:E3570" si="3568">TRIM(B3570)</f>
        <v>Florida</v>
      </c>
      <c r="E3570" s="111" t="str">
        <f t="shared" si="3568"/>
        <v>Trinity</v>
      </c>
    </row>
    <row r="3571" spans="1:5">
      <c r="A3571" s="3" t="s">
        <v>10199</v>
      </c>
      <c r="B3571" s="110" t="s">
        <v>1328</v>
      </c>
      <c r="C3571" s="111" t="s">
        <v>10200</v>
      </c>
      <c r="D3571" s="111" t="str">
        <f t="shared" ref="D3571:E3571" si="3569">TRIM(B3571)</f>
        <v>Florida</v>
      </c>
      <c r="E3571" s="111" t="str">
        <f t="shared" si="3569"/>
        <v>Umatilla</v>
      </c>
    </row>
    <row r="3572" spans="1:5">
      <c r="A3572" s="3" t="s">
        <v>10202</v>
      </c>
      <c r="B3572" s="110" t="s">
        <v>1328</v>
      </c>
      <c r="C3572" s="111" t="s">
        <v>10203</v>
      </c>
      <c r="D3572" s="111" t="str">
        <f t="shared" ref="D3572:E3572" si="3570">TRIM(B3572)</f>
        <v>Florida</v>
      </c>
      <c r="E3572" s="111" t="str">
        <f t="shared" si="3570"/>
        <v>Valrico</v>
      </c>
    </row>
    <row r="3573" spans="1:5">
      <c r="A3573" s="3" t="s">
        <v>5818</v>
      </c>
      <c r="B3573" s="110" t="s">
        <v>1328</v>
      </c>
      <c r="C3573" s="111" t="s">
        <v>10205</v>
      </c>
      <c r="D3573" s="111" t="str">
        <f t="shared" ref="D3573:E3573" si="3571">TRIM(B3573)</f>
        <v>Florida</v>
      </c>
      <c r="E3573" s="111" t="str">
        <f t="shared" si="3571"/>
        <v>Venice</v>
      </c>
    </row>
    <row r="3574" spans="1:5">
      <c r="A3574" s="3" t="s">
        <v>10207</v>
      </c>
      <c r="B3574" s="110" t="s">
        <v>1328</v>
      </c>
      <c r="C3574" s="111" t="s">
        <v>8714</v>
      </c>
      <c r="D3574" s="111" t="str">
        <f t="shared" ref="D3574:E3574" si="3572">TRIM(B3574)</f>
        <v>Florida</v>
      </c>
      <c r="E3574" s="111" t="str">
        <f t="shared" si="3572"/>
        <v>Vernon</v>
      </c>
    </row>
    <row r="3575" spans="1:5">
      <c r="A3575" s="3" t="s">
        <v>10209</v>
      </c>
      <c r="B3575" s="110" t="s">
        <v>1328</v>
      </c>
      <c r="C3575" s="111" t="s">
        <v>10065</v>
      </c>
      <c r="D3575" s="111" t="str">
        <f t="shared" ref="D3575:E3575" si="3573">TRIM(B3575)</f>
        <v>Florida</v>
      </c>
      <c r="E3575" s="111" t="str">
        <f t="shared" si="3573"/>
        <v>Vero Beach</v>
      </c>
    </row>
    <row r="3576" spans="1:5">
      <c r="A3576" s="3" t="s">
        <v>10211</v>
      </c>
      <c r="B3576" s="110" t="s">
        <v>1328</v>
      </c>
      <c r="C3576" s="111" t="s">
        <v>10065</v>
      </c>
      <c r="D3576" s="111" t="str">
        <f t="shared" ref="D3576:E3576" si="3574">TRIM(B3576)</f>
        <v>Florida</v>
      </c>
      <c r="E3576" s="111" t="str">
        <f t="shared" si="3574"/>
        <v>Vero Beach</v>
      </c>
    </row>
    <row r="3577" spans="1:5">
      <c r="A3577" s="3" t="s">
        <v>10213</v>
      </c>
      <c r="B3577" s="110" t="s">
        <v>1328</v>
      </c>
      <c r="C3577" s="111" t="s">
        <v>10214</v>
      </c>
      <c r="D3577" s="111" t="str">
        <f t="shared" ref="D3577:E3577" si="3575">TRIM(B3577)</f>
        <v>Florida</v>
      </c>
      <c r="E3577" s="111" t="str">
        <f t="shared" si="3575"/>
        <v>Viera</v>
      </c>
    </row>
    <row r="3578" spans="1:5">
      <c r="A3578" s="3" t="s">
        <v>10216</v>
      </c>
      <c r="B3578" s="110" t="s">
        <v>1328</v>
      </c>
      <c r="C3578" s="111" t="s">
        <v>10219</v>
      </c>
      <c r="D3578" s="111" t="str">
        <f t="shared" ref="D3578:E3578" si="3576">TRIM(B3578)</f>
        <v>Florida</v>
      </c>
      <c r="E3578" s="111" t="str">
        <f t="shared" si="3576"/>
        <v>Wauchula</v>
      </c>
    </row>
    <row r="3579" spans="1:5">
      <c r="A3579" s="3" t="s">
        <v>10220</v>
      </c>
      <c r="B3579" s="110" t="s">
        <v>1328</v>
      </c>
      <c r="C3579" s="111" t="s">
        <v>10219</v>
      </c>
      <c r="D3579" s="111" t="str">
        <f t="shared" ref="D3579:E3579" si="3577">TRIM(B3579)</f>
        <v>Florida</v>
      </c>
      <c r="E3579" s="111" t="str">
        <f t="shared" si="3577"/>
        <v>Wauchula</v>
      </c>
    </row>
    <row r="3580" spans="1:5">
      <c r="A3580" s="3" t="s">
        <v>10222</v>
      </c>
      <c r="B3580" s="110" t="s">
        <v>1328</v>
      </c>
      <c r="C3580" s="111" t="s">
        <v>10223</v>
      </c>
      <c r="D3580" s="111" t="str">
        <f t="shared" ref="D3580:E3580" si="3578">TRIM(B3580)</f>
        <v>Florida</v>
      </c>
      <c r="E3580" s="111" t="str">
        <f t="shared" si="3578"/>
        <v>Weeki Wachee</v>
      </c>
    </row>
    <row r="3581" spans="1:5">
      <c r="A3581" s="3" t="s">
        <v>10226</v>
      </c>
      <c r="B3581" s="110" t="s">
        <v>1328</v>
      </c>
      <c r="C3581" s="111" t="s">
        <v>8522</v>
      </c>
      <c r="D3581" s="111" t="str">
        <f t="shared" ref="D3581:E3581" si="3579">TRIM(B3581)</f>
        <v>Florida</v>
      </c>
      <c r="E3581" s="111" t="str">
        <f t="shared" si="3579"/>
        <v>Wellington</v>
      </c>
    </row>
    <row r="3582" spans="1:5">
      <c r="A3582" s="3" t="s">
        <v>10228</v>
      </c>
      <c r="B3582" s="110" t="s">
        <v>1328</v>
      </c>
      <c r="C3582" s="111" t="s">
        <v>8522</v>
      </c>
      <c r="D3582" s="111" t="str">
        <f t="shared" ref="D3582:E3582" si="3580">TRIM(B3582)</f>
        <v>Florida</v>
      </c>
      <c r="E3582" s="111" t="str">
        <f t="shared" si="3580"/>
        <v>Wellington</v>
      </c>
    </row>
    <row r="3583" spans="1:5">
      <c r="A3583" s="3" t="s">
        <v>10230</v>
      </c>
      <c r="B3583" s="110" t="s">
        <v>1328</v>
      </c>
      <c r="C3583" s="111" t="s">
        <v>10231</v>
      </c>
      <c r="D3583" s="111" t="str">
        <f t="shared" ref="D3583:E3583" si="3581">TRIM(B3583)</f>
        <v>Florida</v>
      </c>
      <c r="E3583" s="111" t="str">
        <f t="shared" si="3581"/>
        <v>Wesley Chapel</v>
      </c>
    </row>
    <row r="3584" spans="1:5">
      <c r="A3584" s="3" t="s">
        <v>10234</v>
      </c>
      <c r="B3584" s="110" t="s">
        <v>1328</v>
      </c>
      <c r="C3584" s="111" t="s">
        <v>10231</v>
      </c>
      <c r="D3584" s="111" t="str">
        <f t="shared" ref="D3584:E3584" si="3582">TRIM(B3584)</f>
        <v>Florida</v>
      </c>
      <c r="E3584" s="111" t="str">
        <f t="shared" si="3582"/>
        <v>Wesley Chapel</v>
      </c>
    </row>
    <row r="3585" spans="1:5">
      <c r="A3585" s="3" t="s">
        <v>10236</v>
      </c>
      <c r="B3585" s="110" t="s">
        <v>1328</v>
      </c>
      <c r="C3585" s="111" t="s">
        <v>10231</v>
      </c>
      <c r="D3585" s="111" t="str">
        <f t="shared" ref="D3585:E3585" si="3583">TRIM(B3585)</f>
        <v>Florida</v>
      </c>
      <c r="E3585" s="111" t="str">
        <f t="shared" si="3583"/>
        <v>Wesley Chapel</v>
      </c>
    </row>
    <row r="3586" spans="1:5">
      <c r="A3586" s="110" t="s">
        <v>10238</v>
      </c>
      <c r="B3586" s="110" t="s">
        <v>1328</v>
      </c>
      <c r="C3586" s="113" t="s">
        <v>538</v>
      </c>
      <c r="D3586" s="111" t="str">
        <f t="shared" ref="D3586:E3586" si="3584">TRIM(B3586)</f>
        <v>Florida</v>
      </c>
      <c r="E3586" s="111" t="str">
        <f t="shared" si="3584"/>
        <v>West Palm Beach</v>
      </c>
    </row>
    <row r="3587" spans="1:5">
      <c r="A3587" s="3" t="s">
        <v>10240</v>
      </c>
      <c r="B3587" s="110" t="s">
        <v>1328</v>
      </c>
      <c r="C3587" s="113" t="s">
        <v>538</v>
      </c>
      <c r="D3587" s="111" t="str">
        <f t="shared" ref="D3587:E3587" si="3585">TRIM(B3587)</f>
        <v>Florida</v>
      </c>
      <c r="E3587" s="111" t="str">
        <f t="shared" si="3585"/>
        <v>West Palm Beach</v>
      </c>
    </row>
    <row r="3588" spans="1:5">
      <c r="A3588" s="110" t="s">
        <v>10243</v>
      </c>
      <c r="B3588" s="110" t="s">
        <v>1328</v>
      </c>
      <c r="C3588" s="113" t="s">
        <v>538</v>
      </c>
      <c r="D3588" s="111" t="str">
        <f t="shared" ref="D3588:E3588" si="3586">TRIM(B3588)</f>
        <v>Florida</v>
      </c>
      <c r="E3588" s="111" t="str">
        <f t="shared" si="3586"/>
        <v>West Palm Beach</v>
      </c>
    </row>
    <row r="3589" spans="1:5">
      <c r="A3589" s="3" t="s">
        <v>10245</v>
      </c>
      <c r="B3589" s="110" t="s">
        <v>1328</v>
      </c>
      <c r="C3589" s="113" t="s">
        <v>538</v>
      </c>
      <c r="D3589" s="111" t="str">
        <f t="shared" ref="D3589:E3589" si="3587">TRIM(B3589)</f>
        <v>Florida</v>
      </c>
      <c r="E3589" s="111" t="str">
        <f t="shared" si="3587"/>
        <v>West Palm Beach</v>
      </c>
    </row>
    <row r="3590" spans="1:5">
      <c r="A3590" s="3" t="s">
        <v>10247</v>
      </c>
      <c r="B3590" s="110" t="s">
        <v>1328</v>
      </c>
      <c r="C3590" s="113" t="s">
        <v>538</v>
      </c>
      <c r="D3590" s="111" t="str">
        <f t="shared" ref="D3590:E3590" si="3588">TRIM(B3590)</f>
        <v>Florida</v>
      </c>
      <c r="E3590" s="111" t="str">
        <f t="shared" si="3588"/>
        <v>West Palm Beach</v>
      </c>
    </row>
    <row r="3591" spans="1:5">
      <c r="A3591" s="3" t="s">
        <v>10248</v>
      </c>
      <c r="B3591" s="110" t="s">
        <v>1328</v>
      </c>
      <c r="C3591" s="111" t="s">
        <v>8298</v>
      </c>
      <c r="D3591" s="111" t="str">
        <f t="shared" ref="D3591:E3591" si="3589">TRIM(B3591)</f>
        <v>Florida</v>
      </c>
      <c r="E3591" s="111" t="str">
        <f t="shared" si="3589"/>
        <v>Weston</v>
      </c>
    </row>
    <row r="3592" spans="1:5">
      <c r="A3592" s="3" t="s">
        <v>10251</v>
      </c>
      <c r="B3592" s="110" t="s">
        <v>1328</v>
      </c>
      <c r="C3592" s="111" t="s">
        <v>10252</v>
      </c>
      <c r="D3592" s="111" t="str">
        <f t="shared" ref="D3592:E3592" si="3590">TRIM(B3592)</f>
        <v>Florida</v>
      </c>
      <c r="E3592" s="111" t="str">
        <f t="shared" si="3590"/>
        <v>Wewahitchka</v>
      </c>
    </row>
    <row r="3593" spans="1:5">
      <c r="A3593" s="3" t="s">
        <v>10253</v>
      </c>
      <c r="B3593" s="110" t="s">
        <v>1328</v>
      </c>
      <c r="C3593" s="111" t="s">
        <v>6793</v>
      </c>
      <c r="D3593" s="111" t="str">
        <f t="shared" ref="D3593:E3593" si="3591">TRIM(B3593)</f>
        <v>Florida</v>
      </c>
      <c r="E3593" s="111" t="str">
        <f t="shared" si="3591"/>
        <v>Wildwood</v>
      </c>
    </row>
    <row r="3594" spans="1:5">
      <c r="A3594" s="3" t="s">
        <v>10255</v>
      </c>
      <c r="B3594" s="110" t="s">
        <v>1328</v>
      </c>
      <c r="C3594" s="111" t="s">
        <v>10256</v>
      </c>
      <c r="D3594" s="111" t="str">
        <f t="shared" ref="D3594:E3594" si="3592">TRIM(B3594)</f>
        <v>Florida</v>
      </c>
      <c r="E3594" s="111" t="str">
        <f t="shared" si="3592"/>
        <v>Williston</v>
      </c>
    </row>
    <row r="3595" spans="1:5">
      <c r="A3595" s="3" t="s">
        <v>10258</v>
      </c>
      <c r="B3595" s="110" t="s">
        <v>1328</v>
      </c>
      <c r="C3595" s="111" t="s">
        <v>3399</v>
      </c>
      <c r="D3595" s="111" t="str">
        <f t="shared" ref="D3595:E3595" si="3593">TRIM(B3595)</f>
        <v>Florida</v>
      </c>
      <c r="E3595" s="111" t="str">
        <f t="shared" si="3593"/>
        <v>Windermere</v>
      </c>
    </row>
    <row r="3596" spans="1:5">
      <c r="A3596" s="3" t="s">
        <v>10260</v>
      </c>
      <c r="B3596" s="110" t="s">
        <v>1328</v>
      </c>
      <c r="C3596" s="111" t="s">
        <v>10261</v>
      </c>
      <c r="D3596" s="111" t="str">
        <f t="shared" ref="D3596:E3596" si="3594">TRIM(B3596)</f>
        <v>Florida</v>
      </c>
      <c r="E3596" s="111" t="str">
        <f t="shared" si="3594"/>
        <v>Winter Garden</v>
      </c>
    </row>
    <row r="3597" spans="1:5">
      <c r="A3597" s="3" t="s">
        <v>10263</v>
      </c>
      <c r="B3597" s="110" t="s">
        <v>1328</v>
      </c>
      <c r="C3597" s="111" t="s">
        <v>7646</v>
      </c>
      <c r="D3597" s="111" t="str">
        <f t="shared" ref="D3597:E3597" si="3595">TRIM(B3597)</f>
        <v>Florida</v>
      </c>
      <c r="E3597" s="111" t="str">
        <f t="shared" si="3595"/>
        <v>Winter Haven</v>
      </c>
    </row>
    <row r="3598" spans="1:5">
      <c r="A3598" s="3" t="s">
        <v>10265</v>
      </c>
      <c r="B3598" s="110" t="s">
        <v>1328</v>
      </c>
      <c r="C3598" s="111" t="s">
        <v>7646</v>
      </c>
      <c r="D3598" s="111" t="str">
        <f t="shared" ref="D3598:E3598" si="3596">TRIM(B3598)</f>
        <v>Florida</v>
      </c>
      <c r="E3598" s="111" t="str">
        <f t="shared" si="3596"/>
        <v>Winter Haven</v>
      </c>
    </row>
    <row r="3599" spans="1:5">
      <c r="A3599" s="3" t="s">
        <v>10268</v>
      </c>
      <c r="B3599" s="110" t="s">
        <v>1328</v>
      </c>
      <c r="C3599" s="111" t="s">
        <v>10040</v>
      </c>
      <c r="D3599" s="111" t="str">
        <f t="shared" ref="D3599:E3599" si="3597">TRIM(B3599)</f>
        <v>Florida</v>
      </c>
      <c r="E3599" s="111" t="str">
        <f t="shared" si="3597"/>
        <v>Winter Park</v>
      </c>
    </row>
    <row r="3600" spans="1:5">
      <c r="A3600" s="3" t="s">
        <v>10270</v>
      </c>
      <c r="B3600" s="110" t="s">
        <v>1328</v>
      </c>
      <c r="C3600" s="111" t="s">
        <v>10040</v>
      </c>
      <c r="D3600" s="111" t="str">
        <f t="shared" ref="D3600:E3600" si="3598">TRIM(B3600)</f>
        <v>Florida</v>
      </c>
      <c r="E3600" s="111" t="str">
        <f t="shared" si="3598"/>
        <v>Winter Park</v>
      </c>
    </row>
    <row r="3601" spans="1:5">
      <c r="A3601" s="3" t="s">
        <v>10274</v>
      </c>
      <c r="B3601" s="110" t="s">
        <v>1328</v>
      </c>
      <c r="C3601" s="111" t="s">
        <v>10275</v>
      </c>
      <c r="D3601" s="111" t="str">
        <f t="shared" ref="D3601:E3601" si="3599">TRIM(B3601)</f>
        <v>Florida</v>
      </c>
      <c r="E3601" s="111" t="str">
        <f t="shared" si="3599"/>
        <v>Winter Springs</v>
      </c>
    </row>
    <row r="3602" spans="1:5">
      <c r="A3602" s="3" t="s">
        <v>10276</v>
      </c>
      <c r="B3602" s="110" t="s">
        <v>1328</v>
      </c>
      <c r="C3602" s="111" t="s">
        <v>10278</v>
      </c>
      <c r="D3602" s="111" t="str">
        <f t="shared" ref="D3602:E3602" si="3600">TRIM(B3602)</f>
        <v>Florida</v>
      </c>
      <c r="E3602" s="111" t="str">
        <f t="shared" si="3600"/>
        <v>Yulee</v>
      </c>
    </row>
    <row r="3603" spans="1:5">
      <c r="A3603" s="3" t="s">
        <v>10281</v>
      </c>
      <c r="B3603" s="110" t="s">
        <v>1328</v>
      </c>
      <c r="C3603" s="111" t="s">
        <v>10282</v>
      </c>
      <c r="D3603" s="111" t="str">
        <f t="shared" ref="D3603:E3603" si="3601">TRIM(B3603)</f>
        <v>Florida</v>
      </c>
      <c r="E3603" s="111" t="str">
        <f t="shared" si="3601"/>
        <v>Zephyrhills</v>
      </c>
    </row>
    <row r="3604" spans="1:5">
      <c r="A3604" s="3" t="s">
        <v>10284</v>
      </c>
      <c r="B3604" s="110" t="s">
        <v>1329</v>
      </c>
      <c r="C3604" s="111" t="s">
        <v>10285</v>
      </c>
      <c r="D3604" s="111" t="str">
        <f t="shared" ref="D3604:E3604" si="3602">TRIM(B3604)</f>
        <v>Georgia</v>
      </c>
      <c r="E3604" s="111" t="str">
        <f t="shared" si="3602"/>
        <v>Acworth</v>
      </c>
    </row>
    <row r="3605" spans="1:5">
      <c r="A3605" s="3" t="s">
        <v>10287</v>
      </c>
      <c r="B3605" s="110" t="s">
        <v>1329</v>
      </c>
      <c r="C3605" s="111" t="s">
        <v>10288</v>
      </c>
      <c r="D3605" s="111" t="str">
        <f t="shared" ref="D3605:E3605" si="3603">TRIM(B3605)</f>
        <v>Georgia</v>
      </c>
      <c r="E3605" s="111" t="str">
        <f t="shared" si="3603"/>
        <v>Adairsville</v>
      </c>
    </row>
    <row r="3606" spans="1:5">
      <c r="A3606" s="3" t="s">
        <v>10290</v>
      </c>
      <c r="B3606" s="110" t="s">
        <v>1329</v>
      </c>
      <c r="C3606" s="112" t="s">
        <v>10291</v>
      </c>
      <c r="D3606" s="111" t="str">
        <f t="shared" ref="D3606:E3606" si="3604">TRIM(B3606)</f>
        <v>Georgia</v>
      </c>
      <c r="E3606" s="111" t="str">
        <f t="shared" si="3604"/>
        <v>Adel</v>
      </c>
    </row>
    <row r="3607" spans="1:5">
      <c r="A3607" s="3" t="s">
        <v>10293</v>
      </c>
      <c r="B3607" s="110" t="s">
        <v>1329</v>
      </c>
      <c r="C3607" s="111" t="s">
        <v>10294</v>
      </c>
      <c r="D3607" s="111" t="str">
        <f t="shared" ref="D3607:E3607" si="3605">TRIM(B3607)</f>
        <v>Georgia</v>
      </c>
      <c r="E3607" s="111" t="str">
        <f t="shared" si="3605"/>
        <v>Alamo</v>
      </c>
    </row>
    <row r="3608" spans="1:5">
      <c r="A3608" s="3" t="s">
        <v>10296</v>
      </c>
      <c r="B3608" s="110" t="s">
        <v>1329</v>
      </c>
      <c r="C3608" s="111" t="s">
        <v>182</v>
      </c>
      <c r="D3608" s="111" t="str">
        <f t="shared" ref="D3608:E3608" si="3606">TRIM(B3608)</f>
        <v>Georgia</v>
      </c>
      <c r="E3608" s="111" t="str">
        <f t="shared" si="3606"/>
        <v>Albany</v>
      </c>
    </row>
    <row r="3609" spans="1:5">
      <c r="A3609" s="3" t="s">
        <v>10298</v>
      </c>
      <c r="B3609" s="110" t="s">
        <v>1329</v>
      </c>
      <c r="C3609" s="111" t="s">
        <v>182</v>
      </c>
      <c r="D3609" s="111" t="str">
        <f t="shared" ref="D3609:E3609" si="3607">TRIM(B3609)</f>
        <v>Georgia</v>
      </c>
      <c r="E3609" s="111" t="str">
        <f t="shared" si="3607"/>
        <v>Albany</v>
      </c>
    </row>
    <row r="3610" spans="1:5">
      <c r="A3610" s="3" t="s">
        <v>10301</v>
      </c>
      <c r="B3610" s="110" t="s">
        <v>1329</v>
      </c>
      <c r="C3610" s="111" t="s">
        <v>182</v>
      </c>
      <c r="D3610" s="111" t="str">
        <f t="shared" ref="D3610:E3610" si="3608">TRIM(B3610)</f>
        <v>Georgia</v>
      </c>
      <c r="E3610" s="111" t="str">
        <f t="shared" si="3608"/>
        <v>Albany</v>
      </c>
    </row>
    <row r="3611" spans="1:5">
      <c r="A3611" s="3" t="s">
        <v>10303</v>
      </c>
      <c r="B3611" s="110" t="s">
        <v>1329</v>
      </c>
      <c r="C3611" s="111" t="s">
        <v>3551</v>
      </c>
      <c r="D3611" s="111" t="str">
        <f t="shared" ref="D3611:E3611" si="3609">TRIM(B3611)</f>
        <v>Georgia</v>
      </c>
      <c r="E3611" s="111" t="str">
        <f t="shared" si="3609"/>
        <v>Alma</v>
      </c>
    </row>
    <row r="3612" spans="1:5">
      <c r="A3612" s="3" t="s">
        <v>10307</v>
      </c>
      <c r="B3612" s="110" t="s">
        <v>1329</v>
      </c>
      <c r="C3612" s="111" t="s">
        <v>981</v>
      </c>
      <c r="D3612" s="111" t="str">
        <f t="shared" ref="D3612:E3612" si="3610">TRIM(B3612)</f>
        <v>Georgia</v>
      </c>
      <c r="E3612" s="111" t="str">
        <f t="shared" si="3610"/>
        <v>Alpharetta</v>
      </c>
    </row>
    <row r="3613" spans="1:5">
      <c r="A3613" s="3" t="s">
        <v>10312</v>
      </c>
      <c r="B3613" s="110" t="s">
        <v>1329</v>
      </c>
      <c r="C3613" s="111" t="s">
        <v>981</v>
      </c>
      <c r="D3613" s="111" t="str">
        <f t="shared" ref="D3613:E3613" si="3611">TRIM(B3613)</f>
        <v>Georgia</v>
      </c>
      <c r="E3613" s="111" t="str">
        <f t="shared" si="3611"/>
        <v>Alpharetta</v>
      </c>
    </row>
    <row r="3614" spans="1:5">
      <c r="A3614" s="3" t="s">
        <v>10315</v>
      </c>
      <c r="B3614" s="110" t="s">
        <v>1329</v>
      </c>
      <c r="C3614" s="111" t="s">
        <v>981</v>
      </c>
      <c r="D3614" s="111" t="str">
        <f t="shared" ref="D3614:E3614" si="3612">TRIM(B3614)</f>
        <v>Georgia</v>
      </c>
      <c r="E3614" s="111" t="str">
        <f t="shared" si="3612"/>
        <v>Alpharetta</v>
      </c>
    </row>
    <row r="3615" spans="1:5">
      <c r="A3615" s="3" t="s">
        <v>9727</v>
      </c>
      <c r="B3615" s="110" t="s">
        <v>1329</v>
      </c>
      <c r="C3615" s="111" t="s">
        <v>981</v>
      </c>
      <c r="D3615" s="111" t="str">
        <f t="shared" ref="D3615:E3615" si="3613">TRIM(B3615)</f>
        <v>Georgia</v>
      </c>
      <c r="E3615" s="111" t="str">
        <f t="shared" si="3613"/>
        <v>Alpharetta</v>
      </c>
    </row>
    <row r="3616" spans="1:5">
      <c r="A3616" s="3" t="s">
        <v>10320</v>
      </c>
      <c r="B3616" s="110" t="s">
        <v>1329</v>
      </c>
      <c r="C3616" s="111" t="s">
        <v>10321</v>
      </c>
      <c r="D3616" s="111" t="str">
        <f t="shared" ref="D3616:E3616" si="3614">TRIM(B3616)</f>
        <v>Georgia</v>
      </c>
      <c r="E3616" s="111" t="str">
        <f t="shared" si="3614"/>
        <v>Americus</v>
      </c>
    </row>
    <row r="3617" spans="1:5">
      <c r="A3617" s="3" t="s">
        <v>10323</v>
      </c>
      <c r="B3617" s="110" t="s">
        <v>1329</v>
      </c>
      <c r="C3617" s="111" t="s">
        <v>10324</v>
      </c>
      <c r="D3617" s="111" t="str">
        <f t="shared" ref="D3617:E3617" si="3615">TRIM(B3617)</f>
        <v>Georgia</v>
      </c>
      <c r="E3617" s="111" t="str">
        <f t="shared" si="3615"/>
        <v>Ashburn</v>
      </c>
    </row>
    <row r="3618" spans="1:5">
      <c r="A3618" s="3" t="s">
        <v>10328</v>
      </c>
      <c r="B3618" s="110" t="s">
        <v>1329</v>
      </c>
      <c r="C3618" s="111" t="s">
        <v>327</v>
      </c>
      <c r="D3618" s="111" t="str">
        <f t="shared" ref="D3618:E3618" si="3616">TRIM(B3618)</f>
        <v>Georgia</v>
      </c>
      <c r="E3618" s="111" t="str">
        <f t="shared" si="3616"/>
        <v>Athens</v>
      </c>
    </row>
    <row r="3619" spans="1:5">
      <c r="A3619" s="3" t="s">
        <v>10330</v>
      </c>
      <c r="B3619" s="110" t="s">
        <v>1329</v>
      </c>
      <c r="C3619" s="111" t="s">
        <v>327</v>
      </c>
      <c r="D3619" s="111" t="str">
        <f t="shared" ref="D3619:E3619" si="3617">TRIM(B3619)</f>
        <v>Georgia</v>
      </c>
      <c r="E3619" s="111" t="str">
        <f t="shared" si="3617"/>
        <v>Athens</v>
      </c>
    </row>
    <row r="3620" spans="1:5">
      <c r="A3620" s="3" t="s">
        <v>10332</v>
      </c>
      <c r="B3620" s="110" t="s">
        <v>1329</v>
      </c>
      <c r="C3620" s="111" t="s">
        <v>327</v>
      </c>
      <c r="D3620" s="111" t="str">
        <f t="shared" ref="D3620:E3620" si="3618">TRIM(B3620)</f>
        <v>Georgia</v>
      </c>
      <c r="E3620" s="111" t="str">
        <f t="shared" si="3618"/>
        <v>Athens</v>
      </c>
    </row>
    <row r="3621" spans="1:5">
      <c r="A3621" s="3" t="s">
        <v>10335</v>
      </c>
      <c r="B3621" s="110" t="s">
        <v>1329</v>
      </c>
      <c r="C3621" s="111" t="s">
        <v>149</v>
      </c>
      <c r="D3621" s="111" t="str">
        <f t="shared" ref="D3621:E3621" si="3619">TRIM(B3621)</f>
        <v>Georgia</v>
      </c>
      <c r="E3621" s="111" t="str">
        <f t="shared" si="3619"/>
        <v>Atlanta</v>
      </c>
    </row>
    <row r="3622" spans="1:5">
      <c r="A3622" s="3" t="s">
        <v>10338</v>
      </c>
      <c r="B3622" s="110" t="s">
        <v>1329</v>
      </c>
      <c r="C3622" s="111" t="s">
        <v>149</v>
      </c>
      <c r="D3622" s="111" t="str">
        <f t="shared" ref="D3622:E3622" si="3620">TRIM(B3622)</f>
        <v>Georgia</v>
      </c>
      <c r="E3622" s="111" t="str">
        <f t="shared" si="3620"/>
        <v>Atlanta</v>
      </c>
    </row>
    <row r="3623" spans="1:5">
      <c r="A3623" s="3" t="s">
        <v>10340</v>
      </c>
      <c r="B3623" s="110" t="s">
        <v>1329</v>
      </c>
      <c r="C3623" s="111" t="s">
        <v>149</v>
      </c>
      <c r="D3623" s="111" t="str">
        <f t="shared" ref="D3623:E3623" si="3621">TRIM(B3623)</f>
        <v>Georgia</v>
      </c>
      <c r="E3623" s="111" t="str">
        <f t="shared" si="3621"/>
        <v>Atlanta</v>
      </c>
    </row>
    <row r="3624" spans="1:5">
      <c r="A3624" s="110" t="s">
        <v>10341</v>
      </c>
      <c r="B3624" s="110" t="s">
        <v>1329</v>
      </c>
      <c r="C3624" s="111" t="s">
        <v>149</v>
      </c>
      <c r="D3624" s="111" t="str">
        <f t="shared" ref="D3624:E3624" si="3622">TRIM(B3624)</f>
        <v>Georgia</v>
      </c>
      <c r="E3624" s="111" t="str">
        <f t="shared" si="3622"/>
        <v>Atlanta</v>
      </c>
    </row>
    <row r="3625" spans="1:5">
      <c r="A3625" s="3" t="s">
        <v>10343</v>
      </c>
      <c r="B3625" s="110" t="s">
        <v>1329</v>
      </c>
      <c r="C3625" s="111" t="s">
        <v>149</v>
      </c>
      <c r="D3625" s="111" t="str">
        <f t="shared" ref="D3625:E3625" si="3623">TRIM(B3625)</f>
        <v>Georgia</v>
      </c>
      <c r="E3625" s="111" t="str">
        <f t="shared" si="3623"/>
        <v>Atlanta</v>
      </c>
    </row>
    <row r="3626" spans="1:5">
      <c r="A3626" s="3" t="s">
        <v>10346</v>
      </c>
      <c r="B3626" s="110" t="s">
        <v>1329</v>
      </c>
      <c r="C3626" s="111" t="s">
        <v>149</v>
      </c>
      <c r="D3626" s="111" t="str">
        <f t="shared" ref="D3626:E3626" si="3624">TRIM(B3626)</f>
        <v>Georgia</v>
      </c>
      <c r="E3626" s="111" t="str">
        <f t="shared" si="3624"/>
        <v>Atlanta</v>
      </c>
    </row>
    <row r="3627" spans="1:5">
      <c r="A3627" s="3" t="s">
        <v>10348</v>
      </c>
      <c r="B3627" s="110" t="s">
        <v>1329</v>
      </c>
      <c r="C3627" s="111" t="s">
        <v>149</v>
      </c>
      <c r="D3627" s="111" t="str">
        <f t="shared" ref="D3627:E3627" si="3625">TRIM(B3627)</f>
        <v>Georgia</v>
      </c>
      <c r="E3627" s="111" t="str">
        <f t="shared" si="3625"/>
        <v>Atlanta</v>
      </c>
    </row>
    <row r="3628" spans="1:5">
      <c r="A3628" s="3" t="s">
        <v>10350</v>
      </c>
      <c r="B3628" s="110" t="s">
        <v>1329</v>
      </c>
      <c r="C3628" s="111" t="s">
        <v>149</v>
      </c>
      <c r="D3628" s="111" t="str">
        <f t="shared" ref="D3628:E3628" si="3626">TRIM(B3628)</f>
        <v>Georgia</v>
      </c>
      <c r="E3628" s="111" t="str">
        <f t="shared" si="3626"/>
        <v>Atlanta</v>
      </c>
    </row>
    <row r="3629" spans="1:5">
      <c r="A3629" s="3" t="s">
        <v>10352</v>
      </c>
      <c r="B3629" s="110" t="s">
        <v>1329</v>
      </c>
      <c r="C3629" s="111" t="s">
        <v>149</v>
      </c>
      <c r="D3629" s="111" t="str">
        <f t="shared" ref="D3629:E3629" si="3627">TRIM(B3629)</f>
        <v>Georgia</v>
      </c>
      <c r="E3629" s="111" t="str">
        <f t="shared" si="3627"/>
        <v>Atlanta</v>
      </c>
    </row>
    <row r="3630" spans="1:5">
      <c r="A3630" s="3" t="s">
        <v>10354</v>
      </c>
      <c r="B3630" s="110" t="s">
        <v>1329</v>
      </c>
      <c r="C3630" s="111" t="s">
        <v>149</v>
      </c>
      <c r="D3630" s="111" t="str">
        <f t="shared" ref="D3630:E3630" si="3628">TRIM(B3630)</f>
        <v>Georgia</v>
      </c>
      <c r="E3630" s="111" t="str">
        <f t="shared" si="3628"/>
        <v>Atlanta</v>
      </c>
    </row>
    <row r="3631" spans="1:5">
      <c r="A3631" s="3" t="s">
        <v>10357</v>
      </c>
      <c r="B3631" s="110" t="s">
        <v>1329</v>
      </c>
      <c r="C3631" s="111" t="s">
        <v>149</v>
      </c>
      <c r="D3631" s="111" t="str">
        <f t="shared" ref="D3631:E3631" si="3629">TRIM(B3631)</f>
        <v>Georgia</v>
      </c>
      <c r="E3631" s="111" t="str">
        <f t="shared" si="3629"/>
        <v>Atlanta</v>
      </c>
    </row>
    <row r="3632" spans="1:5">
      <c r="A3632" s="3" t="s">
        <v>3886</v>
      </c>
      <c r="B3632" s="110" t="s">
        <v>1329</v>
      </c>
      <c r="C3632" s="111" t="s">
        <v>149</v>
      </c>
      <c r="D3632" s="111" t="str">
        <f t="shared" ref="D3632:E3632" si="3630">TRIM(B3632)</f>
        <v>Georgia</v>
      </c>
      <c r="E3632" s="111" t="str">
        <f t="shared" si="3630"/>
        <v>Atlanta</v>
      </c>
    </row>
    <row r="3633" spans="1:5">
      <c r="A3633" s="3" t="s">
        <v>10362</v>
      </c>
      <c r="B3633" s="110" t="s">
        <v>1329</v>
      </c>
      <c r="C3633" s="111" t="s">
        <v>149</v>
      </c>
      <c r="D3633" s="111" t="str">
        <f t="shared" ref="D3633:E3633" si="3631">TRIM(B3633)</f>
        <v>Georgia</v>
      </c>
      <c r="E3633" s="111" t="str">
        <f t="shared" si="3631"/>
        <v>Atlanta</v>
      </c>
    </row>
    <row r="3634" spans="1:5">
      <c r="A3634" s="3" t="s">
        <v>10364</v>
      </c>
      <c r="B3634" s="110" t="s">
        <v>1329</v>
      </c>
      <c r="C3634" s="111" t="s">
        <v>149</v>
      </c>
      <c r="D3634" s="111" t="str">
        <f t="shared" ref="D3634:E3634" si="3632">TRIM(B3634)</f>
        <v>Georgia</v>
      </c>
      <c r="E3634" s="111" t="str">
        <f t="shared" si="3632"/>
        <v>Atlanta</v>
      </c>
    </row>
    <row r="3635" spans="1:5">
      <c r="A3635" s="3" t="s">
        <v>10366</v>
      </c>
      <c r="B3635" s="110" t="s">
        <v>1329</v>
      </c>
      <c r="C3635" s="111" t="s">
        <v>149</v>
      </c>
      <c r="D3635" s="111" t="str">
        <f t="shared" ref="D3635:E3635" si="3633">TRIM(B3635)</f>
        <v>Georgia</v>
      </c>
      <c r="E3635" s="111" t="str">
        <f t="shared" si="3633"/>
        <v>Atlanta</v>
      </c>
    </row>
    <row r="3636" spans="1:5">
      <c r="A3636" s="3" t="s">
        <v>10369</v>
      </c>
      <c r="B3636" s="110" t="s">
        <v>1329</v>
      </c>
      <c r="C3636" s="111" t="s">
        <v>149</v>
      </c>
      <c r="D3636" s="111" t="str">
        <f t="shared" ref="D3636:E3636" si="3634">TRIM(B3636)</f>
        <v>Georgia</v>
      </c>
      <c r="E3636" s="111" t="str">
        <f t="shared" si="3634"/>
        <v>Atlanta</v>
      </c>
    </row>
    <row r="3637" spans="1:5">
      <c r="A3637" s="3" t="s">
        <v>10373</v>
      </c>
      <c r="B3637" s="110" t="s">
        <v>1329</v>
      </c>
      <c r="C3637" s="111" t="s">
        <v>149</v>
      </c>
      <c r="D3637" s="111" t="str">
        <f t="shared" ref="D3637:E3637" si="3635">TRIM(B3637)</f>
        <v>Georgia</v>
      </c>
      <c r="E3637" s="111" t="str">
        <f t="shared" si="3635"/>
        <v>Atlanta</v>
      </c>
    </row>
    <row r="3638" spans="1:5">
      <c r="A3638" s="110" t="s">
        <v>10376</v>
      </c>
      <c r="B3638" s="110" t="s">
        <v>1329</v>
      </c>
      <c r="C3638" s="111" t="s">
        <v>149</v>
      </c>
      <c r="D3638" s="111" t="str">
        <f t="shared" ref="D3638:E3638" si="3636">TRIM(B3638)</f>
        <v>Georgia</v>
      </c>
      <c r="E3638" s="111" t="str">
        <f t="shared" si="3636"/>
        <v>Atlanta</v>
      </c>
    </row>
    <row r="3639" spans="1:5">
      <c r="A3639" s="3" t="s">
        <v>10379</v>
      </c>
      <c r="B3639" s="110" t="s">
        <v>1329</v>
      </c>
      <c r="C3639" s="111" t="s">
        <v>149</v>
      </c>
      <c r="D3639" s="111" t="str">
        <f t="shared" ref="D3639:E3639" si="3637">TRIM(B3639)</f>
        <v>Georgia</v>
      </c>
      <c r="E3639" s="111" t="str">
        <f t="shared" si="3637"/>
        <v>Atlanta</v>
      </c>
    </row>
    <row r="3640" spans="1:5">
      <c r="A3640" s="3" t="s">
        <v>10381</v>
      </c>
      <c r="B3640" s="110" t="s">
        <v>1329</v>
      </c>
      <c r="C3640" s="111" t="s">
        <v>149</v>
      </c>
      <c r="D3640" s="111" t="str">
        <f t="shared" ref="D3640:E3640" si="3638">TRIM(B3640)</f>
        <v>Georgia</v>
      </c>
      <c r="E3640" s="111" t="str">
        <f t="shared" si="3638"/>
        <v>Atlanta</v>
      </c>
    </row>
    <row r="3641" spans="1:5">
      <c r="A3641" s="3" t="s">
        <v>7477</v>
      </c>
      <c r="B3641" s="110" t="s">
        <v>1329</v>
      </c>
      <c r="C3641" s="111" t="s">
        <v>149</v>
      </c>
      <c r="D3641" s="111" t="str">
        <f t="shared" ref="D3641:E3641" si="3639">TRIM(B3641)</f>
        <v>Georgia</v>
      </c>
      <c r="E3641" s="111" t="str">
        <f t="shared" si="3639"/>
        <v>Atlanta</v>
      </c>
    </row>
    <row r="3642" spans="1:5">
      <c r="A3642" s="3" t="s">
        <v>10384</v>
      </c>
      <c r="B3642" s="110" t="s">
        <v>1329</v>
      </c>
      <c r="C3642" s="111" t="s">
        <v>337</v>
      </c>
      <c r="D3642" s="111" t="str">
        <f t="shared" ref="D3642:E3642" si="3640">TRIM(B3642)</f>
        <v>Georgia</v>
      </c>
      <c r="E3642" s="111" t="str">
        <f t="shared" si="3640"/>
        <v>Augusta</v>
      </c>
    </row>
    <row r="3643" spans="1:5">
      <c r="A3643" s="110" t="s">
        <v>10388</v>
      </c>
      <c r="B3643" s="110" t="s">
        <v>1329</v>
      </c>
      <c r="C3643" s="112" t="s">
        <v>337</v>
      </c>
      <c r="D3643" s="111" t="str">
        <f t="shared" ref="D3643:E3643" si="3641">TRIM(B3643)</f>
        <v>Georgia</v>
      </c>
      <c r="E3643" s="111" t="str">
        <f t="shared" si="3641"/>
        <v>Augusta</v>
      </c>
    </row>
    <row r="3644" spans="1:5">
      <c r="A3644" s="3" t="s">
        <v>10389</v>
      </c>
      <c r="B3644" s="110" t="s">
        <v>1329</v>
      </c>
      <c r="C3644" s="111" t="s">
        <v>337</v>
      </c>
      <c r="D3644" s="111" t="str">
        <f t="shared" ref="D3644:E3644" si="3642">TRIM(B3644)</f>
        <v>Georgia</v>
      </c>
      <c r="E3644" s="111" t="str">
        <f t="shared" si="3642"/>
        <v>Augusta</v>
      </c>
    </row>
    <row r="3645" spans="1:5">
      <c r="A3645" s="3" t="s">
        <v>10391</v>
      </c>
      <c r="B3645" s="110" t="s">
        <v>1329</v>
      </c>
      <c r="C3645" s="111" t="s">
        <v>337</v>
      </c>
      <c r="D3645" s="111" t="str">
        <f t="shared" ref="D3645:E3645" si="3643">TRIM(B3645)</f>
        <v>Georgia</v>
      </c>
      <c r="E3645" s="111" t="str">
        <f t="shared" si="3643"/>
        <v>Augusta</v>
      </c>
    </row>
    <row r="3646" spans="1:5">
      <c r="A3646" s="110" t="s">
        <v>10394</v>
      </c>
      <c r="B3646" s="110" t="s">
        <v>1329</v>
      </c>
      <c r="C3646" s="111" t="s">
        <v>337</v>
      </c>
      <c r="D3646" s="111" t="str">
        <f t="shared" ref="D3646:E3646" si="3644">TRIM(B3646)</f>
        <v>Georgia</v>
      </c>
      <c r="E3646" s="111" t="str">
        <f t="shared" si="3644"/>
        <v>Augusta</v>
      </c>
    </row>
    <row r="3647" spans="1:5">
      <c r="A3647" s="3" t="s">
        <v>10397</v>
      </c>
      <c r="B3647" s="110" t="s">
        <v>1329</v>
      </c>
      <c r="C3647" s="111" t="s">
        <v>337</v>
      </c>
      <c r="D3647" s="111" t="str">
        <f t="shared" ref="D3647:E3647" si="3645">TRIM(B3647)</f>
        <v>Georgia</v>
      </c>
      <c r="E3647" s="111" t="str">
        <f t="shared" si="3645"/>
        <v>Augusta</v>
      </c>
    </row>
    <row r="3648" spans="1:5">
      <c r="A3648" s="110" t="s">
        <v>10399</v>
      </c>
      <c r="B3648" s="110" t="s">
        <v>1329</v>
      </c>
      <c r="C3648" s="111" t="s">
        <v>337</v>
      </c>
      <c r="D3648" s="111" t="str">
        <f t="shared" ref="D3648:E3648" si="3646">TRIM(B3648)</f>
        <v>Georgia</v>
      </c>
      <c r="E3648" s="111" t="str">
        <f t="shared" si="3646"/>
        <v>Augusta</v>
      </c>
    </row>
    <row r="3649" spans="1:5">
      <c r="A3649" s="3" t="s">
        <v>10401</v>
      </c>
      <c r="B3649" s="110" t="s">
        <v>1329</v>
      </c>
      <c r="C3649" s="111" t="s">
        <v>337</v>
      </c>
      <c r="D3649" s="111" t="str">
        <f t="shared" ref="D3649:E3649" si="3647">TRIM(B3649)</f>
        <v>Georgia</v>
      </c>
      <c r="E3649" s="111" t="str">
        <f t="shared" si="3647"/>
        <v>Augusta</v>
      </c>
    </row>
    <row r="3650" spans="1:5">
      <c r="A3650" s="3" t="s">
        <v>10405</v>
      </c>
      <c r="B3650" s="110" t="s">
        <v>1329</v>
      </c>
      <c r="C3650" s="111" t="s">
        <v>337</v>
      </c>
      <c r="D3650" s="111" t="str">
        <f t="shared" ref="D3650:E3650" si="3648">TRIM(B3650)</f>
        <v>Georgia</v>
      </c>
      <c r="E3650" s="111" t="str">
        <f t="shared" si="3648"/>
        <v>Augusta</v>
      </c>
    </row>
    <row r="3651" spans="1:5">
      <c r="A3651" s="110" t="s">
        <v>10407</v>
      </c>
      <c r="B3651" s="110" t="s">
        <v>1329</v>
      </c>
      <c r="C3651" s="111" t="s">
        <v>337</v>
      </c>
      <c r="D3651" s="111" t="str">
        <f t="shared" ref="D3651:E3651" si="3649">TRIM(B3651)</f>
        <v>Georgia</v>
      </c>
      <c r="E3651" s="111" t="str">
        <f t="shared" si="3649"/>
        <v>Augusta</v>
      </c>
    </row>
    <row r="3652" spans="1:5">
      <c r="A3652" s="110" t="s">
        <v>10409</v>
      </c>
      <c r="B3652" s="110" t="s">
        <v>1329</v>
      </c>
      <c r="C3652" s="111" t="s">
        <v>337</v>
      </c>
      <c r="D3652" s="111" t="str">
        <f t="shared" ref="D3652:E3652" si="3650">TRIM(B3652)</f>
        <v>Georgia</v>
      </c>
      <c r="E3652" s="111" t="str">
        <f t="shared" si="3650"/>
        <v>Augusta</v>
      </c>
    </row>
    <row r="3653" spans="1:5">
      <c r="A3653" s="3" t="s">
        <v>3698</v>
      </c>
      <c r="B3653" s="110" t="s">
        <v>1329</v>
      </c>
      <c r="C3653" s="111" t="s">
        <v>337</v>
      </c>
      <c r="D3653" s="111" t="str">
        <f t="shared" ref="D3653:E3653" si="3651">TRIM(B3653)</f>
        <v>Georgia</v>
      </c>
      <c r="E3653" s="111" t="str">
        <f t="shared" si="3651"/>
        <v>Augusta</v>
      </c>
    </row>
    <row r="3654" spans="1:5">
      <c r="A3654" s="3" t="s">
        <v>10412</v>
      </c>
      <c r="B3654" s="110" t="s">
        <v>1329</v>
      </c>
      <c r="C3654" s="111" t="s">
        <v>10414</v>
      </c>
      <c r="D3654" s="111" t="str">
        <f t="shared" ref="D3654:E3654" si="3652">TRIM(B3654)</f>
        <v>Georgia</v>
      </c>
      <c r="E3654" s="111" t="str">
        <f t="shared" si="3652"/>
        <v>Austell</v>
      </c>
    </row>
    <row r="3655" spans="1:5">
      <c r="A3655" s="110" t="s">
        <v>10416</v>
      </c>
      <c r="B3655" s="110" t="s">
        <v>1329</v>
      </c>
      <c r="C3655" s="113" t="s">
        <v>10417</v>
      </c>
      <c r="D3655" s="111" t="str">
        <f t="shared" ref="D3655:E3655" si="3653">TRIM(B3655)</f>
        <v>Georgia</v>
      </c>
      <c r="E3655" s="111" t="str">
        <f t="shared" si="3653"/>
        <v>Avondale Estates</v>
      </c>
    </row>
    <row r="3656" spans="1:5">
      <c r="A3656" s="3" t="s">
        <v>10419</v>
      </c>
      <c r="B3656" s="110" t="s">
        <v>1329</v>
      </c>
      <c r="C3656" s="111" t="s">
        <v>10420</v>
      </c>
      <c r="D3656" s="111" t="str">
        <f t="shared" ref="D3656:E3656" si="3654">TRIM(B3656)</f>
        <v>Georgia</v>
      </c>
      <c r="E3656" s="111" t="str">
        <f t="shared" si="3654"/>
        <v>Bainbridge</v>
      </c>
    </row>
    <row r="3657" spans="1:5">
      <c r="A3657" s="110" t="s">
        <v>10422</v>
      </c>
      <c r="B3657" s="110" t="s">
        <v>1329</v>
      </c>
      <c r="C3657" s="111" t="s">
        <v>10420</v>
      </c>
      <c r="D3657" s="111" t="str">
        <f t="shared" ref="D3657:E3657" si="3655">TRIM(B3657)</f>
        <v>Georgia</v>
      </c>
      <c r="E3657" s="111" t="str">
        <f t="shared" si="3655"/>
        <v>Bainbridge</v>
      </c>
    </row>
    <row r="3658" spans="1:5">
      <c r="A3658" s="3" t="s">
        <v>10424</v>
      </c>
      <c r="B3658" s="110" t="s">
        <v>1329</v>
      </c>
      <c r="C3658" s="111" t="s">
        <v>10425</v>
      </c>
      <c r="D3658" s="111" t="str">
        <f t="shared" ref="D3658:E3658" si="3656">TRIM(B3658)</f>
        <v>Georgia</v>
      </c>
      <c r="E3658" s="111" t="str">
        <f t="shared" si="3656"/>
        <v>Barnesville</v>
      </c>
    </row>
    <row r="3659" spans="1:5">
      <c r="A3659" s="3" t="s">
        <v>10427</v>
      </c>
      <c r="B3659" s="110" t="s">
        <v>1329</v>
      </c>
      <c r="C3659" s="111" t="s">
        <v>10428</v>
      </c>
      <c r="D3659" s="111" t="str">
        <f t="shared" ref="D3659:E3659" si="3657">TRIM(B3659)</f>
        <v>Georgia</v>
      </c>
      <c r="E3659" s="111" t="str">
        <f t="shared" si="3657"/>
        <v>Baxley</v>
      </c>
    </row>
    <row r="3660" spans="1:5">
      <c r="A3660" s="3" t="s">
        <v>10429</v>
      </c>
      <c r="B3660" s="110" t="s">
        <v>1329</v>
      </c>
      <c r="C3660" s="111" t="s">
        <v>10430</v>
      </c>
      <c r="D3660" s="111" t="str">
        <f t="shared" ref="D3660:E3660" si="3658">TRIM(B3660)</f>
        <v>Georgia</v>
      </c>
      <c r="E3660" s="111" t="str">
        <f t="shared" si="3658"/>
        <v>Blackshear</v>
      </c>
    </row>
    <row r="3661" spans="1:5">
      <c r="A3661" s="3" t="s">
        <v>9484</v>
      </c>
      <c r="B3661" s="110" t="s">
        <v>1329</v>
      </c>
      <c r="C3661" s="111" t="s">
        <v>10434</v>
      </c>
      <c r="D3661" s="111" t="str">
        <f t="shared" ref="D3661:E3661" si="3659">TRIM(B3661)</f>
        <v>Georgia</v>
      </c>
      <c r="E3661" s="111" t="str">
        <f t="shared" si="3659"/>
        <v>Blairsville</v>
      </c>
    </row>
    <row r="3662" spans="1:5">
      <c r="A3662" s="3" t="s">
        <v>10435</v>
      </c>
      <c r="B3662" s="110" t="s">
        <v>1329</v>
      </c>
      <c r="C3662" s="111" t="s">
        <v>10437</v>
      </c>
      <c r="D3662" s="111" t="str">
        <f t="shared" ref="D3662:E3662" si="3660">TRIM(B3662)</f>
        <v>Georgia</v>
      </c>
      <c r="E3662" s="111" t="str">
        <f t="shared" si="3660"/>
        <v>Blakely</v>
      </c>
    </row>
    <row r="3663" spans="1:5">
      <c r="A3663" s="3" t="s">
        <v>10439</v>
      </c>
      <c r="B3663" s="110" t="s">
        <v>1329</v>
      </c>
      <c r="C3663" s="111" t="s">
        <v>10440</v>
      </c>
      <c r="D3663" s="111" t="str">
        <f t="shared" ref="D3663:E3663" si="3661">TRIM(B3663)</f>
        <v>Georgia</v>
      </c>
      <c r="E3663" s="111" t="str">
        <f t="shared" si="3661"/>
        <v>Bloomingdale</v>
      </c>
    </row>
    <row r="3664" spans="1:5">
      <c r="A3664" s="3" t="s">
        <v>10443</v>
      </c>
      <c r="B3664" s="110" t="s">
        <v>1329</v>
      </c>
      <c r="C3664" s="111" t="s">
        <v>10444</v>
      </c>
      <c r="D3664" s="111" t="str">
        <f t="shared" ref="D3664:E3664" si="3662">TRIM(B3664)</f>
        <v>Georgia</v>
      </c>
      <c r="E3664" s="111" t="str">
        <f t="shared" si="3662"/>
        <v>Blue Ridge</v>
      </c>
    </row>
    <row r="3665" spans="1:5">
      <c r="A3665" s="3" t="s">
        <v>10446</v>
      </c>
      <c r="B3665" s="110" t="s">
        <v>1329</v>
      </c>
      <c r="C3665" s="111" t="s">
        <v>10447</v>
      </c>
      <c r="D3665" s="111" t="str">
        <f t="shared" ref="D3665:E3665" si="3663">TRIM(B3665)</f>
        <v>Georgia</v>
      </c>
      <c r="E3665" s="111" t="str">
        <f t="shared" si="3663"/>
        <v>Bogart</v>
      </c>
    </row>
    <row r="3666" spans="1:5">
      <c r="A3666" s="3" t="s">
        <v>10449</v>
      </c>
      <c r="B3666" s="110" t="s">
        <v>1329</v>
      </c>
      <c r="C3666" s="111" t="s">
        <v>10451</v>
      </c>
      <c r="D3666" s="111" t="str">
        <f t="shared" ref="D3666:E3666" si="3664">TRIM(B3666)</f>
        <v>Georgia</v>
      </c>
      <c r="E3666" s="111" t="str">
        <f t="shared" si="3664"/>
        <v>Bowdon</v>
      </c>
    </row>
    <row r="3667" spans="1:5">
      <c r="A3667" s="110" t="s">
        <v>10453</v>
      </c>
      <c r="B3667" s="110" t="s">
        <v>1329</v>
      </c>
      <c r="C3667" s="111" t="s">
        <v>10451</v>
      </c>
      <c r="D3667" s="111" t="str">
        <f t="shared" ref="D3667:E3667" si="3665">TRIM(B3667)</f>
        <v>Georgia</v>
      </c>
      <c r="E3667" s="111" t="str">
        <f t="shared" si="3665"/>
        <v>Bowdon</v>
      </c>
    </row>
    <row r="3668" spans="1:5">
      <c r="A3668" s="3" t="s">
        <v>10456</v>
      </c>
      <c r="B3668" s="110" t="s">
        <v>1329</v>
      </c>
      <c r="C3668" s="111" t="s">
        <v>1585</v>
      </c>
      <c r="D3668" s="111" t="str">
        <f t="shared" ref="D3668:E3668" si="3666">TRIM(B3668)</f>
        <v>Georgia</v>
      </c>
      <c r="E3668" s="111" t="str">
        <f t="shared" si="3666"/>
        <v>Bremen</v>
      </c>
    </row>
    <row r="3669" spans="1:5">
      <c r="A3669" s="3" t="s">
        <v>10458</v>
      </c>
      <c r="B3669" s="110" t="s">
        <v>1329</v>
      </c>
      <c r="C3669" s="111" t="s">
        <v>10460</v>
      </c>
      <c r="D3669" s="111" t="str">
        <f t="shared" ref="D3669:E3669" si="3667">TRIM(B3669)</f>
        <v>Georgia</v>
      </c>
      <c r="E3669" s="111" t="str">
        <f t="shared" si="3667"/>
        <v>Brookhaven</v>
      </c>
    </row>
    <row r="3670" spans="1:5">
      <c r="A3670" s="3" t="s">
        <v>10462</v>
      </c>
      <c r="B3670" s="110" t="s">
        <v>1329</v>
      </c>
      <c r="C3670" s="111" t="s">
        <v>10463</v>
      </c>
      <c r="D3670" s="111" t="str">
        <f t="shared" ref="D3670:E3670" si="3668">TRIM(B3670)</f>
        <v>Georgia</v>
      </c>
      <c r="E3670" s="111" t="str">
        <f t="shared" si="3668"/>
        <v>Brooklet</v>
      </c>
    </row>
    <row r="3671" spans="1:5">
      <c r="A3671" s="3" t="s">
        <v>10466</v>
      </c>
      <c r="B3671" s="110" t="s">
        <v>1329</v>
      </c>
      <c r="C3671" s="111" t="s">
        <v>10467</v>
      </c>
      <c r="D3671" s="111" t="str">
        <f t="shared" ref="D3671:E3671" si="3669">TRIM(B3671)</f>
        <v>Georgia</v>
      </c>
      <c r="E3671" s="111" t="str">
        <f t="shared" si="3669"/>
        <v>Brunswick</v>
      </c>
    </row>
    <row r="3672" spans="1:5">
      <c r="A3672" s="3" t="s">
        <v>10470</v>
      </c>
      <c r="B3672" s="110" t="s">
        <v>1329</v>
      </c>
      <c r="C3672" s="111" t="s">
        <v>10467</v>
      </c>
      <c r="D3672" s="111" t="str">
        <f t="shared" ref="D3672:E3672" si="3670">TRIM(B3672)</f>
        <v>Georgia</v>
      </c>
      <c r="E3672" s="111" t="str">
        <f t="shared" si="3670"/>
        <v>Brunswick</v>
      </c>
    </row>
    <row r="3673" spans="1:5">
      <c r="A3673" s="110" t="s">
        <v>10472</v>
      </c>
      <c r="B3673" s="110" t="s">
        <v>1329</v>
      </c>
      <c r="C3673" s="111" t="s">
        <v>10467</v>
      </c>
      <c r="D3673" s="111" t="str">
        <f t="shared" ref="D3673:E3673" si="3671">TRIM(B3673)</f>
        <v>Georgia</v>
      </c>
      <c r="E3673" s="111" t="str">
        <f t="shared" si="3671"/>
        <v>Brunswick</v>
      </c>
    </row>
    <row r="3674" spans="1:5">
      <c r="A3674" s="3" t="s">
        <v>10476</v>
      </c>
      <c r="B3674" s="110" t="s">
        <v>1329</v>
      </c>
      <c r="C3674" s="111" t="s">
        <v>7663</v>
      </c>
      <c r="D3674" s="111" t="str">
        <f t="shared" ref="D3674:E3674" si="3672">TRIM(B3674)</f>
        <v>Georgia</v>
      </c>
      <c r="E3674" s="111" t="str">
        <f t="shared" si="3672"/>
        <v>Buena Vista</v>
      </c>
    </row>
    <row r="3675" spans="1:5">
      <c r="A3675" s="3" t="s">
        <v>10478</v>
      </c>
      <c r="B3675" s="110" t="s">
        <v>1329</v>
      </c>
      <c r="C3675" s="112" t="s">
        <v>5337</v>
      </c>
      <c r="D3675" s="111" t="str">
        <f t="shared" ref="D3675:E3675" si="3673">TRIM(B3675)</f>
        <v>Georgia</v>
      </c>
      <c r="E3675" s="111" t="str">
        <f t="shared" si="3673"/>
        <v>Buford</v>
      </c>
    </row>
    <row r="3676" spans="1:5">
      <c r="A3676" s="3" t="s">
        <v>9955</v>
      </c>
      <c r="B3676" s="110" t="s">
        <v>1329</v>
      </c>
      <c r="C3676" s="111" t="s">
        <v>1600</v>
      </c>
      <c r="D3676" s="111" t="str">
        <f t="shared" ref="D3676:E3676" si="3674">TRIM(B3676)</f>
        <v>Georgia</v>
      </c>
      <c r="E3676" s="111" t="str">
        <f t="shared" si="3674"/>
        <v>Butler</v>
      </c>
    </row>
    <row r="3677" spans="1:5">
      <c r="A3677" s="3" t="s">
        <v>10483</v>
      </c>
      <c r="B3677" s="110" t="s">
        <v>1329</v>
      </c>
      <c r="C3677" s="111" t="s">
        <v>10484</v>
      </c>
      <c r="D3677" s="111" t="str">
        <f t="shared" ref="D3677:E3677" si="3675">TRIM(B3677)</f>
        <v>Georgia</v>
      </c>
      <c r="E3677" s="111" t="str">
        <f t="shared" si="3675"/>
        <v>Cairo</v>
      </c>
    </row>
    <row r="3678" spans="1:5">
      <c r="A3678" s="3" t="s">
        <v>1922</v>
      </c>
      <c r="B3678" s="110" t="s">
        <v>1329</v>
      </c>
      <c r="C3678" s="111" t="s">
        <v>10327</v>
      </c>
      <c r="D3678" s="111" t="str">
        <f t="shared" ref="D3678:E3678" si="3676">TRIM(B3678)</f>
        <v>Georgia</v>
      </c>
      <c r="E3678" s="111" t="str">
        <f t="shared" si="3676"/>
        <v>Calhoun</v>
      </c>
    </row>
    <row r="3679" spans="1:5">
      <c r="A3679" s="3" t="s">
        <v>10487</v>
      </c>
      <c r="B3679" s="110" t="s">
        <v>1329</v>
      </c>
      <c r="C3679" s="111" t="s">
        <v>10327</v>
      </c>
      <c r="D3679" s="111" t="str">
        <f t="shared" ref="D3679:E3679" si="3677">TRIM(B3679)</f>
        <v>Georgia</v>
      </c>
      <c r="E3679" s="111" t="str">
        <f t="shared" si="3677"/>
        <v>Calhoun</v>
      </c>
    </row>
    <row r="3680" spans="1:5">
      <c r="A3680" s="3" t="s">
        <v>10489</v>
      </c>
      <c r="B3680" s="110" t="s">
        <v>1329</v>
      </c>
      <c r="C3680" s="111" t="s">
        <v>10327</v>
      </c>
      <c r="D3680" s="111" t="str">
        <f t="shared" ref="D3680:E3680" si="3678">TRIM(B3680)</f>
        <v>Georgia</v>
      </c>
      <c r="E3680" s="111" t="str">
        <f t="shared" si="3678"/>
        <v>Calhoun</v>
      </c>
    </row>
    <row r="3681" spans="1:5">
      <c r="A3681" s="3" t="s">
        <v>10491</v>
      </c>
      <c r="B3681" s="110" t="s">
        <v>1329</v>
      </c>
      <c r="C3681" s="111" t="s">
        <v>10442</v>
      </c>
      <c r="D3681" s="111" t="str">
        <f t="shared" ref="D3681:E3681" si="3679">TRIM(B3681)</f>
        <v>Georgia</v>
      </c>
      <c r="E3681" s="111" t="str">
        <f t="shared" si="3679"/>
        <v>Camilla</v>
      </c>
    </row>
    <row r="3682" spans="1:5">
      <c r="A3682" s="3" t="s">
        <v>1625</v>
      </c>
      <c r="B3682" s="110" t="s">
        <v>1329</v>
      </c>
      <c r="C3682" s="111" t="s">
        <v>1205</v>
      </c>
      <c r="D3682" s="111" t="str">
        <f t="shared" ref="D3682:E3682" si="3680">TRIM(B3682)</f>
        <v>Georgia</v>
      </c>
      <c r="E3682" s="111" t="str">
        <f t="shared" si="3680"/>
        <v>Canton</v>
      </c>
    </row>
    <row r="3683" spans="1:5">
      <c r="A3683" s="3" t="s">
        <v>10495</v>
      </c>
      <c r="B3683" s="110" t="s">
        <v>1329</v>
      </c>
      <c r="C3683" s="111" t="s">
        <v>1205</v>
      </c>
      <c r="D3683" s="111" t="str">
        <f t="shared" ref="D3683:E3683" si="3681">TRIM(B3683)</f>
        <v>Georgia</v>
      </c>
      <c r="E3683" s="111" t="str">
        <f t="shared" si="3681"/>
        <v>Canton</v>
      </c>
    </row>
    <row r="3684" spans="1:5">
      <c r="A3684" s="3" t="s">
        <v>10498</v>
      </c>
      <c r="B3684" s="110" t="s">
        <v>1329</v>
      </c>
      <c r="C3684" s="111" t="s">
        <v>1205</v>
      </c>
      <c r="D3684" s="111" t="str">
        <f t="shared" ref="D3684:E3684" si="3682">TRIM(B3684)</f>
        <v>Georgia</v>
      </c>
      <c r="E3684" s="111" t="str">
        <f t="shared" si="3682"/>
        <v>Canton</v>
      </c>
    </row>
    <row r="3685" spans="1:5">
      <c r="A3685" s="3" t="s">
        <v>10501</v>
      </c>
      <c r="B3685" s="110" t="s">
        <v>1329</v>
      </c>
      <c r="C3685" s="111" t="s">
        <v>10502</v>
      </c>
      <c r="D3685" s="111" t="str">
        <f t="shared" ref="D3685:E3685" si="3683">TRIM(B3685)</f>
        <v>Georgia</v>
      </c>
      <c r="E3685" s="111" t="str">
        <f t="shared" si="3683"/>
        <v>Carnesville</v>
      </c>
    </row>
    <row r="3686" spans="1:5">
      <c r="A3686" s="3" t="s">
        <v>10505</v>
      </c>
      <c r="B3686" s="110" t="s">
        <v>1329</v>
      </c>
      <c r="C3686" s="111" t="s">
        <v>5618</v>
      </c>
      <c r="D3686" s="111" t="str">
        <f t="shared" ref="D3686:E3686" si="3684">TRIM(B3686)</f>
        <v>Georgia</v>
      </c>
      <c r="E3686" s="111" t="str">
        <f t="shared" si="3684"/>
        <v>Carrollton</v>
      </c>
    </row>
    <row r="3687" spans="1:5">
      <c r="A3687" s="3" t="s">
        <v>1843</v>
      </c>
      <c r="B3687" s="110" t="s">
        <v>1329</v>
      </c>
      <c r="C3687" s="111" t="s">
        <v>5618</v>
      </c>
      <c r="D3687" s="111" t="str">
        <f t="shared" ref="D3687:E3687" si="3685">TRIM(B3687)</f>
        <v>Georgia</v>
      </c>
      <c r="E3687" s="111" t="str">
        <f t="shared" si="3685"/>
        <v>Carrollton</v>
      </c>
    </row>
    <row r="3688" spans="1:5">
      <c r="A3688" s="3" t="s">
        <v>10511</v>
      </c>
      <c r="B3688" s="110" t="s">
        <v>1329</v>
      </c>
      <c r="C3688" s="111" t="s">
        <v>5618</v>
      </c>
      <c r="D3688" s="111" t="str">
        <f t="shared" ref="D3688:E3688" si="3686">TRIM(B3688)</f>
        <v>Georgia</v>
      </c>
      <c r="E3688" s="111" t="str">
        <f t="shared" si="3686"/>
        <v>Carrollton</v>
      </c>
    </row>
    <row r="3689" spans="1:5">
      <c r="A3689" s="3" t="s">
        <v>10514</v>
      </c>
      <c r="B3689" s="110" t="s">
        <v>1329</v>
      </c>
      <c r="C3689" s="111" t="s">
        <v>10515</v>
      </c>
      <c r="D3689" s="111" t="str">
        <f t="shared" ref="D3689:E3689" si="3687">TRIM(B3689)</f>
        <v>Georgia</v>
      </c>
      <c r="E3689" s="111" t="str">
        <f t="shared" si="3687"/>
        <v>Cartersville</v>
      </c>
    </row>
    <row r="3690" spans="1:5">
      <c r="A3690" s="3" t="s">
        <v>2285</v>
      </c>
      <c r="B3690" s="110" t="s">
        <v>1329</v>
      </c>
      <c r="C3690" s="111" t="s">
        <v>10515</v>
      </c>
      <c r="D3690" s="111" t="str">
        <f t="shared" ref="D3690:E3690" si="3688">TRIM(B3690)</f>
        <v>Georgia</v>
      </c>
      <c r="E3690" s="111" t="str">
        <f t="shared" si="3688"/>
        <v>Cartersville</v>
      </c>
    </row>
    <row r="3691" spans="1:5">
      <c r="A3691" s="3" t="s">
        <v>10518</v>
      </c>
      <c r="B3691" s="110" t="s">
        <v>1329</v>
      </c>
      <c r="C3691" s="111" t="s">
        <v>10519</v>
      </c>
      <c r="D3691" s="111" t="str">
        <f t="shared" ref="D3691:E3691" si="3689">TRIM(B3691)</f>
        <v>Georgia</v>
      </c>
      <c r="E3691" s="111" t="str">
        <f t="shared" si="3689"/>
        <v>Cedartown</v>
      </c>
    </row>
    <row r="3692" spans="1:5">
      <c r="A3692" s="3" t="s">
        <v>10521</v>
      </c>
      <c r="B3692" s="110" t="s">
        <v>1329</v>
      </c>
      <c r="C3692" s="111" t="s">
        <v>10519</v>
      </c>
      <c r="D3692" s="111" t="str">
        <f t="shared" ref="D3692:E3692" si="3690">TRIM(B3692)</f>
        <v>Georgia</v>
      </c>
      <c r="E3692" s="111" t="str">
        <f t="shared" si="3690"/>
        <v>Cedartown</v>
      </c>
    </row>
    <row r="3693" spans="1:5">
      <c r="A3693" s="3" t="s">
        <v>10524</v>
      </c>
      <c r="B3693" s="110" t="s">
        <v>1329</v>
      </c>
      <c r="C3693" s="111" t="s">
        <v>10525</v>
      </c>
      <c r="D3693" s="111" t="str">
        <f t="shared" ref="D3693:E3693" si="3691">TRIM(B3693)</f>
        <v>Georgia</v>
      </c>
      <c r="E3693" s="111" t="str">
        <f t="shared" si="3691"/>
        <v>Chamblee</v>
      </c>
    </row>
    <row r="3694" spans="1:5">
      <c r="A3694" s="3" t="s">
        <v>10527</v>
      </c>
      <c r="B3694" s="110" t="s">
        <v>1329</v>
      </c>
      <c r="C3694" s="111" t="s">
        <v>589</v>
      </c>
      <c r="D3694" s="111" t="str">
        <f t="shared" ref="D3694:E3694" si="3692">TRIM(B3694)</f>
        <v>Georgia</v>
      </c>
      <c r="E3694" s="111" t="str">
        <f t="shared" si="3692"/>
        <v>Chatsworth</v>
      </c>
    </row>
    <row r="3695" spans="1:5">
      <c r="A3695" s="3" t="s">
        <v>10529</v>
      </c>
      <c r="B3695" s="110" t="s">
        <v>1329</v>
      </c>
      <c r="C3695" s="111" t="s">
        <v>589</v>
      </c>
      <c r="D3695" s="111" t="str">
        <f t="shared" ref="D3695:E3695" si="3693">TRIM(B3695)</f>
        <v>Georgia</v>
      </c>
      <c r="E3695" s="111" t="str">
        <f t="shared" si="3693"/>
        <v>Chatsworth</v>
      </c>
    </row>
    <row r="3696" spans="1:5">
      <c r="A3696" s="3" t="s">
        <v>10532</v>
      </c>
      <c r="B3696" s="110" t="s">
        <v>1329</v>
      </c>
      <c r="C3696" s="111" t="s">
        <v>10533</v>
      </c>
      <c r="D3696" s="111" t="str">
        <f t="shared" ref="D3696:E3696" si="3694">TRIM(B3696)</f>
        <v>Georgia</v>
      </c>
      <c r="E3696" s="111" t="str">
        <f t="shared" si="3694"/>
        <v>Chickamauga</v>
      </c>
    </row>
    <row r="3697" spans="1:5">
      <c r="A3697" s="3" t="s">
        <v>10536</v>
      </c>
      <c r="B3697" s="110" t="s">
        <v>1329</v>
      </c>
      <c r="C3697" s="111" t="s">
        <v>1285</v>
      </c>
      <c r="D3697" s="111" t="str">
        <f t="shared" ref="D3697:E3697" si="3695">TRIM(B3697)</f>
        <v>Georgia</v>
      </c>
      <c r="E3697" s="111" t="str">
        <f t="shared" si="3695"/>
        <v>Clarkston</v>
      </c>
    </row>
    <row r="3698" spans="1:5">
      <c r="A3698" s="3" t="s">
        <v>10538</v>
      </c>
      <c r="B3698" s="110" t="s">
        <v>1329</v>
      </c>
      <c r="C3698" s="111" t="s">
        <v>10539</v>
      </c>
      <c r="D3698" s="111" t="str">
        <f t="shared" ref="D3698:E3698" si="3696">TRIM(B3698)</f>
        <v>Georgia</v>
      </c>
      <c r="E3698" s="111" t="str">
        <f t="shared" si="3696"/>
        <v>Claxton</v>
      </c>
    </row>
    <row r="3699" spans="1:5">
      <c r="A3699" s="110" t="s">
        <v>10541</v>
      </c>
      <c r="B3699" s="110" t="s">
        <v>1329</v>
      </c>
      <c r="C3699" s="111" t="s">
        <v>10539</v>
      </c>
      <c r="D3699" s="111" t="str">
        <f t="shared" ref="D3699:E3699" si="3697">TRIM(B3699)</f>
        <v>Georgia</v>
      </c>
      <c r="E3699" s="111" t="str">
        <f t="shared" si="3697"/>
        <v>Claxton</v>
      </c>
    </row>
    <row r="3700" spans="1:5">
      <c r="A3700" s="3" t="s">
        <v>10543</v>
      </c>
      <c r="B3700" s="110" t="s">
        <v>1329</v>
      </c>
      <c r="C3700" s="111" t="s">
        <v>127</v>
      </c>
      <c r="D3700" s="111" t="str">
        <f t="shared" ref="D3700:E3700" si="3698">TRIM(B3700)</f>
        <v>Georgia</v>
      </c>
      <c r="E3700" s="111" t="str">
        <f t="shared" si="3698"/>
        <v>Cleveland</v>
      </c>
    </row>
    <row r="3701" spans="1:5">
      <c r="A3701" s="3" t="s">
        <v>10547</v>
      </c>
      <c r="B3701" s="110" t="s">
        <v>1329</v>
      </c>
      <c r="C3701" s="111" t="s">
        <v>127</v>
      </c>
      <c r="D3701" s="111" t="str">
        <f t="shared" ref="D3701:E3701" si="3699">TRIM(B3701)</f>
        <v>Georgia</v>
      </c>
      <c r="E3701" s="111" t="str">
        <f t="shared" si="3699"/>
        <v>Cleveland</v>
      </c>
    </row>
    <row r="3702" spans="1:5">
      <c r="A3702" s="3" t="s">
        <v>10548</v>
      </c>
      <c r="B3702" s="110" t="s">
        <v>1329</v>
      </c>
      <c r="C3702" s="111" t="s">
        <v>442</v>
      </c>
      <c r="D3702" s="111" t="str">
        <f t="shared" ref="D3702:E3702" si="3700">TRIM(B3702)</f>
        <v>Georgia</v>
      </c>
      <c r="E3702" s="111" t="str">
        <f t="shared" si="3700"/>
        <v>Cochran</v>
      </c>
    </row>
    <row r="3703" spans="1:5">
      <c r="A3703" s="3" t="s">
        <v>10550</v>
      </c>
      <c r="B3703" s="110" t="s">
        <v>1329</v>
      </c>
      <c r="C3703" s="111" t="s">
        <v>442</v>
      </c>
      <c r="D3703" s="111" t="str">
        <f t="shared" ref="D3703:E3703" si="3701">TRIM(B3703)</f>
        <v>Georgia</v>
      </c>
      <c r="E3703" s="111" t="str">
        <f t="shared" si="3701"/>
        <v>Cochran</v>
      </c>
    </row>
    <row r="3704" spans="1:5">
      <c r="A3704" s="3" t="s">
        <v>10553</v>
      </c>
      <c r="B3704" s="110" t="s">
        <v>1329</v>
      </c>
      <c r="C3704" s="111" t="s">
        <v>857</v>
      </c>
      <c r="D3704" s="111" t="str">
        <f t="shared" ref="D3704:E3704" si="3702">TRIM(B3704)</f>
        <v>Georgia</v>
      </c>
      <c r="E3704" s="111" t="str">
        <f t="shared" si="3702"/>
        <v>College Park</v>
      </c>
    </row>
    <row r="3705" spans="1:5">
      <c r="A3705" s="3" t="s">
        <v>10556</v>
      </c>
      <c r="B3705" s="110" t="s">
        <v>1329</v>
      </c>
      <c r="C3705" s="111" t="s">
        <v>857</v>
      </c>
      <c r="D3705" s="111" t="str">
        <f t="shared" ref="D3705:E3705" si="3703">TRIM(B3705)</f>
        <v>Georgia</v>
      </c>
      <c r="E3705" s="111" t="str">
        <f t="shared" si="3703"/>
        <v>College Park</v>
      </c>
    </row>
    <row r="3706" spans="1:5">
      <c r="A3706" s="3" t="s">
        <v>3467</v>
      </c>
      <c r="B3706" s="110" t="s">
        <v>1329</v>
      </c>
      <c r="C3706" s="111" t="s">
        <v>857</v>
      </c>
      <c r="D3706" s="111" t="str">
        <f t="shared" ref="D3706:E3706" si="3704">TRIM(B3706)</f>
        <v>Georgia</v>
      </c>
      <c r="E3706" s="111" t="str">
        <f t="shared" si="3704"/>
        <v>College Park</v>
      </c>
    </row>
    <row r="3707" spans="1:5">
      <c r="A3707" s="3" t="s">
        <v>10559</v>
      </c>
      <c r="B3707" s="110" t="s">
        <v>1329</v>
      </c>
      <c r="C3707" s="111" t="s">
        <v>10560</v>
      </c>
      <c r="D3707" s="111" t="str">
        <f t="shared" ref="D3707:E3707" si="3705">TRIM(B3707)</f>
        <v>Georgia</v>
      </c>
      <c r="E3707" s="111" t="str">
        <f t="shared" si="3705"/>
        <v>Colquitt</v>
      </c>
    </row>
    <row r="3708" spans="1:5">
      <c r="A3708" s="3" t="s">
        <v>10340</v>
      </c>
      <c r="B3708" s="110" t="s">
        <v>1329</v>
      </c>
      <c r="C3708" s="111" t="s">
        <v>138</v>
      </c>
      <c r="D3708" s="111" t="str">
        <f t="shared" ref="D3708:E3708" si="3706">TRIM(B3708)</f>
        <v>Georgia</v>
      </c>
      <c r="E3708" s="111" t="str">
        <f t="shared" si="3706"/>
        <v>Columbus</v>
      </c>
    </row>
    <row r="3709" spans="1:5">
      <c r="A3709" s="3" t="s">
        <v>10563</v>
      </c>
      <c r="B3709" s="110" t="s">
        <v>1329</v>
      </c>
      <c r="C3709" s="111" t="s">
        <v>138</v>
      </c>
      <c r="D3709" s="111" t="str">
        <f t="shared" ref="D3709:E3709" si="3707">TRIM(B3709)</f>
        <v>Georgia</v>
      </c>
      <c r="E3709" s="111" t="str">
        <f t="shared" si="3707"/>
        <v>Columbus</v>
      </c>
    </row>
    <row r="3710" spans="1:5">
      <c r="A3710" s="3" t="s">
        <v>10565</v>
      </c>
      <c r="B3710" s="110" t="s">
        <v>1329</v>
      </c>
      <c r="C3710" s="111" t="s">
        <v>138</v>
      </c>
      <c r="D3710" s="111" t="str">
        <f t="shared" ref="D3710:E3710" si="3708">TRIM(B3710)</f>
        <v>Georgia</v>
      </c>
      <c r="E3710" s="111" t="str">
        <f t="shared" si="3708"/>
        <v>Columbus</v>
      </c>
    </row>
    <row r="3711" spans="1:5">
      <c r="A3711" s="3" t="s">
        <v>10567</v>
      </c>
      <c r="B3711" s="110" t="s">
        <v>1329</v>
      </c>
      <c r="C3711" s="111" t="s">
        <v>138</v>
      </c>
      <c r="D3711" s="111" t="str">
        <f t="shared" ref="D3711:E3711" si="3709">TRIM(B3711)</f>
        <v>Georgia</v>
      </c>
      <c r="E3711" s="111" t="str">
        <f t="shared" si="3709"/>
        <v>Columbus</v>
      </c>
    </row>
    <row r="3712" spans="1:5">
      <c r="A3712" s="3" t="s">
        <v>10570</v>
      </c>
      <c r="B3712" s="110" t="s">
        <v>1329</v>
      </c>
      <c r="C3712" s="111" t="s">
        <v>138</v>
      </c>
      <c r="D3712" s="111" t="str">
        <f t="shared" ref="D3712:E3712" si="3710">TRIM(B3712)</f>
        <v>Georgia</v>
      </c>
      <c r="E3712" s="111" t="str">
        <f t="shared" si="3710"/>
        <v>Columbus</v>
      </c>
    </row>
    <row r="3713" spans="1:5">
      <c r="A3713" s="3" t="s">
        <v>10572</v>
      </c>
      <c r="B3713" s="110" t="s">
        <v>1329</v>
      </c>
      <c r="C3713" s="111" t="s">
        <v>138</v>
      </c>
      <c r="D3713" s="111" t="str">
        <f t="shared" ref="D3713:E3713" si="3711">TRIM(B3713)</f>
        <v>Georgia</v>
      </c>
      <c r="E3713" s="111" t="str">
        <f t="shared" si="3711"/>
        <v>Columbus</v>
      </c>
    </row>
    <row r="3714" spans="1:5">
      <c r="A3714" s="3" t="s">
        <v>2026</v>
      </c>
      <c r="B3714" s="110" t="s">
        <v>1329</v>
      </c>
      <c r="C3714" s="111" t="s">
        <v>138</v>
      </c>
      <c r="D3714" s="111" t="str">
        <f t="shared" ref="D3714:E3714" si="3712">TRIM(B3714)</f>
        <v>Georgia</v>
      </c>
      <c r="E3714" s="111" t="str">
        <f t="shared" si="3712"/>
        <v>Columbus</v>
      </c>
    </row>
    <row r="3715" spans="1:5">
      <c r="A3715" s="3" t="s">
        <v>10575</v>
      </c>
      <c r="B3715" s="110" t="s">
        <v>1329</v>
      </c>
      <c r="C3715" s="111" t="s">
        <v>138</v>
      </c>
      <c r="D3715" s="111" t="str">
        <f t="shared" ref="D3715:E3715" si="3713">TRIM(B3715)</f>
        <v>Georgia</v>
      </c>
      <c r="E3715" s="111" t="str">
        <f t="shared" si="3713"/>
        <v>Columbus</v>
      </c>
    </row>
    <row r="3716" spans="1:5">
      <c r="A3716" s="3" t="s">
        <v>10577</v>
      </c>
      <c r="B3716" s="110" t="s">
        <v>1329</v>
      </c>
      <c r="C3716" s="111" t="s">
        <v>138</v>
      </c>
      <c r="D3716" s="111" t="str">
        <f t="shared" ref="D3716:E3716" si="3714">TRIM(B3716)</f>
        <v>Georgia</v>
      </c>
      <c r="E3716" s="111" t="str">
        <f t="shared" si="3714"/>
        <v>Columbus</v>
      </c>
    </row>
    <row r="3717" spans="1:5">
      <c r="A3717" s="3" t="s">
        <v>10580</v>
      </c>
      <c r="B3717" s="110" t="s">
        <v>1329</v>
      </c>
      <c r="C3717" s="111" t="s">
        <v>10582</v>
      </c>
      <c r="D3717" s="111" t="str">
        <f t="shared" ref="D3717:E3717" si="3715">TRIM(B3717)</f>
        <v>Georgia</v>
      </c>
      <c r="E3717" s="111" t="str">
        <f t="shared" si="3715"/>
        <v>Commerce</v>
      </c>
    </row>
    <row r="3718" spans="1:5">
      <c r="A3718" s="3" t="s">
        <v>10584</v>
      </c>
      <c r="B3718" s="110" t="s">
        <v>1329</v>
      </c>
      <c r="C3718" s="111" t="s">
        <v>10582</v>
      </c>
      <c r="D3718" s="111" t="str">
        <f t="shared" ref="D3718:E3718" si="3716">TRIM(B3718)</f>
        <v>Georgia</v>
      </c>
      <c r="E3718" s="111" t="str">
        <f t="shared" si="3716"/>
        <v>Commerce</v>
      </c>
    </row>
    <row r="3719" spans="1:5">
      <c r="A3719" s="3" t="s">
        <v>4519</v>
      </c>
      <c r="B3719" s="110" t="s">
        <v>1329</v>
      </c>
      <c r="C3719" s="111" t="s">
        <v>10371</v>
      </c>
      <c r="D3719" s="111" t="str">
        <f t="shared" ref="D3719:E3719" si="3717">TRIM(B3719)</f>
        <v>Georgia</v>
      </c>
      <c r="E3719" s="111" t="str">
        <f t="shared" si="3717"/>
        <v>Conyers</v>
      </c>
    </row>
    <row r="3720" spans="1:5">
      <c r="A3720" s="3" t="s">
        <v>10588</v>
      </c>
      <c r="B3720" s="110" t="s">
        <v>1329</v>
      </c>
      <c r="C3720" s="111" t="s">
        <v>10371</v>
      </c>
      <c r="D3720" s="111" t="str">
        <f t="shared" ref="D3720:E3720" si="3718">TRIM(B3720)</f>
        <v>Georgia</v>
      </c>
      <c r="E3720" s="111" t="str">
        <f t="shared" si="3718"/>
        <v>Conyers</v>
      </c>
    </row>
    <row r="3721" spans="1:5">
      <c r="A3721" s="3" t="s">
        <v>4178</v>
      </c>
      <c r="B3721" s="110" t="s">
        <v>1329</v>
      </c>
      <c r="C3721" s="111" t="s">
        <v>10371</v>
      </c>
      <c r="D3721" s="111" t="str">
        <f t="shared" ref="D3721:E3721" si="3719">TRIM(B3721)</f>
        <v>Georgia</v>
      </c>
      <c r="E3721" s="111" t="str">
        <f t="shared" si="3719"/>
        <v>Conyers</v>
      </c>
    </row>
    <row r="3722" spans="1:5">
      <c r="A3722" s="3" t="s">
        <v>10593</v>
      </c>
      <c r="B3722" s="110" t="s">
        <v>1329</v>
      </c>
      <c r="C3722" s="111" t="s">
        <v>10300</v>
      </c>
      <c r="D3722" s="111" t="str">
        <f t="shared" ref="D3722:E3722" si="3720">TRIM(B3722)</f>
        <v>Georgia</v>
      </c>
      <c r="E3722" s="111" t="str">
        <f t="shared" si="3720"/>
        <v>Cordele</v>
      </c>
    </row>
    <row r="3723" spans="1:5">
      <c r="A3723" s="3" t="s">
        <v>10595</v>
      </c>
      <c r="B3723" s="110" t="s">
        <v>1329</v>
      </c>
      <c r="C3723" s="111" t="s">
        <v>10597</v>
      </c>
      <c r="D3723" s="111" t="str">
        <f t="shared" ref="D3723:E3723" si="3721">TRIM(B3723)</f>
        <v>Georgia</v>
      </c>
      <c r="E3723" s="111" t="str">
        <f t="shared" si="3721"/>
        <v>Covington</v>
      </c>
    </row>
    <row r="3724" spans="1:5">
      <c r="A3724" s="3" t="s">
        <v>5459</v>
      </c>
      <c r="B3724" s="110" t="s">
        <v>1329</v>
      </c>
      <c r="C3724" s="111" t="s">
        <v>10597</v>
      </c>
      <c r="D3724" s="111" t="str">
        <f t="shared" ref="D3724:E3724" si="3722">TRIM(B3724)</f>
        <v>Georgia</v>
      </c>
      <c r="E3724" s="111" t="str">
        <f t="shared" si="3722"/>
        <v>Covington</v>
      </c>
    </row>
    <row r="3725" spans="1:5">
      <c r="A3725" s="3" t="s">
        <v>10600</v>
      </c>
      <c r="B3725" s="110" t="s">
        <v>1329</v>
      </c>
      <c r="C3725" s="111" t="s">
        <v>10597</v>
      </c>
      <c r="D3725" s="111" t="str">
        <f t="shared" ref="D3725:E3725" si="3723">TRIM(B3725)</f>
        <v>Georgia</v>
      </c>
      <c r="E3725" s="111" t="str">
        <f t="shared" si="3723"/>
        <v>Covington</v>
      </c>
    </row>
    <row r="3726" spans="1:5">
      <c r="A3726" s="3" t="s">
        <v>10602</v>
      </c>
      <c r="B3726" s="110" t="s">
        <v>1329</v>
      </c>
      <c r="C3726" s="111" t="s">
        <v>10375</v>
      </c>
      <c r="D3726" s="111" t="str">
        <f t="shared" ref="D3726:E3726" si="3724">TRIM(B3726)</f>
        <v>Georgia</v>
      </c>
      <c r="E3726" s="111" t="str">
        <f t="shared" si="3724"/>
        <v>Cumming</v>
      </c>
    </row>
    <row r="3727" spans="1:5">
      <c r="A3727" s="3" t="s">
        <v>10605</v>
      </c>
      <c r="B3727" s="110" t="s">
        <v>1329</v>
      </c>
      <c r="C3727" s="111" t="s">
        <v>10375</v>
      </c>
      <c r="D3727" s="111" t="str">
        <f t="shared" ref="D3727:E3727" si="3725">TRIM(B3727)</f>
        <v>Georgia</v>
      </c>
      <c r="E3727" s="111" t="str">
        <f t="shared" si="3725"/>
        <v>Cumming</v>
      </c>
    </row>
    <row r="3728" spans="1:5">
      <c r="A3728" s="3" t="s">
        <v>10607</v>
      </c>
      <c r="B3728" s="110" t="s">
        <v>1329</v>
      </c>
      <c r="C3728" s="111" t="s">
        <v>10375</v>
      </c>
      <c r="D3728" s="111" t="str">
        <f t="shared" ref="D3728:E3728" si="3726">TRIM(B3728)</f>
        <v>Georgia</v>
      </c>
      <c r="E3728" s="111" t="str">
        <f t="shared" si="3726"/>
        <v>Cumming</v>
      </c>
    </row>
    <row r="3729" spans="1:5">
      <c r="A3729" s="3" t="s">
        <v>10610</v>
      </c>
      <c r="B3729" s="110" t="s">
        <v>1329</v>
      </c>
      <c r="C3729" s="111" t="s">
        <v>10375</v>
      </c>
      <c r="D3729" s="111" t="str">
        <f t="shared" ref="D3729:E3729" si="3727">TRIM(B3729)</f>
        <v>Georgia</v>
      </c>
      <c r="E3729" s="111" t="str">
        <f t="shared" si="3727"/>
        <v>Cumming</v>
      </c>
    </row>
    <row r="3730" spans="1:5">
      <c r="A3730" s="3" t="s">
        <v>10613</v>
      </c>
      <c r="B3730" s="110" t="s">
        <v>1329</v>
      </c>
      <c r="C3730" s="111" t="s">
        <v>10614</v>
      </c>
      <c r="D3730" s="111" t="str">
        <f t="shared" ref="D3730:E3730" si="3728">TRIM(B3730)</f>
        <v>Georgia</v>
      </c>
      <c r="E3730" s="111" t="str">
        <f t="shared" si="3728"/>
        <v>Cusseta</v>
      </c>
    </row>
    <row r="3731" spans="1:5">
      <c r="A3731" s="3" t="s">
        <v>10616</v>
      </c>
      <c r="B3731" s="110" t="s">
        <v>1329</v>
      </c>
      <c r="C3731" s="111" t="s">
        <v>10617</v>
      </c>
      <c r="D3731" s="111" t="str">
        <f t="shared" ref="D3731:E3731" si="3729">TRIM(B3731)</f>
        <v>Georgia</v>
      </c>
      <c r="E3731" s="111" t="str">
        <f t="shared" si="3729"/>
        <v>Cuthbert</v>
      </c>
    </row>
    <row r="3732" spans="1:5">
      <c r="A3732" s="3" t="s">
        <v>10619</v>
      </c>
      <c r="B3732" s="110" t="s">
        <v>1329</v>
      </c>
      <c r="C3732" s="111" t="s">
        <v>10620</v>
      </c>
      <c r="D3732" s="111" t="str">
        <f t="shared" ref="D3732:E3732" si="3730">TRIM(B3732)</f>
        <v>Georgia</v>
      </c>
      <c r="E3732" s="111" t="str">
        <f t="shared" si="3730"/>
        <v>Dacula</v>
      </c>
    </row>
    <row r="3733" spans="1:5">
      <c r="A3733" s="3" t="s">
        <v>10622</v>
      </c>
      <c r="B3733" s="110" t="s">
        <v>1329</v>
      </c>
      <c r="C3733" s="111" t="s">
        <v>10623</v>
      </c>
      <c r="D3733" s="111" t="str">
        <f t="shared" ref="D3733:E3733" si="3731">TRIM(B3733)</f>
        <v>Georgia</v>
      </c>
      <c r="E3733" s="111" t="str">
        <f t="shared" si="3731"/>
        <v>Dahlonega</v>
      </c>
    </row>
    <row r="3734" spans="1:5">
      <c r="A3734" s="3" t="s">
        <v>10626</v>
      </c>
      <c r="B3734" s="110" t="s">
        <v>1329</v>
      </c>
      <c r="C3734" s="112" t="s">
        <v>252</v>
      </c>
      <c r="D3734" s="111" t="str">
        <f t="shared" ref="D3734:E3734" si="3732">TRIM(B3734)</f>
        <v>Georgia</v>
      </c>
      <c r="E3734" s="111" t="str">
        <f t="shared" si="3732"/>
        <v>Dallas</v>
      </c>
    </row>
    <row r="3735" spans="1:5">
      <c r="A3735" s="3" t="s">
        <v>10627</v>
      </c>
      <c r="B3735" s="110" t="s">
        <v>1329</v>
      </c>
      <c r="C3735" s="111" t="s">
        <v>252</v>
      </c>
      <c r="D3735" s="111" t="str">
        <f t="shared" ref="D3735:E3735" si="3733">TRIM(B3735)</f>
        <v>Georgia</v>
      </c>
      <c r="E3735" s="111" t="str">
        <f t="shared" si="3733"/>
        <v>Dallas</v>
      </c>
    </row>
    <row r="3736" spans="1:5">
      <c r="A3736" s="3" t="s">
        <v>10631</v>
      </c>
      <c r="B3736" s="110" t="s">
        <v>1329</v>
      </c>
      <c r="C3736" s="111" t="s">
        <v>252</v>
      </c>
      <c r="D3736" s="111" t="str">
        <f t="shared" ref="D3736:E3736" si="3734">TRIM(B3736)</f>
        <v>Georgia</v>
      </c>
      <c r="E3736" s="111" t="str">
        <f t="shared" si="3734"/>
        <v>Dallas</v>
      </c>
    </row>
    <row r="3737" spans="1:5">
      <c r="A3737" s="3" t="s">
        <v>10633</v>
      </c>
      <c r="B3737" s="110" t="s">
        <v>1329</v>
      </c>
      <c r="C3737" s="111" t="s">
        <v>365</v>
      </c>
      <c r="D3737" s="111" t="str">
        <f t="shared" ref="D3737:E3737" si="3735">TRIM(B3737)</f>
        <v>Georgia</v>
      </c>
      <c r="E3737" s="111" t="str">
        <f t="shared" si="3735"/>
        <v>Dalton</v>
      </c>
    </row>
    <row r="3738" spans="1:5">
      <c r="A3738" s="3" t="s">
        <v>10636</v>
      </c>
      <c r="B3738" s="110" t="s">
        <v>1329</v>
      </c>
      <c r="C3738" s="111" t="s">
        <v>365</v>
      </c>
      <c r="D3738" s="111" t="str">
        <f t="shared" ref="D3738:E3738" si="3736">TRIM(B3738)</f>
        <v>Georgia</v>
      </c>
      <c r="E3738" s="111" t="str">
        <f t="shared" si="3736"/>
        <v>Dalton</v>
      </c>
    </row>
    <row r="3739" spans="1:5">
      <c r="A3739" s="3" t="s">
        <v>10639</v>
      </c>
      <c r="B3739" s="110" t="s">
        <v>1329</v>
      </c>
      <c r="C3739" s="111" t="s">
        <v>365</v>
      </c>
      <c r="D3739" s="111" t="str">
        <f t="shared" ref="D3739:E3739" si="3737">TRIM(B3739)</f>
        <v>Georgia</v>
      </c>
      <c r="E3739" s="111" t="str">
        <f t="shared" si="3737"/>
        <v>Dalton</v>
      </c>
    </row>
    <row r="3740" spans="1:5">
      <c r="A3740" s="3" t="s">
        <v>10642</v>
      </c>
      <c r="B3740" s="110" t="s">
        <v>1329</v>
      </c>
      <c r="C3740" s="111" t="s">
        <v>365</v>
      </c>
      <c r="D3740" s="111" t="str">
        <f t="shared" ref="D3740:E3740" si="3738">TRIM(B3740)</f>
        <v>Georgia</v>
      </c>
      <c r="E3740" s="111" t="str">
        <f t="shared" si="3738"/>
        <v>Dalton</v>
      </c>
    </row>
    <row r="3741" spans="1:5">
      <c r="A3741" s="3" t="s">
        <v>10645</v>
      </c>
      <c r="B3741" s="110" t="s">
        <v>1329</v>
      </c>
      <c r="C3741" s="111" t="s">
        <v>365</v>
      </c>
      <c r="D3741" s="111" t="str">
        <f t="shared" ref="D3741:E3741" si="3739">TRIM(B3741)</f>
        <v>Georgia</v>
      </c>
      <c r="E3741" s="111" t="str">
        <f t="shared" si="3739"/>
        <v>Dalton</v>
      </c>
    </row>
    <row r="3742" spans="1:5">
      <c r="A3742" s="3" t="s">
        <v>10647</v>
      </c>
      <c r="B3742" s="110" t="s">
        <v>1329</v>
      </c>
      <c r="C3742" s="111" t="s">
        <v>10648</v>
      </c>
      <c r="D3742" s="111" t="str">
        <f t="shared" ref="D3742:E3742" si="3740">TRIM(B3742)</f>
        <v>Georgia</v>
      </c>
      <c r="E3742" s="111" t="str">
        <f t="shared" si="3740"/>
        <v>Danielsville</v>
      </c>
    </row>
    <row r="3743" spans="1:5">
      <c r="A3743" s="3" t="s">
        <v>1818</v>
      </c>
      <c r="B3743" s="110" t="s">
        <v>1329</v>
      </c>
      <c r="C3743" s="111" t="s">
        <v>10648</v>
      </c>
      <c r="D3743" s="111" t="str">
        <f t="shared" ref="D3743:E3743" si="3741">TRIM(B3743)</f>
        <v>Georgia</v>
      </c>
      <c r="E3743" s="111" t="str">
        <f t="shared" si="3741"/>
        <v>Danielsville</v>
      </c>
    </row>
    <row r="3744" spans="1:5">
      <c r="A3744" s="3" t="s">
        <v>10650</v>
      </c>
      <c r="B3744" s="110" t="s">
        <v>1329</v>
      </c>
      <c r="C3744" s="111" t="s">
        <v>8410</v>
      </c>
      <c r="D3744" s="111" t="str">
        <f t="shared" ref="D3744:E3744" si="3742">TRIM(B3744)</f>
        <v>Georgia</v>
      </c>
      <c r="E3744" s="111" t="str">
        <f t="shared" si="3742"/>
        <v>Darien</v>
      </c>
    </row>
    <row r="3745" spans="1:5">
      <c r="A3745" s="3" t="s">
        <v>10653</v>
      </c>
      <c r="B3745" s="110" t="s">
        <v>1329</v>
      </c>
      <c r="C3745" s="111" t="s">
        <v>10654</v>
      </c>
      <c r="D3745" s="111" t="str">
        <f t="shared" ref="D3745:E3745" si="3743">TRIM(B3745)</f>
        <v>Georgia</v>
      </c>
      <c r="E3745" s="111" t="str">
        <f t="shared" si="3743"/>
        <v>Dawson</v>
      </c>
    </row>
    <row r="3746" spans="1:5">
      <c r="A3746" s="3" t="s">
        <v>10656</v>
      </c>
      <c r="B3746" s="110" t="s">
        <v>1329</v>
      </c>
      <c r="C3746" s="111" t="s">
        <v>10657</v>
      </c>
      <c r="D3746" s="111" t="str">
        <f t="shared" ref="D3746:E3746" si="3744">TRIM(B3746)</f>
        <v>Georgia</v>
      </c>
      <c r="E3746" s="111" t="str">
        <f t="shared" si="3744"/>
        <v>Dawsonville</v>
      </c>
    </row>
    <row r="3747" spans="1:5">
      <c r="A3747" s="3" t="s">
        <v>1870</v>
      </c>
      <c r="B3747" s="110" t="s">
        <v>1329</v>
      </c>
      <c r="C3747" s="111" t="s">
        <v>1686</v>
      </c>
      <c r="D3747" s="111" t="str">
        <f t="shared" ref="D3747:E3747" si="3745">TRIM(B3747)</f>
        <v>Georgia</v>
      </c>
      <c r="E3747" s="111" t="str">
        <f t="shared" si="3745"/>
        <v>Decatur</v>
      </c>
    </row>
    <row r="3748" spans="1:5">
      <c r="A3748" s="3" t="s">
        <v>1688</v>
      </c>
      <c r="B3748" s="110" t="s">
        <v>1329</v>
      </c>
      <c r="C3748" s="111" t="s">
        <v>1686</v>
      </c>
      <c r="D3748" s="111" t="str">
        <f t="shared" ref="D3748:E3748" si="3746">TRIM(B3748)</f>
        <v>Georgia</v>
      </c>
      <c r="E3748" s="111" t="str">
        <f t="shared" si="3746"/>
        <v>Decatur</v>
      </c>
    </row>
    <row r="3749" spans="1:5">
      <c r="A3749" s="3" t="s">
        <v>10663</v>
      </c>
      <c r="B3749" s="110" t="s">
        <v>1329</v>
      </c>
      <c r="C3749" s="111" t="s">
        <v>1686</v>
      </c>
      <c r="D3749" s="111" t="str">
        <f t="shared" ref="D3749:E3749" si="3747">TRIM(B3749)</f>
        <v>Georgia</v>
      </c>
      <c r="E3749" s="111" t="str">
        <f t="shared" si="3747"/>
        <v>Decatur</v>
      </c>
    </row>
    <row r="3750" spans="1:5">
      <c r="A3750" s="3" t="s">
        <v>10666</v>
      </c>
      <c r="B3750" s="110" t="s">
        <v>1329</v>
      </c>
      <c r="C3750" s="111" t="s">
        <v>1686</v>
      </c>
      <c r="D3750" s="111" t="str">
        <f t="shared" ref="D3750:E3750" si="3748">TRIM(B3750)</f>
        <v>Georgia</v>
      </c>
      <c r="E3750" s="111" t="str">
        <f t="shared" si="3748"/>
        <v>Decatur</v>
      </c>
    </row>
    <row r="3751" spans="1:5">
      <c r="A3751" s="3" t="s">
        <v>10668</v>
      </c>
      <c r="B3751" s="110" t="s">
        <v>1329</v>
      </c>
      <c r="C3751" s="111" t="s">
        <v>10669</v>
      </c>
      <c r="D3751" s="111" t="str">
        <f t="shared" ref="D3751:E3751" si="3749">TRIM(B3751)</f>
        <v>Georgia</v>
      </c>
      <c r="E3751" s="111" t="str">
        <f t="shared" si="3749"/>
        <v>Dexter</v>
      </c>
    </row>
    <row r="3752" spans="1:5">
      <c r="A3752" s="3" t="s">
        <v>10674</v>
      </c>
      <c r="B3752" s="110" t="s">
        <v>1329</v>
      </c>
      <c r="C3752" s="111" t="s">
        <v>10675</v>
      </c>
      <c r="D3752" s="111" t="str">
        <f t="shared" ref="D3752:E3752" si="3750">TRIM(B3752)</f>
        <v>Georgia</v>
      </c>
      <c r="E3752" s="111" t="str">
        <f t="shared" si="3750"/>
        <v>Donalsonville</v>
      </c>
    </row>
    <row r="3753" spans="1:5">
      <c r="A3753" s="110" t="s">
        <v>10676</v>
      </c>
      <c r="B3753" s="110" t="s">
        <v>1329</v>
      </c>
      <c r="C3753" s="111" t="s">
        <v>10677</v>
      </c>
      <c r="D3753" s="111" t="str">
        <f t="shared" ref="D3753:E3753" si="3751">TRIM(B3753)</f>
        <v>Georgia</v>
      </c>
      <c r="E3753" s="111" t="str">
        <f t="shared" si="3751"/>
        <v>Doraville</v>
      </c>
    </row>
    <row r="3754" spans="1:5">
      <c r="A3754" s="3" t="s">
        <v>10679</v>
      </c>
      <c r="B3754" s="110" t="s">
        <v>1329</v>
      </c>
      <c r="C3754" s="111" t="s">
        <v>1708</v>
      </c>
      <c r="D3754" s="111" t="str">
        <f t="shared" ref="D3754:E3754" si="3752">TRIM(B3754)</f>
        <v>Georgia</v>
      </c>
      <c r="E3754" s="111" t="str">
        <f t="shared" si="3752"/>
        <v>Douglas</v>
      </c>
    </row>
    <row r="3755" spans="1:5">
      <c r="A3755" s="3" t="s">
        <v>10682</v>
      </c>
      <c r="B3755" s="110" t="s">
        <v>1329</v>
      </c>
      <c r="C3755" s="111" t="s">
        <v>1708</v>
      </c>
      <c r="D3755" s="111" t="str">
        <f t="shared" ref="D3755:E3755" si="3753">TRIM(B3755)</f>
        <v>Georgia</v>
      </c>
      <c r="E3755" s="111" t="str">
        <f t="shared" si="3753"/>
        <v>Douglas</v>
      </c>
    </row>
    <row r="3756" spans="1:5">
      <c r="A3756" s="3" t="s">
        <v>10686</v>
      </c>
      <c r="B3756" s="110" t="s">
        <v>1329</v>
      </c>
      <c r="C3756" s="111" t="s">
        <v>10687</v>
      </c>
      <c r="D3756" s="111" t="str">
        <f t="shared" ref="D3756:E3756" si="3754">TRIM(B3756)</f>
        <v>Georgia</v>
      </c>
      <c r="E3756" s="111" t="str">
        <f t="shared" si="3754"/>
        <v>Douglasville</v>
      </c>
    </row>
    <row r="3757" spans="1:5">
      <c r="A3757" s="3" t="s">
        <v>10689</v>
      </c>
      <c r="B3757" s="110" t="s">
        <v>1329</v>
      </c>
      <c r="C3757" s="111" t="s">
        <v>10687</v>
      </c>
      <c r="D3757" s="111" t="str">
        <f t="shared" ref="D3757:E3757" si="3755">TRIM(B3757)</f>
        <v>Georgia</v>
      </c>
      <c r="E3757" s="111" t="str">
        <f t="shared" si="3755"/>
        <v>Douglasville</v>
      </c>
    </row>
    <row r="3758" spans="1:5">
      <c r="A3758" s="3" t="s">
        <v>7686</v>
      </c>
      <c r="B3758" s="110" t="s">
        <v>1329</v>
      </c>
      <c r="C3758" s="111" t="s">
        <v>10687</v>
      </c>
      <c r="D3758" s="111" t="str">
        <f t="shared" ref="D3758:E3758" si="3756">TRIM(B3758)</f>
        <v>Georgia</v>
      </c>
      <c r="E3758" s="111" t="str">
        <f t="shared" si="3756"/>
        <v>Douglasville</v>
      </c>
    </row>
    <row r="3759" spans="1:5">
      <c r="A3759" s="3" t="s">
        <v>10693</v>
      </c>
      <c r="B3759" s="110" t="s">
        <v>1329</v>
      </c>
      <c r="C3759" s="111" t="s">
        <v>10687</v>
      </c>
      <c r="D3759" s="111" t="str">
        <f t="shared" ref="D3759:E3759" si="3757">TRIM(B3759)</f>
        <v>Georgia</v>
      </c>
      <c r="E3759" s="111" t="str">
        <f t="shared" si="3757"/>
        <v>Douglasville</v>
      </c>
    </row>
    <row r="3760" spans="1:5">
      <c r="A3760" s="3" t="s">
        <v>10695</v>
      </c>
      <c r="B3760" s="110" t="s">
        <v>1329</v>
      </c>
      <c r="C3760" s="111" t="s">
        <v>10687</v>
      </c>
      <c r="D3760" s="111" t="str">
        <f t="shared" ref="D3760:E3760" si="3758">TRIM(B3760)</f>
        <v>Georgia</v>
      </c>
      <c r="E3760" s="111" t="str">
        <f t="shared" si="3758"/>
        <v>Douglasville</v>
      </c>
    </row>
    <row r="3761" spans="1:5">
      <c r="A3761" s="3" t="s">
        <v>4861</v>
      </c>
      <c r="B3761" s="110" t="s">
        <v>1329</v>
      </c>
      <c r="C3761" s="111" t="s">
        <v>850</v>
      </c>
      <c r="D3761" s="111" t="str">
        <f t="shared" ref="D3761:E3761" si="3759">TRIM(B3761)</f>
        <v>Georgia</v>
      </c>
      <c r="E3761" s="111" t="str">
        <f t="shared" si="3759"/>
        <v>Dublin</v>
      </c>
    </row>
    <row r="3762" spans="1:5">
      <c r="A3762" s="3" t="s">
        <v>10700</v>
      </c>
      <c r="B3762" s="110" t="s">
        <v>1329</v>
      </c>
      <c r="C3762" s="111" t="s">
        <v>850</v>
      </c>
      <c r="D3762" s="111" t="str">
        <f t="shared" ref="D3762:E3762" si="3760">TRIM(B3762)</f>
        <v>Georgia</v>
      </c>
      <c r="E3762" s="111" t="str">
        <f t="shared" si="3760"/>
        <v>Dublin</v>
      </c>
    </row>
    <row r="3763" spans="1:5">
      <c r="A3763" s="110" t="s">
        <v>10704</v>
      </c>
      <c r="B3763" s="110" t="s">
        <v>1329</v>
      </c>
      <c r="C3763" s="111" t="s">
        <v>850</v>
      </c>
      <c r="D3763" s="111" t="str">
        <f t="shared" ref="D3763:E3763" si="3761">TRIM(B3763)</f>
        <v>Georgia</v>
      </c>
      <c r="E3763" s="111" t="str">
        <f t="shared" si="3761"/>
        <v>Dublin</v>
      </c>
    </row>
    <row r="3764" spans="1:5">
      <c r="A3764" s="3" t="s">
        <v>10707</v>
      </c>
      <c r="B3764" s="110" t="s">
        <v>1329</v>
      </c>
      <c r="C3764" s="111" t="s">
        <v>10361</v>
      </c>
      <c r="D3764" s="111" t="str">
        <f t="shared" ref="D3764:E3764" si="3762">TRIM(B3764)</f>
        <v>Georgia</v>
      </c>
      <c r="E3764" s="111" t="str">
        <f t="shared" si="3762"/>
        <v>Duluth</v>
      </c>
    </row>
    <row r="3765" spans="1:5">
      <c r="A3765" s="3" t="s">
        <v>10710</v>
      </c>
      <c r="B3765" s="110" t="s">
        <v>1329</v>
      </c>
      <c r="C3765" s="111" t="s">
        <v>10361</v>
      </c>
      <c r="D3765" s="111" t="str">
        <f t="shared" ref="D3765:E3765" si="3763">TRIM(B3765)</f>
        <v>Georgia</v>
      </c>
      <c r="E3765" s="111" t="str">
        <f t="shared" si="3763"/>
        <v>Duluth</v>
      </c>
    </row>
    <row r="3766" spans="1:5">
      <c r="A3766" s="3" t="s">
        <v>1700</v>
      </c>
      <c r="B3766" s="110" t="s">
        <v>1329</v>
      </c>
      <c r="C3766" s="111" t="s">
        <v>10361</v>
      </c>
      <c r="D3766" s="111" t="str">
        <f t="shared" ref="D3766:E3766" si="3764">TRIM(B3766)</f>
        <v>Georgia</v>
      </c>
      <c r="E3766" s="111" t="str">
        <f t="shared" si="3764"/>
        <v>Duluth</v>
      </c>
    </row>
    <row r="3767" spans="1:5">
      <c r="A3767" s="3" t="s">
        <v>10714</v>
      </c>
      <c r="B3767" s="110" t="s">
        <v>1329</v>
      </c>
      <c r="C3767" s="111" t="s">
        <v>10715</v>
      </c>
      <c r="D3767" s="111" t="str">
        <f t="shared" ref="D3767:E3767" si="3765">TRIM(B3767)</f>
        <v>Georgia</v>
      </c>
      <c r="E3767" s="111" t="str">
        <f t="shared" si="3765"/>
        <v>Dunwoody</v>
      </c>
    </row>
    <row r="3768" spans="1:5">
      <c r="A3768" s="3" t="s">
        <v>10717</v>
      </c>
      <c r="B3768" s="110" t="s">
        <v>1329</v>
      </c>
      <c r="C3768" s="111" t="s">
        <v>10718</v>
      </c>
      <c r="D3768" s="111" t="str">
        <f t="shared" ref="D3768:E3768" si="3766">TRIM(B3768)</f>
        <v>Georgia</v>
      </c>
      <c r="E3768" s="111" t="str">
        <f t="shared" si="3766"/>
        <v>East Point</v>
      </c>
    </row>
    <row r="3769" spans="1:5">
      <c r="A3769" s="3" t="s">
        <v>10720</v>
      </c>
      <c r="B3769" s="110" t="s">
        <v>1329</v>
      </c>
      <c r="C3769" s="111" t="s">
        <v>10718</v>
      </c>
      <c r="D3769" s="111" t="str">
        <f t="shared" ref="D3769:E3769" si="3767">TRIM(B3769)</f>
        <v>Georgia</v>
      </c>
      <c r="E3769" s="111" t="str">
        <f t="shared" si="3767"/>
        <v>East Point</v>
      </c>
    </row>
    <row r="3770" spans="1:5">
      <c r="A3770" s="110" t="s">
        <v>10722</v>
      </c>
      <c r="B3770" s="110" t="s">
        <v>1329</v>
      </c>
      <c r="C3770" s="111" t="s">
        <v>10723</v>
      </c>
      <c r="D3770" s="111" t="str">
        <f t="shared" ref="D3770:E3770" si="3768">TRIM(B3770)</f>
        <v>Georgia</v>
      </c>
      <c r="E3770" s="111" t="str">
        <f t="shared" si="3768"/>
        <v>Eastman</v>
      </c>
    </row>
    <row r="3771" spans="1:5">
      <c r="A3771" s="3" t="s">
        <v>10725</v>
      </c>
      <c r="B3771" s="110" t="s">
        <v>1329</v>
      </c>
      <c r="C3771" s="111" t="s">
        <v>10723</v>
      </c>
      <c r="D3771" s="111" t="str">
        <f t="shared" ref="D3771:E3771" si="3769">TRIM(B3771)</f>
        <v>Georgia</v>
      </c>
      <c r="E3771" s="111" t="str">
        <f t="shared" si="3769"/>
        <v>Eastman</v>
      </c>
    </row>
    <row r="3772" spans="1:5">
      <c r="A3772" s="3" t="s">
        <v>10726</v>
      </c>
      <c r="B3772" s="110" t="s">
        <v>1329</v>
      </c>
      <c r="C3772" s="111" t="s">
        <v>304</v>
      </c>
      <c r="D3772" s="111" t="str">
        <f t="shared" ref="D3772:E3772" si="3770">TRIM(B3772)</f>
        <v>Georgia</v>
      </c>
      <c r="E3772" s="111" t="str">
        <f t="shared" si="3770"/>
        <v>Eatonton</v>
      </c>
    </row>
    <row r="3773" spans="1:5">
      <c r="A3773" s="3" t="s">
        <v>10729</v>
      </c>
      <c r="B3773" s="110" t="s">
        <v>1329</v>
      </c>
      <c r="C3773" s="111" t="s">
        <v>392</v>
      </c>
      <c r="D3773" s="111" t="str">
        <f t="shared" ref="D3773:E3773" si="3771">TRIM(B3773)</f>
        <v>Georgia</v>
      </c>
      <c r="E3773" s="111" t="str">
        <f t="shared" si="3771"/>
        <v>Edison</v>
      </c>
    </row>
    <row r="3774" spans="1:5">
      <c r="A3774" s="3" t="s">
        <v>10732</v>
      </c>
      <c r="B3774" s="110" t="s">
        <v>1329</v>
      </c>
      <c r="C3774" s="111" t="s">
        <v>10733</v>
      </c>
      <c r="D3774" s="111" t="str">
        <f t="shared" ref="D3774:E3774" si="3772">TRIM(B3774)</f>
        <v>Georgia</v>
      </c>
      <c r="E3774" s="111" t="str">
        <f t="shared" si="3772"/>
        <v>Elberton</v>
      </c>
    </row>
    <row r="3775" spans="1:5">
      <c r="A3775" s="3" t="s">
        <v>10736</v>
      </c>
      <c r="B3775" s="110" t="s">
        <v>1329</v>
      </c>
      <c r="C3775" s="111" t="s">
        <v>10737</v>
      </c>
      <c r="D3775" s="111" t="str">
        <f t="shared" ref="D3775:E3775" si="3773">TRIM(B3775)</f>
        <v>Georgia</v>
      </c>
      <c r="E3775" s="111" t="str">
        <f t="shared" si="3773"/>
        <v>Ellaville</v>
      </c>
    </row>
    <row r="3776" spans="1:5">
      <c r="A3776" s="3" t="s">
        <v>10741</v>
      </c>
      <c r="B3776" s="110" t="s">
        <v>1329</v>
      </c>
      <c r="C3776" s="111" t="s">
        <v>10742</v>
      </c>
      <c r="D3776" s="111" t="str">
        <f t="shared" ref="D3776:E3776" si="3774">TRIM(B3776)</f>
        <v>Georgia</v>
      </c>
      <c r="E3776" s="111" t="str">
        <f t="shared" si="3774"/>
        <v>Ellenwood</v>
      </c>
    </row>
    <row r="3777" spans="1:5">
      <c r="A3777" s="3" t="s">
        <v>10744</v>
      </c>
      <c r="B3777" s="110" t="s">
        <v>1329</v>
      </c>
      <c r="C3777" s="111" t="s">
        <v>10745</v>
      </c>
      <c r="D3777" s="111" t="str">
        <f t="shared" ref="D3777:E3777" si="3775">TRIM(B3777)</f>
        <v>Georgia</v>
      </c>
      <c r="E3777" s="111" t="str">
        <f t="shared" si="3775"/>
        <v>Ellijay</v>
      </c>
    </row>
    <row r="3778" spans="1:5">
      <c r="A3778" s="110" t="s">
        <v>10747</v>
      </c>
      <c r="B3778" s="110" t="s">
        <v>1329</v>
      </c>
      <c r="C3778" s="111" t="s">
        <v>10748</v>
      </c>
      <c r="D3778" s="111" t="str">
        <f t="shared" ref="D3778:E3778" si="3776">TRIM(B3778)</f>
        <v>Georgia</v>
      </c>
      <c r="E3778" s="111" t="str">
        <f t="shared" si="3776"/>
        <v>Eton</v>
      </c>
    </row>
    <row r="3779" spans="1:5">
      <c r="A3779" s="3" t="s">
        <v>10751</v>
      </c>
      <c r="B3779" s="110" t="s">
        <v>1329</v>
      </c>
      <c r="C3779" s="111" t="s">
        <v>445</v>
      </c>
      <c r="D3779" s="111" t="str">
        <f t="shared" ref="D3779:E3779" si="3777">TRIM(B3779)</f>
        <v>Georgia</v>
      </c>
      <c r="E3779" s="111" t="str">
        <f t="shared" si="3777"/>
        <v>Evans</v>
      </c>
    </row>
    <row r="3780" spans="1:5">
      <c r="A3780" s="3" t="s">
        <v>3813</v>
      </c>
      <c r="B3780" s="110" t="s">
        <v>1329</v>
      </c>
      <c r="C3780" s="111" t="s">
        <v>445</v>
      </c>
      <c r="D3780" s="111" t="str">
        <f t="shared" ref="D3780:E3780" si="3778">TRIM(B3780)</f>
        <v>Georgia</v>
      </c>
      <c r="E3780" s="111" t="str">
        <f t="shared" si="3778"/>
        <v>Evans</v>
      </c>
    </row>
    <row r="3781" spans="1:5">
      <c r="A3781" s="3" t="s">
        <v>3886</v>
      </c>
      <c r="B3781" s="110" t="s">
        <v>1329</v>
      </c>
      <c r="C3781" s="111" t="s">
        <v>445</v>
      </c>
      <c r="D3781" s="111" t="str">
        <f t="shared" ref="D3781:E3781" si="3779">TRIM(B3781)</f>
        <v>Georgia</v>
      </c>
      <c r="E3781" s="111" t="str">
        <f t="shared" si="3779"/>
        <v>Evans</v>
      </c>
    </row>
    <row r="3782" spans="1:5">
      <c r="A3782" s="3" t="s">
        <v>10047</v>
      </c>
      <c r="B3782" s="110" t="s">
        <v>1329</v>
      </c>
      <c r="C3782" s="111" t="s">
        <v>10758</v>
      </c>
      <c r="D3782" s="111" t="str">
        <f t="shared" ref="D3782:E3782" si="3780">TRIM(B3782)</f>
        <v>Georgia</v>
      </c>
      <c r="E3782" s="111" t="str">
        <f t="shared" si="3780"/>
        <v>Fairburn</v>
      </c>
    </row>
    <row r="3783" spans="1:5">
      <c r="A3783" s="3" t="s">
        <v>10760</v>
      </c>
      <c r="B3783" s="110" t="s">
        <v>1329</v>
      </c>
      <c r="C3783" s="111" t="s">
        <v>10758</v>
      </c>
      <c r="D3783" s="111" t="str">
        <f t="shared" ref="D3783:E3783" si="3781">TRIM(B3783)</f>
        <v>Georgia</v>
      </c>
      <c r="E3783" s="111" t="str">
        <f t="shared" si="3781"/>
        <v>Fairburn</v>
      </c>
    </row>
    <row r="3784" spans="1:5">
      <c r="A3784" s="3" t="s">
        <v>1746</v>
      </c>
      <c r="B3784" s="110" t="s">
        <v>1329</v>
      </c>
      <c r="C3784" s="111" t="s">
        <v>554</v>
      </c>
      <c r="D3784" s="111" t="str">
        <f t="shared" ref="D3784:E3784" si="3782">TRIM(B3784)</f>
        <v>Georgia</v>
      </c>
      <c r="E3784" s="111" t="str">
        <f t="shared" si="3782"/>
        <v>Fayetteville</v>
      </c>
    </row>
    <row r="3785" spans="1:5">
      <c r="A3785" s="3" t="s">
        <v>10764</v>
      </c>
      <c r="B3785" s="110" t="s">
        <v>1329</v>
      </c>
      <c r="C3785" s="111" t="s">
        <v>554</v>
      </c>
      <c r="D3785" s="111" t="str">
        <f t="shared" ref="D3785:E3785" si="3783">TRIM(B3785)</f>
        <v>Georgia</v>
      </c>
      <c r="E3785" s="111" t="str">
        <f t="shared" si="3783"/>
        <v>Fayetteville</v>
      </c>
    </row>
    <row r="3786" spans="1:5">
      <c r="A3786" s="3" t="s">
        <v>10768</v>
      </c>
      <c r="B3786" s="110" t="s">
        <v>1329</v>
      </c>
      <c r="C3786" s="111" t="s">
        <v>554</v>
      </c>
      <c r="D3786" s="111" t="str">
        <f t="shared" ref="D3786:E3786" si="3784">TRIM(B3786)</f>
        <v>Georgia</v>
      </c>
      <c r="E3786" s="111" t="str">
        <f t="shared" si="3784"/>
        <v>Fayetteville</v>
      </c>
    </row>
    <row r="3787" spans="1:5">
      <c r="A3787" s="3" t="s">
        <v>10770</v>
      </c>
      <c r="B3787" s="110" t="s">
        <v>1329</v>
      </c>
      <c r="C3787" s="111" t="s">
        <v>10771</v>
      </c>
      <c r="D3787" s="111" t="str">
        <f t="shared" ref="D3787:E3787" si="3785">TRIM(B3787)</f>
        <v>Georgia</v>
      </c>
      <c r="E3787" s="111" t="str">
        <f t="shared" si="3785"/>
        <v>Fitzgerald</v>
      </c>
    </row>
    <row r="3788" spans="1:5">
      <c r="A3788" s="3" t="s">
        <v>10774</v>
      </c>
      <c r="B3788" s="110" t="s">
        <v>1329</v>
      </c>
      <c r="C3788" s="111" t="s">
        <v>10775</v>
      </c>
      <c r="D3788" s="111" t="str">
        <f t="shared" ref="D3788:E3788" si="3786">TRIM(B3788)</f>
        <v>Georgia</v>
      </c>
      <c r="E3788" s="111" t="str">
        <f t="shared" si="3786"/>
        <v>Flowery Branch</v>
      </c>
    </row>
    <row r="3789" spans="1:5">
      <c r="A3789" s="3" t="s">
        <v>10777</v>
      </c>
      <c r="B3789" s="110" t="s">
        <v>1329</v>
      </c>
      <c r="C3789" s="111" t="s">
        <v>10775</v>
      </c>
      <c r="D3789" s="111" t="str">
        <f t="shared" ref="D3789:E3789" si="3787">TRIM(B3789)</f>
        <v>Georgia</v>
      </c>
      <c r="E3789" s="111" t="str">
        <f t="shared" si="3787"/>
        <v>Flowery Branch</v>
      </c>
    </row>
    <row r="3790" spans="1:5">
      <c r="A3790" s="3" t="s">
        <v>10779</v>
      </c>
      <c r="B3790" s="110" t="s">
        <v>1329</v>
      </c>
      <c r="C3790" s="111" t="s">
        <v>10780</v>
      </c>
      <c r="D3790" s="111" t="str">
        <f t="shared" ref="D3790:E3790" si="3788">TRIM(B3790)</f>
        <v>Georgia</v>
      </c>
      <c r="E3790" s="111" t="str">
        <f t="shared" si="3788"/>
        <v>Folkston</v>
      </c>
    </row>
    <row r="3791" spans="1:5">
      <c r="A3791" s="3" t="s">
        <v>10782</v>
      </c>
      <c r="B3791" s="110" t="s">
        <v>1329</v>
      </c>
      <c r="C3791" s="111" t="s">
        <v>10400</v>
      </c>
      <c r="D3791" s="111" t="str">
        <f t="shared" ref="D3791:E3791" si="3789">TRIM(B3791)</f>
        <v>Georgia</v>
      </c>
      <c r="E3791" s="111" t="str">
        <f t="shared" si="3789"/>
        <v>Forest Park</v>
      </c>
    </row>
    <row r="3792" spans="1:5">
      <c r="A3792" s="3" t="s">
        <v>10787</v>
      </c>
      <c r="B3792" s="110" t="s">
        <v>1329</v>
      </c>
      <c r="C3792" s="111" t="s">
        <v>10788</v>
      </c>
      <c r="D3792" s="111" t="str">
        <f t="shared" ref="D3792:E3792" si="3790">TRIM(B3792)</f>
        <v>Georgia</v>
      </c>
      <c r="E3792" s="111" t="str">
        <f t="shared" si="3790"/>
        <v>Forsyth</v>
      </c>
    </row>
    <row r="3793" spans="1:5">
      <c r="A3793" s="3" t="s">
        <v>10790</v>
      </c>
      <c r="B3793" s="110" t="s">
        <v>1329</v>
      </c>
      <c r="C3793" s="111" t="s">
        <v>10791</v>
      </c>
      <c r="D3793" s="111" t="str">
        <f t="shared" ref="D3793:E3793" si="3791">TRIM(B3793)</f>
        <v>Georgia</v>
      </c>
      <c r="E3793" s="111" t="str">
        <f t="shared" si="3791"/>
        <v>Fort Oglethorpe</v>
      </c>
    </row>
    <row r="3794" spans="1:5">
      <c r="A3794" s="3" t="s">
        <v>10794</v>
      </c>
      <c r="B3794" s="110" t="s">
        <v>1329</v>
      </c>
      <c r="C3794" s="111" t="s">
        <v>10795</v>
      </c>
      <c r="D3794" s="111" t="str">
        <f t="shared" ref="D3794:E3794" si="3792">TRIM(B3794)</f>
        <v>Georgia</v>
      </c>
      <c r="E3794" s="111" t="str">
        <f t="shared" si="3792"/>
        <v>Fort Valley</v>
      </c>
    </row>
    <row r="3795" spans="1:5">
      <c r="A3795" s="3" t="s">
        <v>10797</v>
      </c>
      <c r="B3795" s="110" t="s">
        <v>1329</v>
      </c>
      <c r="C3795" s="111" t="s">
        <v>525</v>
      </c>
      <c r="D3795" s="111" t="str">
        <f t="shared" ref="D3795:E3795" si="3793">TRIM(B3795)</f>
        <v>Georgia</v>
      </c>
      <c r="E3795" s="111" t="str">
        <f t="shared" si="3793"/>
        <v>Franklin</v>
      </c>
    </row>
    <row r="3796" spans="1:5">
      <c r="A3796" s="110" t="s">
        <v>10799</v>
      </c>
      <c r="B3796" s="110" t="s">
        <v>1329</v>
      </c>
      <c r="C3796" s="111" t="s">
        <v>291</v>
      </c>
      <c r="D3796" s="111" t="str">
        <f t="shared" ref="D3796:E3796" si="3794">TRIM(B3796)</f>
        <v>Georgia</v>
      </c>
      <c r="E3796" s="111" t="str">
        <f t="shared" si="3794"/>
        <v>Gainesville</v>
      </c>
    </row>
    <row r="3797" spans="1:5">
      <c r="A3797" s="3" t="s">
        <v>10801</v>
      </c>
      <c r="B3797" s="110" t="s">
        <v>1329</v>
      </c>
      <c r="C3797" s="111" t="s">
        <v>291</v>
      </c>
      <c r="D3797" s="111" t="str">
        <f t="shared" ref="D3797:E3797" si="3795">TRIM(B3797)</f>
        <v>Georgia</v>
      </c>
      <c r="E3797" s="111" t="str">
        <f t="shared" si="3795"/>
        <v>Gainesville</v>
      </c>
    </row>
    <row r="3798" spans="1:5">
      <c r="A3798" s="3" t="s">
        <v>10803</v>
      </c>
      <c r="B3798" s="110" t="s">
        <v>1329</v>
      </c>
      <c r="C3798" s="111" t="s">
        <v>291</v>
      </c>
      <c r="D3798" s="111" t="str">
        <f t="shared" ref="D3798:E3798" si="3796">TRIM(B3798)</f>
        <v>Georgia</v>
      </c>
      <c r="E3798" s="111" t="str">
        <f t="shared" si="3796"/>
        <v>Gainesville</v>
      </c>
    </row>
    <row r="3799" spans="1:5">
      <c r="A3799" s="3" t="s">
        <v>9260</v>
      </c>
      <c r="B3799" s="110" t="s">
        <v>1329</v>
      </c>
      <c r="C3799" s="111" t="s">
        <v>291</v>
      </c>
      <c r="D3799" s="111" t="str">
        <f t="shared" ref="D3799:E3799" si="3797">TRIM(B3799)</f>
        <v>Georgia</v>
      </c>
      <c r="E3799" s="111" t="str">
        <f t="shared" si="3797"/>
        <v>Gainesville</v>
      </c>
    </row>
    <row r="3800" spans="1:5">
      <c r="A3800" s="3" t="s">
        <v>10806</v>
      </c>
      <c r="B3800" s="110" t="s">
        <v>1329</v>
      </c>
      <c r="C3800" s="111" t="s">
        <v>291</v>
      </c>
      <c r="D3800" s="111" t="str">
        <f t="shared" ref="D3800:E3800" si="3798">TRIM(B3800)</f>
        <v>Georgia</v>
      </c>
      <c r="E3800" s="111" t="str">
        <f t="shared" si="3798"/>
        <v>Gainesville</v>
      </c>
    </row>
    <row r="3801" spans="1:5">
      <c r="A3801" s="3" t="s">
        <v>10809</v>
      </c>
      <c r="B3801" s="110" t="s">
        <v>1329</v>
      </c>
      <c r="C3801" s="111" t="s">
        <v>291</v>
      </c>
      <c r="D3801" s="111" t="str">
        <f t="shared" ref="D3801:E3801" si="3799">TRIM(B3801)</f>
        <v>Georgia</v>
      </c>
      <c r="E3801" s="111" t="str">
        <f t="shared" si="3799"/>
        <v>Gainesville</v>
      </c>
    </row>
    <row r="3802" spans="1:5">
      <c r="A3802" s="3" t="s">
        <v>10811</v>
      </c>
      <c r="B3802" s="110" t="s">
        <v>1329</v>
      </c>
      <c r="C3802" s="111" t="s">
        <v>291</v>
      </c>
      <c r="D3802" s="111" t="str">
        <f t="shared" ref="D3802:E3802" si="3800">TRIM(B3802)</f>
        <v>Georgia</v>
      </c>
      <c r="E3802" s="111" t="str">
        <f t="shared" si="3800"/>
        <v>Gainesville</v>
      </c>
    </row>
    <row r="3803" spans="1:5">
      <c r="A3803" s="3" t="s">
        <v>10813</v>
      </c>
      <c r="B3803" s="110" t="s">
        <v>1329</v>
      </c>
      <c r="C3803" s="111" t="s">
        <v>8818</v>
      </c>
      <c r="D3803" s="111" t="str">
        <f t="shared" ref="D3803:E3803" si="3801">TRIM(B3803)</f>
        <v>Georgia</v>
      </c>
      <c r="E3803" s="111" t="str">
        <f t="shared" si="3801"/>
        <v>Georgetown</v>
      </c>
    </row>
    <row r="3804" spans="1:5">
      <c r="A3804" s="3" t="s">
        <v>10814</v>
      </c>
      <c r="B3804" s="110" t="s">
        <v>1329</v>
      </c>
      <c r="C3804" s="111" t="s">
        <v>10815</v>
      </c>
      <c r="D3804" s="111" t="str">
        <f t="shared" ref="D3804:E3804" si="3802">TRIM(B3804)</f>
        <v>Georgia</v>
      </c>
      <c r="E3804" s="111" t="str">
        <f t="shared" si="3802"/>
        <v>Gibson</v>
      </c>
    </row>
    <row r="3805" spans="1:5">
      <c r="A3805" s="3" t="s">
        <v>10818</v>
      </c>
      <c r="B3805" s="110" t="s">
        <v>1329</v>
      </c>
      <c r="C3805" s="111" t="s">
        <v>10819</v>
      </c>
      <c r="D3805" s="111" t="str">
        <f t="shared" ref="D3805:E3805" si="3803">TRIM(B3805)</f>
        <v>Georgia</v>
      </c>
      <c r="E3805" s="111" t="str">
        <f t="shared" si="3803"/>
        <v>Gray</v>
      </c>
    </row>
    <row r="3806" spans="1:5">
      <c r="A3806" s="3" t="s">
        <v>1733</v>
      </c>
      <c r="B3806" s="110" t="s">
        <v>1329</v>
      </c>
      <c r="C3806" s="111" t="s">
        <v>178</v>
      </c>
      <c r="D3806" s="111" t="str">
        <f t="shared" ref="D3806:E3806" si="3804">TRIM(B3806)</f>
        <v>Georgia</v>
      </c>
      <c r="E3806" s="111" t="str">
        <f t="shared" si="3804"/>
        <v>Greensboro</v>
      </c>
    </row>
    <row r="3807" spans="1:5">
      <c r="A3807" s="3" t="s">
        <v>1803</v>
      </c>
      <c r="B3807" s="110" t="s">
        <v>1329</v>
      </c>
      <c r="C3807" s="111" t="s">
        <v>1804</v>
      </c>
      <c r="D3807" s="111" t="str">
        <f t="shared" ref="D3807:E3807" si="3805">TRIM(B3807)</f>
        <v>Georgia</v>
      </c>
      <c r="E3807" s="111" t="str">
        <f t="shared" si="3805"/>
        <v>Greenville</v>
      </c>
    </row>
    <row r="3808" spans="1:5">
      <c r="A3808" s="3" t="s">
        <v>10825</v>
      </c>
      <c r="B3808" s="110" t="s">
        <v>1329</v>
      </c>
      <c r="C3808" s="111" t="s">
        <v>10826</v>
      </c>
      <c r="D3808" s="111" t="str">
        <f t="shared" ref="D3808:E3808" si="3806">TRIM(B3808)</f>
        <v>Georgia</v>
      </c>
      <c r="E3808" s="111" t="str">
        <f t="shared" si="3806"/>
        <v>Griffin</v>
      </c>
    </row>
    <row r="3809" spans="1:5">
      <c r="A3809" s="3" t="s">
        <v>10827</v>
      </c>
      <c r="B3809" s="110" t="s">
        <v>1329</v>
      </c>
      <c r="C3809" s="111" t="s">
        <v>10826</v>
      </c>
      <c r="D3809" s="111" t="str">
        <f t="shared" ref="D3809:E3809" si="3807">TRIM(B3809)</f>
        <v>Georgia</v>
      </c>
      <c r="E3809" s="111" t="str">
        <f t="shared" si="3807"/>
        <v>Griffin</v>
      </c>
    </row>
    <row r="3810" spans="1:5">
      <c r="A3810" s="3" t="s">
        <v>10829</v>
      </c>
      <c r="B3810" s="110" t="s">
        <v>1329</v>
      </c>
      <c r="C3810" s="111" t="s">
        <v>10826</v>
      </c>
      <c r="D3810" s="111" t="str">
        <f t="shared" ref="D3810:E3810" si="3808">TRIM(B3810)</f>
        <v>Georgia</v>
      </c>
      <c r="E3810" s="111" t="str">
        <f t="shared" si="3808"/>
        <v>Griffin</v>
      </c>
    </row>
    <row r="3811" spans="1:5">
      <c r="A3811" s="3" t="s">
        <v>10831</v>
      </c>
      <c r="B3811" s="110" t="s">
        <v>1329</v>
      </c>
      <c r="C3811" s="111" t="s">
        <v>10832</v>
      </c>
      <c r="D3811" s="111" t="str">
        <f t="shared" ref="D3811:E3811" si="3809">TRIM(B3811)</f>
        <v>Georgia</v>
      </c>
      <c r="E3811" s="111" t="str">
        <f t="shared" si="3809"/>
        <v>Grovetown</v>
      </c>
    </row>
    <row r="3812" spans="1:5">
      <c r="A3812" s="3" t="s">
        <v>10834</v>
      </c>
      <c r="B3812" s="110" t="s">
        <v>1329</v>
      </c>
      <c r="C3812" s="111" t="s">
        <v>10835</v>
      </c>
      <c r="D3812" s="111" t="str">
        <f t="shared" ref="D3812:E3812" si="3810">TRIM(B3812)</f>
        <v>Georgia</v>
      </c>
      <c r="E3812" s="111" t="str">
        <f t="shared" si="3810"/>
        <v>Guyton</v>
      </c>
    </row>
    <row r="3813" spans="1:5">
      <c r="A3813" s="3" t="s">
        <v>10838</v>
      </c>
      <c r="B3813" s="110" t="s">
        <v>1329</v>
      </c>
      <c r="C3813" s="111" t="s">
        <v>344</v>
      </c>
      <c r="D3813" s="111" t="str">
        <f t="shared" ref="D3813:E3813" si="3811">TRIM(B3813)</f>
        <v>Georgia</v>
      </c>
      <c r="E3813" s="111" t="str">
        <f t="shared" si="3811"/>
        <v>Hamilton</v>
      </c>
    </row>
    <row r="3814" spans="1:5">
      <c r="A3814" s="3" t="s">
        <v>10842</v>
      </c>
      <c r="B3814" s="110" t="s">
        <v>1329</v>
      </c>
      <c r="C3814" s="111" t="s">
        <v>3841</v>
      </c>
      <c r="D3814" s="111" t="str">
        <f t="shared" ref="D3814:E3814" si="3812">TRIM(B3814)</f>
        <v>Georgia</v>
      </c>
      <c r="E3814" s="111" t="str">
        <f t="shared" si="3812"/>
        <v>Hampton</v>
      </c>
    </row>
    <row r="3815" spans="1:5">
      <c r="A3815" s="3" t="s">
        <v>3839</v>
      </c>
      <c r="B3815" s="110" t="s">
        <v>1329</v>
      </c>
      <c r="C3815" s="111" t="s">
        <v>3841</v>
      </c>
      <c r="D3815" s="111" t="str">
        <f t="shared" ref="D3815:E3815" si="3813">TRIM(B3815)</f>
        <v>Georgia</v>
      </c>
      <c r="E3815" s="111" t="str">
        <f t="shared" si="3813"/>
        <v>Hampton</v>
      </c>
    </row>
    <row r="3816" spans="1:5">
      <c r="A3816" s="3" t="s">
        <v>10846</v>
      </c>
      <c r="B3816" s="110" t="s">
        <v>1329</v>
      </c>
      <c r="C3816" s="111" t="s">
        <v>3841</v>
      </c>
      <c r="D3816" s="111" t="str">
        <f t="shared" ref="D3816:E3816" si="3814">TRIM(B3816)</f>
        <v>Georgia</v>
      </c>
      <c r="E3816" s="111" t="str">
        <f t="shared" si="3814"/>
        <v>Hampton</v>
      </c>
    </row>
    <row r="3817" spans="1:5">
      <c r="A3817" s="3" t="s">
        <v>10848</v>
      </c>
      <c r="B3817" s="110" t="s">
        <v>1329</v>
      </c>
      <c r="C3817" s="111" t="s">
        <v>10849</v>
      </c>
      <c r="D3817" s="111" t="str">
        <f t="shared" ref="D3817:E3817" si="3815">TRIM(B3817)</f>
        <v>Georgia</v>
      </c>
      <c r="E3817" s="111" t="str">
        <f t="shared" si="3815"/>
        <v>Harlem</v>
      </c>
    </row>
    <row r="3818" spans="1:5">
      <c r="A3818" s="3" t="s">
        <v>10851</v>
      </c>
      <c r="B3818" s="110" t="s">
        <v>1329</v>
      </c>
      <c r="C3818" s="112" t="s">
        <v>10267</v>
      </c>
      <c r="D3818" s="111" t="str">
        <f t="shared" ref="D3818:E3818" si="3816">TRIM(B3818)</f>
        <v>Georgia</v>
      </c>
      <c r="E3818" s="111" t="str">
        <f t="shared" si="3816"/>
        <v>Hartwell</v>
      </c>
    </row>
    <row r="3819" spans="1:5">
      <c r="A3819" s="3" t="s">
        <v>10852</v>
      </c>
      <c r="B3819" s="110" t="s">
        <v>1329</v>
      </c>
      <c r="C3819" s="111" t="s">
        <v>10853</v>
      </c>
      <c r="D3819" s="111" t="str">
        <f t="shared" ref="D3819:E3819" si="3817">TRIM(B3819)</f>
        <v>Georgia</v>
      </c>
      <c r="E3819" s="111" t="str">
        <f t="shared" si="3817"/>
        <v>Hawkinsville</v>
      </c>
    </row>
    <row r="3820" spans="1:5">
      <c r="A3820" s="3" t="s">
        <v>10856</v>
      </c>
      <c r="B3820" s="110" t="s">
        <v>1329</v>
      </c>
      <c r="C3820" s="111" t="s">
        <v>10857</v>
      </c>
      <c r="D3820" s="111" t="str">
        <f t="shared" ref="D3820:E3820" si="3818">TRIM(B3820)</f>
        <v>Georgia</v>
      </c>
      <c r="E3820" s="111" t="str">
        <f t="shared" si="3818"/>
        <v>Hazlehurst</v>
      </c>
    </row>
    <row r="3821" spans="1:5">
      <c r="A3821" s="3" t="s">
        <v>10860</v>
      </c>
      <c r="B3821" s="110" t="s">
        <v>1329</v>
      </c>
      <c r="C3821" s="111" t="s">
        <v>10861</v>
      </c>
      <c r="D3821" s="111" t="str">
        <f t="shared" ref="D3821:E3821" si="3819">TRIM(B3821)</f>
        <v>Georgia</v>
      </c>
      <c r="E3821" s="111" t="str">
        <f t="shared" si="3819"/>
        <v>Hephzibah</v>
      </c>
    </row>
    <row r="3822" spans="1:5">
      <c r="A3822" s="3" t="s">
        <v>10863</v>
      </c>
      <c r="B3822" s="110" t="s">
        <v>1329</v>
      </c>
      <c r="C3822" s="111" t="s">
        <v>10309</v>
      </c>
      <c r="D3822" s="111" t="str">
        <f t="shared" ref="D3822:E3822" si="3820">TRIM(B3822)</f>
        <v>Georgia</v>
      </c>
      <c r="E3822" s="111" t="str">
        <f t="shared" si="3820"/>
        <v>Hiawassee</v>
      </c>
    </row>
    <row r="3823" spans="1:5">
      <c r="A3823" s="110" t="s">
        <v>10867</v>
      </c>
      <c r="B3823" s="110" t="s">
        <v>1329</v>
      </c>
      <c r="C3823" s="111" t="s">
        <v>10868</v>
      </c>
      <c r="D3823" s="111" t="str">
        <f t="shared" ref="D3823:E3823" si="3821">TRIM(B3823)</f>
        <v>Georgia</v>
      </c>
      <c r="E3823" s="111" t="str">
        <f t="shared" si="3821"/>
        <v>Hinesville</v>
      </c>
    </row>
    <row r="3824" spans="1:5">
      <c r="A3824" s="3" t="s">
        <v>9009</v>
      </c>
      <c r="B3824" s="110" t="s">
        <v>1329</v>
      </c>
      <c r="C3824" s="111" t="s">
        <v>10868</v>
      </c>
      <c r="D3824" s="111" t="str">
        <f t="shared" ref="D3824:E3824" si="3822">TRIM(B3824)</f>
        <v>Georgia</v>
      </c>
      <c r="E3824" s="111" t="str">
        <f t="shared" si="3822"/>
        <v>Hinesville</v>
      </c>
    </row>
    <row r="3825" spans="1:5">
      <c r="A3825" s="3" t="s">
        <v>10872</v>
      </c>
      <c r="B3825" s="110" t="s">
        <v>1329</v>
      </c>
      <c r="C3825" s="111" t="s">
        <v>8482</v>
      </c>
      <c r="D3825" s="111" t="str">
        <f t="shared" ref="D3825:E3825" si="3823">TRIM(B3825)</f>
        <v>Georgia</v>
      </c>
      <c r="E3825" s="111" t="str">
        <f t="shared" si="3823"/>
        <v>Hiram</v>
      </c>
    </row>
    <row r="3826" spans="1:5">
      <c r="A3826" s="3" t="s">
        <v>10875</v>
      </c>
      <c r="B3826" s="110" t="s">
        <v>1329</v>
      </c>
      <c r="C3826" s="111" t="s">
        <v>10876</v>
      </c>
      <c r="D3826" s="111" t="str">
        <f t="shared" ref="D3826:E3826" si="3824">TRIM(B3826)</f>
        <v>Georgia</v>
      </c>
      <c r="E3826" s="111" t="str">
        <f t="shared" si="3824"/>
        <v>Hogansville</v>
      </c>
    </row>
    <row r="3827" spans="1:5">
      <c r="A3827" s="3" t="s">
        <v>10878</v>
      </c>
      <c r="B3827" s="110" t="s">
        <v>1329</v>
      </c>
      <c r="C3827" s="111" t="s">
        <v>239</v>
      </c>
      <c r="D3827" s="111" t="str">
        <f t="shared" ref="D3827:E3827" si="3825">TRIM(B3827)</f>
        <v>Georgia</v>
      </c>
      <c r="E3827" s="111" t="str">
        <f t="shared" si="3825"/>
        <v>Homer</v>
      </c>
    </row>
    <row r="3828" spans="1:5">
      <c r="A3828" s="3" t="s">
        <v>10881</v>
      </c>
      <c r="B3828" s="110" t="s">
        <v>1329</v>
      </c>
      <c r="C3828" s="111" t="s">
        <v>10883</v>
      </c>
      <c r="D3828" s="111" t="str">
        <f t="shared" ref="D3828:E3828" si="3826">TRIM(B3828)</f>
        <v>Georgia</v>
      </c>
      <c r="E3828" s="111" t="str">
        <f t="shared" si="3826"/>
        <v>Homerville</v>
      </c>
    </row>
    <row r="3829" spans="1:5">
      <c r="A3829" s="3" t="s">
        <v>10884</v>
      </c>
      <c r="B3829" s="110" t="s">
        <v>1329</v>
      </c>
      <c r="C3829" s="111" t="s">
        <v>10885</v>
      </c>
      <c r="D3829" s="111" t="str">
        <f t="shared" ref="D3829:E3829" si="3827">TRIM(B3829)</f>
        <v>Georgia</v>
      </c>
      <c r="E3829" s="111" t="str">
        <f t="shared" si="3827"/>
        <v>Hoschton</v>
      </c>
    </row>
    <row r="3830" spans="1:5">
      <c r="A3830" s="3" t="s">
        <v>10888</v>
      </c>
      <c r="B3830" s="110" t="s">
        <v>1329</v>
      </c>
      <c r="C3830" s="111" t="s">
        <v>10889</v>
      </c>
      <c r="D3830" s="111" t="str">
        <f t="shared" ref="D3830:E3830" si="3828">TRIM(B3830)</f>
        <v>Georgia</v>
      </c>
      <c r="E3830" s="111" t="str">
        <f t="shared" si="3828"/>
        <v>Irwinton</v>
      </c>
    </row>
    <row r="3831" spans="1:5">
      <c r="A3831" s="3" t="s">
        <v>1890</v>
      </c>
      <c r="B3831" s="110" t="s">
        <v>1329</v>
      </c>
      <c r="C3831" s="111" t="s">
        <v>297</v>
      </c>
      <c r="D3831" s="111" t="str">
        <f t="shared" ref="D3831:E3831" si="3829">TRIM(B3831)</f>
        <v>Georgia</v>
      </c>
      <c r="E3831" s="111" t="str">
        <f t="shared" si="3829"/>
        <v>Jackson</v>
      </c>
    </row>
    <row r="3832" spans="1:5">
      <c r="A3832" s="3" t="s">
        <v>2123</v>
      </c>
      <c r="B3832" s="110" t="s">
        <v>1329</v>
      </c>
      <c r="C3832" s="111" t="s">
        <v>263</v>
      </c>
      <c r="D3832" s="111" t="str">
        <f t="shared" ref="D3832:E3832" si="3830">TRIM(B3832)</f>
        <v>Georgia</v>
      </c>
      <c r="E3832" s="111" t="str">
        <f t="shared" si="3830"/>
        <v>Jasper</v>
      </c>
    </row>
    <row r="3833" spans="1:5">
      <c r="A3833" s="3" t="s">
        <v>10894</v>
      </c>
      <c r="B3833" s="110" t="s">
        <v>1329</v>
      </c>
      <c r="C3833" s="111" t="s">
        <v>7891</v>
      </c>
      <c r="D3833" s="111" t="str">
        <f t="shared" ref="D3833:E3833" si="3831">TRIM(B3833)</f>
        <v>Georgia</v>
      </c>
      <c r="E3833" s="111" t="str">
        <f t="shared" si="3831"/>
        <v>Jefferson</v>
      </c>
    </row>
    <row r="3834" spans="1:5">
      <c r="A3834" s="3" t="s">
        <v>4802</v>
      </c>
      <c r="B3834" s="110" t="s">
        <v>1329</v>
      </c>
      <c r="C3834" s="111" t="s">
        <v>7891</v>
      </c>
      <c r="D3834" s="111" t="str">
        <f t="shared" ref="D3834:E3834" si="3832">TRIM(B3834)</f>
        <v>Georgia</v>
      </c>
      <c r="E3834" s="111" t="str">
        <f t="shared" si="3832"/>
        <v>Jefferson</v>
      </c>
    </row>
    <row r="3835" spans="1:5">
      <c r="A3835" s="3" t="s">
        <v>10899</v>
      </c>
      <c r="B3835" s="110" t="s">
        <v>1329</v>
      </c>
      <c r="C3835" s="111" t="s">
        <v>299</v>
      </c>
      <c r="D3835" s="111" t="str">
        <f t="shared" ref="D3835:E3835" si="3833">TRIM(B3835)</f>
        <v>Georgia</v>
      </c>
      <c r="E3835" s="111" t="str">
        <f t="shared" si="3833"/>
        <v>Jeffersonville</v>
      </c>
    </row>
    <row r="3836" spans="1:5">
      <c r="A3836" s="3" t="s">
        <v>10902</v>
      </c>
      <c r="B3836" s="110" t="s">
        <v>1329</v>
      </c>
      <c r="C3836" s="111" t="s">
        <v>10903</v>
      </c>
      <c r="D3836" s="111" t="str">
        <f t="shared" ref="D3836:E3836" si="3834">TRIM(B3836)</f>
        <v>Georgia</v>
      </c>
      <c r="E3836" s="111" t="str">
        <f t="shared" si="3834"/>
        <v>Jesup</v>
      </c>
    </row>
    <row r="3837" spans="1:5">
      <c r="A3837" s="3" t="s">
        <v>10905</v>
      </c>
      <c r="B3837" s="110" t="s">
        <v>1329</v>
      </c>
      <c r="C3837" s="111" t="s">
        <v>10906</v>
      </c>
      <c r="D3837" s="111" t="str">
        <f t="shared" ref="D3837:E3837" si="3835">TRIM(B3837)</f>
        <v>Georgia</v>
      </c>
      <c r="E3837" s="111" t="str">
        <f t="shared" si="3835"/>
        <v>Johns Creek</v>
      </c>
    </row>
    <row r="3838" spans="1:5">
      <c r="A3838" s="3" t="s">
        <v>10908</v>
      </c>
      <c r="B3838" s="110" t="s">
        <v>1329</v>
      </c>
      <c r="C3838" s="111" t="s">
        <v>3903</v>
      </c>
      <c r="D3838" s="111" t="str">
        <f t="shared" ref="D3838:E3838" si="3836">TRIM(B3838)</f>
        <v>Georgia</v>
      </c>
      <c r="E3838" s="111" t="str">
        <f t="shared" si="3836"/>
        <v>Jonesboro</v>
      </c>
    </row>
    <row r="3839" spans="1:5">
      <c r="A3839" s="3" t="s">
        <v>10911</v>
      </c>
      <c r="B3839" s="110" t="s">
        <v>1329</v>
      </c>
      <c r="C3839" s="111" t="s">
        <v>3903</v>
      </c>
      <c r="D3839" s="111" t="str">
        <f t="shared" ref="D3839:E3839" si="3837">TRIM(B3839)</f>
        <v>Georgia</v>
      </c>
      <c r="E3839" s="111" t="str">
        <f t="shared" si="3837"/>
        <v>Jonesboro</v>
      </c>
    </row>
    <row r="3840" spans="1:5">
      <c r="A3840" s="110" t="s">
        <v>10913</v>
      </c>
      <c r="B3840" s="110" t="s">
        <v>1329</v>
      </c>
      <c r="C3840" s="111" t="s">
        <v>3903</v>
      </c>
      <c r="D3840" s="111" t="str">
        <f t="shared" ref="D3840:E3840" si="3838">TRIM(B3840)</f>
        <v>Georgia</v>
      </c>
      <c r="E3840" s="111" t="str">
        <f t="shared" si="3838"/>
        <v>Jonesboro</v>
      </c>
    </row>
    <row r="3841" spans="1:5">
      <c r="A3841" s="3" t="s">
        <v>10916</v>
      </c>
      <c r="B3841" s="110" t="s">
        <v>1329</v>
      </c>
      <c r="C3841" s="111" t="s">
        <v>3903</v>
      </c>
      <c r="D3841" s="111" t="str">
        <f t="shared" ref="D3841:E3841" si="3839">TRIM(B3841)</f>
        <v>Georgia</v>
      </c>
      <c r="E3841" s="111" t="str">
        <f t="shared" si="3839"/>
        <v>Jonesboro</v>
      </c>
    </row>
    <row r="3842" spans="1:5">
      <c r="A3842" s="3" t="s">
        <v>10918</v>
      </c>
      <c r="B3842" s="110" t="s">
        <v>1329</v>
      </c>
      <c r="C3842" s="111" t="s">
        <v>3903</v>
      </c>
      <c r="D3842" s="111" t="str">
        <f t="shared" ref="D3842:E3842" si="3840">TRIM(B3842)</f>
        <v>Georgia</v>
      </c>
      <c r="E3842" s="111" t="str">
        <f t="shared" si="3840"/>
        <v>Jonesboro</v>
      </c>
    </row>
    <row r="3843" spans="1:5">
      <c r="A3843" s="3" t="s">
        <v>10920</v>
      </c>
      <c r="B3843" s="110" t="s">
        <v>1329</v>
      </c>
      <c r="C3843" s="111" t="s">
        <v>3903</v>
      </c>
      <c r="D3843" s="111" t="str">
        <f t="shared" ref="D3843:E3843" si="3841">TRIM(B3843)</f>
        <v>Georgia</v>
      </c>
      <c r="E3843" s="111" t="str">
        <f t="shared" si="3841"/>
        <v>Jonesboro</v>
      </c>
    </row>
    <row r="3844" spans="1:5">
      <c r="A3844" s="3" t="s">
        <v>10922</v>
      </c>
      <c r="B3844" s="110" t="s">
        <v>1329</v>
      </c>
      <c r="C3844" s="111" t="s">
        <v>10923</v>
      </c>
      <c r="D3844" s="111" t="str">
        <f t="shared" ref="D3844:E3844" si="3842">TRIM(B3844)</f>
        <v>Georgia</v>
      </c>
      <c r="E3844" s="111" t="str">
        <f t="shared" si="3842"/>
        <v>Kathleen</v>
      </c>
    </row>
    <row r="3845" spans="1:5">
      <c r="A3845" s="3" t="s">
        <v>3848</v>
      </c>
      <c r="B3845" s="110" t="s">
        <v>1329</v>
      </c>
      <c r="C3845" s="111" t="s">
        <v>10925</v>
      </c>
      <c r="D3845" s="111" t="str">
        <f t="shared" ref="D3845:E3845" si="3843">TRIM(B3845)</f>
        <v>Georgia</v>
      </c>
      <c r="E3845" s="111" t="str">
        <f t="shared" si="3843"/>
        <v>Kennesaw</v>
      </c>
    </row>
    <row r="3846" spans="1:5">
      <c r="A3846" s="3" t="s">
        <v>10927</v>
      </c>
      <c r="B3846" s="110" t="s">
        <v>1329</v>
      </c>
      <c r="C3846" s="111" t="s">
        <v>10925</v>
      </c>
      <c r="D3846" s="111" t="str">
        <f t="shared" ref="D3846:E3846" si="3844">TRIM(B3846)</f>
        <v>Georgia</v>
      </c>
      <c r="E3846" s="111" t="str">
        <f t="shared" si="3844"/>
        <v>Kennesaw</v>
      </c>
    </row>
    <row r="3847" spans="1:5">
      <c r="A3847" s="3" t="s">
        <v>10930</v>
      </c>
      <c r="B3847" s="110" t="s">
        <v>1329</v>
      </c>
      <c r="C3847" s="111" t="s">
        <v>10925</v>
      </c>
      <c r="D3847" s="111" t="str">
        <f t="shared" ref="D3847:E3847" si="3845">TRIM(B3847)</f>
        <v>Georgia</v>
      </c>
      <c r="E3847" s="111" t="str">
        <f t="shared" si="3845"/>
        <v>Kennesaw</v>
      </c>
    </row>
    <row r="3848" spans="1:5">
      <c r="A3848" s="3" t="s">
        <v>10932</v>
      </c>
      <c r="B3848" s="110" t="s">
        <v>1329</v>
      </c>
      <c r="C3848" s="111" t="s">
        <v>10933</v>
      </c>
      <c r="D3848" s="111" t="str">
        <f t="shared" ref="D3848:E3848" si="3846">TRIM(B3848)</f>
        <v>Georgia</v>
      </c>
      <c r="E3848" s="111" t="str">
        <f t="shared" si="3846"/>
        <v>Kingsland</v>
      </c>
    </row>
    <row r="3849" spans="1:5">
      <c r="A3849" s="3" t="s">
        <v>1907</v>
      </c>
      <c r="B3849" s="110" t="s">
        <v>1329</v>
      </c>
      <c r="C3849" s="111" t="s">
        <v>10936</v>
      </c>
      <c r="D3849" s="111" t="str">
        <f t="shared" ref="D3849:E3849" si="3847">TRIM(B3849)</f>
        <v>Georgia</v>
      </c>
      <c r="E3849" s="111" t="str">
        <f t="shared" si="3847"/>
        <v>La Fayette</v>
      </c>
    </row>
    <row r="3850" spans="1:5">
      <c r="A3850" s="3" t="s">
        <v>10938</v>
      </c>
      <c r="B3850" s="110" t="s">
        <v>1329</v>
      </c>
      <c r="C3850" s="111" t="s">
        <v>10337</v>
      </c>
      <c r="D3850" s="111" t="str">
        <f t="shared" ref="D3850:E3850" si="3848">TRIM(B3850)</f>
        <v>Georgia</v>
      </c>
      <c r="E3850" s="111" t="str">
        <f t="shared" si="3848"/>
        <v>Lagrange</v>
      </c>
    </row>
    <row r="3851" spans="1:5">
      <c r="A3851" s="3" t="s">
        <v>10940</v>
      </c>
      <c r="B3851" s="110" t="s">
        <v>1329</v>
      </c>
      <c r="C3851" s="111" t="s">
        <v>10337</v>
      </c>
      <c r="D3851" s="111" t="str">
        <f t="shared" ref="D3851:E3851" si="3849">TRIM(B3851)</f>
        <v>Georgia</v>
      </c>
      <c r="E3851" s="111" t="str">
        <f t="shared" si="3849"/>
        <v>Lagrange</v>
      </c>
    </row>
    <row r="3852" spans="1:5">
      <c r="A3852" s="3" t="s">
        <v>10943</v>
      </c>
      <c r="B3852" s="110" t="s">
        <v>1329</v>
      </c>
      <c r="C3852" s="111" t="s">
        <v>1009</v>
      </c>
      <c r="D3852" s="111" t="str">
        <f t="shared" ref="D3852:E3852" si="3850">TRIM(B3852)</f>
        <v>Georgia</v>
      </c>
      <c r="E3852" s="111" t="str">
        <f t="shared" si="3850"/>
        <v>Lakeland</v>
      </c>
    </row>
    <row r="3853" spans="1:5">
      <c r="A3853" s="3" t="s">
        <v>10946</v>
      </c>
      <c r="B3853" s="110" t="s">
        <v>1329</v>
      </c>
      <c r="C3853" s="111" t="s">
        <v>421</v>
      </c>
      <c r="D3853" s="111" t="str">
        <f t="shared" ref="D3853:E3853" si="3851">TRIM(B3853)</f>
        <v>Georgia</v>
      </c>
      <c r="E3853" s="111" t="str">
        <f t="shared" si="3851"/>
        <v>Lawrenceville</v>
      </c>
    </row>
    <row r="3854" spans="1:5">
      <c r="A3854" s="3" t="s">
        <v>10947</v>
      </c>
      <c r="B3854" s="110" t="s">
        <v>1329</v>
      </c>
      <c r="C3854" s="111" t="s">
        <v>421</v>
      </c>
      <c r="D3854" s="111" t="str">
        <f t="shared" ref="D3854:E3854" si="3852">TRIM(B3854)</f>
        <v>Georgia</v>
      </c>
      <c r="E3854" s="111" t="str">
        <f t="shared" si="3852"/>
        <v>Lawrenceville</v>
      </c>
    </row>
    <row r="3855" spans="1:5">
      <c r="A3855" s="3" t="s">
        <v>9482</v>
      </c>
      <c r="B3855" s="110" t="s">
        <v>1329</v>
      </c>
      <c r="C3855" s="111" t="s">
        <v>421</v>
      </c>
      <c r="D3855" s="111" t="str">
        <f t="shared" ref="D3855:E3855" si="3853">TRIM(B3855)</f>
        <v>Georgia</v>
      </c>
      <c r="E3855" s="111" t="str">
        <f t="shared" si="3853"/>
        <v>Lawrenceville</v>
      </c>
    </row>
    <row r="3856" spans="1:5">
      <c r="A3856" s="110" t="s">
        <v>10951</v>
      </c>
      <c r="B3856" s="110" t="s">
        <v>1329</v>
      </c>
      <c r="C3856" s="111" t="s">
        <v>421</v>
      </c>
      <c r="D3856" s="111" t="str">
        <f t="shared" ref="D3856:E3856" si="3854">TRIM(B3856)</f>
        <v>Georgia</v>
      </c>
      <c r="E3856" s="111" t="str">
        <f t="shared" si="3854"/>
        <v>Lawrenceville</v>
      </c>
    </row>
    <row r="3857" spans="1:5">
      <c r="A3857" s="3" t="s">
        <v>2842</v>
      </c>
      <c r="B3857" s="110" t="s">
        <v>1329</v>
      </c>
      <c r="C3857" s="111" t="s">
        <v>421</v>
      </c>
      <c r="D3857" s="111" t="str">
        <f t="shared" ref="D3857:E3857" si="3855">TRIM(B3857)</f>
        <v>Georgia</v>
      </c>
      <c r="E3857" s="111" t="str">
        <f t="shared" si="3855"/>
        <v>Lawrenceville</v>
      </c>
    </row>
    <row r="3858" spans="1:5">
      <c r="A3858" s="3" t="s">
        <v>10953</v>
      </c>
      <c r="B3858" s="110" t="s">
        <v>1329</v>
      </c>
      <c r="C3858" s="111" t="s">
        <v>9550</v>
      </c>
      <c r="D3858" s="111" t="str">
        <f t="shared" ref="D3858:E3858" si="3856">TRIM(B3858)</f>
        <v>Georgia</v>
      </c>
      <c r="E3858" s="111" t="str">
        <f t="shared" si="3856"/>
        <v>Leesburg</v>
      </c>
    </row>
    <row r="3859" spans="1:5">
      <c r="A3859" s="3" t="s">
        <v>10956</v>
      </c>
      <c r="B3859" s="110" t="s">
        <v>1329</v>
      </c>
      <c r="C3859" s="111" t="s">
        <v>506</v>
      </c>
      <c r="D3859" s="111" t="str">
        <f t="shared" ref="D3859:E3859" si="3857">TRIM(B3859)</f>
        <v>Georgia</v>
      </c>
      <c r="E3859" s="111" t="str">
        <f t="shared" si="3857"/>
        <v>Lexington</v>
      </c>
    </row>
    <row r="3860" spans="1:5">
      <c r="A3860" s="3" t="s">
        <v>10958</v>
      </c>
      <c r="B3860" s="110" t="s">
        <v>1329</v>
      </c>
      <c r="C3860" s="111" t="s">
        <v>10959</v>
      </c>
      <c r="D3860" s="111" t="str">
        <f t="shared" ref="D3860:E3860" si="3858">TRIM(B3860)</f>
        <v>Georgia</v>
      </c>
      <c r="E3860" s="111" t="str">
        <f t="shared" si="3858"/>
        <v>Lilburn</v>
      </c>
    </row>
    <row r="3861" spans="1:5">
      <c r="A3861" s="3" t="s">
        <v>10961</v>
      </c>
      <c r="B3861" s="110" t="s">
        <v>1329</v>
      </c>
      <c r="C3861" s="111" t="s">
        <v>10959</v>
      </c>
      <c r="D3861" s="111" t="str">
        <f t="shared" ref="D3861:E3861" si="3859">TRIM(B3861)</f>
        <v>Georgia</v>
      </c>
      <c r="E3861" s="111" t="str">
        <f t="shared" si="3859"/>
        <v>Lilburn</v>
      </c>
    </row>
    <row r="3862" spans="1:5">
      <c r="A3862" s="3" t="s">
        <v>10963</v>
      </c>
      <c r="B3862" s="110" t="s">
        <v>1329</v>
      </c>
      <c r="C3862" s="111" t="s">
        <v>794</v>
      </c>
      <c r="D3862" s="111" t="str">
        <f t="shared" ref="D3862:E3862" si="3860">TRIM(B3862)</f>
        <v>Georgia</v>
      </c>
      <c r="E3862" s="111" t="str">
        <f t="shared" si="3860"/>
        <v>Lincolnton</v>
      </c>
    </row>
    <row r="3863" spans="1:5">
      <c r="A3863" s="3" t="s">
        <v>10965</v>
      </c>
      <c r="B3863" s="110" t="s">
        <v>1329</v>
      </c>
      <c r="C3863" s="111" t="s">
        <v>10966</v>
      </c>
      <c r="D3863" s="111" t="str">
        <f t="shared" ref="D3863:E3863" si="3861">TRIM(B3863)</f>
        <v>Georgia</v>
      </c>
      <c r="E3863" s="111" t="str">
        <f t="shared" si="3861"/>
        <v>Lindale</v>
      </c>
    </row>
    <row r="3864" spans="1:5">
      <c r="A3864" s="3" t="s">
        <v>10969</v>
      </c>
      <c r="B3864" s="110" t="s">
        <v>1329</v>
      </c>
      <c r="C3864" s="112" t="s">
        <v>10970</v>
      </c>
      <c r="D3864" s="111" t="str">
        <f t="shared" ref="D3864:E3864" si="3862">TRIM(B3864)</f>
        <v>Georgia</v>
      </c>
      <c r="E3864" s="111" t="str">
        <f t="shared" si="3862"/>
        <v>Lithia Springs</v>
      </c>
    </row>
    <row r="3865" spans="1:5">
      <c r="A3865" s="3" t="s">
        <v>10974</v>
      </c>
      <c r="B3865" s="110" t="s">
        <v>1329</v>
      </c>
      <c r="C3865" s="111" t="s">
        <v>2610</v>
      </c>
      <c r="D3865" s="111" t="str">
        <f t="shared" ref="D3865:E3865" si="3863">TRIM(B3865)</f>
        <v>Georgia</v>
      </c>
      <c r="E3865" s="111" t="str">
        <f t="shared" si="3863"/>
        <v>Lithonia</v>
      </c>
    </row>
    <row r="3866" spans="1:5">
      <c r="A3866" s="3" t="s">
        <v>10977</v>
      </c>
      <c r="B3866" s="110" t="s">
        <v>1329</v>
      </c>
      <c r="C3866" s="111" t="s">
        <v>2610</v>
      </c>
      <c r="D3866" s="111" t="str">
        <f t="shared" ref="D3866:E3866" si="3864">TRIM(B3866)</f>
        <v>Georgia</v>
      </c>
      <c r="E3866" s="111" t="str">
        <f t="shared" si="3864"/>
        <v>Lithonia</v>
      </c>
    </row>
    <row r="3867" spans="1:5">
      <c r="A3867" s="3" t="s">
        <v>10979</v>
      </c>
      <c r="B3867" s="110" t="s">
        <v>1329</v>
      </c>
      <c r="C3867" s="111" t="s">
        <v>2610</v>
      </c>
      <c r="D3867" s="111" t="str">
        <f t="shared" ref="D3867:E3867" si="3865">TRIM(B3867)</f>
        <v>Georgia</v>
      </c>
      <c r="E3867" s="111" t="str">
        <f t="shared" si="3865"/>
        <v>Lithonia</v>
      </c>
    </row>
    <row r="3868" spans="1:5">
      <c r="A3868" s="3" t="s">
        <v>10982</v>
      </c>
      <c r="B3868" s="110" t="s">
        <v>1329</v>
      </c>
      <c r="C3868" s="111" t="s">
        <v>2610</v>
      </c>
      <c r="D3868" s="111" t="str">
        <f t="shared" ref="D3868:E3868" si="3866">TRIM(B3868)</f>
        <v>Georgia</v>
      </c>
      <c r="E3868" s="111" t="str">
        <f t="shared" si="3866"/>
        <v>Lithonia</v>
      </c>
    </row>
    <row r="3869" spans="1:5">
      <c r="A3869" s="3" t="s">
        <v>10985</v>
      </c>
      <c r="B3869" s="110" t="s">
        <v>1329</v>
      </c>
      <c r="C3869" s="111" t="s">
        <v>10987</v>
      </c>
      <c r="D3869" s="111" t="str">
        <f t="shared" ref="D3869:E3869" si="3867">TRIM(B3869)</f>
        <v>Georgia</v>
      </c>
      <c r="E3869" s="111" t="str">
        <f t="shared" si="3867"/>
        <v>Locust Grove</v>
      </c>
    </row>
    <row r="3870" spans="1:5">
      <c r="A3870" s="3" t="s">
        <v>10990</v>
      </c>
      <c r="B3870" s="110" t="s">
        <v>1329</v>
      </c>
      <c r="C3870" s="111" t="s">
        <v>10987</v>
      </c>
      <c r="D3870" s="111" t="str">
        <f t="shared" ref="D3870:E3870" si="3868">TRIM(B3870)</f>
        <v>Georgia</v>
      </c>
      <c r="E3870" s="111" t="str">
        <f t="shared" si="3868"/>
        <v>Locust Grove</v>
      </c>
    </row>
    <row r="3871" spans="1:5">
      <c r="A3871" s="3" t="s">
        <v>10992</v>
      </c>
      <c r="B3871" s="110" t="s">
        <v>1329</v>
      </c>
      <c r="C3871" s="111" t="s">
        <v>599</v>
      </c>
      <c r="D3871" s="111" t="str">
        <f t="shared" ref="D3871:E3871" si="3869">TRIM(B3871)</f>
        <v>Georgia</v>
      </c>
      <c r="E3871" s="111" t="str">
        <f t="shared" si="3869"/>
        <v>Loganville</v>
      </c>
    </row>
    <row r="3872" spans="1:5">
      <c r="A3872" s="3" t="s">
        <v>10996</v>
      </c>
      <c r="B3872" s="110" t="s">
        <v>1329</v>
      </c>
      <c r="C3872" s="111" t="s">
        <v>599</v>
      </c>
      <c r="D3872" s="111" t="str">
        <f t="shared" ref="D3872:E3872" si="3870">TRIM(B3872)</f>
        <v>Georgia</v>
      </c>
      <c r="E3872" s="111" t="str">
        <f t="shared" si="3870"/>
        <v>Loganville</v>
      </c>
    </row>
    <row r="3873" spans="1:5">
      <c r="A3873" s="3" t="s">
        <v>10999</v>
      </c>
      <c r="B3873" s="110" t="s">
        <v>1329</v>
      </c>
      <c r="C3873" s="111" t="s">
        <v>599</v>
      </c>
      <c r="D3873" s="111" t="str">
        <f t="shared" ref="D3873:E3873" si="3871">TRIM(B3873)</f>
        <v>Georgia</v>
      </c>
      <c r="E3873" s="111" t="str">
        <f t="shared" si="3871"/>
        <v>Loganville</v>
      </c>
    </row>
    <row r="3874" spans="1:5">
      <c r="A3874" s="3" t="s">
        <v>11001</v>
      </c>
      <c r="B3874" s="110" t="s">
        <v>1329</v>
      </c>
      <c r="C3874" s="111" t="s">
        <v>494</v>
      </c>
      <c r="D3874" s="111" t="str">
        <f t="shared" ref="D3874:E3874" si="3872">TRIM(B3874)</f>
        <v>Georgia</v>
      </c>
      <c r="E3874" s="111" t="str">
        <f t="shared" si="3872"/>
        <v>Louisville</v>
      </c>
    </row>
    <row r="3875" spans="1:5">
      <c r="A3875" s="3" t="s">
        <v>11003</v>
      </c>
      <c r="B3875" s="110" t="s">
        <v>1329</v>
      </c>
      <c r="C3875" s="111" t="s">
        <v>11004</v>
      </c>
      <c r="D3875" s="111" t="str">
        <f t="shared" ref="D3875:E3875" si="3873">TRIM(B3875)</f>
        <v>Georgia</v>
      </c>
      <c r="E3875" s="111" t="str">
        <f t="shared" si="3873"/>
        <v>Ludowici</v>
      </c>
    </row>
    <row r="3876" spans="1:5">
      <c r="A3876" s="3" t="s">
        <v>11006</v>
      </c>
      <c r="B3876" s="110" t="s">
        <v>1329</v>
      </c>
      <c r="C3876" s="111" t="s">
        <v>11007</v>
      </c>
      <c r="D3876" s="111" t="str">
        <f t="shared" ref="D3876:E3876" si="3874">TRIM(B3876)</f>
        <v>Georgia</v>
      </c>
      <c r="E3876" s="111" t="str">
        <f t="shared" si="3874"/>
        <v>Lumpkin</v>
      </c>
    </row>
    <row r="3877" spans="1:5">
      <c r="A3877" s="3" t="s">
        <v>11009</v>
      </c>
      <c r="B3877" s="110" t="s">
        <v>1329</v>
      </c>
      <c r="C3877" s="111" t="s">
        <v>8090</v>
      </c>
      <c r="D3877" s="111" t="str">
        <f t="shared" ref="D3877:E3877" si="3875">TRIM(B3877)</f>
        <v>Georgia</v>
      </c>
      <c r="E3877" s="111" t="str">
        <f t="shared" si="3875"/>
        <v>Lyons</v>
      </c>
    </row>
    <row r="3878" spans="1:5">
      <c r="A3878" s="3" t="s">
        <v>11013</v>
      </c>
      <c r="B3878" s="110" t="s">
        <v>1329</v>
      </c>
      <c r="C3878" s="111" t="s">
        <v>581</v>
      </c>
      <c r="D3878" s="111" t="str">
        <f t="shared" ref="D3878:E3878" si="3876">TRIM(B3878)</f>
        <v>Georgia</v>
      </c>
      <c r="E3878" s="111" t="str">
        <f t="shared" si="3876"/>
        <v>Mableton</v>
      </c>
    </row>
    <row r="3879" spans="1:5">
      <c r="A3879" s="3" t="s">
        <v>1843</v>
      </c>
      <c r="B3879" s="110" t="s">
        <v>1329</v>
      </c>
      <c r="C3879" s="111" t="s">
        <v>10396</v>
      </c>
      <c r="D3879" s="111" t="str">
        <f t="shared" ref="D3879:E3879" si="3877">TRIM(B3879)</f>
        <v>Georgia</v>
      </c>
      <c r="E3879" s="111" t="str">
        <f t="shared" si="3877"/>
        <v>Macon</v>
      </c>
    </row>
    <row r="3880" spans="1:5">
      <c r="A3880" s="3" t="s">
        <v>11017</v>
      </c>
      <c r="B3880" s="110" t="s">
        <v>1329</v>
      </c>
      <c r="C3880" s="111" t="s">
        <v>10396</v>
      </c>
      <c r="D3880" s="111" t="str">
        <f t="shared" ref="D3880:E3880" si="3878">TRIM(B3880)</f>
        <v>Georgia</v>
      </c>
      <c r="E3880" s="111" t="str">
        <f t="shared" si="3878"/>
        <v>Macon</v>
      </c>
    </row>
    <row r="3881" spans="1:5">
      <c r="A3881" s="3" t="s">
        <v>9797</v>
      </c>
      <c r="B3881" s="110" t="s">
        <v>1329</v>
      </c>
      <c r="C3881" s="111" t="s">
        <v>10396</v>
      </c>
      <c r="D3881" s="111" t="str">
        <f t="shared" ref="D3881:E3881" si="3879">TRIM(B3881)</f>
        <v>Georgia</v>
      </c>
      <c r="E3881" s="111" t="str">
        <f t="shared" si="3879"/>
        <v>Macon</v>
      </c>
    </row>
    <row r="3882" spans="1:5">
      <c r="A3882" s="3" t="s">
        <v>11022</v>
      </c>
      <c r="B3882" s="110" t="s">
        <v>1329</v>
      </c>
      <c r="C3882" s="111" t="s">
        <v>10396</v>
      </c>
      <c r="D3882" s="111" t="str">
        <f t="shared" ref="D3882:E3882" si="3880">TRIM(B3882)</f>
        <v>Georgia</v>
      </c>
      <c r="E3882" s="111" t="str">
        <f t="shared" si="3880"/>
        <v>Macon</v>
      </c>
    </row>
    <row r="3883" spans="1:5">
      <c r="A3883" s="3" t="s">
        <v>4893</v>
      </c>
      <c r="B3883" s="110" t="s">
        <v>1329</v>
      </c>
      <c r="C3883" s="111" t="s">
        <v>10396</v>
      </c>
      <c r="D3883" s="111" t="str">
        <f t="shared" ref="D3883:E3883" si="3881">TRIM(B3883)</f>
        <v>Georgia</v>
      </c>
      <c r="E3883" s="111" t="str">
        <f t="shared" si="3881"/>
        <v>Macon</v>
      </c>
    </row>
    <row r="3884" spans="1:5">
      <c r="A3884" s="3" t="s">
        <v>3698</v>
      </c>
      <c r="B3884" s="110" t="s">
        <v>1329</v>
      </c>
      <c r="C3884" s="111" t="s">
        <v>10396</v>
      </c>
      <c r="D3884" s="111" t="str">
        <f t="shared" ref="D3884:E3884" si="3882">TRIM(B3884)</f>
        <v>Georgia</v>
      </c>
      <c r="E3884" s="111" t="str">
        <f t="shared" si="3882"/>
        <v>Macon</v>
      </c>
    </row>
    <row r="3885" spans="1:5">
      <c r="A3885" s="3" t="s">
        <v>11029</v>
      </c>
      <c r="B3885" s="110" t="s">
        <v>1329</v>
      </c>
      <c r="C3885" s="111" t="s">
        <v>488</v>
      </c>
      <c r="D3885" s="111" t="str">
        <f t="shared" ref="D3885:E3885" si="3883">TRIM(B3885)</f>
        <v>Georgia</v>
      </c>
      <c r="E3885" s="111" t="str">
        <f t="shared" si="3883"/>
        <v>Madison</v>
      </c>
    </row>
    <row r="3886" spans="1:5">
      <c r="A3886" s="3" t="s">
        <v>8541</v>
      </c>
      <c r="B3886" s="110" t="s">
        <v>1329</v>
      </c>
      <c r="C3886" s="111" t="s">
        <v>8540</v>
      </c>
      <c r="D3886" s="111" t="str">
        <f t="shared" ref="D3886:E3886" si="3884">TRIM(B3886)</f>
        <v>Georgia</v>
      </c>
      <c r="E3886" s="111" t="str">
        <f t="shared" si="3884"/>
        <v>Manchester</v>
      </c>
    </row>
    <row r="3887" spans="1:5">
      <c r="A3887" s="3" t="s">
        <v>11034</v>
      </c>
      <c r="B3887" s="110" t="s">
        <v>1329</v>
      </c>
      <c r="C3887" s="111" t="s">
        <v>836</v>
      </c>
      <c r="D3887" s="111" t="str">
        <f t="shared" ref="D3887:E3887" si="3885">TRIM(B3887)</f>
        <v>Georgia</v>
      </c>
      <c r="E3887" s="111" t="str">
        <f t="shared" si="3885"/>
        <v>Marietta</v>
      </c>
    </row>
    <row r="3888" spans="1:5">
      <c r="A3888" s="110" t="s">
        <v>11037</v>
      </c>
      <c r="B3888" s="110" t="s">
        <v>1329</v>
      </c>
      <c r="C3888" s="111" t="s">
        <v>836</v>
      </c>
      <c r="D3888" s="111" t="str">
        <f t="shared" ref="D3888:E3888" si="3886">TRIM(B3888)</f>
        <v>Georgia</v>
      </c>
      <c r="E3888" s="111" t="str">
        <f t="shared" si="3886"/>
        <v>Marietta</v>
      </c>
    </row>
    <row r="3889" spans="1:5">
      <c r="A3889" s="3" t="s">
        <v>11039</v>
      </c>
      <c r="B3889" s="110" t="s">
        <v>1329</v>
      </c>
      <c r="C3889" s="111" t="s">
        <v>836</v>
      </c>
      <c r="D3889" s="111" t="str">
        <f t="shared" ref="D3889:E3889" si="3887">TRIM(B3889)</f>
        <v>Georgia</v>
      </c>
      <c r="E3889" s="111" t="str">
        <f t="shared" si="3887"/>
        <v>Marietta</v>
      </c>
    </row>
    <row r="3890" spans="1:5">
      <c r="A3890" s="3" t="s">
        <v>11044</v>
      </c>
      <c r="B3890" s="110" t="s">
        <v>1329</v>
      </c>
      <c r="C3890" s="111" t="s">
        <v>836</v>
      </c>
      <c r="D3890" s="111" t="str">
        <f t="shared" ref="D3890:E3890" si="3888">TRIM(B3890)</f>
        <v>Georgia</v>
      </c>
      <c r="E3890" s="111" t="str">
        <f t="shared" si="3888"/>
        <v>Marietta</v>
      </c>
    </row>
    <row r="3891" spans="1:5">
      <c r="A3891" s="3" t="s">
        <v>11046</v>
      </c>
      <c r="B3891" s="110" t="s">
        <v>1329</v>
      </c>
      <c r="C3891" s="111" t="s">
        <v>836</v>
      </c>
      <c r="D3891" s="111" t="str">
        <f t="shared" ref="D3891:E3891" si="3889">TRIM(B3891)</f>
        <v>Georgia</v>
      </c>
      <c r="E3891" s="111" t="str">
        <f t="shared" si="3889"/>
        <v>Marietta</v>
      </c>
    </row>
    <row r="3892" spans="1:5">
      <c r="A3892" s="3" t="s">
        <v>11049</v>
      </c>
      <c r="B3892" s="110" t="s">
        <v>1329</v>
      </c>
      <c r="C3892" s="111" t="s">
        <v>836</v>
      </c>
      <c r="D3892" s="111" t="str">
        <f t="shared" ref="D3892:E3892" si="3890">TRIM(B3892)</f>
        <v>Georgia</v>
      </c>
      <c r="E3892" s="111" t="str">
        <f t="shared" si="3890"/>
        <v>Marietta</v>
      </c>
    </row>
    <row r="3893" spans="1:5">
      <c r="A3893" s="3" t="s">
        <v>11052</v>
      </c>
      <c r="B3893" s="110" t="s">
        <v>1329</v>
      </c>
      <c r="C3893" s="111" t="s">
        <v>836</v>
      </c>
      <c r="D3893" s="111" t="str">
        <f t="shared" ref="D3893:E3893" si="3891">TRIM(B3893)</f>
        <v>Georgia</v>
      </c>
      <c r="E3893" s="111" t="str">
        <f t="shared" si="3891"/>
        <v>Marietta</v>
      </c>
    </row>
    <row r="3894" spans="1:5">
      <c r="A3894" s="3" t="s">
        <v>11055</v>
      </c>
      <c r="B3894" s="110" t="s">
        <v>1329</v>
      </c>
      <c r="C3894" s="111" t="s">
        <v>836</v>
      </c>
      <c r="D3894" s="111" t="str">
        <f t="shared" ref="D3894:E3894" si="3892">TRIM(B3894)</f>
        <v>Georgia</v>
      </c>
      <c r="E3894" s="111" t="str">
        <f t="shared" si="3892"/>
        <v>Marietta</v>
      </c>
    </row>
    <row r="3895" spans="1:5">
      <c r="A3895" s="3" t="s">
        <v>9150</v>
      </c>
      <c r="B3895" s="110" t="s">
        <v>1329</v>
      </c>
      <c r="C3895" s="111" t="s">
        <v>836</v>
      </c>
      <c r="D3895" s="111" t="str">
        <f t="shared" ref="D3895:E3895" si="3893">TRIM(B3895)</f>
        <v>Georgia</v>
      </c>
      <c r="E3895" s="111" t="str">
        <f t="shared" si="3893"/>
        <v>Marietta</v>
      </c>
    </row>
    <row r="3896" spans="1:5">
      <c r="A3896" s="3" t="s">
        <v>8616</v>
      </c>
      <c r="B3896" s="110" t="s">
        <v>1329</v>
      </c>
      <c r="C3896" s="111" t="s">
        <v>836</v>
      </c>
      <c r="D3896" s="111" t="str">
        <f t="shared" ref="D3896:E3896" si="3894">TRIM(B3896)</f>
        <v>Georgia</v>
      </c>
      <c r="E3896" s="111" t="str">
        <f t="shared" si="3894"/>
        <v>Marietta</v>
      </c>
    </row>
    <row r="3897" spans="1:5">
      <c r="A3897" s="3" t="s">
        <v>11061</v>
      </c>
      <c r="B3897" s="110" t="s">
        <v>1329</v>
      </c>
      <c r="C3897" s="111" t="s">
        <v>11062</v>
      </c>
      <c r="D3897" s="111" t="str">
        <f t="shared" ref="D3897:E3897" si="3895">TRIM(B3897)</f>
        <v>Georgia</v>
      </c>
      <c r="E3897" s="111" t="str">
        <f t="shared" si="3895"/>
        <v>Mc Rae Helena</v>
      </c>
    </row>
    <row r="3898" spans="1:5">
      <c r="A3898" s="3" t="s">
        <v>11064</v>
      </c>
      <c r="B3898" s="110" t="s">
        <v>1329</v>
      </c>
      <c r="C3898" s="111" t="s">
        <v>11065</v>
      </c>
      <c r="D3898" s="111" t="str">
        <f t="shared" ref="D3898:E3898" si="3896">TRIM(B3898)</f>
        <v>Georgia</v>
      </c>
      <c r="E3898" s="111" t="str">
        <f t="shared" si="3896"/>
        <v>Mcdonough</v>
      </c>
    </row>
    <row r="3899" spans="1:5">
      <c r="A3899" s="3" t="s">
        <v>11068</v>
      </c>
      <c r="B3899" s="110" t="s">
        <v>1329</v>
      </c>
      <c r="C3899" s="111" t="s">
        <v>11065</v>
      </c>
      <c r="D3899" s="111" t="str">
        <f t="shared" ref="D3899:E3899" si="3897">TRIM(B3899)</f>
        <v>Georgia</v>
      </c>
      <c r="E3899" s="111" t="str">
        <f t="shared" si="3897"/>
        <v>Mcdonough</v>
      </c>
    </row>
    <row r="3900" spans="1:5">
      <c r="A3900" s="3" t="s">
        <v>11070</v>
      </c>
      <c r="B3900" s="110" t="s">
        <v>1329</v>
      </c>
      <c r="C3900" s="111" t="s">
        <v>11065</v>
      </c>
      <c r="D3900" s="111" t="str">
        <f t="shared" ref="D3900:E3900" si="3898">TRIM(B3900)</f>
        <v>Georgia</v>
      </c>
      <c r="E3900" s="111" t="str">
        <f t="shared" si="3898"/>
        <v>Mcdonough</v>
      </c>
    </row>
    <row r="3901" spans="1:5">
      <c r="A3901" s="3" t="s">
        <v>11073</v>
      </c>
      <c r="B3901" s="110" t="s">
        <v>1329</v>
      </c>
      <c r="C3901" s="111" t="s">
        <v>11065</v>
      </c>
      <c r="D3901" s="111" t="str">
        <f t="shared" ref="D3901:E3901" si="3899">TRIM(B3901)</f>
        <v>Georgia</v>
      </c>
      <c r="E3901" s="111" t="str">
        <f t="shared" si="3899"/>
        <v>Mcdonough</v>
      </c>
    </row>
    <row r="3902" spans="1:5">
      <c r="A3902" s="3" t="s">
        <v>11075</v>
      </c>
      <c r="B3902" s="110" t="s">
        <v>1329</v>
      </c>
      <c r="C3902" s="111" t="s">
        <v>11065</v>
      </c>
      <c r="D3902" s="111" t="str">
        <f t="shared" ref="D3902:E3902" si="3900">TRIM(B3902)</f>
        <v>Georgia</v>
      </c>
      <c r="E3902" s="111" t="str">
        <f t="shared" si="3900"/>
        <v>Mcdonough</v>
      </c>
    </row>
    <row r="3903" spans="1:5">
      <c r="A3903" s="3" t="s">
        <v>11078</v>
      </c>
      <c r="B3903" s="110" t="s">
        <v>1329</v>
      </c>
      <c r="C3903" s="111" t="s">
        <v>11079</v>
      </c>
      <c r="D3903" s="111" t="str">
        <f t="shared" ref="D3903:E3903" si="3901">TRIM(B3903)</f>
        <v>Georgia</v>
      </c>
      <c r="E3903" s="111" t="str">
        <f t="shared" si="3901"/>
        <v>Metter</v>
      </c>
    </row>
    <row r="3904" spans="1:5">
      <c r="A3904" s="3" t="s">
        <v>11082</v>
      </c>
      <c r="B3904" s="110" t="s">
        <v>1329</v>
      </c>
      <c r="C3904" s="111" t="s">
        <v>11079</v>
      </c>
      <c r="D3904" s="111" t="str">
        <f t="shared" ref="D3904:E3904" si="3902">TRIM(B3904)</f>
        <v>Georgia</v>
      </c>
      <c r="E3904" s="111" t="str">
        <f t="shared" si="3902"/>
        <v>Metter</v>
      </c>
    </row>
    <row r="3905" spans="1:5">
      <c r="A3905" s="3" t="s">
        <v>11085</v>
      </c>
      <c r="B3905" s="110" t="s">
        <v>1329</v>
      </c>
      <c r="C3905" s="111" t="s">
        <v>11086</v>
      </c>
      <c r="D3905" s="111" t="str">
        <f t="shared" ref="D3905:E3905" si="3903">TRIM(B3905)</f>
        <v>Georgia</v>
      </c>
      <c r="E3905" s="111" t="str">
        <f t="shared" si="3903"/>
        <v>Milledgeville</v>
      </c>
    </row>
    <row r="3906" spans="1:5">
      <c r="A3906" s="3" t="s">
        <v>11090</v>
      </c>
      <c r="B3906" s="110" t="s">
        <v>1329</v>
      </c>
      <c r="C3906" s="111" t="s">
        <v>11091</v>
      </c>
      <c r="D3906" s="111" t="str">
        <f t="shared" ref="D3906:E3906" si="3904">TRIM(B3906)</f>
        <v>Georgia</v>
      </c>
      <c r="E3906" s="111" t="str">
        <f t="shared" si="3904"/>
        <v>Millen</v>
      </c>
    </row>
    <row r="3907" spans="1:5">
      <c r="A3907" s="3" t="s">
        <v>11094</v>
      </c>
      <c r="B3907" s="110" t="s">
        <v>1329</v>
      </c>
      <c r="C3907" s="111" t="s">
        <v>503</v>
      </c>
      <c r="D3907" s="111" t="str">
        <f t="shared" ref="D3907:E3907" si="3905">TRIM(B3907)</f>
        <v>Georgia</v>
      </c>
      <c r="E3907" s="111" t="str">
        <f t="shared" si="3905"/>
        <v>Milton</v>
      </c>
    </row>
    <row r="3908" spans="1:5">
      <c r="A3908" s="3" t="s">
        <v>11095</v>
      </c>
      <c r="B3908" s="110" t="s">
        <v>1329</v>
      </c>
      <c r="C3908" s="111" t="s">
        <v>380</v>
      </c>
      <c r="D3908" s="111" t="str">
        <f t="shared" ref="D3908:E3908" si="3906">TRIM(B3908)</f>
        <v>Georgia</v>
      </c>
      <c r="E3908" s="111" t="str">
        <f t="shared" si="3906"/>
        <v>Monroe</v>
      </c>
    </row>
    <row r="3909" spans="1:5">
      <c r="A3909" s="3" t="s">
        <v>11098</v>
      </c>
      <c r="B3909" s="110" t="s">
        <v>1329</v>
      </c>
      <c r="C3909" s="111" t="s">
        <v>11099</v>
      </c>
      <c r="D3909" s="111" t="str">
        <f t="shared" ref="D3909:E3909" si="3907">TRIM(B3909)</f>
        <v>Georgia</v>
      </c>
      <c r="E3909" s="111" t="str">
        <f t="shared" si="3907"/>
        <v>Montezuma</v>
      </c>
    </row>
    <row r="3910" spans="1:5">
      <c r="A3910" s="3" t="s">
        <v>11102</v>
      </c>
      <c r="B3910" s="110" t="s">
        <v>1329</v>
      </c>
      <c r="C3910" s="111" t="s">
        <v>4040</v>
      </c>
      <c r="D3910" s="111" t="str">
        <f t="shared" ref="D3910:E3910" si="3908">TRIM(B3910)</f>
        <v>Georgia</v>
      </c>
      <c r="E3910" s="111" t="str">
        <f t="shared" si="3908"/>
        <v>Monticello</v>
      </c>
    </row>
    <row r="3911" spans="1:5">
      <c r="A3911" s="3" t="s">
        <v>11104</v>
      </c>
      <c r="B3911" s="110" t="s">
        <v>1329</v>
      </c>
      <c r="C3911" s="111" t="s">
        <v>11105</v>
      </c>
      <c r="D3911" s="111" t="str">
        <f t="shared" ref="D3911:E3911" si="3909">TRIM(B3911)</f>
        <v>Georgia</v>
      </c>
      <c r="E3911" s="111" t="str">
        <f t="shared" si="3909"/>
        <v>Morrow</v>
      </c>
    </row>
    <row r="3912" spans="1:5">
      <c r="A3912" s="110" t="s">
        <v>11108</v>
      </c>
      <c r="B3912" s="110" t="s">
        <v>1329</v>
      </c>
      <c r="C3912" s="111" t="s">
        <v>11109</v>
      </c>
      <c r="D3912" s="111" t="str">
        <f t="shared" ref="D3912:E3912" si="3910">TRIM(B3912)</f>
        <v>Georgia</v>
      </c>
      <c r="E3912" s="111" t="str">
        <f t="shared" si="3910"/>
        <v>Moultrie</v>
      </c>
    </row>
    <row r="3913" spans="1:5">
      <c r="A3913" s="3" t="s">
        <v>11111</v>
      </c>
      <c r="B3913" s="110" t="s">
        <v>1329</v>
      </c>
      <c r="C3913" s="111" t="s">
        <v>11112</v>
      </c>
      <c r="D3913" s="111" t="str">
        <f t="shared" ref="D3913:E3913" si="3911">TRIM(B3913)</f>
        <v>Georgia</v>
      </c>
      <c r="E3913" s="111" t="str">
        <f t="shared" si="3911"/>
        <v>Mount Airy</v>
      </c>
    </row>
    <row r="3914" spans="1:5">
      <c r="A3914" s="3" t="s">
        <v>11115</v>
      </c>
      <c r="B3914" s="110" t="s">
        <v>1329</v>
      </c>
      <c r="C3914" s="111" t="s">
        <v>6798</v>
      </c>
      <c r="D3914" s="111" t="str">
        <f t="shared" ref="D3914:E3914" si="3912">TRIM(B3914)</f>
        <v>Georgia</v>
      </c>
      <c r="E3914" s="111" t="str">
        <f t="shared" si="3912"/>
        <v>Mount Vernon</v>
      </c>
    </row>
    <row r="3915" spans="1:5">
      <c r="A3915" s="3" t="s">
        <v>11118</v>
      </c>
      <c r="B3915" s="110" t="s">
        <v>1329</v>
      </c>
      <c r="C3915" s="111" t="s">
        <v>11119</v>
      </c>
      <c r="D3915" s="111" t="str">
        <f t="shared" ref="D3915:E3915" si="3913">TRIM(B3915)</f>
        <v>Georgia</v>
      </c>
      <c r="E3915" s="111" t="str">
        <f t="shared" si="3913"/>
        <v>Mt Airy</v>
      </c>
    </row>
    <row r="3916" spans="1:5">
      <c r="A3916" s="3" t="s">
        <v>11122</v>
      </c>
      <c r="B3916" s="110" t="s">
        <v>1329</v>
      </c>
      <c r="C3916" s="111" t="s">
        <v>11123</v>
      </c>
      <c r="D3916" s="111" t="str">
        <f t="shared" ref="D3916:E3916" si="3914">TRIM(B3916)</f>
        <v>Georgia</v>
      </c>
      <c r="E3916" s="111" t="str">
        <f t="shared" si="3914"/>
        <v>Nahunta</v>
      </c>
    </row>
    <row r="3917" spans="1:5">
      <c r="A3917" s="3" t="s">
        <v>11128</v>
      </c>
      <c r="B3917" s="110" t="s">
        <v>1329</v>
      </c>
      <c r="C3917" s="111" t="s">
        <v>350</v>
      </c>
      <c r="D3917" s="111" t="str">
        <f t="shared" ref="D3917:E3917" si="3915">TRIM(B3917)</f>
        <v>Georgia</v>
      </c>
      <c r="E3917" s="111" t="str">
        <f t="shared" si="3915"/>
        <v>Nashville</v>
      </c>
    </row>
    <row r="3918" spans="1:5">
      <c r="A3918" s="3" t="s">
        <v>11131</v>
      </c>
      <c r="B3918" s="110" t="s">
        <v>1329</v>
      </c>
      <c r="C3918" s="111" t="s">
        <v>350</v>
      </c>
      <c r="D3918" s="111" t="str">
        <f t="shared" ref="D3918:E3918" si="3916">TRIM(B3918)</f>
        <v>Georgia</v>
      </c>
      <c r="E3918" s="111" t="str">
        <f t="shared" si="3916"/>
        <v>Nashville</v>
      </c>
    </row>
    <row r="3919" spans="1:5">
      <c r="A3919" s="3" t="s">
        <v>11133</v>
      </c>
      <c r="B3919" s="110" t="s">
        <v>1329</v>
      </c>
      <c r="C3919" s="111" t="s">
        <v>10411</v>
      </c>
      <c r="D3919" s="111" t="str">
        <f t="shared" ref="D3919:E3919" si="3917">TRIM(B3919)</f>
        <v>Georgia</v>
      </c>
      <c r="E3919" s="111" t="str">
        <f t="shared" si="3917"/>
        <v>Newnan</v>
      </c>
    </row>
    <row r="3920" spans="1:5">
      <c r="A3920" s="3" t="s">
        <v>7441</v>
      </c>
      <c r="B3920" s="110" t="s">
        <v>1329</v>
      </c>
      <c r="C3920" s="111" t="s">
        <v>10411</v>
      </c>
      <c r="D3920" s="111" t="str">
        <f t="shared" ref="D3920:E3920" si="3918">TRIM(B3920)</f>
        <v>Georgia</v>
      </c>
      <c r="E3920" s="111" t="str">
        <f t="shared" si="3918"/>
        <v>Newnan</v>
      </c>
    </row>
    <row r="3921" spans="1:5">
      <c r="A3921" s="110" t="s">
        <v>11135</v>
      </c>
      <c r="B3921" s="110" t="s">
        <v>1329</v>
      </c>
      <c r="C3921" s="111" t="s">
        <v>1748</v>
      </c>
      <c r="D3921" s="111" t="str">
        <f t="shared" ref="D3921:E3921" si="3919">TRIM(B3921)</f>
        <v>Georgia</v>
      </c>
      <c r="E3921" s="111" t="str">
        <f t="shared" si="3919"/>
        <v>Norcross</v>
      </c>
    </row>
    <row r="3922" spans="1:5">
      <c r="A3922" s="3" t="s">
        <v>11137</v>
      </c>
      <c r="B3922" s="110" t="s">
        <v>1329</v>
      </c>
      <c r="C3922" s="111" t="s">
        <v>1748</v>
      </c>
      <c r="D3922" s="111" t="str">
        <f t="shared" ref="D3922:E3922" si="3920">TRIM(B3922)</f>
        <v>Georgia</v>
      </c>
      <c r="E3922" s="111" t="str">
        <f t="shared" si="3920"/>
        <v>Norcross</v>
      </c>
    </row>
    <row r="3923" spans="1:5">
      <c r="A3923" s="3" t="s">
        <v>11139</v>
      </c>
      <c r="B3923" s="110" t="s">
        <v>1329</v>
      </c>
      <c r="C3923" s="111" t="s">
        <v>1748</v>
      </c>
      <c r="D3923" s="111" t="str">
        <f t="shared" ref="D3923:E3923" si="3921">TRIM(B3923)</f>
        <v>Georgia</v>
      </c>
      <c r="E3923" s="111" t="str">
        <f t="shared" si="3921"/>
        <v>Norcross</v>
      </c>
    </row>
    <row r="3924" spans="1:5">
      <c r="A3924" s="3" t="s">
        <v>11142</v>
      </c>
      <c r="B3924" s="110" t="s">
        <v>1329</v>
      </c>
      <c r="C3924" s="111" t="s">
        <v>11143</v>
      </c>
      <c r="D3924" s="111" t="str">
        <f t="shared" ref="D3924:E3924" si="3922">TRIM(B3924)</f>
        <v>Georgia</v>
      </c>
      <c r="E3924" s="111" t="str">
        <f t="shared" si="3922"/>
        <v>Norman Park</v>
      </c>
    </row>
    <row r="3925" spans="1:5">
      <c r="A3925" s="3" t="s">
        <v>11145</v>
      </c>
      <c r="B3925" s="110" t="s">
        <v>1329</v>
      </c>
      <c r="C3925" s="111" t="s">
        <v>9473</v>
      </c>
      <c r="D3925" s="111" t="str">
        <f t="shared" ref="D3925:E3925" si="3923">TRIM(B3925)</f>
        <v>Georgia</v>
      </c>
      <c r="E3925" s="111" t="str">
        <f t="shared" si="3923"/>
        <v>Oakwood</v>
      </c>
    </row>
    <row r="3926" spans="1:5">
      <c r="A3926" s="3" t="s">
        <v>11148</v>
      </c>
      <c r="B3926" s="110" t="s">
        <v>1329</v>
      </c>
      <c r="C3926" s="111" t="s">
        <v>11149</v>
      </c>
      <c r="D3926" s="111" t="str">
        <f t="shared" ref="D3926:E3926" si="3924">TRIM(B3926)</f>
        <v>Georgia</v>
      </c>
      <c r="E3926" s="111" t="str">
        <f t="shared" si="3924"/>
        <v>Ocilla</v>
      </c>
    </row>
    <row r="3927" spans="1:5">
      <c r="A3927" s="3" t="s">
        <v>1947</v>
      </c>
      <c r="B3927" s="110" t="s">
        <v>1329</v>
      </c>
      <c r="C3927" s="111" t="s">
        <v>10404</v>
      </c>
      <c r="D3927" s="111" t="str">
        <f t="shared" ref="D3927:E3927" si="3925">TRIM(B3927)</f>
        <v>Georgia</v>
      </c>
      <c r="E3927" s="111" t="str">
        <f t="shared" si="3925"/>
        <v>Peachtree City</v>
      </c>
    </row>
    <row r="3928" spans="1:5">
      <c r="A3928" s="3" t="s">
        <v>11153</v>
      </c>
      <c r="B3928" s="110" t="s">
        <v>1329</v>
      </c>
      <c r="C3928" s="111" t="s">
        <v>11154</v>
      </c>
      <c r="D3928" s="111" t="str">
        <f t="shared" ref="D3928:E3928" si="3926">TRIM(B3928)</f>
        <v>Georgia</v>
      </c>
      <c r="E3928" s="111" t="str">
        <f t="shared" si="3926"/>
        <v>Pearson</v>
      </c>
    </row>
    <row r="3929" spans="1:5">
      <c r="A3929" s="3" t="s">
        <v>2078</v>
      </c>
      <c r="B3929" s="110" t="s">
        <v>1329</v>
      </c>
      <c r="C3929" s="111" t="s">
        <v>2079</v>
      </c>
      <c r="D3929" s="111" t="str">
        <f t="shared" ref="D3929:E3929" si="3927">TRIM(B3929)</f>
        <v>Georgia</v>
      </c>
      <c r="E3929" s="111" t="str">
        <f t="shared" si="3927"/>
        <v>Pelham</v>
      </c>
    </row>
    <row r="3930" spans="1:5">
      <c r="A3930" s="3" t="s">
        <v>11160</v>
      </c>
      <c r="B3930" s="110" t="s">
        <v>1329</v>
      </c>
      <c r="C3930" s="111" t="s">
        <v>11161</v>
      </c>
      <c r="D3930" s="111" t="str">
        <f t="shared" ref="D3930:E3930" si="3928">TRIM(B3930)</f>
        <v>Georgia</v>
      </c>
      <c r="E3930" s="111" t="str">
        <f t="shared" si="3928"/>
        <v>Pembroke</v>
      </c>
    </row>
    <row r="3931" spans="1:5">
      <c r="A3931" s="3" t="s">
        <v>2683</v>
      </c>
      <c r="B3931" s="110" t="s">
        <v>1329</v>
      </c>
      <c r="C3931" s="111" t="s">
        <v>9957</v>
      </c>
      <c r="D3931" s="111" t="str">
        <f t="shared" ref="D3931:E3931" si="3929">TRIM(B3931)</f>
        <v>Georgia</v>
      </c>
      <c r="E3931" s="111" t="str">
        <f t="shared" si="3929"/>
        <v>Perry</v>
      </c>
    </row>
    <row r="3932" spans="1:5">
      <c r="A3932" s="3" t="s">
        <v>11165</v>
      </c>
      <c r="B3932" s="110" t="s">
        <v>1329</v>
      </c>
      <c r="C3932" s="111" t="s">
        <v>11166</v>
      </c>
      <c r="D3932" s="111" t="str">
        <f t="shared" ref="D3932:E3932" si="3930">TRIM(B3932)</f>
        <v>Georgia</v>
      </c>
      <c r="E3932" s="111" t="str">
        <f t="shared" si="3930"/>
        <v>Portal</v>
      </c>
    </row>
    <row r="3933" spans="1:5">
      <c r="A3933" s="3" t="s">
        <v>11168</v>
      </c>
      <c r="B3933" s="110" t="s">
        <v>1329</v>
      </c>
      <c r="C3933" s="111" t="s">
        <v>444</v>
      </c>
      <c r="D3933" s="111" t="str">
        <f t="shared" ref="D3933:E3933" si="3931">TRIM(B3933)</f>
        <v>Georgia</v>
      </c>
      <c r="E3933" s="111" t="str">
        <f t="shared" si="3931"/>
        <v>Powder Springs</v>
      </c>
    </row>
    <row r="3934" spans="1:5">
      <c r="A3934" s="3" t="s">
        <v>11170</v>
      </c>
      <c r="B3934" s="110" t="s">
        <v>1329</v>
      </c>
      <c r="C3934" s="111" t="s">
        <v>444</v>
      </c>
      <c r="D3934" s="111" t="str">
        <f t="shared" ref="D3934:E3934" si="3932">TRIM(B3934)</f>
        <v>Georgia</v>
      </c>
      <c r="E3934" s="111" t="str">
        <f t="shared" si="3932"/>
        <v>Powder Springs</v>
      </c>
    </row>
    <row r="3935" spans="1:5">
      <c r="A3935" s="3" t="s">
        <v>11172</v>
      </c>
      <c r="B3935" s="110" t="s">
        <v>1329</v>
      </c>
      <c r="C3935" s="111" t="s">
        <v>4992</v>
      </c>
      <c r="D3935" s="111" t="str">
        <f t="shared" ref="D3935:E3935" si="3933">TRIM(B3935)</f>
        <v>Georgia</v>
      </c>
      <c r="E3935" s="111" t="str">
        <f t="shared" si="3933"/>
        <v>Preston</v>
      </c>
    </row>
    <row r="3936" spans="1:5">
      <c r="A3936" s="3" t="s">
        <v>11174</v>
      </c>
      <c r="B3936" s="110" t="s">
        <v>1329</v>
      </c>
      <c r="C3936" s="111" t="s">
        <v>4155</v>
      </c>
      <c r="D3936" s="111" t="str">
        <f t="shared" ref="D3936:E3936" si="3934">TRIM(B3936)</f>
        <v>Georgia</v>
      </c>
      <c r="E3936" s="111" t="str">
        <f t="shared" si="3934"/>
        <v>Quitman</v>
      </c>
    </row>
    <row r="3937" spans="1:5">
      <c r="A3937" s="110" t="s">
        <v>11176</v>
      </c>
      <c r="B3937" s="110" t="s">
        <v>1329</v>
      </c>
      <c r="C3937" s="111" t="s">
        <v>4155</v>
      </c>
      <c r="D3937" s="111" t="str">
        <f t="shared" ref="D3937:E3937" si="3935">TRIM(B3937)</f>
        <v>Georgia</v>
      </c>
      <c r="E3937" s="111" t="str">
        <f t="shared" si="3935"/>
        <v>Quitman</v>
      </c>
    </row>
    <row r="3938" spans="1:5">
      <c r="A3938" s="3" t="s">
        <v>11177</v>
      </c>
      <c r="B3938" s="110" t="s">
        <v>1329</v>
      </c>
      <c r="C3938" s="111" t="s">
        <v>11178</v>
      </c>
      <c r="D3938" s="111" t="str">
        <f t="shared" ref="D3938:E3938" si="3936">TRIM(B3938)</f>
        <v>Georgia</v>
      </c>
      <c r="E3938" s="111" t="str">
        <f t="shared" si="3936"/>
        <v>Reidsville</v>
      </c>
    </row>
    <row r="3939" spans="1:5">
      <c r="A3939" s="110" t="s">
        <v>11181</v>
      </c>
      <c r="B3939" s="110" t="s">
        <v>1329</v>
      </c>
      <c r="C3939" s="111" t="s">
        <v>11182</v>
      </c>
      <c r="D3939" s="111" t="str">
        <f t="shared" ref="D3939:E3939" si="3937">TRIM(B3939)</f>
        <v>Georgia</v>
      </c>
      <c r="E3939" s="111" t="str">
        <f t="shared" si="3937"/>
        <v>Reynolds</v>
      </c>
    </row>
    <row r="3940" spans="1:5">
      <c r="A3940" s="3" t="s">
        <v>11184</v>
      </c>
      <c r="B3940" s="110" t="s">
        <v>1329</v>
      </c>
      <c r="C3940" s="111" t="s">
        <v>11185</v>
      </c>
      <c r="D3940" s="111" t="str">
        <f t="shared" ref="D3940:E3940" si="3938">TRIM(B3940)</f>
        <v>Georgia</v>
      </c>
      <c r="E3940" s="111" t="str">
        <f t="shared" si="3938"/>
        <v>Richmond Hill</v>
      </c>
    </row>
    <row r="3941" spans="1:5">
      <c r="A3941" s="3" t="s">
        <v>4519</v>
      </c>
      <c r="B3941" s="110" t="s">
        <v>1329</v>
      </c>
      <c r="C3941" s="111" t="s">
        <v>11189</v>
      </c>
      <c r="D3941" s="111" t="str">
        <f t="shared" ref="D3941:E3941" si="3939">TRIM(B3941)</f>
        <v>Georgia</v>
      </c>
      <c r="E3941" s="111" t="str">
        <f t="shared" si="3939"/>
        <v>Ringgold</v>
      </c>
    </row>
    <row r="3942" spans="1:5">
      <c r="A3942" s="3" t="s">
        <v>11192</v>
      </c>
      <c r="B3942" s="110" t="s">
        <v>1329</v>
      </c>
      <c r="C3942" s="111" t="s">
        <v>11189</v>
      </c>
      <c r="D3942" s="111" t="str">
        <f t="shared" ref="D3942:E3942" si="3940">TRIM(B3942)</f>
        <v>Georgia</v>
      </c>
      <c r="E3942" s="111" t="str">
        <f t="shared" si="3940"/>
        <v>Ringgold</v>
      </c>
    </row>
    <row r="3943" spans="1:5">
      <c r="A3943" s="3" t="s">
        <v>11194</v>
      </c>
      <c r="B3943" s="110" t="s">
        <v>1329</v>
      </c>
      <c r="C3943" s="111" t="s">
        <v>6553</v>
      </c>
      <c r="D3943" s="111" t="str">
        <f t="shared" ref="D3943:E3943" si="3941">TRIM(B3943)</f>
        <v>Georgia</v>
      </c>
      <c r="E3943" s="111" t="str">
        <f t="shared" si="3941"/>
        <v>Riverdale</v>
      </c>
    </row>
    <row r="3944" spans="1:5">
      <c r="A3944" s="3" t="s">
        <v>6551</v>
      </c>
      <c r="B3944" s="110" t="s">
        <v>1329</v>
      </c>
      <c r="C3944" s="111" t="s">
        <v>6553</v>
      </c>
      <c r="D3944" s="111" t="str">
        <f t="shared" ref="D3944:E3944" si="3942">TRIM(B3944)</f>
        <v>Georgia</v>
      </c>
      <c r="E3944" s="111" t="str">
        <f t="shared" si="3942"/>
        <v>Riverdale</v>
      </c>
    </row>
    <row r="3945" spans="1:5">
      <c r="A3945" s="3" t="s">
        <v>11199</v>
      </c>
      <c r="B3945" s="110" t="s">
        <v>1329</v>
      </c>
      <c r="C3945" s="111" t="s">
        <v>11200</v>
      </c>
      <c r="D3945" s="111" t="str">
        <f t="shared" ref="D3945:E3945" si="3943">TRIM(B3945)</f>
        <v>Georgia</v>
      </c>
      <c r="E3945" s="111" t="str">
        <f t="shared" si="3943"/>
        <v>Roberta</v>
      </c>
    </row>
    <row r="3946" spans="1:5">
      <c r="A3946" s="3" t="s">
        <v>11203</v>
      </c>
      <c r="B3946" s="110" t="s">
        <v>1329</v>
      </c>
      <c r="C3946" s="111" t="s">
        <v>11205</v>
      </c>
      <c r="D3946" s="111" t="str">
        <f t="shared" ref="D3946:E3946" si="3944">TRIM(B3946)</f>
        <v>Georgia</v>
      </c>
      <c r="E3946" s="111" t="str">
        <f t="shared" si="3944"/>
        <v>Rochelle</v>
      </c>
    </row>
    <row r="3947" spans="1:5">
      <c r="A3947" s="3" t="s">
        <v>11207</v>
      </c>
      <c r="B3947" s="110" t="s">
        <v>1329</v>
      </c>
      <c r="C3947" s="111" t="s">
        <v>11208</v>
      </c>
      <c r="D3947" s="111" t="str">
        <f t="shared" ref="D3947:E3947" si="3945">TRIM(B3947)</f>
        <v>Georgia</v>
      </c>
      <c r="E3947" s="111" t="str">
        <f t="shared" si="3945"/>
        <v>Rockmart</v>
      </c>
    </row>
    <row r="3948" spans="1:5">
      <c r="A3948" s="3" t="s">
        <v>11210</v>
      </c>
      <c r="B3948" s="110" t="s">
        <v>1329</v>
      </c>
      <c r="C3948" s="111" t="s">
        <v>534</v>
      </c>
      <c r="D3948" s="111" t="str">
        <f t="shared" ref="D3948:E3948" si="3946">TRIM(B3948)</f>
        <v>Georgia</v>
      </c>
      <c r="E3948" s="111" t="str">
        <f t="shared" si="3946"/>
        <v>Rome</v>
      </c>
    </row>
    <row r="3949" spans="1:5">
      <c r="A3949" s="3" t="s">
        <v>11215</v>
      </c>
      <c r="B3949" s="110" t="s">
        <v>1329</v>
      </c>
      <c r="C3949" s="111" t="s">
        <v>534</v>
      </c>
      <c r="D3949" s="111" t="str">
        <f t="shared" ref="D3949:E3949" si="3947">TRIM(B3949)</f>
        <v>Georgia</v>
      </c>
      <c r="E3949" s="111" t="str">
        <f t="shared" si="3947"/>
        <v>Rome</v>
      </c>
    </row>
    <row r="3950" spans="1:5">
      <c r="A3950" s="3" t="s">
        <v>11218</v>
      </c>
      <c r="B3950" s="110" t="s">
        <v>1329</v>
      </c>
      <c r="C3950" s="111" t="s">
        <v>534</v>
      </c>
      <c r="D3950" s="111" t="str">
        <f t="shared" ref="D3950:E3950" si="3948">TRIM(B3950)</f>
        <v>Georgia</v>
      </c>
      <c r="E3950" s="111" t="str">
        <f t="shared" si="3948"/>
        <v>Rome</v>
      </c>
    </row>
    <row r="3951" spans="1:5">
      <c r="A3951" s="3" t="s">
        <v>11220</v>
      </c>
      <c r="B3951" s="110" t="s">
        <v>1329</v>
      </c>
      <c r="C3951" s="111" t="s">
        <v>534</v>
      </c>
      <c r="D3951" s="111" t="str">
        <f t="shared" ref="D3951:E3951" si="3949">TRIM(B3951)</f>
        <v>Georgia</v>
      </c>
      <c r="E3951" s="111" t="str">
        <f t="shared" si="3949"/>
        <v>Rome</v>
      </c>
    </row>
    <row r="3952" spans="1:5">
      <c r="A3952" s="3" t="s">
        <v>11222</v>
      </c>
      <c r="B3952" s="110" t="s">
        <v>1329</v>
      </c>
      <c r="C3952" s="111" t="s">
        <v>10703</v>
      </c>
      <c r="D3952" s="111" t="str">
        <f t="shared" ref="D3952:E3952" si="3950">TRIM(B3952)</f>
        <v>Georgia</v>
      </c>
      <c r="E3952" s="111" t="str">
        <f t="shared" si="3950"/>
        <v>Rossville</v>
      </c>
    </row>
    <row r="3953" spans="1:5">
      <c r="A3953" s="3" t="s">
        <v>2905</v>
      </c>
      <c r="B3953" s="110" t="s">
        <v>1329</v>
      </c>
      <c r="C3953" s="111" t="s">
        <v>10311</v>
      </c>
      <c r="D3953" s="111" t="str">
        <f t="shared" ref="D3953:E3953" si="3951">TRIM(B3953)</f>
        <v>Georgia</v>
      </c>
      <c r="E3953" s="111" t="str">
        <f t="shared" si="3951"/>
        <v>Roswell</v>
      </c>
    </row>
    <row r="3954" spans="1:5">
      <c r="A3954" s="3" t="s">
        <v>11226</v>
      </c>
      <c r="B3954" s="110" t="s">
        <v>1329</v>
      </c>
      <c r="C3954" s="111" t="s">
        <v>10311</v>
      </c>
      <c r="D3954" s="111" t="str">
        <f t="shared" ref="D3954:E3954" si="3952">TRIM(B3954)</f>
        <v>Georgia</v>
      </c>
      <c r="E3954" s="111" t="str">
        <f t="shared" si="3952"/>
        <v>Roswell</v>
      </c>
    </row>
    <row r="3955" spans="1:5">
      <c r="A3955" s="3" t="s">
        <v>1620</v>
      </c>
      <c r="B3955" s="110" t="s">
        <v>1329</v>
      </c>
      <c r="C3955" s="111" t="s">
        <v>10277</v>
      </c>
      <c r="D3955" s="111" t="str">
        <f t="shared" ref="D3955:E3955" si="3953">TRIM(B3955)</f>
        <v>Georgia</v>
      </c>
      <c r="E3955" s="111" t="str">
        <f t="shared" si="3953"/>
        <v>Sandersville</v>
      </c>
    </row>
    <row r="3956" spans="1:5">
      <c r="A3956" s="3" t="s">
        <v>11231</v>
      </c>
      <c r="B3956" s="110" t="s">
        <v>1329</v>
      </c>
      <c r="C3956" s="111" t="s">
        <v>10272</v>
      </c>
      <c r="D3956" s="111" t="str">
        <f t="shared" ref="D3956:E3956" si="3954">TRIM(B3956)</f>
        <v>Georgia</v>
      </c>
      <c r="E3956" s="111" t="str">
        <f t="shared" si="3954"/>
        <v>Savannah</v>
      </c>
    </row>
    <row r="3957" spans="1:5">
      <c r="A3957" s="3" t="s">
        <v>11234</v>
      </c>
      <c r="B3957" s="110" t="s">
        <v>1329</v>
      </c>
      <c r="C3957" s="111" t="s">
        <v>10272</v>
      </c>
      <c r="D3957" s="111" t="str">
        <f t="shared" ref="D3957:E3957" si="3955">TRIM(B3957)</f>
        <v>Georgia</v>
      </c>
      <c r="E3957" s="111" t="str">
        <f t="shared" si="3955"/>
        <v>Savannah</v>
      </c>
    </row>
    <row r="3958" spans="1:5">
      <c r="A3958" s="3" t="s">
        <v>11237</v>
      </c>
      <c r="B3958" s="110" t="s">
        <v>1329</v>
      </c>
      <c r="C3958" s="111" t="s">
        <v>10272</v>
      </c>
      <c r="D3958" s="111" t="str">
        <f t="shared" ref="D3958:E3958" si="3956">TRIM(B3958)</f>
        <v>Georgia</v>
      </c>
      <c r="E3958" s="111" t="str">
        <f t="shared" si="3956"/>
        <v>Savannah</v>
      </c>
    </row>
    <row r="3959" spans="1:5">
      <c r="A3959" s="3" t="s">
        <v>11239</v>
      </c>
      <c r="B3959" s="110" t="s">
        <v>1329</v>
      </c>
      <c r="C3959" s="111" t="s">
        <v>10272</v>
      </c>
      <c r="D3959" s="111" t="str">
        <f t="shared" ref="D3959:E3959" si="3957">TRIM(B3959)</f>
        <v>Georgia</v>
      </c>
      <c r="E3959" s="111" t="str">
        <f t="shared" si="3957"/>
        <v>Savannah</v>
      </c>
    </row>
    <row r="3960" spans="1:5">
      <c r="A3960" s="3" t="s">
        <v>10806</v>
      </c>
      <c r="B3960" s="110" t="s">
        <v>1329</v>
      </c>
      <c r="C3960" s="111" t="s">
        <v>10272</v>
      </c>
      <c r="D3960" s="111" t="str">
        <f t="shared" ref="D3960:E3960" si="3958">TRIM(B3960)</f>
        <v>Georgia</v>
      </c>
      <c r="E3960" s="111" t="str">
        <f t="shared" si="3958"/>
        <v>Savannah</v>
      </c>
    </row>
    <row r="3961" spans="1:5">
      <c r="A3961" s="3" t="s">
        <v>11244</v>
      </c>
      <c r="B3961" s="110" t="s">
        <v>1329</v>
      </c>
      <c r="C3961" s="112" t="s">
        <v>10272</v>
      </c>
      <c r="D3961" s="111" t="str">
        <f t="shared" ref="D3961:E3961" si="3959">TRIM(B3961)</f>
        <v>Georgia</v>
      </c>
      <c r="E3961" s="111" t="str">
        <f t="shared" si="3959"/>
        <v>Savannah</v>
      </c>
    </row>
    <row r="3962" spans="1:5">
      <c r="A3962" s="3" t="s">
        <v>11247</v>
      </c>
      <c r="B3962" s="110" t="s">
        <v>1329</v>
      </c>
      <c r="C3962" s="111" t="s">
        <v>10272</v>
      </c>
      <c r="D3962" s="111" t="str">
        <f t="shared" ref="D3962:E3962" si="3960">TRIM(B3962)</f>
        <v>Georgia</v>
      </c>
      <c r="E3962" s="111" t="str">
        <f t="shared" si="3960"/>
        <v>Savannah</v>
      </c>
    </row>
    <row r="3963" spans="1:5">
      <c r="A3963" s="3" t="s">
        <v>11250</v>
      </c>
      <c r="B3963" s="110" t="s">
        <v>1329</v>
      </c>
      <c r="C3963" s="111" t="s">
        <v>10272</v>
      </c>
      <c r="D3963" s="111" t="str">
        <f t="shared" ref="D3963:E3963" si="3961">TRIM(B3963)</f>
        <v>Georgia</v>
      </c>
      <c r="E3963" s="111" t="str">
        <f t="shared" si="3961"/>
        <v>Savannah</v>
      </c>
    </row>
    <row r="3964" spans="1:5">
      <c r="A3964" s="3" t="s">
        <v>11253</v>
      </c>
      <c r="B3964" s="110" t="s">
        <v>1329</v>
      </c>
      <c r="C3964" s="111" t="s">
        <v>10272</v>
      </c>
      <c r="D3964" s="111" t="str">
        <f t="shared" ref="D3964:E3964" si="3962">TRIM(B3964)</f>
        <v>Georgia</v>
      </c>
      <c r="E3964" s="111" t="str">
        <f t="shared" si="3962"/>
        <v>Savannah</v>
      </c>
    </row>
    <row r="3965" spans="1:5">
      <c r="A3965" s="3" t="s">
        <v>11255</v>
      </c>
      <c r="B3965" s="110" t="s">
        <v>1329</v>
      </c>
      <c r="C3965" s="111" t="s">
        <v>10272</v>
      </c>
      <c r="D3965" s="111" t="str">
        <f t="shared" ref="D3965:E3965" si="3963">TRIM(B3965)</f>
        <v>Georgia</v>
      </c>
      <c r="E3965" s="111" t="str">
        <f t="shared" si="3963"/>
        <v>Savannah</v>
      </c>
    </row>
    <row r="3966" spans="1:5">
      <c r="A3966" s="3" t="s">
        <v>11258</v>
      </c>
      <c r="B3966" s="110" t="s">
        <v>1329</v>
      </c>
      <c r="C3966" s="111" t="s">
        <v>11259</v>
      </c>
      <c r="D3966" s="111" t="str">
        <f t="shared" ref="D3966:E3966" si="3964">TRIM(B3966)</f>
        <v>Georgia</v>
      </c>
      <c r="E3966" s="111" t="str">
        <f t="shared" si="3964"/>
        <v>Sharpsburg</v>
      </c>
    </row>
    <row r="3967" spans="1:5">
      <c r="A3967" s="3" t="s">
        <v>11261</v>
      </c>
      <c r="B3967" s="110" t="s">
        <v>1329</v>
      </c>
      <c r="C3967" s="111" t="s">
        <v>8845</v>
      </c>
      <c r="D3967" s="111" t="str">
        <f t="shared" ref="D3967:E3967" si="3965">TRIM(B3967)</f>
        <v>Georgia</v>
      </c>
      <c r="E3967" s="111" t="str">
        <f t="shared" si="3965"/>
        <v>Smyrna</v>
      </c>
    </row>
    <row r="3968" spans="1:5">
      <c r="A3968" s="3" t="s">
        <v>1588</v>
      </c>
      <c r="B3968" s="110" t="s">
        <v>1329</v>
      </c>
      <c r="C3968" s="111" t="s">
        <v>1014</v>
      </c>
      <c r="D3968" s="111" t="str">
        <f t="shared" ref="D3968:E3968" si="3966">TRIM(B3968)</f>
        <v>Georgia</v>
      </c>
      <c r="E3968" s="111" t="str">
        <f t="shared" si="3966"/>
        <v>Snellville</v>
      </c>
    </row>
    <row r="3969" spans="1:5">
      <c r="A3969" s="3" t="s">
        <v>11269</v>
      </c>
      <c r="B3969" s="110" t="s">
        <v>1329</v>
      </c>
      <c r="C3969" s="111" t="s">
        <v>1014</v>
      </c>
      <c r="D3969" s="111" t="str">
        <f t="shared" ref="D3969:E3969" si="3967">TRIM(B3969)</f>
        <v>Georgia</v>
      </c>
      <c r="E3969" s="111" t="str">
        <f t="shared" si="3967"/>
        <v>Snellville</v>
      </c>
    </row>
    <row r="3970" spans="1:5">
      <c r="A3970" s="3" t="s">
        <v>11271</v>
      </c>
      <c r="B3970" s="110" t="s">
        <v>1329</v>
      </c>
      <c r="C3970" s="111" t="s">
        <v>1014</v>
      </c>
      <c r="D3970" s="111" t="str">
        <f t="shared" ref="D3970:E3970" si="3968">TRIM(B3970)</f>
        <v>Georgia</v>
      </c>
      <c r="E3970" s="111" t="str">
        <f t="shared" si="3968"/>
        <v>Snellville</v>
      </c>
    </row>
    <row r="3971" spans="1:5">
      <c r="A3971" s="3" t="s">
        <v>11273</v>
      </c>
      <c r="B3971" s="110" t="s">
        <v>1329</v>
      </c>
      <c r="C3971" s="111" t="s">
        <v>11274</v>
      </c>
      <c r="D3971" s="111" t="str">
        <f t="shared" ref="D3971:E3971" si="3969">TRIM(B3971)</f>
        <v>Georgia</v>
      </c>
      <c r="E3971" s="111" t="str">
        <f t="shared" si="3969"/>
        <v>Social Circle</v>
      </c>
    </row>
    <row r="3972" spans="1:5">
      <c r="A3972" s="3" t="s">
        <v>11277</v>
      </c>
      <c r="B3972" s="110" t="s">
        <v>1329</v>
      </c>
      <c r="C3972" s="111" t="s">
        <v>11278</v>
      </c>
      <c r="D3972" s="111" t="str">
        <f t="shared" ref="D3972:E3972" si="3970">TRIM(B3972)</f>
        <v>Georgia</v>
      </c>
      <c r="E3972" s="111" t="str">
        <f t="shared" si="3970"/>
        <v>Soperton</v>
      </c>
    </row>
    <row r="3973" spans="1:5">
      <c r="A3973" s="3" t="s">
        <v>11281</v>
      </c>
      <c r="B3973" s="110" t="s">
        <v>1329</v>
      </c>
      <c r="C3973" s="111" t="s">
        <v>10334</v>
      </c>
      <c r="D3973" s="111" t="str">
        <f t="shared" ref="D3973:E3973" si="3971">TRIM(B3973)</f>
        <v>Georgia</v>
      </c>
      <c r="E3973" s="111" t="str">
        <f t="shared" si="3971"/>
        <v>Sparta</v>
      </c>
    </row>
    <row r="3974" spans="1:5">
      <c r="A3974" s="3" t="s">
        <v>11284</v>
      </c>
      <c r="B3974" s="110" t="s">
        <v>1329</v>
      </c>
      <c r="C3974" s="111" t="s">
        <v>416</v>
      </c>
      <c r="D3974" s="111" t="str">
        <f t="shared" ref="D3974:E3974" si="3972">TRIM(B3974)</f>
        <v>Georgia</v>
      </c>
      <c r="E3974" s="111" t="str">
        <f t="shared" si="3972"/>
        <v>Springfield</v>
      </c>
    </row>
    <row r="3975" spans="1:5">
      <c r="A3975" s="3" t="s">
        <v>11287</v>
      </c>
      <c r="B3975" s="110" t="s">
        <v>1329</v>
      </c>
      <c r="C3975" s="111" t="s">
        <v>11289</v>
      </c>
      <c r="D3975" s="111" t="str">
        <f t="shared" ref="D3975:E3975" si="3973">TRIM(B3975)</f>
        <v>Georgia</v>
      </c>
      <c r="E3975" s="111" t="str">
        <f t="shared" si="3973"/>
        <v>Statenville</v>
      </c>
    </row>
    <row r="3976" spans="1:5">
      <c r="A3976" s="3" t="s">
        <v>11291</v>
      </c>
      <c r="B3976" s="110" t="s">
        <v>1329</v>
      </c>
      <c r="C3976" s="111" t="s">
        <v>409</v>
      </c>
      <c r="D3976" s="111" t="str">
        <f t="shared" ref="D3976:E3976" si="3974">TRIM(B3976)</f>
        <v>Georgia</v>
      </c>
      <c r="E3976" s="111" t="str">
        <f t="shared" si="3974"/>
        <v>Statesboro</v>
      </c>
    </row>
    <row r="3977" spans="1:5">
      <c r="A3977" s="3" t="s">
        <v>11292</v>
      </c>
      <c r="B3977" s="110" t="s">
        <v>1329</v>
      </c>
      <c r="C3977" s="111" t="s">
        <v>409</v>
      </c>
      <c r="D3977" s="111" t="str">
        <f t="shared" ref="D3977:E3977" si="3975">TRIM(B3977)</f>
        <v>Georgia</v>
      </c>
      <c r="E3977" s="111" t="str">
        <f t="shared" si="3975"/>
        <v>Statesboro</v>
      </c>
    </row>
    <row r="3978" spans="1:5">
      <c r="A3978" s="3" t="s">
        <v>11295</v>
      </c>
      <c r="B3978" s="110" t="s">
        <v>1329</v>
      </c>
      <c r="C3978" s="111" t="s">
        <v>11296</v>
      </c>
      <c r="D3978" s="111" t="str">
        <f t="shared" ref="D3978:E3978" si="3976">TRIM(B3978)</f>
        <v>Georgia</v>
      </c>
      <c r="E3978" s="111" t="str">
        <f t="shared" si="3976"/>
        <v>Stockbridge</v>
      </c>
    </row>
    <row r="3979" spans="1:5">
      <c r="A3979" s="3" t="s">
        <v>2285</v>
      </c>
      <c r="B3979" s="110" t="s">
        <v>1329</v>
      </c>
      <c r="C3979" s="111" t="s">
        <v>11296</v>
      </c>
      <c r="D3979" s="111" t="str">
        <f t="shared" ref="D3979:E3979" si="3977">TRIM(B3979)</f>
        <v>Georgia</v>
      </c>
      <c r="E3979" s="111" t="str">
        <f t="shared" si="3977"/>
        <v>Stockbridge</v>
      </c>
    </row>
    <row r="3980" spans="1:5">
      <c r="A3980" s="3" t="s">
        <v>11299</v>
      </c>
      <c r="B3980" s="110" t="s">
        <v>1329</v>
      </c>
      <c r="C3980" s="111" t="s">
        <v>11300</v>
      </c>
      <c r="D3980" s="111" t="str">
        <f t="shared" ref="D3980:E3980" si="3978">TRIM(B3980)</f>
        <v>Georgia</v>
      </c>
      <c r="E3980" s="111" t="str">
        <f t="shared" si="3978"/>
        <v>Stone Mountain</v>
      </c>
    </row>
    <row r="3981" spans="1:5">
      <c r="A3981" s="3" t="s">
        <v>11303</v>
      </c>
      <c r="B3981" s="110" t="s">
        <v>1329</v>
      </c>
      <c r="C3981" s="111" t="s">
        <v>11300</v>
      </c>
      <c r="D3981" s="111" t="str">
        <f t="shared" ref="D3981:E3981" si="3979">TRIM(B3981)</f>
        <v>Georgia</v>
      </c>
      <c r="E3981" s="111" t="str">
        <f t="shared" si="3979"/>
        <v>Stone Mountain</v>
      </c>
    </row>
    <row r="3982" spans="1:5">
      <c r="A3982" s="3" t="s">
        <v>11305</v>
      </c>
      <c r="B3982" s="110" t="s">
        <v>1329</v>
      </c>
      <c r="C3982" s="111" t="s">
        <v>11300</v>
      </c>
      <c r="D3982" s="111" t="str">
        <f t="shared" ref="D3982:E3982" si="3980">TRIM(B3982)</f>
        <v>Georgia</v>
      </c>
      <c r="E3982" s="111" t="str">
        <f t="shared" si="3980"/>
        <v>Stone Mountain</v>
      </c>
    </row>
    <row r="3983" spans="1:5">
      <c r="A3983" s="3" t="s">
        <v>11308</v>
      </c>
      <c r="B3983" s="110" t="s">
        <v>1329</v>
      </c>
      <c r="C3983" s="111" t="s">
        <v>11300</v>
      </c>
      <c r="D3983" s="111" t="str">
        <f t="shared" ref="D3983:E3983" si="3981">TRIM(B3983)</f>
        <v>Georgia</v>
      </c>
      <c r="E3983" s="111" t="str">
        <f t="shared" si="3981"/>
        <v>Stone Mountain</v>
      </c>
    </row>
    <row r="3984" spans="1:5">
      <c r="A3984" s="3" t="s">
        <v>11311</v>
      </c>
      <c r="B3984" s="110" t="s">
        <v>1329</v>
      </c>
      <c r="C3984" s="111" t="s">
        <v>11300</v>
      </c>
      <c r="D3984" s="111" t="str">
        <f t="shared" ref="D3984:E3984" si="3982">TRIM(B3984)</f>
        <v>Georgia</v>
      </c>
      <c r="E3984" s="111" t="str">
        <f t="shared" si="3982"/>
        <v>Stone Mountain</v>
      </c>
    </row>
    <row r="3985" spans="1:5">
      <c r="A3985" s="3" t="s">
        <v>11314</v>
      </c>
      <c r="B3985" s="110" t="s">
        <v>1329</v>
      </c>
      <c r="C3985" s="111" t="s">
        <v>11315</v>
      </c>
      <c r="D3985" s="111" t="str">
        <f t="shared" ref="D3985:E3985" si="3983">TRIM(B3985)</f>
        <v>Georgia</v>
      </c>
      <c r="E3985" s="111" t="str">
        <f t="shared" si="3983"/>
        <v>Sugar Hill</v>
      </c>
    </row>
    <row r="3986" spans="1:5">
      <c r="A3986" s="3" t="s">
        <v>11318</v>
      </c>
      <c r="B3986" s="110" t="s">
        <v>1329</v>
      </c>
      <c r="C3986" s="111" t="s">
        <v>11319</v>
      </c>
      <c r="D3986" s="111" t="str">
        <f t="shared" ref="D3986:E3986" si="3984">TRIM(B3986)</f>
        <v>Georgia</v>
      </c>
      <c r="E3986" s="111" t="str">
        <f t="shared" si="3984"/>
        <v>Summerville</v>
      </c>
    </row>
    <row r="3987" spans="1:5">
      <c r="A3987" s="3" t="s">
        <v>11322</v>
      </c>
      <c r="B3987" s="110" t="s">
        <v>1329</v>
      </c>
      <c r="C3987" s="111" t="s">
        <v>352</v>
      </c>
      <c r="D3987" s="111" t="str">
        <f t="shared" ref="D3987:E3987" si="3985">TRIM(B3987)</f>
        <v>Georgia</v>
      </c>
      <c r="E3987" s="111" t="str">
        <f t="shared" si="3985"/>
        <v>Suwanee</v>
      </c>
    </row>
    <row r="3988" spans="1:5">
      <c r="A3988" s="3" t="s">
        <v>11323</v>
      </c>
      <c r="B3988" s="110" t="s">
        <v>1329</v>
      </c>
      <c r="C3988" s="111" t="s">
        <v>352</v>
      </c>
      <c r="D3988" s="111" t="str">
        <f t="shared" ref="D3988:E3988" si="3986">TRIM(B3988)</f>
        <v>Georgia</v>
      </c>
      <c r="E3988" s="111" t="str">
        <f t="shared" si="3986"/>
        <v>Suwanee</v>
      </c>
    </row>
    <row r="3989" spans="1:5">
      <c r="A3989" s="3" t="s">
        <v>11325</v>
      </c>
      <c r="B3989" s="110" t="s">
        <v>1329</v>
      </c>
      <c r="C3989" s="111" t="s">
        <v>352</v>
      </c>
      <c r="D3989" s="111" t="str">
        <f t="shared" ref="D3989:E3989" si="3987">TRIM(B3989)</f>
        <v>Georgia</v>
      </c>
      <c r="E3989" s="111" t="str">
        <f t="shared" si="3987"/>
        <v>Suwanee</v>
      </c>
    </row>
    <row r="3990" spans="1:5">
      <c r="A3990" s="3" t="s">
        <v>11327</v>
      </c>
      <c r="B3990" s="110" t="s">
        <v>1329</v>
      </c>
      <c r="C3990" s="111" t="s">
        <v>352</v>
      </c>
      <c r="D3990" s="111" t="str">
        <f t="shared" ref="D3990:E3990" si="3988">TRIM(B3990)</f>
        <v>Georgia</v>
      </c>
      <c r="E3990" s="111" t="str">
        <f t="shared" si="3988"/>
        <v>Suwanee</v>
      </c>
    </row>
    <row r="3991" spans="1:5">
      <c r="A3991" s="3" t="s">
        <v>11329</v>
      </c>
      <c r="B3991" s="110" t="s">
        <v>1329</v>
      </c>
      <c r="C3991" s="111" t="s">
        <v>233</v>
      </c>
      <c r="D3991" s="111" t="str">
        <f t="shared" ref="D3991:E3991" si="3989">TRIM(B3991)</f>
        <v>Georgia</v>
      </c>
      <c r="E3991" s="111" t="str">
        <f t="shared" si="3989"/>
        <v>Swainsboro</v>
      </c>
    </row>
    <row r="3992" spans="1:5">
      <c r="A3992" s="3" t="s">
        <v>11331</v>
      </c>
      <c r="B3992" s="110" t="s">
        <v>1329</v>
      </c>
      <c r="C3992" s="111" t="s">
        <v>11332</v>
      </c>
      <c r="D3992" s="111" t="str">
        <f t="shared" ref="D3992:E3992" si="3990">TRIM(B3992)</f>
        <v>Georgia</v>
      </c>
      <c r="E3992" s="111" t="str">
        <f t="shared" si="3990"/>
        <v>Sylvania</v>
      </c>
    </row>
    <row r="3993" spans="1:5">
      <c r="A3993" s="110" t="s">
        <v>11335</v>
      </c>
      <c r="B3993" s="110" t="s">
        <v>1329</v>
      </c>
      <c r="C3993" s="111" t="s">
        <v>11336</v>
      </c>
      <c r="D3993" s="111" t="str">
        <f t="shared" ref="D3993:E3993" si="3991">TRIM(B3993)</f>
        <v>Georgia</v>
      </c>
      <c r="E3993" s="111" t="str">
        <f t="shared" si="3991"/>
        <v>Sylvester</v>
      </c>
    </row>
    <row r="3994" spans="1:5">
      <c r="A3994" s="3" t="s">
        <v>11338</v>
      </c>
      <c r="B3994" s="110" t="s">
        <v>1329</v>
      </c>
      <c r="C3994" s="111" t="s">
        <v>11336</v>
      </c>
      <c r="D3994" s="111" t="str">
        <f t="shared" ref="D3994:E3994" si="3992">TRIM(B3994)</f>
        <v>Georgia</v>
      </c>
      <c r="E3994" s="111" t="str">
        <f t="shared" si="3992"/>
        <v>Sylvester</v>
      </c>
    </row>
    <row r="3995" spans="1:5">
      <c r="A3995" s="3" t="s">
        <v>11341</v>
      </c>
      <c r="B3995" s="110" t="s">
        <v>1329</v>
      </c>
      <c r="C3995" s="111" t="s">
        <v>11342</v>
      </c>
      <c r="D3995" s="111" t="str">
        <f t="shared" ref="D3995:E3995" si="3993">TRIM(B3995)</f>
        <v>Georgia</v>
      </c>
      <c r="E3995" s="111" t="str">
        <f t="shared" si="3993"/>
        <v>Tallapoosa</v>
      </c>
    </row>
    <row r="3996" spans="1:5">
      <c r="A3996" s="3" t="s">
        <v>11344</v>
      </c>
      <c r="B3996" s="110" t="s">
        <v>1329</v>
      </c>
      <c r="C3996" s="111" t="s">
        <v>11342</v>
      </c>
      <c r="D3996" s="111" t="str">
        <f t="shared" ref="D3996:E3996" si="3994">TRIM(B3996)</f>
        <v>Georgia</v>
      </c>
      <c r="E3996" s="111" t="str">
        <f t="shared" si="3994"/>
        <v>Tallapoosa</v>
      </c>
    </row>
    <row r="3997" spans="1:5">
      <c r="A3997" s="3" t="s">
        <v>11347</v>
      </c>
      <c r="B3997" s="110" t="s">
        <v>1329</v>
      </c>
      <c r="C3997" s="111" t="s">
        <v>8080</v>
      </c>
      <c r="D3997" s="111" t="str">
        <f t="shared" ref="D3997:E3997" si="3995">TRIM(B3997)</f>
        <v>Georgia</v>
      </c>
      <c r="E3997" s="111" t="str">
        <f t="shared" si="3995"/>
        <v>Temple</v>
      </c>
    </row>
    <row r="3998" spans="1:5">
      <c r="A3998" s="3" t="s">
        <v>11349</v>
      </c>
      <c r="B3998" s="110" t="s">
        <v>1329</v>
      </c>
      <c r="C3998" s="111" t="s">
        <v>8703</v>
      </c>
      <c r="D3998" s="111" t="str">
        <f t="shared" ref="D3998:E3998" si="3996">TRIM(B3998)</f>
        <v>Georgia</v>
      </c>
      <c r="E3998" s="111" t="str">
        <f t="shared" si="3996"/>
        <v>Thomaston</v>
      </c>
    </row>
    <row r="3999" spans="1:5">
      <c r="A3999" s="3" t="s">
        <v>11351</v>
      </c>
      <c r="B3999" s="110" t="s">
        <v>1329</v>
      </c>
      <c r="C3999" s="111" t="s">
        <v>2218</v>
      </c>
      <c r="D3999" s="111" t="str">
        <f t="shared" ref="D3999:E3999" si="3997">TRIM(B3999)</f>
        <v>Georgia</v>
      </c>
      <c r="E3999" s="111" t="str">
        <f t="shared" si="3997"/>
        <v>Thomasville</v>
      </c>
    </row>
    <row r="4000" spans="1:5">
      <c r="A4000" s="3" t="s">
        <v>11354</v>
      </c>
      <c r="B4000" s="110" t="s">
        <v>1329</v>
      </c>
      <c r="C4000" s="111" t="s">
        <v>2218</v>
      </c>
      <c r="D4000" s="111" t="str">
        <f t="shared" ref="D4000:E4000" si="3998">TRIM(B4000)</f>
        <v>Georgia</v>
      </c>
      <c r="E4000" s="111" t="str">
        <f t="shared" si="3998"/>
        <v>Thomasville</v>
      </c>
    </row>
    <row r="4001" spans="1:5">
      <c r="A4001" s="3" t="s">
        <v>2217</v>
      </c>
      <c r="B4001" s="110" t="s">
        <v>1329</v>
      </c>
      <c r="C4001" s="111" t="s">
        <v>2218</v>
      </c>
      <c r="D4001" s="111" t="str">
        <f t="shared" ref="D4001:E4001" si="3999">TRIM(B4001)</f>
        <v>Georgia</v>
      </c>
      <c r="E4001" s="111" t="str">
        <f t="shared" si="3999"/>
        <v>Thomasville</v>
      </c>
    </row>
    <row r="4002" spans="1:5">
      <c r="A4002" s="3" t="s">
        <v>11356</v>
      </c>
      <c r="B4002" s="110" t="s">
        <v>1329</v>
      </c>
      <c r="C4002" s="111" t="s">
        <v>11357</v>
      </c>
      <c r="D4002" s="111" t="str">
        <f t="shared" ref="D4002:E4002" si="4000">TRIM(B4002)</f>
        <v>Georgia</v>
      </c>
      <c r="E4002" s="111" t="str">
        <f t="shared" si="4000"/>
        <v>Thomson</v>
      </c>
    </row>
    <row r="4003" spans="1:5">
      <c r="A4003" s="3" t="s">
        <v>11359</v>
      </c>
      <c r="B4003" s="110" t="s">
        <v>1329</v>
      </c>
      <c r="C4003" s="111" t="s">
        <v>11360</v>
      </c>
      <c r="D4003" s="111" t="str">
        <f t="shared" ref="D4003:E4003" si="4001">TRIM(B4003)</f>
        <v>Georgia</v>
      </c>
      <c r="E4003" s="111" t="str">
        <f t="shared" si="4001"/>
        <v>Tifton</v>
      </c>
    </row>
    <row r="4004" spans="1:5">
      <c r="A4004" s="3" t="s">
        <v>11363</v>
      </c>
      <c r="B4004" s="110" t="s">
        <v>1329</v>
      </c>
      <c r="C4004" s="111" t="s">
        <v>11364</v>
      </c>
      <c r="D4004" s="111" t="str">
        <f t="shared" ref="D4004:E4004" si="4002">TRIM(B4004)</f>
        <v>Georgia</v>
      </c>
      <c r="E4004" s="111" t="str">
        <f t="shared" si="4002"/>
        <v>Tiger</v>
      </c>
    </row>
    <row r="4005" spans="1:5">
      <c r="A4005" s="3" t="s">
        <v>11365</v>
      </c>
      <c r="B4005" s="110" t="s">
        <v>1329</v>
      </c>
      <c r="C4005" s="111" t="s">
        <v>11366</v>
      </c>
      <c r="D4005" s="111" t="str">
        <f t="shared" ref="D4005:E4005" si="4003">TRIM(B4005)</f>
        <v>Georgia</v>
      </c>
      <c r="E4005" s="111" t="str">
        <f t="shared" si="4003"/>
        <v>Toccoa</v>
      </c>
    </row>
    <row r="4006" spans="1:5">
      <c r="A4006" s="3" t="s">
        <v>11368</v>
      </c>
      <c r="B4006" s="110" t="s">
        <v>1329</v>
      </c>
      <c r="C4006" s="111" t="s">
        <v>10194</v>
      </c>
      <c r="D4006" s="111" t="str">
        <f t="shared" ref="D4006:E4006" si="4004">TRIM(B4006)</f>
        <v>Georgia</v>
      </c>
      <c r="E4006" s="111" t="str">
        <f t="shared" si="4004"/>
        <v>Trenton</v>
      </c>
    </row>
    <row r="4007" spans="1:5">
      <c r="A4007" s="3" t="s">
        <v>11371</v>
      </c>
      <c r="B4007" s="110" t="s">
        <v>1329</v>
      </c>
      <c r="C4007" s="111" t="s">
        <v>11373</v>
      </c>
      <c r="D4007" s="111" t="str">
        <f t="shared" ref="D4007:E4007" si="4005">TRIM(B4007)</f>
        <v>Georgia</v>
      </c>
      <c r="E4007" s="111" t="str">
        <f t="shared" si="4005"/>
        <v>Trion</v>
      </c>
    </row>
    <row r="4008" spans="1:5">
      <c r="A4008" s="3" t="s">
        <v>11375</v>
      </c>
      <c r="B4008" s="110" t="s">
        <v>1329</v>
      </c>
      <c r="C4008" s="111" t="s">
        <v>3425</v>
      </c>
      <c r="D4008" s="111" t="str">
        <f t="shared" ref="D4008:E4008" si="4006">TRIM(B4008)</f>
        <v>Georgia</v>
      </c>
      <c r="E4008" s="111" t="str">
        <f t="shared" si="4006"/>
        <v>Tucker</v>
      </c>
    </row>
    <row r="4009" spans="1:5">
      <c r="A4009" s="3" t="s">
        <v>11377</v>
      </c>
      <c r="B4009" s="110" t="s">
        <v>1329</v>
      </c>
      <c r="C4009" s="111" t="s">
        <v>11378</v>
      </c>
      <c r="D4009" s="111" t="str">
        <f t="shared" ref="D4009:E4009" si="4007">TRIM(B4009)</f>
        <v>Georgia</v>
      </c>
      <c r="E4009" s="111" t="str">
        <f t="shared" si="4007"/>
        <v>Tunnel Hill</v>
      </c>
    </row>
    <row r="4010" spans="1:5">
      <c r="A4010" s="110" t="s">
        <v>11381</v>
      </c>
      <c r="B4010" s="110" t="s">
        <v>1329</v>
      </c>
      <c r="C4010" s="111" t="s">
        <v>11382</v>
      </c>
      <c r="D4010" s="111" t="str">
        <f t="shared" ref="D4010:E4010" si="4008">TRIM(B4010)</f>
        <v>Georgia</v>
      </c>
      <c r="E4010" s="111" t="str">
        <f t="shared" si="4008"/>
        <v>Twin City</v>
      </c>
    </row>
    <row r="4011" spans="1:5">
      <c r="A4011" s="3" t="s">
        <v>11384</v>
      </c>
      <c r="B4011" s="110" t="s">
        <v>1329</v>
      </c>
      <c r="C4011" s="111" t="s">
        <v>11385</v>
      </c>
      <c r="D4011" s="111" t="str">
        <f t="shared" ref="D4011:E4011" si="4009">TRIM(B4011)</f>
        <v>Georgia</v>
      </c>
      <c r="E4011" s="111" t="str">
        <f t="shared" si="4009"/>
        <v>Tyrone</v>
      </c>
    </row>
    <row r="4012" spans="1:5">
      <c r="A4012" s="3" t="s">
        <v>11388</v>
      </c>
      <c r="B4012" s="110" t="s">
        <v>1329</v>
      </c>
      <c r="C4012" s="111" t="s">
        <v>7205</v>
      </c>
      <c r="D4012" s="111" t="str">
        <f t="shared" ref="D4012:E4012" si="4010">TRIM(B4012)</f>
        <v>Georgia</v>
      </c>
      <c r="E4012" s="111" t="str">
        <f t="shared" si="4010"/>
        <v>Valdosta</v>
      </c>
    </row>
    <row r="4013" spans="1:5">
      <c r="A4013" s="3" t="s">
        <v>11390</v>
      </c>
      <c r="B4013" s="110" t="s">
        <v>1329</v>
      </c>
      <c r="C4013" s="111" t="s">
        <v>7205</v>
      </c>
      <c r="D4013" s="111" t="str">
        <f t="shared" ref="D4013:E4013" si="4011">TRIM(B4013)</f>
        <v>Georgia</v>
      </c>
      <c r="E4013" s="111" t="str">
        <f t="shared" si="4011"/>
        <v>Valdosta</v>
      </c>
    </row>
    <row r="4014" spans="1:5">
      <c r="A4014" s="3" t="s">
        <v>11393</v>
      </c>
      <c r="B4014" s="110" t="s">
        <v>1329</v>
      </c>
      <c r="C4014" s="111" t="s">
        <v>10368</v>
      </c>
      <c r="D4014" s="111" t="str">
        <f t="shared" ref="D4014:E4014" si="4012">TRIM(B4014)</f>
        <v>Georgia</v>
      </c>
      <c r="E4014" s="111" t="str">
        <f t="shared" si="4012"/>
        <v>Vidalia</v>
      </c>
    </row>
    <row r="4015" spans="1:5">
      <c r="A4015" s="3" t="s">
        <v>11395</v>
      </c>
      <c r="B4015" s="110" t="s">
        <v>1329</v>
      </c>
      <c r="C4015" s="111" t="s">
        <v>11397</v>
      </c>
      <c r="D4015" s="111" t="str">
        <f t="shared" ref="D4015:E4015" si="4013">TRIM(B4015)</f>
        <v>Georgia</v>
      </c>
      <c r="E4015" s="111" t="str">
        <f t="shared" si="4013"/>
        <v>Vienna</v>
      </c>
    </row>
    <row r="4016" spans="1:5">
      <c r="A4016" s="3" t="s">
        <v>11400</v>
      </c>
      <c r="B4016" s="110" t="s">
        <v>1329</v>
      </c>
      <c r="C4016" s="111" t="s">
        <v>11397</v>
      </c>
      <c r="D4016" s="111" t="str">
        <f t="shared" ref="D4016:E4016" si="4014">TRIM(B4016)</f>
        <v>Georgia</v>
      </c>
      <c r="E4016" s="111" t="str">
        <f t="shared" si="4014"/>
        <v>Vienna</v>
      </c>
    </row>
    <row r="4017" spans="1:5">
      <c r="A4017" s="3" t="s">
        <v>11403</v>
      </c>
      <c r="B4017" s="110" t="s">
        <v>1329</v>
      </c>
      <c r="C4017" s="111" t="s">
        <v>11404</v>
      </c>
      <c r="D4017" s="111" t="str">
        <f t="shared" ref="D4017:E4017" si="4015">TRIM(B4017)</f>
        <v>Georgia</v>
      </c>
      <c r="E4017" s="111" t="str">
        <f t="shared" si="4015"/>
        <v>Villa Rica</v>
      </c>
    </row>
    <row r="4018" spans="1:5">
      <c r="A4018" s="110" t="s">
        <v>11406</v>
      </c>
      <c r="B4018" s="110" t="s">
        <v>1329</v>
      </c>
      <c r="C4018" s="111" t="s">
        <v>282</v>
      </c>
      <c r="D4018" s="111" t="str">
        <f t="shared" ref="D4018:E4018" si="4016">TRIM(B4018)</f>
        <v>Georgia</v>
      </c>
      <c r="E4018" s="111" t="str">
        <f t="shared" si="4016"/>
        <v>Warner Robins</v>
      </c>
    </row>
    <row r="4019" spans="1:5">
      <c r="A4019" s="3" t="s">
        <v>1645</v>
      </c>
      <c r="B4019" s="110" t="s">
        <v>1329</v>
      </c>
      <c r="C4019" s="111" t="s">
        <v>282</v>
      </c>
      <c r="D4019" s="111" t="str">
        <f t="shared" ref="D4019:E4019" si="4017">TRIM(B4019)</f>
        <v>Georgia</v>
      </c>
      <c r="E4019" s="111" t="str">
        <f t="shared" si="4017"/>
        <v>Warner Robins</v>
      </c>
    </row>
    <row r="4020" spans="1:5">
      <c r="A4020" s="3" t="s">
        <v>2026</v>
      </c>
      <c r="B4020" s="110" t="s">
        <v>1329</v>
      </c>
      <c r="C4020" s="111" t="s">
        <v>282</v>
      </c>
      <c r="D4020" s="111" t="str">
        <f t="shared" ref="D4020:E4020" si="4018">TRIM(B4020)</f>
        <v>Georgia</v>
      </c>
      <c r="E4020" s="111" t="str">
        <f t="shared" si="4018"/>
        <v>Warner Robins</v>
      </c>
    </row>
    <row r="4021" spans="1:5">
      <c r="A4021" s="3" t="s">
        <v>11412</v>
      </c>
      <c r="B4021" s="110" t="s">
        <v>1329</v>
      </c>
      <c r="C4021" s="111" t="s">
        <v>282</v>
      </c>
      <c r="D4021" s="111" t="str">
        <f t="shared" ref="D4021:E4021" si="4019">TRIM(B4021)</f>
        <v>Georgia</v>
      </c>
      <c r="E4021" s="111" t="str">
        <f t="shared" si="4019"/>
        <v>Warner Robins</v>
      </c>
    </row>
    <row r="4022" spans="1:5">
      <c r="A4022" s="3" t="s">
        <v>11416</v>
      </c>
      <c r="B4022" s="110" t="s">
        <v>1329</v>
      </c>
      <c r="C4022" s="111" t="s">
        <v>10280</v>
      </c>
      <c r="D4022" s="111" t="str">
        <f t="shared" ref="D4022:E4022" si="4020">TRIM(B4022)</f>
        <v>Georgia</v>
      </c>
      <c r="E4022" s="111" t="str">
        <f t="shared" si="4020"/>
        <v>Warrenton</v>
      </c>
    </row>
    <row r="4023" spans="1:5">
      <c r="A4023" s="3" t="s">
        <v>11419</v>
      </c>
      <c r="B4023" s="110" t="s">
        <v>1329</v>
      </c>
      <c r="C4023" s="111" t="s">
        <v>276</v>
      </c>
      <c r="D4023" s="111" t="str">
        <f t="shared" ref="D4023:E4023" si="4021">TRIM(B4023)</f>
        <v>Georgia</v>
      </c>
      <c r="E4023" s="111" t="str">
        <f t="shared" si="4021"/>
        <v>Washington</v>
      </c>
    </row>
    <row r="4024" spans="1:5">
      <c r="A4024" s="3" t="s">
        <v>11425</v>
      </c>
      <c r="B4024" s="110" t="s">
        <v>1329</v>
      </c>
      <c r="C4024" s="111" t="s">
        <v>11426</v>
      </c>
      <c r="D4024" s="111" t="str">
        <f t="shared" ref="D4024:E4024" si="4022">TRIM(B4024)</f>
        <v>Georgia</v>
      </c>
      <c r="E4024" s="111" t="str">
        <f t="shared" si="4022"/>
        <v>Watkinsville</v>
      </c>
    </row>
    <row r="4025" spans="1:5">
      <c r="A4025" s="3" t="s">
        <v>11429</v>
      </c>
      <c r="B4025" s="110" t="s">
        <v>1329</v>
      </c>
      <c r="C4025" s="111" t="s">
        <v>11431</v>
      </c>
      <c r="D4025" s="111" t="str">
        <f t="shared" ref="D4025:E4025" si="4023">TRIM(B4025)</f>
        <v>Georgia</v>
      </c>
      <c r="E4025" s="111" t="str">
        <f t="shared" si="4023"/>
        <v>Waycross</v>
      </c>
    </row>
    <row r="4026" spans="1:5">
      <c r="A4026" s="3" t="s">
        <v>11434</v>
      </c>
      <c r="B4026" s="110" t="s">
        <v>1329</v>
      </c>
      <c r="C4026" s="111" t="s">
        <v>10314</v>
      </c>
      <c r="D4026" s="111" t="str">
        <f t="shared" ref="D4026:E4026" si="4024">TRIM(B4026)</f>
        <v>Georgia</v>
      </c>
      <c r="E4026" s="111" t="str">
        <f t="shared" si="4024"/>
        <v>Waynesboro</v>
      </c>
    </row>
    <row r="4027" spans="1:5">
      <c r="A4027" s="3" t="s">
        <v>11438</v>
      </c>
      <c r="B4027" s="110" t="s">
        <v>1329</v>
      </c>
      <c r="C4027" s="111" t="s">
        <v>11439</v>
      </c>
      <c r="D4027" s="111" t="str">
        <f t="shared" ref="D4027:E4027" si="4025">TRIM(B4027)</f>
        <v>Georgia</v>
      </c>
      <c r="E4027" s="111" t="str">
        <f t="shared" si="4025"/>
        <v>White</v>
      </c>
    </row>
    <row r="4028" spans="1:5">
      <c r="A4028" s="3" t="s">
        <v>11441</v>
      </c>
      <c r="B4028" s="110" t="s">
        <v>1329</v>
      </c>
      <c r="C4028" s="111" t="s">
        <v>11442</v>
      </c>
      <c r="D4028" s="111" t="str">
        <f t="shared" ref="D4028:E4028" si="4026">TRIM(B4028)</f>
        <v>Georgia</v>
      </c>
      <c r="E4028" s="111" t="str">
        <f t="shared" si="4026"/>
        <v>Winder</v>
      </c>
    </row>
    <row r="4029" spans="1:5">
      <c r="A4029" s="3" t="s">
        <v>11447</v>
      </c>
      <c r="B4029" s="110" t="s">
        <v>1329</v>
      </c>
      <c r="C4029" s="111" t="s">
        <v>11442</v>
      </c>
      <c r="D4029" s="111" t="str">
        <f t="shared" ref="D4029:E4029" si="4027">TRIM(B4029)</f>
        <v>Georgia</v>
      </c>
      <c r="E4029" s="111" t="str">
        <f t="shared" si="4027"/>
        <v>Winder</v>
      </c>
    </row>
    <row r="4030" spans="1:5">
      <c r="A4030" s="3" t="s">
        <v>1530</v>
      </c>
      <c r="B4030" s="110" t="s">
        <v>1329</v>
      </c>
      <c r="C4030" s="111" t="s">
        <v>8792</v>
      </c>
      <c r="D4030" s="111" t="str">
        <f t="shared" ref="D4030:E4030" si="4028">TRIM(B4030)</f>
        <v>Georgia</v>
      </c>
      <c r="E4030" s="111" t="str">
        <f t="shared" si="4028"/>
        <v>Woodstock</v>
      </c>
    </row>
    <row r="4031" spans="1:5">
      <c r="A4031" s="3" t="s">
        <v>9764</v>
      </c>
      <c r="B4031" s="110" t="s">
        <v>1329</v>
      </c>
      <c r="C4031" s="111" t="s">
        <v>8792</v>
      </c>
      <c r="D4031" s="111" t="str">
        <f t="shared" ref="D4031:E4031" si="4029">TRIM(B4031)</f>
        <v>Georgia</v>
      </c>
      <c r="E4031" s="111" t="str">
        <f t="shared" si="4029"/>
        <v>Woodstock</v>
      </c>
    </row>
    <row r="4032" spans="1:5">
      <c r="A4032" s="3" t="s">
        <v>11452</v>
      </c>
      <c r="B4032" s="110" t="s">
        <v>1329</v>
      </c>
      <c r="C4032" s="111" t="s">
        <v>8792</v>
      </c>
      <c r="D4032" s="111" t="str">
        <f t="shared" ref="D4032:E4032" si="4030">TRIM(B4032)</f>
        <v>Georgia</v>
      </c>
      <c r="E4032" s="111" t="str">
        <f t="shared" si="4030"/>
        <v>Woodstock</v>
      </c>
    </row>
    <row r="4033" spans="1:5">
      <c r="A4033" s="3" t="s">
        <v>11453</v>
      </c>
      <c r="B4033" s="110" t="s">
        <v>1329</v>
      </c>
      <c r="C4033" s="111" t="s">
        <v>11454</v>
      </c>
      <c r="D4033" s="111" t="str">
        <f t="shared" ref="D4033:E4033" si="4031">TRIM(B4033)</f>
        <v>Georgia</v>
      </c>
      <c r="E4033" s="111" t="str">
        <f t="shared" si="4031"/>
        <v>Wrightsville</v>
      </c>
    </row>
    <row r="4034" spans="1:5">
      <c r="A4034" s="3" t="s">
        <v>1593</v>
      </c>
      <c r="B4034" s="110" t="s">
        <v>1329</v>
      </c>
      <c r="C4034" s="111" t="s">
        <v>11458</v>
      </c>
      <c r="D4034" s="111" t="str">
        <f t="shared" ref="D4034:E4034" si="4032">TRIM(B4034)</f>
        <v>Georgia</v>
      </c>
      <c r="E4034" s="111" t="str">
        <f t="shared" si="4032"/>
        <v>Zebulon</v>
      </c>
    </row>
    <row r="4035" spans="1:5">
      <c r="A4035" s="3" t="s">
        <v>11459</v>
      </c>
      <c r="B4035" s="110" t="s">
        <v>1329</v>
      </c>
      <c r="C4035" s="111" t="s">
        <v>11458</v>
      </c>
      <c r="D4035" s="111" t="str">
        <f t="shared" ref="D4035:E4035" si="4033">TRIM(B4035)</f>
        <v>Georgia</v>
      </c>
      <c r="E4035" s="111" t="str">
        <f t="shared" si="4033"/>
        <v>Zebulon</v>
      </c>
    </row>
    <row r="4036" spans="1:5">
      <c r="A4036" s="3" t="s">
        <v>11460</v>
      </c>
      <c r="B4036" s="110" t="s">
        <v>1330</v>
      </c>
      <c r="C4036" s="111" t="s">
        <v>11461</v>
      </c>
      <c r="D4036" s="111" t="str">
        <f t="shared" ref="D4036:E4036" si="4034">TRIM(B4036)</f>
        <v>Hawaii</v>
      </c>
      <c r="E4036" s="111" t="str">
        <f t="shared" si="4034"/>
        <v>Aiea</v>
      </c>
    </row>
    <row r="4037" spans="1:5">
      <c r="A4037" s="3" t="s">
        <v>11464</v>
      </c>
      <c r="B4037" s="110" t="s">
        <v>1330</v>
      </c>
      <c r="C4037" s="111" t="s">
        <v>11465</v>
      </c>
      <c r="D4037" s="111" t="str">
        <f t="shared" ref="D4037:E4037" si="4035">TRIM(B4037)</f>
        <v>Hawaii</v>
      </c>
      <c r="E4037" s="111" t="str">
        <f t="shared" si="4035"/>
        <v>Ewa Beach</v>
      </c>
    </row>
    <row r="4038" spans="1:5">
      <c r="A4038" s="3" t="s">
        <v>11467</v>
      </c>
      <c r="B4038" s="110" t="s">
        <v>1330</v>
      </c>
      <c r="C4038" s="111" t="s">
        <v>10500</v>
      </c>
      <c r="D4038" s="111" t="str">
        <f t="shared" ref="D4038:E4038" si="4036">TRIM(B4038)</f>
        <v>Hawaii</v>
      </c>
      <c r="E4038" s="111" t="str">
        <f t="shared" si="4036"/>
        <v>Hilo</v>
      </c>
    </row>
    <row r="4039" spans="1:5">
      <c r="A4039" s="110" t="s">
        <v>11469</v>
      </c>
      <c r="B4039" s="110" t="s">
        <v>1330</v>
      </c>
      <c r="C4039" s="111" t="s">
        <v>10500</v>
      </c>
      <c r="D4039" s="111" t="str">
        <f t="shared" ref="D4039:E4039" si="4037">TRIM(B4039)</f>
        <v>Hawaii</v>
      </c>
      <c r="E4039" s="111" t="str">
        <f t="shared" si="4037"/>
        <v>Hilo</v>
      </c>
    </row>
    <row r="4040" spans="1:5">
      <c r="A4040" s="3" t="s">
        <v>11471</v>
      </c>
      <c r="B4040" s="110" t="s">
        <v>1330</v>
      </c>
      <c r="C4040" s="111" t="s">
        <v>10500</v>
      </c>
      <c r="D4040" s="111" t="str">
        <f t="shared" ref="D4040:E4040" si="4038">TRIM(B4040)</f>
        <v>Hawaii</v>
      </c>
      <c r="E4040" s="111" t="str">
        <f t="shared" si="4038"/>
        <v>Hilo</v>
      </c>
    </row>
    <row r="4041" spans="1:5">
      <c r="A4041" s="3" t="s">
        <v>11473</v>
      </c>
      <c r="B4041" s="110" t="s">
        <v>1330</v>
      </c>
      <c r="C4041" s="111" t="s">
        <v>11474</v>
      </c>
      <c r="D4041" s="111" t="str">
        <f t="shared" ref="D4041:E4041" si="4039">TRIM(B4041)</f>
        <v>Hawaii</v>
      </c>
      <c r="E4041" s="111" t="str">
        <f t="shared" si="4039"/>
        <v>Honokaa</v>
      </c>
    </row>
    <row r="4042" spans="1:5">
      <c r="A4042" s="3" t="s">
        <v>11475</v>
      </c>
      <c r="B4042" s="110" t="s">
        <v>1330</v>
      </c>
      <c r="C4042" s="111" t="s">
        <v>432</v>
      </c>
      <c r="D4042" s="111" t="str">
        <f t="shared" ref="D4042:E4042" si="4040">TRIM(B4042)</f>
        <v>Hawaii</v>
      </c>
      <c r="E4042" s="111" t="str">
        <f t="shared" si="4040"/>
        <v>Honolulu</v>
      </c>
    </row>
    <row r="4043" spans="1:5">
      <c r="A4043" s="3" t="s">
        <v>11479</v>
      </c>
      <c r="B4043" s="110" t="s">
        <v>1330</v>
      </c>
      <c r="C4043" s="111" t="s">
        <v>432</v>
      </c>
      <c r="D4043" s="111" t="str">
        <f t="shared" ref="D4043:E4043" si="4041">TRIM(B4043)</f>
        <v>Hawaii</v>
      </c>
      <c r="E4043" s="111" t="str">
        <f t="shared" si="4041"/>
        <v>Honolulu</v>
      </c>
    </row>
    <row r="4044" spans="1:5">
      <c r="A4044" s="3" t="s">
        <v>11481</v>
      </c>
      <c r="B4044" s="110" t="s">
        <v>1330</v>
      </c>
      <c r="C4044" s="111" t="s">
        <v>432</v>
      </c>
      <c r="D4044" s="111" t="str">
        <f t="shared" ref="D4044:E4044" si="4042">TRIM(B4044)</f>
        <v>Hawaii</v>
      </c>
      <c r="E4044" s="111" t="str">
        <f t="shared" si="4042"/>
        <v>Honolulu</v>
      </c>
    </row>
    <row r="4045" spans="1:5">
      <c r="A4045" s="3" t="s">
        <v>11483</v>
      </c>
      <c r="B4045" s="110" t="s">
        <v>1330</v>
      </c>
      <c r="C4045" s="112" t="s">
        <v>432</v>
      </c>
      <c r="D4045" s="111" t="str">
        <f t="shared" ref="D4045:E4045" si="4043">TRIM(B4045)</f>
        <v>Hawaii</v>
      </c>
      <c r="E4045" s="111" t="str">
        <f t="shared" si="4043"/>
        <v>Honolulu</v>
      </c>
    </row>
    <row r="4046" spans="1:5">
      <c r="A4046" s="3" t="s">
        <v>11488</v>
      </c>
      <c r="B4046" s="110" t="s">
        <v>1330</v>
      </c>
      <c r="C4046" s="111" t="s">
        <v>432</v>
      </c>
      <c r="D4046" s="111" t="str">
        <f t="shared" ref="D4046:E4046" si="4044">TRIM(B4046)</f>
        <v>Hawaii</v>
      </c>
      <c r="E4046" s="111" t="str">
        <f t="shared" si="4044"/>
        <v>Honolulu</v>
      </c>
    </row>
    <row r="4047" spans="1:5">
      <c r="A4047" s="3" t="s">
        <v>11492</v>
      </c>
      <c r="B4047" s="110" t="s">
        <v>1330</v>
      </c>
      <c r="C4047" s="111" t="s">
        <v>432</v>
      </c>
      <c r="D4047" s="111" t="str">
        <f t="shared" ref="D4047:E4047" si="4045">TRIM(B4047)</f>
        <v>Hawaii</v>
      </c>
      <c r="E4047" s="111" t="str">
        <f t="shared" si="4045"/>
        <v>Honolulu</v>
      </c>
    </row>
    <row r="4048" spans="1:5">
      <c r="A4048" s="3" t="s">
        <v>11493</v>
      </c>
      <c r="B4048" s="110" t="s">
        <v>1330</v>
      </c>
      <c r="C4048" s="111" t="s">
        <v>432</v>
      </c>
      <c r="D4048" s="111" t="str">
        <f t="shared" ref="D4048:E4048" si="4046">TRIM(B4048)</f>
        <v>Hawaii</v>
      </c>
      <c r="E4048" s="111" t="str">
        <f t="shared" si="4046"/>
        <v>Honolulu</v>
      </c>
    </row>
    <row r="4049" spans="1:5">
      <c r="A4049" s="3" t="s">
        <v>11496</v>
      </c>
      <c r="B4049" s="110" t="s">
        <v>1330</v>
      </c>
      <c r="C4049" s="111" t="s">
        <v>432</v>
      </c>
      <c r="D4049" s="111" t="str">
        <f t="shared" ref="D4049:E4049" si="4047">TRIM(B4049)</f>
        <v>Hawaii</v>
      </c>
      <c r="E4049" s="111" t="str">
        <f t="shared" si="4047"/>
        <v>Honolulu</v>
      </c>
    </row>
    <row r="4050" spans="1:5">
      <c r="A4050" s="3" t="s">
        <v>11498</v>
      </c>
      <c r="B4050" s="110" t="s">
        <v>1330</v>
      </c>
      <c r="C4050" s="111" t="s">
        <v>11500</v>
      </c>
      <c r="D4050" s="111" t="str">
        <f t="shared" ref="D4050:E4050" si="4048">TRIM(B4050)</f>
        <v>Hawaii</v>
      </c>
      <c r="E4050" s="111" t="str">
        <f t="shared" si="4048"/>
        <v>Hoolehua</v>
      </c>
    </row>
    <row r="4051" spans="1:5">
      <c r="A4051" s="3" t="s">
        <v>11502</v>
      </c>
      <c r="B4051" s="110" t="s">
        <v>1330</v>
      </c>
      <c r="C4051" s="111" t="s">
        <v>11504</v>
      </c>
      <c r="D4051" s="111" t="str">
        <f t="shared" ref="D4051:E4051" si="4049">TRIM(B4051)</f>
        <v>Hawaii</v>
      </c>
      <c r="E4051" s="111" t="str">
        <f t="shared" si="4049"/>
        <v>Kahuku</v>
      </c>
    </row>
    <row r="4052" spans="1:5">
      <c r="A4052" s="3" t="s">
        <v>11506</v>
      </c>
      <c r="B4052" s="110" t="s">
        <v>1330</v>
      </c>
      <c r="C4052" s="111" t="s">
        <v>11507</v>
      </c>
      <c r="D4052" s="111" t="str">
        <f t="shared" ref="D4052:E4052" si="4050">TRIM(B4052)</f>
        <v>Hawaii</v>
      </c>
      <c r="E4052" s="111" t="str">
        <f t="shared" si="4050"/>
        <v>Kahului</v>
      </c>
    </row>
    <row r="4053" spans="1:5">
      <c r="A4053" s="3" t="s">
        <v>11509</v>
      </c>
      <c r="B4053" s="110" t="s">
        <v>1330</v>
      </c>
      <c r="C4053" s="111" t="s">
        <v>10481</v>
      </c>
      <c r="D4053" s="111" t="str">
        <f t="shared" ref="D4053:E4053" si="4051">TRIM(B4053)</f>
        <v>Hawaii</v>
      </c>
      <c r="E4053" s="111" t="str">
        <f t="shared" si="4051"/>
        <v>Kailua</v>
      </c>
    </row>
    <row r="4054" spans="1:5">
      <c r="A4054" s="3" t="s">
        <v>11511</v>
      </c>
      <c r="B4054" s="110" t="s">
        <v>1330</v>
      </c>
      <c r="C4054" s="111" t="s">
        <v>10481</v>
      </c>
      <c r="D4054" s="111" t="str">
        <f t="shared" ref="D4054:E4054" si="4052">TRIM(B4054)</f>
        <v>Hawaii</v>
      </c>
      <c r="E4054" s="111" t="str">
        <f t="shared" si="4052"/>
        <v>Kailua</v>
      </c>
    </row>
    <row r="4055" spans="1:5">
      <c r="A4055" s="3" t="s">
        <v>11515</v>
      </c>
      <c r="B4055" s="110" t="s">
        <v>1330</v>
      </c>
      <c r="C4055" s="111" t="s">
        <v>11516</v>
      </c>
      <c r="D4055" s="111" t="str">
        <f t="shared" ref="D4055:E4055" si="4053">TRIM(B4055)</f>
        <v>Hawaii</v>
      </c>
      <c r="E4055" s="111" t="str">
        <f t="shared" si="4053"/>
        <v>Kailua-Kona</v>
      </c>
    </row>
    <row r="4056" spans="1:5">
      <c r="A4056" s="3" t="s">
        <v>11519</v>
      </c>
      <c r="B4056" s="110" t="s">
        <v>1330</v>
      </c>
      <c r="C4056" s="112" t="s">
        <v>11516</v>
      </c>
      <c r="D4056" s="111" t="str">
        <f t="shared" ref="D4056:E4056" si="4054">TRIM(B4056)</f>
        <v>Hawaii</v>
      </c>
      <c r="E4056" s="111" t="str">
        <f t="shared" si="4054"/>
        <v>Kailua-Kona</v>
      </c>
    </row>
    <row r="4057" spans="1:5">
      <c r="A4057" s="3" t="s">
        <v>11521</v>
      </c>
      <c r="B4057" s="110" t="s">
        <v>1330</v>
      </c>
      <c r="C4057" s="111" t="s">
        <v>11522</v>
      </c>
      <c r="D4057" s="111" t="str">
        <f t="shared" ref="D4057:E4057" si="4055">TRIM(B4057)</f>
        <v>Hawaii</v>
      </c>
      <c r="E4057" s="111" t="str">
        <f t="shared" si="4055"/>
        <v>Kaneohe</v>
      </c>
    </row>
    <row r="4058" spans="1:5">
      <c r="A4058" s="3" t="s">
        <v>11524</v>
      </c>
      <c r="B4058" s="110" t="s">
        <v>1330</v>
      </c>
      <c r="C4058" s="111" t="s">
        <v>11525</v>
      </c>
      <c r="D4058" s="111" t="str">
        <f t="shared" ref="D4058:E4058" si="4056">TRIM(B4058)</f>
        <v>Hawaii</v>
      </c>
      <c r="E4058" s="111" t="str">
        <f t="shared" si="4056"/>
        <v>Kapaa</v>
      </c>
    </row>
    <row r="4059" spans="1:5">
      <c r="A4059" s="3" t="s">
        <v>11528</v>
      </c>
      <c r="B4059" s="110" t="s">
        <v>1330</v>
      </c>
      <c r="C4059" s="111" t="s">
        <v>11529</v>
      </c>
      <c r="D4059" s="111" t="str">
        <f t="shared" ref="D4059:E4059" si="4057">TRIM(B4059)</f>
        <v>Hawaii</v>
      </c>
      <c r="E4059" s="111" t="str">
        <f t="shared" si="4057"/>
        <v>Kapaau</v>
      </c>
    </row>
    <row r="4060" spans="1:5">
      <c r="A4060" s="3" t="s">
        <v>11531</v>
      </c>
      <c r="B4060" s="110" t="s">
        <v>1330</v>
      </c>
      <c r="C4060" s="111" t="s">
        <v>10455</v>
      </c>
      <c r="D4060" s="111" t="str">
        <f t="shared" ref="D4060:E4060" si="4058">TRIM(B4060)</f>
        <v>Hawaii</v>
      </c>
      <c r="E4060" s="111" t="str">
        <f t="shared" si="4058"/>
        <v>Kapolei</v>
      </c>
    </row>
    <row r="4061" spans="1:5">
      <c r="A4061" s="3" t="s">
        <v>11534</v>
      </c>
      <c r="B4061" s="110" t="s">
        <v>1330</v>
      </c>
      <c r="C4061" s="111" t="s">
        <v>11536</v>
      </c>
      <c r="D4061" s="111" t="str">
        <f t="shared" ref="D4061:E4061" si="4059">TRIM(B4061)</f>
        <v>Hawaii</v>
      </c>
      <c r="E4061" s="111" t="str">
        <f t="shared" si="4059"/>
        <v>Keaau</v>
      </c>
    </row>
    <row r="4062" spans="1:5">
      <c r="A4062" s="3" t="s">
        <v>11537</v>
      </c>
      <c r="B4062" s="110" t="s">
        <v>1330</v>
      </c>
      <c r="C4062" s="111" t="s">
        <v>11538</v>
      </c>
      <c r="D4062" s="111" t="str">
        <f t="shared" ref="D4062:E4062" si="4060">TRIM(B4062)</f>
        <v>Hawaii</v>
      </c>
      <c r="E4062" s="111" t="str">
        <f t="shared" si="4060"/>
        <v>Kealakekua</v>
      </c>
    </row>
    <row r="4063" spans="1:5">
      <c r="A4063" s="3" t="s">
        <v>11540</v>
      </c>
      <c r="B4063" s="110" t="s">
        <v>1330</v>
      </c>
      <c r="C4063" s="111" t="s">
        <v>10486</v>
      </c>
      <c r="D4063" s="111" t="str">
        <f t="shared" ref="D4063:E4063" si="4061">TRIM(B4063)</f>
        <v>Hawaii</v>
      </c>
      <c r="E4063" s="111" t="str">
        <f t="shared" si="4061"/>
        <v>Lahaina</v>
      </c>
    </row>
    <row r="4064" spans="1:5">
      <c r="A4064" s="3" t="s">
        <v>11542</v>
      </c>
      <c r="B4064" s="110" t="s">
        <v>1330</v>
      </c>
      <c r="C4064" s="111" t="s">
        <v>11543</v>
      </c>
      <c r="D4064" s="111" t="str">
        <f t="shared" ref="D4064:E4064" si="4062">TRIM(B4064)</f>
        <v>Hawaii</v>
      </c>
      <c r="E4064" s="111" t="str">
        <f t="shared" si="4062"/>
        <v>Lihue</v>
      </c>
    </row>
    <row r="4065" spans="1:5">
      <c r="A4065" s="3" t="s">
        <v>11546</v>
      </c>
      <c r="B4065" s="110" t="s">
        <v>1330</v>
      </c>
      <c r="C4065" s="111" t="s">
        <v>10465</v>
      </c>
      <c r="D4065" s="111" t="str">
        <f t="shared" ref="D4065:E4065" si="4063">TRIM(B4065)</f>
        <v>Hawaii</v>
      </c>
      <c r="E4065" s="111" t="str">
        <f t="shared" si="4063"/>
        <v>Mililani</v>
      </c>
    </row>
    <row r="4066" spans="1:5">
      <c r="A4066" s="3" t="s">
        <v>11548</v>
      </c>
      <c r="B4066" s="110" t="s">
        <v>1330</v>
      </c>
      <c r="C4066" s="111" t="s">
        <v>11549</v>
      </c>
      <c r="D4066" s="111" t="str">
        <f t="shared" ref="D4066:E4066" si="4064">TRIM(B4066)</f>
        <v>Hawaii</v>
      </c>
      <c r="E4066" s="111" t="str">
        <f t="shared" si="4064"/>
        <v>Pahoa</v>
      </c>
    </row>
    <row r="4067" spans="1:5">
      <c r="A4067" s="3" t="s">
        <v>11552</v>
      </c>
      <c r="B4067" s="110" t="s">
        <v>1330</v>
      </c>
      <c r="C4067" s="111" t="s">
        <v>11553</v>
      </c>
      <c r="D4067" s="111" t="str">
        <f t="shared" ref="D4067:E4067" si="4065">TRIM(B4067)</f>
        <v>Hawaii</v>
      </c>
      <c r="E4067" s="111" t="str">
        <f t="shared" si="4065"/>
        <v>Pearl City</v>
      </c>
    </row>
    <row r="4068" spans="1:5">
      <c r="A4068" s="3" t="s">
        <v>11555</v>
      </c>
      <c r="B4068" s="110" t="s">
        <v>1330</v>
      </c>
      <c r="C4068" s="111" t="s">
        <v>11556</v>
      </c>
      <c r="D4068" s="111" t="str">
        <f t="shared" ref="D4068:E4068" si="4066">TRIM(B4068)</f>
        <v>Hawaii</v>
      </c>
      <c r="E4068" s="111" t="str">
        <f t="shared" si="4066"/>
        <v>Pukalani</v>
      </c>
    </row>
    <row r="4069" spans="1:5">
      <c r="A4069" s="3" t="s">
        <v>11558</v>
      </c>
      <c r="B4069" s="110" t="s">
        <v>1330</v>
      </c>
      <c r="C4069" s="111" t="s">
        <v>10475</v>
      </c>
      <c r="D4069" s="111" t="str">
        <f t="shared" ref="D4069:E4069" si="4067">TRIM(B4069)</f>
        <v>Hawaii</v>
      </c>
      <c r="E4069" s="111" t="str">
        <f t="shared" si="4067"/>
        <v>Wahiawa</v>
      </c>
    </row>
    <row r="4070" spans="1:5">
      <c r="A4070" s="3" t="s">
        <v>11560</v>
      </c>
      <c r="B4070" s="110" t="s">
        <v>1330</v>
      </c>
      <c r="C4070" s="111" t="s">
        <v>11562</v>
      </c>
      <c r="D4070" s="111" t="str">
        <f t="shared" ref="D4070:E4070" si="4068">TRIM(B4070)</f>
        <v>Hawaii</v>
      </c>
      <c r="E4070" s="111" t="str">
        <f t="shared" si="4068"/>
        <v>Waialua</v>
      </c>
    </row>
    <row r="4071" spans="1:5">
      <c r="A4071" s="3" t="s">
        <v>11565</v>
      </c>
      <c r="B4071" s="110" t="s">
        <v>1330</v>
      </c>
      <c r="C4071" s="111" t="s">
        <v>11567</v>
      </c>
      <c r="D4071" s="111" t="str">
        <f t="shared" ref="D4071:E4071" si="4069">TRIM(B4071)</f>
        <v>Hawaii</v>
      </c>
      <c r="E4071" s="111" t="str">
        <f t="shared" si="4069"/>
        <v>Waianae</v>
      </c>
    </row>
    <row r="4072" spans="1:5">
      <c r="A4072" s="3" t="s">
        <v>11570</v>
      </c>
      <c r="B4072" s="110" t="s">
        <v>1330</v>
      </c>
      <c r="C4072" s="111" t="s">
        <v>11567</v>
      </c>
      <c r="D4072" s="111" t="str">
        <f t="shared" ref="D4072:E4072" si="4070">TRIM(B4072)</f>
        <v>Hawaii</v>
      </c>
      <c r="E4072" s="111" t="str">
        <f t="shared" si="4070"/>
        <v>Waianae</v>
      </c>
    </row>
    <row r="4073" spans="1:5">
      <c r="A4073" s="3" t="s">
        <v>11573</v>
      </c>
      <c r="B4073" s="110" t="s">
        <v>1330</v>
      </c>
      <c r="C4073" s="111" t="s">
        <v>10497</v>
      </c>
      <c r="D4073" s="111" t="str">
        <f t="shared" ref="D4073:E4073" si="4071">TRIM(B4073)</f>
        <v>Hawaii</v>
      </c>
      <c r="E4073" s="111" t="str">
        <f t="shared" si="4071"/>
        <v>Wailuku</v>
      </c>
    </row>
    <row r="4074" spans="1:5">
      <c r="A4074" s="3" t="s">
        <v>11575</v>
      </c>
      <c r="B4074" s="110" t="s">
        <v>1330</v>
      </c>
      <c r="C4074" s="111" t="s">
        <v>11576</v>
      </c>
      <c r="D4074" s="111" t="str">
        <f t="shared" ref="D4074:E4074" si="4072">TRIM(B4074)</f>
        <v>Hawaii</v>
      </c>
      <c r="E4074" s="111" t="str">
        <f t="shared" si="4072"/>
        <v>Waimea</v>
      </c>
    </row>
    <row r="4075" spans="1:5">
      <c r="A4075" s="3" t="s">
        <v>11578</v>
      </c>
      <c r="B4075" s="110" t="s">
        <v>1330</v>
      </c>
      <c r="C4075" s="111" t="s">
        <v>11579</v>
      </c>
      <c r="D4075" s="111" t="str">
        <f t="shared" ref="D4075:E4075" si="4073">TRIM(B4075)</f>
        <v>Hawaii</v>
      </c>
      <c r="E4075" s="111" t="str">
        <f t="shared" si="4073"/>
        <v>Waipahu</v>
      </c>
    </row>
    <row r="4076" spans="1:5">
      <c r="A4076" s="3" t="s">
        <v>11581</v>
      </c>
      <c r="B4076" s="110" t="s">
        <v>1332</v>
      </c>
      <c r="C4076" s="111" t="s">
        <v>11582</v>
      </c>
      <c r="D4076" s="111" t="str">
        <f t="shared" ref="D4076:E4076" si="4074">TRIM(B4076)</f>
        <v>Idaho</v>
      </c>
      <c r="E4076" s="111" t="str">
        <f t="shared" si="4074"/>
        <v>Aberdeen</v>
      </c>
    </row>
    <row r="4077" spans="1:5">
      <c r="A4077" s="3" t="s">
        <v>11583</v>
      </c>
      <c r="B4077" s="110" t="s">
        <v>1332</v>
      </c>
      <c r="C4077" s="111" t="s">
        <v>11585</v>
      </c>
      <c r="D4077" s="111" t="str">
        <f t="shared" ref="D4077:E4077" si="4075">TRIM(B4077)</f>
        <v>Idaho</v>
      </c>
      <c r="E4077" s="111" t="str">
        <f t="shared" si="4075"/>
        <v>American Falls</v>
      </c>
    </row>
    <row r="4078" spans="1:5">
      <c r="A4078" s="3" t="s">
        <v>1736</v>
      </c>
      <c r="B4078" s="110" t="s">
        <v>1332</v>
      </c>
      <c r="C4078" s="111" t="s">
        <v>11587</v>
      </c>
      <c r="D4078" s="111" t="str">
        <f t="shared" ref="D4078:E4078" si="4076">TRIM(B4078)</f>
        <v>Idaho</v>
      </c>
      <c r="E4078" s="111" t="str">
        <f t="shared" si="4076"/>
        <v>Ammon</v>
      </c>
    </row>
    <row r="4079" spans="1:5">
      <c r="A4079" s="3" t="s">
        <v>11589</v>
      </c>
      <c r="B4079" s="110" t="s">
        <v>1332</v>
      </c>
      <c r="C4079" s="111" t="s">
        <v>11590</v>
      </c>
      <c r="D4079" s="111" t="str">
        <f t="shared" ref="D4079:E4079" si="4077">TRIM(B4079)</f>
        <v>Idaho</v>
      </c>
      <c r="E4079" s="111" t="str">
        <f t="shared" si="4077"/>
        <v>Arco</v>
      </c>
    </row>
    <row r="4080" spans="1:5">
      <c r="A4080" s="3" t="s">
        <v>11592</v>
      </c>
      <c r="B4080" s="110" t="s">
        <v>1332</v>
      </c>
      <c r="C4080" s="111" t="s">
        <v>11593</v>
      </c>
      <c r="D4080" s="111" t="str">
        <f t="shared" ref="D4080:E4080" si="4078">TRIM(B4080)</f>
        <v>Idaho</v>
      </c>
      <c r="E4080" s="111" t="str">
        <f t="shared" si="4078"/>
        <v>Arimo</v>
      </c>
    </row>
    <row r="4081" spans="1:5">
      <c r="A4081" s="3" t="s">
        <v>11595</v>
      </c>
      <c r="B4081" s="110" t="s">
        <v>1332</v>
      </c>
      <c r="C4081" s="111" t="s">
        <v>11596</v>
      </c>
      <c r="D4081" s="111" t="str">
        <f t="shared" ref="D4081:E4081" si="4079">TRIM(B4081)</f>
        <v>Idaho</v>
      </c>
      <c r="E4081" s="111" t="str">
        <f t="shared" si="4079"/>
        <v>Ashton</v>
      </c>
    </row>
    <row r="4082" spans="1:5">
      <c r="A4082" s="3" t="s">
        <v>11597</v>
      </c>
      <c r="B4082" s="110" t="s">
        <v>1332</v>
      </c>
      <c r="C4082" s="111" t="s">
        <v>11598</v>
      </c>
      <c r="D4082" s="111" t="str">
        <f t="shared" ref="D4082:E4082" si="4080">TRIM(B4082)</f>
        <v>Idaho</v>
      </c>
      <c r="E4082" s="111" t="str">
        <f t="shared" si="4080"/>
        <v>Bancroft</v>
      </c>
    </row>
    <row r="4083" spans="1:5">
      <c r="A4083" s="3" t="s">
        <v>11601</v>
      </c>
      <c r="B4083" s="110" t="s">
        <v>1332</v>
      </c>
      <c r="C4083" s="111" t="s">
        <v>11602</v>
      </c>
      <c r="D4083" s="111" t="str">
        <f t="shared" ref="D4083:E4083" si="4081">TRIM(B4083)</f>
        <v>Idaho</v>
      </c>
      <c r="E4083" s="111" t="str">
        <f t="shared" si="4081"/>
        <v>Blackfoot</v>
      </c>
    </row>
    <row r="4084" spans="1:5">
      <c r="A4084" s="3" t="s">
        <v>11604</v>
      </c>
      <c r="B4084" s="110" t="s">
        <v>1332</v>
      </c>
      <c r="C4084" s="112" t="s">
        <v>11602</v>
      </c>
      <c r="D4084" s="111" t="str">
        <f t="shared" ref="D4084:E4084" si="4082">TRIM(B4084)</f>
        <v>Idaho</v>
      </c>
      <c r="E4084" s="111" t="str">
        <f t="shared" si="4082"/>
        <v>Blackfoot</v>
      </c>
    </row>
    <row r="4085" spans="1:5">
      <c r="A4085" s="3" t="s">
        <v>11606</v>
      </c>
      <c r="B4085" s="110" t="s">
        <v>1332</v>
      </c>
      <c r="C4085" s="111" t="s">
        <v>11602</v>
      </c>
      <c r="D4085" s="111" t="str">
        <f t="shared" ref="D4085:E4085" si="4083">TRIM(B4085)</f>
        <v>Idaho</v>
      </c>
      <c r="E4085" s="111" t="str">
        <f t="shared" si="4083"/>
        <v>Blackfoot</v>
      </c>
    </row>
    <row r="4086" spans="1:5">
      <c r="A4086" s="3" t="s">
        <v>11609</v>
      </c>
      <c r="B4086" s="110" t="s">
        <v>1332</v>
      </c>
      <c r="C4086" s="111" t="s">
        <v>10504</v>
      </c>
      <c r="D4086" s="111" t="str">
        <f t="shared" ref="D4086:E4086" si="4084">TRIM(B4086)</f>
        <v>Idaho</v>
      </c>
      <c r="E4086" s="111" t="str">
        <f t="shared" si="4084"/>
        <v>Boise</v>
      </c>
    </row>
    <row r="4087" spans="1:5">
      <c r="A4087" s="3" t="s">
        <v>11612</v>
      </c>
      <c r="B4087" s="110" t="s">
        <v>1332</v>
      </c>
      <c r="C4087" s="111" t="s">
        <v>10504</v>
      </c>
      <c r="D4087" s="111" t="str">
        <f t="shared" ref="D4087:E4087" si="4085">TRIM(B4087)</f>
        <v>Idaho</v>
      </c>
      <c r="E4087" s="111" t="str">
        <f t="shared" si="4085"/>
        <v>Boise</v>
      </c>
    </row>
    <row r="4088" spans="1:5">
      <c r="A4088" s="3" t="s">
        <v>11615</v>
      </c>
      <c r="B4088" s="110" t="s">
        <v>1332</v>
      </c>
      <c r="C4088" s="111" t="s">
        <v>10504</v>
      </c>
      <c r="D4088" s="111" t="str">
        <f t="shared" ref="D4088:E4088" si="4086">TRIM(B4088)</f>
        <v>Idaho</v>
      </c>
      <c r="E4088" s="111" t="str">
        <f t="shared" si="4086"/>
        <v>Boise</v>
      </c>
    </row>
    <row r="4089" spans="1:5">
      <c r="A4089" s="3" t="s">
        <v>2905</v>
      </c>
      <c r="B4089" s="110" t="s">
        <v>1332</v>
      </c>
      <c r="C4089" s="111" t="s">
        <v>10504</v>
      </c>
      <c r="D4089" s="111" t="str">
        <f t="shared" ref="D4089:E4089" si="4087">TRIM(B4089)</f>
        <v>Idaho</v>
      </c>
      <c r="E4089" s="111" t="str">
        <f t="shared" si="4087"/>
        <v>Boise</v>
      </c>
    </row>
    <row r="4090" spans="1:5">
      <c r="A4090" s="3" t="s">
        <v>11619</v>
      </c>
      <c r="B4090" s="110" t="s">
        <v>1332</v>
      </c>
      <c r="C4090" s="111" t="s">
        <v>10504</v>
      </c>
      <c r="D4090" s="111" t="str">
        <f t="shared" ref="D4090:E4090" si="4088">TRIM(B4090)</f>
        <v>Idaho</v>
      </c>
      <c r="E4090" s="111" t="str">
        <f t="shared" si="4088"/>
        <v>Boise</v>
      </c>
    </row>
    <row r="4091" spans="1:5">
      <c r="A4091" s="3" t="s">
        <v>11621</v>
      </c>
      <c r="B4091" s="110" t="s">
        <v>1332</v>
      </c>
      <c r="C4091" s="111" t="s">
        <v>11622</v>
      </c>
      <c r="D4091" s="111" t="str">
        <f t="shared" ref="D4091:E4091" si="4089">TRIM(B4091)</f>
        <v>Idaho</v>
      </c>
      <c r="E4091" s="111" t="str">
        <f t="shared" si="4089"/>
        <v>Bonners Ferry</v>
      </c>
    </row>
    <row r="4092" spans="1:5">
      <c r="A4092" s="3" t="s">
        <v>11623</v>
      </c>
      <c r="B4092" s="110" t="s">
        <v>1332</v>
      </c>
      <c r="C4092" s="111" t="s">
        <v>11624</v>
      </c>
      <c r="D4092" s="111" t="str">
        <f t="shared" ref="D4092:E4092" si="4090">TRIM(B4092)</f>
        <v>Idaho</v>
      </c>
      <c r="E4092" s="111" t="str">
        <f t="shared" si="4090"/>
        <v>Bruneau</v>
      </c>
    </row>
    <row r="4093" spans="1:5">
      <c r="A4093" s="3" t="s">
        <v>11627</v>
      </c>
      <c r="B4093" s="110" t="s">
        <v>1332</v>
      </c>
      <c r="C4093" s="111" t="s">
        <v>1596</v>
      </c>
      <c r="D4093" s="111" t="str">
        <f t="shared" ref="D4093:E4093" si="4091">TRIM(B4093)</f>
        <v>Idaho</v>
      </c>
      <c r="E4093" s="111" t="str">
        <f t="shared" si="4091"/>
        <v>Buhl</v>
      </c>
    </row>
    <row r="4094" spans="1:5">
      <c r="A4094" s="3" t="s">
        <v>11629</v>
      </c>
      <c r="B4094" s="110" t="s">
        <v>1332</v>
      </c>
      <c r="C4094" s="111" t="s">
        <v>11630</v>
      </c>
      <c r="D4094" s="111" t="str">
        <f t="shared" ref="D4094:E4094" si="4092">TRIM(B4094)</f>
        <v>Idaho</v>
      </c>
      <c r="E4094" s="111" t="str">
        <f t="shared" si="4092"/>
        <v>Burley</v>
      </c>
    </row>
    <row r="4095" spans="1:5">
      <c r="A4095" s="3" t="s">
        <v>11632</v>
      </c>
      <c r="B4095" s="110" t="s">
        <v>1332</v>
      </c>
      <c r="C4095" s="111" t="s">
        <v>271</v>
      </c>
      <c r="D4095" s="111" t="str">
        <f t="shared" ref="D4095:E4095" si="4093">TRIM(B4095)</f>
        <v>Idaho</v>
      </c>
      <c r="E4095" s="111" t="str">
        <f t="shared" si="4093"/>
        <v>Caldwell</v>
      </c>
    </row>
    <row r="4096" spans="1:5">
      <c r="A4096" s="3" t="s">
        <v>11634</v>
      </c>
      <c r="B4096" s="110" t="s">
        <v>1332</v>
      </c>
      <c r="C4096" s="111" t="s">
        <v>271</v>
      </c>
      <c r="D4096" s="111" t="str">
        <f t="shared" ref="D4096:E4096" si="4094">TRIM(B4096)</f>
        <v>Idaho</v>
      </c>
      <c r="E4096" s="111" t="str">
        <f t="shared" si="4094"/>
        <v>Caldwell</v>
      </c>
    </row>
    <row r="4097" spans="1:5">
      <c r="A4097" s="3" t="s">
        <v>11636</v>
      </c>
      <c r="B4097" s="110" t="s">
        <v>1332</v>
      </c>
      <c r="C4097" s="111" t="s">
        <v>271</v>
      </c>
      <c r="D4097" s="111" t="str">
        <f t="shared" ref="D4097:E4097" si="4095">TRIM(B4097)</f>
        <v>Idaho</v>
      </c>
      <c r="E4097" s="111" t="str">
        <f t="shared" si="4095"/>
        <v>Caldwell</v>
      </c>
    </row>
    <row r="4098" spans="1:5">
      <c r="A4098" s="3" t="s">
        <v>11638</v>
      </c>
      <c r="B4098" s="110" t="s">
        <v>1332</v>
      </c>
      <c r="C4098" s="111" t="s">
        <v>11260</v>
      </c>
      <c r="D4098" s="111" t="str">
        <f t="shared" ref="D4098:E4098" si="4096">TRIM(B4098)</f>
        <v>Idaho</v>
      </c>
      <c r="E4098" s="111" t="str">
        <f t="shared" si="4096"/>
        <v>Cambridge</v>
      </c>
    </row>
    <row r="4099" spans="1:5">
      <c r="A4099" s="3" t="s">
        <v>11640</v>
      </c>
      <c r="B4099" s="110" t="s">
        <v>1332</v>
      </c>
      <c r="C4099" s="111" t="s">
        <v>11641</v>
      </c>
      <c r="D4099" s="111" t="str">
        <f t="shared" ref="D4099:E4099" si="4097">TRIM(B4099)</f>
        <v>Idaho</v>
      </c>
      <c r="E4099" s="111" t="str">
        <f t="shared" si="4097"/>
        <v>Cascade</v>
      </c>
    </row>
    <row r="4100" spans="1:5">
      <c r="A4100" s="3" t="s">
        <v>11644</v>
      </c>
      <c r="B4100" s="110" t="s">
        <v>1332</v>
      </c>
      <c r="C4100" s="111" t="s">
        <v>11645</v>
      </c>
      <c r="D4100" s="111" t="str">
        <f t="shared" ref="D4100:E4100" si="4098">TRIM(B4100)</f>
        <v>Idaho</v>
      </c>
      <c r="E4100" s="111" t="str">
        <f t="shared" si="4098"/>
        <v>Challis</v>
      </c>
    </row>
    <row r="4101" spans="1:5">
      <c r="A4101" s="3" t="s">
        <v>11647</v>
      </c>
      <c r="B4101" s="110" t="s">
        <v>1332</v>
      </c>
      <c r="C4101" s="111" t="s">
        <v>11648</v>
      </c>
      <c r="D4101" s="111" t="str">
        <f t="shared" ref="D4101:E4101" si="4099">TRIM(B4101)</f>
        <v>Idaho</v>
      </c>
      <c r="E4101" s="111" t="str">
        <f t="shared" si="4099"/>
        <v>Clark Fork</v>
      </c>
    </row>
    <row r="4102" spans="1:5">
      <c r="A4102" s="3" t="s">
        <v>11650</v>
      </c>
      <c r="B4102" s="110" t="s">
        <v>1332</v>
      </c>
      <c r="C4102" s="111" t="s">
        <v>11651</v>
      </c>
      <c r="D4102" s="111" t="str">
        <f t="shared" ref="D4102:E4102" si="4100">TRIM(B4102)</f>
        <v>Idaho</v>
      </c>
      <c r="E4102" s="111" t="str">
        <f t="shared" si="4100"/>
        <v>Coeur D'Alene</v>
      </c>
    </row>
    <row r="4103" spans="1:5">
      <c r="A4103" s="3" t="s">
        <v>11654</v>
      </c>
      <c r="B4103" s="110" t="s">
        <v>1332</v>
      </c>
      <c r="C4103" s="111" t="s">
        <v>11651</v>
      </c>
      <c r="D4103" s="111" t="str">
        <f t="shared" ref="D4103:E4103" si="4101">TRIM(B4103)</f>
        <v>Idaho</v>
      </c>
      <c r="E4103" s="111" t="str">
        <f t="shared" si="4101"/>
        <v>Coeur D'Alene</v>
      </c>
    </row>
    <row r="4104" spans="1:5">
      <c r="A4104" s="3" t="s">
        <v>11656</v>
      </c>
      <c r="B4104" s="110" t="s">
        <v>1332</v>
      </c>
      <c r="C4104" s="111" t="s">
        <v>11651</v>
      </c>
      <c r="D4104" s="111" t="str">
        <f t="shared" ref="D4104:E4104" si="4102">TRIM(B4104)</f>
        <v>Idaho</v>
      </c>
      <c r="E4104" s="111" t="str">
        <f t="shared" si="4102"/>
        <v>Coeur D'Alene</v>
      </c>
    </row>
    <row r="4105" spans="1:5">
      <c r="A4105" s="3" t="s">
        <v>11659</v>
      </c>
      <c r="B4105" s="110" t="s">
        <v>1332</v>
      </c>
      <c r="C4105" s="111" t="s">
        <v>2582</v>
      </c>
      <c r="D4105" s="111" t="str">
        <f t="shared" ref="D4105:E4105" si="4103">TRIM(B4105)</f>
        <v>Idaho</v>
      </c>
      <c r="E4105" s="111" t="str">
        <f t="shared" si="4103"/>
        <v>Cottonwood</v>
      </c>
    </row>
    <row r="4106" spans="1:5">
      <c r="A4106" s="3" t="s">
        <v>11662</v>
      </c>
      <c r="B4106" s="110" t="s">
        <v>1332</v>
      </c>
      <c r="C4106" s="111" t="s">
        <v>11663</v>
      </c>
      <c r="D4106" s="111" t="str">
        <f t="shared" ref="D4106:E4106" si="4104">TRIM(B4106)</f>
        <v>Idaho</v>
      </c>
      <c r="E4106" s="111" t="str">
        <f t="shared" si="4104"/>
        <v>Council</v>
      </c>
    </row>
    <row r="4107" spans="1:5">
      <c r="A4107" s="3" t="s">
        <v>11666</v>
      </c>
      <c r="B4107" s="110" t="s">
        <v>1332</v>
      </c>
      <c r="C4107" s="111" t="s">
        <v>568</v>
      </c>
      <c r="D4107" s="111" t="str">
        <f t="shared" ref="D4107:E4107" si="4105">TRIM(B4107)</f>
        <v>Idaho</v>
      </c>
      <c r="E4107" s="111" t="str">
        <f t="shared" si="4105"/>
        <v>Dayton</v>
      </c>
    </row>
    <row r="4108" spans="1:5">
      <c r="A4108" s="3" t="s">
        <v>11669</v>
      </c>
      <c r="B4108" s="110" t="s">
        <v>1332</v>
      </c>
      <c r="C4108" s="111" t="s">
        <v>11670</v>
      </c>
      <c r="D4108" s="111" t="str">
        <f t="shared" ref="D4108:E4108" si="4106">TRIM(B4108)</f>
        <v>Idaho</v>
      </c>
      <c r="E4108" s="111" t="str">
        <f t="shared" si="4106"/>
        <v>Declo</v>
      </c>
    </row>
    <row r="4109" spans="1:5">
      <c r="A4109" s="3" t="s">
        <v>11672</v>
      </c>
      <c r="B4109" s="110" t="s">
        <v>1332</v>
      </c>
      <c r="C4109" s="111" t="s">
        <v>11673</v>
      </c>
      <c r="D4109" s="111" t="str">
        <f t="shared" ref="D4109:E4109" si="4107">TRIM(B4109)</f>
        <v>Idaho</v>
      </c>
      <c r="E4109" s="111" t="str">
        <f t="shared" si="4107"/>
        <v>Driggs</v>
      </c>
    </row>
    <row r="4110" spans="1:5">
      <c r="A4110" s="3" t="s">
        <v>11676</v>
      </c>
      <c r="B4110" s="110" t="s">
        <v>1332</v>
      </c>
      <c r="C4110" s="111" t="s">
        <v>11677</v>
      </c>
      <c r="D4110" s="111" t="str">
        <f t="shared" ref="D4110:E4110" si="4108">TRIM(B4110)</f>
        <v>Idaho</v>
      </c>
      <c r="E4110" s="111" t="str">
        <f t="shared" si="4108"/>
        <v>Dubois</v>
      </c>
    </row>
    <row r="4111" spans="1:5">
      <c r="A4111" s="3" t="s">
        <v>11679</v>
      </c>
      <c r="B4111" s="110" t="s">
        <v>1332</v>
      </c>
      <c r="C4111" s="111" t="s">
        <v>11680</v>
      </c>
      <c r="D4111" s="111" t="str">
        <f t="shared" ref="D4111:E4111" si="4109">TRIM(B4111)</f>
        <v>Idaho</v>
      </c>
      <c r="E4111" s="111" t="str">
        <f t="shared" si="4109"/>
        <v>Eagle</v>
      </c>
    </row>
    <row r="4112" spans="1:5">
      <c r="A4112" s="3" t="s">
        <v>11681</v>
      </c>
      <c r="B4112" s="110" t="s">
        <v>1332</v>
      </c>
      <c r="C4112" s="111" t="s">
        <v>11680</v>
      </c>
      <c r="D4112" s="111" t="str">
        <f t="shared" ref="D4112:E4112" si="4110">TRIM(B4112)</f>
        <v>Idaho</v>
      </c>
      <c r="E4112" s="111" t="str">
        <f t="shared" si="4110"/>
        <v>Eagle</v>
      </c>
    </row>
    <row r="4113" spans="1:5">
      <c r="A4113" s="3" t="s">
        <v>11684</v>
      </c>
      <c r="B4113" s="110" t="s">
        <v>1332</v>
      </c>
      <c r="C4113" s="111" t="s">
        <v>11685</v>
      </c>
      <c r="D4113" s="111" t="str">
        <f t="shared" ref="D4113:E4113" si="4111">TRIM(B4113)</f>
        <v>Idaho</v>
      </c>
      <c r="E4113" s="111" t="str">
        <f t="shared" si="4111"/>
        <v>Emmett</v>
      </c>
    </row>
    <row r="4114" spans="1:5">
      <c r="A4114" s="3" t="s">
        <v>11687</v>
      </c>
      <c r="B4114" s="110" t="s">
        <v>1332</v>
      </c>
      <c r="C4114" s="111" t="s">
        <v>303</v>
      </c>
      <c r="D4114" s="111" t="str">
        <f t="shared" ref="D4114:E4114" si="4112">TRIM(B4114)</f>
        <v>Idaho</v>
      </c>
      <c r="E4114" s="111" t="str">
        <f t="shared" si="4112"/>
        <v>Fairfield</v>
      </c>
    </row>
    <row r="4115" spans="1:5">
      <c r="A4115" s="3" t="s">
        <v>11690</v>
      </c>
      <c r="B4115" s="110" t="s">
        <v>1332</v>
      </c>
      <c r="C4115" s="111" t="s">
        <v>11692</v>
      </c>
      <c r="D4115" s="111" t="str">
        <f t="shared" ref="D4115:E4115" si="4113">TRIM(B4115)</f>
        <v>Idaho</v>
      </c>
      <c r="E4115" s="111" t="str">
        <f t="shared" si="4113"/>
        <v>Filer</v>
      </c>
    </row>
    <row r="4116" spans="1:5">
      <c r="A4116" s="3" t="s">
        <v>11694</v>
      </c>
      <c r="B4116" s="110" t="s">
        <v>1332</v>
      </c>
      <c r="C4116" s="111" t="s">
        <v>11695</v>
      </c>
      <c r="D4116" s="111" t="str">
        <f t="shared" ref="D4116:E4116" si="4114">TRIM(B4116)</f>
        <v>Idaho</v>
      </c>
      <c r="E4116" s="111" t="str">
        <f t="shared" si="4114"/>
        <v>Firth</v>
      </c>
    </row>
    <row r="4117" spans="1:5">
      <c r="A4117" s="3" t="s">
        <v>11697</v>
      </c>
      <c r="B4117" s="110" t="s">
        <v>1332</v>
      </c>
      <c r="C4117" s="111" t="s">
        <v>11187</v>
      </c>
      <c r="D4117" s="111" t="str">
        <f t="shared" ref="D4117:E4117" si="4115">TRIM(B4117)</f>
        <v>Idaho</v>
      </c>
      <c r="E4117" s="111" t="str">
        <f t="shared" si="4115"/>
        <v>Fruitland</v>
      </c>
    </row>
    <row r="4118" spans="1:5">
      <c r="A4118" s="3" t="s">
        <v>11700</v>
      </c>
      <c r="B4118" s="110" t="s">
        <v>1332</v>
      </c>
      <c r="C4118" s="111" t="s">
        <v>11701</v>
      </c>
      <c r="D4118" s="111" t="str">
        <f t="shared" ref="D4118:E4118" si="4116">TRIM(B4118)</f>
        <v>Idaho</v>
      </c>
      <c r="E4118" s="111" t="str">
        <f t="shared" si="4116"/>
        <v>Glenns Ferry</v>
      </c>
    </row>
    <row r="4119" spans="1:5">
      <c r="A4119" s="3" t="s">
        <v>11703</v>
      </c>
      <c r="B4119" s="110" t="s">
        <v>1332</v>
      </c>
      <c r="C4119" s="111" t="s">
        <v>11704</v>
      </c>
      <c r="D4119" s="111" t="str">
        <f t="shared" ref="D4119:E4119" si="4117">TRIM(B4119)</f>
        <v>Idaho</v>
      </c>
      <c r="E4119" s="111" t="str">
        <f t="shared" si="4117"/>
        <v>Gooding</v>
      </c>
    </row>
    <row r="4120" spans="1:5">
      <c r="A4120" s="3" t="s">
        <v>11708</v>
      </c>
      <c r="B4120" s="110" t="s">
        <v>1332</v>
      </c>
      <c r="C4120" s="111" t="s">
        <v>11709</v>
      </c>
      <c r="D4120" s="111" t="str">
        <f t="shared" ref="D4120:E4120" si="4118">TRIM(B4120)</f>
        <v>Idaho</v>
      </c>
      <c r="E4120" s="111" t="str">
        <f t="shared" si="4118"/>
        <v>Grace</v>
      </c>
    </row>
    <row r="4121" spans="1:5">
      <c r="A4121" s="3" t="s">
        <v>11711</v>
      </c>
      <c r="B4121" s="110" t="s">
        <v>1332</v>
      </c>
      <c r="C4121" s="111" t="s">
        <v>11712</v>
      </c>
      <c r="D4121" s="111" t="str">
        <f t="shared" ref="D4121:E4121" si="4119">TRIM(B4121)</f>
        <v>Idaho</v>
      </c>
      <c r="E4121" s="111" t="str">
        <f t="shared" si="4119"/>
        <v>Grangeville</v>
      </c>
    </row>
    <row r="4122" spans="1:5">
      <c r="A4122" s="3" t="s">
        <v>11714</v>
      </c>
      <c r="B4122" s="110" t="s">
        <v>1332</v>
      </c>
      <c r="C4122" s="111" t="s">
        <v>10531</v>
      </c>
      <c r="D4122" s="111" t="str">
        <f t="shared" ref="D4122:E4122" si="4120">TRIM(B4122)</f>
        <v>Idaho</v>
      </c>
      <c r="E4122" s="111" t="str">
        <f t="shared" si="4120"/>
        <v>Hailey</v>
      </c>
    </row>
    <row r="4123" spans="1:5">
      <c r="A4123" s="3" t="s">
        <v>11717</v>
      </c>
      <c r="B4123" s="110" t="s">
        <v>1332</v>
      </c>
      <c r="C4123" s="111" t="s">
        <v>11718</v>
      </c>
      <c r="D4123" s="111" t="str">
        <f t="shared" ref="D4123:E4123" si="4121">TRIM(B4123)</f>
        <v>Idaho</v>
      </c>
      <c r="E4123" s="111" t="str">
        <f t="shared" si="4121"/>
        <v>Hansen</v>
      </c>
    </row>
    <row r="4124" spans="1:5">
      <c r="A4124" s="3" t="s">
        <v>11721</v>
      </c>
      <c r="B4124" s="110" t="s">
        <v>1332</v>
      </c>
      <c r="C4124" s="111" t="s">
        <v>3849</v>
      </c>
      <c r="D4124" s="111" t="str">
        <f t="shared" ref="D4124:E4124" si="4122">TRIM(B4124)</f>
        <v>Idaho</v>
      </c>
      <c r="E4124" s="111" t="str">
        <f t="shared" si="4122"/>
        <v>Harrison</v>
      </c>
    </row>
    <row r="4125" spans="1:5">
      <c r="A4125" s="3" t="s">
        <v>11724</v>
      </c>
      <c r="B4125" s="110" t="s">
        <v>1332</v>
      </c>
      <c r="C4125" s="111" t="s">
        <v>11725</v>
      </c>
      <c r="D4125" s="111" t="str">
        <f t="shared" ref="D4125:E4125" si="4123">TRIM(B4125)</f>
        <v>Idaho</v>
      </c>
      <c r="E4125" s="111" t="str">
        <f t="shared" si="4123"/>
        <v>Homedale</v>
      </c>
    </row>
    <row r="4126" spans="1:5">
      <c r="A4126" s="3" t="s">
        <v>11728</v>
      </c>
      <c r="B4126" s="110" t="s">
        <v>1332</v>
      </c>
      <c r="C4126" s="111" t="s">
        <v>11729</v>
      </c>
      <c r="D4126" s="111" t="str">
        <f t="shared" ref="D4126:E4126" si="4124">TRIM(B4126)</f>
        <v>Idaho</v>
      </c>
      <c r="E4126" s="111" t="str">
        <f t="shared" si="4124"/>
        <v>Horseshoe Bend</v>
      </c>
    </row>
    <row r="4127" spans="1:5">
      <c r="A4127" s="3" t="s">
        <v>11732</v>
      </c>
      <c r="B4127" s="110" t="s">
        <v>1332</v>
      </c>
      <c r="C4127" s="111" t="s">
        <v>11733</v>
      </c>
      <c r="D4127" s="111" t="str">
        <f t="shared" ref="D4127:E4127" si="4125">TRIM(B4127)</f>
        <v>Idaho</v>
      </c>
      <c r="E4127" s="111" t="str">
        <f t="shared" si="4125"/>
        <v>Idaho City</v>
      </c>
    </row>
    <row r="4128" spans="1:5">
      <c r="A4128" s="3" t="s">
        <v>11735</v>
      </c>
      <c r="B4128" s="110" t="s">
        <v>1332</v>
      </c>
      <c r="C4128" s="111" t="s">
        <v>10535</v>
      </c>
      <c r="D4128" s="111" t="str">
        <f t="shared" ref="D4128:E4128" si="4126">TRIM(B4128)</f>
        <v>Idaho</v>
      </c>
      <c r="E4128" s="111" t="str">
        <f t="shared" si="4126"/>
        <v>Idaho Falls</v>
      </c>
    </row>
    <row r="4129" spans="1:5">
      <c r="A4129" s="110" t="s">
        <v>11737</v>
      </c>
      <c r="B4129" s="110" t="s">
        <v>1332</v>
      </c>
      <c r="C4129" s="111" t="s">
        <v>10535</v>
      </c>
      <c r="D4129" s="111" t="str">
        <f t="shared" ref="D4129:E4129" si="4127">TRIM(B4129)</f>
        <v>Idaho</v>
      </c>
      <c r="E4129" s="111" t="str">
        <f t="shared" si="4127"/>
        <v>Idaho Falls</v>
      </c>
    </row>
    <row r="4130" spans="1:5">
      <c r="A4130" s="3" t="s">
        <v>11740</v>
      </c>
      <c r="B4130" s="110" t="s">
        <v>1332</v>
      </c>
      <c r="C4130" s="111" t="s">
        <v>10535</v>
      </c>
      <c r="D4130" s="111" t="str">
        <f t="shared" ref="D4130:E4130" si="4128">TRIM(B4130)</f>
        <v>Idaho</v>
      </c>
      <c r="E4130" s="111" t="str">
        <f t="shared" si="4128"/>
        <v>Idaho Falls</v>
      </c>
    </row>
    <row r="4131" spans="1:5">
      <c r="A4131" s="3" t="s">
        <v>11742</v>
      </c>
      <c r="B4131" s="110" t="s">
        <v>1332</v>
      </c>
      <c r="C4131" s="111" t="s">
        <v>10535</v>
      </c>
      <c r="D4131" s="111" t="str">
        <f t="shared" ref="D4131:E4131" si="4129">TRIM(B4131)</f>
        <v>Idaho</v>
      </c>
      <c r="E4131" s="111" t="str">
        <f t="shared" si="4129"/>
        <v>Idaho Falls</v>
      </c>
    </row>
    <row r="4132" spans="1:5">
      <c r="A4132" s="3" t="s">
        <v>11744</v>
      </c>
      <c r="B4132" s="110" t="s">
        <v>1332</v>
      </c>
      <c r="C4132" s="111" t="s">
        <v>10535</v>
      </c>
      <c r="D4132" s="111" t="str">
        <f t="shared" ref="D4132:E4132" si="4130">TRIM(B4132)</f>
        <v>Idaho</v>
      </c>
      <c r="E4132" s="111" t="str">
        <f t="shared" si="4130"/>
        <v>Idaho Falls</v>
      </c>
    </row>
    <row r="4133" spans="1:5">
      <c r="A4133" s="3" t="s">
        <v>11748</v>
      </c>
      <c r="B4133" s="110" t="s">
        <v>1332</v>
      </c>
      <c r="C4133" s="111" t="s">
        <v>10535</v>
      </c>
      <c r="D4133" s="111" t="str">
        <f t="shared" ref="D4133:E4133" si="4131">TRIM(B4133)</f>
        <v>Idaho</v>
      </c>
      <c r="E4133" s="111" t="str">
        <f t="shared" si="4131"/>
        <v>Idaho Falls</v>
      </c>
    </row>
    <row r="4134" spans="1:5">
      <c r="A4134" s="3" t="s">
        <v>11751</v>
      </c>
      <c r="B4134" s="110" t="s">
        <v>1332</v>
      </c>
      <c r="C4134" s="111" t="s">
        <v>11752</v>
      </c>
      <c r="D4134" s="111" t="str">
        <f t="shared" ref="D4134:E4134" si="4132">TRIM(B4134)</f>
        <v>Idaho</v>
      </c>
      <c r="E4134" s="111" t="str">
        <f t="shared" si="4132"/>
        <v>Jerome</v>
      </c>
    </row>
    <row r="4135" spans="1:5">
      <c r="A4135" s="3" t="s">
        <v>11754</v>
      </c>
      <c r="B4135" s="110" t="s">
        <v>1332</v>
      </c>
      <c r="C4135" s="111" t="s">
        <v>11756</v>
      </c>
      <c r="D4135" s="111" t="str">
        <f t="shared" ref="D4135:E4135" si="4133">TRIM(B4135)</f>
        <v>Idaho</v>
      </c>
      <c r="E4135" s="111" t="str">
        <f t="shared" si="4133"/>
        <v>Kamiah</v>
      </c>
    </row>
    <row r="4136" spans="1:5">
      <c r="A4136" s="3" t="s">
        <v>11758</v>
      </c>
      <c r="B4136" s="110" t="s">
        <v>1332</v>
      </c>
      <c r="C4136" s="111" t="s">
        <v>11759</v>
      </c>
      <c r="D4136" s="111" t="str">
        <f t="shared" ref="D4136:E4136" si="4134">TRIM(B4136)</f>
        <v>Idaho</v>
      </c>
      <c r="E4136" s="111" t="str">
        <f t="shared" si="4134"/>
        <v>Kellogg</v>
      </c>
    </row>
    <row r="4137" spans="1:5">
      <c r="A4137" s="3" t="s">
        <v>11761</v>
      </c>
      <c r="B4137" s="110" t="s">
        <v>1332</v>
      </c>
      <c r="C4137" s="111" t="s">
        <v>11763</v>
      </c>
      <c r="D4137" s="111" t="str">
        <f t="shared" ref="D4137:E4137" si="4135">TRIM(B4137)</f>
        <v>Idaho</v>
      </c>
      <c r="E4137" s="111" t="str">
        <f t="shared" si="4135"/>
        <v>Kendrick</v>
      </c>
    </row>
    <row r="4138" spans="1:5">
      <c r="A4138" s="3" t="s">
        <v>11765</v>
      </c>
      <c r="B4138" s="110" t="s">
        <v>1332</v>
      </c>
      <c r="C4138" s="111" t="s">
        <v>1166</v>
      </c>
      <c r="D4138" s="111" t="str">
        <f t="shared" ref="D4138:E4138" si="4136">TRIM(B4138)</f>
        <v>Idaho</v>
      </c>
      <c r="E4138" s="111" t="str">
        <f t="shared" si="4136"/>
        <v>Kimberly</v>
      </c>
    </row>
    <row r="4139" spans="1:5">
      <c r="A4139" s="110" t="s">
        <v>11769</v>
      </c>
      <c r="B4139" s="110" t="s">
        <v>1332</v>
      </c>
      <c r="C4139" s="111" t="s">
        <v>11770</v>
      </c>
      <c r="D4139" s="111" t="str">
        <f t="shared" ref="D4139:E4139" si="4137">TRIM(B4139)</f>
        <v>Idaho</v>
      </c>
      <c r="E4139" s="111" t="str">
        <f t="shared" si="4137"/>
        <v>Kooskia</v>
      </c>
    </row>
    <row r="4140" spans="1:5">
      <c r="A4140" s="3" t="s">
        <v>11771</v>
      </c>
      <c r="B4140" s="110" t="s">
        <v>1332</v>
      </c>
      <c r="C4140" s="111" t="s">
        <v>11772</v>
      </c>
      <c r="D4140" s="111" t="str">
        <f t="shared" ref="D4140:E4140" si="4138">TRIM(B4140)</f>
        <v>Idaho</v>
      </c>
      <c r="E4140" s="111" t="str">
        <f t="shared" si="4138"/>
        <v>Kuna</v>
      </c>
    </row>
    <row r="4141" spans="1:5">
      <c r="A4141" s="3" t="s">
        <v>11774</v>
      </c>
      <c r="B4141" s="110" t="s">
        <v>1332</v>
      </c>
      <c r="C4141" s="111" t="s">
        <v>8774</v>
      </c>
      <c r="D4141" s="111" t="str">
        <f t="shared" ref="D4141:E4141" si="4139">TRIM(B4141)</f>
        <v>Idaho</v>
      </c>
      <c r="E4141" s="111" t="str">
        <f t="shared" si="4139"/>
        <v>Lapwai</v>
      </c>
    </row>
    <row r="4142" spans="1:5">
      <c r="A4142" s="3" t="s">
        <v>11779</v>
      </c>
      <c r="B4142" s="110" t="s">
        <v>1332</v>
      </c>
      <c r="C4142" s="111" t="s">
        <v>11780</v>
      </c>
      <c r="D4142" s="111" t="str">
        <f t="shared" ref="D4142:E4142" si="4140">TRIM(B4142)</f>
        <v>Idaho</v>
      </c>
      <c r="E4142" s="111" t="str">
        <f t="shared" si="4140"/>
        <v>Lewiston</v>
      </c>
    </row>
    <row r="4143" spans="1:5">
      <c r="A4143" s="3" t="s">
        <v>11783</v>
      </c>
      <c r="B4143" s="110" t="s">
        <v>1332</v>
      </c>
      <c r="C4143" s="111" t="s">
        <v>11785</v>
      </c>
      <c r="D4143" s="111" t="str">
        <f t="shared" ref="D4143:E4143" si="4141">TRIM(B4143)</f>
        <v>Idaho</v>
      </c>
      <c r="E4143" s="111" t="str">
        <f t="shared" si="4141"/>
        <v>Mackay</v>
      </c>
    </row>
    <row r="4144" spans="1:5">
      <c r="A4144" s="3" t="s">
        <v>11786</v>
      </c>
      <c r="B4144" s="110" t="s">
        <v>1332</v>
      </c>
      <c r="C4144" s="111" t="s">
        <v>11787</v>
      </c>
      <c r="D4144" s="111" t="str">
        <f t="shared" ref="D4144:E4144" si="4142">TRIM(B4144)</f>
        <v>Idaho</v>
      </c>
      <c r="E4144" s="111" t="str">
        <f t="shared" si="4142"/>
        <v>Malad City</v>
      </c>
    </row>
    <row r="4145" spans="1:5">
      <c r="A4145" s="3" t="s">
        <v>11789</v>
      </c>
      <c r="B4145" s="110" t="s">
        <v>1332</v>
      </c>
      <c r="C4145" s="111" t="s">
        <v>11791</v>
      </c>
      <c r="D4145" s="111" t="str">
        <f t="shared" ref="D4145:E4145" si="4143">TRIM(B4145)</f>
        <v>Idaho</v>
      </c>
      <c r="E4145" s="111" t="str">
        <f t="shared" si="4143"/>
        <v>Malta</v>
      </c>
    </row>
    <row r="4146" spans="1:5">
      <c r="A4146" s="3" t="s">
        <v>11793</v>
      </c>
      <c r="B4146" s="110" t="s">
        <v>1332</v>
      </c>
      <c r="C4146" s="111" t="s">
        <v>11794</v>
      </c>
      <c r="D4146" s="111" t="str">
        <f t="shared" ref="D4146:E4146" si="4144">TRIM(B4146)</f>
        <v>Idaho</v>
      </c>
      <c r="E4146" s="111" t="str">
        <f t="shared" si="4144"/>
        <v>Marsing</v>
      </c>
    </row>
    <row r="4147" spans="1:5">
      <c r="A4147" s="3" t="s">
        <v>11796</v>
      </c>
      <c r="B4147" s="110" t="s">
        <v>1332</v>
      </c>
      <c r="C4147" s="111" t="s">
        <v>11797</v>
      </c>
      <c r="D4147" s="111" t="str">
        <f t="shared" ref="D4147:E4147" si="4145">TRIM(B4147)</f>
        <v>Idaho</v>
      </c>
      <c r="E4147" s="111" t="str">
        <f t="shared" si="4145"/>
        <v>Mccall</v>
      </c>
    </row>
    <row r="4148" spans="1:5">
      <c r="A4148" s="3" t="s">
        <v>11799</v>
      </c>
      <c r="B4148" s="110" t="s">
        <v>1332</v>
      </c>
      <c r="C4148" s="111" t="s">
        <v>11800</v>
      </c>
      <c r="D4148" s="111" t="str">
        <f t="shared" ref="D4148:E4148" si="4146">TRIM(B4148)</f>
        <v>Idaho</v>
      </c>
      <c r="E4148" s="111" t="str">
        <f t="shared" si="4146"/>
        <v>Melba</v>
      </c>
    </row>
    <row r="4149" spans="1:5">
      <c r="A4149" s="3" t="s">
        <v>11802</v>
      </c>
      <c r="B4149" s="110" t="s">
        <v>1332</v>
      </c>
      <c r="C4149" s="111" t="s">
        <v>2048</v>
      </c>
      <c r="D4149" s="111" t="str">
        <f t="shared" ref="D4149:E4149" si="4147">TRIM(B4149)</f>
        <v>Idaho</v>
      </c>
      <c r="E4149" s="111" t="str">
        <f t="shared" si="4147"/>
        <v>Meridian</v>
      </c>
    </row>
    <row r="4150" spans="1:5">
      <c r="A4150" s="3" t="s">
        <v>11805</v>
      </c>
      <c r="B4150" s="110" t="s">
        <v>1332</v>
      </c>
      <c r="C4150" s="111" t="s">
        <v>2048</v>
      </c>
      <c r="D4150" s="111" t="str">
        <f t="shared" ref="D4150:E4150" si="4148">TRIM(B4150)</f>
        <v>Idaho</v>
      </c>
      <c r="E4150" s="111" t="str">
        <f t="shared" si="4148"/>
        <v>Meridian</v>
      </c>
    </row>
    <row r="4151" spans="1:5">
      <c r="A4151" s="3" t="s">
        <v>2842</v>
      </c>
      <c r="B4151" s="110" t="s">
        <v>1332</v>
      </c>
      <c r="C4151" s="111" t="s">
        <v>2048</v>
      </c>
      <c r="D4151" s="111" t="str">
        <f t="shared" ref="D4151:E4151" si="4149">TRIM(B4151)</f>
        <v>Idaho</v>
      </c>
      <c r="E4151" s="111" t="str">
        <f t="shared" si="4149"/>
        <v>Meridian</v>
      </c>
    </row>
    <row r="4152" spans="1:5">
      <c r="A4152" s="3" t="s">
        <v>11810</v>
      </c>
      <c r="B4152" s="110" t="s">
        <v>1332</v>
      </c>
      <c r="C4152" s="111" t="s">
        <v>2048</v>
      </c>
      <c r="D4152" s="111" t="str">
        <f t="shared" ref="D4152:E4152" si="4150">TRIM(B4152)</f>
        <v>Idaho</v>
      </c>
      <c r="E4152" s="111" t="str">
        <f t="shared" si="4150"/>
        <v>Meridian</v>
      </c>
    </row>
    <row r="4153" spans="1:5">
      <c r="A4153" s="3" t="s">
        <v>7909</v>
      </c>
      <c r="B4153" s="110" t="s">
        <v>1332</v>
      </c>
      <c r="C4153" s="111" t="s">
        <v>2048</v>
      </c>
      <c r="D4153" s="111" t="str">
        <f t="shared" ref="D4153:E4153" si="4151">TRIM(B4153)</f>
        <v>Idaho</v>
      </c>
      <c r="E4153" s="111" t="str">
        <f t="shared" si="4151"/>
        <v>Meridian</v>
      </c>
    </row>
    <row r="4154" spans="1:5">
      <c r="A4154" s="3" t="s">
        <v>10160</v>
      </c>
      <c r="B4154" s="110" t="s">
        <v>1332</v>
      </c>
      <c r="C4154" s="111" t="s">
        <v>11814</v>
      </c>
      <c r="D4154" s="111" t="str">
        <f t="shared" ref="D4154:E4154" si="4152">TRIM(B4154)</f>
        <v>Idaho</v>
      </c>
      <c r="E4154" s="111" t="str">
        <f t="shared" si="4152"/>
        <v>Middleton</v>
      </c>
    </row>
    <row r="4155" spans="1:5">
      <c r="A4155" s="3" t="s">
        <v>11817</v>
      </c>
      <c r="B4155" s="110" t="s">
        <v>1332</v>
      </c>
      <c r="C4155" s="111" t="s">
        <v>6441</v>
      </c>
      <c r="D4155" s="111" t="str">
        <f t="shared" ref="D4155:E4155" si="4153">TRIM(B4155)</f>
        <v>Idaho</v>
      </c>
      <c r="E4155" s="111" t="str">
        <f t="shared" si="4153"/>
        <v>Montpelier</v>
      </c>
    </row>
    <row r="4156" spans="1:5">
      <c r="A4156" s="3" t="s">
        <v>11818</v>
      </c>
      <c r="B4156" s="110" t="s">
        <v>1332</v>
      </c>
      <c r="C4156" s="111" t="s">
        <v>10512</v>
      </c>
      <c r="D4156" s="111" t="str">
        <f t="shared" ref="D4156:E4156" si="4154">TRIM(B4156)</f>
        <v>Idaho</v>
      </c>
      <c r="E4156" s="111" t="str">
        <f t="shared" si="4154"/>
        <v>Moscow</v>
      </c>
    </row>
    <row r="4157" spans="1:5">
      <c r="A4157" s="3" t="s">
        <v>11821</v>
      </c>
      <c r="B4157" s="110" t="s">
        <v>1332</v>
      </c>
      <c r="C4157" s="111" t="s">
        <v>4053</v>
      </c>
      <c r="D4157" s="111" t="str">
        <f t="shared" ref="D4157:E4157" si="4155">TRIM(B4157)</f>
        <v>Idaho</v>
      </c>
      <c r="E4157" s="111" t="str">
        <f t="shared" si="4155"/>
        <v>Mountain Home</v>
      </c>
    </row>
    <row r="4158" spans="1:5">
      <c r="A4158" s="110" t="s">
        <v>11823</v>
      </c>
      <c r="B4158" s="110" t="s">
        <v>1332</v>
      </c>
      <c r="C4158" s="111" t="s">
        <v>4053</v>
      </c>
      <c r="D4158" s="111" t="str">
        <f t="shared" ref="D4158:E4158" si="4156">TRIM(B4158)</f>
        <v>Idaho</v>
      </c>
      <c r="E4158" s="111" t="str">
        <f t="shared" si="4156"/>
        <v>Mountain Home</v>
      </c>
    </row>
    <row r="4159" spans="1:5">
      <c r="A4159" s="110" t="s">
        <v>11825</v>
      </c>
      <c r="B4159" s="110" t="s">
        <v>1332</v>
      </c>
      <c r="C4159" s="111" t="s">
        <v>4053</v>
      </c>
      <c r="D4159" s="111" t="str">
        <f t="shared" ref="D4159:E4159" si="4157">TRIM(B4159)</f>
        <v>Idaho</v>
      </c>
      <c r="E4159" s="111" t="str">
        <f t="shared" si="4157"/>
        <v>Mountain Home</v>
      </c>
    </row>
    <row r="4160" spans="1:5">
      <c r="A4160" s="3" t="s">
        <v>1870</v>
      </c>
      <c r="B4160" s="110" t="s">
        <v>1332</v>
      </c>
      <c r="C4160" s="111" t="s">
        <v>11827</v>
      </c>
      <c r="D4160" s="111" t="str">
        <f t="shared" ref="D4160:E4160" si="4158">TRIM(B4160)</f>
        <v>Idaho</v>
      </c>
      <c r="E4160" s="111" t="str">
        <f t="shared" si="4158"/>
        <v>Nampa</v>
      </c>
    </row>
    <row r="4161" spans="1:5">
      <c r="A4161" s="110" t="s">
        <v>11830</v>
      </c>
      <c r="B4161" s="110" t="s">
        <v>1332</v>
      </c>
      <c r="C4161" s="111" t="s">
        <v>11827</v>
      </c>
      <c r="D4161" s="111" t="str">
        <f t="shared" ref="D4161:E4161" si="4159">TRIM(B4161)</f>
        <v>Idaho</v>
      </c>
      <c r="E4161" s="111" t="str">
        <f t="shared" si="4159"/>
        <v>Nampa</v>
      </c>
    </row>
    <row r="4162" spans="1:5">
      <c r="A4162" s="3" t="s">
        <v>11833</v>
      </c>
      <c r="B4162" s="110" t="s">
        <v>1332</v>
      </c>
      <c r="C4162" s="111" t="s">
        <v>11827</v>
      </c>
      <c r="D4162" s="111" t="str">
        <f t="shared" ref="D4162:E4162" si="4160">TRIM(B4162)</f>
        <v>Idaho</v>
      </c>
      <c r="E4162" s="111" t="str">
        <f t="shared" si="4160"/>
        <v>Nampa</v>
      </c>
    </row>
    <row r="4163" spans="1:5">
      <c r="A4163" s="110" t="s">
        <v>11836</v>
      </c>
      <c r="B4163" s="110" t="s">
        <v>1332</v>
      </c>
      <c r="C4163" s="111" t="s">
        <v>11827</v>
      </c>
      <c r="D4163" s="111" t="str">
        <f t="shared" ref="D4163:E4163" si="4161">TRIM(B4163)</f>
        <v>Idaho</v>
      </c>
      <c r="E4163" s="111" t="str">
        <f t="shared" si="4161"/>
        <v>Nampa</v>
      </c>
    </row>
    <row r="4164" spans="1:5">
      <c r="A4164" s="3" t="s">
        <v>11838</v>
      </c>
      <c r="B4164" s="110" t="s">
        <v>1332</v>
      </c>
      <c r="C4164" s="111" t="s">
        <v>11827</v>
      </c>
      <c r="D4164" s="111" t="str">
        <f t="shared" ref="D4164:E4164" si="4162">TRIM(B4164)</f>
        <v>Idaho</v>
      </c>
      <c r="E4164" s="111" t="str">
        <f t="shared" si="4162"/>
        <v>Nampa</v>
      </c>
    </row>
    <row r="4165" spans="1:5">
      <c r="A4165" s="3" t="s">
        <v>3467</v>
      </c>
      <c r="B4165" s="110" t="s">
        <v>1332</v>
      </c>
      <c r="C4165" s="111" t="s">
        <v>11827</v>
      </c>
      <c r="D4165" s="111" t="str">
        <f t="shared" ref="D4165:E4165" si="4163">TRIM(B4165)</f>
        <v>Idaho</v>
      </c>
      <c r="E4165" s="111" t="str">
        <f t="shared" si="4163"/>
        <v>Nampa</v>
      </c>
    </row>
    <row r="4166" spans="1:5">
      <c r="A4166" s="3" t="s">
        <v>11840</v>
      </c>
      <c r="B4166" s="110" t="s">
        <v>1332</v>
      </c>
      <c r="C4166" s="111" t="s">
        <v>11827</v>
      </c>
      <c r="D4166" s="111" t="str">
        <f t="shared" ref="D4166:E4166" si="4164">TRIM(B4166)</f>
        <v>Idaho</v>
      </c>
      <c r="E4166" s="111" t="str">
        <f t="shared" si="4164"/>
        <v>Nampa</v>
      </c>
    </row>
    <row r="4167" spans="1:5">
      <c r="A4167" s="3" t="s">
        <v>11842</v>
      </c>
      <c r="B4167" s="110" t="s">
        <v>1332</v>
      </c>
      <c r="C4167" s="111" t="s">
        <v>11843</v>
      </c>
      <c r="D4167" s="111" t="str">
        <f t="shared" ref="D4167:E4167" si="4165">TRIM(B4167)</f>
        <v>Idaho</v>
      </c>
      <c r="E4167" s="111" t="str">
        <f t="shared" si="4165"/>
        <v>New Plymouth</v>
      </c>
    </row>
    <row r="4168" spans="1:5">
      <c r="A4168" s="3" t="s">
        <v>11844</v>
      </c>
      <c r="B4168" s="110" t="s">
        <v>1332</v>
      </c>
      <c r="C4168" s="111" t="s">
        <v>6201</v>
      </c>
      <c r="D4168" s="111" t="str">
        <f t="shared" ref="D4168:E4168" si="4166">TRIM(B4168)</f>
        <v>Idaho</v>
      </c>
      <c r="E4168" s="111" t="str">
        <f t="shared" si="4166"/>
        <v>Oakley</v>
      </c>
    </row>
    <row r="4169" spans="1:5">
      <c r="A4169" s="3" t="s">
        <v>11847</v>
      </c>
      <c r="B4169" s="110" t="s">
        <v>1332</v>
      </c>
      <c r="C4169" s="111" t="s">
        <v>11848</v>
      </c>
      <c r="D4169" s="111" t="str">
        <f t="shared" ref="D4169:E4169" si="4167">TRIM(B4169)</f>
        <v>Idaho</v>
      </c>
      <c r="E4169" s="111" t="str">
        <f t="shared" si="4167"/>
        <v>Orofino</v>
      </c>
    </row>
    <row r="4170" spans="1:5">
      <c r="A4170" s="3" t="s">
        <v>11849</v>
      </c>
      <c r="B4170" s="110" t="s">
        <v>1332</v>
      </c>
      <c r="C4170" s="111" t="s">
        <v>11850</v>
      </c>
      <c r="D4170" s="111" t="str">
        <f t="shared" ref="D4170:E4170" si="4168">TRIM(B4170)</f>
        <v>Idaho</v>
      </c>
      <c r="E4170" s="111" t="str">
        <f t="shared" si="4168"/>
        <v>Parma</v>
      </c>
    </row>
    <row r="4171" spans="1:5">
      <c r="A4171" s="3" t="s">
        <v>11852</v>
      </c>
      <c r="B4171" s="110" t="s">
        <v>1332</v>
      </c>
      <c r="C4171" s="111" t="s">
        <v>11854</v>
      </c>
      <c r="D4171" s="111" t="str">
        <f t="shared" ref="D4171:E4171" si="4169">TRIM(B4171)</f>
        <v>Idaho</v>
      </c>
      <c r="E4171" s="111" t="str">
        <f t="shared" si="4169"/>
        <v>Payette</v>
      </c>
    </row>
    <row r="4172" spans="1:5">
      <c r="A4172" s="3" t="s">
        <v>3886</v>
      </c>
      <c r="B4172" s="110" t="s">
        <v>1332</v>
      </c>
      <c r="C4172" s="111" t="s">
        <v>11856</v>
      </c>
      <c r="D4172" s="111" t="str">
        <f t="shared" ref="D4172:E4172" si="4170">TRIM(B4172)</f>
        <v>Idaho</v>
      </c>
      <c r="E4172" s="111" t="str">
        <f t="shared" si="4170"/>
        <v>Plummer</v>
      </c>
    </row>
    <row r="4173" spans="1:5">
      <c r="A4173" s="3" t="s">
        <v>7017</v>
      </c>
      <c r="B4173" s="110" t="s">
        <v>1332</v>
      </c>
      <c r="C4173" s="111" t="s">
        <v>11859</v>
      </c>
      <c r="D4173" s="111" t="str">
        <f t="shared" ref="D4173:E4173" si="4171">TRIM(B4173)</f>
        <v>Idaho</v>
      </c>
      <c r="E4173" s="111" t="str">
        <f t="shared" si="4171"/>
        <v>Pocatello</v>
      </c>
    </row>
    <row r="4174" spans="1:5">
      <c r="A4174" s="3" t="s">
        <v>2665</v>
      </c>
      <c r="B4174" s="110" t="s">
        <v>1332</v>
      </c>
      <c r="C4174" s="111" t="s">
        <v>11859</v>
      </c>
      <c r="D4174" s="111" t="str">
        <f t="shared" ref="D4174:E4174" si="4172">TRIM(B4174)</f>
        <v>Idaho</v>
      </c>
      <c r="E4174" s="111" t="str">
        <f t="shared" si="4172"/>
        <v>Pocatello</v>
      </c>
    </row>
    <row r="4175" spans="1:5">
      <c r="A4175" s="3" t="s">
        <v>11862</v>
      </c>
      <c r="B4175" s="110" t="s">
        <v>1332</v>
      </c>
      <c r="C4175" s="111" t="s">
        <v>11859</v>
      </c>
      <c r="D4175" s="111" t="str">
        <f t="shared" ref="D4175:E4175" si="4173">TRIM(B4175)</f>
        <v>Idaho</v>
      </c>
      <c r="E4175" s="111" t="str">
        <f t="shared" si="4173"/>
        <v>Pocatello</v>
      </c>
    </row>
    <row r="4176" spans="1:5">
      <c r="A4176" s="3" t="s">
        <v>11864</v>
      </c>
      <c r="B4176" s="110" t="s">
        <v>1332</v>
      </c>
      <c r="C4176" s="111" t="s">
        <v>4576</v>
      </c>
      <c r="D4176" s="111" t="str">
        <f t="shared" ref="D4176:E4176" si="4174">TRIM(B4176)</f>
        <v>Idaho</v>
      </c>
      <c r="E4176" s="111" t="str">
        <f t="shared" si="4174"/>
        <v>Post Falls</v>
      </c>
    </row>
    <row r="4177" spans="1:5">
      <c r="A4177" s="3" t="s">
        <v>11866</v>
      </c>
      <c r="B4177" s="110" t="s">
        <v>1332</v>
      </c>
      <c r="C4177" s="111" t="s">
        <v>6773</v>
      </c>
      <c r="D4177" s="111" t="str">
        <f t="shared" ref="D4177:E4177" si="4175">TRIM(B4177)</f>
        <v>Idaho</v>
      </c>
      <c r="E4177" s="111" t="str">
        <f t="shared" si="4175"/>
        <v>Potlatch</v>
      </c>
    </row>
    <row r="4178" spans="1:5">
      <c r="A4178" s="3" t="s">
        <v>11868</v>
      </c>
      <c r="B4178" s="110" t="s">
        <v>1332</v>
      </c>
      <c r="C4178" s="111" t="s">
        <v>4992</v>
      </c>
      <c r="D4178" s="111" t="str">
        <f t="shared" ref="D4178:E4178" si="4176">TRIM(B4178)</f>
        <v>Idaho</v>
      </c>
      <c r="E4178" s="111" t="str">
        <f t="shared" si="4176"/>
        <v>Preston</v>
      </c>
    </row>
    <row r="4179" spans="1:5">
      <c r="A4179" s="3" t="s">
        <v>11872</v>
      </c>
      <c r="B4179" s="110" t="s">
        <v>1332</v>
      </c>
      <c r="C4179" s="111" t="s">
        <v>11873</v>
      </c>
      <c r="D4179" s="111" t="str">
        <f t="shared" ref="D4179:E4179" si="4177">TRIM(B4179)</f>
        <v>Idaho</v>
      </c>
      <c r="E4179" s="111" t="str">
        <f t="shared" si="4177"/>
        <v>Priest River</v>
      </c>
    </row>
    <row r="4180" spans="1:5">
      <c r="A4180" s="3" t="s">
        <v>9513</v>
      </c>
      <c r="B4180" s="110" t="s">
        <v>1332</v>
      </c>
      <c r="C4180" s="111" t="s">
        <v>10523</v>
      </c>
      <c r="D4180" s="111" t="str">
        <f t="shared" ref="D4180:E4180" si="4178">TRIM(B4180)</f>
        <v>Idaho</v>
      </c>
      <c r="E4180" s="111" t="str">
        <f t="shared" si="4178"/>
        <v>Rathdrum</v>
      </c>
    </row>
    <row r="4181" spans="1:5">
      <c r="A4181" s="3" t="s">
        <v>11877</v>
      </c>
      <c r="B4181" s="110" t="s">
        <v>1332</v>
      </c>
      <c r="C4181" s="111" t="s">
        <v>11879</v>
      </c>
      <c r="D4181" s="111" t="str">
        <f t="shared" ref="D4181:E4181" si="4179">TRIM(B4181)</f>
        <v>Idaho</v>
      </c>
      <c r="E4181" s="111" t="str">
        <f t="shared" si="4179"/>
        <v>Rexburg</v>
      </c>
    </row>
    <row r="4182" spans="1:5">
      <c r="A4182" s="3" t="s">
        <v>11881</v>
      </c>
      <c r="B4182" s="110" t="s">
        <v>1332</v>
      </c>
      <c r="C4182" s="111" t="s">
        <v>7041</v>
      </c>
      <c r="D4182" s="111" t="str">
        <f t="shared" ref="D4182:E4182" si="4180">TRIM(B4182)</f>
        <v>Idaho</v>
      </c>
      <c r="E4182" s="111" t="str">
        <f t="shared" si="4180"/>
        <v>Rigby</v>
      </c>
    </row>
    <row r="4183" spans="1:5">
      <c r="A4183" s="3" t="s">
        <v>11883</v>
      </c>
      <c r="B4183" s="110" t="s">
        <v>1332</v>
      </c>
      <c r="C4183" s="111" t="s">
        <v>11885</v>
      </c>
      <c r="D4183" s="111" t="str">
        <f t="shared" ref="D4183:E4183" si="4181">TRIM(B4183)</f>
        <v>Idaho</v>
      </c>
      <c r="E4183" s="111" t="str">
        <f t="shared" si="4181"/>
        <v>Riggins</v>
      </c>
    </row>
    <row r="4184" spans="1:5">
      <c r="A4184" s="3" t="s">
        <v>11886</v>
      </c>
      <c r="B4184" s="110" t="s">
        <v>1332</v>
      </c>
      <c r="C4184" s="111" t="s">
        <v>11888</v>
      </c>
      <c r="D4184" s="111" t="str">
        <f t="shared" ref="D4184:E4184" si="4182">TRIM(B4184)</f>
        <v>Idaho</v>
      </c>
      <c r="E4184" s="111" t="str">
        <f t="shared" si="4182"/>
        <v>Ririe</v>
      </c>
    </row>
    <row r="4185" spans="1:5">
      <c r="A4185" s="3" t="s">
        <v>11889</v>
      </c>
      <c r="B4185" s="110" t="s">
        <v>1332</v>
      </c>
      <c r="C4185" s="111" t="s">
        <v>11891</v>
      </c>
      <c r="D4185" s="111" t="str">
        <f t="shared" ref="D4185:E4185" si="4183">TRIM(B4185)</f>
        <v>Idaho</v>
      </c>
      <c r="E4185" s="111" t="str">
        <f t="shared" si="4183"/>
        <v>Rupert</v>
      </c>
    </row>
    <row r="4186" spans="1:5">
      <c r="A4186" s="3" t="s">
        <v>11892</v>
      </c>
      <c r="B4186" s="110" t="s">
        <v>1332</v>
      </c>
      <c r="C4186" s="111" t="s">
        <v>11894</v>
      </c>
      <c r="D4186" s="111" t="str">
        <f t="shared" ref="D4186:E4186" si="4184">TRIM(B4186)</f>
        <v>Idaho</v>
      </c>
      <c r="E4186" s="111" t="str">
        <f t="shared" si="4184"/>
        <v>Salmon</v>
      </c>
    </row>
    <row r="4187" spans="1:5">
      <c r="A4187" s="110" t="s">
        <v>11895</v>
      </c>
      <c r="B4187" s="110" t="s">
        <v>1332</v>
      </c>
      <c r="C4187" s="111" t="s">
        <v>11897</v>
      </c>
      <c r="D4187" s="111" t="str">
        <f t="shared" ref="D4187:E4187" si="4185">TRIM(B4187)</f>
        <v>Idaho</v>
      </c>
      <c r="E4187" s="111" t="str">
        <f t="shared" si="4185"/>
        <v>Sandpoint</v>
      </c>
    </row>
    <row r="4188" spans="1:5">
      <c r="A4188" s="3" t="s">
        <v>11899</v>
      </c>
      <c r="B4188" s="110" t="s">
        <v>1332</v>
      </c>
      <c r="C4188" s="111" t="s">
        <v>11897</v>
      </c>
      <c r="D4188" s="111" t="str">
        <f t="shared" ref="D4188:E4188" si="4186">TRIM(B4188)</f>
        <v>Idaho</v>
      </c>
      <c r="E4188" s="111" t="str">
        <f t="shared" si="4186"/>
        <v>Sandpoint</v>
      </c>
    </row>
    <row r="4189" spans="1:5">
      <c r="A4189" s="3" t="s">
        <v>11901</v>
      </c>
      <c r="B4189" s="110" t="s">
        <v>1332</v>
      </c>
      <c r="C4189" s="111" t="s">
        <v>11902</v>
      </c>
      <c r="D4189" s="111" t="str">
        <f t="shared" ref="D4189:E4189" si="4187">TRIM(B4189)</f>
        <v>Idaho</v>
      </c>
      <c r="E4189" s="111" t="str">
        <f t="shared" si="4187"/>
        <v>Shelley</v>
      </c>
    </row>
    <row r="4190" spans="1:5">
      <c r="A4190" s="3" t="s">
        <v>11903</v>
      </c>
      <c r="B4190" s="110" t="s">
        <v>1332</v>
      </c>
      <c r="C4190" s="111" t="s">
        <v>7129</v>
      </c>
      <c r="D4190" s="111" t="str">
        <f t="shared" ref="D4190:E4190" si="4188">TRIM(B4190)</f>
        <v>Idaho</v>
      </c>
      <c r="E4190" s="111" t="str">
        <f t="shared" si="4188"/>
        <v>Shoshone</v>
      </c>
    </row>
    <row r="4191" spans="1:5">
      <c r="A4191" s="3" t="s">
        <v>11904</v>
      </c>
      <c r="B4191" s="110" t="s">
        <v>1332</v>
      </c>
      <c r="C4191" s="111" t="s">
        <v>11905</v>
      </c>
      <c r="D4191" s="111" t="str">
        <f t="shared" ref="D4191:E4191" si="4189">TRIM(B4191)</f>
        <v>Idaho</v>
      </c>
      <c r="E4191" s="111" t="str">
        <f t="shared" si="4189"/>
        <v>Soda Springs</v>
      </c>
    </row>
    <row r="4192" spans="1:5">
      <c r="A4192" s="3" t="s">
        <v>11908</v>
      </c>
      <c r="B4192" s="110" t="s">
        <v>1332</v>
      </c>
      <c r="C4192" s="111" t="s">
        <v>11909</v>
      </c>
      <c r="D4192" s="111" t="str">
        <f t="shared" ref="D4192:E4192" si="4190">TRIM(B4192)</f>
        <v>Idaho</v>
      </c>
      <c r="E4192" s="111" t="str">
        <f t="shared" si="4190"/>
        <v>Spirit Lake</v>
      </c>
    </row>
    <row r="4193" spans="1:5">
      <c r="A4193" s="3" t="s">
        <v>11911</v>
      </c>
      <c r="B4193" s="110" t="s">
        <v>1332</v>
      </c>
      <c r="C4193" s="111" t="s">
        <v>11912</v>
      </c>
      <c r="D4193" s="111" t="str">
        <f t="shared" ref="D4193:E4193" si="4191">TRIM(B4193)</f>
        <v>Idaho</v>
      </c>
      <c r="E4193" s="111" t="str">
        <f t="shared" si="4191"/>
        <v>St Anthony</v>
      </c>
    </row>
    <row r="4194" spans="1:5">
      <c r="A4194" s="3" t="s">
        <v>11914</v>
      </c>
      <c r="B4194" s="110" t="s">
        <v>1332</v>
      </c>
      <c r="C4194" s="111" t="s">
        <v>11916</v>
      </c>
      <c r="D4194" s="111" t="str">
        <f t="shared" ref="D4194:E4194" si="4192">TRIM(B4194)</f>
        <v>Idaho</v>
      </c>
      <c r="E4194" s="111" t="str">
        <f t="shared" si="4192"/>
        <v>St Maries</v>
      </c>
    </row>
    <row r="4195" spans="1:5">
      <c r="A4195" s="3" t="s">
        <v>11918</v>
      </c>
      <c r="B4195" s="110" t="s">
        <v>1332</v>
      </c>
      <c r="C4195" s="111" t="s">
        <v>11920</v>
      </c>
      <c r="D4195" s="111" t="str">
        <f t="shared" ref="D4195:E4195" si="4193">TRIM(B4195)</f>
        <v>Idaho</v>
      </c>
      <c r="E4195" s="111" t="str">
        <f t="shared" si="4193"/>
        <v>Sugar City</v>
      </c>
    </row>
    <row r="4196" spans="1:5">
      <c r="A4196" s="3" t="s">
        <v>11923</v>
      </c>
      <c r="B4196" s="110" t="s">
        <v>1332</v>
      </c>
      <c r="C4196" s="111" t="s">
        <v>11924</v>
      </c>
      <c r="D4196" s="111" t="str">
        <f t="shared" ref="D4196:E4196" si="4194">TRIM(B4196)</f>
        <v>Idaho</v>
      </c>
      <c r="E4196" s="111" t="str">
        <f t="shared" si="4194"/>
        <v>Terreton</v>
      </c>
    </row>
    <row r="4197" spans="1:5">
      <c r="A4197" s="3" t="s">
        <v>11925</v>
      </c>
      <c r="B4197" s="110" t="s">
        <v>1332</v>
      </c>
      <c r="C4197" s="111" t="s">
        <v>2228</v>
      </c>
      <c r="D4197" s="111" t="str">
        <f t="shared" ref="D4197:E4197" si="4195">TRIM(B4197)</f>
        <v>Idaho</v>
      </c>
      <c r="E4197" s="111" t="str">
        <f t="shared" si="4195"/>
        <v>Troy</v>
      </c>
    </row>
    <row r="4198" spans="1:5">
      <c r="A4198" s="3" t="s">
        <v>11926</v>
      </c>
      <c r="B4198" s="110" t="s">
        <v>1332</v>
      </c>
      <c r="C4198" s="111" t="s">
        <v>11927</v>
      </c>
      <c r="D4198" s="111" t="str">
        <f t="shared" ref="D4198:E4198" si="4196">TRIM(B4198)</f>
        <v>Idaho</v>
      </c>
      <c r="E4198" s="111" t="str">
        <f t="shared" si="4196"/>
        <v>Twin Falls</v>
      </c>
    </row>
    <row r="4199" spans="1:5">
      <c r="A4199" s="3" t="s">
        <v>11928</v>
      </c>
      <c r="B4199" s="110" t="s">
        <v>1332</v>
      </c>
      <c r="C4199" s="111" t="s">
        <v>11927</v>
      </c>
      <c r="D4199" s="111" t="str">
        <f t="shared" ref="D4199:E4199" si="4197">TRIM(B4199)</f>
        <v>Idaho</v>
      </c>
      <c r="E4199" s="111" t="str">
        <f t="shared" si="4197"/>
        <v>Twin Falls</v>
      </c>
    </row>
    <row r="4200" spans="1:5">
      <c r="A4200" s="3" t="s">
        <v>11929</v>
      </c>
      <c r="B4200" s="110" t="s">
        <v>1332</v>
      </c>
      <c r="C4200" s="111" t="s">
        <v>11930</v>
      </c>
      <c r="D4200" s="111" t="str">
        <f t="shared" ref="D4200:E4200" si="4198">TRIM(B4200)</f>
        <v>Idaho</v>
      </c>
      <c r="E4200" s="111" t="str">
        <f t="shared" si="4198"/>
        <v>Wallace</v>
      </c>
    </row>
    <row r="4201" spans="1:5">
      <c r="A4201" s="3" t="s">
        <v>11619</v>
      </c>
      <c r="B4201" s="110" t="s">
        <v>1332</v>
      </c>
      <c r="C4201" s="111" t="s">
        <v>11932</v>
      </c>
      <c r="D4201" s="111" t="str">
        <f t="shared" ref="D4201:E4201" si="4199">TRIM(B4201)</f>
        <v>Idaho</v>
      </c>
      <c r="E4201" s="111" t="str">
        <f t="shared" si="4199"/>
        <v>Weippe</v>
      </c>
    </row>
    <row r="4202" spans="1:5">
      <c r="A4202" s="3" t="s">
        <v>11934</v>
      </c>
      <c r="B4202" s="110" t="s">
        <v>1332</v>
      </c>
      <c r="C4202" s="111" t="s">
        <v>11935</v>
      </c>
      <c r="D4202" s="111" t="str">
        <f t="shared" ref="D4202:E4202" si="4200">TRIM(B4202)</f>
        <v>Idaho</v>
      </c>
      <c r="E4202" s="111" t="str">
        <f t="shared" si="4200"/>
        <v>Weiser</v>
      </c>
    </row>
    <row r="4203" spans="1:5">
      <c r="A4203" s="3" t="s">
        <v>11938</v>
      </c>
      <c r="B4203" s="110" t="s">
        <v>1332</v>
      </c>
      <c r="C4203" s="111" t="s">
        <v>11939</v>
      </c>
      <c r="D4203" s="111" t="str">
        <f t="shared" ref="D4203:E4203" si="4201">TRIM(B4203)</f>
        <v>Idaho</v>
      </c>
      <c r="E4203" s="111" t="str">
        <f t="shared" si="4201"/>
        <v>Wendell</v>
      </c>
    </row>
    <row r="4204" spans="1:5">
      <c r="A4204" s="3" t="s">
        <v>11941</v>
      </c>
      <c r="B4204" s="110" t="s">
        <v>1332</v>
      </c>
      <c r="C4204" s="111" t="s">
        <v>11942</v>
      </c>
      <c r="D4204" s="111" t="str">
        <f t="shared" ref="D4204:E4204" si="4202">TRIM(B4204)</f>
        <v>Idaho</v>
      </c>
      <c r="E4204" s="111" t="str">
        <f t="shared" si="4202"/>
        <v>Wilder</v>
      </c>
    </row>
    <row r="4205" spans="1:5">
      <c r="A4205" s="3" t="s">
        <v>11944</v>
      </c>
      <c r="B4205" s="110" t="s">
        <v>1333</v>
      </c>
      <c r="C4205" s="111" t="s">
        <v>11945</v>
      </c>
      <c r="D4205" s="111" t="str">
        <f t="shared" ref="D4205:E4205" si="4203">TRIM(B4205)</f>
        <v>Illinois</v>
      </c>
      <c r="E4205" s="111" t="str">
        <f t="shared" si="4203"/>
        <v>Abingdon</v>
      </c>
    </row>
    <row r="4206" spans="1:5">
      <c r="A4206" s="3" t="s">
        <v>11947</v>
      </c>
      <c r="B4206" s="110" t="s">
        <v>1333</v>
      </c>
      <c r="C4206" s="111" t="s">
        <v>1478</v>
      </c>
      <c r="D4206" s="111" t="str">
        <f t="shared" ref="D4206:E4206" si="4204">TRIM(B4206)</f>
        <v>Illinois</v>
      </c>
      <c r="E4206" s="111" t="str">
        <f t="shared" si="4204"/>
        <v>Addison</v>
      </c>
    </row>
    <row r="4207" spans="1:5">
      <c r="A4207" s="3" t="s">
        <v>11949</v>
      </c>
      <c r="B4207" s="110" t="s">
        <v>1333</v>
      </c>
      <c r="C4207" s="111" t="s">
        <v>11950</v>
      </c>
      <c r="D4207" s="111" t="str">
        <f t="shared" ref="D4207:E4207" si="4205">TRIM(B4207)</f>
        <v>Illinois</v>
      </c>
      <c r="E4207" s="111" t="str">
        <f t="shared" si="4205"/>
        <v>Albion</v>
      </c>
    </row>
    <row r="4208" spans="1:5">
      <c r="A4208" s="3" t="s">
        <v>11952</v>
      </c>
      <c r="B4208" s="110" t="s">
        <v>1333</v>
      </c>
      <c r="C4208" s="111" t="s">
        <v>11953</v>
      </c>
      <c r="D4208" s="111" t="str">
        <f t="shared" ref="D4208:E4208" si="4206">TRIM(B4208)</f>
        <v>Illinois</v>
      </c>
      <c r="E4208" s="111" t="str">
        <f t="shared" si="4206"/>
        <v>Aledo</v>
      </c>
    </row>
    <row r="4209" spans="1:5">
      <c r="A4209" s="3" t="s">
        <v>11955</v>
      </c>
      <c r="B4209" s="110" t="s">
        <v>1333</v>
      </c>
      <c r="C4209" s="111" t="s">
        <v>11956</v>
      </c>
      <c r="D4209" s="111" t="str">
        <f t="shared" ref="D4209:E4209" si="4207">TRIM(B4209)</f>
        <v>Illinois</v>
      </c>
      <c r="E4209" s="111" t="str">
        <f t="shared" si="4207"/>
        <v>Algonquin</v>
      </c>
    </row>
    <row r="4210" spans="1:5">
      <c r="A4210" s="3" t="s">
        <v>11958</v>
      </c>
      <c r="B4210" s="110" t="s">
        <v>1333</v>
      </c>
      <c r="C4210" s="111" t="s">
        <v>11959</v>
      </c>
      <c r="D4210" s="111" t="str">
        <f t="shared" ref="D4210:E4210" si="4208">TRIM(B4210)</f>
        <v>Illinois</v>
      </c>
      <c r="E4210" s="111" t="str">
        <f t="shared" si="4208"/>
        <v>Altamont</v>
      </c>
    </row>
    <row r="4211" spans="1:5">
      <c r="A4211" s="3" t="s">
        <v>11962</v>
      </c>
      <c r="B4211" s="110" t="s">
        <v>1333</v>
      </c>
      <c r="C4211" s="111" t="s">
        <v>435</v>
      </c>
      <c r="D4211" s="111" t="str">
        <f t="shared" ref="D4211:E4211" si="4209">TRIM(B4211)</f>
        <v>Illinois</v>
      </c>
      <c r="E4211" s="111" t="str">
        <f t="shared" si="4209"/>
        <v>Alton</v>
      </c>
    </row>
    <row r="4212" spans="1:5">
      <c r="A4212" s="3" t="s">
        <v>11966</v>
      </c>
      <c r="B4212" s="110" t="s">
        <v>1333</v>
      </c>
      <c r="C4212" s="111" t="s">
        <v>11967</v>
      </c>
      <c r="D4212" s="111" t="str">
        <f t="shared" ref="D4212:E4212" si="4210">TRIM(B4212)</f>
        <v>Illinois</v>
      </c>
      <c r="E4212" s="111" t="str">
        <f t="shared" si="4210"/>
        <v>Amboy</v>
      </c>
    </row>
    <row r="4213" spans="1:5">
      <c r="A4213" s="3" t="s">
        <v>11970</v>
      </c>
      <c r="B4213" s="110" t="s">
        <v>1333</v>
      </c>
      <c r="C4213" s="111" t="s">
        <v>11971</v>
      </c>
      <c r="D4213" s="111" t="str">
        <f t="shared" ref="D4213:E4213" si="4211">TRIM(B4213)</f>
        <v>Illinois</v>
      </c>
      <c r="E4213" s="111" t="str">
        <f t="shared" si="4211"/>
        <v>Anna</v>
      </c>
    </row>
    <row r="4214" spans="1:5">
      <c r="A4214" s="3" t="s">
        <v>11973</v>
      </c>
      <c r="B4214" s="110" t="s">
        <v>1333</v>
      </c>
      <c r="C4214" s="111" t="s">
        <v>11974</v>
      </c>
      <c r="D4214" s="111" t="str">
        <f t="shared" ref="D4214:E4214" si="4212">TRIM(B4214)</f>
        <v>Illinois</v>
      </c>
      <c r="E4214" s="111" t="str">
        <f t="shared" si="4212"/>
        <v>Annawan</v>
      </c>
    </row>
    <row r="4215" spans="1:5">
      <c r="A4215" s="3" t="s">
        <v>11976</v>
      </c>
      <c r="B4215" s="110" t="s">
        <v>1333</v>
      </c>
      <c r="C4215" s="111" t="s">
        <v>4357</v>
      </c>
      <c r="D4215" s="111" t="str">
        <f t="shared" ref="D4215:E4215" si="4213">TRIM(B4215)</f>
        <v>Illinois</v>
      </c>
      <c r="E4215" s="111" t="str">
        <f t="shared" si="4213"/>
        <v>Antioch</v>
      </c>
    </row>
    <row r="4216" spans="1:5">
      <c r="A4216" s="3" t="s">
        <v>11979</v>
      </c>
      <c r="B4216" s="110" t="s">
        <v>1333</v>
      </c>
      <c r="C4216" s="111" t="s">
        <v>11665</v>
      </c>
      <c r="D4216" s="111" t="str">
        <f t="shared" ref="D4216:E4216" si="4214">TRIM(B4216)</f>
        <v>Illinois</v>
      </c>
      <c r="E4216" s="111" t="str">
        <f t="shared" si="4214"/>
        <v>Arcola</v>
      </c>
    </row>
    <row r="4217" spans="1:5">
      <c r="A4217" s="3" t="s">
        <v>11983</v>
      </c>
      <c r="B4217" s="110" t="s">
        <v>1333</v>
      </c>
      <c r="C4217" s="111" t="s">
        <v>11984</v>
      </c>
      <c r="D4217" s="111" t="str">
        <f t="shared" ref="D4217:E4217" si="4215">TRIM(B4217)</f>
        <v>Illinois</v>
      </c>
      <c r="E4217" s="111" t="str">
        <f t="shared" si="4215"/>
        <v>Argenta</v>
      </c>
    </row>
    <row r="4218" spans="1:5">
      <c r="A4218" s="3" t="s">
        <v>11985</v>
      </c>
      <c r="B4218" s="110" t="s">
        <v>1333</v>
      </c>
      <c r="C4218" s="113" t="s">
        <v>10641</v>
      </c>
      <c r="D4218" s="111" t="str">
        <f t="shared" ref="D4218:E4218" si="4216">TRIM(B4218)</f>
        <v>Illinois</v>
      </c>
      <c r="E4218" s="111" t="str">
        <f t="shared" si="4216"/>
        <v>Arlington Heights</v>
      </c>
    </row>
    <row r="4219" spans="1:5">
      <c r="A4219" s="110" t="s">
        <v>11987</v>
      </c>
      <c r="B4219" s="110" t="s">
        <v>1333</v>
      </c>
      <c r="C4219" s="113" t="s">
        <v>10641</v>
      </c>
      <c r="D4219" s="111" t="str">
        <f t="shared" ref="D4219:E4219" si="4217">TRIM(B4219)</f>
        <v>Illinois</v>
      </c>
      <c r="E4219" s="111" t="str">
        <f t="shared" si="4217"/>
        <v>Arlington Heights</v>
      </c>
    </row>
    <row r="4220" spans="1:5">
      <c r="A4220" s="3" t="s">
        <v>11988</v>
      </c>
      <c r="B4220" s="110" t="s">
        <v>1333</v>
      </c>
      <c r="C4220" s="113" t="s">
        <v>10641</v>
      </c>
      <c r="D4220" s="111" t="str">
        <f t="shared" ref="D4220:E4220" si="4218">TRIM(B4220)</f>
        <v>Illinois</v>
      </c>
      <c r="E4220" s="111" t="str">
        <f t="shared" si="4218"/>
        <v>Arlington Heights</v>
      </c>
    </row>
    <row r="4221" spans="1:5">
      <c r="A4221" s="110" t="s">
        <v>11990</v>
      </c>
      <c r="B4221" s="110" t="s">
        <v>1333</v>
      </c>
      <c r="C4221" s="113" t="s">
        <v>10641</v>
      </c>
      <c r="D4221" s="111" t="str">
        <f t="shared" ref="D4221:E4221" si="4219">TRIM(B4221)</f>
        <v>Illinois</v>
      </c>
      <c r="E4221" s="111" t="str">
        <f t="shared" si="4219"/>
        <v>Arlington Heights</v>
      </c>
    </row>
    <row r="4222" spans="1:5">
      <c r="A4222" s="3" t="s">
        <v>11995</v>
      </c>
      <c r="B4222" s="110" t="s">
        <v>1333</v>
      </c>
      <c r="C4222" s="111" t="s">
        <v>11996</v>
      </c>
      <c r="D4222" s="111" t="str">
        <f t="shared" ref="D4222:E4222" si="4220">TRIM(B4222)</f>
        <v>Illinois</v>
      </c>
      <c r="E4222" s="111" t="str">
        <f t="shared" si="4220"/>
        <v>Armstrong</v>
      </c>
    </row>
    <row r="4223" spans="1:5">
      <c r="A4223" s="110" t="s">
        <v>11998</v>
      </c>
      <c r="B4223" s="110" t="s">
        <v>1333</v>
      </c>
      <c r="C4223" s="111" t="s">
        <v>11999</v>
      </c>
      <c r="D4223" s="111" t="str">
        <f t="shared" ref="D4223:E4223" si="4221">TRIM(B4223)</f>
        <v>Illinois</v>
      </c>
      <c r="E4223" s="111" t="str">
        <f t="shared" si="4221"/>
        <v>Arthur</v>
      </c>
    </row>
    <row r="4224" spans="1:5">
      <c r="A4224" s="3" t="s">
        <v>12002</v>
      </c>
      <c r="B4224" s="110" t="s">
        <v>1333</v>
      </c>
      <c r="C4224" s="111" t="s">
        <v>10817</v>
      </c>
      <c r="D4224" s="111" t="str">
        <f t="shared" ref="D4224:E4224" si="4222">TRIM(B4224)</f>
        <v>Illinois</v>
      </c>
      <c r="E4224" s="111" t="str">
        <f t="shared" si="4222"/>
        <v>Ashland</v>
      </c>
    </row>
    <row r="4225" spans="1:5">
      <c r="A4225" s="3" t="s">
        <v>12005</v>
      </c>
      <c r="B4225" s="110" t="s">
        <v>1333</v>
      </c>
      <c r="C4225" s="111" t="s">
        <v>11596</v>
      </c>
      <c r="D4225" s="111" t="str">
        <f t="shared" ref="D4225:E4225" si="4223">TRIM(B4225)</f>
        <v>Illinois</v>
      </c>
      <c r="E4225" s="111" t="str">
        <f t="shared" si="4223"/>
        <v>Ashton</v>
      </c>
    </row>
    <row r="4226" spans="1:5">
      <c r="A4226" s="110" t="s">
        <v>12009</v>
      </c>
      <c r="B4226" s="110" t="s">
        <v>1333</v>
      </c>
      <c r="C4226" s="111" t="s">
        <v>12010</v>
      </c>
      <c r="D4226" s="111" t="str">
        <f t="shared" ref="D4226:E4226" si="4224">TRIM(B4226)</f>
        <v>Illinois</v>
      </c>
      <c r="E4226" s="111" t="str">
        <f t="shared" si="4224"/>
        <v>Assumption</v>
      </c>
    </row>
    <row r="4227" spans="1:5">
      <c r="A4227" s="3" t="s">
        <v>12012</v>
      </c>
      <c r="B4227" s="110" t="s">
        <v>1333</v>
      </c>
      <c r="C4227" s="111" t="s">
        <v>12013</v>
      </c>
      <c r="D4227" s="111" t="str">
        <f t="shared" ref="D4227:E4227" si="4225">TRIM(B4227)</f>
        <v>Illinois</v>
      </c>
      <c r="E4227" s="111" t="str">
        <f t="shared" si="4225"/>
        <v>Astoria</v>
      </c>
    </row>
    <row r="4228" spans="1:5">
      <c r="A4228" s="3" t="s">
        <v>12017</v>
      </c>
      <c r="B4228" s="110" t="s">
        <v>1333</v>
      </c>
      <c r="C4228" s="111" t="s">
        <v>327</v>
      </c>
      <c r="D4228" s="111" t="str">
        <f t="shared" ref="D4228:E4228" si="4226">TRIM(B4228)</f>
        <v>Illinois</v>
      </c>
      <c r="E4228" s="111" t="str">
        <f t="shared" si="4226"/>
        <v>Athens</v>
      </c>
    </row>
    <row r="4229" spans="1:5">
      <c r="A4229" s="3" t="s">
        <v>1532</v>
      </c>
      <c r="B4229" s="110" t="s">
        <v>1333</v>
      </c>
      <c r="C4229" s="111" t="s">
        <v>211</v>
      </c>
      <c r="D4229" s="111" t="str">
        <f t="shared" ref="D4229:E4229" si="4227">TRIM(B4229)</f>
        <v>Illinois</v>
      </c>
      <c r="E4229" s="111" t="str">
        <f t="shared" si="4227"/>
        <v>Auburn</v>
      </c>
    </row>
    <row r="4230" spans="1:5">
      <c r="A4230" s="3" t="s">
        <v>12020</v>
      </c>
      <c r="B4230" s="110" t="s">
        <v>1333</v>
      </c>
      <c r="C4230" s="111" t="s">
        <v>337</v>
      </c>
      <c r="D4230" s="111" t="str">
        <f t="shared" ref="D4230:E4230" si="4228">TRIM(B4230)</f>
        <v>Illinois</v>
      </c>
      <c r="E4230" s="111" t="str">
        <f t="shared" si="4228"/>
        <v>Augusta</v>
      </c>
    </row>
    <row r="4231" spans="1:5">
      <c r="A4231" s="3" t="s">
        <v>2294</v>
      </c>
      <c r="B4231" s="110" t="s">
        <v>1333</v>
      </c>
      <c r="C4231" s="111" t="s">
        <v>353</v>
      </c>
      <c r="D4231" s="111" t="str">
        <f t="shared" ref="D4231:E4231" si="4229">TRIM(B4231)</f>
        <v>Illinois</v>
      </c>
      <c r="E4231" s="111" t="str">
        <f t="shared" si="4229"/>
        <v>Aurora</v>
      </c>
    </row>
    <row r="4232" spans="1:5">
      <c r="A4232" s="110" t="s">
        <v>12025</v>
      </c>
      <c r="B4232" s="110" t="s">
        <v>1333</v>
      </c>
      <c r="C4232" s="111" t="s">
        <v>353</v>
      </c>
      <c r="D4232" s="111" t="str">
        <f t="shared" ref="D4232:E4232" si="4230">TRIM(B4232)</f>
        <v>Illinois</v>
      </c>
      <c r="E4232" s="111" t="str">
        <f t="shared" si="4230"/>
        <v>Aurora</v>
      </c>
    </row>
    <row r="4233" spans="1:5">
      <c r="A4233" s="110" t="s">
        <v>12026</v>
      </c>
      <c r="B4233" s="110" t="s">
        <v>1333</v>
      </c>
      <c r="C4233" s="111" t="s">
        <v>353</v>
      </c>
      <c r="D4233" s="111" t="str">
        <f t="shared" ref="D4233:E4233" si="4231">TRIM(B4233)</f>
        <v>Illinois</v>
      </c>
      <c r="E4233" s="111" t="str">
        <f t="shared" si="4231"/>
        <v>Aurora</v>
      </c>
    </row>
    <row r="4234" spans="1:5">
      <c r="A4234" s="3" t="s">
        <v>12030</v>
      </c>
      <c r="B4234" s="110" t="s">
        <v>1333</v>
      </c>
      <c r="C4234" s="111" t="s">
        <v>353</v>
      </c>
      <c r="D4234" s="111" t="str">
        <f t="shared" ref="D4234:E4234" si="4232">TRIM(B4234)</f>
        <v>Illinois</v>
      </c>
      <c r="E4234" s="111" t="str">
        <f t="shared" si="4232"/>
        <v>Aurora</v>
      </c>
    </row>
    <row r="4235" spans="1:5">
      <c r="A4235" s="3" t="s">
        <v>12032</v>
      </c>
      <c r="B4235" s="110" t="s">
        <v>1333</v>
      </c>
      <c r="C4235" s="111" t="s">
        <v>353</v>
      </c>
      <c r="D4235" s="111" t="str">
        <f t="shared" ref="D4235:E4235" si="4233">TRIM(B4235)</f>
        <v>Illinois</v>
      </c>
      <c r="E4235" s="111" t="str">
        <f t="shared" si="4233"/>
        <v>Aurora</v>
      </c>
    </row>
    <row r="4236" spans="1:5">
      <c r="A4236" s="3" t="s">
        <v>12034</v>
      </c>
      <c r="B4236" s="110" t="s">
        <v>1333</v>
      </c>
      <c r="C4236" s="111" t="s">
        <v>353</v>
      </c>
      <c r="D4236" s="111" t="str">
        <f t="shared" ref="D4236:E4236" si="4234">TRIM(B4236)</f>
        <v>Illinois</v>
      </c>
      <c r="E4236" s="111" t="str">
        <f t="shared" si="4234"/>
        <v>Aurora</v>
      </c>
    </row>
    <row r="4237" spans="1:5">
      <c r="A4237" s="3" t="s">
        <v>12036</v>
      </c>
      <c r="B4237" s="110" t="s">
        <v>1333</v>
      </c>
      <c r="C4237" s="111" t="s">
        <v>12037</v>
      </c>
      <c r="D4237" s="111" t="str">
        <f t="shared" ref="D4237:E4237" si="4235">TRIM(B4237)</f>
        <v>Illinois</v>
      </c>
      <c r="E4237" s="111" t="str">
        <f t="shared" si="4235"/>
        <v>Barrington</v>
      </c>
    </row>
    <row r="4238" spans="1:5">
      <c r="A4238" s="3" t="s">
        <v>4343</v>
      </c>
      <c r="B4238" s="110" t="s">
        <v>1333</v>
      </c>
      <c r="C4238" s="111" t="s">
        <v>12038</v>
      </c>
      <c r="D4238" s="111" t="str">
        <f t="shared" ref="D4238:E4238" si="4236">TRIM(B4238)</f>
        <v>Illinois</v>
      </c>
      <c r="E4238" s="111" t="str">
        <f t="shared" si="4236"/>
        <v>Barry</v>
      </c>
    </row>
    <row r="4239" spans="1:5">
      <c r="A4239" s="3" t="s">
        <v>2290</v>
      </c>
      <c r="B4239" s="110" t="s">
        <v>1333</v>
      </c>
      <c r="C4239" s="111" t="s">
        <v>4734</v>
      </c>
      <c r="D4239" s="111" t="str">
        <f t="shared" ref="D4239:E4239" si="4237">TRIM(B4239)</f>
        <v>Illinois</v>
      </c>
      <c r="E4239" s="111" t="str">
        <f t="shared" si="4237"/>
        <v>Bartlett</v>
      </c>
    </row>
    <row r="4240" spans="1:5">
      <c r="A4240" s="3" t="s">
        <v>12040</v>
      </c>
      <c r="B4240" s="110" t="s">
        <v>1333</v>
      </c>
      <c r="C4240" s="111" t="s">
        <v>12041</v>
      </c>
      <c r="D4240" s="111" t="str">
        <f t="shared" ref="D4240:E4240" si="4238">TRIM(B4240)</f>
        <v>Illinois</v>
      </c>
      <c r="E4240" s="111" t="str">
        <f t="shared" si="4238"/>
        <v>Batavia</v>
      </c>
    </row>
    <row r="4241" spans="1:5">
      <c r="A4241" s="3" t="s">
        <v>12043</v>
      </c>
      <c r="B4241" s="110" t="s">
        <v>1333</v>
      </c>
      <c r="C4241" s="111" t="s">
        <v>12044</v>
      </c>
      <c r="D4241" s="111" t="str">
        <f t="shared" ref="D4241:E4241" si="4239">TRIM(B4241)</f>
        <v>Illinois</v>
      </c>
      <c r="E4241" s="111" t="str">
        <f t="shared" si="4239"/>
        <v>Beardstown</v>
      </c>
    </row>
    <row r="4242" spans="1:5">
      <c r="A4242" s="3" t="s">
        <v>12045</v>
      </c>
      <c r="B4242" s="110" t="s">
        <v>1333</v>
      </c>
      <c r="C4242" s="111" t="s">
        <v>12046</v>
      </c>
      <c r="D4242" s="111" t="str">
        <f t="shared" ref="D4242:E4242" si="4240">TRIM(B4242)</f>
        <v>Illinois</v>
      </c>
      <c r="E4242" s="111" t="str">
        <f t="shared" si="4240"/>
        <v>Beecher</v>
      </c>
    </row>
    <row r="4243" spans="1:5">
      <c r="A4243" s="3" t="s">
        <v>12048</v>
      </c>
      <c r="B4243" s="110" t="s">
        <v>1333</v>
      </c>
      <c r="C4243" s="111" t="s">
        <v>12049</v>
      </c>
      <c r="D4243" s="111" t="str">
        <f t="shared" ref="D4243:E4243" si="4241">TRIM(B4243)</f>
        <v>Illinois</v>
      </c>
      <c r="E4243" s="111" t="str">
        <f t="shared" si="4241"/>
        <v>Beecher City</v>
      </c>
    </row>
    <row r="4244" spans="1:5">
      <c r="A4244" s="3" t="s">
        <v>12052</v>
      </c>
      <c r="B4244" s="110" t="s">
        <v>1333</v>
      </c>
      <c r="C4244" s="111" t="s">
        <v>10569</v>
      </c>
      <c r="D4244" s="111" t="str">
        <f t="shared" ref="D4244:E4244" si="4242">TRIM(B4244)</f>
        <v>Illinois</v>
      </c>
      <c r="E4244" s="111" t="str">
        <f t="shared" si="4242"/>
        <v>Belleville</v>
      </c>
    </row>
    <row r="4245" spans="1:5">
      <c r="A4245" s="3" t="s">
        <v>12058</v>
      </c>
      <c r="B4245" s="110" t="s">
        <v>1333</v>
      </c>
      <c r="C4245" s="111" t="s">
        <v>10569</v>
      </c>
      <c r="D4245" s="111" t="str">
        <f t="shared" ref="D4245:E4245" si="4243">TRIM(B4245)</f>
        <v>Illinois</v>
      </c>
      <c r="E4245" s="111" t="str">
        <f t="shared" si="4243"/>
        <v>Belleville</v>
      </c>
    </row>
    <row r="4246" spans="1:5">
      <c r="A4246" s="3" t="s">
        <v>12061</v>
      </c>
      <c r="B4246" s="110" t="s">
        <v>1333</v>
      </c>
      <c r="C4246" s="111" t="s">
        <v>10569</v>
      </c>
      <c r="D4246" s="111" t="str">
        <f t="shared" ref="D4246:E4246" si="4244">TRIM(B4246)</f>
        <v>Illinois</v>
      </c>
      <c r="E4246" s="111" t="str">
        <f t="shared" si="4244"/>
        <v>Belleville</v>
      </c>
    </row>
    <row r="4247" spans="1:5">
      <c r="A4247" s="3" t="s">
        <v>12064</v>
      </c>
      <c r="B4247" s="110" t="s">
        <v>1333</v>
      </c>
      <c r="C4247" s="111" t="s">
        <v>12065</v>
      </c>
      <c r="D4247" s="111" t="str">
        <f t="shared" ref="D4247:E4247" si="4245">TRIM(B4247)</f>
        <v>Illinois</v>
      </c>
      <c r="E4247" s="111" t="str">
        <f t="shared" si="4245"/>
        <v>Belvidere</v>
      </c>
    </row>
    <row r="4248" spans="1:5">
      <c r="A4248" s="3" t="s">
        <v>12066</v>
      </c>
      <c r="B4248" s="110" t="s">
        <v>1333</v>
      </c>
      <c r="C4248" s="111" t="s">
        <v>12065</v>
      </c>
      <c r="D4248" s="111" t="str">
        <f t="shared" ref="D4248:E4248" si="4246">TRIM(B4248)</f>
        <v>Illinois</v>
      </c>
      <c r="E4248" s="111" t="str">
        <f t="shared" si="4246"/>
        <v>Belvidere</v>
      </c>
    </row>
    <row r="4249" spans="1:5">
      <c r="A4249" s="3" t="s">
        <v>12069</v>
      </c>
      <c r="B4249" s="110" t="s">
        <v>1333</v>
      </c>
      <c r="C4249" s="111" t="s">
        <v>12070</v>
      </c>
      <c r="D4249" s="111" t="str">
        <f t="shared" ref="D4249:E4249" si="4247">TRIM(B4249)</f>
        <v>Illinois</v>
      </c>
      <c r="E4249" s="111" t="str">
        <f t="shared" si="4247"/>
        <v>Bement</v>
      </c>
    </row>
    <row r="4250" spans="1:5">
      <c r="A4250" s="3" t="s">
        <v>12072</v>
      </c>
      <c r="B4250" s="110" t="s">
        <v>1333</v>
      </c>
      <c r="C4250" s="111" t="s">
        <v>12073</v>
      </c>
      <c r="D4250" s="111" t="str">
        <f t="shared" ref="D4250:E4250" si="4248">TRIM(B4250)</f>
        <v>Illinois</v>
      </c>
      <c r="E4250" s="111" t="str">
        <f t="shared" si="4248"/>
        <v>Bensenville</v>
      </c>
    </row>
    <row r="4251" spans="1:5">
      <c r="A4251" s="3" t="s">
        <v>12074</v>
      </c>
      <c r="B4251" s="110" t="s">
        <v>1333</v>
      </c>
      <c r="C4251" s="111" t="s">
        <v>3604</v>
      </c>
      <c r="D4251" s="111" t="str">
        <f t="shared" ref="D4251:E4251" si="4249">TRIM(B4251)</f>
        <v>Illinois</v>
      </c>
      <c r="E4251" s="111" t="str">
        <f t="shared" si="4249"/>
        <v>Benton</v>
      </c>
    </row>
    <row r="4252" spans="1:5">
      <c r="A4252" s="3" t="s">
        <v>12076</v>
      </c>
      <c r="B4252" s="110" t="s">
        <v>1333</v>
      </c>
      <c r="C4252" s="111" t="s">
        <v>501</v>
      </c>
      <c r="D4252" s="111" t="str">
        <f t="shared" ref="D4252:E4252" si="4250">TRIM(B4252)</f>
        <v>Illinois</v>
      </c>
      <c r="E4252" s="111" t="str">
        <f t="shared" si="4250"/>
        <v>Berwyn</v>
      </c>
    </row>
    <row r="4253" spans="1:5">
      <c r="A4253" s="3" t="s">
        <v>12079</v>
      </c>
      <c r="B4253" s="110" t="s">
        <v>1333</v>
      </c>
      <c r="C4253" s="111" t="s">
        <v>12080</v>
      </c>
      <c r="D4253" s="111" t="str">
        <f t="shared" ref="D4253:E4253" si="4251">TRIM(B4253)</f>
        <v>Illinois</v>
      </c>
      <c r="E4253" s="111" t="str">
        <f t="shared" si="4251"/>
        <v>Bethalto</v>
      </c>
    </row>
    <row r="4254" spans="1:5">
      <c r="A4254" s="3" t="s">
        <v>12082</v>
      </c>
      <c r="B4254" s="110" t="s">
        <v>1333</v>
      </c>
      <c r="C4254" s="111" t="s">
        <v>12084</v>
      </c>
      <c r="D4254" s="111" t="str">
        <f t="shared" ref="D4254:E4254" si="4252">TRIM(B4254)</f>
        <v>Illinois</v>
      </c>
      <c r="E4254" s="111" t="str">
        <f t="shared" si="4252"/>
        <v>Bethany</v>
      </c>
    </row>
    <row r="4255" spans="1:5">
      <c r="A4255" s="3" t="s">
        <v>12085</v>
      </c>
      <c r="B4255" s="110" t="s">
        <v>1333</v>
      </c>
      <c r="C4255" s="111" t="s">
        <v>12086</v>
      </c>
      <c r="D4255" s="111" t="str">
        <f t="shared" ref="D4255:E4255" si="4253">TRIM(B4255)</f>
        <v>Illinois</v>
      </c>
      <c r="E4255" s="111" t="str">
        <f t="shared" si="4253"/>
        <v>Biggsville</v>
      </c>
    </row>
    <row r="4256" spans="1:5">
      <c r="A4256" s="3" t="s">
        <v>12089</v>
      </c>
      <c r="B4256" s="110" t="s">
        <v>1333</v>
      </c>
      <c r="C4256" s="111" t="s">
        <v>3626</v>
      </c>
      <c r="D4256" s="111" t="str">
        <f t="shared" ref="D4256:E4256" si="4254">TRIM(B4256)</f>
        <v>Illinois</v>
      </c>
      <c r="E4256" s="111" t="str">
        <f t="shared" si="4254"/>
        <v>Bismarck</v>
      </c>
    </row>
    <row r="4257" spans="1:5">
      <c r="A4257" s="3" t="s">
        <v>4496</v>
      </c>
      <c r="B4257" s="110" t="s">
        <v>1333</v>
      </c>
      <c r="C4257" s="111" t="s">
        <v>1004</v>
      </c>
      <c r="D4257" s="111" t="str">
        <f t="shared" ref="D4257:E4257" si="4255">TRIM(B4257)</f>
        <v>Illinois</v>
      </c>
      <c r="E4257" s="111" t="str">
        <f t="shared" si="4255"/>
        <v>Bloomington</v>
      </c>
    </row>
    <row r="4258" spans="1:5">
      <c r="A4258" s="3" t="s">
        <v>12092</v>
      </c>
      <c r="B4258" s="110" t="s">
        <v>1333</v>
      </c>
      <c r="C4258" s="111" t="s">
        <v>12093</v>
      </c>
      <c r="D4258" s="111" t="str">
        <f t="shared" ref="D4258:E4258" si="4256">TRIM(B4258)</f>
        <v>Illinois</v>
      </c>
      <c r="E4258" s="111" t="str">
        <f t="shared" si="4256"/>
        <v>Blue Island</v>
      </c>
    </row>
    <row r="4259" spans="1:5">
      <c r="A4259" s="3" t="s">
        <v>12095</v>
      </c>
      <c r="B4259" s="110" t="s">
        <v>1333</v>
      </c>
      <c r="C4259" s="111" t="s">
        <v>12097</v>
      </c>
      <c r="D4259" s="111" t="str">
        <f t="shared" ref="D4259:E4259" si="4257">TRIM(B4259)</f>
        <v>Illinois</v>
      </c>
      <c r="E4259" s="111" t="str">
        <f t="shared" si="4257"/>
        <v>Bluffs</v>
      </c>
    </row>
    <row r="4260" spans="1:5">
      <c r="A4260" s="3" t="s">
        <v>12100</v>
      </c>
      <c r="B4260" s="110" t="s">
        <v>1333</v>
      </c>
      <c r="C4260" s="111" t="s">
        <v>12101</v>
      </c>
      <c r="D4260" s="111" t="str">
        <f t="shared" ref="D4260:E4260" si="4258">TRIM(B4260)</f>
        <v>Illinois</v>
      </c>
      <c r="E4260" s="111" t="str">
        <f t="shared" si="4258"/>
        <v>Bluford</v>
      </c>
    </row>
    <row r="4261" spans="1:5">
      <c r="A4261" s="3" t="s">
        <v>12103</v>
      </c>
      <c r="B4261" s="110" t="s">
        <v>1333</v>
      </c>
      <c r="C4261" s="111" t="s">
        <v>3381</v>
      </c>
      <c r="D4261" s="111" t="str">
        <f t="shared" ref="D4261:E4261" si="4259">TRIM(B4261)</f>
        <v>Illinois</v>
      </c>
      <c r="E4261" s="111" t="str">
        <f t="shared" si="4259"/>
        <v>Bolingbrook</v>
      </c>
    </row>
    <row r="4262" spans="1:5">
      <c r="A4262" s="3" t="s">
        <v>12105</v>
      </c>
      <c r="B4262" s="110" t="s">
        <v>1333</v>
      </c>
      <c r="C4262" s="111" t="s">
        <v>3643</v>
      </c>
      <c r="D4262" s="111" t="str">
        <f t="shared" ref="D4262:E4262" si="4260">TRIM(B4262)</f>
        <v>Illinois</v>
      </c>
      <c r="E4262" s="111" t="str">
        <f t="shared" si="4260"/>
        <v>Bradley</v>
      </c>
    </row>
    <row r="4263" spans="1:5">
      <c r="A4263" s="3" t="s">
        <v>12106</v>
      </c>
      <c r="B4263" s="110" t="s">
        <v>1333</v>
      </c>
      <c r="C4263" s="111" t="s">
        <v>12108</v>
      </c>
      <c r="D4263" s="111" t="str">
        <f t="shared" ref="D4263:E4263" si="4261">TRIM(B4263)</f>
        <v>Illinois</v>
      </c>
      <c r="E4263" s="111" t="str">
        <f t="shared" si="4261"/>
        <v>Braidwood</v>
      </c>
    </row>
    <row r="4264" spans="1:5">
      <c r="A4264" s="3" t="s">
        <v>12110</v>
      </c>
      <c r="B4264" s="110" t="s">
        <v>1333</v>
      </c>
      <c r="C4264" s="111" t="s">
        <v>10576</v>
      </c>
      <c r="D4264" s="111" t="str">
        <f t="shared" ref="D4264:E4264" si="4262">TRIM(B4264)</f>
        <v>Illinois</v>
      </c>
      <c r="E4264" s="111" t="str">
        <f t="shared" si="4262"/>
        <v>Breese</v>
      </c>
    </row>
    <row r="4265" spans="1:5">
      <c r="A4265" s="3" t="s">
        <v>12114</v>
      </c>
      <c r="B4265" s="110" t="s">
        <v>1333</v>
      </c>
      <c r="C4265" s="111" t="s">
        <v>3478</v>
      </c>
      <c r="D4265" s="111" t="str">
        <f t="shared" ref="D4265:E4265" si="4263">TRIM(B4265)</f>
        <v>Illinois</v>
      </c>
      <c r="E4265" s="111" t="str">
        <f t="shared" si="4263"/>
        <v>Bridgeport</v>
      </c>
    </row>
    <row r="4266" spans="1:5">
      <c r="A4266" s="3" t="s">
        <v>12116</v>
      </c>
      <c r="B4266" s="110" t="s">
        <v>1333</v>
      </c>
      <c r="C4266" s="111" t="s">
        <v>12117</v>
      </c>
      <c r="D4266" s="111" t="str">
        <f t="shared" ref="D4266:E4266" si="4264">TRIM(B4266)</f>
        <v>Illinois</v>
      </c>
      <c r="E4266" s="111" t="str">
        <f t="shared" si="4264"/>
        <v>Brimfield</v>
      </c>
    </row>
    <row r="4267" spans="1:5">
      <c r="A4267" s="3" t="s">
        <v>4519</v>
      </c>
      <c r="B4267" s="110" t="s">
        <v>1333</v>
      </c>
      <c r="C4267" s="111" t="s">
        <v>12120</v>
      </c>
      <c r="D4267" s="111" t="str">
        <f t="shared" ref="D4267:E4267" si="4265">TRIM(B4267)</f>
        <v>Illinois</v>
      </c>
      <c r="E4267" s="111" t="str">
        <f t="shared" si="4265"/>
        <v>Broadlands</v>
      </c>
    </row>
    <row r="4268" spans="1:5">
      <c r="A4268" s="3" t="s">
        <v>12122</v>
      </c>
      <c r="B4268" s="110" t="s">
        <v>1333</v>
      </c>
      <c r="C4268" s="111" t="s">
        <v>12123</v>
      </c>
      <c r="D4268" s="111" t="str">
        <f t="shared" ref="D4268:E4268" si="4266">TRIM(B4268)</f>
        <v>Illinois</v>
      </c>
      <c r="E4268" s="111" t="str">
        <f t="shared" si="4266"/>
        <v>Brownstown</v>
      </c>
    </row>
    <row r="4269" spans="1:5">
      <c r="A4269" s="3" t="s">
        <v>12125</v>
      </c>
      <c r="B4269" s="110" t="s">
        <v>1333</v>
      </c>
      <c r="C4269" s="111" t="s">
        <v>12126</v>
      </c>
      <c r="D4269" s="111" t="str">
        <f t="shared" ref="D4269:E4269" si="4267">TRIM(B4269)</f>
        <v>Illinois</v>
      </c>
      <c r="E4269" s="111" t="str">
        <f t="shared" si="4267"/>
        <v>Brussels</v>
      </c>
    </row>
    <row r="4270" spans="1:5">
      <c r="A4270" s="3" t="s">
        <v>12128</v>
      </c>
      <c r="B4270" s="110" t="s">
        <v>1333</v>
      </c>
      <c r="C4270" s="111" t="s">
        <v>12129</v>
      </c>
      <c r="D4270" s="111" t="str">
        <f t="shared" ref="D4270:E4270" si="4268">TRIM(B4270)</f>
        <v>Illinois</v>
      </c>
      <c r="E4270" s="111" t="str">
        <f t="shared" si="4268"/>
        <v>Buffalo</v>
      </c>
    </row>
    <row r="4271" spans="1:5">
      <c r="A4271" s="3" t="s">
        <v>12130</v>
      </c>
      <c r="B4271" s="110" t="s">
        <v>1333</v>
      </c>
      <c r="C4271" s="111" t="s">
        <v>7787</v>
      </c>
      <c r="D4271" s="111" t="str">
        <f t="shared" ref="D4271:E4271" si="4269">TRIM(B4271)</f>
        <v>Illinois</v>
      </c>
      <c r="E4271" s="111" t="str">
        <f t="shared" si="4269"/>
        <v>Buffalo Grove</v>
      </c>
    </row>
    <row r="4272" spans="1:5">
      <c r="A4272" s="3" t="s">
        <v>12133</v>
      </c>
      <c r="B4272" s="110" t="s">
        <v>1333</v>
      </c>
      <c r="C4272" s="111" t="s">
        <v>12134</v>
      </c>
      <c r="D4272" s="111" t="str">
        <f t="shared" ref="D4272:E4272" si="4270">TRIM(B4272)</f>
        <v>Illinois</v>
      </c>
      <c r="E4272" s="111" t="str">
        <f t="shared" si="4270"/>
        <v>Bunker Hill</v>
      </c>
    </row>
    <row r="4273" spans="1:5">
      <c r="A4273" s="3" t="s">
        <v>12135</v>
      </c>
      <c r="B4273" s="110" t="s">
        <v>1333</v>
      </c>
      <c r="C4273" s="111" t="s">
        <v>4526</v>
      </c>
      <c r="D4273" s="111" t="str">
        <f t="shared" ref="D4273:E4273" si="4271">TRIM(B4273)</f>
        <v>Illinois</v>
      </c>
      <c r="E4273" s="111" t="str">
        <f t="shared" si="4271"/>
        <v>Burbank</v>
      </c>
    </row>
    <row r="4274" spans="1:5">
      <c r="A4274" s="3" t="s">
        <v>1843</v>
      </c>
      <c r="B4274" s="110" t="s">
        <v>1333</v>
      </c>
      <c r="C4274" s="111" t="s">
        <v>7667</v>
      </c>
      <c r="D4274" s="111" t="str">
        <f t="shared" ref="D4274:E4274" si="4272">TRIM(B4274)</f>
        <v>Illinois</v>
      </c>
      <c r="E4274" s="111" t="str">
        <f t="shared" si="4272"/>
        <v>Burlington</v>
      </c>
    </row>
    <row r="4275" spans="1:5">
      <c r="A4275" s="3" t="s">
        <v>12140</v>
      </c>
      <c r="B4275" s="110" t="s">
        <v>1333</v>
      </c>
      <c r="C4275" s="111" t="s">
        <v>9023</v>
      </c>
      <c r="D4275" s="111" t="str">
        <f t="shared" ref="D4275:E4275" si="4273">TRIM(B4275)</f>
        <v>Illinois</v>
      </c>
      <c r="E4275" s="111" t="str">
        <f t="shared" si="4273"/>
        <v>Bushnell</v>
      </c>
    </row>
    <row r="4276" spans="1:5">
      <c r="A4276" s="3" t="s">
        <v>12141</v>
      </c>
      <c r="B4276" s="110" t="s">
        <v>1333</v>
      </c>
      <c r="C4276" s="111" t="s">
        <v>12142</v>
      </c>
      <c r="D4276" s="111" t="str">
        <f t="shared" ref="D4276:E4276" si="4274">TRIM(B4276)</f>
        <v>Illinois</v>
      </c>
      <c r="E4276" s="111" t="str">
        <f t="shared" si="4274"/>
        <v>Byron</v>
      </c>
    </row>
    <row r="4277" spans="1:5">
      <c r="A4277" s="3" t="s">
        <v>12144</v>
      </c>
      <c r="B4277" s="110" t="s">
        <v>1333</v>
      </c>
      <c r="C4277" s="111" t="s">
        <v>12145</v>
      </c>
      <c r="D4277" s="111" t="str">
        <f t="shared" ref="D4277:E4277" si="4275">TRIM(B4277)</f>
        <v>Illinois</v>
      </c>
      <c r="E4277" s="111" t="str">
        <f t="shared" si="4275"/>
        <v>Cahokia</v>
      </c>
    </row>
    <row r="4278" spans="1:5">
      <c r="A4278" s="3" t="s">
        <v>12148</v>
      </c>
      <c r="B4278" s="110" t="s">
        <v>1333</v>
      </c>
      <c r="C4278" s="111" t="s">
        <v>10484</v>
      </c>
      <c r="D4278" s="111" t="str">
        <f t="shared" ref="D4278:E4278" si="4276">TRIM(B4278)</f>
        <v>Illinois</v>
      </c>
      <c r="E4278" s="111" t="str">
        <f t="shared" si="4276"/>
        <v>Cairo</v>
      </c>
    </row>
    <row r="4279" spans="1:5">
      <c r="A4279" s="3" t="s">
        <v>12151</v>
      </c>
      <c r="B4279" s="110" t="s">
        <v>1333</v>
      </c>
      <c r="C4279" s="111" t="s">
        <v>12152</v>
      </c>
      <c r="D4279" s="111" t="str">
        <f t="shared" ref="D4279:E4279" si="4277">TRIM(B4279)</f>
        <v>Illinois</v>
      </c>
      <c r="E4279" s="111" t="str">
        <f t="shared" si="4277"/>
        <v>Calumet City</v>
      </c>
    </row>
    <row r="4280" spans="1:5">
      <c r="A4280" s="110" t="s">
        <v>12153</v>
      </c>
      <c r="B4280" s="110" t="s">
        <v>1333</v>
      </c>
      <c r="C4280" s="111" t="s">
        <v>12152</v>
      </c>
      <c r="D4280" s="111" t="str">
        <f t="shared" ref="D4280:E4280" si="4278">TRIM(B4280)</f>
        <v>Illinois</v>
      </c>
      <c r="E4280" s="111" t="str">
        <f t="shared" si="4278"/>
        <v>Calumet City</v>
      </c>
    </row>
    <row r="4281" spans="1:5">
      <c r="A4281" s="3" t="s">
        <v>12154</v>
      </c>
      <c r="B4281" s="110" t="s">
        <v>1333</v>
      </c>
      <c r="C4281" s="111" t="s">
        <v>12152</v>
      </c>
      <c r="D4281" s="111" t="str">
        <f t="shared" ref="D4281:E4281" si="4279">TRIM(B4281)</f>
        <v>Illinois</v>
      </c>
      <c r="E4281" s="111" t="str">
        <f t="shared" si="4279"/>
        <v>Calumet City</v>
      </c>
    </row>
    <row r="4282" spans="1:5">
      <c r="A4282" s="3" t="s">
        <v>12156</v>
      </c>
      <c r="B4282" s="110" t="s">
        <v>1333</v>
      </c>
      <c r="C4282" s="111" t="s">
        <v>11260</v>
      </c>
      <c r="D4282" s="111" t="str">
        <f t="shared" ref="D4282:E4282" si="4280">TRIM(B4282)</f>
        <v>Illinois</v>
      </c>
      <c r="E4282" s="111" t="str">
        <f t="shared" si="4280"/>
        <v>Cambridge</v>
      </c>
    </row>
    <row r="4283" spans="1:5">
      <c r="A4283" s="3" t="s">
        <v>1843</v>
      </c>
      <c r="B4283" s="110" t="s">
        <v>1333</v>
      </c>
      <c r="C4283" s="111" t="s">
        <v>12158</v>
      </c>
      <c r="D4283" s="111" t="str">
        <f t="shared" ref="D4283:E4283" si="4281">TRIM(B4283)</f>
        <v>Illinois</v>
      </c>
      <c r="E4283" s="111" t="str">
        <f t="shared" si="4281"/>
        <v>Camp Point</v>
      </c>
    </row>
    <row r="4284" spans="1:5">
      <c r="A4284" s="3" t="s">
        <v>12161</v>
      </c>
      <c r="B4284" s="110" t="s">
        <v>1333</v>
      </c>
      <c r="C4284" s="111" t="s">
        <v>12162</v>
      </c>
      <c r="D4284" s="111" t="str">
        <f t="shared" ref="D4284:E4284" si="4282">TRIM(B4284)</f>
        <v>Illinois</v>
      </c>
      <c r="E4284" s="111" t="str">
        <f t="shared" si="4282"/>
        <v>Campbell Hill</v>
      </c>
    </row>
    <row r="4285" spans="1:5">
      <c r="A4285" s="3" t="s">
        <v>8378</v>
      </c>
      <c r="B4285" s="110" t="s">
        <v>1333</v>
      </c>
      <c r="C4285" s="111" t="s">
        <v>1205</v>
      </c>
      <c r="D4285" s="111" t="str">
        <f t="shared" ref="D4285:E4285" si="4283">TRIM(B4285)</f>
        <v>Illinois</v>
      </c>
      <c r="E4285" s="111" t="str">
        <f t="shared" si="4283"/>
        <v>Canton</v>
      </c>
    </row>
    <row r="4286" spans="1:5">
      <c r="A4286" s="110" t="s">
        <v>12164</v>
      </c>
      <c r="B4286" s="110" t="s">
        <v>1333</v>
      </c>
      <c r="C4286" s="111" t="s">
        <v>5964</v>
      </c>
      <c r="D4286" s="111" t="str">
        <f t="shared" ref="D4286:E4286" si="4284">TRIM(B4286)</f>
        <v>Illinois</v>
      </c>
      <c r="E4286" s="111" t="str">
        <f t="shared" si="4284"/>
        <v>Carbondale</v>
      </c>
    </row>
    <row r="4287" spans="1:5">
      <c r="A4287" s="3" t="s">
        <v>12166</v>
      </c>
      <c r="B4287" s="110" t="s">
        <v>1333</v>
      </c>
      <c r="C4287" s="111" t="s">
        <v>12167</v>
      </c>
      <c r="D4287" s="111" t="str">
        <f t="shared" ref="D4287:E4287" si="4285">TRIM(B4287)</f>
        <v>Illinois</v>
      </c>
      <c r="E4287" s="111" t="str">
        <f t="shared" si="4285"/>
        <v>Carlinville</v>
      </c>
    </row>
    <row r="4288" spans="1:5">
      <c r="A4288" s="3" t="s">
        <v>12169</v>
      </c>
      <c r="B4288" s="110" t="s">
        <v>1333</v>
      </c>
      <c r="C4288" s="111" t="s">
        <v>12170</v>
      </c>
      <c r="D4288" s="111" t="str">
        <f t="shared" ref="D4288:E4288" si="4286">TRIM(B4288)</f>
        <v>Illinois</v>
      </c>
      <c r="E4288" s="111" t="str">
        <f t="shared" si="4286"/>
        <v>Carlyle</v>
      </c>
    </row>
    <row r="4289" spans="1:5">
      <c r="A4289" s="3" t="s">
        <v>12171</v>
      </c>
      <c r="B4289" s="110" t="s">
        <v>1333</v>
      </c>
      <c r="C4289" s="111" t="s">
        <v>12172</v>
      </c>
      <c r="D4289" s="111" t="str">
        <f t="shared" ref="D4289:E4289" si="4287">TRIM(B4289)</f>
        <v>Illinois</v>
      </c>
      <c r="E4289" s="111" t="str">
        <f t="shared" si="4287"/>
        <v>Carmi</v>
      </c>
    </row>
    <row r="4290" spans="1:5">
      <c r="A4290" s="3" t="s">
        <v>12175</v>
      </c>
      <c r="B4290" s="110" t="s">
        <v>1333</v>
      </c>
      <c r="C4290" s="111" t="s">
        <v>12176</v>
      </c>
      <c r="D4290" s="111" t="str">
        <f t="shared" ref="D4290:E4290" si="4288">TRIM(B4290)</f>
        <v>Illinois</v>
      </c>
      <c r="E4290" s="111" t="str">
        <f t="shared" si="4288"/>
        <v>Carol Stream</v>
      </c>
    </row>
    <row r="4291" spans="1:5">
      <c r="A4291" s="3" t="s">
        <v>12178</v>
      </c>
      <c r="B4291" s="110" t="s">
        <v>1333</v>
      </c>
      <c r="C4291" s="111" t="s">
        <v>12179</v>
      </c>
      <c r="D4291" s="111" t="str">
        <f t="shared" ref="D4291:E4291" si="4289">TRIM(B4291)</f>
        <v>Illinois</v>
      </c>
      <c r="E4291" s="111" t="str">
        <f t="shared" si="4289"/>
        <v>Carpentersville</v>
      </c>
    </row>
    <row r="4292" spans="1:5">
      <c r="A4292" s="110" t="s">
        <v>12181</v>
      </c>
      <c r="B4292" s="110" t="s">
        <v>1333</v>
      </c>
      <c r="C4292" s="111" t="s">
        <v>12182</v>
      </c>
      <c r="D4292" s="111" t="str">
        <f t="shared" ref="D4292:E4292" si="4290">TRIM(B4292)</f>
        <v>Illinois</v>
      </c>
      <c r="E4292" s="111" t="str">
        <f t="shared" si="4290"/>
        <v>Carrier Mills</v>
      </c>
    </row>
    <row r="4293" spans="1:5">
      <c r="A4293" s="3" t="s">
        <v>10505</v>
      </c>
      <c r="B4293" s="110" t="s">
        <v>1333</v>
      </c>
      <c r="C4293" s="111" t="s">
        <v>5618</v>
      </c>
      <c r="D4293" s="111" t="str">
        <f t="shared" ref="D4293:E4293" si="4291">TRIM(B4293)</f>
        <v>Illinois</v>
      </c>
      <c r="E4293" s="111" t="str">
        <f t="shared" si="4291"/>
        <v>Carrollton</v>
      </c>
    </row>
    <row r="4294" spans="1:5">
      <c r="A4294" s="3" t="s">
        <v>12184</v>
      </c>
      <c r="B4294" s="110" t="s">
        <v>1333</v>
      </c>
      <c r="C4294" s="111" t="s">
        <v>12186</v>
      </c>
      <c r="D4294" s="111" t="str">
        <f t="shared" ref="D4294:E4294" si="4292">TRIM(B4294)</f>
        <v>Illinois</v>
      </c>
      <c r="E4294" s="111" t="str">
        <f t="shared" si="4292"/>
        <v>Carterville</v>
      </c>
    </row>
    <row r="4295" spans="1:5">
      <c r="A4295" s="3" t="s">
        <v>12187</v>
      </c>
      <c r="B4295" s="110" t="s">
        <v>1333</v>
      </c>
      <c r="C4295" s="111" t="s">
        <v>12189</v>
      </c>
      <c r="D4295" s="111" t="str">
        <f t="shared" ref="D4295:E4295" si="4293">TRIM(B4295)</f>
        <v>Illinois</v>
      </c>
      <c r="E4295" s="111" t="str">
        <f t="shared" si="4293"/>
        <v>Carthage</v>
      </c>
    </row>
    <row r="4296" spans="1:5">
      <c r="A4296" s="3" t="s">
        <v>12190</v>
      </c>
      <c r="B4296" s="110" t="s">
        <v>1333</v>
      </c>
      <c r="C4296" s="111" t="s">
        <v>12191</v>
      </c>
      <c r="D4296" s="111" t="str">
        <f t="shared" ref="D4296:E4296" si="4294">TRIM(B4296)</f>
        <v>Illinois</v>
      </c>
      <c r="E4296" s="111" t="str">
        <f t="shared" si="4294"/>
        <v>Cary</v>
      </c>
    </row>
    <row r="4297" spans="1:5">
      <c r="A4297" s="3" t="s">
        <v>12193</v>
      </c>
      <c r="B4297" s="110" t="s">
        <v>1333</v>
      </c>
      <c r="C4297" s="111" t="s">
        <v>12194</v>
      </c>
      <c r="D4297" s="111" t="str">
        <f t="shared" ref="D4297:E4297" si="4295">TRIM(B4297)</f>
        <v>Illinois</v>
      </c>
      <c r="E4297" s="111" t="str">
        <f t="shared" si="4295"/>
        <v>Casey</v>
      </c>
    </row>
    <row r="4298" spans="1:5">
      <c r="A4298" s="3" t="s">
        <v>12198</v>
      </c>
      <c r="B4298" s="110" t="s">
        <v>1333</v>
      </c>
      <c r="C4298" s="111" t="s">
        <v>12199</v>
      </c>
      <c r="D4298" s="111" t="str">
        <f t="shared" ref="D4298:E4298" si="4296">TRIM(B4298)</f>
        <v>Illinois</v>
      </c>
      <c r="E4298" s="111" t="str">
        <f t="shared" si="4296"/>
        <v>Catlin</v>
      </c>
    </row>
    <row r="4299" spans="1:5">
      <c r="A4299" s="3" t="s">
        <v>12204</v>
      </c>
      <c r="B4299" s="110" t="s">
        <v>1333</v>
      </c>
      <c r="C4299" s="111" t="s">
        <v>12205</v>
      </c>
      <c r="D4299" s="111" t="str">
        <f t="shared" ref="D4299:E4299" si="4297">TRIM(B4299)</f>
        <v>Illinois</v>
      </c>
      <c r="E4299" s="111" t="str">
        <f t="shared" si="4297"/>
        <v>Centralia</v>
      </c>
    </row>
    <row r="4300" spans="1:5">
      <c r="A4300" s="3" t="s">
        <v>12207</v>
      </c>
      <c r="B4300" s="110" t="s">
        <v>1333</v>
      </c>
      <c r="C4300" s="111" t="s">
        <v>12208</v>
      </c>
      <c r="D4300" s="111" t="str">
        <f t="shared" ref="D4300:E4300" si="4298">TRIM(B4300)</f>
        <v>Illinois</v>
      </c>
      <c r="E4300" s="111" t="str">
        <f t="shared" si="4298"/>
        <v>Cerro Gordo</v>
      </c>
    </row>
    <row r="4301" spans="1:5">
      <c r="A4301" s="3" t="s">
        <v>2905</v>
      </c>
      <c r="B4301" s="110" t="s">
        <v>1333</v>
      </c>
      <c r="C4301" s="111" t="s">
        <v>400</v>
      </c>
      <c r="D4301" s="111" t="str">
        <f t="shared" ref="D4301:E4301" si="4299">TRIM(B4301)</f>
        <v>Illinois</v>
      </c>
      <c r="E4301" s="111" t="str">
        <f t="shared" si="4299"/>
        <v>Champaign</v>
      </c>
    </row>
    <row r="4302" spans="1:5">
      <c r="A4302" s="3" t="s">
        <v>1843</v>
      </c>
      <c r="B4302" s="110" t="s">
        <v>1333</v>
      </c>
      <c r="C4302" s="111" t="s">
        <v>400</v>
      </c>
      <c r="D4302" s="111" t="str">
        <f t="shared" ref="D4302:E4302" si="4300">TRIM(B4302)</f>
        <v>Illinois</v>
      </c>
      <c r="E4302" s="111" t="str">
        <f t="shared" si="4300"/>
        <v>Champaign</v>
      </c>
    </row>
    <row r="4303" spans="1:5">
      <c r="A4303" s="3" t="s">
        <v>12214</v>
      </c>
      <c r="B4303" s="110" t="s">
        <v>1333</v>
      </c>
      <c r="C4303" s="111" t="s">
        <v>400</v>
      </c>
      <c r="D4303" s="111" t="str">
        <f t="shared" ref="D4303:E4303" si="4301">TRIM(B4303)</f>
        <v>Illinois</v>
      </c>
      <c r="E4303" s="111" t="str">
        <f t="shared" si="4301"/>
        <v>Champaign</v>
      </c>
    </row>
    <row r="4304" spans="1:5">
      <c r="A4304" s="3" t="s">
        <v>3683</v>
      </c>
      <c r="B4304" s="110" t="s">
        <v>1333</v>
      </c>
      <c r="C4304" s="111" t="s">
        <v>3684</v>
      </c>
      <c r="D4304" s="111" t="str">
        <f t="shared" ref="D4304:E4304" si="4302">TRIM(B4304)</f>
        <v>Illinois</v>
      </c>
      <c r="E4304" s="111" t="str">
        <f t="shared" si="4302"/>
        <v>Charleston</v>
      </c>
    </row>
    <row r="4305" spans="1:5">
      <c r="A4305" s="3" t="s">
        <v>12219</v>
      </c>
      <c r="B4305" s="110" t="s">
        <v>1333</v>
      </c>
      <c r="C4305" s="111" t="s">
        <v>12220</v>
      </c>
      <c r="D4305" s="111" t="str">
        <f t="shared" ref="D4305:E4305" si="4303">TRIM(B4305)</f>
        <v>Illinois</v>
      </c>
      <c r="E4305" s="111" t="str">
        <f t="shared" si="4303"/>
        <v>Chatham</v>
      </c>
    </row>
    <row r="4306" spans="1:5">
      <c r="A4306" s="3" t="s">
        <v>12223</v>
      </c>
      <c r="B4306" s="110" t="s">
        <v>1333</v>
      </c>
      <c r="C4306" s="111" t="s">
        <v>2262</v>
      </c>
      <c r="D4306" s="111" t="str">
        <f t="shared" ref="D4306:E4306" si="4304">TRIM(B4306)</f>
        <v>Illinois</v>
      </c>
      <c r="E4306" s="111" t="str">
        <f t="shared" si="4304"/>
        <v>Chester</v>
      </c>
    </row>
    <row r="4307" spans="1:5">
      <c r="A4307" s="110" t="s">
        <v>12225</v>
      </c>
      <c r="B4307" s="110" t="s">
        <v>1333</v>
      </c>
      <c r="C4307" s="111" t="s">
        <v>268</v>
      </c>
      <c r="D4307" s="111" t="str">
        <f t="shared" ref="D4307:E4307" si="4305">TRIM(B4307)</f>
        <v>Illinois</v>
      </c>
      <c r="E4307" s="111" t="str">
        <f t="shared" si="4305"/>
        <v>Chicago</v>
      </c>
    </row>
    <row r="4308" spans="1:5">
      <c r="A4308" s="110" t="s">
        <v>12227</v>
      </c>
      <c r="B4308" s="110" t="s">
        <v>1333</v>
      </c>
      <c r="C4308" s="111" t="s">
        <v>268</v>
      </c>
      <c r="D4308" s="111" t="str">
        <f t="shared" ref="D4308:E4308" si="4306">TRIM(B4308)</f>
        <v>Illinois</v>
      </c>
      <c r="E4308" s="111" t="str">
        <f t="shared" si="4306"/>
        <v>Chicago</v>
      </c>
    </row>
    <row r="4309" spans="1:5">
      <c r="A4309" s="3" t="s">
        <v>12231</v>
      </c>
      <c r="B4309" s="110" t="s">
        <v>1333</v>
      </c>
      <c r="C4309" s="111" t="s">
        <v>268</v>
      </c>
      <c r="D4309" s="111" t="str">
        <f t="shared" ref="D4309:E4309" si="4307">TRIM(B4309)</f>
        <v>Illinois</v>
      </c>
      <c r="E4309" s="111" t="str">
        <f t="shared" si="4307"/>
        <v>Chicago</v>
      </c>
    </row>
    <row r="4310" spans="1:5">
      <c r="A4310" s="3" t="s">
        <v>12233</v>
      </c>
      <c r="B4310" s="110" t="s">
        <v>1333</v>
      </c>
      <c r="C4310" s="111" t="s">
        <v>268</v>
      </c>
      <c r="D4310" s="111" t="str">
        <f t="shared" ref="D4310:E4310" si="4308">TRIM(B4310)</f>
        <v>Illinois</v>
      </c>
      <c r="E4310" s="111" t="str">
        <f t="shared" si="4308"/>
        <v>Chicago</v>
      </c>
    </row>
    <row r="4311" spans="1:5">
      <c r="A4311" s="110" t="s">
        <v>12235</v>
      </c>
      <c r="B4311" s="110" t="s">
        <v>1333</v>
      </c>
      <c r="C4311" s="111" t="s">
        <v>268</v>
      </c>
      <c r="D4311" s="111" t="str">
        <f t="shared" ref="D4311:E4311" si="4309">TRIM(B4311)</f>
        <v>Illinois</v>
      </c>
      <c r="E4311" s="111" t="str">
        <f t="shared" si="4309"/>
        <v>Chicago</v>
      </c>
    </row>
    <row r="4312" spans="1:5">
      <c r="A4312" s="3" t="s">
        <v>12236</v>
      </c>
      <c r="B4312" s="110" t="s">
        <v>1333</v>
      </c>
      <c r="C4312" s="111" t="s">
        <v>268</v>
      </c>
      <c r="D4312" s="111" t="str">
        <f t="shared" ref="D4312:E4312" si="4310">TRIM(B4312)</f>
        <v>Illinois</v>
      </c>
      <c r="E4312" s="111" t="str">
        <f t="shared" si="4310"/>
        <v>Chicago</v>
      </c>
    </row>
    <row r="4313" spans="1:5">
      <c r="A4313" s="110" t="s">
        <v>12238</v>
      </c>
      <c r="B4313" s="110" t="s">
        <v>1333</v>
      </c>
      <c r="C4313" s="111" t="s">
        <v>268</v>
      </c>
      <c r="D4313" s="111" t="str">
        <f t="shared" ref="D4313:E4313" si="4311">TRIM(B4313)</f>
        <v>Illinois</v>
      </c>
      <c r="E4313" s="111" t="str">
        <f t="shared" si="4311"/>
        <v>Chicago</v>
      </c>
    </row>
    <row r="4314" spans="1:5">
      <c r="A4314" s="110" t="s">
        <v>12241</v>
      </c>
      <c r="B4314" s="110" t="s">
        <v>1333</v>
      </c>
      <c r="C4314" s="111" t="s">
        <v>268</v>
      </c>
      <c r="D4314" s="111" t="str">
        <f t="shared" ref="D4314:E4314" si="4312">TRIM(B4314)</f>
        <v>Illinois</v>
      </c>
      <c r="E4314" s="111" t="str">
        <f t="shared" si="4312"/>
        <v>Chicago</v>
      </c>
    </row>
    <row r="4315" spans="1:5">
      <c r="A4315" s="3" t="s">
        <v>12243</v>
      </c>
      <c r="B4315" s="110" t="s">
        <v>1333</v>
      </c>
      <c r="C4315" s="111" t="s">
        <v>268</v>
      </c>
      <c r="D4315" s="111" t="str">
        <f t="shared" ref="D4315:E4315" si="4313">TRIM(B4315)</f>
        <v>Illinois</v>
      </c>
      <c r="E4315" s="111" t="str">
        <f t="shared" si="4313"/>
        <v>Chicago</v>
      </c>
    </row>
    <row r="4316" spans="1:5">
      <c r="A4316" s="3" t="s">
        <v>12244</v>
      </c>
      <c r="B4316" s="110" t="s">
        <v>1333</v>
      </c>
      <c r="C4316" s="111" t="s">
        <v>268</v>
      </c>
      <c r="D4316" s="111" t="str">
        <f t="shared" ref="D4316:E4316" si="4314">TRIM(B4316)</f>
        <v>Illinois</v>
      </c>
      <c r="E4316" s="111" t="str">
        <f t="shared" si="4314"/>
        <v>Chicago</v>
      </c>
    </row>
    <row r="4317" spans="1:5">
      <c r="A4317" s="3" t="s">
        <v>12247</v>
      </c>
      <c r="B4317" s="110" t="s">
        <v>1333</v>
      </c>
      <c r="C4317" s="111" t="s">
        <v>268</v>
      </c>
      <c r="D4317" s="111" t="str">
        <f t="shared" ref="D4317:E4317" si="4315">TRIM(B4317)</f>
        <v>Illinois</v>
      </c>
      <c r="E4317" s="111" t="str">
        <f t="shared" si="4315"/>
        <v>Chicago</v>
      </c>
    </row>
    <row r="4318" spans="1:5">
      <c r="A4318" s="3" t="s">
        <v>12249</v>
      </c>
      <c r="B4318" s="110" t="s">
        <v>1333</v>
      </c>
      <c r="C4318" s="111" t="s">
        <v>268</v>
      </c>
      <c r="D4318" s="111" t="str">
        <f t="shared" ref="D4318:E4318" si="4316">TRIM(B4318)</f>
        <v>Illinois</v>
      </c>
      <c r="E4318" s="111" t="str">
        <f t="shared" si="4316"/>
        <v>Chicago</v>
      </c>
    </row>
    <row r="4319" spans="1:5">
      <c r="A4319" s="3" t="s">
        <v>12251</v>
      </c>
      <c r="B4319" s="110" t="s">
        <v>1333</v>
      </c>
      <c r="C4319" s="111" t="s">
        <v>268</v>
      </c>
      <c r="D4319" s="111" t="str">
        <f t="shared" ref="D4319:E4319" si="4317">TRIM(B4319)</f>
        <v>Illinois</v>
      </c>
      <c r="E4319" s="111" t="str">
        <f t="shared" si="4317"/>
        <v>Chicago</v>
      </c>
    </row>
    <row r="4320" spans="1:5">
      <c r="A4320" s="3" t="s">
        <v>12253</v>
      </c>
      <c r="B4320" s="110" t="s">
        <v>1333</v>
      </c>
      <c r="C4320" s="111" t="s">
        <v>268</v>
      </c>
      <c r="D4320" s="111" t="str">
        <f t="shared" ref="D4320:E4320" si="4318">TRIM(B4320)</f>
        <v>Illinois</v>
      </c>
      <c r="E4320" s="111" t="str">
        <f t="shared" si="4318"/>
        <v>Chicago</v>
      </c>
    </row>
    <row r="4321" spans="1:5">
      <c r="A4321" s="3" t="s">
        <v>12255</v>
      </c>
      <c r="B4321" s="110" t="s">
        <v>1333</v>
      </c>
      <c r="C4321" s="111" t="s">
        <v>268</v>
      </c>
      <c r="D4321" s="111" t="str">
        <f t="shared" ref="D4321:E4321" si="4319">TRIM(B4321)</f>
        <v>Illinois</v>
      </c>
      <c r="E4321" s="111" t="str">
        <f t="shared" si="4319"/>
        <v>Chicago</v>
      </c>
    </row>
    <row r="4322" spans="1:5">
      <c r="A4322" s="3" t="s">
        <v>12256</v>
      </c>
      <c r="B4322" s="110" t="s">
        <v>1333</v>
      </c>
      <c r="C4322" s="111" t="s">
        <v>268</v>
      </c>
      <c r="D4322" s="111" t="str">
        <f t="shared" ref="D4322:E4322" si="4320">TRIM(B4322)</f>
        <v>Illinois</v>
      </c>
      <c r="E4322" s="111" t="str">
        <f t="shared" si="4320"/>
        <v>Chicago</v>
      </c>
    </row>
    <row r="4323" spans="1:5">
      <c r="A4323" s="3" t="s">
        <v>12258</v>
      </c>
      <c r="B4323" s="110" t="s">
        <v>1333</v>
      </c>
      <c r="C4323" s="111" t="s">
        <v>268</v>
      </c>
      <c r="D4323" s="111" t="str">
        <f t="shared" ref="D4323:E4323" si="4321">TRIM(B4323)</f>
        <v>Illinois</v>
      </c>
      <c r="E4323" s="111" t="str">
        <f t="shared" si="4321"/>
        <v>Chicago</v>
      </c>
    </row>
    <row r="4324" spans="1:5">
      <c r="A4324" s="3" t="s">
        <v>12261</v>
      </c>
      <c r="B4324" s="110" t="s">
        <v>1333</v>
      </c>
      <c r="C4324" s="111" t="s">
        <v>268</v>
      </c>
      <c r="D4324" s="111" t="str">
        <f t="shared" ref="D4324:E4324" si="4322">TRIM(B4324)</f>
        <v>Illinois</v>
      </c>
      <c r="E4324" s="111" t="str">
        <f t="shared" si="4322"/>
        <v>Chicago</v>
      </c>
    </row>
    <row r="4325" spans="1:5">
      <c r="A4325" s="3" t="s">
        <v>12263</v>
      </c>
      <c r="B4325" s="110" t="s">
        <v>1333</v>
      </c>
      <c r="C4325" s="111" t="s">
        <v>268</v>
      </c>
      <c r="D4325" s="111" t="str">
        <f t="shared" ref="D4325:E4325" si="4323">TRIM(B4325)</f>
        <v>Illinois</v>
      </c>
      <c r="E4325" s="111" t="str">
        <f t="shared" si="4323"/>
        <v>Chicago</v>
      </c>
    </row>
    <row r="4326" spans="1:5">
      <c r="A4326" s="3" t="s">
        <v>12265</v>
      </c>
      <c r="B4326" s="110" t="s">
        <v>1333</v>
      </c>
      <c r="C4326" s="111" t="s">
        <v>268</v>
      </c>
      <c r="D4326" s="111" t="str">
        <f t="shared" ref="D4326:E4326" si="4324">TRIM(B4326)</f>
        <v>Illinois</v>
      </c>
      <c r="E4326" s="111" t="str">
        <f t="shared" si="4324"/>
        <v>Chicago</v>
      </c>
    </row>
    <row r="4327" spans="1:5">
      <c r="A4327" s="3" t="s">
        <v>12268</v>
      </c>
      <c r="B4327" s="110" t="s">
        <v>1333</v>
      </c>
      <c r="C4327" s="111" t="s">
        <v>268</v>
      </c>
      <c r="D4327" s="111" t="str">
        <f t="shared" ref="D4327:E4327" si="4325">TRIM(B4327)</f>
        <v>Illinois</v>
      </c>
      <c r="E4327" s="111" t="str">
        <f t="shared" si="4325"/>
        <v>Chicago</v>
      </c>
    </row>
    <row r="4328" spans="1:5">
      <c r="A4328" s="3" t="s">
        <v>12270</v>
      </c>
      <c r="B4328" s="110" t="s">
        <v>1333</v>
      </c>
      <c r="C4328" s="111" t="s">
        <v>268</v>
      </c>
      <c r="D4328" s="111" t="str">
        <f t="shared" ref="D4328:E4328" si="4326">TRIM(B4328)</f>
        <v>Illinois</v>
      </c>
      <c r="E4328" s="111" t="str">
        <f t="shared" si="4326"/>
        <v>Chicago</v>
      </c>
    </row>
    <row r="4329" spans="1:5">
      <c r="A4329" s="110" t="s">
        <v>12272</v>
      </c>
      <c r="B4329" s="110" t="s">
        <v>1333</v>
      </c>
      <c r="C4329" s="111" t="s">
        <v>268</v>
      </c>
      <c r="D4329" s="111" t="str">
        <f t="shared" ref="D4329:E4329" si="4327">TRIM(B4329)</f>
        <v>Illinois</v>
      </c>
      <c r="E4329" s="111" t="str">
        <f t="shared" si="4327"/>
        <v>Chicago</v>
      </c>
    </row>
    <row r="4330" spans="1:5">
      <c r="A4330" s="3" t="s">
        <v>12274</v>
      </c>
      <c r="B4330" s="110" t="s">
        <v>1333</v>
      </c>
      <c r="C4330" s="111" t="s">
        <v>268</v>
      </c>
      <c r="D4330" s="111" t="str">
        <f t="shared" ref="D4330:E4330" si="4328">TRIM(B4330)</f>
        <v>Illinois</v>
      </c>
      <c r="E4330" s="111" t="str">
        <f t="shared" si="4328"/>
        <v>Chicago</v>
      </c>
    </row>
    <row r="4331" spans="1:5">
      <c r="A4331" s="3" t="s">
        <v>12275</v>
      </c>
      <c r="B4331" s="110" t="s">
        <v>1333</v>
      </c>
      <c r="C4331" s="111" t="s">
        <v>268</v>
      </c>
      <c r="D4331" s="111" t="str">
        <f t="shared" ref="D4331:E4331" si="4329">TRIM(B4331)</f>
        <v>Illinois</v>
      </c>
      <c r="E4331" s="111" t="str">
        <f t="shared" si="4329"/>
        <v>Chicago</v>
      </c>
    </row>
    <row r="4332" spans="1:5">
      <c r="A4332" s="3" t="s">
        <v>12277</v>
      </c>
      <c r="B4332" s="110" t="s">
        <v>1333</v>
      </c>
      <c r="C4332" s="111" t="s">
        <v>268</v>
      </c>
      <c r="D4332" s="111" t="str">
        <f t="shared" ref="D4332:E4332" si="4330">TRIM(B4332)</f>
        <v>Illinois</v>
      </c>
      <c r="E4332" s="111" t="str">
        <f t="shared" si="4330"/>
        <v>Chicago</v>
      </c>
    </row>
    <row r="4333" spans="1:5">
      <c r="A4333" s="110" t="s">
        <v>12279</v>
      </c>
      <c r="B4333" s="110" t="s">
        <v>1333</v>
      </c>
      <c r="C4333" s="111" t="s">
        <v>268</v>
      </c>
      <c r="D4333" s="111" t="str">
        <f t="shared" ref="D4333:E4333" si="4331">TRIM(B4333)</f>
        <v>Illinois</v>
      </c>
      <c r="E4333" s="111" t="str">
        <f t="shared" si="4331"/>
        <v>Chicago</v>
      </c>
    </row>
    <row r="4334" spans="1:5">
      <c r="A4334" s="110" t="s">
        <v>12281</v>
      </c>
      <c r="B4334" s="110" t="s">
        <v>1333</v>
      </c>
      <c r="C4334" s="111" t="s">
        <v>268</v>
      </c>
      <c r="D4334" s="111" t="str">
        <f t="shared" ref="D4334:E4334" si="4332">TRIM(B4334)</f>
        <v>Illinois</v>
      </c>
      <c r="E4334" s="111" t="str">
        <f t="shared" si="4332"/>
        <v>Chicago</v>
      </c>
    </row>
    <row r="4335" spans="1:5">
      <c r="A4335" s="110" t="s">
        <v>12284</v>
      </c>
      <c r="B4335" s="110" t="s">
        <v>1333</v>
      </c>
      <c r="C4335" s="111" t="s">
        <v>268</v>
      </c>
      <c r="D4335" s="111" t="str">
        <f t="shared" ref="D4335:E4335" si="4333">TRIM(B4335)</f>
        <v>Illinois</v>
      </c>
      <c r="E4335" s="111" t="str">
        <f t="shared" si="4333"/>
        <v>Chicago</v>
      </c>
    </row>
    <row r="4336" spans="1:5">
      <c r="A4336" s="3" t="s">
        <v>12289</v>
      </c>
      <c r="B4336" s="110" t="s">
        <v>1333</v>
      </c>
      <c r="C4336" s="111" t="s">
        <v>268</v>
      </c>
      <c r="D4336" s="111" t="str">
        <f t="shared" ref="D4336:E4336" si="4334">TRIM(B4336)</f>
        <v>Illinois</v>
      </c>
      <c r="E4336" s="111" t="str">
        <f t="shared" si="4334"/>
        <v>Chicago</v>
      </c>
    </row>
    <row r="4337" spans="1:5">
      <c r="A4337" s="3" t="s">
        <v>12291</v>
      </c>
      <c r="B4337" s="110" t="s">
        <v>1333</v>
      </c>
      <c r="C4337" s="111" t="s">
        <v>268</v>
      </c>
      <c r="D4337" s="111" t="str">
        <f t="shared" ref="D4337:E4337" si="4335">TRIM(B4337)</f>
        <v>Illinois</v>
      </c>
      <c r="E4337" s="111" t="str">
        <f t="shared" si="4335"/>
        <v>Chicago</v>
      </c>
    </row>
    <row r="4338" spans="1:5">
      <c r="A4338" s="3" t="s">
        <v>12294</v>
      </c>
      <c r="B4338" s="110" t="s">
        <v>1333</v>
      </c>
      <c r="C4338" s="111" t="s">
        <v>268</v>
      </c>
      <c r="D4338" s="111" t="str">
        <f t="shared" ref="D4338:E4338" si="4336">TRIM(B4338)</f>
        <v>Illinois</v>
      </c>
      <c r="E4338" s="111" t="str">
        <f t="shared" si="4336"/>
        <v>Chicago</v>
      </c>
    </row>
    <row r="4339" spans="1:5">
      <c r="A4339" s="3" t="s">
        <v>12296</v>
      </c>
      <c r="B4339" s="110" t="s">
        <v>1333</v>
      </c>
      <c r="C4339" s="111" t="s">
        <v>268</v>
      </c>
      <c r="D4339" s="111" t="str">
        <f t="shared" ref="D4339:E4339" si="4337">TRIM(B4339)</f>
        <v>Illinois</v>
      </c>
      <c r="E4339" s="111" t="str">
        <f t="shared" si="4337"/>
        <v>Chicago</v>
      </c>
    </row>
    <row r="4340" spans="1:5">
      <c r="A4340" s="3" t="s">
        <v>12298</v>
      </c>
      <c r="B4340" s="110" t="s">
        <v>1333</v>
      </c>
      <c r="C4340" s="111" t="s">
        <v>268</v>
      </c>
      <c r="D4340" s="111" t="str">
        <f t="shared" ref="D4340:E4340" si="4338">TRIM(B4340)</f>
        <v>Illinois</v>
      </c>
      <c r="E4340" s="111" t="str">
        <f t="shared" si="4338"/>
        <v>Chicago</v>
      </c>
    </row>
    <row r="4341" spans="1:5">
      <c r="A4341" s="3" t="s">
        <v>12301</v>
      </c>
      <c r="B4341" s="110" t="s">
        <v>1333</v>
      </c>
      <c r="C4341" s="111" t="s">
        <v>268</v>
      </c>
      <c r="D4341" s="111" t="str">
        <f t="shared" ref="D4341:E4341" si="4339">TRIM(B4341)</f>
        <v>Illinois</v>
      </c>
      <c r="E4341" s="111" t="str">
        <f t="shared" si="4339"/>
        <v>Chicago</v>
      </c>
    </row>
    <row r="4342" spans="1:5">
      <c r="A4342" s="3" t="s">
        <v>12303</v>
      </c>
      <c r="B4342" s="110" t="s">
        <v>1333</v>
      </c>
      <c r="C4342" s="111" t="s">
        <v>268</v>
      </c>
      <c r="D4342" s="111" t="str">
        <f t="shared" ref="D4342:E4342" si="4340">TRIM(B4342)</f>
        <v>Illinois</v>
      </c>
      <c r="E4342" s="111" t="str">
        <f t="shared" si="4340"/>
        <v>Chicago</v>
      </c>
    </row>
    <row r="4343" spans="1:5">
      <c r="A4343" s="3" t="s">
        <v>12310</v>
      </c>
      <c r="B4343" s="110" t="s">
        <v>1333</v>
      </c>
      <c r="C4343" s="111" t="s">
        <v>268</v>
      </c>
      <c r="D4343" s="111" t="str">
        <f t="shared" ref="D4343:E4343" si="4341">TRIM(B4343)</f>
        <v>Illinois</v>
      </c>
      <c r="E4343" s="111" t="str">
        <f t="shared" si="4341"/>
        <v>Chicago</v>
      </c>
    </row>
    <row r="4344" spans="1:5">
      <c r="A4344" s="3" t="s">
        <v>12315</v>
      </c>
      <c r="B4344" s="110" t="s">
        <v>1333</v>
      </c>
      <c r="C4344" s="111" t="s">
        <v>268</v>
      </c>
      <c r="D4344" s="111" t="str">
        <f t="shared" ref="D4344:E4344" si="4342">TRIM(B4344)</f>
        <v>Illinois</v>
      </c>
      <c r="E4344" s="111" t="str">
        <f t="shared" si="4342"/>
        <v>Chicago</v>
      </c>
    </row>
    <row r="4345" spans="1:5">
      <c r="A4345" s="3" t="s">
        <v>12318</v>
      </c>
      <c r="B4345" s="110" t="s">
        <v>1333</v>
      </c>
      <c r="C4345" s="111" t="s">
        <v>268</v>
      </c>
      <c r="D4345" s="111" t="str">
        <f t="shared" ref="D4345:E4345" si="4343">TRIM(B4345)</f>
        <v>Illinois</v>
      </c>
      <c r="E4345" s="111" t="str">
        <f t="shared" si="4343"/>
        <v>Chicago</v>
      </c>
    </row>
    <row r="4346" spans="1:5">
      <c r="A4346" s="3" t="s">
        <v>12320</v>
      </c>
      <c r="B4346" s="110" t="s">
        <v>1333</v>
      </c>
      <c r="C4346" s="111" t="s">
        <v>268</v>
      </c>
      <c r="D4346" s="111" t="str">
        <f t="shared" ref="D4346:E4346" si="4344">TRIM(B4346)</f>
        <v>Illinois</v>
      </c>
      <c r="E4346" s="111" t="str">
        <f t="shared" si="4344"/>
        <v>Chicago</v>
      </c>
    </row>
    <row r="4347" spans="1:5">
      <c r="A4347" s="3" t="s">
        <v>12322</v>
      </c>
      <c r="B4347" s="110" t="s">
        <v>1333</v>
      </c>
      <c r="C4347" s="111" t="s">
        <v>268</v>
      </c>
      <c r="D4347" s="111" t="str">
        <f t="shared" ref="D4347:E4347" si="4345">TRIM(B4347)</f>
        <v>Illinois</v>
      </c>
      <c r="E4347" s="111" t="str">
        <f t="shared" si="4345"/>
        <v>Chicago</v>
      </c>
    </row>
    <row r="4348" spans="1:5">
      <c r="A4348" s="3" t="s">
        <v>12325</v>
      </c>
      <c r="B4348" s="110" t="s">
        <v>1333</v>
      </c>
      <c r="C4348" s="111" t="s">
        <v>268</v>
      </c>
      <c r="D4348" s="111" t="str">
        <f t="shared" ref="D4348:E4348" si="4346">TRIM(B4348)</f>
        <v>Illinois</v>
      </c>
      <c r="E4348" s="111" t="str">
        <f t="shared" si="4346"/>
        <v>Chicago</v>
      </c>
    </row>
    <row r="4349" spans="1:5">
      <c r="A4349" s="3" t="s">
        <v>12328</v>
      </c>
      <c r="B4349" s="110" t="s">
        <v>1333</v>
      </c>
      <c r="C4349" s="111" t="s">
        <v>268</v>
      </c>
      <c r="D4349" s="111" t="str">
        <f t="shared" ref="D4349:E4349" si="4347">TRIM(B4349)</f>
        <v>Illinois</v>
      </c>
      <c r="E4349" s="111" t="str">
        <f t="shared" si="4347"/>
        <v>Chicago</v>
      </c>
    </row>
    <row r="4350" spans="1:5">
      <c r="A4350" s="3" t="s">
        <v>12331</v>
      </c>
      <c r="B4350" s="110" t="s">
        <v>1333</v>
      </c>
      <c r="C4350" s="111" t="s">
        <v>268</v>
      </c>
      <c r="D4350" s="111" t="str">
        <f t="shared" ref="D4350:E4350" si="4348">TRIM(B4350)</f>
        <v>Illinois</v>
      </c>
      <c r="E4350" s="111" t="str">
        <f t="shared" si="4348"/>
        <v>Chicago</v>
      </c>
    </row>
    <row r="4351" spans="1:5">
      <c r="A4351" s="3" t="s">
        <v>12333</v>
      </c>
      <c r="B4351" s="110" t="s">
        <v>1333</v>
      </c>
      <c r="C4351" s="111" t="s">
        <v>268</v>
      </c>
      <c r="D4351" s="111" t="str">
        <f t="shared" ref="D4351:E4351" si="4349">TRIM(B4351)</f>
        <v>Illinois</v>
      </c>
      <c r="E4351" s="111" t="str">
        <f t="shared" si="4349"/>
        <v>Chicago</v>
      </c>
    </row>
    <row r="4352" spans="1:5">
      <c r="A4352" s="3" t="s">
        <v>3786</v>
      </c>
      <c r="B4352" s="110" t="s">
        <v>1333</v>
      </c>
      <c r="C4352" s="111" t="s">
        <v>268</v>
      </c>
      <c r="D4352" s="111" t="str">
        <f t="shared" ref="D4352:E4352" si="4350">TRIM(B4352)</f>
        <v>Illinois</v>
      </c>
      <c r="E4352" s="111" t="str">
        <f t="shared" si="4350"/>
        <v>Chicago</v>
      </c>
    </row>
    <row r="4353" spans="1:5">
      <c r="A4353" s="3" t="s">
        <v>12337</v>
      </c>
      <c r="B4353" s="110" t="s">
        <v>1333</v>
      </c>
      <c r="C4353" s="111" t="s">
        <v>268</v>
      </c>
      <c r="D4353" s="111" t="str">
        <f t="shared" ref="D4353:E4353" si="4351">TRIM(B4353)</f>
        <v>Illinois</v>
      </c>
      <c r="E4353" s="111" t="str">
        <f t="shared" si="4351"/>
        <v>Chicago</v>
      </c>
    </row>
    <row r="4354" spans="1:5">
      <c r="A4354" s="3" t="s">
        <v>12340</v>
      </c>
      <c r="B4354" s="110" t="s">
        <v>1333</v>
      </c>
      <c r="C4354" s="111" t="s">
        <v>268</v>
      </c>
      <c r="D4354" s="111" t="str">
        <f t="shared" ref="D4354:E4354" si="4352">TRIM(B4354)</f>
        <v>Illinois</v>
      </c>
      <c r="E4354" s="111" t="str">
        <f t="shared" si="4352"/>
        <v>Chicago</v>
      </c>
    </row>
    <row r="4355" spans="1:5">
      <c r="A4355" s="110" t="s">
        <v>12341</v>
      </c>
      <c r="B4355" s="110" t="s">
        <v>1333</v>
      </c>
      <c r="C4355" s="112" t="s">
        <v>268</v>
      </c>
      <c r="D4355" s="111" t="str">
        <f t="shared" ref="D4355:E4355" si="4353">TRIM(B4355)</f>
        <v>Illinois</v>
      </c>
      <c r="E4355" s="111" t="str">
        <f t="shared" si="4353"/>
        <v>Chicago</v>
      </c>
    </row>
    <row r="4356" spans="1:5">
      <c r="A4356" s="3" t="s">
        <v>12344</v>
      </c>
      <c r="B4356" s="110" t="s">
        <v>1333</v>
      </c>
      <c r="C4356" s="111" t="s">
        <v>268</v>
      </c>
      <c r="D4356" s="111" t="str">
        <f t="shared" ref="D4356:E4356" si="4354">TRIM(B4356)</f>
        <v>Illinois</v>
      </c>
      <c r="E4356" s="111" t="str">
        <f t="shared" si="4354"/>
        <v>Chicago</v>
      </c>
    </row>
    <row r="4357" spans="1:5">
      <c r="A4357" s="3" t="s">
        <v>12346</v>
      </c>
      <c r="B4357" s="110" t="s">
        <v>1333</v>
      </c>
      <c r="C4357" s="111" t="s">
        <v>268</v>
      </c>
      <c r="D4357" s="111" t="str">
        <f t="shared" ref="D4357:E4357" si="4355">TRIM(B4357)</f>
        <v>Illinois</v>
      </c>
      <c r="E4357" s="111" t="str">
        <f t="shared" si="4355"/>
        <v>Chicago</v>
      </c>
    </row>
    <row r="4358" spans="1:5">
      <c r="A4358" s="3" t="s">
        <v>12349</v>
      </c>
      <c r="B4358" s="110" t="s">
        <v>1333</v>
      </c>
      <c r="C4358" s="111" t="s">
        <v>268</v>
      </c>
      <c r="D4358" s="111" t="str">
        <f t="shared" ref="D4358:E4358" si="4356">TRIM(B4358)</f>
        <v>Illinois</v>
      </c>
      <c r="E4358" s="111" t="str">
        <f t="shared" si="4356"/>
        <v>Chicago</v>
      </c>
    </row>
    <row r="4359" spans="1:5">
      <c r="A4359" s="3" t="s">
        <v>12351</v>
      </c>
      <c r="B4359" s="110" t="s">
        <v>1333</v>
      </c>
      <c r="C4359" s="111" t="s">
        <v>268</v>
      </c>
      <c r="D4359" s="111" t="str">
        <f t="shared" ref="D4359:E4359" si="4357">TRIM(B4359)</f>
        <v>Illinois</v>
      </c>
      <c r="E4359" s="111" t="str">
        <f t="shared" si="4357"/>
        <v>Chicago</v>
      </c>
    </row>
    <row r="4360" spans="1:5">
      <c r="A4360" s="3" t="s">
        <v>12352</v>
      </c>
      <c r="B4360" s="110" t="s">
        <v>1333</v>
      </c>
      <c r="C4360" s="111" t="s">
        <v>268</v>
      </c>
      <c r="D4360" s="111" t="str">
        <f t="shared" ref="D4360:E4360" si="4358">TRIM(B4360)</f>
        <v>Illinois</v>
      </c>
      <c r="E4360" s="111" t="str">
        <f t="shared" si="4358"/>
        <v>Chicago</v>
      </c>
    </row>
    <row r="4361" spans="1:5">
      <c r="A4361" s="3" t="s">
        <v>12354</v>
      </c>
      <c r="B4361" s="110" t="s">
        <v>1333</v>
      </c>
      <c r="C4361" s="111" t="s">
        <v>268</v>
      </c>
      <c r="D4361" s="111" t="str">
        <f t="shared" ref="D4361:E4361" si="4359">TRIM(B4361)</f>
        <v>Illinois</v>
      </c>
      <c r="E4361" s="111" t="str">
        <f t="shared" si="4359"/>
        <v>Chicago</v>
      </c>
    </row>
    <row r="4362" spans="1:5">
      <c r="A4362" s="3" t="s">
        <v>12356</v>
      </c>
      <c r="B4362" s="110" t="s">
        <v>1333</v>
      </c>
      <c r="C4362" s="111" t="s">
        <v>268</v>
      </c>
      <c r="D4362" s="111" t="str">
        <f t="shared" ref="D4362:E4362" si="4360">TRIM(B4362)</f>
        <v>Illinois</v>
      </c>
      <c r="E4362" s="111" t="str">
        <f t="shared" si="4360"/>
        <v>Chicago</v>
      </c>
    </row>
    <row r="4363" spans="1:5">
      <c r="A4363" s="3" t="s">
        <v>12359</v>
      </c>
      <c r="B4363" s="110" t="s">
        <v>1333</v>
      </c>
      <c r="C4363" s="111" t="s">
        <v>268</v>
      </c>
      <c r="D4363" s="111" t="str">
        <f t="shared" ref="D4363:E4363" si="4361">TRIM(B4363)</f>
        <v>Illinois</v>
      </c>
      <c r="E4363" s="111" t="str">
        <f t="shared" si="4361"/>
        <v>Chicago</v>
      </c>
    </row>
    <row r="4364" spans="1:5">
      <c r="A4364" s="3" t="s">
        <v>12361</v>
      </c>
      <c r="B4364" s="110" t="s">
        <v>1333</v>
      </c>
      <c r="C4364" s="111" t="s">
        <v>268</v>
      </c>
      <c r="D4364" s="111" t="str">
        <f t="shared" ref="D4364:E4364" si="4362">TRIM(B4364)</f>
        <v>Illinois</v>
      </c>
      <c r="E4364" s="111" t="str">
        <f t="shared" si="4362"/>
        <v>Chicago</v>
      </c>
    </row>
    <row r="4365" spans="1:5">
      <c r="A4365" s="3" t="s">
        <v>12364</v>
      </c>
      <c r="B4365" s="110" t="s">
        <v>1333</v>
      </c>
      <c r="C4365" s="111" t="s">
        <v>268</v>
      </c>
      <c r="D4365" s="111" t="str">
        <f t="shared" ref="D4365:E4365" si="4363">TRIM(B4365)</f>
        <v>Illinois</v>
      </c>
      <c r="E4365" s="111" t="str">
        <f t="shared" si="4363"/>
        <v>Chicago</v>
      </c>
    </row>
    <row r="4366" spans="1:5">
      <c r="A4366" s="3" t="s">
        <v>12366</v>
      </c>
      <c r="B4366" s="110" t="s">
        <v>1333</v>
      </c>
      <c r="C4366" s="111" t="s">
        <v>268</v>
      </c>
      <c r="D4366" s="111" t="str">
        <f t="shared" ref="D4366:E4366" si="4364">TRIM(B4366)</f>
        <v>Illinois</v>
      </c>
      <c r="E4366" s="111" t="str">
        <f t="shared" si="4364"/>
        <v>Chicago</v>
      </c>
    </row>
    <row r="4367" spans="1:5">
      <c r="A4367" s="3" t="s">
        <v>12370</v>
      </c>
      <c r="B4367" s="110" t="s">
        <v>1333</v>
      </c>
      <c r="C4367" s="111" t="s">
        <v>268</v>
      </c>
      <c r="D4367" s="111" t="str">
        <f t="shared" ref="D4367:E4367" si="4365">TRIM(B4367)</f>
        <v>Illinois</v>
      </c>
      <c r="E4367" s="111" t="str">
        <f t="shared" si="4365"/>
        <v>Chicago</v>
      </c>
    </row>
    <row r="4368" spans="1:5">
      <c r="A4368" s="3" t="s">
        <v>12373</v>
      </c>
      <c r="B4368" s="110" t="s">
        <v>1333</v>
      </c>
      <c r="C4368" s="111" t="s">
        <v>268</v>
      </c>
      <c r="D4368" s="111" t="str">
        <f t="shared" ref="D4368:E4368" si="4366">TRIM(B4368)</f>
        <v>Illinois</v>
      </c>
      <c r="E4368" s="111" t="str">
        <f t="shared" si="4366"/>
        <v>Chicago</v>
      </c>
    </row>
    <row r="4369" spans="1:5">
      <c r="A4369" s="3" t="s">
        <v>5350</v>
      </c>
      <c r="B4369" s="110" t="s">
        <v>1333</v>
      </c>
      <c r="C4369" s="111" t="s">
        <v>268</v>
      </c>
      <c r="D4369" s="111" t="str">
        <f t="shared" ref="D4369:E4369" si="4367">TRIM(B4369)</f>
        <v>Illinois</v>
      </c>
      <c r="E4369" s="111" t="str">
        <f t="shared" si="4367"/>
        <v>Chicago</v>
      </c>
    </row>
    <row r="4370" spans="1:5">
      <c r="A4370" s="3" t="s">
        <v>12376</v>
      </c>
      <c r="B4370" s="110" t="s">
        <v>1333</v>
      </c>
      <c r="C4370" s="111" t="s">
        <v>268</v>
      </c>
      <c r="D4370" s="111" t="str">
        <f t="shared" ref="D4370:E4370" si="4368">TRIM(B4370)</f>
        <v>Illinois</v>
      </c>
      <c r="E4370" s="111" t="str">
        <f t="shared" si="4368"/>
        <v>Chicago</v>
      </c>
    </row>
    <row r="4371" spans="1:5">
      <c r="A4371" s="3" t="s">
        <v>12378</v>
      </c>
      <c r="B4371" s="110" t="s">
        <v>1333</v>
      </c>
      <c r="C4371" s="111" t="s">
        <v>268</v>
      </c>
      <c r="D4371" s="111" t="str">
        <f t="shared" ref="D4371:E4371" si="4369">TRIM(B4371)</f>
        <v>Illinois</v>
      </c>
      <c r="E4371" s="111" t="str">
        <f t="shared" si="4369"/>
        <v>Chicago</v>
      </c>
    </row>
    <row r="4372" spans="1:5">
      <c r="A4372" s="3" t="s">
        <v>12381</v>
      </c>
      <c r="B4372" s="110" t="s">
        <v>1333</v>
      </c>
      <c r="C4372" s="111" t="s">
        <v>268</v>
      </c>
      <c r="D4372" s="111" t="str">
        <f t="shared" ref="D4372:E4372" si="4370">TRIM(B4372)</f>
        <v>Illinois</v>
      </c>
      <c r="E4372" s="111" t="str">
        <f t="shared" si="4370"/>
        <v>Chicago</v>
      </c>
    </row>
    <row r="4373" spans="1:5">
      <c r="A4373" s="3" t="s">
        <v>12383</v>
      </c>
      <c r="B4373" s="110" t="s">
        <v>1333</v>
      </c>
      <c r="C4373" s="111" t="s">
        <v>268</v>
      </c>
      <c r="D4373" s="111" t="str">
        <f t="shared" ref="D4373:E4373" si="4371">TRIM(B4373)</f>
        <v>Illinois</v>
      </c>
      <c r="E4373" s="111" t="str">
        <f t="shared" si="4371"/>
        <v>Chicago</v>
      </c>
    </row>
    <row r="4374" spans="1:5">
      <c r="A4374" s="3" t="s">
        <v>12386</v>
      </c>
      <c r="B4374" s="110" t="s">
        <v>1333</v>
      </c>
      <c r="C4374" s="111" t="s">
        <v>268</v>
      </c>
      <c r="D4374" s="111" t="str">
        <f t="shared" ref="D4374:E4374" si="4372">TRIM(B4374)</f>
        <v>Illinois</v>
      </c>
      <c r="E4374" s="111" t="str">
        <f t="shared" si="4372"/>
        <v>Chicago</v>
      </c>
    </row>
    <row r="4375" spans="1:5">
      <c r="A4375" s="3" t="s">
        <v>12388</v>
      </c>
      <c r="B4375" s="110" t="s">
        <v>1333</v>
      </c>
      <c r="C4375" s="111" t="s">
        <v>268</v>
      </c>
      <c r="D4375" s="111" t="str">
        <f t="shared" ref="D4375:E4375" si="4373">TRIM(B4375)</f>
        <v>Illinois</v>
      </c>
      <c r="E4375" s="111" t="str">
        <f t="shared" si="4373"/>
        <v>Chicago</v>
      </c>
    </row>
    <row r="4376" spans="1:5">
      <c r="A4376" s="3" t="s">
        <v>12390</v>
      </c>
      <c r="B4376" s="110" t="s">
        <v>1333</v>
      </c>
      <c r="C4376" s="111" t="s">
        <v>268</v>
      </c>
      <c r="D4376" s="111" t="str">
        <f t="shared" ref="D4376:E4376" si="4374">TRIM(B4376)</f>
        <v>Illinois</v>
      </c>
      <c r="E4376" s="111" t="str">
        <f t="shared" si="4374"/>
        <v>Chicago</v>
      </c>
    </row>
    <row r="4377" spans="1:5">
      <c r="A4377" s="3" t="s">
        <v>12393</v>
      </c>
      <c r="B4377" s="110" t="s">
        <v>1333</v>
      </c>
      <c r="C4377" s="111" t="s">
        <v>268</v>
      </c>
      <c r="D4377" s="111" t="str">
        <f t="shared" ref="D4377:E4377" si="4375">TRIM(B4377)</f>
        <v>Illinois</v>
      </c>
      <c r="E4377" s="111" t="str">
        <f t="shared" si="4375"/>
        <v>Chicago</v>
      </c>
    </row>
    <row r="4378" spans="1:5">
      <c r="A4378" s="3" t="s">
        <v>12396</v>
      </c>
      <c r="B4378" s="110" t="s">
        <v>1333</v>
      </c>
      <c r="C4378" s="111" t="s">
        <v>268</v>
      </c>
      <c r="D4378" s="111" t="str">
        <f t="shared" ref="D4378:E4378" si="4376">TRIM(B4378)</f>
        <v>Illinois</v>
      </c>
      <c r="E4378" s="111" t="str">
        <f t="shared" si="4376"/>
        <v>Chicago</v>
      </c>
    </row>
    <row r="4379" spans="1:5">
      <c r="A4379" s="3" t="s">
        <v>12399</v>
      </c>
      <c r="B4379" s="110" t="s">
        <v>1333</v>
      </c>
      <c r="C4379" s="111" t="s">
        <v>268</v>
      </c>
      <c r="D4379" s="111" t="str">
        <f t="shared" ref="D4379:E4379" si="4377">TRIM(B4379)</f>
        <v>Illinois</v>
      </c>
      <c r="E4379" s="111" t="str">
        <f t="shared" si="4377"/>
        <v>Chicago</v>
      </c>
    </row>
    <row r="4380" spans="1:5">
      <c r="A4380" s="3" t="s">
        <v>12400</v>
      </c>
      <c r="B4380" s="110" t="s">
        <v>1333</v>
      </c>
      <c r="C4380" s="111" t="s">
        <v>268</v>
      </c>
      <c r="D4380" s="111" t="str">
        <f t="shared" ref="D4380:E4380" si="4378">TRIM(B4380)</f>
        <v>Illinois</v>
      </c>
      <c r="E4380" s="111" t="str">
        <f t="shared" si="4378"/>
        <v>Chicago</v>
      </c>
    </row>
    <row r="4381" spans="1:5">
      <c r="A4381" s="3" t="s">
        <v>12402</v>
      </c>
      <c r="B4381" s="110" t="s">
        <v>1333</v>
      </c>
      <c r="C4381" s="111" t="s">
        <v>268</v>
      </c>
      <c r="D4381" s="111" t="str">
        <f t="shared" ref="D4381:E4381" si="4379">TRIM(B4381)</f>
        <v>Illinois</v>
      </c>
      <c r="E4381" s="111" t="str">
        <f t="shared" si="4379"/>
        <v>Chicago</v>
      </c>
    </row>
    <row r="4382" spans="1:5">
      <c r="A4382" s="3" t="s">
        <v>12403</v>
      </c>
      <c r="B4382" s="110" t="s">
        <v>1333</v>
      </c>
      <c r="C4382" s="111" t="s">
        <v>268</v>
      </c>
      <c r="D4382" s="111" t="str">
        <f t="shared" ref="D4382:E4382" si="4380">TRIM(B4382)</f>
        <v>Illinois</v>
      </c>
      <c r="E4382" s="111" t="str">
        <f t="shared" si="4380"/>
        <v>Chicago</v>
      </c>
    </row>
    <row r="4383" spans="1:5">
      <c r="A4383" s="3" t="s">
        <v>12405</v>
      </c>
      <c r="B4383" s="110" t="s">
        <v>1333</v>
      </c>
      <c r="C4383" s="111" t="s">
        <v>268</v>
      </c>
      <c r="D4383" s="111" t="str">
        <f t="shared" ref="D4383:E4383" si="4381">TRIM(B4383)</f>
        <v>Illinois</v>
      </c>
      <c r="E4383" s="111" t="str">
        <f t="shared" si="4381"/>
        <v>Chicago</v>
      </c>
    </row>
    <row r="4384" spans="1:5">
      <c r="A4384" s="3" t="s">
        <v>12406</v>
      </c>
      <c r="B4384" s="110" t="s">
        <v>1333</v>
      </c>
      <c r="C4384" s="111" t="s">
        <v>268</v>
      </c>
      <c r="D4384" s="111" t="str">
        <f t="shared" ref="D4384:E4384" si="4382">TRIM(B4384)</f>
        <v>Illinois</v>
      </c>
      <c r="E4384" s="111" t="str">
        <f t="shared" si="4382"/>
        <v>Chicago</v>
      </c>
    </row>
    <row r="4385" spans="1:5">
      <c r="A4385" s="3" t="s">
        <v>12410</v>
      </c>
      <c r="B4385" s="110" t="s">
        <v>1333</v>
      </c>
      <c r="C4385" s="111" t="s">
        <v>268</v>
      </c>
      <c r="D4385" s="111" t="str">
        <f t="shared" ref="D4385:E4385" si="4383">TRIM(B4385)</f>
        <v>Illinois</v>
      </c>
      <c r="E4385" s="111" t="str">
        <f t="shared" si="4383"/>
        <v>Chicago</v>
      </c>
    </row>
    <row r="4386" spans="1:5">
      <c r="A4386" s="3" t="s">
        <v>12412</v>
      </c>
      <c r="B4386" s="110" t="s">
        <v>1333</v>
      </c>
      <c r="C4386" s="111" t="s">
        <v>268</v>
      </c>
      <c r="D4386" s="111" t="str">
        <f t="shared" ref="D4386:E4386" si="4384">TRIM(B4386)</f>
        <v>Illinois</v>
      </c>
      <c r="E4386" s="111" t="str">
        <f t="shared" si="4384"/>
        <v>Chicago</v>
      </c>
    </row>
    <row r="4387" spans="1:5">
      <c r="A4387" s="110" t="s">
        <v>12427</v>
      </c>
      <c r="B4387" s="110" t="s">
        <v>1333</v>
      </c>
      <c r="C4387" s="111" t="s">
        <v>268</v>
      </c>
      <c r="D4387" s="111" t="str">
        <f t="shared" ref="D4387:E4387" si="4385">TRIM(B4387)</f>
        <v>Illinois</v>
      </c>
      <c r="E4387" s="111" t="str">
        <f t="shared" si="4385"/>
        <v>Chicago</v>
      </c>
    </row>
    <row r="4388" spans="1:5">
      <c r="A4388" s="110" t="s">
        <v>12429</v>
      </c>
      <c r="B4388" s="110" t="s">
        <v>1333</v>
      </c>
      <c r="C4388" s="111" t="s">
        <v>268</v>
      </c>
      <c r="D4388" s="111" t="str">
        <f t="shared" ref="D4388:E4388" si="4386">TRIM(B4388)</f>
        <v>Illinois</v>
      </c>
      <c r="E4388" s="111" t="str">
        <f t="shared" si="4386"/>
        <v>Chicago</v>
      </c>
    </row>
    <row r="4389" spans="1:5">
      <c r="A4389" s="110" t="s">
        <v>12431</v>
      </c>
      <c r="B4389" s="110" t="s">
        <v>1333</v>
      </c>
      <c r="C4389" s="111" t="s">
        <v>268</v>
      </c>
      <c r="D4389" s="111" t="str">
        <f t="shared" ref="D4389:E4389" si="4387">TRIM(B4389)</f>
        <v>Illinois</v>
      </c>
      <c r="E4389" s="111" t="str">
        <f t="shared" si="4387"/>
        <v>Chicago</v>
      </c>
    </row>
    <row r="4390" spans="1:5">
      <c r="A4390" s="110" t="s">
        <v>12433</v>
      </c>
      <c r="B4390" s="110" t="s">
        <v>1333</v>
      </c>
      <c r="C4390" s="111" t="s">
        <v>268</v>
      </c>
      <c r="D4390" s="111" t="str">
        <f t="shared" ref="D4390:E4390" si="4388">TRIM(B4390)</f>
        <v>Illinois</v>
      </c>
      <c r="E4390" s="111" t="str">
        <f t="shared" si="4388"/>
        <v>Chicago</v>
      </c>
    </row>
    <row r="4391" spans="1:5">
      <c r="A4391" s="110" t="s">
        <v>12435</v>
      </c>
      <c r="B4391" s="110" t="s">
        <v>1333</v>
      </c>
      <c r="C4391" s="112" t="s">
        <v>268</v>
      </c>
      <c r="D4391" s="111" t="str">
        <f t="shared" ref="D4391:E4391" si="4389">TRIM(B4391)</f>
        <v>Illinois</v>
      </c>
      <c r="E4391" s="111" t="str">
        <f t="shared" si="4389"/>
        <v>Chicago</v>
      </c>
    </row>
    <row r="4392" spans="1:5">
      <c r="A4392" s="110" t="s">
        <v>12438</v>
      </c>
      <c r="B4392" s="110" t="s">
        <v>1333</v>
      </c>
      <c r="C4392" s="111" t="s">
        <v>268</v>
      </c>
      <c r="D4392" s="111" t="str">
        <f t="shared" ref="D4392:E4392" si="4390">TRIM(B4392)</f>
        <v>Illinois</v>
      </c>
      <c r="E4392" s="111" t="str">
        <f t="shared" si="4390"/>
        <v>Chicago</v>
      </c>
    </row>
    <row r="4393" spans="1:5">
      <c r="A4393" s="110" t="s">
        <v>12439</v>
      </c>
      <c r="B4393" s="110" t="s">
        <v>1333</v>
      </c>
      <c r="C4393" s="111" t="s">
        <v>268</v>
      </c>
      <c r="D4393" s="111" t="str">
        <f t="shared" ref="D4393:E4393" si="4391">TRIM(B4393)</f>
        <v>Illinois</v>
      </c>
      <c r="E4393" s="111" t="str">
        <f t="shared" si="4391"/>
        <v>Chicago</v>
      </c>
    </row>
    <row r="4394" spans="1:5">
      <c r="A4394" s="110" t="s">
        <v>12441</v>
      </c>
      <c r="B4394" s="110" t="s">
        <v>1333</v>
      </c>
      <c r="C4394" s="111" t="s">
        <v>268</v>
      </c>
      <c r="D4394" s="111" t="str">
        <f t="shared" ref="D4394:E4394" si="4392">TRIM(B4394)</f>
        <v>Illinois</v>
      </c>
      <c r="E4394" s="111" t="str">
        <f t="shared" si="4392"/>
        <v>Chicago</v>
      </c>
    </row>
    <row r="4395" spans="1:5">
      <c r="A4395" s="3" t="s">
        <v>12443</v>
      </c>
      <c r="B4395" s="110" t="s">
        <v>1333</v>
      </c>
      <c r="C4395" s="111" t="s">
        <v>268</v>
      </c>
      <c r="D4395" s="111" t="str">
        <f t="shared" ref="D4395:E4395" si="4393">TRIM(B4395)</f>
        <v>Illinois</v>
      </c>
      <c r="E4395" s="111" t="str">
        <f t="shared" si="4393"/>
        <v>Chicago</v>
      </c>
    </row>
    <row r="4396" spans="1:5">
      <c r="A4396" s="110" t="s">
        <v>12446</v>
      </c>
      <c r="B4396" s="110" t="s">
        <v>1333</v>
      </c>
      <c r="C4396" s="111" t="s">
        <v>268</v>
      </c>
      <c r="D4396" s="111" t="str">
        <f t="shared" ref="D4396:E4396" si="4394">TRIM(B4396)</f>
        <v>Illinois</v>
      </c>
      <c r="E4396" s="111" t="str">
        <f t="shared" si="4394"/>
        <v>Chicago</v>
      </c>
    </row>
    <row r="4397" spans="1:5">
      <c r="A4397" s="110" t="s">
        <v>12449</v>
      </c>
      <c r="B4397" s="110" t="s">
        <v>1333</v>
      </c>
      <c r="C4397" s="111" t="s">
        <v>268</v>
      </c>
      <c r="D4397" s="111" t="str">
        <f t="shared" ref="D4397:E4397" si="4395">TRIM(B4397)</f>
        <v>Illinois</v>
      </c>
      <c r="E4397" s="111" t="str">
        <f t="shared" si="4395"/>
        <v>Chicago</v>
      </c>
    </row>
    <row r="4398" spans="1:5">
      <c r="A4398" s="110" t="s">
        <v>12451</v>
      </c>
      <c r="B4398" s="110" t="s">
        <v>1333</v>
      </c>
      <c r="C4398" s="111" t="s">
        <v>268</v>
      </c>
      <c r="D4398" s="111" t="str">
        <f t="shared" ref="D4398:E4398" si="4396">TRIM(B4398)</f>
        <v>Illinois</v>
      </c>
      <c r="E4398" s="111" t="str">
        <f t="shared" si="4396"/>
        <v>Chicago</v>
      </c>
    </row>
    <row r="4399" spans="1:5">
      <c r="A4399" s="110" t="s">
        <v>12454</v>
      </c>
      <c r="B4399" s="110" t="s">
        <v>1333</v>
      </c>
      <c r="C4399" s="111" t="s">
        <v>268</v>
      </c>
      <c r="D4399" s="111" t="str">
        <f t="shared" ref="D4399:E4399" si="4397">TRIM(B4399)</f>
        <v>Illinois</v>
      </c>
      <c r="E4399" s="111" t="str">
        <f t="shared" si="4397"/>
        <v>Chicago</v>
      </c>
    </row>
    <row r="4400" spans="1:5">
      <c r="A4400" s="3" t="s">
        <v>12456</v>
      </c>
      <c r="B4400" s="110" t="s">
        <v>1333</v>
      </c>
      <c r="C4400" s="111" t="s">
        <v>268</v>
      </c>
      <c r="D4400" s="111" t="str">
        <f t="shared" ref="D4400:E4400" si="4398">TRIM(B4400)</f>
        <v>Illinois</v>
      </c>
      <c r="E4400" s="111" t="str">
        <f t="shared" si="4398"/>
        <v>Chicago</v>
      </c>
    </row>
    <row r="4401" spans="1:5">
      <c r="A4401" s="3" t="s">
        <v>12458</v>
      </c>
      <c r="B4401" s="110" t="s">
        <v>1333</v>
      </c>
      <c r="C4401" s="111" t="s">
        <v>268</v>
      </c>
      <c r="D4401" s="111" t="str">
        <f t="shared" ref="D4401:E4401" si="4399">TRIM(B4401)</f>
        <v>Illinois</v>
      </c>
      <c r="E4401" s="111" t="str">
        <f t="shared" si="4399"/>
        <v>Chicago</v>
      </c>
    </row>
    <row r="4402" spans="1:5">
      <c r="A4402" s="110" t="s">
        <v>12462</v>
      </c>
      <c r="B4402" s="110" t="s">
        <v>1333</v>
      </c>
      <c r="C4402" s="111" t="s">
        <v>268</v>
      </c>
      <c r="D4402" s="111" t="str">
        <f t="shared" ref="D4402:E4402" si="4400">TRIM(B4402)</f>
        <v>Illinois</v>
      </c>
      <c r="E4402" s="111" t="str">
        <f t="shared" si="4400"/>
        <v>Chicago</v>
      </c>
    </row>
    <row r="4403" spans="1:5">
      <c r="A4403" s="110" t="s">
        <v>12464</v>
      </c>
      <c r="B4403" s="110" t="s">
        <v>1333</v>
      </c>
      <c r="C4403" s="111" t="s">
        <v>268</v>
      </c>
      <c r="D4403" s="111" t="str">
        <f t="shared" ref="D4403:E4403" si="4401">TRIM(B4403)</f>
        <v>Illinois</v>
      </c>
      <c r="E4403" s="111" t="str">
        <f t="shared" si="4401"/>
        <v>Chicago</v>
      </c>
    </row>
    <row r="4404" spans="1:5">
      <c r="A4404" s="110" t="s">
        <v>12466</v>
      </c>
      <c r="B4404" s="110" t="s">
        <v>1333</v>
      </c>
      <c r="C4404" s="111" t="s">
        <v>268</v>
      </c>
      <c r="D4404" s="111" t="str">
        <f t="shared" ref="D4404:E4404" si="4402">TRIM(B4404)</f>
        <v>Illinois</v>
      </c>
      <c r="E4404" s="111" t="str">
        <f t="shared" si="4402"/>
        <v>Chicago</v>
      </c>
    </row>
    <row r="4405" spans="1:5">
      <c r="A4405" s="3" t="s">
        <v>12468</v>
      </c>
      <c r="B4405" s="110" t="s">
        <v>1333</v>
      </c>
      <c r="C4405" s="111" t="s">
        <v>268</v>
      </c>
      <c r="D4405" s="111" t="str">
        <f t="shared" ref="D4405:E4405" si="4403">TRIM(B4405)</f>
        <v>Illinois</v>
      </c>
      <c r="E4405" s="111" t="str">
        <f t="shared" si="4403"/>
        <v>Chicago</v>
      </c>
    </row>
    <row r="4406" spans="1:5">
      <c r="A4406" s="3" t="s">
        <v>12469</v>
      </c>
      <c r="B4406" s="110" t="s">
        <v>1333</v>
      </c>
      <c r="C4406" s="111" t="s">
        <v>268</v>
      </c>
      <c r="D4406" s="111" t="str">
        <f t="shared" ref="D4406:E4406" si="4404">TRIM(B4406)</f>
        <v>Illinois</v>
      </c>
      <c r="E4406" s="111" t="str">
        <f t="shared" si="4404"/>
        <v>Chicago</v>
      </c>
    </row>
    <row r="4407" spans="1:5">
      <c r="A4407" s="3" t="s">
        <v>12471</v>
      </c>
      <c r="B4407" s="110" t="s">
        <v>1333</v>
      </c>
      <c r="C4407" s="111" t="s">
        <v>268</v>
      </c>
      <c r="D4407" s="111" t="str">
        <f t="shared" ref="D4407:E4407" si="4405">TRIM(B4407)</f>
        <v>Illinois</v>
      </c>
      <c r="E4407" s="111" t="str">
        <f t="shared" si="4405"/>
        <v>Chicago</v>
      </c>
    </row>
    <row r="4408" spans="1:5">
      <c r="A4408" s="3" t="s">
        <v>12472</v>
      </c>
      <c r="B4408" s="110" t="s">
        <v>1333</v>
      </c>
      <c r="C4408" s="111" t="s">
        <v>268</v>
      </c>
      <c r="D4408" s="111" t="str">
        <f t="shared" ref="D4408:E4408" si="4406">TRIM(B4408)</f>
        <v>Illinois</v>
      </c>
      <c r="E4408" s="111" t="str">
        <f t="shared" si="4406"/>
        <v>Chicago</v>
      </c>
    </row>
    <row r="4409" spans="1:5">
      <c r="A4409" s="110" t="s">
        <v>12477</v>
      </c>
      <c r="B4409" s="110" t="s">
        <v>1333</v>
      </c>
      <c r="C4409" s="111" t="s">
        <v>268</v>
      </c>
      <c r="D4409" s="111" t="str">
        <f t="shared" ref="D4409:E4409" si="4407">TRIM(B4409)</f>
        <v>Illinois</v>
      </c>
      <c r="E4409" s="111" t="str">
        <f t="shared" si="4407"/>
        <v>Chicago</v>
      </c>
    </row>
    <row r="4410" spans="1:5">
      <c r="A4410" s="110" t="s">
        <v>12479</v>
      </c>
      <c r="B4410" s="110" t="s">
        <v>1333</v>
      </c>
      <c r="C4410" s="111" t="s">
        <v>268</v>
      </c>
      <c r="D4410" s="111" t="str">
        <f t="shared" ref="D4410:E4410" si="4408">TRIM(B4410)</f>
        <v>Illinois</v>
      </c>
      <c r="E4410" s="111" t="str">
        <f t="shared" si="4408"/>
        <v>Chicago</v>
      </c>
    </row>
    <row r="4411" spans="1:5">
      <c r="A4411" s="110" t="s">
        <v>12482</v>
      </c>
      <c r="B4411" s="110" t="s">
        <v>1333</v>
      </c>
      <c r="C4411" s="111" t="s">
        <v>268</v>
      </c>
      <c r="D4411" s="111" t="str">
        <f t="shared" ref="D4411:E4411" si="4409">TRIM(B4411)</f>
        <v>Illinois</v>
      </c>
      <c r="E4411" s="111" t="str">
        <f t="shared" si="4409"/>
        <v>Chicago</v>
      </c>
    </row>
    <row r="4412" spans="1:5">
      <c r="A4412" s="3" t="s">
        <v>12484</v>
      </c>
      <c r="B4412" s="110" t="s">
        <v>1333</v>
      </c>
      <c r="C4412" s="111" t="s">
        <v>268</v>
      </c>
      <c r="D4412" s="111" t="str">
        <f t="shared" ref="D4412:E4412" si="4410">TRIM(B4412)</f>
        <v>Illinois</v>
      </c>
      <c r="E4412" s="111" t="str">
        <f t="shared" si="4410"/>
        <v>Chicago</v>
      </c>
    </row>
    <row r="4413" spans="1:5">
      <c r="A4413" s="110" t="s">
        <v>12486</v>
      </c>
      <c r="B4413" s="110" t="s">
        <v>1333</v>
      </c>
      <c r="C4413" s="111" t="s">
        <v>268</v>
      </c>
      <c r="D4413" s="111" t="str">
        <f t="shared" ref="D4413:E4413" si="4411">TRIM(B4413)</f>
        <v>Illinois</v>
      </c>
      <c r="E4413" s="111" t="str">
        <f t="shared" si="4411"/>
        <v>Chicago</v>
      </c>
    </row>
    <row r="4414" spans="1:5">
      <c r="A4414" s="110" t="s">
        <v>12487</v>
      </c>
      <c r="B4414" s="110" t="s">
        <v>1333</v>
      </c>
      <c r="C4414" s="111" t="s">
        <v>268</v>
      </c>
      <c r="D4414" s="111" t="str">
        <f t="shared" ref="D4414:E4414" si="4412">TRIM(B4414)</f>
        <v>Illinois</v>
      </c>
      <c r="E4414" s="111" t="str">
        <f t="shared" si="4412"/>
        <v>Chicago</v>
      </c>
    </row>
    <row r="4415" spans="1:5">
      <c r="A4415" s="110" t="s">
        <v>12490</v>
      </c>
      <c r="B4415" s="110" t="s">
        <v>1333</v>
      </c>
      <c r="C4415" s="111" t="s">
        <v>268</v>
      </c>
      <c r="D4415" s="111" t="str">
        <f t="shared" ref="D4415:E4415" si="4413">TRIM(B4415)</f>
        <v>Illinois</v>
      </c>
      <c r="E4415" s="111" t="str">
        <f t="shared" si="4413"/>
        <v>Chicago</v>
      </c>
    </row>
    <row r="4416" spans="1:5">
      <c r="A4416" s="3" t="s">
        <v>12492</v>
      </c>
      <c r="B4416" s="110" t="s">
        <v>1333</v>
      </c>
      <c r="C4416" s="111" t="s">
        <v>268</v>
      </c>
      <c r="D4416" s="111" t="str">
        <f t="shared" ref="D4416:E4416" si="4414">TRIM(B4416)</f>
        <v>Illinois</v>
      </c>
      <c r="E4416" s="111" t="str">
        <f t="shared" si="4414"/>
        <v>Chicago</v>
      </c>
    </row>
    <row r="4417" spans="1:5">
      <c r="A4417" s="3" t="s">
        <v>12495</v>
      </c>
      <c r="B4417" s="110" t="s">
        <v>1333</v>
      </c>
      <c r="C4417" s="111" t="s">
        <v>268</v>
      </c>
      <c r="D4417" s="111" t="str">
        <f t="shared" ref="D4417:E4417" si="4415">TRIM(B4417)</f>
        <v>Illinois</v>
      </c>
      <c r="E4417" s="111" t="str">
        <f t="shared" si="4415"/>
        <v>Chicago</v>
      </c>
    </row>
    <row r="4418" spans="1:5">
      <c r="A4418" s="110" t="s">
        <v>12496</v>
      </c>
      <c r="B4418" s="110" t="s">
        <v>1333</v>
      </c>
      <c r="C4418" s="111" t="s">
        <v>268</v>
      </c>
      <c r="D4418" s="111" t="str">
        <f t="shared" ref="D4418:E4418" si="4416">TRIM(B4418)</f>
        <v>Illinois</v>
      </c>
      <c r="E4418" s="111" t="str">
        <f t="shared" si="4416"/>
        <v>Chicago</v>
      </c>
    </row>
    <row r="4419" spans="1:5">
      <c r="A4419" s="3" t="s">
        <v>12498</v>
      </c>
      <c r="B4419" s="110" t="s">
        <v>1333</v>
      </c>
      <c r="C4419" s="111" t="s">
        <v>268</v>
      </c>
      <c r="D4419" s="111" t="str">
        <f t="shared" ref="D4419:E4419" si="4417">TRIM(B4419)</f>
        <v>Illinois</v>
      </c>
      <c r="E4419" s="111" t="str">
        <f t="shared" si="4417"/>
        <v>Chicago</v>
      </c>
    </row>
    <row r="4420" spans="1:5">
      <c r="A4420" s="110" t="s">
        <v>12499</v>
      </c>
      <c r="B4420" s="110" t="s">
        <v>1333</v>
      </c>
      <c r="C4420" s="111" t="s">
        <v>268</v>
      </c>
      <c r="D4420" s="111" t="str">
        <f t="shared" ref="D4420:E4420" si="4418">TRIM(B4420)</f>
        <v>Illinois</v>
      </c>
      <c r="E4420" s="111" t="str">
        <f t="shared" si="4418"/>
        <v>Chicago</v>
      </c>
    </row>
    <row r="4421" spans="1:5">
      <c r="A4421" s="110" t="s">
        <v>12500</v>
      </c>
      <c r="B4421" s="110" t="s">
        <v>1333</v>
      </c>
      <c r="C4421" s="111" t="s">
        <v>268</v>
      </c>
      <c r="D4421" s="111" t="str">
        <f t="shared" ref="D4421:E4421" si="4419">TRIM(B4421)</f>
        <v>Illinois</v>
      </c>
      <c r="E4421" s="111" t="str">
        <f t="shared" si="4419"/>
        <v>Chicago</v>
      </c>
    </row>
    <row r="4422" spans="1:5">
      <c r="A4422" s="3" t="s">
        <v>12501</v>
      </c>
      <c r="B4422" s="110" t="s">
        <v>1333</v>
      </c>
      <c r="C4422" s="111" t="s">
        <v>268</v>
      </c>
      <c r="D4422" s="111" t="str">
        <f t="shared" ref="D4422:E4422" si="4420">TRIM(B4422)</f>
        <v>Illinois</v>
      </c>
      <c r="E4422" s="111" t="str">
        <f t="shared" si="4420"/>
        <v>Chicago</v>
      </c>
    </row>
    <row r="4423" spans="1:5">
      <c r="A4423" s="3" t="s">
        <v>12503</v>
      </c>
      <c r="B4423" s="110" t="s">
        <v>1333</v>
      </c>
      <c r="C4423" s="111" t="s">
        <v>268</v>
      </c>
      <c r="D4423" s="111" t="str">
        <f t="shared" ref="D4423:E4423" si="4421">TRIM(B4423)</f>
        <v>Illinois</v>
      </c>
      <c r="E4423" s="111" t="str">
        <f t="shared" si="4421"/>
        <v>Chicago</v>
      </c>
    </row>
    <row r="4424" spans="1:5">
      <c r="A4424" s="3" t="s">
        <v>12506</v>
      </c>
      <c r="B4424" s="110" t="s">
        <v>1333</v>
      </c>
      <c r="C4424" s="111" t="s">
        <v>268</v>
      </c>
      <c r="D4424" s="111" t="str">
        <f t="shared" ref="D4424:E4424" si="4422">TRIM(B4424)</f>
        <v>Illinois</v>
      </c>
      <c r="E4424" s="111" t="str">
        <f t="shared" si="4422"/>
        <v>Chicago</v>
      </c>
    </row>
    <row r="4425" spans="1:5">
      <c r="A4425" s="3" t="s">
        <v>12507</v>
      </c>
      <c r="B4425" s="110" t="s">
        <v>1333</v>
      </c>
      <c r="C4425" s="111" t="s">
        <v>268</v>
      </c>
      <c r="D4425" s="111" t="str">
        <f t="shared" ref="D4425:E4425" si="4423">TRIM(B4425)</f>
        <v>Illinois</v>
      </c>
      <c r="E4425" s="111" t="str">
        <f t="shared" si="4423"/>
        <v>Chicago</v>
      </c>
    </row>
    <row r="4426" spans="1:5">
      <c r="A4426" s="3" t="s">
        <v>12509</v>
      </c>
      <c r="B4426" s="110" t="s">
        <v>1333</v>
      </c>
      <c r="C4426" s="111" t="s">
        <v>268</v>
      </c>
      <c r="D4426" s="111" t="str">
        <f t="shared" ref="D4426:E4426" si="4424">TRIM(B4426)</f>
        <v>Illinois</v>
      </c>
      <c r="E4426" s="111" t="str">
        <f t="shared" si="4424"/>
        <v>Chicago</v>
      </c>
    </row>
    <row r="4427" spans="1:5">
      <c r="A4427" s="3" t="s">
        <v>12511</v>
      </c>
      <c r="B4427" s="110" t="s">
        <v>1333</v>
      </c>
      <c r="C4427" s="111" t="s">
        <v>268</v>
      </c>
      <c r="D4427" s="111" t="str">
        <f t="shared" ref="D4427:E4427" si="4425">TRIM(B4427)</f>
        <v>Illinois</v>
      </c>
      <c r="E4427" s="111" t="str">
        <f t="shared" si="4425"/>
        <v>Chicago</v>
      </c>
    </row>
    <row r="4428" spans="1:5">
      <c r="A4428" s="3" t="s">
        <v>5101</v>
      </c>
      <c r="B4428" s="110" t="s">
        <v>1333</v>
      </c>
      <c r="C4428" s="111" t="s">
        <v>268</v>
      </c>
      <c r="D4428" s="111" t="str">
        <f t="shared" ref="D4428:E4428" si="4426">TRIM(B4428)</f>
        <v>Illinois</v>
      </c>
      <c r="E4428" s="111" t="str">
        <f t="shared" si="4426"/>
        <v>Chicago</v>
      </c>
    </row>
    <row r="4429" spans="1:5">
      <c r="A4429" s="3" t="s">
        <v>12516</v>
      </c>
      <c r="B4429" s="110" t="s">
        <v>1333</v>
      </c>
      <c r="C4429" s="111" t="s">
        <v>268</v>
      </c>
      <c r="D4429" s="111" t="str">
        <f t="shared" ref="D4429:E4429" si="4427">TRIM(B4429)</f>
        <v>Illinois</v>
      </c>
      <c r="E4429" s="111" t="str">
        <f t="shared" si="4427"/>
        <v>Chicago</v>
      </c>
    </row>
    <row r="4430" spans="1:5">
      <c r="A4430" s="3" t="s">
        <v>12518</v>
      </c>
      <c r="B4430" s="110" t="s">
        <v>1333</v>
      </c>
      <c r="C4430" s="111" t="s">
        <v>268</v>
      </c>
      <c r="D4430" s="111" t="str">
        <f t="shared" ref="D4430:E4430" si="4428">TRIM(B4430)</f>
        <v>Illinois</v>
      </c>
      <c r="E4430" s="111" t="str">
        <f t="shared" si="4428"/>
        <v>Chicago</v>
      </c>
    </row>
    <row r="4431" spans="1:5">
      <c r="A4431" s="3" t="s">
        <v>12522</v>
      </c>
      <c r="B4431" s="110" t="s">
        <v>1333</v>
      </c>
      <c r="C4431" s="111" t="s">
        <v>268</v>
      </c>
      <c r="D4431" s="111" t="str">
        <f t="shared" ref="D4431:E4431" si="4429">TRIM(B4431)</f>
        <v>Illinois</v>
      </c>
      <c r="E4431" s="111" t="str">
        <f t="shared" si="4429"/>
        <v>Chicago</v>
      </c>
    </row>
    <row r="4432" spans="1:5">
      <c r="A4432" s="3" t="s">
        <v>12524</v>
      </c>
      <c r="B4432" s="110" t="s">
        <v>1333</v>
      </c>
      <c r="C4432" s="111" t="s">
        <v>268</v>
      </c>
      <c r="D4432" s="111" t="str">
        <f t="shared" ref="D4432:E4432" si="4430">TRIM(B4432)</f>
        <v>Illinois</v>
      </c>
      <c r="E4432" s="111" t="str">
        <f t="shared" si="4430"/>
        <v>Chicago</v>
      </c>
    </row>
    <row r="4433" spans="1:5">
      <c r="A4433" s="3" t="s">
        <v>12526</v>
      </c>
      <c r="B4433" s="110" t="s">
        <v>1333</v>
      </c>
      <c r="C4433" s="111" t="s">
        <v>268</v>
      </c>
      <c r="D4433" s="111" t="str">
        <f t="shared" ref="D4433:E4433" si="4431">TRIM(B4433)</f>
        <v>Illinois</v>
      </c>
      <c r="E4433" s="111" t="str">
        <f t="shared" si="4431"/>
        <v>Chicago</v>
      </c>
    </row>
    <row r="4434" spans="1:5">
      <c r="A4434" s="3" t="s">
        <v>12528</v>
      </c>
      <c r="B4434" s="110" t="s">
        <v>1333</v>
      </c>
      <c r="C4434" s="111" t="s">
        <v>268</v>
      </c>
      <c r="D4434" s="111" t="str">
        <f t="shared" ref="D4434:E4434" si="4432">TRIM(B4434)</f>
        <v>Illinois</v>
      </c>
      <c r="E4434" s="111" t="str">
        <f t="shared" si="4432"/>
        <v>Chicago</v>
      </c>
    </row>
    <row r="4435" spans="1:5">
      <c r="A4435" s="3" t="s">
        <v>12532</v>
      </c>
      <c r="B4435" s="110" t="s">
        <v>1333</v>
      </c>
      <c r="C4435" s="111" t="s">
        <v>268</v>
      </c>
      <c r="D4435" s="111" t="str">
        <f t="shared" ref="D4435:E4435" si="4433">TRIM(B4435)</f>
        <v>Illinois</v>
      </c>
      <c r="E4435" s="111" t="str">
        <f t="shared" si="4433"/>
        <v>Chicago</v>
      </c>
    </row>
    <row r="4436" spans="1:5">
      <c r="A4436" s="3" t="s">
        <v>12537</v>
      </c>
      <c r="B4436" s="110" t="s">
        <v>1333</v>
      </c>
      <c r="C4436" s="111" t="s">
        <v>268</v>
      </c>
      <c r="D4436" s="111" t="str">
        <f t="shared" ref="D4436:E4436" si="4434">TRIM(B4436)</f>
        <v>Illinois</v>
      </c>
      <c r="E4436" s="111" t="str">
        <f t="shared" si="4434"/>
        <v>Chicago</v>
      </c>
    </row>
    <row r="4437" spans="1:5">
      <c r="A4437" s="3" t="s">
        <v>12540</v>
      </c>
      <c r="B4437" s="110" t="s">
        <v>1333</v>
      </c>
      <c r="C4437" s="111" t="s">
        <v>268</v>
      </c>
      <c r="D4437" s="111" t="str">
        <f t="shared" ref="D4437:E4437" si="4435">TRIM(B4437)</f>
        <v>Illinois</v>
      </c>
      <c r="E4437" s="111" t="str">
        <f t="shared" si="4435"/>
        <v>Chicago</v>
      </c>
    </row>
    <row r="4438" spans="1:5">
      <c r="A4438" s="3" t="s">
        <v>12542</v>
      </c>
      <c r="B4438" s="110" t="s">
        <v>1333</v>
      </c>
      <c r="C4438" s="111" t="s">
        <v>268</v>
      </c>
      <c r="D4438" s="111" t="str">
        <f t="shared" ref="D4438:E4438" si="4436">TRIM(B4438)</f>
        <v>Illinois</v>
      </c>
      <c r="E4438" s="111" t="str">
        <f t="shared" si="4436"/>
        <v>Chicago</v>
      </c>
    </row>
    <row r="4439" spans="1:5">
      <c r="A4439" s="3" t="s">
        <v>12545</v>
      </c>
      <c r="B4439" s="110" t="s">
        <v>1333</v>
      </c>
      <c r="C4439" s="111" t="s">
        <v>268</v>
      </c>
      <c r="D4439" s="111" t="str">
        <f t="shared" ref="D4439:E4439" si="4437">TRIM(B4439)</f>
        <v>Illinois</v>
      </c>
      <c r="E4439" s="111" t="str">
        <f t="shared" si="4437"/>
        <v>Chicago</v>
      </c>
    </row>
    <row r="4440" spans="1:5">
      <c r="A4440" s="3" t="s">
        <v>12546</v>
      </c>
      <c r="B4440" s="110" t="s">
        <v>1333</v>
      </c>
      <c r="C4440" s="111" t="s">
        <v>268</v>
      </c>
      <c r="D4440" s="111" t="str">
        <f t="shared" ref="D4440:E4440" si="4438">TRIM(B4440)</f>
        <v>Illinois</v>
      </c>
      <c r="E4440" s="111" t="str">
        <f t="shared" si="4438"/>
        <v>Chicago</v>
      </c>
    </row>
    <row r="4441" spans="1:5">
      <c r="A4441" s="3" t="s">
        <v>12549</v>
      </c>
      <c r="B4441" s="110" t="s">
        <v>1333</v>
      </c>
      <c r="C4441" s="111" t="s">
        <v>268</v>
      </c>
      <c r="D4441" s="111" t="str">
        <f t="shared" ref="D4441:E4441" si="4439">TRIM(B4441)</f>
        <v>Illinois</v>
      </c>
      <c r="E4441" s="111" t="str">
        <f t="shared" si="4439"/>
        <v>Chicago</v>
      </c>
    </row>
    <row r="4442" spans="1:5">
      <c r="A4442" s="3" t="s">
        <v>12552</v>
      </c>
      <c r="B4442" s="110" t="s">
        <v>1333</v>
      </c>
      <c r="C4442" s="111" t="s">
        <v>268</v>
      </c>
      <c r="D4442" s="111" t="str">
        <f t="shared" ref="D4442:E4442" si="4440">TRIM(B4442)</f>
        <v>Illinois</v>
      </c>
      <c r="E4442" s="111" t="str">
        <f t="shared" si="4440"/>
        <v>Chicago</v>
      </c>
    </row>
    <row r="4443" spans="1:5">
      <c r="A4443" s="110" t="s">
        <v>12554</v>
      </c>
      <c r="B4443" s="110" t="s">
        <v>1333</v>
      </c>
      <c r="C4443" s="112" t="s">
        <v>268</v>
      </c>
      <c r="D4443" s="111" t="str">
        <f t="shared" ref="D4443:E4443" si="4441">TRIM(B4443)</f>
        <v>Illinois</v>
      </c>
      <c r="E4443" s="111" t="str">
        <f t="shared" si="4441"/>
        <v>Chicago</v>
      </c>
    </row>
    <row r="4444" spans="1:5">
      <c r="A4444" s="3" t="s">
        <v>12557</v>
      </c>
      <c r="B4444" s="110" t="s">
        <v>1333</v>
      </c>
      <c r="C4444" s="111" t="s">
        <v>268</v>
      </c>
      <c r="D4444" s="111" t="str">
        <f t="shared" ref="D4444:E4444" si="4442">TRIM(B4444)</f>
        <v>Illinois</v>
      </c>
      <c r="E4444" s="111" t="str">
        <f t="shared" si="4442"/>
        <v>Chicago</v>
      </c>
    </row>
    <row r="4445" spans="1:5">
      <c r="A4445" s="3" t="s">
        <v>12559</v>
      </c>
      <c r="B4445" s="110" t="s">
        <v>1333</v>
      </c>
      <c r="C4445" s="111" t="s">
        <v>268</v>
      </c>
      <c r="D4445" s="111" t="str">
        <f t="shared" ref="D4445:E4445" si="4443">TRIM(B4445)</f>
        <v>Illinois</v>
      </c>
      <c r="E4445" s="111" t="str">
        <f t="shared" si="4443"/>
        <v>Chicago</v>
      </c>
    </row>
    <row r="4446" spans="1:5">
      <c r="A4446" s="3" t="s">
        <v>12561</v>
      </c>
      <c r="B4446" s="110" t="s">
        <v>1333</v>
      </c>
      <c r="C4446" s="111" t="s">
        <v>268</v>
      </c>
      <c r="D4446" s="111" t="str">
        <f t="shared" ref="D4446:E4446" si="4444">TRIM(B4446)</f>
        <v>Illinois</v>
      </c>
      <c r="E4446" s="111" t="str">
        <f t="shared" si="4444"/>
        <v>Chicago</v>
      </c>
    </row>
    <row r="4447" spans="1:5">
      <c r="A4447" s="3" t="s">
        <v>12563</v>
      </c>
      <c r="B4447" s="110" t="s">
        <v>1333</v>
      </c>
      <c r="C4447" s="111" t="s">
        <v>268</v>
      </c>
      <c r="D4447" s="111" t="str">
        <f t="shared" ref="D4447:E4447" si="4445">TRIM(B4447)</f>
        <v>Illinois</v>
      </c>
      <c r="E4447" s="111" t="str">
        <f t="shared" si="4445"/>
        <v>Chicago</v>
      </c>
    </row>
    <row r="4448" spans="1:5">
      <c r="A4448" s="3" t="s">
        <v>12565</v>
      </c>
      <c r="B4448" s="110" t="s">
        <v>1333</v>
      </c>
      <c r="C4448" s="111" t="s">
        <v>268</v>
      </c>
      <c r="D4448" s="111" t="str">
        <f t="shared" ref="D4448:E4448" si="4446">TRIM(B4448)</f>
        <v>Illinois</v>
      </c>
      <c r="E4448" s="111" t="str">
        <f t="shared" si="4446"/>
        <v>Chicago</v>
      </c>
    </row>
    <row r="4449" spans="1:5">
      <c r="A4449" s="3" t="s">
        <v>12567</v>
      </c>
      <c r="B4449" s="110" t="s">
        <v>1333</v>
      </c>
      <c r="C4449" s="111" t="s">
        <v>268</v>
      </c>
      <c r="D4449" s="111" t="str">
        <f t="shared" ref="D4449:E4449" si="4447">TRIM(B4449)</f>
        <v>Illinois</v>
      </c>
      <c r="E4449" s="111" t="str">
        <f t="shared" si="4447"/>
        <v>Chicago</v>
      </c>
    </row>
    <row r="4450" spans="1:5">
      <c r="A4450" s="3" t="s">
        <v>12569</v>
      </c>
      <c r="B4450" s="110" t="s">
        <v>1333</v>
      </c>
      <c r="C4450" s="111" t="s">
        <v>268</v>
      </c>
      <c r="D4450" s="111" t="str">
        <f t="shared" ref="D4450:E4450" si="4448">TRIM(B4450)</f>
        <v>Illinois</v>
      </c>
      <c r="E4450" s="111" t="str">
        <f t="shared" si="4448"/>
        <v>Chicago</v>
      </c>
    </row>
    <row r="4451" spans="1:5">
      <c r="A4451" s="3" t="s">
        <v>12571</v>
      </c>
      <c r="B4451" s="110" t="s">
        <v>1333</v>
      </c>
      <c r="C4451" s="111" t="s">
        <v>268</v>
      </c>
      <c r="D4451" s="111" t="str">
        <f t="shared" ref="D4451:E4451" si="4449">TRIM(B4451)</f>
        <v>Illinois</v>
      </c>
      <c r="E4451" s="111" t="str">
        <f t="shared" si="4449"/>
        <v>Chicago</v>
      </c>
    </row>
    <row r="4452" spans="1:5">
      <c r="A4452" s="3" t="s">
        <v>12572</v>
      </c>
      <c r="B4452" s="110" t="s">
        <v>1333</v>
      </c>
      <c r="C4452" s="111" t="s">
        <v>268</v>
      </c>
      <c r="D4452" s="111" t="str">
        <f t="shared" ref="D4452:E4452" si="4450">TRIM(B4452)</f>
        <v>Illinois</v>
      </c>
      <c r="E4452" s="111" t="str">
        <f t="shared" si="4450"/>
        <v>Chicago</v>
      </c>
    </row>
    <row r="4453" spans="1:5">
      <c r="A4453" s="3" t="s">
        <v>12575</v>
      </c>
      <c r="B4453" s="110" t="s">
        <v>1333</v>
      </c>
      <c r="C4453" s="111" t="s">
        <v>268</v>
      </c>
      <c r="D4453" s="111" t="str">
        <f t="shared" ref="D4453:E4453" si="4451">TRIM(B4453)</f>
        <v>Illinois</v>
      </c>
      <c r="E4453" s="111" t="str">
        <f t="shared" si="4451"/>
        <v>Chicago</v>
      </c>
    </row>
    <row r="4454" spans="1:5">
      <c r="A4454" s="3" t="s">
        <v>12579</v>
      </c>
      <c r="B4454" s="110" t="s">
        <v>1333</v>
      </c>
      <c r="C4454" s="111" t="s">
        <v>268</v>
      </c>
      <c r="D4454" s="111" t="str">
        <f t="shared" ref="D4454:E4454" si="4452">TRIM(B4454)</f>
        <v>Illinois</v>
      </c>
      <c r="E4454" s="111" t="str">
        <f t="shared" si="4452"/>
        <v>Chicago</v>
      </c>
    </row>
    <row r="4455" spans="1:5">
      <c r="A4455" s="110" t="s">
        <v>12581</v>
      </c>
      <c r="B4455" s="110" t="s">
        <v>1333</v>
      </c>
      <c r="C4455" s="111" t="s">
        <v>268</v>
      </c>
      <c r="D4455" s="111" t="str">
        <f t="shared" ref="D4455:E4455" si="4453">TRIM(B4455)</f>
        <v>Illinois</v>
      </c>
      <c r="E4455" s="111" t="str">
        <f t="shared" si="4453"/>
        <v>Chicago</v>
      </c>
    </row>
    <row r="4456" spans="1:5">
      <c r="A4456" s="3" t="s">
        <v>12584</v>
      </c>
      <c r="B4456" s="110" t="s">
        <v>1333</v>
      </c>
      <c r="C4456" s="111" t="s">
        <v>268</v>
      </c>
      <c r="D4456" s="111" t="str">
        <f t="shared" ref="D4456:E4456" si="4454">TRIM(B4456)</f>
        <v>Illinois</v>
      </c>
      <c r="E4456" s="111" t="str">
        <f t="shared" si="4454"/>
        <v>Chicago</v>
      </c>
    </row>
    <row r="4457" spans="1:5">
      <c r="A4457" s="3" t="s">
        <v>12589</v>
      </c>
      <c r="B4457" s="110" t="s">
        <v>1333</v>
      </c>
      <c r="C4457" s="111" t="s">
        <v>268</v>
      </c>
      <c r="D4457" s="111" t="str">
        <f t="shared" ref="D4457:E4457" si="4455">TRIM(B4457)</f>
        <v>Illinois</v>
      </c>
      <c r="E4457" s="111" t="str">
        <f t="shared" si="4455"/>
        <v>Chicago</v>
      </c>
    </row>
    <row r="4458" spans="1:5">
      <c r="A4458" s="3" t="s">
        <v>12593</v>
      </c>
      <c r="B4458" s="110" t="s">
        <v>1333</v>
      </c>
      <c r="C4458" s="111" t="s">
        <v>268</v>
      </c>
      <c r="D4458" s="111" t="str">
        <f t="shared" ref="D4458:E4458" si="4456">TRIM(B4458)</f>
        <v>Illinois</v>
      </c>
      <c r="E4458" s="111" t="str">
        <f t="shared" si="4456"/>
        <v>Chicago</v>
      </c>
    </row>
    <row r="4459" spans="1:5">
      <c r="A4459" s="3" t="s">
        <v>12595</v>
      </c>
      <c r="B4459" s="110" t="s">
        <v>1333</v>
      </c>
      <c r="C4459" s="111" t="s">
        <v>268</v>
      </c>
      <c r="D4459" s="111" t="str">
        <f t="shared" ref="D4459:E4459" si="4457">TRIM(B4459)</f>
        <v>Illinois</v>
      </c>
      <c r="E4459" s="111" t="str">
        <f t="shared" si="4457"/>
        <v>Chicago</v>
      </c>
    </row>
    <row r="4460" spans="1:5">
      <c r="A4460" s="110" t="s">
        <v>12597</v>
      </c>
      <c r="B4460" s="110" t="s">
        <v>1333</v>
      </c>
      <c r="C4460" s="111" t="s">
        <v>268</v>
      </c>
      <c r="D4460" s="111" t="str">
        <f t="shared" ref="D4460:E4460" si="4458">TRIM(B4460)</f>
        <v>Illinois</v>
      </c>
      <c r="E4460" s="111" t="str">
        <f t="shared" si="4458"/>
        <v>Chicago</v>
      </c>
    </row>
    <row r="4461" spans="1:5">
      <c r="A4461" s="3" t="s">
        <v>12600</v>
      </c>
      <c r="B4461" s="110" t="s">
        <v>1333</v>
      </c>
      <c r="C4461" s="111" t="s">
        <v>268</v>
      </c>
      <c r="D4461" s="111" t="str">
        <f t="shared" ref="D4461:E4461" si="4459">TRIM(B4461)</f>
        <v>Illinois</v>
      </c>
      <c r="E4461" s="111" t="str">
        <f t="shared" si="4459"/>
        <v>Chicago</v>
      </c>
    </row>
    <row r="4462" spans="1:5">
      <c r="A4462" s="110" t="s">
        <v>12602</v>
      </c>
      <c r="B4462" s="110" t="s">
        <v>1333</v>
      </c>
      <c r="C4462" s="111" t="s">
        <v>268</v>
      </c>
      <c r="D4462" s="111" t="str">
        <f t="shared" ref="D4462:E4462" si="4460">TRIM(B4462)</f>
        <v>Illinois</v>
      </c>
      <c r="E4462" s="111" t="str">
        <f t="shared" si="4460"/>
        <v>Chicago</v>
      </c>
    </row>
    <row r="4463" spans="1:5">
      <c r="A4463" s="3" t="s">
        <v>12604</v>
      </c>
      <c r="B4463" s="110" t="s">
        <v>1333</v>
      </c>
      <c r="C4463" s="111" t="s">
        <v>268</v>
      </c>
      <c r="D4463" s="111" t="str">
        <f t="shared" ref="D4463:E4463" si="4461">TRIM(B4463)</f>
        <v>Illinois</v>
      </c>
      <c r="E4463" s="111" t="str">
        <f t="shared" si="4461"/>
        <v>Chicago</v>
      </c>
    </row>
    <row r="4464" spans="1:5">
      <c r="A4464" s="3" t="s">
        <v>12606</v>
      </c>
      <c r="B4464" s="110" t="s">
        <v>1333</v>
      </c>
      <c r="C4464" s="111" t="s">
        <v>268</v>
      </c>
      <c r="D4464" s="111" t="str">
        <f t="shared" ref="D4464:E4464" si="4462">TRIM(B4464)</f>
        <v>Illinois</v>
      </c>
      <c r="E4464" s="111" t="str">
        <f t="shared" si="4462"/>
        <v>Chicago</v>
      </c>
    </row>
    <row r="4465" spans="1:5">
      <c r="A4465" s="3" t="s">
        <v>12608</v>
      </c>
      <c r="B4465" s="110" t="s">
        <v>1333</v>
      </c>
      <c r="C4465" s="111" t="s">
        <v>268</v>
      </c>
      <c r="D4465" s="111" t="str">
        <f t="shared" ref="D4465:E4465" si="4463">TRIM(B4465)</f>
        <v>Illinois</v>
      </c>
      <c r="E4465" s="111" t="str">
        <f t="shared" si="4463"/>
        <v>Chicago</v>
      </c>
    </row>
    <row r="4466" spans="1:5">
      <c r="A4466" s="3" t="s">
        <v>12611</v>
      </c>
      <c r="B4466" s="110" t="s">
        <v>1333</v>
      </c>
      <c r="C4466" s="111" t="s">
        <v>268</v>
      </c>
      <c r="D4466" s="111" t="str">
        <f t="shared" ref="D4466:E4466" si="4464">TRIM(B4466)</f>
        <v>Illinois</v>
      </c>
      <c r="E4466" s="111" t="str">
        <f t="shared" si="4464"/>
        <v>Chicago</v>
      </c>
    </row>
    <row r="4467" spans="1:5">
      <c r="A4467" s="3" t="s">
        <v>12613</v>
      </c>
      <c r="B4467" s="110" t="s">
        <v>1333</v>
      </c>
      <c r="C4467" s="111" t="s">
        <v>268</v>
      </c>
      <c r="D4467" s="111" t="str">
        <f t="shared" ref="D4467:E4467" si="4465">TRIM(B4467)</f>
        <v>Illinois</v>
      </c>
      <c r="E4467" s="111" t="str">
        <f t="shared" si="4465"/>
        <v>Chicago</v>
      </c>
    </row>
    <row r="4468" spans="1:5">
      <c r="A4468" s="3" t="s">
        <v>12614</v>
      </c>
      <c r="B4468" s="110" t="s">
        <v>1333</v>
      </c>
      <c r="C4468" s="111" t="s">
        <v>268</v>
      </c>
      <c r="D4468" s="111" t="str">
        <f t="shared" ref="D4468:E4468" si="4466">TRIM(B4468)</f>
        <v>Illinois</v>
      </c>
      <c r="E4468" s="111" t="str">
        <f t="shared" si="4466"/>
        <v>Chicago</v>
      </c>
    </row>
    <row r="4469" spans="1:5">
      <c r="A4469" s="110" t="s">
        <v>12616</v>
      </c>
      <c r="B4469" s="110" t="s">
        <v>1333</v>
      </c>
      <c r="C4469" s="111" t="s">
        <v>268</v>
      </c>
      <c r="D4469" s="111" t="str">
        <f t="shared" ref="D4469:E4469" si="4467">TRIM(B4469)</f>
        <v>Illinois</v>
      </c>
      <c r="E4469" s="111" t="str">
        <f t="shared" si="4467"/>
        <v>Chicago</v>
      </c>
    </row>
    <row r="4470" spans="1:5">
      <c r="A4470" s="3" t="s">
        <v>12618</v>
      </c>
      <c r="B4470" s="110" t="s">
        <v>1333</v>
      </c>
      <c r="C4470" s="111" t="s">
        <v>268</v>
      </c>
      <c r="D4470" s="111" t="str">
        <f t="shared" ref="D4470:E4470" si="4468">TRIM(B4470)</f>
        <v>Illinois</v>
      </c>
      <c r="E4470" s="111" t="str">
        <f t="shared" si="4468"/>
        <v>Chicago</v>
      </c>
    </row>
    <row r="4471" spans="1:5">
      <c r="A4471" s="3" t="s">
        <v>12621</v>
      </c>
      <c r="B4471" s="110" t="s">
        <v>1333</v>
      </c>
      <c r="C4471" s="111" t="s">
        <v>268</v>
      </c>
      <c r="D4471" s="111" t="str">
        <f t="shared" ref="D4471:E4471" si="4469">TRIM(B4471)</f>
        <v>Illinois</v>
      </c>
      <c r="E4471" s="111" t="str">
        <f t="shared" si="4469"/>
        <v>Chicago</v>
      </c>
    </row>
    <row r="4472" spans="1:5">
      <c r="A4472" s="3" t="s">
        <v>12624</v>
      </c>
      <c r="B4472" s="110" t="s">
        <v>1333</v>
      </c>
      <c r="C4472" s="111" t="s">
        <v>1086</v>
      </c>
      <c r="D4472" s="111" t="str">
        <f t="shared" ref="D4472:E4472" si="4470">TRIM(B4472)</f>
        <v>Illinois</v>
      </c>
      <c r="E4472" s="111" t="str">
        <f t="shared" si="4470"/>
        <v>Chicago Heights</v>
      </c>
    </row>
    <row r="4473" spans="1:5">
      <c r="A4473" s="3" t="s">
        <v>12627</v>
      </c>
      <c r="B4473" s="110" t="s">
        <v>1333</v>
      </c>
      <c r="C4473" s="111" t="s">
        <v>1086</v>
      </c>
      <c r="D4473" s="111" t="str">
        <f t="shared" ref="D4473:E4473" si="4471">TRIM(B4473)</f>
        <v>Illinois</v>
      </c>
      <c r="E4473" s="111" t="str">
        <f t="shared" si="4471"/>
        <v>Chicago Heights</v>
      </c>
    </row>
    <row r="4474" spans="1:5">
      <c r="A4474" s="3" t="s">
        <v>12630</v>
      </c>
      <c r="B4474" s="110" t="s">
        <v>1333</v>
      </c>
      <c r="C4474" s="111" t="s">
        <v>1086</v>
      </c>
      <c r="D4474" s="111" t="str">
        <f t="shared" ref="D4474:E4474" si="4472">TRIM(B4474)</f>
        <v>Illinois</v>
      </c>
      <c r="E4474" s="111" t="str">
        <f t="shared" si="4472"/>
        <v>Chicago Heights</v>
      </c>
    </row>
    <row r="4475" spans="1:5">
      <c r="A4475" s="3" t="s">
        <v>12635</v>
      </c>
      <c r="B4475" s="110" t="s">
        <v>1333</v>
      </c>
      <c r="C4475" s="111" t="s">
        <v>1178</v>
      </c>
      <c r="D4475" s="111" t="str">
        <f t="shared" ref="D4475:E4475" si="4473">TRIM(B4475)</f>
        <v>Illinois</v>
      </c>
      <c r="E4475" s="111" t="str">
        <f t="shared" si="4473"/>
        <v>Chillicothe</v>
      </c>
    </row>
    <row r="4476" spans="1:5">
      <c r="A4476" s="110" t="s">
        <v>12636</v>
      </c>
      <c r="B4476" s="110" t="s">
        <v>1333</v>
      </c>
      <c r="C4476" s="111" t="s">
        <v>1178</v>
      </c>
      <c r="D4476" s="111" t="str">
        <f t="shared" ref="D4476:E4476" si="4474">TRIM(B4476)</f>
        <v>Illinois</v>
      </c>
      <c r="E4476" s="111" t="str">
        <f t="shared" si="4474"/>
        <v>Chillicothe</v>
      </c>
    </row>
    <row r="4477" spans="1:5">
      <c r="A4477" s="3" t="s">
        <v>12638</v>
      </c>
      <c r="B4477" s="110" t="s">
        <v>1333</v>
      </c>
      <c r="C4477" s="111" t="s">
        <v>12639</v>
      </c>
      <c r="D4477" s="111" t="str">
        <f t="shared" ref="D4477:E4477" si="4475">TRIM(B4477)</f>
        <v>Illinois</v>
      </c>
      <c r="E4477" s="111" t="str">
        <f t="shared" si="4475"/>
        <v>Chrisman</v>
      </c>
    </row>
    <row r="4478" spans="1:5">
      <c r="A4478" s="3" t="s">
        <v>5146</v>
      </c>
      <c r="B4478" s="110" t="s">
        <v>1333</v>
      </c>
      <c r="C4478" s="111" t="s">
        <v>12642</v>
      </c>
      <c r="D4478" s="111" t="str">
        <f t="shared" ref="D4478:E4478" si="4476">TRIM(B4478)</f>
        <v>Illinois</v>
      </c>
      <c r="E4478" s="111" t="str">
        <f t="shared" si="4476"/>
        <v>Christopher</v>
      </c>
    </row>
    <row r="4479" spans="1:5">
      <c r="A4479" s="110" t="s">
        <v>12651</v>
      </c>
      <c r="B4479" s="110" t="s">
        <v>1333</v>
      </c>
      <c r="C4479" s="111" t="s">
        <v>10691</v>
      </c>
      <c r="D4479" s="111" t="str">
        <f t="shared" ref="D4479:E4479" si="4477">TRIM(B4479)</f>
        <v>Illinois</v>
      </c>
      <c r="E4479" s="111" t="str">
        <f t="shared" si="4477"/>
        <v>Cicero</v>
      </c>
    </row>
    <row r="4480" spans="1:5">
      <c r="A4480" s="3" t="s">
        <v>12655</v>
      </c>
      <c r="B4480" s="110" t="s">
        <v>1333</v>
      </c>
      <c r="C4480" s="111" t="s">
        <v>10691</v>
      </c>
      <c r="D4480" s="111" t="str">
        <f t="shared" ref="D4480:E4480" si="4478">TRIM(B4480)</f>
        <v>Illinois</v>
      </c>
      <c r="E4480" s="111" t="str">
        <f t="shared" si="4478"/>
        <v>Cicero</v>
      </c>
    </row>
    <row r="4481" spans="1:5">
      <c r="A4481" s="3" t="s">
        <v>12659</v>
      </c>
      <c r="B4481" s="110" t="s">
        <v>1333</v>
      </c>
      <c r="C4481" s="111" t="s">
        <v>12660</v>
      </c>
      <c r="D4481" s="111" t="str">
        <f t="shared" ref="D4481:E4481" si="4479">TRIM(B4481)</f>
        <v>Illinois</v>
      </c>
      <c r="E4481" s="111" t="str">
        <f t="shared" si="4479"/>
        <v>Cisne</v>
      </c>
    </row>
    <row r="4482" spans="1:5">
      <c r="A4482" s="3" t="s">
        <v>12663</v>
      </c>
      <c r="B4482" s="110" t="s">
        <v>1333</v>
      </c>
      <c r="C4482" s="111" t="s">
        <v>12664</v>
      </c>
      <c r="D4482" s="111" t="str">
        <f t="shared" ref="D4482:E4482" si="4480">TRIM(B4482)</f>
        <v>Illinois</v>
      </c>
      <c r="E4482" s="111" t="str">
        <f t="shared" si="4480"/>
        <v>Cissna Park</v>
      </c>
    </row>
    <row r="4483" spans="1:5">
      <c r="A4483" s="3" t="s">
        <v>1843</v>
      </c>
      <c r="B4483" s="110" t="s">
        <v>1333</v>
      </c>
      <c r="C4483" s="111" t="s">
        <v>12666</v>
      </c>
      <c r="D4483" s="111" t="str">
        <f t="shared" ref="D4483:E4483" si="4481">TRIM(B4483)</f>
        <v>Illinois</v>
      </c>
      <c r="E4483" s="111" t="str">
        <f t="shared" si="4481"/>
        <v>Clifton</v>
      </c>
    </row>
    <row r="4484" spans="1:5">
      <c r="A4484" s="3" t="s">
        <v>3695</v>
      </c>
      <c r="B4484" s="110" t="s">
        <v>1333</v>
      </c>
      <c r="C4484" s="111" t="s">
        <v>3697</v>
      </c>
      <c r="D4484" s="111" t="str">
        <f t="shared" ref="D4484:E4484" si="4482">TRIM(B4484)</f>
        <v>Illinois</v>
      </c>
      <c r="E4484" s="111" t="str">
        <f t="shared" si="4482"/>
        <v>Clinton</v>
      </c>
    </row>
    <row r="4485" spans="1:5">
      <c r="A4485" s="3" t="s">
        <v>12688</v>
      </c>
      <c r="B4485" s="110" t="s">
        <v>1333</v>
      </c>
      <c r="C4485" s="112" t="s">
        <v>12689</v>
      </c>
      <c r="D4485" s="111" t="str">
        <f t="shared" ref="D4485:E4485" si="4483">TRIM(B4485)</f>
        <v>Illinois</v>
      </c>
      <c r="E4485" s="111" t="str">
        <f t="shared" si="4483"/>
        <v>Coal City</v>
      </c>
    </row>
    <row r="4486" spans="1:5">
      <c r="A4486" s="3" t="s">
        <v>12692</v>
      </c>
      <c r="B4486" s="110" t="s">
        <v>1333</v>
      </c>
      <c r="C4486" s="111" t="s">
        <v>12693</v>
      </c>
      <c r="D4486" s="111" t="str">
        <f t="shared" ref="D4486:E4486" si="4484">TRIM(B4486)</f>
        <v>Illinois</v>
      </c>
      <c r="E4486" s="111" t="str">
        <f t="shared" si="4484"/>
        <v>Cobden</v>
      </c>
    </row>
    <row r="4487" spans="1:5">
      <c r="A4487" s="3" t="s">
        <v>4436</v>
      </c>
      <c r="B4487" s="110" t="s">
        <v>1333</v>
      </c>
      <c r="C4487" s="111" t="s">
        <v>4718</v>
      </c>
      <c r="D4487" s="111" t="str">
        <f t="shared" ref="D4487:E4487" si="4485">TRIM(B4487)</f>
        <v>Illinois</v>
      </c>
      <c r="E4487" s="111" t="str">
        <f t="shared" si="4485"/>
        <v>Colfax</v>
      </c>
    </row>
    <row r="4488" spans="1:5">
      <c r="A4488" s="3" t="s">
        <v>12696</v>
      </c>
      <c r="B4488" s="110" t="s">
        <v>1333</v>
      </c>
      <c r="C4488" s="111" t="s">
        <v>801</v>
      </c>
      <c r="D4488" s="111" t="str">
        <f t="shared" ref="D4488:E4488" si="4486">TRIM(B4488)</f>
        <v>Illinois</v>
      </c>
      <c r="E4488" s="111" t="str">
        <f t="shared" si="4486"/>
        <v>Collinsville</v>
      </c>
    </row>
    <row r="4489" spans="1:5">
      <c r="A4489" s="3" t="s">
        <v>1870</v>
      </c>
      <c r="B4489" s="110" t="s">
        <v>1333</v>
      </c>
      <c r="C4489" s="111" t="s">
        <v>356</v>
      </c>
      <c r="D4489" s="111" t="str">
        <f t="shared" ref="D4489:E4489" si="4487">TRIM(B4489)</f>
        <v>Illinois</v>
      </c>
      <c r="E4489" s="111" t="str">
        <f t="shared" si="4487"/>
        <v>Columbia</v>
      </c>
    </row>
    <row r="4490" spans="1:5">
      <c r="A4490" s="3" t="s">
        <v>12700</v>
      </c>
      <c r="B4490" s="110" t="s">
        <v>1333</v>
      </c>
      <c r="C4490" s="111" t="s">
        <v>286</v>
      </c>
      <c r="D4490" s="111" t="str">
        <f t="shared" ref="D4490:E4490" si="4488">TRIM(B4490)</f>
        <v>Illinois</v>
      </c>
      <c r="E4490" s="111" t="str">
        <f t="shared" si="4488"/>
        <v>Concord</v>
      </c>
    </row>
    <row r="4491" spans="1:5">
      <c r="A4491" s="3" t="s">
        <v>4768</v>
      </c>
      <c r="B4491" s="110" t="s">
        <v>1333</v>
      </c>
      <c r="C4491" s="111" t="s">
        <v>4769</v>
      </c>
      <c r="D4491" s="111" t="str">
        <f t="shared" ref="D4491:E4491" si="4489">TRIM(B4491)</f>
        <v>Illinois</v>
      </c>
      <c r="E4491" s="111" t="str">
        <f t="shared" si="4489"/>
        <v>Coulterville</v>
      </c>
    </row>
    <row r="4492" spans="1:5">
      <c r="A4492" s="3" t="s">
        <v>1736</v>
      </c>
      <c r="B4492" s="110" t="s">
        <v>1333</v>
      </c>
      <c r="C4492" s="111" t="s">
        <v>12704</v>
      </c>
      <c r="D4492" s="111" t="str">
        <f t="shared" ref="D4492:E4492" si="4490">TRIM(B4492)</f>
        <v>Illinois</v>
      </c>
      <c r="E4492" s="111" t="str">
        <f t="shared" si="4490"/>
        <v>Country Club Hill</v>
      </c>
    </row>
    <row r="4493" spans="1:5">
      <c r="A4493" s="3" t="s">
        <v>12707</v>
      </c>
      <c r="B4493" s="110" t="s">
        <v>1333</v>
      </c>
      <c r="C4493" s="111" t="s">
        <v>12709</v>
      </c>
      <c r="D4493" s="111" t="str">
        <f t="shared" ref="D4493:E4493" si="4491">TRIM(B4493)</f>
        <v>Illinois</v>
      </c>
      <c r="E4493" s="111" t="str">
        <f t="shared" si="4491"/>
        <v>Cowden</v>
      </c>
    </row>
    <row r="4494" spans="1:5">
      <c r="A4494" s="3" t="s">
        <v>12711</v>
      </c>
      <c r="B4494" s="110" t="s">
        <v>1333</v>
      </c>
      <c r="C4494" s="111" t="s">
        <v>12712</v>
      </c>
      <c r="D4494" s="111" t="str">
        <f t="shared" ref="D4494:E4494" si="4492">TRIM(B4494)</f>
        <v>Illinois</v>
      </c>
      <c r="E4494" s="111" t="str">
        <f t="shared" si="4492"/>
        <v>Crete</v>
      </c>
    </row>
    <row r="4495" spans="1:5">
      <c r="A4495" s="3" t="s">
        <v>12714</v>
      </c>
      <c r="B4495" s="110" t="s">
        <v>1333</v>
      </c>
      <c r="C4495" s="111" t="s">
        <v>12715</v>
      </c>
      <c r="D4495" s="111" t="str">
        <f t="shared" ref="D4495:E4495" si="4493">TRIM(B4495)</f>
        <v>Illinois</v>
      </c>
      <c r="E4495" s="111" t="str">
        <f t="shared" si="4493"/>
        <v>Crystal Lake</v>
      </c>
    </row>
    <row r="4496" spans="1:5">
      <c r="A4496" s="3" t="s">
        <v>12718</v>
      </c>
      <c r="B4496" s="110" t="s">
        <v>1333</v>
      </c>
      <c r="C4496" s="111" t="s">
        <v>12715</v>
      </c>
      <c r="D4496" s="111" t="str">
        <f t="shared" ref="D4496:E4496" si="4494">TRIM(B4496)</f>
        <v>Illinois</v>
      </c>
      <c r="E4496" s="111" t="str">
        <f t="shared" si="4494"/>
        <v>Crystal Lake</v>
      </c>
    </row>
    <row r="4497" spans="1:5">
      <c r="A4497" s="3" t="s">
        <v>12720</v>
      </c>
      <c r="B4497" s="110" t="s">
        <v>1333</v>
      </c>
      <c r="C4497" s="111" t="s">
        <v>12715</v>
      </c>
      <c r="D4497" s="111" t="str">
        <f t="shared" ref="D4497:E4497" si="4495">TRIM(B4497)</f>
        <v>Illinois</v>
      </c>
      <c r="E4497" s="111" t="str">
        <f t="shared" si="4495"/>
        <v>Crystal Lake</v>
      </c>
    </row>
    <row r="4498" spans="1:5">
      <c r="A4498" s="3" t="s">
        <v>12726</v>
      </c>
      <c r="B4498" s="110" t="s">
        <v>1333</v>
      </c>
      <c r="C4498" s="111" t="s">
        <v>12727</v>
      </c>
      <c r="D4498" s="111" t="str">
        <f t="shared" ref="D4498:E4498" si="4496">TRIM(B4498)</f>
        <v>Illinois</v>
      </c>
      <c r="E4498" s="111" t="str">
        <f t="shared" si="4496"/>
        <v>Cuba</v>
      </c>
    </row>
    <row r="4499" spans="1:5">
      <c r="A4499" s="3" t="s">
        <v>12729</v>
      </c>
      <c r="B4499" s="110" t="s">
        <v>1333</v>
      </c>
      <c r="C4499" s="111" t="s">
        <v>12730</v>
      </c>
      <c r="D4499" s="111" t="str">
        <f t="shared" ref="D4499:E4499" si="4497">TRIM(B4499)</f>
        <v>Illinois</v>
      </c>
      <c r="E4499" s="111" t="str">
        <f t="shared" si="4497"/>
        <v>Cullom</v>
      </c>
    </row>
    <row r="4500" spans="1:5">
      <c r="A4500" s="3" t="s">
        <v>12732</v>
      </c>
      <c r="B4500" s="110" t="s">
        <v>1333</v>
      </c>
      <c r="C4500" s="111" t="s">
        <v>12733</v>
      </c>
      <c r="D4500" s="111" t="str">
        <f t="shared" ref="D4500:E4500" si="4498">TRIM(B4500)</f>
        <v>Illinois</v>
      </c>
      <c r="E4500" s="111" t="str">
        <f t="shared" si="4498"/>
        <v>Dakota</v>
      </c>
    </row>
    <row r="4501" spans="1:5">
      <c r="A4501" s="3" t="s">
        <v>1676</v>
      </c>
      <c r="B4501" s="110" t="s">
        <v>1333</v>
      </c>
      <c r="C4501" s="111" t="s">
        <v>529</v>
      </c>
      <c r="D4501" s="111" t="str">
        <f t="shared" ref="D4501:E4501" si="4499">TRIM(B4501)</f>
        <v>Illinois</v>
      </c>
      <c r="E4501" s="111" t="str">
        <f t="shared" si="4499"/>
        <v>Danville</v>
      </c>
    </row>
    <row r="4502" spans="1:5">
      <c r="A4502" s="3" t="s">
        <v>12735</v>
      </c>
      <c r="B4502" s="110" t="s">
        <v>1333</v>
      </c>
      <c r="C4502" s="111" t="s">
        <v>529</v>
      </c>
      <c r="D4502" s="111" t="str">
        <f t="shared" ref="D4502:E4502" si="4500">TRIM(B4502)</f>
        <v>Illinois</v>
      </c>
      <c r="E4502" s="111" t="str">
        <f t="shared" si="4500"/>
        <v>Danville</v>
      </c>
    </row>
    <row r="4503" spans="1:5">
      <c r="A4503" s="3" t="s">
        <v>12739</v>
      </c>
      <c r="B4503" s="110" t="s">
        <v>1333</v>
      </c>
      <c r="C4503" s="111" t="s">
        <v>8410</v>
      </c>
      <c r="D4503" s="111" t="str">
        <f t="shared" ref="D4503:E4503" si="4501">TRIM(B4503)</f>
        <v>Illinois</v>
      </c>
      <c r="E4503" s="111" t="str">
        <f t="shared" si="4501"/>
        <v>Darien</v>
      </c>
    </row>
    <row r="4504" spans="1:5">
      <c r="A4504" s="3" t="s">
        <v>12742</v>
      </c>
      <c r="B4504" s="110" t="s">
        <v>1333</v>
      </c>
      <c r="C4504" s="111" t="s">
        <v>12744</v>
      </c>
      <c r="D4504" s="111" t="str">
        <f t="shared" ref="D4504:E4504" si="4502">TRIM(B4504)</f>
        <v>Illinois</v>
      </c>
      <c r="E4504" s="111" t="str">
        <f t="shared" si="4502"/>
        <v>De Land</v>
      </c>
    </row>
    <row r="4505" spans="1:5">
      <c r="A4505" s="3" t="s">
        <v>12745</v>
      </c>
      <c r="B4505" s="110" t="s">
        <v>1333</v>
      </c>
      <c r="C4505" s="111" t="s">
        <v>1686</v>
      </c>
      <c r="D4505" s="111" t="str">
        <f t="shared" ref="D4505:E4505" si="4503">TRIM(B4505)</f>
        <v>Illinois</v>
      </c>
      <c r="E4505" s="111" t="str">
        <f t="shared" si="4503"/>
        <v>Decatur</v>
      </c>
    </row>
    <row r="4506" spans="1:5">
      <c r="A4506" s="3" t="s">
        <v>12746</v>
      </c>
      <c r="B4506" s="110" t="s">
        <v>1333</v>
      </c>
      <c r="C4506" s="111" t="s">
        <v>1686</v>
      </c>
      <c r="D4506" s="111" t="str">
        <f t="shared" ref="D4506:E4506" si="4504">TRIM(B4506)</f>
        <v>Illinois</v>
      </c>
      <c r="E4506" s="111" t="str">
        <f t="shared" si="4504"/>
        <v>Decatur</v>
      </c>
    </row>
    <row r="4507" spans="1:5">
      <c r="A4507" s="3" t="s">
        <v>12748</v>
      </c>
      <c r="B4507" s="110" t="s">
        <v>1333</v>
      </c>
      <c r="C4507" s="111" t="s">
        <v>12749</v>
      </c>
      <c r="D4507" s="111" t="str">
        <f t="shared" ref="D4507:E4507" si="4505">TRIM(B4507)</f>
        <v>Illinois</v>
      </c>
      <c r="E4507" s="111" t="str">
        <f t="shared" si="4505"/>
        <v>Deerfield</v>
      </c>
    </row>
    <row r="4508" spans="1:5">
      <c r="A4508" s="3" t="s">
        <v>12751</v>
      </c>
      <c r="B4508" s="110" t="s">
        <v>1333</v>
      </c>
      <c r="C4508" s="111" t="s">
        <v>12753</v>
      </c>
      <c r="D4508" s="111" t="str">
        <f t="shared" ref="D4508:E4508" si="4506">TRIM(B4508)</f>
        <v>Illinois</v>
      </c>
      <c r="E4508" s="111" t="str">
        <f t="shared" si="4506"/>
        <v>Dekalb</v>
      </c>
    </row>
    <row r="4509" spans="1:5">
      <c r="A4509" s="3" t="s">
        <v>12754</v>
      </c>
      <c r="B4509" s="110" t="s">
        <v>1333</v>
      </c>
      <c r="C4509" s="111" t="s">
        <v>12755</v>
      </c>
      <c r="D4509" s="111" t="str">
        <f t="shared" ref="D4509:E4509" si="4507">TRIM(B4509)</f>
        <v>Illinois</v>
      </c>
      <c r="E4509" s="111" t="str">
        <f t="shared" si="4507"/>
        <v>Delavan</v>
      </c>
    </row>
    <row r="4510" spans="1:5">
      <c r="A4510" s="3" t="s">
        <v>12758</v>
      </c>
      <c r="B4510" s="110" t="s">
        <v>1333</v>
      </c>
      <c r="C4510" s="111" t="s">
        <v>12759</v>
      </c>
      <c r="D4510" s="111" t="str">
        <f t="shared" ref="D4510:E4510" si="4508">TRIM(B4510)</f>
        <v>Illinois</v>
      </c>
      <c r="E4510" s="111" t="str">
        <f t="shared" si="4508"/>
        <v>Depue</v>
      </c>
    </row>
    <row r="4511" spans="1:5">
      <c r="A4511" s="3" t="s">
        <v>12762</v>
      </c>
      <c r="B4511" s="110" t="s">
        <v>1333</v>
      </c>
      <c r="C4511" s="111" t="s">
        <v>10652</v>
      </c>
      <c r="D4511" s="111" t="str">
        <f t="shared" ref="D4511:E4511" si="4509">TRIM(B4511)</f>
        <v>Illinois</v>
      </c>
      <c r="E4511" s="111" t="str">
        <f t="shared" si="4509"/>
        <v>Des Plaines</v>
      </c>
    </row>
    <row r="4512" spans="1:5">
      <c r="A4512" s="3" t="s">
        <v>12766</v>
      </c>
      <c r="B4512" s="110" t="s">
        <v>1333</v>
      </c>
      <c r="C4512" s="111" t="s">
        <v>12768</v>
      </c>
      <c r="D4512" s="111" t="str">
        <f t="shared" ref="D4512:E4512" si="4510">TRIM(B4512)</f>
        <v>Illinois</v>
      </c>
      <c r="E4512" s="111" t="str">
        <f t="shared" si="4510"/>
        <v>Dieterich</v>
      </c>
    </row>
    <row r="4513" spans="1:5">
      <c r="A4513" s="3" t="s">
        <v>4840</v>
      </c>
      <c r="B4513" s="110" t="s">
        <v>1333</v>
      </c>
      <c r="C4513" s="111" t="s">
        <v>4841</v>
      </c>
      <c r="D4513" s="111" t="str">
        <f t="shared" ref="D4513:E4513" si="4511">TRIM(B4513)</f>
        <v>Illinois</v>
      </c>
      <c r="E4513" s="111" t="str">
        <f t="shared" si="4511"/>
        <v>Dixon</v>
      </c>
    </row>
    <row r="4514" spans="1:5">
      <c r="A4514" s="110" t="s">
        <v>12771</v>
      </c>
      <c r="B4514" s="110" t="s">
        <v>1333</v>
      </c>
      <c r="C4514" s="111" t="s">
        <v>12772</v>
      </c>
      <c r="D4514" s="111" t="str">
        <f t="shared" ref="D4514:E4514" si="4512">TRIM(B4514)</f>
        <v>Illinois</v>
      </c>
      <c r="E4514" s="111" t="str">
        <f t="shared" si="4512"/>
        <v>Dolton</v>
      </c>
    </row>
    <row r="4515" spans="1:5">
      <c r="A4515" s="3" t="s">
        <v>12773</v>
      </c>
      <c r="B4515" s="110" t="s">
        <v>1333</v>
      </c>
      <c r="C4515" s="111" t="s">
        <v>12772</v>
      </c>
      <c r="D4515" s="111" t="str">
        <f t="shared" ref="D4515:E4515" si="4513">TRIM(B4515)</f>
        <v>Illinois</v>
      </c>
      <c r="E4515" s="111" t="str">
        <f t="shared" si="4513"/>
        <v>Dolton</v>
      </c>
    </row>
    <row r="4516" spans="1:5">
      <c r="A4516" s="3" t="s">
        <v>12775</v>
      </c>
      <c r="B4516" s="110" t="s">
        <v>1333</v>
      </c>
      <c r="C4516" s="111" t="s">
        <v>12776</v>
      </c>
      <c r="D4516" s="111" t="str">
        <f t="shared" ref="D4516:E4516" si="4514">TRIM(B4516)</f>
        <v>Illinois</v>
      </c>
      <c r="E4516" s="111" t="str">
        <f t="shared" si="4514"/>
        <v>Dongola</v>
      </c>
    </row>
    <row r="4517" spans="1:5">
      <c r="A4517" s="3" t="s">
        <v>12779</v>
      </c>
      <c r="B4517" s="110" t="s">
        <v>1333</v>
      </c>
      <c r="C4517" s="111" t="s">
        <v>12780</v>
      </c>
      <c r="D4517" s="111" t="str">
        <f t="shared" ref="D4517:E4517" si="4515">TRIM(B4517)</f>
        <v>Illinois</v>
      </c>
      <c r="E4517" s="111" t="str">
        <f t="shared" si="4515"/>
        <v>Donovan</v>
      </c>
    </row>
    <row r="4518" spans="1:5">
      <c r="A4518" s="110" t="s">
        <v>12782</v>
      </c>
      <c r="B4518" s="110" t="s">
        <v>1333</v>
      </c>
      <c r="C4518" s="111" t="s">
        <v>12783</v>
      </c>
      <c r="D4518" s="111" t="str">
        <f t="shared" ref="D4518:E4518" si="4516">TRIM(B4518)</f>
        <v>Illinois</v>
      </c>
      <c r="E4518" s="111" t="str">
        <f t="shared" si="4516"/>
        <v>Downers Grove</v>
      </c>
    </row>
    <row r="4519" spans="1:5">
      <c r="A4519" s="3" t="s">
        <v>12786</v>
      </c>
      <c r="B4519" s="110" t="s">
        <v>1333</v>
      </c>
      <c r="C4519" s="111" t="s">
        <v>12783</v>
      </c>
      <c r="D4519" s="111" t="str">
        <f t="shared" ref="D4519:E4519" si="4517">TRIM(B4519)</f>
        <v>Illinois</v>
      </c>
      <c r="E4519" s="111" t="str">
        <f t="shared" si="4517"/>
        <v>Downers Grove</v>
      </c>
    </row>
    <row r="4520" spans="1:5">
      <c r="A4520" s="3" t="s">
        <v>12789</v>
      </c>
      <c r="B4520" s="110" t="s">
        <v>1333</v>
      </c>
      <c r="C4520" s="111" t="s">
        <v>12791</v>
      </c>
      <c r="D4520" s="111" t="str">
        <f t="shared" ref="D4520:E4520" si="4518">TRIM(B4520)</f>
        <v>Illinois</v>
      </c>
      <c r="E4520" s="111" t="str">
        <f t="shared" si="4518"/>
        <v>Downs</v>
      </c>
    </row>
    <row r="4521" spans="1:5">
      <c r="A4521" s="3" t="s">
        <v>12793</v>
      </c>
      <c r="B4521" s="110" t="s">
        <v>1333</v>
      </c>
      <c r="C4521" s="111" t="s">
        <v>12794</v>
      </c>
      <c r="D4521" s="111" t="str">
        <f t="shared" ref="D4521:E4521" si="4519">TRIM(B4521)</f>
        <v>Illinois</v>
      </c>
      <c r="E4521" s="111" t="str">
        <f t="shared" si="4519"/>
        <v>Du Quoin</v>
      </c>
    </row>
    <row r="4522" spans="1:5">
      <c r="A4522" s="3" t="s">
        <v>12796</v>
      </c>
      <c r="B4522" s="110" t="s">
        <v>1333</v>
      </c>
      <c r="C4522" s="111" t="s">
        <v>4865</v>
      </c>
      <c r="D4522" s="111" t="str">
        <f t="shared" ref="D4522:E4522" si="4520">TRIM(B4522)</f>
        <v>Illinois</v>
      </c>
      <c r="E4522" s="111" t="str">
        <f t="shared" si="4520"/>
        <v>Dunlap</v>
      </c>
    </row>
    <row r="4523" spans="1:5">
      <c r="A4523" s="3" t="s">
        <v>12798</v>
      </c>
      <c r="B4523" s="110" t="s">
        <v>1333</v>
      </c>
      <c r="C4523" s="111" t="s">
        <v>12800</v>
      </c>
      <c r="D4523" s="111" t="str">
        <f t="shared" ref="D4523:E4523" si="4521">TRIM(B4523)</f>
        <v>Illinois</v>
      </c>
      <c r="E4523" s="111" t="str">
        <f t="shared" si="4521"/>
        <v>Dupo</v>
      </c>
    </row>
    <row r="4524" spans="1:5">
      <c r="A4524" s="3" t="s">
        <v>12801</v>
      </c>
      <c r="B4524" s="110" t="s">
        <v>1333</v>
      </c>
      <c r="C4524" s="111" t="s">
        <v>12802</v>
      </c>
      <c r="D4524" s="111" t="str">
        <f t="shared" ref="D4524:E4524" si="4522">TRIM(B4524)</f>
        <v>Illinois</v>
      </c>
      <c r="E4524" s="111" t="str">
        <f t="shared" si="4522"/>
        <v>Durand</v>
      </c>
    </row>
    <row r="4525" spans="1:5">
      <c r="A4525" s="3" t="s">
        <v>12803</v>
      </c>
      <c r="B4525" s="110" t="s">
        <v>1333</v>
      </c>
      <c r="C4525" s="111" t="s">
        <v>12805</v>
      </c>
      <c r="D4525" s="111" t="str">
        <f t="shared" ref="D4525:E4525" si="4523">TRIM(B4525)</f>
        <v>Illinois</v>
      </c>
      <c r="E4525" s="111" t="str">
        <f t="shared" si="4523"/>
        <v>Dwight</v>
      </c>
    </row>
    <row r="4526" spans="1:5">
      <c r="A4526" s="3" t="s">
        <v>12807</v>
      </c>
      <c r="B4526" s="110" t="s">
        <v>1333</v>
      </c>
      <c r="C4526" s="111" t="s">
        <v>12808</v>
      </c>
      <c r="D4526" s="111" t="str">
        <f t="shared" ref="D4526:E4526" si="4524">TRIM(B4526)</f>
        <v>Illinois</v>
      </c>
      <c r="E4526" s="111" t="str">
        <f t="shared" si="4524"/>
        <v>Earlville</v>
      </c>
    </row>
    <row r="4527" spans="1:5">
      <c r="A4527" s="3" t="s">
        <v>12810</v>
      </c>
      <c r="B4527" s="110" t="s">
        <v>1333</v>
      </c>
      <c r="C4527" s="111" t="s">
        <v>12812</v>
      </c>
      <c r="D4527" s="111" t="str">
        <f t="shared" ref="D4527:E4527" si="4525">TRIM(B4527)</f>
        <v>Illinois</v>
      </c>
      <c r="E4527" s="111" t="str">
        <f t="shared" si="4525"/>
        <v>East Dubuque</v>
      </c>
    </row>
    <row r="4528" spans="1:5">
      <c r="A4528" s="3" t="s">
        <v>12813</v>
      </c>
      <c r="B4528" s="110" t="s">
        <v>1333</v>
      </c>
      <c r="C4528" s="111" t="s">
        <v>12814</v>
      </c>
      <c r="D4528" s="111" t="str">
        <f t="shared" ref="D4528:E4528" si="4526">TRIM(B4528)</f>
        <v>Illinois</v>
      </c>
      <c r="E4528" s="111" t="str">
        <f t="shared" si="4526"/>
        <v>East Moline</v>
      </c>
    </row>
    <row r="4529" spans="1:5">
      <c r="A4529" s="3" t="s">
        <v>12816</v>
      </c>
      <c r="B4529" s="110" t="s">
        <v>1333</v>
      </c>
      <c r="C4529" s="111" t="s">
        <v>12817</v>
      </c>
      <c r="D4529" s="111" t="str">
        <f t="shared" ref="D4529:E4529" si="4527">TRIM(B4529)</f>
        <v>Illinois</v>
      </c>
      <c r="E4529" s="111" t="str">
        <f t="shared" si="4527"/>
        <v>East Peoria</v>
      </c>
    </row>
    <row r="4530" spans="1:5">
      <c r="A4530" s="3" t="s">
        <v>12819</v>
      </c>
      <c r="B4530" s="110" t="s">
        <v>1333</v>
      </c>
      <c r="C4530" s="111" t="s">
        <v>12820</v>
      </c>
      <c r="D4530" s="111" t="str">
        <f t="shared" ref="D4530:E4530" si="4528">TRIM(B4530)</f>
        <v>Illinois</v>
      </c>
      <c r="E4530" s="111" t="str">
        <f t="shared" si="4528"/>
        <v>East Saint Louis</v>
      </c>
    </row>
    <row r="4531" spans="1:5">
      <c r="A4531" s="110" t="s">
        <v>12823</v>
      </c>
      <c r="B4531" s="110" t="s">
        <v>1333</v>
      </c>
      <c r="C4531" s="111" t="s">
        <v>12820</v>
      </c>
      <c r="D4531" s="111" t="str">
        <f t="shared" ref="D4531:E4531" si="4529">TRIM(B4531)</f>
        <v>Illinois</v>
      </c>
      <c r="E4531" s="111" t="str">
        <f t="shared" si="4529"/>
        <v>East Saint Louis</v>
      </c>
    </row>
    <row r="4532" spans="1:5">
      <c r="A4532" s="110" t="s">
        <v>12825</v>
      </c>
      <c r="B4532" s="110" t="s">
        <v>1333</v>
      </c>
      <c r="C4532" s="111" t="s">
        <v>12820</v>
      </c>
      <c r="D4532" s="111" t="str">
        <f t="shared" ref="D4532:E4532" si="4530">TRIM(B4532)</f>
        <v>Illinois</v>
      </c>
      <c r="E4532" s="111" t="str">
        <f t="shared" si="4530"/>
        <v>East Saint Louis</v>
      </c>
    </row>
    <row r="4533" spans="1:5">
      <c r="A4533" s="3" t="s">
        <v>12827</v>
      </c>
      <c r="B4533" s="110" t="s">
        <v>1333</v>
      </c>
      <c r="C4533" s="111" t="s">
        <v>12828</v>
      </c>
      <c r="D4533" s="111" t="str">
        <f t="shared" ref="D4533:E4533" si="4531">TRIM(B4533)</f>
        <v>Illinois</v>
      </c>
      <c r="E4533" s="111" t="str">
        <f t="shared" si="4531"/>
        <v>Edinburg</v>
      </c>
    </row>
    <row r="4534" spans="1:5">
      <c r="A4534" s="110" t="s">
        <v>12831</v>
      </c>
      <c r="B4534" s="110" t="s">
        <v>1333</v>
      </c>
      <c r="C4534" s="111" t="s">
        <v>12833</v>
      </c>
      <c r="D4534" s="111" t="str">
        <f t="shared" ref="D4534:E4534" si="4532">TRIM(B4534)</f>
        <v>Illinois</v>
      </c>
      <c r="E4534" s="111" t="str">
        <f t="shared" si="4532"/>
        <v>Edwardsville</v>
      </c>
    </row>
    <row r="4535" spans="1:5">
      <c r="A4535" s="3" t="s">
        <v>12834</v>
      </c>
      <c r="B4535" s="110" t="s">
        <v>1333</v>
      </c>
      <c r="C4535" s="111" t="s">
        <v>12833</v>
      </c>
      <c r="D4535" s="111" t="str">
        <f t="shared" ref="D4535:E4535" si="4533">TRIM(B4535)</f>
        <v>Illinois</v>
      </c>
      <c r="E4535" s="111" t="str">
        <f t="shared" si="4533"/>
        <v>Edwardsville</v>
      </c>
    </row>
    <row r="4536" spans="1:5">
      <c r="A4536" s="3" t="s">
        <v>12836</v>
      </c>
      <c r="B4536" s="110" t="s">
        <v>1333</v>
      </c>
      <c r="C4536" s="111" t="s">
        <v>462</v>
      </c>
      <c r="D4536" s="111" t="str">
        <f t="shared" ref="D4536:E4536" si="4534">TRIM(B4536)</f>
        <v>Illinois</v>
      </c>
      <c r="E4536" s="111" t="str">
        <f t="shared" si="4534"/>
        <v>Effingham</v>
      </c>
    </row>
    <row r="4537" spans="1:5">
      <c r="A4537" s="3" t="s">
        <v>12839</v>
      </c>
      <c r="B4537" s="110" t="s">
        <v>1333</v>
      </c>
      <c r="C4537" s="111" t="s">
        <v>12840</v>
      </c>
      <c r="D4537" s="111" t="str">
        <f t="shared" ref="D4537:E4537" si="4535">TRIM(B4537)</f>
        <v>Illinois</v>
      </c>
      <c r="E4537" s="111" t="str">
        <f t="shared" si="4535"/>
        <v>El Paso</v>
      </c>
    </row>
    <row r="4538" spans="1:5">
      <c r="A4538" s="3" t="s">
        <v>12842</v>
      </c>
      <c r="B4538" s="110" t="s">
        <v>1333</v>
      </c>
      <c r="C4538" s="111" t="s">
        <v>12843</v>
      </c>
      <c r="D4538" s="111" t="str">
        <f t="shared" ref="D4538:E4538" si="4536">TRIM(B4538)</f>
        <v>Illinois</v>
      </c>
      <c r="E4538" s="111" t="str">
        <f t="shared" si="4536"/>
        <v>Eldorado</v>
      </c>
    </row>
    <row r="4539" spans="1:5">
      <c r="A4539" s="110" t="s">
        <v>12845</v>
      </c>
      <c r="B4539" s="110" t="s">
        <v>1333</v>
      </c>
      <c r="C4539" s="111" t="s">
        <v>12846</v>
      </c>
      <c r="D4539" s="111" t="str">
        <f t="shared" ref="D4539:E4539" si="4537">TRIM(B4539)</f>
        <v>Illinois</v>
      </c>
      <c r="E4539" s="111" t="str">
        <f t="shared" si="4537"/>
        <v>Elgin</v>
      </c>
    </row>
    <row r="4540" spans="1:5">
      <c r="A4540" s="3" t="s">
        <v>12848</v>
      </c>
      <c r="B4540" s="110" t="s">
        <v>1333</v>
      </c>
      <c r="C4540" s="111" t="s">
        <v>12846</v>
      </c>
      <c r="D4540" s="111" t="str">
        <f t="shared" ref="D4540:E4540" si="4538">TRIM(B4540)</f>
        <v>Illinois</v>
      </c>
      <c r="E4540" s="111" t="str">
        <f t="shared" si="4538"/>
        <v>Elgin</v>
      </c>
    </row>
    <row r="4541" spans="1:5">
      <c r="A4541" s="3" t="s">
        <v>12850</v>
      </c>
      <c r="B4541" s="110" t="s">
        <v>1333</v>
      </c>
      <c r="C4541" s="111" t="s">
        <v>12846</v>
      </c>
      <c r="D4541" s="111" t="str">
        <f t="shared" ref="D4541:E4541" si="4539">TRIM(B4541)</f>
        <v>Illinois</v>
      </c>
      <c r="E4541" s="111" t="str">
        <f t="shared" si="4539"/>
        <v>Elgin</v>
      </c>
    </row>
    <row r="4542" spans="1:5">
      <c r="A4542" s="3" t="s">
        <v>12853</v>
      </c>
      <c r="B4542" s="110" t="s">
        <v>1333</v>
      </c>
      <c r="C4542" s="111" t="s">
        <v>6000</v>
      </c>
      <c r="D4542" s="111" t="str">
        <f t="shared" ref="D4542:E4542" si="4540">TRIM(B4542)</f>
        <v>Illinois</v>
      </c>
      <c r="E4542" s="111" t="str">
        <f t="shared" si="4540"/>
        <v>Elizabethtown</v>
      </c>
    </row>
    <row r="4543" spans="1:5">
      <c r="A4543" s="3" t="s">
        <v>4936</v>
      </c>
      <c r="B4543" s="110" t="s">
        <v>1333</v>
      </c>
      <c r="C4543" s="113" t="s">
        <v>10644</v>
      </c>
      <c r="D4543" s="111" t="str">
        <f t="shared" ref="D4543:E4543" si="4541">TRIM(B4543)</f>
        <v>Illinois</v>
      </c>
      <c r="E4543" s="111" t="str">
        <f t="shared" si="4541"/>
        <v>Elk Grove Village</v>
      </c>
    </row>
    <row r="4544" spans="1:5">
      <c r="A4544" s="3" t="s">
        <v>12856</v>
      </c>
      <c r="B4544" s="110" t="s">
        <v>1333</v>
      </c>
      <c r="C4544" s="111" t="s">
        <v>12857</v>
      </c>
      <c r="D4544" s="111" t="str">
        <f t="shared" ref="D4544:E4544" si="4542">TRIM(B4544)</f>
        <v>Illinois</v>
      </c>
      <c r="E4544" s="111" t="str">
        <f t="shared" si="4542"/>
        <v>Elkville</v>
      </c>
    </row>
    <row r="4545" spans="1:5">
      <c r="A4545" s="3" t="s">
        <v>12860</v>
      </c>
      <c r="B4545" s="110" t="s">
        <v>1333</v>
      </c>
      <c r="C4545" s="111" t="s">
        <v>12312</v>
      </c>
      <c r="D4545" s="111" t="str">
        <f t="shared" ref="D4545:E4545" si="4543">TRIM(B4545)</f>
        <v>Illinois</v>
      </c>
      <c r="E4545" s="111" t="str">
        <f t="shared" si="4543"/>
        <v>Elmhurst</v>
      </c>
    </row>
    <row r="4546" spans="1:5">
      <c r="A4546" s="3" t="s">
        <v>12861</v>
      </c>
      <c r="B4546" s="110" t="s">
        <v>1333</v>
      </c>
      <c r="C4546" s="111" t="s">
        <v>12862</v>
      </c>
      <c r="D4546" s="111" t="str">
        <f t="shared" ref="D4546:E4546" si="4544">TRIM(B4546)</f>
        <v>Illinois</v>
      </c>
      <c r="E4546" s="111" t="str">
        <f t="shared" si="4544"/>
        <v>Elmwood</v>
      </c>
    </row>
    <row r="4547" spans="1:5">
      <c r="A4547" s="3" t="s">
        <v>12864</v>
      </c>
      <c r="B4547" s="110" t="s">
        <v>1333</v>
      </c>
      <c r="C4547" s="111" t="s">
        <v>12865</v>
      </c>
      <c r="D4547" s="111" t="str">
        <f t="shared" ref="D4547:E4547" si="4545">TRIM(B4547)</f>
        <v>Illinois</v>
      </c>
      <c r="E4547" s="111" t="str">
        <f t="shared" si="4545"/>
        <v>Elmwood Park</v>
      </c>
    </row>
    <row r="4548" spans="1:5">
      <c r="A4548" s="3" t="s">
        <v>7885</v>
      </c>
      <c r="B4548" s="110" t="s">
        <v>1333</v>
      </c>
      <c r="C4548" s="111" t="s">
        <v>1160</v>
      </c>
      <c r="D4548" s="111" t="str">
        <f t="shared" ref="D4548:E4548" si="4546">TRIM(B4548)</f>
        <v>Illinois</v>
      </c>
      <c r="E4548" s="111" t="str">
        <f t="shared" si="4546"/>
        <v>Erie</v>
      </c>
    </row>
    <row r="4549" spans="1:5">
      <c r="A4549" s="3" t="s">
        <v>12867</v>
      </c>
      <c r="B4549" s="110" t="s">
        <v>1333</v>
      </c>
      <c r="C4549" s="111" t="s">
        <v>4989</v>
      </c>
      <c r="D4549" s="111" t="str">
        <f t="shared" ref="D4549:E4549" si="4547">TRIM(B4549)</f>
        <v>Illinois</v>
      </c>
      <c r="E4549" s="111" t="str">
        <f t="shared" si="4547"/>
        <v>Eureka</v>
      </c>
    </row>
    <row r="4550" spans="1:5">
      <c r="A4550" s="3" t="s">
        <v>12869</v>
      </c>
      <c r="B4550" s="110" t="s">
        <v>1333</v>
      </c>
      <c r="C4550" s="111" t="s">
        <v>1141</v>
      </c>
      <c r="D4550" s="111" t="str">
        <f t="shared" ref="D4550:E4550" si="4548">TRIM(B4550)</f>
        <v>Illinois</v>
      </c>
      <c r="E4550" s="111" t="str">
        <f t="shared" si="4548"/>
        <v>Evanston</v>
      </c>
    </row>
    <row r="4551" spans="1:5">
      <c r="A4551" s="3" t="s">
        <v>12870</v>
      </c>
      <c r="B4551" s="110" t="s">
        <v>1333</v>
      </c>
      <c r="C4551" s="111" t="s">
        <v>12871</v>
      </c>
      <c r="D4551" s="111" t="str">
        <f t="shared" ref="D4551:E4551" si="4549">TRIM(B4551)</f>
        <v>Illinois</v>
      </c>
      <c r="E4551" s="111" t="str">
        <f t="shared" si="4549"/>
        <v>Evergreen Park</v>
      </c>
    </row>
    <row r="4552" spans="1:5">
      <c r="A4552" s="3" t="s">
        <v>12873</v>
      </c>
      <c r="B4552" s="110" t="s">
        <v>1333</v>
      </c>
      <c r="C4552" s="111" t="s">
        <v>12874</v>
      </c>
      <c r="D4552" s="111" t="str">
        <f t="shared" ref="D4552:E4552" si="4550">TRIM(B4552)</f>
        <v>Illinois</v>
      </c>
      <c r="E4552" s="111" t="str">
        <f t="shared" si="4550"/>
        <v>Fairbury</v>
      </c>
    </row>
    <row r="4553" spans="1:5">
      <c r="A4553" s="3" t="s">
        <v>12876</v>
      </c>
      <c r="B4553" s="110" t="s">
        <v>1333</v>
      </c>
      <c r="C4553" s="111" t="s">
        <v>303</v>
      </c>
      <c r="D4553" s="111" t="str">
        <f t="shared" ref="D4553:E4553" si="4551">TRIM(B4553)</f>
        <v>Illinois</v>
      </c>
      <c r="E4553" s="111" t="str">
        <f t="shared" si="4551"/>
        <v>Fairfield</v>
      </c>
    </row>
    <row r="4554" spans="1:5">
      <c r="A4554" s="3" t="s">
        <v>12878</v>
      </c>
      <c r="B4554" s="110" t="s">
        <v>1333</v>
      </c>
      <c r="C4554" s="111" t="s">
        <v>12879</v>
      </c>
      <c r="D4554" s="111" t="str">
        <f t="shared" ref="D4554:E4554" si="4552">TRIM(B4554)</f>
        <v>Illinois</v>
      </c>
      <c r="E4554" s="111" t="str">
        <f t="shared" si="4552"/>
        <v>Farina</v>
      </c>
    </row>
    <row r="4555" spans="1:5">
      <c r="A4555" s="3" t="s">
        <v>2794</v>
      </c>
      <c r="B4555" s="110" t="s">
        <v>1333</v>
      </c>
      <c r="C4555" s="111" t="s">
        <v>12882</v>
      </c>
      <c r="D4555" s="111" t="str">
        <f t="shared" ref="D4555:E4555" si="4553">TRIM(B4555)</f>
        <v>Illinois</v>
      </c>
      <c r="E4555" s="111" t="str">
        <f t="shared" si="4553"/>
        <v>Farmer City</v>
      </c>
    </row>
    <row r="4556" spans="1:5">
      <c r="A4556" s="3" t="s">
        <v>12884</v>
      </c>
      <c r="B4556" s="110" t="s">
        <v>1333</v>
      </c>
      <c r="C4556" s="111" t="s">
        <v>3773</v>
      </c>
      <c r="D4556" s="111" t="str">
        <f t="shared" ref="D4556:E4556" si="4554">TRIM(B4556)</f>
        <v>Illinois</v>
      </c>
      <c r="E4556" s="111" t="str">
        <f t="shared" si="4554"/>
        <v>Farmington</v>
      </c>
    </row>
    <row r="4557" spans="1:5">
      <c r="A4557" s="3" t="s">
        <v>12886</v>
      </c>
      <c r="B4557" s="110" t="s">
        <v>1333</v>
      </c>
      <c r="C4557" s="111" t="s">
        <v>12887</v>
      </c>
      <c r="D4557" s="111" t="str">
        <f t="shared" ref="D4557:E4557" si="4555">TRIM(B4557)</f>
        <v>Illinois</v>
      </c>
      <c r="E4557" s="111" t="str">
        <f t="shared" si="4555"/>
        <v>Fisher</v>
      </c>
    </row>
    <row r="4558" spans="1:5">
      <c r="A4558" s="3" t="s">
        <v>12890</v>
      </c>
      <c r="B4558" s="110" t="s">
        <v>1333</v>
      </c>
      <c r="C4558" s="111" t="s">
        <v>12891</v>
      </c>
      <c r="D4558" s="111" t="str">
        <f t="shared" ref="D4558:E4558" si="4556">TRIM(B4558)</f>
        <v>Illinois</v>
      </c>
      <c r="E4558" s="111" t="str">
        <f t="shared" si="4556"/>
        <v>Fithian</v>
      </c>
    </row>
    <row r="4559" spans="1:5">
      <c r="A4559" s="3" t="s">
        <v>12893</v>
      </c>
      <c r="B4559" s="110" t="s">
        <v>1333</v>
      </c>
      <c r="C4559" s="111" t="s">
        <v>10625</v>
      </c>
      <c r="D4559" s="111" t="str">
        <f t="shared" ref="D4559:E4559" si="4557">TRIM(B4559)</f>
        <v>Illinois</v>
      </c>
      <c r="E4559" s="111" t="str">
        <f t="shared" si="4557"/>
        <v>Flanagan</v>
      </c>
    </row>
    <row r="4560" spans="1:5">
      <c r="A4560" s="3" t="s">
        <v>12896</v>
      </c>
      <c r="B4560" s="110" t="s">
        <v>1333</v>
      </c>
      <c r="C4560" s="111" t="s">
        <v>11749</v>
      </c>
      <c r="D4560" s="111" t="str">
        <f t="shared" ref="D4560:E4560" si="4558">TRIM(B4560)</f>
        <v>Illinois</v>
      </c>
      <c r="E4560" s="111" t="str">
        <f t="shared" si="4558"/>
        <v>Flora</v>
      </c>
    </row>
    <row r="4561" spans="1:5">
      <c r="A4561" s="3" t="s">
        <v>12900</v>
      </c>
      <c r="B4561" s="110" t="s">
        <v>1333</v>
      </c>
      <c r="C4561" s="111" t="s">
        <v>12901</v>
      </c>
      <c r="D4561" s="111" t="str">
        <f t="shared" ref="D4561:E4561" si="4559">TRIM(B4561)</f>
        <v>Illinois</v>
      </c>
      <c r="E4561" s="111" t="str">
        <f t="shared" si="4559"/>
        <v>Flossmoor</v>
      </c>
    </row>
    <row r="4562" spans="1:5">
      <c r="A4562" s="3" t="s">
        <v>12903</v>
      </c>
      <c r="B4562" s="110" t="s">
        <v>1333</v>
      </c>
      <c r="C4562" s="111" t="s">
        <v>10400</v>
      </c>
      <c r="D4562" s="111" t="str">
        <f t="shared" ref="D4562:E4562" si="4560">TRIM(B4562)</f>
        <v>Illinois</v>
      </c>
      <c r="E4562" s="111" t="str">
        <f t="shared" si="4560"/>
        <v>Forest Park</v>
      </c>
    </row>
    <row r="4563" spans="1:5">
      <c r="A4563" s="3" t="s">
        <v>12906</v>
      </c>
      <c r="B4563" s="110" t="s">
        <v>1333</v>
      </c>
      <c r="C4563" s="111" t="s">
        <v>12907</v>
      </c>
      <c r="D4563" s="111" t="str">
        <f t="shared" ref="D4563:E4563" si="4561">TRIM(B4563)</f>
        <v>Illinois</v>
      </c>
      <c r="E4563" s="111" t="str">
        <f t="shared" si="4561"/>
        <v>Forreston</v>
      </c>
    </row>
    <row r="4564" spans="1:5">
      <c r="A4564" s="3" t="s">
        <v>12909</v>
      </c>
      <c r="B4564" s="110" t="s">
        <v>1333</v>
      </c>
      <c r="C4564" s="111" t="s">
        <v>12910</v>
      </c>
      <c r="D4564" s="111" t="str">
        <f t="shared" ref="D4564:E4564" si="4562">TRIM(B4564)</f>
        <v>Illinois</v>
      </c>
      <c r="E4564" s="111" t="str">
        <f t="shared" si="4562"/>
        <v>Fox Lake</v>
      </c>
    </row>
    <row r="4565" spans="1:5">
      <c r="A4565" s="3" t="s">
        <v>12912</v>
      </c>
      <c r="B4565" s="110" t="s">
        <v>1333</v>
      </c>
      <c r="C4565" s="111" t="s">
        <v>12913</v>
      </c>
      <c r="D4565" s="111" t="str">
        <f t="shared" ref="D4565:E4565" si="4563">TRIM(B4565)</f>
        <v>Illinois</v>
      </c>
      <c r="E4565" s="111" t="str">
        <f t="shared" si="4563"/>
        <v>Frankfort</v>
      </c>
    </row>
    <row r="4566" spans="1:5">
      <c r="A4566" s="3" t="s">
        <v>12915</v>
      </c>
      <c r="B4566" s="110" t="s">
        <v>1333</v>
      </c>
      <c r="C4566" s="111" t="s">
        <v>12917</v>
      </c>
      <c r="D4566" s="111" t="str">
        <f t="shared" ref="D4566:E4566" si="4564">TRIM(B4566)</f>
        <v>Illinois</v>
      </c>
      <c r="E4566" s="111" t="str">
        <f t="shared" si="4564"/>
        <v>Franklin Park</v>
      </c>
    </row>
    <row r="4567" spans="1:5">
      <c r="A4567" s="3" t="s">
        <v>12920</v>
      </c>
      <c r="B4567" s="110" t="s">
        <v>1333</v>
      </c>
      <c r="C4567" s="111" t="s">
        <v>12921</v>
      </c>
      <c r="D4567" s="111" t="str">
        <f t="shared" ref="D4567:E4567" si="4565">TRIM(B4567)</f>
        <v>Illinois</v>
      </c>
      <c r="E4567" s="111" t="str">
        <f t="shared" si="4565"/>
        <v>Freeburg</v>
      </c>
    </row>
    <row r="4568" spans="1:5">
      <c r="A4568" s="3" t="s">
        <v>12923</v>
      </c>
      <c r="B4568" s="110" t="s">
        <v>1333</v>
      </c>
      <c r="C4568" s="111" t="s">
        <v>9246</v>
      </c>
      <c r="D4568" s="111" t="str">
        <f t="shared" ref="D4568:E4568" si="4566">TRIM(B4568)</f>
        <v>Illinois</v>
      </c>
      <c r="E4568" s="111" t="str">
        <f t="shared" si="4566"/>
        <v>Freeport</v>
      </c>
    </row>
    <row r="4569" spans="1:5">
      <c r="A4569" s="3" t="s">
        <v>12925</v>
      </c>
      <c r="B4569" s="110" t="s">
        <v>1333</v>
      </c>
      <c r="C4569" s="111" t="s">
        <v>12926</v>
      </c>
      <c r="D4569" s="111" t="str">
        <f t="shared" ref="D4569:E4569" si="4567">TRIM(B4569)</f>
        <v>Illinois</v>
      </c>
      <c r="E4569" s="111" t="str">
        <f t="shared" si="4567"/>
        <v>Fulton</v>
      </c>
    </row>
    <row r="4570" spans="1:5">
      <c r="A4570" s="3" t="s">
        <v>12928</v>
      </c>
      <c r="B4570" s="110" t="s">
        <v>1333</v>
      </c>
      <c r="C4570" s="111" t="s">
        <v>12929</v>
      </c>
      <c r="D4570" s="111" t="str">
        <f t="shared" ref="D4570:E4570" si="4568">TRIM(B4570)</f>
        <v>Illinois</v>
      </c>
      <c r="E4570" s="111" t="str">
        <f t="shared" si="4568"/>
        <v>Galatia</v>
      </c>
    </row>
    <row r="4571" spans="1:5">
      <c r="A4571" s="3" t="s">
        <v>12932</v>
      </c>
      <c r="B4571" s="110" t="s">
        <v>1333</v>
      </c>
      <c r="C4571" s="111" t="s">
        <v>2346</v>
      </c>
      <c r="D4571" s="111" t="str">
        <f t="shared" ref="D4571:E4571" si="4569">TRIM(B4571)</f>
        <v>Illinois</v>
      </c>
      <c r="E4571" s="111" t="str">
        <f t="shared" si="4569"/>
        <v>Galena</v>
      </c>
    </row>
    <row r="4572" spans="1:5">
      <c r="A4572" s="3" t="s">
        <v>12935</v>
      </c>
      <c r="B4572" s="110" t="s">
        <v>1333</v>
      </c>
      <c r="C4572" s="111" t="s">
        <v>5636</v>
      </c>
      <c r="D4572" s="111" t="str">
        <f t="shared" ref="D4572:E4572" si="4570">TRIM(B4572)</f>
        <v>Illinois</v>
      </c>
      <c r="E4572" s="111" t="str">
        <f t="shared" si="4570"/>
        <v>Galesburg</v>
      </c>
    </row>
    <row r="4573" spans="1:5">
      <c r="A4573" s="110" t="s">
        <v>12937</v>
      </c>
      <c r="B4573" s="110" t="s">
        <v>1333</v>
      </c>
      <c r="C4573" s="111" t="s">
        <v>5636</v>
      </c>
      <c r="D4573" s="111" t="str">
        <f t="shared" ref="D4573:E4573" si="4571">TRIM(B4573)</f>
        <v>Illinois</v>
      </c>
      <c r="E4573" s="111" t="str">
        <f t="shared" si="4571"/>
        <v>Galesburg</v>
      </c>
    </row>
    <row r="4574" spans="1:5">
      <c r="A4574" s="3" t="s">
        <v>12941</v>
      </c>
      <c r="B4574" s="110" t="s">
        <v>1333</v>
      </c>
      <c r="C4574" s="111" t="s">
        <v>12942</v>
      </c>
      <c r="D4574" s="111" t="str">
        <f t="shared" ref="D4574:E4574" si="4572">TRIM(B4574)</f>
        <v>Illinois</v>
      </c>
      <c r="E4574" s="111" t="str">
        <f t="shared" si="4572"/>
        <v>Galva</v>
      </c>
    </row>
    <row r="4575" spans="1:5">
      <c r="A4575" s="110" t="s">
        <v>12944</v>
      </c>
      <c r="B4575" s="110" t="s">
        <v>1333</v>
      </c>
      <c r="C4575" s="111" t="s">
        <v>12945</v>
      </c>
      <c r="D4575" s="111" t="str">
        <f t="shared" ref="D4575:E4575" si="4573">TRIM(B4575)</f>
        <v>Illinois</v>
      </c>
      <c r="E4575" s="111" t="str">
        <f t="shared" si="4573"/>
        <v>Gardner</v>
      </c>
    </row>
    <row r="4576" spans="1:5">
      <c r="A4576" s="3" t="s">
        <v>12946</v>
      </c>
      <c r="B4576" s="110" t="s">
        <v>1333</v>
      </c>
      <c r="C4576" s="111" t="s">
        <v>12948</v>
      </c>
      <c r="D4576" s="111" t="str">
        <f t="shared" ref="D4576:E4576" si="4574">TRIM(B4576)</f>
        <v>Illinois</v>
      </c>
      <c r="E4576" s="111" t="str">
        <f t="shared" si="4574"/>
        <v>Geneseo</v>
      </c>
    </row>
    <row r="4577" spans="1:5">
      <c r="A4577" s="3" t="s">
        <v>12949</v>
      </c>
      <c r="B4577" s="110" t="s">
        <v>1333</v>
      </c>
      <c r="C4577" s="111" t="s">
        <v>1773</v>
      </c>
      <c r="D4577" s="111" t="str">
        <f t="shared" ref="D4577:E4577" si="4575">TRIM(B4577)</f>
        <v>Illinois</v>
      </c>
      <c r="E4577" s="111" t="str">
        <f t="shared" si="4575"/>
        <v>Geneva</v>
      </c>
    </row>
    <row r="4578" spans="1:5">
      <c r="A4578" s="3" t="s">
        <v>12952</v>
      </c>
      <c r="B4578" s="110" t="s">
        <v>1333</v>
      </c>
      <c r="C4578" s="111" t="s">
        <v>12953</v>
      </c>
      <c r="D4578" s="111" t="str">
        <f t="shared" ref="D4578:E4578" si="4576">TRIM(B4578)</f>
        <v>Illinois</v>
      </c>
      <c r="E4578" s="111" t="str">
        <f t="shared" si="4576"/>
        <v>Genoa</v>
      </c>
    </row>
    <row r="4579" spans="1:5">
      <c r="A4579" s="3" t="s">
        <v>12954</v>
      </c>
      <c r="B4579" s="110" t="s">
        <v>1333</v>
      </c>
      <c r="C4579" s="111" t="s">
        <v>8818</v>
      </c>
      <c r="D4579" s="111" t="str">
        <f t="shared" ref="D4579:E4579" si="4577">TRIM(B4579)</f>
        <v>Illinois</v>
      </c>
      <c r="E4579" s="111" t="str">
        <f t="shared" si="4577"/>
        <v>Georgetown</v>
      </c>
    </row>
    <row r="4580" spans="1:5">
      <c r="A4580" s="3" t="s">
        <v>12955</v>
      </c>
      <c r="B4580" s="110" t="s">
        <v>1333</v>
      </c>
      <c r="C4580" s="111" t="s">
        <v>12956</v>
      </c>
      <c r="D4580" s="111" t="str">
        <f t="shared" ref="D4580:E4580" si="4578">TRIM(B4580)</f>
        <v>Illinois</v>
      </c>
      <c r="E4580" s="111" t="str">
        <f t="shared" si="4578"/>
        <v>Gibson City</v>
      </c>
    </row>
    <row r="4581" spans="1:5">
      <c r="A4581" s="3" t="s">
        <v>12957</v>
      </c>
      <c r="B4581" s="110" t="s">
        <v>1333</v>
      </c>
      <c r="C4581" s="111" t="s">
        <v>12958</v>
      </c>
      <c r="D4581" s="111" t="str">
        <f t="shared" ref="D4581:E4581" si="4579">TRIM(B4581)</f>
        <v>Illinois</v>
      </c>
      <c r="E4581" s="111" t="str">
        <f t="shared" si="4579"/>
        <v>Gillespie</v>
      </c>
    </row>
    <row r="4582" spans="1:5">
      <c r="A4582" s="3" t="s">
        <v>12959</v>
      </c>
      <c r="B4582" s="110" t="s">
        <v>1333</v>
      </c>
      <c r="C4582" s="111" t="s">
        <v>12960</v>
      </c>
      <c r="D4582" s="111" t="str">
        <f t="shared" ref="D4582:E4582" si="4580">TRIM(B4582)</f>
        <v>Illinois</v>
      </c>
      <c r="E4582" s="111" t="str">
        <f t="shared" si="4580"/>
        <v>Gilman</v>
      </c>
    </row>
    <row r="4583" spans="1:5">
      <c r="A4583" s="3" t="s">
        <v>12961</v>
      </c>
      <c r="B4583" s="110" t="s">
        <v>1333</v>
      </c>
      <c r="C4583" s="111" t="s">
        <v>12962</v>
      </c>
      <c r="D4583" s="111" t="str">
        <f t="shared" ref="D4583:E4583" si="4581">TRIM(B4583)</f>
        <v>Illinois</v>
      </c>
      <c r="E4583" s="111" t="str">
        <f t="shared" si="4581"/>
        <v>Glasford</v>
      </c>
    </row>
    <row r="4584" spans="1:5">
      <c r="A4584" s="3" t="s">
        <v>12963</v>
      </c>
      <c r="B4584" s="110" t="s">
        <v>1333</v>
      </c>
      <c r="C4584" s="111" t="s">
        <v>12964</v>
      </c>
      <c r="D4584" s="111" t="str">
        <f t="shared" ref="D4584:E4584" si="4582">TRIM(B4584)</f>
        <v>Illinois</v>
      </c>
      <c r="E4584" s="111" t="str">
        <f t="shared" si="4582"/>
        <v>Glen Ellyn</v>
      </c>
    </row>
    <row r="4585" spans="1:5">
      <c r="A4585" s="3" t="s">
        <v>12965</v>
      </c>
      <c r="B4585" s="110" t="s">
        <v>1333</v>
      </c>
      <c r="C4585" s="111" t="s">
        <v>12964</v>
      </c>
      <c r="D4585" s="111" t="str">
        <f t="shared" ref="D4585:E4585" si="4583">TRIM(B4585)</f>
        <v>Illinois</v>
      </c>
      <c r="E4585" s="111" t="str">
        <f t="shared" si="4583"/>
        <v>Glen Ellyn</v>
      </c>
    </row>
    <row r="4586" spans="1:5">
      <c r="A4586" s="3" t="s">
        <v>12968</v>
      </c>
      <c r="B4586" s="110" t="s">
        <v>1333</v>
      </c>
      <c r="C4586" s="111" t="s">
        <v>12969</v>
      </c>
      <c r="D4586" s="111" t="str">
        <f t="shared" ref="D4586:E4586" si="4584">TRIM(B4586)</f>
        <v>Illinois</v>
      </c>
      <c r="E4586" s="111" t="str">
        <f t="shared" si="4584"/>
        <v>Glenview</v>
      </c>
    </row>
    <row r="4587" spans="1:5">
      <c r="A4587" s="110" t="s">
        <v>12970</v>
      </c>
      <c r="B4587" s="110" t="s">
        <v>1333</v>
      </c>
      <c r="C4587" s="111" t="s">
        <v>12969</v>
      </c>
      <c r="D4587" s="111" t="str">
        <f t="shared" ref="D4587:E4587" si="4585">TRIM(B4587)</f>
        <v>Illinois</v>
      </c>
      <c r="E4587" s="111" t="str">
        <f t="shared" si="4585"/>
        <v>Glenview</v>
      </c>
    </row>
    <row r="4588" spans="1:5">
      <c r="A4588" s="3" t="s">
        <v>12972</v>
      </c>
      <c r="B4588" s="110" t="s">
        <v>1333</v>
      </c>
      <c r="C4588" s="111" t="s">
        <v>12969</v>
      </c>
      <c r="D4588" s="111" t="str">
        <f t="shared" ref="D4588:E4588" si="4586">TRIM(B4588)</f>
        <v>Illinois</v>
      </c>
      <c r="E4588" s="111" t="str">
        <f t="shared" si="4586"/>
        <v>Glenview</v>
      </c>
    </row>
    <row r="4589" spans="1:5">
      <c r="A4589" s="3" t="s">
        <v>12973</v>
      </c>
      <c r="B4589" s="110" t="s">
        <v>1333</v>
      </c>
      <c r="C4589" s="111" t="s">
        <v>12975</v>
      </c>
      <c r="D4589" s="111" t="str">
        <f t="shared" ref="D4589:E4589" si="4587">TRIM(B4589)</f>
        <v>Illinois</v>
      </c>
      <c r="E4589" s="111" t="str">
        <f t="shared" si="4587"/>
        <v>Golconda</v>
      </c>
    </row>
    <row r="4590" spans="1:5">
      <c r="A4590" s="3" t="s">
        <v>12977</v>
      </c>
      <c r="B4590" s="110" t="s">
        <v>1333</v>
      </c>
      <c r="C4590" s="111" t="s">
        <v>12979</v>
      </c>
      <c r="D4590" s="111" t="str">
        <f t="shared" ref="D4590:E4590" si="4588">TRIM(B4590)</f>
        <v>Illinois</v>
      </c>
      <c r="E4590" s="111" t="str">
        <f t="shared" si="4588"/>
        <v>Goreville</v>
      </c>
    </row>
    <row r="4591" spans="1:5">
      <c r="A4591" s="3" t="s">
        <v>12982</v>
      </c>
      <c r="B4591" s="110" t="s">
        <v>1333</v>
      </c>
      <c r="C4591" s="111" t="s">
        <v>12983</v>
      </c>
      <c r="D4591" s="111" t="str">
        <f t="shared" ref="D4591:E4591" si="4589">TRIM(B4591)</f>
        <v>Illinois</v>
      </c>
      <c r="E4591" s="111" t="str">
        <f t="shared" si="4589"/>
        <v>Granite City</v>
      </c>
    </row>
    <row r="4592" spans="1:5">
      <c r="A4592" s="3" t="s">
        <v>12985</v>
      </c>
      <c r="B4592" s="110" t="s">
        <v>1333</v>
      </c>
      <c r="C4592" s="111" t="s">
        <v>12986</v>
      </c>
      <c r="D4592" s="111" t="str">
        <f t="shared" ref="D4592:E4592" si="4590">TRIM(B4592)</f>
        <v>Illinois</v>
      </c>
      <c r="E4592" s="111" t="str">
        <f t="shared" si="4590"/>
        <v>Grant Park</v>
      </c>
    </row>
    <row r="4593" spans="1:5">
      <c r="A4593" s="3" t="s">
        <v>10726</v>
      </c>
      <c r="B4593" s="110" t="s">
        <v>1333</v>
      </c>
      <c r="C4593" s="111" t="s">
        <v>12988</v>
      </c>
      <c r="D4593" s="111" t="str">
        <f t="shared" ref="D4593:E4593" si="4591">TRIM(B4593)</f>
        <v>Illinois</v>
      </c>
      <c r="E4593" s="111" t="str">
        <f t="shared" si="4591"/>
        <v>Granville</v>
      </c>
    </row>
    <row r="4594" spans="1:5">
      <c r="A4594" s="3" t="s">
        <v>12990</v>
      </c>
      <c r="B4594" s="110" t="s">
        <v>1333</v>
      </c>
      <c r="C4594" s="111" t="s">
        <v>502</v>
      </c>
      <c r="D4594" s="111" t="str">
        <f t="shared" ref="D4594:E4594" si="4592">TRIM(B4594)</f>
        <v>Illinois</v>
      </c>
      <c r="E4594" s="111" t="str">
        <f t="shared" si="4592"/>
        <v>Grayslake</v>
      </c>
    </row>
    <row r="4595" spans="1:5">
      <c r="A4595" s="3" t="s">
        <v>12992</v>
      </c>
      <c r="B4595" s="110" t="s">
        <v>1333</v>
      </c>
      <c r="C4595" s="111" t="s">
        <v>502</v>
      </c>
      <c r="D4595" s="111" t="str">
        <f t="shared" ref="D4595:E4595" si="4593">TRIM(B4595)</f>
        <v>Illinois</v>
      </c>
      <c r="E4595" s="111" t="str">
        <f t="shared" si="4593"/>
        <v>Grayslake</v>
      </c>
    </row>
    <row r="4596" spans="1:5">
      <c r="A4596" s="3" t="s">
        <v>12995</v>
      </c>
      <c r="B4596" s="110" t="s">
        <v>1333</v>
      </c>
      <c r="C4596" s="111" t="s">
        <v>12996</v>
      </c>
      <c r="D4596" s="111" t="str">
        <f t="shared" ref="D4596:E4596" si="4594">TRIM(B4596)</f>
        <v>Illinois</v>
      </c>
      <c r="E4596" s="111" t="str">
        <f t="shared" si="4594"/>
        <v>Grayville</v>
      </c>
    </row>
    <row r="4597" spans="1:5">
      <c r="A4597" s="3" t="s">
        <v>5187</v>
      </c>
      <c r="B4597" s="110" t="s">
        <v>1333</v>
      </c>
      <c r="C4597" s="111" t="s">
        <v>5188</v>
      </c>
      <c r="D4597" s="111" t="str">
        <f t="shared" ref="D4597:E4597" si="4595">TRIM(B4597)</f>
        <v>Illinois</v>
      </c>
      <c r="E4597" s="111" t="str">
        <f t="shared" si="4595"/>
        <v>Greenfield</v>
      </c>
    </row>
    <row r="4598" spans="1:5">
      <c r="A4598" s="3" t="s">
        <v>12998</v>
      </c>
      <c r="B4598" s="110" t="s">
        <v>1333</v>
      </c>
      <c r="C4598" s="111" t="s">
        <v>12999</v>
      </c>
      <c r="D4598" s="111" t="str">
        <f t="shared" ref="D4598:E4598" si="4596">TRIM(B4598)</f>
        <v>Illinois</v>
      </c>
      <c r="E4598" s="111" t="str">
        <f t="shared" si="4596"/>
        <v>Greenview</v>
      </c>
    </row>
    <row r="4599" spans="1:5">
      <c r="A4599" s="3" t="s">
        <v>13001</v>
      </c>
      <c r="B4599" s="110" t="s">
        <v>1333</v>
      </c>
      <c r="C4599" s="111" t="s">
        <v>1804</v>
      </c>
      <c r="D4599" s="111" t="str">
        <f t="shared" ref="D4599:E4599" si="4597">TRIM(B4599)</f>
        <v>Illinois</v>
      </c>
      <c r="E4599" s="111" t="str">
        <f t="shared" si="4597"/>
        <v>Greenville</v>
      </c>
    </row>
    <row r="4600" spans="1:5">
      <c r="A4600" s="3" t="s">
        <v>13003</v>
      </c>
      <c r="B4600" s="110" t="s">
        <v>1333</v>
      </c>
      <c r="C4600" s="111" t="s">
        <v>13004</v>
      </c>
      <c r="D4600" s="111" t="str">
        <f t="shared" ref="D4600:E4600" si="4598">TRIM(B4600)</f>
        <v>Illinois</v>
      </c>
      <c r="E4600" s="111" t="str">
        <f t="shared" si="4598"/>
        <v>Griggsville</v>
      </c>
    </row>
    <row r="4601" spans="1:5">
      <c r="A4601" s="3" t="s">
        <v>13007</v>
      </c>
      <c r="B4601" s="110" t="s">
        <v>1333</v>
      </c>
      <c r="C4601" s="111" t="s">
        <v>13008</v>
      </c>
      <c r="D4601" s="111" t="str">
        <f t="shared" ref="D4601:E4601" si="4599">TRIM(B4601)</f>
        <v>Illinois</v>
      </c>
      <c r="E4601" s="111" t="str">
        <f t="shared" si="4599"/>
        <v>Gurnee</v>
      </c>
    </row>
    <row r="4602" spans="1:5">
      <c r="A4602" s="3" t="s">
        <v>13011</v>
      </c>
      <c r="B4602" s="110" t="s">
        <v>1333</v>
      </c>
      <c r="C4602" s="111" t="s">
        <v>344</v>
      </c>
      <c r="D4602" s="111" t="str">
        <f t="shared" ref="D4602:E4602" si="4600">TRIM(B4602)</f>
        <v>Illinois</v>
      </c>
      <c r="E4602" s="111" t="str">
        <f t="shared" si="4600"/>
        <v>Hamilton</v>
      </c>
    </row>
    <row r="4603" spans="1:5">
      <c r="A4603" s="3" t="s">
        <v>13014</v>
      </c>
      <c r="B4603" s="110" t="s">
        <v>1333</v>
      </c>
      <c r="C4603" s="111" t="s">
        <v>13015</v>
      </c>
      <c r="D4603" s="111" t="str">
        <f t="shared" ref="D4603:E4603" si="4601">TRIM(B4603)</f>
        <v>Illinois</v>
      </c>
      <c r="E4603" s="111" t="str">
        <f t="shared" si="4601"/>
        <v>Hampshire</v>
      </c>
    </row>
    <row r="4604" spans="1:5">
      <c r="A4604" s="3" t="s">
        <v>9764</v>
      </c>
      <c r="B4604" s="110" t="s">
        <v>1333</v>
      </c>
      <c r="C4604" s="111" t="s">
        <v>13019</v>
      </c>
      <c r="D4604" s="111" t="str">
        <f t="shared" ref="D4604:E4604" si="4602">TRIM(B4604)</f>
        <v>Illinois</v>
      </c>
      <c r="E4604" s="111" t="str">
        <f t="shared" si="4602"/>
        <v>Hanover</v>
      </c>
    </row>
    <row r="4605" spans="1:5">
      <c r="A4605" s="3" t="s">
        <v>1922</v>
      </c>
      <c r="B4605" s="110" t="s">
        <v>1333</v>
      </c>
      <c r="C4605" s="111" t="s">
        <v>2483</v>
      </c>
      <c r="D4605" s="111" t="str">
        <f t="shared" ref="D4605:E4605" si="4603">TRIM(B4605)</f>
        <v>Illinois</v>
      </c>
      <c r="E4605" s="111" t="str">
        <f t="shared" si="4603"/>
        <v>Hardin</v>
      </c>
    </row>
    <row r="4606" spans="1:5">
      <c r="A4606" s="3" t="s">
        <v>13023</v>
      </c>
      <c r="B4606" s="110" t="s">
        <v>1333</v>
      </c>
      <c r="C4606" s="111" t="s">
        <v>3845</v>
      </c>
      <c r="D4606" s="111" t="str">
        <f t="shared" ref="D4606:E4606" si="4604">TRIM(B4606)</f>
        <v>Illinois</v>
      </c>
      <c r="E4606" s="111" t="str">
        <f t="shared" si="4604"/>
        <v>Harrisburg</v>
      </c>
    </row>
    <row r="4607" spans="1:5">
      <c r="A4607" s="3" t="s">
        <v>13026</v>
      </c>
      <c r="B4607" s="110" t="s">
        <v>1333</v>
      </c>
      <c r="C4607" s="111" t="s">
        <v>13028</v>
      </c>
      <c r="D4607" s="111" t="str">
        <f t="shared" ref="D4607:E4607" si="4605">TRIM(B4607)</f>
        <v>Illinois</v>
      </c>
      <c r="E4607" s="111" t="str">
        <f t="shared" si="4605"/>
        <v>Hartsburg</v>
      </c>
    </row>
    <row r="4608" spans="1:5">
      <c r="A4608" s="3" t="s">
        <v>13030</v>
      </c>
      <c r="B4608" s="110" t="s">
        <v>1333</v>
      </c>
      <c r="C4608" s="111" t="s">
        <v>13032</v>
      </c>
      <c r="D4608" s="111" t="str">
        <f t="shared" ref="D4608:E4608" si="4606">TRIM(B4608)</f>
        <v>Illinois</v>
      </c>
      <c r="E4608" s="111" t="str">
        <f t="shared" si="4606"/>
        <v>Harvard</v>
      </c>
    </row>
    <row r="4609" spans="1:5">
      <c r="A4609" s="3" t="s">
        <v>13034</v>
      </c>
      <c r="B4609" s="110" t="s">
        <v>1333</v>
      </c>
      <c r="C4609" s="111" t="s">
        <v>536</v>
      </c>
      <c r="D4609" s="111" t="str">
        <f t="shared" ref="D4609:E4609" si="4607">TRIM(B4609)</f>
        <v>Illinois</v>
      </c>
      <c r="E4609" s="111" t="str">
        <f t="shared" si="4607"/>
        <v>Harvey</v>
      </c>
    </row>
    <row r="4610" spans="1:5">
      <c r="A4610" s="3" t="s">
        <v>13037</v>
      </c>
      <c r="B4610" s="110" t="s">
        <v>1333</v>
      </c>
      <c r="C4610" s="112" t="s">
        <v>3855</v>
      </c>
      <c r="D4610" s="111" t="str">
        <f t="shared" ref="D4610:E4610" si="4608">TRIM(B4610)</f>
        <v>Illinois</v>
      </c>
      <c r="E4610" s="111" t="str">
        <f t="shared" si="4608"/>
        <v>Havana</v>
      </c>
    </row>
    <row r="4611" spans="1:5">
      <c r="A4611" s="3" t="s">
        <v>13040</v>
      </c>
      <c r="B4611" s="110" t="s">
        <v>1333</v>
      </c>
      <c r="C4611" s="111" t="s">
        <v>8519</v>
      </c>
      <c r="D4611" s="111" t="str">
        <f t="shared" ref="D4611:E4611" si="4609">TRIM(B4611)</f>
        <v>Illinois</v>
      </c>
      <c r="E4611" s="111" t="str">
        <f t="shared" si="4609"/>
        <v>Hebron</v>
      </c>
    </row>
    <row r="4612" spans="1:5">
      <c r="A4612" s="3" t="s">
        <v>13045</v>
      </c>
      <c r="B4612" s="110" t="s">
        <v>1333</v>
      </c>
      <c r="C4612" s="111" t="s">
        <v>13046</v>
      </c>
      <c r="D4612" s="111" t="str">
        <f t="shared" ref="D4612:E4612" si="4610">TRIM(B4612)</f>
        <v>Illinois</v>
      </c>
      <c r="E4612" s="111" t="str">
        <f t="shared" si="4610"/>
        <v>Henry</v>
      </c>
    </row>
    <row r="4613" spans="1:5">
      <c r="A4613" s="3" t="s">
        <v>13048</v>
      </c>
      <c r="B4613" s="110" t="s">
        <v>1333</v>
      </c>
      <c r="C4613" s="111" t="s">
        <v>13049</v>
      </c>
      <c r="D4613" s="111" t="str">
        <f t="shared" ref="D4613:E4613" si="4611">TRIM(B4613)</f>
        <v>Illinois</v>
      </c>
      <c r="E4613" s="111" t="str">
        <f t="shared" si="4611"/>
        <v>Herrin</v>
      </c>
    </row>
    <row r="4614" spans="1:5">
      <c r="A4614" s="3" t="s">
        <v>13052</v>
      </c>
      <c r="B4614" s="110" t="s">
        <v>1333</v>
      </c>
      <c r="C4614" s="111" t="s">
        <v>13054</v>
      </c>
      <c r="D4614" s="111" t="str">
        <f t="shared" ref="D4614:E4614" si="4612">TRIM(B4614)</f>
        <v>Illinois</v>
      </c>
      <c r="E4614" s="111" t="str">
        <f t="shared" si="4612"/>
        <v>Herscher</v>
      </c>
    </row>
    <row r="4615" spans="1:5">
      <c r="A4615" s="3" t="s">
        <v>13057</v>
      </c>
      <c r="B4615" s="110" t="s">
        <v>1333</v>
      </c>
      <c r="C4615" s="111" t="s">
        <v>13058</v>
      </c>
      <c r="D4615" s="111" t="str">
        <f t="shared" ref="D4615:E4615" si="4613">TRIM(B4615)</f>
        <v>Illinois</v>
      </c>
      <c r="E4615" s="111" t="str">
        <f t="shared" si="4613"/>
        <v>Heyworth</v>
      </c>
    </row>
    <row r="4616" spans="1:5">
      <c r="A4616" s="3" t="s">
        <v>2665</v>
      </c>
      <c r="B4616" s="110" t="s">
        <v>1333</v>
      </c>
      <c r="C4616" s="111" t="s">
        <v>234</v>
      </c>
      <c r="D4616" s="111" t="str">
        <f t="shared" ref="D4616:E4616" si="4614">TRIM(B4616)</f>
        <v>Illinois</v>
      </c>
      <c r="E4616" s="111" t="str">
        <f t="shared" si="4614"/>
        <v>Highland</v>
      </c>
    </row>
    <row r="4617" spans="1:5">
      <c r="A4617" s="3" t="s">
        <v>13064</v>
      </c>
      <c r="B4617" s="110" t="s">
        <v>1333</v>
      </c>
      <c r="C4617" s="111" t="s">
        <v>13065</v>
      </c>
      <c r="D4617" s="111" t="str">
        <f t="shared" ref="D4617:E4617" si="4615">TRIM(B4617)</f>
        <v>Illinois</v>
      </c>
      <c r="E4617" s="111" t="str">
        <f t="shared" si="4615"/>
        <v>Highland Park</v>
      </c>
    </row>
    <row r="4618" spans="1:5">
      <c r="A4618" s="3" t="s">
        <v>13068</v>
      </c>
      <c r="B4618" s="110" t="s">
        <v>1333</v>
      </c>
      <c r="C4618" s="111" t="s">
        <v>13070</v>
      </c>
      <c r="D4618" s="111" t="str">
        <f t="shared" ref="D4618:E4618" si="4616">TRIM(B4618)</f>
        <v>Illinois</v>
      </c>
      <c r="E4618" s="111" t="str">
        <f t="shared" si="4616"/>
        <v>Hillsboro</v>
      </c>
    </row>
    <row r="4619" spans="1:5">
      <c r="A4619" s="3" t="s">
        <v>13072</v>
      </c>
      <c r="B4619" s="110" t="s">
        <v>1333</v>
      </c>
      <c r="C4619" s="111" t="s">
        <v>898</v>
      </c>
      <c r="D4619" s="111" t="str">
        <f t="shared" ref="D4619:E4619" si="4617">TRIM(B4619)</f>
        <v>Illinois</v>
      </c>
      <c r="E4619" s="111" t="str">
        <f t="shared" si="4617"/>
        <v>Hillside</v>
      </c>
    </row>
    <row r="4620" spans="1:5">
      <c r="A4620" s="3" t="s">
        <v>13075</v>
      </c>
      <c r="B4620" s="110" t="s">
        <v>1333</v>
      </c>
      <c r="C4620" s="111" t="s">
        <v>13076</v>
      </c>
      <c r="D4620" s="111" t="str">
        <f t="shared" ref="D4620:E4620" si="4618">TRIM(B4620)</f>
        <v>Illinois</v>
      </c>
      <c r="E4620" s="111" t="str">
        <f t="shared" si="4618"/>
        <v>Hinckley</v>
      </c>
    </row>
    <row r="4621" spans="1:5">
      <c r="A4621" s="3" t="s">
        <v>13079</v>
      </c>
      <c r="B4621" s="110" t="s">
        <v>1333</v>
      </c>
      <c r="C4621" s="111" t="s">
        <v>13080</v>
      </c>
      <c r="D4621" s="111" t="str">
        <f t="shared" ref="D4621:E4621" si="4619">TRIM(B4621)</f>
        <v>Illinois</v>
      </c>
      <c r="E4621" s="111" t="str">
        <f t="shared" si="4619"/>
        <v>Hinsdale</v>
      </c>
    </row>
    <row r="4622" spans="1:5">
      <c r="A4622" s="110" t="s">
        <v>13081</v>
      </c>
      <c r="B4622" s="110" t="s">
        <v>1333</v>
      </c>
      <c r="C4622" s="111" t="s">
        <v>13082</v>
      </c>
      <c r="D4622" s="111" t="str">
        <f t="shared" ref="D4622:E4622" si="4620">TRIM(B4622)</f>
        <v>Illinois</v>
      </c>
      <c r="E4622" s="111" t="str">
        <f t="shared" si="4620"/>
        <v>Hoffman Estates</v>
      </c>
    </row>
    <row r="4623" spans="1:5">
      <c r="A4623" s="3" t="s">
        <v>13085</v>
      </c>
      <c r="B4623" s="110" t="s">
        <v>1333</v>
      </c>
      <c r="C4623" s="111" t="s">
        <v>13082</v>
      </c>
      <c r="D4623" s="111" t="str">
        <f t="shared" ref="D4623:E4623" si="4621">TRIM(B4623)</f>
        <v>Illinois</v>
      </c>
      <c r="E4623" s="111" t="str">
        <f t="shared" si="4621"/>
        <v>Hoffman Estates</v>
      </c>
    </row>
    <row r="4624" spans="1:5">
      <c r="A4624" s="3" t="s">
        <v>13087</v>
      </c>
      <c r="B4624" s="110" t="s">
        <v>1333</v>
      </c>
      <c r="C4624" s="111" t="s">
        <v>13082</v>
      </c>
      <c r="D4624" s="111" t="str">
        <f t="shared" ref="D4624:E4624" si="4622">TRIM(B4624)</f>
        <v>Illinois</v>
      </c>
      <c r="E4624" s="111" t="str">
        <f t="shared" si="4622"/>
        <v>Hoffman Estates</v>
      </c>
    </row>
    <row r="4625" spans="1:5">
      <c r="A4625" s="3" t="s">
        <v>13091</v>
      </c>
      <c r="B4625" s="110" t="s">
        <v>1333</v>
      </c>
      <c r="C4625" s="111" t="s">
        <v>13092</v>
      </c>
      <c r="D4625" s="111" t="str">
        <f t="shared" ref="D4625:E4625" si="4623">TRIM(B4625)</f>
        <v>Illinois</v>
      </c>
      <c r="E4625" s="111" t="str">
        <f t="shared" si="4623"/>
        <v>Hoopeston</v>
      </c>
    </row>
    <row r="4626" spans="1:5">
      <c r="A4626" s="3" t="s">
        <v>11269</v>
      </c>
      <c r="B4626" s="110" t="s">
        <v>1333</v>
      </c>
      <c r="C4626" s="111" t="s">
        <v>13095</v>
      </c>
      <c r="D4626" s="111" t="str">
        <f t="shared" ref="D4626:E4626" si="4624">TRIM(B4626)</f>
        <v>Illinois</v>
      </c>
      <c r="E4626" s="111" t="str">
        <f t="shared" si="4624"/>
        <v>Hume</v>
      </c>
    </row>
    <row r="4627" spans="1:5">
      <c r="A4627" s="3" t="s">
        <v>13100</v>
      </c>
      <c r="B4627" s="110" t="s">
        <v>1333</v>
      </c>
      <c r="C4627" s="111" t="s">
        <v>6804</v>
      </c>
      <c r="D4627" s="111" t="str">
        <f t="shared" ref="D4627:E4627" si="4625">TRIM(B4627)</f>
        <v>Illinois</v>
      </c>
      <c r="E4627" s="111" t="str">
        <f t="shared" si="4625"/>
        <v>Huntley</v>
      </c>
    </row>
    <row r="4628" spans="1:5">
      <c r="A4628" s="3" t="s">
        <v>13102</v>
      </c>
      <c r="B4628" s="110" t="s">
        <v>1333</v>
      </c>
      <c r="C4628" s="111" t="s">
        <v>13103</v>
      </c>
      <c r="D4628" s="111" t="str">
        <f t="shared" ref="D4628:E4628" si="4626">TRIM(B4628)</f>
        <v>Illinois</v>
      </c>
      <c r="E4628" s="111" t="str">
        <f t="shared" si="4626"/>
        <v>Hutsonville</v>
      </c>
    </row>
    <row r="4629" spans="1:5">
      <c r="A4629" s="3" t="s">
        <v>1892</v>
      </c>
      <c r="B4629" s="110" t="s">
        <v>1333</v>
      </c>
      <c r="C4629" s="112" t="s">
        <v>1045</v>
      </c>
      <c r="D4629" s="111" t="str">
        <f t="shared" ref="D4629:E4629" si="4627">TRIM(B4629)</f>
        <v>Illinois</v>
      </c>
      <c r="E4629" s="111" t="str">
        <f t="shared" si="4627"/>
        <v>Jacksonville</v>
      </c>
    </row>
    <row r="4630" spans="1:5">
      <c r="A4630" s="3" t="s">
        <v>13108</v>
      </c>
      <c r="B4630" s="110" t="s">
        <v>1333</v>
      </c>
      <c r="C4630" s="111" t="s">
        <v>13109</v>
      </c>
      <c r="D4630" s="111" t="str">
        <f t="shared" ref="D4630:E4630" si="4628">TRIM(B4630)</f>
        <v>Illinois</v>
      </c>
      <c r="E4630" s="111" t="str">
        <f t="shared" si="4628"/>
        <v>Jerseyville</v>
      </c>
    </row>
    <row r="4631" spans="1:5">
      <c r="A4631" s="3" t="s">
        <v>13110</v>
      </c>
      <c r="B4631" s="110" t="s">
        <v>1333</v>
      </c>
      <c r="C4631" s="111" t="s">
        <v>13112</v>
      </c>
      <c r="D4631" s="111" t="str">
        <f t="shared" ref="D4631:E4631" si="4629">TRIM(B4631)</f>
        <v>Illinois</v>
      </c>
      <c r="E4631" s="111" t="str">
        <f t="shared" si="4629"/>
        <v>Johnsburg</v>
      </c>
    </row>
    <row r="4632" spans="1:5">
      <c r="A4632" s="3" t="s">
        <v>13113</v>
      </c>
      <c r="B4632" s="110" t="s">
        <v>1333</v>
      </c>
      <c r="C4632" s="111" t="s">
        <v>13114</v>
      </c>
      <c r="D4632" s="111" t="str">
        <f t="shared" ref="D4632:E4632" si="4630">TRIM(B4632)</f>
        <v>Illinois</v>
      </c>
      <c r="E4632" s="111" t="str">
        <f t="shared" si="4630"/>
        <v>Johnston City</v>
      </c>
    </row>
    <row r="4633" spans="1:5">
      <c r="A4633" s="3" t="s">
        <v>13116</v>
      </c>
      <c r="B4633" s="110" t="s">
        <v>1333</v>
      </c>
      <c r="C4633" s="111" t="s">
        <v>13118</v>
      </c>
      <c r="D4633" s="111" t="str">
        <f t="shared" ref="D4633:E4633" si="4631">TRIM(B4633)</f>
        <v>Illinois</v>
      </c>
      <c r="E4633" s="111" t="str">
        <f t="shared" si="4631"/>
        <v>Joliet</v>
      </c>
    </row>
    <row r="4634" spans="1:5">
      <c r="A4634" s="3" t="s">
        <v>13120</v>
      </c>
      <c r="B4634" s="110" t="s">
        <v>1333</v>
      </c>
      <c r="C4634" s="111" t="s">
        <v>13118</v>
      </c>
      <c r="D4634" s="111" t="str">
        <f t="shared" ref="D4634:E4634" si="4632">TRIM(B4634)</f>
        <v>Illinois</v>
      </c>
      <c r="E4634" s="111" t="str">
        <f t="shared" si="4632"/>
        <v>Joliet</v>
      </c>
    </row>
    <row r="4635" spans="1:5">
      <c r="A4635" s="3" t="s">
        <v>13123</v>
      </c>
      <c r="B4635" s="110" t="s">
        <v>1333</v>
      </c>
      <c r="C4635" s="111" t="s">
        <v>13118</v>
      </c>
      <c r="D4635" s="111" t="str">
        <f t="shared" ref="D4635:E4635" si="4633">TRIM(B4635)</f>
        <v>Illinois</v>
      </c>
      <c r="E4635" s="111" t="str">
        <f t="shared" si="4633"/>
        <v>Joliet</v>
      </c>
    </row>
    <row r="4636" spans="1:5">
      <c r="A4636" s="110" t="s">
        <v>13126</v>
      </c>
      <c r="B4636" s="110" t="s">
        <v>1333</v>
      </c>
      <c r="C4636" s="111" t="s">
        <v>13118</v>
      </c>
      <c r="D4636" s="111" t="str">
        <f t="shared" ref="D4636:E4636" si="4634">TRIM(B4636)</f>
        <v>Illinois</v>
      </c>
      <c r="E4636" s="111" t="str">
        <f t="shared" si="4634"/>
        <v>Joliet</v>
      </c>
    </row>
    <row r="4637" spans="1:5">
      <c r="A4637" s="3" t="s">
        <v>13128</v>
      </c>
      <c r="B4637" s="110" t="s">
        <v>1333</v>
      </c>
      <c r="C4637" s="111" t="s">
        <v>11190</v>
      </c>
      <c r="D4637" s="111" t="str">
        <f t="shared" ref="D4637:E4637" si="4635">TRIM(B4637)</f>
        <v>Illinois</v>
      </c>
      <c r="E4637" s="111" t="str">
        <f t="shared" si="4635"/>
        <v>Joppa</v>
      </c>
    </row>
    <row r="4638" spans="1:5">
      <c r="A4638" s="3" t="s">
        <v>13132</v>
      </c>
      <c r="B4638" s="110" t="s">
        <v>1333</v>
      </c>
      <c r="C4638" s="111" t="s">
        <v>13133</v>
      </c>
      <c r="D4638" s="111" t="str">
        <f t="shared" ref="D4638:E4638" si="4636">TRIM(B4638)</f>
        <v>Illinois</v>
      </c>
      <c r="E4638" s="111" t="str">
        <f t="shared" si="4636"/>
        <v>Junction</v>
      </c>
    </row>
    <row r="4639" spans="1:5">
      <c r="A4639" s="110" t="s">
        <v>13134</v>
      </c>
      <c r="B4639" s="110" t="s">
        <v>1333</v>
      </c>
      <c r="C4639" s="111" t="s">
        <v>2991</v>
      </c>
      <c r="D4639" s="111" t="str">
        <f t="shared" ref="D4639:E4639" si="4637">TRIM(B4639)</f>
        <v>Illinois</v>
      </c>
      <c r="E4639" s="111" t="str">
        <f t="shared" si="4637"/>
        <v>Kankakee</v>
      </c>
    </row>
    <row r="4640" spans="1:5">
      <c r="A4640" s="3" t="s">
        <v>13138</v>
      </c>
      <c r="B4640" s="110" t="s">
        <v>1333</v>
      </c>
      <c r="C4640" s="111" t="s">
        <v>2991</v>
      </c>
      <c r="D4640" s="111" t="str">
        <f t="shared" ref="D4640:E4640" si="4638">TRIM(B4640)</f>
        <v>Illinois</v>
      </c>
      <c r="E4640" s="111" t="str">
        <f t="shared" si="4638"/>
        <v>Kankakee</v>
      </c>
    </row>
    <row r="4641" spans="1:5">
      <c r="A4641" s="3" t="s">
        <v>13141</v>
      </c>
      <c r="B4641" s="110" t="s">
        <v>1333</v>
      </c>
      <c r="C4641" s="111" t="s">
        <v>1337</v>
      </c>
      <c r="D4641" s="111" t="str">
        <f t="shared" ref="D4641:E4641" si="4639">TRIM(B4641)</f>
        <v>Illinois</v>
      </c>
      <c r="E4641" s="111" t="str">
        <f t="shared" si="4639"/>
        <v>Kansas</v>
      </c>
    </row>
    <row r="4642" spans="1:5">
      <c r="A4642" s="3" t="s">
        <v>13143</v>
      </c>
      <c r="B4642" s="110" t="s">
        <v>1333</v>
      </c>
      <c r="C4642" s="111" t="s">
        <v>13144</v>
      </c>
      <c r="D4642" s="111" t="str">
        <f t="shared" ref="D4642:E4642" si="4640">TRIM(B4642)</f>
        <v>Illinois</v>
      </c>
      <c r="E4642" s="111" t="str">
        <f t="shared" si="4640"/>
        <v>Kewanee</v>
      </c>
    </row>
    <row r="4643" spans="1:5">
      <c r="A4643" s="3" t="s">
        <v>13145</v>
      </c>
      <c r="B4643" s="110" t="s">
        <v>1333</v>
      </c>
      <c r="C4643" s="111" t="s">
        <v>13144</v>
      </c>
      <c r="D4643" s="111" t="str">
        <f t="shared" ref="D4643:E4643" si="4641">TRIM(B4643)</f>
        <v>Illinois</v>
      </c>
      <c r="E4643" s="111" t="str">
        <f t="shared" si="4641"/>
        <v>Kewanee</v>
      </c>
    </row>
    <row r="4644" spans="1:5">
      <c r="A4644" s="3" t="s">
        <v>13147</v>
      </c>
      <c r="B4644" s="110" t="s">
        <v>1333</v>
      </c>
      <c r="C4644" s="111" t="s">
        <v>13148</v>
      </c>
      <c r="D4644" s="111" t="str">
        <f t="shared" ref="D4644:E4644" si="4642">TRIM(B4644)</f>
        <v>Illinois</v>
      </c>
      <c r="E4644" s="111" t="str">
        <f t="shared" si="4642"/>
        <v>Kincaid</v>
      </c>
    </row>
    <row r="4645" spans="1:5">
      <c r="A4645" s="3" t="s">
        <v>13150</v>
      </c>
      <c r="B4645" s="110" t="s">
        <v>1333</v>
      </c>
      <c r="C4645" s="111" t="s">
        <v>13151</v>
      </c>
      <c r="D4645" s="111" t="str">
        <f t="shared" ref="D4645:E4645" si="4643">TRIM(B4645)</f>
        <v>Illinois</v>
      </c>
      <c r="E4645" s="111" t="str">
        <f t="shared" si="4643"/>
        <v>Kirkland</v>
      </c>
    </row>
    <row r="4646" spans="1:5">
      <c r="A4646" s="3" t="s">
        <v>13154</v>
      </c>
      <c r="B4646" s="110" t="s">
        <v>1333</v>
      </c>
      <c r="C4646" s="111" t="s">
        <v>13155</v>
      </c>
      <c r="D4646" s="111" t="str">
        <f t="shared" ref="D4646:E4646" si="4644">TRIM(B4646)</f>
        <v>Illinois</v>
      </c>
      <c r="E4646" s="111" t="str">
        <f t="shared" si="4644"/>
        <v>Knoxville</v>
      </c>
    </row>
    <row r="4647" spans="1:5">
      <c r="A4647" s="3" t="s">
        <v>13158</v>
      </c>
      <c r="B4647" s="110" t="s">
        <v>1333</v>
      </c>
      <c r="C4647" s="111" t="s">
        <v>5386</v>
      </c>
      <c r="D4647" s="111" t="str">
        <f t="shared" ref="D4647:E4647" si="4645">TRIM(B4647)</f>
        <v>Illinois</v>
      </c>
      <c r="E4647" s="111" t="str">
        <f t="shared" si="4645"/>
        <v>La Grange</v>
      </c>
    </row>
    <row r="4648" spans="1:5">
      <c r="A4648" s="3" t="s">
        <v>13161</v>
      </c>
      <c r="B4648" s="110" t="s">
        <v>1333</v>
      </c>
      <c r="C4648" s="111" t="s">
        <v>13162</v>
      </c>
      <c r="D4648" s="111" t="str">
        <f t="shared" ref="D4648:E4648" si="4646">TRIM(B4648)</f>
        <v>Illinois</v>
      </c>
      <c r="E4648" s="111" t="str">
        <f t="shared" si="4646"/>
        <v>La Moille</v>
      </c>
    </row>
    <row r="4649" spans="1:5">
      <c r="A4649" s="3" t="s">
        <v>13165</v>
      </c>
      <c r="B4649" s="110" t="s">
        <v>1333</v>
      </c>
      <c r="C4649" s="111" t="s">
        <v>13166</v>
      </c>
      <c r="D4649" s="111" t="str">
        <f t="shared" ref="D4649:E4649" si="4647">TRIM(B4649)</f>
        <v>Illinois</v>
      </c>
      <c r="E4649" s="111" t="str">
        <f t="shared" si="4647"/>
        <v>La Salle</v>
      </c>
    </row>
    <row r="4650" spans="1:5">
      <c r="A4650" s="3" t="s">
        <v>8814</v>
      </c>
      <c r="B4650" s="110" t="s">
        <v>1333</v>
      </c>
      <c r="C4650" s="111" t="s">
        <v>5438</v>
      </c>
      <c r="D4650" s="111" t="str">
        <f t="shared" ref="D4650:E4650" si="4648">TRIM(B4650)</f>
        <v>Illinois</v>
      </c>
      <c r="E4650" s="111" t="str">
        <f t="shared" si="4648"/>
        <v>Lake Forest</v>
      </c>
    </row>
    <row r="4651" spans="1:5">
      <c r="A4651" s="3" t="s">
        <v>13169</v>
      </c>
      <c r="B4651" s="110" t="s">
        <v>1333</v>
      </c>
      <c r="C4651" s="111" t="s">
        <v>13171</v>
      </c>
      <c r="D4651" s="111" t="str">
        <f t="shared" ref="D4651:E4651" si="4649">TRIM(B4651)</f>
        <v>Illinois</v>
      </c>
      <c r="E4651" s="111" t="str">
        <f t="shared" si="4649"/>
        <v>Lake Villa</v>
      </c>
    </row>
    <row r="4652" spans="1:5">
      <c r="A4652" s="3" t="s">
        <v>13173</v>
      </c>
      <c r="B4652" s="110" t="s">
        <v>1333</v>
      </c>
      <c r="C4652" s="111" t="s">
        <v>13175</v>
      </c>
      <c r="D4652" s="111" t="str">
        <f t="shared" ref="D4652:E4652" si="4650">TRIM(B4652)</f>
        <v>Illinois</v>
      </c>
      <c r="E4652" s="111" t="str">
        <f t="shared" si="4650"/>
        <v>Lake Zurich</v>
      </c>
    </row>
    <row r="4653" spans="1:5">
      <c r="A4653" s="3" t="s">
        <v>13178</v>
      </c>
      <c r="B4653" s="110" t="s">
        <v>1333</v>
      </c>
      <c r="C4653" s="111" t="s">
        <v>13179</v>
      </c>
      <c r="D4653" s="111" t="str">
        <f t="shared" ref="D4653:E4653" si="4651">TRIM(B4653)</f>
        <v>Illinois</v>
      </c>
      <c r="E4653" s="111" t="str">
        <f t="shared" si="4651"/>
        <v>Lanark</v>
      </c>
    </row>
    <row r="4654" spans="1:5">
      <c r="A4654" s="3" t="s">
        <v>13181</v>
      </c>
      <c r="B4654" s="110" t="s">
        <v>1333</v>
      </c>
      <c r="C4654" s="112" t="s">
        <v>10544</v>
      </c>
      <c r="D4654" s="111" t="str">
        <f t="shared" ref="D4654:E4654" si="4652">TRIM(B4654)</f>
        <v>Illinois</v>
      </c>
      <c r="E4654" s="111" t="str">
        <f t="shared" si="4652"/>
        <v>Lansing</v>
      </c>
    </row>
    <row r="4655" spans="1:5">
      <c r="A4655" s="3" t="s">
        <v>13185</v>
      </c>
      <c r="B4655" s="110" t="s">
        <v>1333</v>
      </c>
      <c r="C4655" s="111" t="s">
        <v>421</v>
      </c>
      <c r="D4655" s="111" t="str">
        <f t="shared" ref="D4655:E4655" si="4653">TRIM(B4655)</f>
        <v>Illinois</v>
      </c>
      <c r="E4655" s="111" t="str">
        <f t="shared" si="4653"/>
        <v>Lawrenceville</v>
      </c>
    </row>
    <row r="4656" spans="1:5">
      <c r="A4656" s="3" t="s">
        <v>13187</v>
      </c>
      <c r="B4656" s="110" t="s">
        <v>1333</v>
      </c>
      <c r="C4656" s="111" t="s">
        <v>13188</v>
      </c>
      <c r="D4656" s="111" t="str">
        <f t="shared" ref="D4656:E4656" si="4654">TRIM(B4656)</f>
        <v>Illinois</v>
      </c>
      <c r="E4656" s="111" t="str">
        <f t="shared" si="4654"/>
        <v>Le Roy</v>
      </c>
    </row>
    <row r="4657" spans="1:5">
      <c r="A4657" s="3" t="s">
        <v>13191</v>
      </c>
      <c r="B4657" s="110" t="s">
        <v>1333</v>
      </c>
      <c r="C4657" s="111" t="s">
        <v>8525</v>
      </c>
      <c r="D4657" s="111" t="str">
        <f t="shared" ref="D4657:E4657" si="4655">TRIM(B4657)</f>
        <v>Illinois</v>
      </c>
      <c r="E4657" s="111" t="str">
        <f t="shared" si="4655"/>
        <v>Lebanon</v>
      </c>
    </row>
    <row r="4658" spans="1:5">
      <c r="A4658" s="3" t="s">
        <v>6923</v>
      </c>
      <c r="B4658" s="110" t="s">
        <v>1333</v>
      </c>
      <c r="C4658" s="111" t="s">
        <v>13195</v>
      </c>
      <c r="D4658" s="111" t="str">
        <f t="shared" ref="D4658:E4658" si="4656">TRIM(B4658)</f>
        <v>Illinois</v>
      </c>
      <c r="E4658" s="111" t="str">
        <f t="shared" si="4656"/>
        <v>Leland</v>
      </c>
    </row>
    <row r="4659" spans="1:5">
      <c r="A4659" s="3" t="s">
        <v>13197</v>
      </c>
      <c r="B4659" s="110" t="s">
        <v>1333</v>
      </c>
      <c r="C4659" s="111" t="s">
        <v>13198</v>
      </c>
      <c r="D4659" s="111" t="str">
        <f t="shared" ref="D4659:E4659" si="4657">TRIM(B4659)</f>
        <v>Illinois</v>
      </c>
      <c r="E4659" s="111" t="str">
        <f t="shared" si="4657"/>
        <v>Lemont</v>
      </c>
    </row>
    <row r="4660" spans="1:5">
      <c r="A4660" s="3" t="s">
        <v>13201</v>
      </c>
      <c r="B4660" s="110" t="s">
        <v>1333</v>
      </c>
      <c r="C4660" s="111" t="s">
        <v>13203</v>
      </c>
      <c r="D4660" s="111" t="str">
        <f t="shared" ref="D4660:E4660" si="4658">TRIM(B4660)</f>
        <v>Illinois</v>
      </c>
      <c r="E4660" s="111" t="str">
        <f t="shared" si="4658"/>
        <v>Lena</v>
      </c>
    </row>
    <row r="4661" spans="1:5">
      <c r="A4661" s="3" t="s">
        <v>13205</v>
      </c>
      <c r="B4661" s="110" t="s">
        <v>1333</v>
      </c>
      <c r="C4661" s="111" t="s">
        <v>13206</v>
      </c>
      <c r="D4661" s="111" t="str">
        <f t="shared" ref="D4661:E4661" si="4659">TRIM(B4661)</f>
        <v>Illinois</v>
      </c>
      <c r="E4661" s="111" t="str">
        <f t="shared" si="4659"/>
        <v>Lewistown</v>
      </c>
    </row>
    <row r="4662" spans="1:5">
      <c r="A4662" s="3" t="s">
        <v>13208</v>
      </c>
      <c r="B4662" s="110" t="s">
        <v>1333</v>
      </c>
      <c r="C4662" s="111" t="s">
        <v>506</v>
      </c>
      <c r="D4662" s="111" t="str">
        <f t="shared" ref="D4662:E4662" si="4660">TRIM(B4662)</f>
        <v>Illinois</v>
      </c>
      <c r="E4662" s="111" t="str">
        <f t="shared" si="4660"/>
        <v>Lexington</v>
      </c>
    </row>
    <row r="4663" spans="1:5">
      <c r="A4663" s="3" t="s">
        <v>2745</v>
      </c>
      <c r="B4663" s="110" t="s">
        <v>1333</v>
      </c>
      <c r="C4663" s="111" t="s">
        <v>6684</v>
      </c>
      <c r="D4663" s="111" t="str">
        <f t="shared" ref="D4663:E4663" si="4661">TRIM(B4663)</f>
        <v>Illinois</v>
      </c>
      <c r="E4663" s="111" t="str">
        <f t="shared" si="4661"/>
        <v>Liberty</v>
      </c>
    </row>
    <row r="4664" spans="1:5">
      <c r="A4664" s="3" t="s">
        <v>13212</v>
      </c>
      <c r="B4664" s="110" t="s">
        <v>1333</v>
      </c>
      <c r="C4664" s="111" t="s">
        <v>13213</v>
      </c>
      <c r="D4664" s="111" t="str">
        <f t="shared" ref="D4664:E4664" si="4662">TRIM(B4664)</f>
        <v>Illinois</v>
      </c>
      <c r="E4664" s="111" t="str">
        <f t="shared" si="4662"/>
        <v>Libertyville</v>
      </c>
    </row>
    <row r="4665" spans="1:5">
      <c r="A4665" s="3" t="s">
        <v>13215</v>
      </c>
      <c r="B4665" s="110" t="s">
        <v>1333</v>
      </c>
      <c r="C4665" s="111" t="s">
        <v>1283</v>
      </c>
      <c r="D4665" s="111" t="str">
        <f t="shared" ref="D4665:E4665" si="4663">TRIM(B4665)</f>
        <v>Illinois</v>
      </c>
      <c r="E4665" s="111" t="str">
        <f t="shared" si="4663"/>
        <v>Lincoln</v>
      </c>
    </row>
    <row r="4666" spans="1:5">
      <c r="A4666" s="3" t="s">
        <v>13217</v>
      </c>
      <c r="B4666" s="110" t="s">
        <v>1333</v>
      </c>
      <c r="C4666" s="111" t="s">
        <v>1192</v>
      </c>
      <c r="D4666" s="111" t="str">
        <f t="shared" ref="D4666:E4666" si="4664">TRIM(B4666)</f>
        <v>Illinois</v>
      </c>
      <c r="E4666" s="111" t="str">
        <f t="shared" si="4664"/>
        <v>Lincolnshire</v>
      </c>
    </row>
    <row r="4667" spans="1:5">
      <c r="A4667" s="3" t="s">
        <v>13220</v>
      </c>
      <c r="B4667" s="110" t="s">
        <v>1333</v>
      </c>
      <c r="C4667" s="111" t="s">
        <v>10554</v>
      </c>
      <c r="D4667" s="111" t="str">
        <f t="shared" ref="D4667:E4667" si="4665">TRIM(B4667)</f>
        <v>Illinois</v>
      </c>
      <c r="E4667" s="111" t="str">
        <f t="shared" si="4665"/>
        <v>Lisle</v>
      </c>
    </row>
    <row r="4668" spans="1:5">
      <c r="A4668" s="3" t="s">
        <v>13222</v>
      </c>
      <c r="B4668" s="110" t="s">
        <v>1333</v>
      </c>
      <c r="C4668" s="111" t="s">
        <v>8531</v>
      </c>
      <c r="D4668" s="111" t="str">
        <f t="shared" ref="D4668:E4668" si="4666">TRIM(B4668)</f>
        <v>Illinois</v>
      </c>
      <c r="E4668" s="111" t="str">
        <f t="shared" si="4666"/>
        <v>Litchfield</v>
      </c>
    </row>
    <row r="4669" spans="1:5">
      <c r="A4669" s="3" t="s">
        <v>13225</v>
      </c>
      <c r="B4669" s="110" t="s">
        <v>1333</v>
      </c>
      <c r="C4669" s="112" t="s">
        <v>12367</v>
      </c>
      <c r="D4669" s="111" t="str">
        <f t="shared" ref="D4669:E4669" si="4667">TRIM(B4669)</f>
        <v>Illinois</v>
      </c>
      <c r="E4669" s="111" t="str">
        <f t="shared" si="4667"/>
        <v>Lockport</v>
      </c>
    </row>
    <row r="4670" spans="1:5">
      <c r="A4670" s="3" t="s">
        <v>13227</v>
      </c>
      <c r="B4670" s="110" t="s">
        <v>1333</v>
      </c>
      <c r="C4670" s="111" t="s">
        <v>10558</v>
      </c>
      <c r="D4670" s="111" t="str">
        <f t="shared" ref="D4670:E4670" si="4668">TRIM(B4670)</f>
        <v>Illinois</v>
      </c>
      <c r="E4670" s="111" t="str">
        <f t="shared" si="4668"/>
        <v>Lombard</v>
      </c>
    </row>
    <row r="4671" spans="1:5">
      <c r="A4671" s="3" t="s">
        <v>13230</v>
      </c>
      <c r="B4671" s="110" t="s">
        <v>1333</v>
      </c>
      <c r="C4671" s="111" t="s">
        <v>13231</v>
      </c>
      <c r="D4671" s="111" t="str">
        <f t="shared" ref="D4671:E4671" si="4669">TRIM(B4671)</f>
        <v>Illinois</v>
      </c>
      <c r="E4671" s="111" t="str">
        <f t="shared" si="4669"/>
        <v>London Mills</v>
      </c>
    </row>
    <row r="4672" spans="1:5">
      <c r="A4672" s="3" t="s">
        <v>13233</v>
      </c>
      <c r="B4672" s="110" t="s">
        <v>1333</v>
      </c>
      <c r="C4672" s="111" t="s">
        <v>494</v>
      </c>
      <c r="D4672" s="111" t="str">
        <f t="shared" ref="D4672:E4672" si="4670">TRIM(B4672)</f>
        <v>Illinois</v>
      </c>
      <c r="E4672" s="111" t="str">
        <f t="shared" si="4670"/>
        <v>Louisville</v>
      </c>
    </row>
    <row r="4673" spans="1:5">
      <c r="A4673" s="3" t="s">
        <v>13237</v>
      </c>
      <c r="B4673" s="110" t="s">
        <v>1333</v>
      </c>
      <c r="C4673" s="111" t="s">
        <v>13239</v>
      </c>
      <c r="D4673" s="111" t="str">
        <f t="shared" ref="D4673:E4673" si="4671">TRIM(B4673)</f>
        <v>Illinois</v>
      </c>
      <c r="E4673" s="111" t="str">
        <f t="shared" si="4671"/>
        <v>Lovejoy</v>
      </c>
    </row>
    <row r="4674" spans="1:5">
      <c r="A4674" s="3" t="s">
        <v>10848</v>
      </c>
      <c r="B4674" s="110" t="s">
        <v>1333</v>
      </c>
      <c r="C4674" s="111" t="s">
        <v>13241</v>
      </c>
      <c r="D4674" s="111" t="str">
        <f t="shared" ref="D4674:E4674" si="4672">TRIM(B4674)</f>
        <v>Illinois</v>
      </c>
      <c r="E4674" s="111" t="str">
        <f t="shared" si="4672"/>
        <v>Machesney Park</v>
      </c>
    </row>
    <row r="4675" spans="1:5">
      <c r="A4675" s="3" t="s">
        <v>13244</v>
      </c>
      <c r="B4675" s="110" t="s">
        <v>1333</v>
      </c>
      <c r="C4675" s="111" t="s">
        <v>13245</v>
      </c>
      <c r="D4675" s="111" t="str">
        <f t="shared" ref="D4675:E4675" si="4673">TRIM(B4675)</f>
        <v>Illinois</v>
      </c>
      <c r="E4675" s="111" t="str">
        <f t="shared" si="4673"/>
        <v>Mackinaw</v>
      </c>
    </row>
    <row r="4676" spans="1:5">
      <c r="A4676" s="3" t="s">
        <v>13247</v>
      </c>
      <c r="B4676" s="110" t="s">
        <v>1333</v>
      </c>
      <c r="C4676" s="111" t="s">
        <v>13249</v>
      </c>
      <c r="D4676" s="111" t="str">
        <f t="shared" ref="D4676:E4676" si="4674">TRIM(B4676)</f>
        <v>Illinois</v>
      </c>
      <c r="E4676" s="111" t="str">
        <f t="shared" si="4674"/>
        <v>Macomb</v>
      </c>
    </row>
    <row r="4677" spans="1:5">
      <c r="A4677" s="3" t="s">
        <v>11805</v>
      </c>
      <c r="B4677" s="110" t="s">
        <v>1333</v>
      </c>
      <c r="C4677" s="111" t="s">
        <v>10396</v>
      </c>
      <c r="D4677" s="111" t="str">
        <f t="shared" ref="D4677:E4677" si="4675">TRIM(B4677)</f>
        <v>Illinois</v>
      </c>
      <c r="E4677" s="111" t="str">
        <f t="shared" si="4675"/>
        <v>Macon</v>
      </c>
    </row>
    <row r="4678" spans="1:5">
      <c r="A4678" s="3" t="s">
        <v>11877</v>
      </c>
      <c r="B4678" s="110" t="s">
        <v>1333</v>
      </c>
      <c r="C4678" s="111" t="s">
        <v>488</v>
      </c>
      <c r="D4678" s="111" t="str">
        <f t="shared" ref="D4678:E4678" si="4676">TRIM(B4678)</f>
        <v>Illinois</v>
      </c>
      <c r="E4678" s="111" t="str">
        <f t="shared" si="4676"/>
        <v>Madison</v>
      </c>
    </row>
    <row r="4679" spans="1:5">
      <c r="A4679" s="3" t="s">
        <v>13252</v>
      </c>
      <c r="B4679" s="110" t="s">
        <v>1333</v>
      </c>
      <c r="C4679" s="111" t="s">
        <v>13253</v>
      </c>
      <c r="D4679" s="111" t="str">
        <f t="shared" ref="D4679:E4679" si="4677">TRIM(B4679)</f>
        <v>Illinois</v>
      </c>
      <c r="E4679" s="111" t="str">
        <f t="shared" si="4677"/>
        <v>Mahomet</v>
      </c>
    </row>
    <row r="4680" spans="1:5">
      <c r="A4680" s="3" t="s">
        <v>13257</v>
      </c>
      <c r="B4680" s="110" t="s">
        <v>1333</v>
      </c>
      <c r="C4680" s="111" t="s">
        <v>13258</v>
      </c>
      <c r="D4680" s="111" t="str">
        <f t="shared" ref="D4680:E4680" si="4678">TRIM(B4680)</f>
        <v>Illinois</v>
      </c>
      <c r="E4680" s="111" t="str">
        <f t="shared" si="4678"/>
        <v>Manito</v>
      </c>
    </row>
    <row r="4681" spans="1:5">
      <c r="A4681" s="3" t="s">
        <v>13260</v>
      </c>
      <c r="B4681" s="110" t="s">
        <v>1333</v>
      </c>
      <c r="C4681" s="111" t="s">
        <v>13261</v>
      </c>
      <c r="D4681" s="111" t="str">
        <f t="shared" ref="D4681:E4681" si="4679">TRIM(B4681)</f>
        <v>Illinois</v>
      </c>
      <c r="E4681" s="111" t="str">
        <f t="shared" si="4679"/>
        <v>Manlius</v>
      </c>
    </row>
    <row r="4682" spans="1:5">
      <c r="A4682" s="3" t="s">
        <v>13263</v>
      </c>
      <c r="B4682" s="110" t="s">
        <v>1333</v>
      </c>
      <c r="C4682" s="111" t="s">
        <v>13264</v>
      </c>
      <c r="D4682" s="111" t="str">
        <f t="shared" ref="D4682:E4682" si="4680">TRIM(B4682)</f>
        <v>Illinois</v>
      </c>
      <c r="E4682" s="111" t="str">
        <f t="shared" si="4680"/>
        <v>Manteno</v>
      </c>
    </row>
    <row r="4683" spans="1:5">
      <c r="A4683" s="3" t="s">
        <v>13266</v>
      </c>
      <c r="B4683" s="110" t="s">
        <v>1333</v>
      </c>
      <c r="C4683" s="112" t="s">
        <v>13267</v>
      </c>
      <c r="D4683" s="111" t="str">
        <f t="shared" ref="D4683:E4683" si="4681">TRIM(B4683)</f>
        <v>Illinois</v>
      </c>
      <c r="E4683" s="111" t="str">
        <f t="shared" si="4681"/>
        <v>Maple Park</v>
      </c>
    </row>
    <row r="4684" spans="1:5">
      <c r="A4684" s="3" t="s">
        <v>13269</v>
      </c>
      <c r="B4684" s="110" t="s">
        <v>1333</v>
      </c>
      <c r="C4684" s="111" t="s">
        <v>13270</v>
      </c>
      <c r="D4684" s="111" t="str">
        <f t="shared" ref="D4684:E4684" si="4682">TRIM(B4684)</f>
        <v>Illinois</v>
      </c>
      <c r="E4684" s="111" t="str">
        <f t="shared" si="4682"/>
        <v>Marengo</v>
      </c>
    </row>
    <row r="4685" spans="1:5">
      <c r="A4685" s="3" t="s">
        <v>13274</v>
      </c>
      <c r="B4685" s="110" t="s">
        <v>1333</v>
      </c>
      <c r="C4685" s="111" t="s">
        <v>3995</v>
      </c>
      <c r="D4685" s="111" t="str">
        <f t="shared" ref="D4685:E4685" si="4683">TRIM(B4685)</f>
        <v>Illinois</v>
      </c>
      <c r="E4685" s="111" t="str">
        <f t="shared" si="4683"/>
        <v>Marion</v>
      </c>
    </row>
    <row r="4686" spans="1:5">
      <c r="A4686" s="3" t="s">
        <v>3993</v>
      </c>
      <c r="B4686" s="110" t="s">
        <v>1333</v>
      </c>
      <c r="C4686" s="111" t="s">
        <v>3995</v>
      </c>
      <c r="D4686" s="111" t="str">
        <f t="shared" ref="D4686:E4686" si="4684">TRIM(B4686)</f>
        <v>Illinois</v>
      </c>
      <c r="E4686" s="111" t="str">
        <f t="shared" si="4684"/>
        <v>Marion</v>
      </c>
    </row>
    <row r="4687" spans="1:5">
      <c r="A4687" s="3" t="s">
        <v>13277</v>
      </c>
      <c r="B4687" s="110" t="s">
        <v>1333</v>
      </c>
      <c r="C4687" s="111" t="s">
        <v>13278</v>
      </c>
      <c r="D4687" s="111" t="str">
        <f t="shared" ref="D4687:E4687" si="4685">TRIM(B4687)</f>
        <v>Illinois</v>
      </c>
      <c r="E4687" s="111" t="str">
        <f t="shared" si="4685"/>
        <v>Marissa</v>
      </c>
    </row>
    <row r="4688" spans="1:5">
      <c r="A4688" s="3" t="s">
        <v>13281</v>
      </c>
      <c r="B4688" s="110" t="s">
        <v>1333</v>
      </c>
      <c r="C4688" s="111" t="s">
        <v>13282</v>
      </c>
      <c r="D4688" s="111" t="str">
        <f t="shared" ref="D4688:E4688" si="4686">TRIM(B4688)</f>
        <v>Illinois</v>
      </c>
      <c r="E4688" s="111" t="str">
        <f t="shared" si="4686"/>
        <v>Maroa</v>
      </c>
    </row>
    <row r="4689" spans="1:5">
      <c r="A4689" s="3" t="s">
        <v>4004</v>
      </c>
      <c r="B4689" s="110" t="s">
        <v>1333</v>
      </c>
      <c r="C4689" s="111" t="s">
        <v>1258</v>
      </c>
      <c r="D4689" s="111" t="str">
        <f t="shared" ref="D4689:E4689" si="4687">TRIM(B4689)</f>
        <v>Illinois</v>
      </c>
      <c r="E4689" s="111" t="str">
        <f t="shared" si="4687"/>
        <v>Marshall</v>
      </c>
    </row>
    <row r="4690" spans="1:5">
      <c r="A4690" s="3" t="s">
        <v>13286</v>
      </c>
      <c r="B4690" s="110" t="s">
        <v>1333</v>
      </c>
      <c r="C4690" s="111" t="s">
        <v>477</v>
      </c>
      <c r="D4690" s="111" t="str">
        <f t="shared" ref="D4690:E4690" si="4688">TRIM(B4690)</f>
        <v>Illinois</v>
      </c>
      <c r="E4690" s="111" t="str">
        <f t="shared" si="4688"/>
        <v>Martinsville</v>
      </c>
    </row>
    <row r="4691" spans="1:5">
      <c r="A4691" s="3" t="s">
        <v>13288</v>
      </c>
      <c r="B4691" s="110" t="s">
        <v>1333</v>
      </c>
      <c r="C4691" s="111" t="s">
        <v>13289</v>
      </c>
      <c r="D4691" s="111" t="str">
        <f t="shared" ref="D4691:E4691" si="4689">TRIM(B4691)</f>
        <v>Illinois</v>
      </c>
      <c r="E4691" s="111" t="str">
        <f t="shared" si="4689"/>
        <v>Mascoutah</v>
      </c>
    </row>
    <row r="4692" spans="1:5">
      <c r="A4692" s="3" t="s">
        <v>13291</v>
      </c>
      <c r="B4692" s="110" t="s">
        <v>1333</v>
      </c>
      <c r="C4692" s="111" t="s">
        <v>13292</v>
      </c>
      <c r="D4692" s="111" t="str">
        <f t="shared" ref="D4692:E4692" si="4690">TRIM(B4692)</f>
        <v>Illinois</v>
      </c>
      <c r="E4692" s="111" t="str">
        <f t="shared" si="4690"/>
        <v>Mason City</v>
      </c>
    </row>
    <row r="4693" spans="1:5">
      <c r="A4693" s="3" t="s">
        <v>13295</v>
      </c>
      <c r="B4693" s="110" t="s">
        <v>1333</v>
      </c>
      <c r="C4693" s="111" t="s">
        <v>13296</v>
      </c>
      <c r="D4693" s="111" t="str">
        <f t="shared" ref="D4693:E4693" si="4691">TRIM(B4693)</f>
        <v>Illinois</v>
      </c>
      <c r="E4693" s="111" t="str">
        <f t="shared" si="4691"/>
        <v>Mattoon</v>
      </c>
    </row>
    <row r="4694" spans="1:5">
      <c r="A4694" s="3" t="s">
        <v>13298</v>
      </c>
      <c r="B4694" s="110" t="s">
        <v>1333</v>
      </c>
      <c r="C4694" s="111" t="s">
        <v>5908</v>
      </c>
      <c r="D4694" s="111" t="str">
        <f t="shared" ref="D4694:E4694" si="4692">TRIM(B4694)</f>
        <v>Illinois</v>
      </c>
      <c r="E4694" s="111" t="str">
        <f t="shared" si="4692"/>
        <v>Maywood</v>
      </c>
    </row>
    <row r="4695" spans="1:5">
      <c r="A4695" s="3" t="s">
        <v>13302</v>
      </c>
      <c r="B4695" s="110" t="s">
        <v>1333</v>
      </c>
      <c r="C4695" s="111" t="s">
        <v>13303</v>
      </c>
      <c r="D4695" s="111" t="str">
        <f t="shared" ref="D4695:E4695" si="4693">TRIM(B4695)</f>
        <v>Illinois</v>
      </c>
      <c r="E4695" s="111" t="str">
        <f t="shared" si="4693"/>
        <v>Mc Leansboro</v>
      </c>
    </row>
    <row r="4696" spans="1:5">
      <c r="A4696" s="3" t="s">
        <v>13306</v>
      </c>
      <c r="B4696" s="110" t="s">
        <v>1333</v>
      </c>
      <c r="C4696" s="111" t="s">
        <v>13307</v>
      </c>
      <c r="D4696" s="111" t="str">
        <f t="shared" ref="D4696:E4696" si="4694">TRIM(B4696)</f>
        <v>Illinois</v>
      </c>
      <c r="E4696" s="111" t="str">
        <f t="shared" si="4694"/>
        <v>Mchenry</v>
      </c>
    </row>
    <row r="4697" spans="1:5">
      <c r="A4697" s="3" t="s">
        <v>13309</v>
      </c>
      <c r="B4697" s="110" t="s">
        <v>1333</v>
      </c>
      <c r="C4697" s="111" t="s">
        <v>13307</v>
      </c>
      <c r="D4697" s="111" t="str">
        <f t="shared" ref="D4697:E4697" si="4695">TRIM(B4697)</f>
        <v>Illinois</v>
      </c>
      <c r="E4697" s="111" t="str">
        <f t="shared" si="4695"/>
        <v>Mchenry</v>
      </c>
    </row>
    <row r="4698" spans="1:5">
      <c r="A4698" s="3" t="s">
        <v>13311</v>
      </c>
      <c r="B4698" s="110" t="s">
        <v>1333</v>
      </c>
      <c r="C4698" s="111" t="s">
        <v>302</v>
      </c>
      <c r="D4698" s="111" t="str">
        <f t="shared" ref="D4698:E4698" si="4696">TRIM(B4698)</f>
        <v>Illinois</v>
      </c>
      <c r="E4698" s="111" t="str">
        <f t="shared" si="4696"/>
        <v>Mendon</v>
      </c>
    </row>
    <row r="4699" spans="1:5">
      <c r="A4699" s="3" t="s">
        <v>13314</v>
      </c>
      <c r="B4699" s="110" t="s">
        <v>1333</v>
      </c>
      <c r="C4699" s="111" t="s">
        <v>5929</v>
      </c>
      <c r="D4699" s="111" t="str">
        <f t="shared" ref="D4699:E4699" si="4697">TRIM(B4699)</f>
        <v>Illinois</v>
      </c>
      <c r="E4699" s="111" t="str">
        <f t="shared" si="4697"/>
        <v>Mendota</v>
      </c>
    </row>
    <row r="4700" spans="1:5">
      <c r="A4700" s="3" t="s">
        <v>13316</v>
      </c>
      <c r="B4700" s="110" t="s">
        <v>1333</v>
      </c>
      <c r="C4700" s="111" t="s">
        <v>13317</v>
      </c>
      <c r="D4700" s="111" t="str">
        <f t="shared" ref="D4700:E4700" si="4698">TRIM(B4700)</f>
        <v>Illinois</v>
      </c>
      <c r="E4700" s="111" t="str">
        <f t="shared" si="4698"/>
        <v>Meredosia</v>
      </c>
    </row>
    <row r="4701" spans="1:5">
      <c r="A4701" s="3" t="s">
        <v>13321</v>
      </c>
      <c r="B4701" s="110" t="s">
        <v>1333</v>
      </c>
      <c r="C4701" s="111" t="s">
        <v>13322</v>
      </c>
      <c r="D4701" s="111" t="str">
        <f t="shared" ref="D4701:E4701" si="4699">TRIM(B4701)</f>
        <v>Illinois</v>
      </c>
      <c r="E4701" s="111" t="str">
        <f t="shared" si="4699"/>
        <v>Metamora</v>
      </c>
    </row>
    <row r="4702" spans="1:5">
      <c r="A4702" s="3" t="s">
        <v>13325</v>
      </c>
      <c r="B4702" s="110" t="s">
        <v>1333</v>
      </c>
      <c r="C4702" s="111" t="s">
        <v>13326</v>
      </c>
      <c r="D4702" s="111" t="str">
        <f t="shared" ref="D4702:E4702" si="4700">TRIM(B4702)</f>
        <v>Illinois</v>
      </c>
      <c r="E4702" s="111" t="str">
        <f t="shared" si="4700"/>
        <v>Metropolis</v>
      </c>
    </row>
    <row r="4703" spans="1:5">
      <c r="A4703" s="3" t="s">
        <v>10456</v>
      </c>
      <c r="B4703" s="110" t="s">
        <v>1333</v>
      </c>
      <c r="C4703" s="111" t="s">
        <v>13329</v>
      </c>
      <c r="D4703" s="111" t="str">
        <f t="shared" ref="D4703:E4703" si="4701">TRIM(B4703)</f>
        <v>Illinois</v>
      </c>
      <c r="E4703" s="111" t="str">
        <f t="shared" si="4701"/>
        <v>Midlothian</v>
      </c>
    </row>
    <row r="4704" spans="1:5">
      <c r="A4704" s="3" t="s">
        <v>13331</v>
      </c>
      <c r="B4704" s="110" t="s">
        <v>1333</v>
      </c>
      <c r="C4704" s="111" t="s">
        <v>8552</v>
      </c>
      <c r="D4704" s="111" t="str">
        <f t="shared" ref="D4704:E4704" si="4702">TRIM(B4704)</f>
        <v>Illinois</v>
      </c>
      <c r="E4704" s="111" t="str">
        <f t="shared" si="4702"/>
        <v>Milford</v>
      </c>
    </row>
    <row r="4705" spans="1:5">
      <c r="A4705" s="3" t="s">
        <v>13334</v>
      </c>
      <c r="B4705" s="110" t="s">
        <v>1333</v>
      </c>
      <c r="C4705" s="111" t="s">
        <v>11086</v>
      </c>
      <c r="D4705" s="111" t="str">
        <f t="shared" ref="D4705:E4705" si="4703">TRIM(B4705)</f>
        <v>Illinois</v>
      </c>
      <c r="E4705" s="111" t="str">
        <f t="shared" si="4703"/>
        <v>Milledgeville</v>
      </c>
    </row>
    <row r="4706" spans="1:5">
      <c r="A4706" s="3" t="s">
        <v>13336</v>
      </c>
      <c r="B4706" s="110" t="s">
        <v>1333</v>
      </c>
      <c r="C4706" s="111" t="s">
        <v>13337</v>
      </c>
      <c r="D4706" s="111" t="str">
        <f t="shared" ref="D4706:E4706" si="4704">TRIM(B4706)</f>
        <v>Illinois</v>
      </c>
      <c r="E4706" s="111" t="str">
        <f t="shared" si="4704"/>
        <v>Minonk</v>
      </c>
    </row>
    <row r="4707" spans="1:5">
      <c r="A4707" s="3" t="s">
        <v>13338</v>
      </c>
      <c r="B4707" s="110" t="s">
        <v>1333</v>
      </c>
      <c r="C4707" s="111" t="s">
        <v>13340</v>
      </c>
      <c r="D4707" s="111" t="str">
        <f t="shared" ref="D4707:E4707" si="4705">TRIM(B4707)</f>
        <v>Illinois</v>
      </c>
      <c r="E4707" s="111" t="str">
        <f t="shared" si="4705"/>
        <v>Minooka</v>
      </c>
    </row>
    <row r="4708" spans="1:5">
      <c r="A4708" s="3" t="s">
        <v>13342</v>
      </c>
      <c r="B4708" s="110" t="s">
        <v>1333</v>
      </c>
      <c r="C4708" s="111" t="s">
        <v>13344</v>
      </c>
      <c r="D4708" s="111" t="str">
        <f t="shared" ref="D4708:E4708" si="4706">TRIM(B4708)</f>
        <v>Illinois</v>
      </c>
      <c r="E4708" s="111" t="str">
        <f t="shared" si="4706"/>
        <v>Moline</v>
      </c>
    </row>
    <row r="4709" spans="1:5">
      <c r="A4709" s="3" t="s">
        <v>13346</v>
      </c>
      <c r="B4709" s="110" t="s">
        <v>1333</v>
      </c>
      <c r="C4709" s="111" t="s">
        <v>13344</v>
      </c>
      <c r="D4709" s="111" t="str">
        <f t="shared" ref="D4709:E4709" si="4707">TRIM(B4709)</f>
        <v>Illinois</v>
      </c>
      <c r="E4709" s="111" t="str">
        <f t="shared" si="4707"/>
        <v>Moline</v>
      </c>
    </row>
    <row r="4710" spans="1:5">
      <c r="A4710" s="3" t="s">
        <v>13348</v>
      </c>
      <c r="B4710" s="110" t="s">
        <v>1333</v>
      </c>
      <c r="C4710" s="111" t="s">
        <v>13351</v>
      </c>
      <c r="D4710" s="111" t="str">
        <f t="shared" ref="D4710:E4710" si="4708">TRIM(B4710)</f>
        <v>Illinois</v>
      </c>
      <c r="E4710" s="111" t="str">
        <f t="shared" si="4708"/>
        <v>Momence</v>
      </c>
    </row>
    <row r="4711" spans="1:5">
      <c r="A4711" s="110" t="s">
        <v>13354</v>
      </c>
      <c r="B4711" s="110" t="s">
        <v>1333</v>
      </c>
      <c r="C4711" s="111" t="s">
        <v>13355</v>
      </c>
      <c r="D4711" s="111" t="str">
        <f t="shared" ref="D4711:E4711" si="4709">TRIM(B4711)</f>
        <v>Illinois</v>
      </c>
      <c r="E4711" s="111" t="str">
        <f t="shared" si="4709"/>
        <v>Monee</v>
      </c>
    </row>
    <row r="4712" spans="1:5">
      <c r="A4712" s="3" t="s">
        <v>13359</v>
      </c>
      <c r="B4712" s="110" t="s">
        <v>1333</v>
      </c>
      <c r="C4712" s="111" t="s">
        <v>13360</v>
      </c>
      <c r="D4712" s="111" t="str">
        <f t="shared" ref="D4712:E4712" si="4710">TRIM(B4712)</f>
        <v>Illinois</v>
      </c>
      <c r="E4712" s="111" t="str">
        <f t="shared" si="4710"/>
        <v>Monmouth</v>
      </c>
    </row>
    <row r="4713" spans="1:5">
      <c r="A4713" s="3" t="s">
        <v>13363</v>
      </c>
      <c r="B4713" s="110" t="s">
        <v>1333</v>
      </c>
      <c r="C4713" s="111" t="s">
        <v>13360</v>
      </c>
      <c r="D4713" s="111" t="str">
        <f t="shared" ref="D4713:E4713" si="4711">TRIM(B4713)</f>
        <v>Illinois</v>
      </c>
      <c r="E4713" s="111" t="str">
        <f t="shared" si="4711"/>
        <v>Monmouth</v>
      </c>
    </row>
    <row r="4714" spans="1:5">
      <c r="A4714" s="3" t="s">
        <v>4042</v>
      </c>
      <c r="B4714" s="110" t="s">
        <v>1333</v>
      </c>
      <c r="C4714" s="111" t="s">
        <v>4040</v>
      </c>
      <c r="D4714" s="111" t="str">
        <f t="shared" ref="D4714:E4714" si="4712">TRIM(B4714)</f>
        <v>Illinois</v>
      </c>
      <c r="E4714" s="111" t="str">
        <f t="shared" si="4712"/>
        <v>Monticello</v>
      </c>
    </row>
    <row r="4715" spans="1:5">
      <c r="A4715" s="3" t="s">
        <v>13368</v>
      </c>
      <c r="B4715" s="110" t="s">
        <v>1333</v>
      </c>
      <c r="C4715" s="111" t="s">
        <v>436</v>
      </c>
      <c r="D4715" s="111" t="str">
        <f t="shared" ref="D4715:E4715" si="4713">TRIM(B4715)</f>
        <v>Illinois</v>
      </c>
      <c r="E4715" s="111" t="str">
        <f t="shared" si="4713"/>
        <v>Morris</v>
      </c>
    </row>
    <row r="4716" spans="1:5">
      <c r="A4716" s="3" t="s">
        <v>13371</v>
      </c>
      <c r="B4716" s="110" t="s">
        <v>1333</v>
      </c>
      <c r="C4716" s="111" t="s">
        <v>13372</v>
      </c>
      <c r="D4716" s="111" t="str">
        <f t="shared" ref="D4716:E4716" si="4714">TRIM(B4716)</f>
        <v>Illinois</v>
      </c>
      <c r="E4716" s="111" t="str">
        <f t="shared" si="4714"/>
        <v>Morrison</v>
      </c>
    </row>
    <row r="4717" spans="1:5">
      <c r="A4717" s="3" t="s">
        <v>13373</v>
      </c>
      <c r="B4717" s="110" t="s">
        <v>1333</v>
      </c>
      <c r="C4717" s="111" t="s">
        <v>13375</v>
      </c>
      <c r="D4717" s="111" t="str">
        <f t="shared" ref="D4717:E4717" si="4715">TRIM(B4717)</f>
        <v>Illinois</v>
      </c>
      <c r="E4717" s="111" t="str">
        <f t="shared" si="4715"/>
        <v>Morrisonville</v>
      </c>
    </row>
    <row r="4718" spans="1:5">
      <c r="A4718" s="3" t="s">
        <v>13377</v>
      </c>
      <c r="B4718" s="110" t="s">
        <v>1333</v>
      </c>
      <c r="C4718" s="111" t="s">
        <v>13378</v>
      </c>
      <c r="D4718" s="111" t="str">
        <f t="shared" ref="D4718:E4718" si="4716">TRIM(B4718)</f>
        <v>Illinois</v>
      </c>
      <c r="E4718" s="111" t="str">
        <f t="shared" si="4716"/>
        <v>Morton</v>
      </c>
    </row>
    <row r="4719" spans="1:5">
      <c r="A4719" s="3" t="s">
        <v>11805</v>
      </c>
      <c r="B4719" s="110" t="s">
        <v>1333</v>
      </c>
      <c r="C4719" s="111" t="s">
        <v>13380</v>
      </c>
      <c r="D4719" s="111" t="str">
        <f t="shared" ref="D4719:E4719" si="4717">TRIM(B4719)</f>
        <v>Illinois</v>
      </c>
      <c r="E4719" s="111" t="str">
        <f t="shared" si="4717"/>
        <v>Mounds</v>
      </c>
    </row>
    <row r="4720" spans="1:5">
      <c r="A4720" s="3" t="s">
        <v>10585</v>
      </c>
      <c r="B4720" s="110" t="s">
        <v>1333</v>
      </c>
      <c r="C4720" s="111" t="s">
        <v>13382</v>
      </c>
      <c r="D4720" s="111" t="str">
        <f t="shared" ref="D4720:E4720" si="4718">TRIM(B4720)</f>
        <v>Illinois</v>
      </c>
      <c r="E4720" s="111" t="str">
        <f t="shared" si="4718"/>
        <v>Mount Carmel</v>
      </c>
    </row>
    <row r="4721" spans="1:5">
      <c r="A4721" s="3" t="s">
        <v>13384</v>
      </c>
      <c r="B4721" s="110" t="s">
        <v>1333</v>
      </c>
      <c r="C4721" s="111" t="s">
        <v>13385</v>
      </c>
      <c r="D4721" s="111" t="str">
        <f t="shared" ref="D4721:E4721" si="4719">TRIM(B4721)</f>
        <v>Illinois</v>
      </c>
      <c r="E4721" s="111" t="str">
        <f t="shared" si="4719"/>
        <v>Mount Olive</v>
      </c>
    </row>
    <row r="4722" spans="1:5">
      <c r="A4722" s="3" t="s">
        <v>13388</v>
      </c>
      <c r="B4722" s="110" t="s">
        <v>1333</v>
      </c>
      <c r="C4722" s="111" t="s">
        <v>13389</v>
      </c>
      <c r="D4722" s="111" t="str">
        <f t="shared" ref="D4722:E4722" si="4720">TRIM(B4722)</f>
        <v>Illinois</v>
      </c>
      <c r="E4722" s="111" t="str">
        <f t="shared" si="4720"/>
        <v>Mount Pulaski</v>
      </c>
    </row>
    <row r="4723" spans="1:5">
      <c r="A4723" s="3" t="s">
        <v>13391</v>
      </c>
      <c r="B4723" s="110" t="s">
        <v>1333</v>
      </c>
      <c r="C4723" s="111" t="s">
        <v>13393</v>
      </c>
      <c r="D4723" s="111" t="str">
        <f t="shared" ref="D4723:E4723" si="4721">TRIM(B4723)</f>
        <v>Illinois</v>
      </c>
      <c r="E4723" s="111" t="str">
        <f t="shared" si="4721"/>
        <v>Mount Sterling</v>
      </c>
    </row>
    <row r="4724" spans="1:5">
      <c r="A4724" s="3" t="s">
        <v>13395</v>
      </c>
      <c r="B4724" s="110" t="s">
        <v>1333</v>
      </c>
      <c r="C4724" s="111" t="s">
        <v>6798</v>
      </c>
      <c r="D4724" s="111" t="str">
        <f t="shared" ref="D4724:E4724" si="4722">TRIM(B4724)</f>
        <v>Illinois</v>
      </c>
      <c r="E4724" s="111" t="str">
        <f t="shared" si="4722"/>
        <v>Mount Vernon</v>
      </c>
    </row>
    <row r="4725" spans="1:5">
      <c r="A4725" s="3" t="s">
        <v>13398</v>
      </c>
      <c r="B4725" s="110" t="s">
        <v>1333</v>
      </c>
      <c r="C4725" s="111" t="s">
        <v>13400</v>
      </c>
      <c r="D4725" s="111" t="str">
        <f t="shared" ref="D4725:E4725" si="4723">TRIM(B4725)</f>
        <v>Illinois</v>
      </c>
      <c r="E4725" s="111" t="str">
        <f t="shared" si="4723"/>
        <v>Mount Zion</v>
      </c>
    </row>
    <row r="4726" spans="1:5">
      <c r="A4726" s="3" t="s">
        <v>13401</v>
      </c>
      <c r="B4726" s="110" t="s">
        <v>1333</v>
      </c>
      <c r="C4726" s="111" t="s">
        <v>13403</v>
      </c>
      <c r="D4726" s="111" t="str">
        <f t="shared" ref="D4726:E4726" si="4724">TRIM(B4726)</f>
        <v>Illinois</v>
      </c>
      <c r="E4726" s="111" t="str">
        <f t="shared" si="4724"/>
        <v>Moweaqua</v>
      </c>
    </row>
    <row r="4727" spans="1:5">
      <c r="A4727" s="3" t="s">
        <v>7104</v>
      </c>
      <c r="B4727" s="110" t="s">
        <v>1333</v>
      </c>
      <c r="C4727" s="111" t="s">
        <v>13404</v>
      </c>
      <c r="D4727" s="111" t="str">
        <f t="shared" ref="D4727:E4727" si="4725">TRIM(B4727)</f>
        <v>Illinois</v>
      </c>
      <c r="E4727" s="111" t="str">
        <f t="shared" si="4725"/>
        <v>Mt Prospect</v>
      </c>
    </row>
    <row r="4728" spans="1:5">
      <c r="A4728" s="3" t="s">
        <v>13406</v>
      </c>
      <c r="B4728" s="110" t="s">
        <v>1333</v>
      </c>
      <c r="C4728" s="111" t="s">
        <v>13407</v>
      </c>
      <c r="D4728" s="111" t="str">
        <f t="shared" ref="D4728:E4728" si="4726">TRIM(B4728)</f>
        <v>Illinois</v>
      </c>
      <c r="E4728" s="111" t="str">
        <f t="shared" si="4726"/>
        <v>Mulberry Grove</v>
      </c>
    </row>
    <row r="4729" spans="1:5">
      <c r="A4729" s="3" t="s">
        <v>13410</v>
      </c>
      <c r="B4729" s="110" t="s">
        <v>1333</v>
      </c>
      <c r="C4729" s="111" t="s">
        <v>1786</v>
      </c>
      <c r="D4729" s="111" t="str">
        <f t="shared" ref="D4729:E4729" si="4727">TRIM(B4729)</f>
        <v>Illinois</v>
      </c>
      <c r="E4729" s="111" t="str">
        <f t="shared" si="4727"/>
        <v>Mundelein</v>
      </c>
    </row>
    <row r="4730" spans="1:5">
      <c r="A4730" s="3" t="s">
        <v>13412</v>
      </c>
      <c r="B4730" s="110" t="s">
        <v>1333</v>
      </c>
      <c r="C4730" s="111" t="s">
        <v>13413</v>
      </c>
      <c r="D4730" s="111" t="str">
        <f t="shared" ref="D4730:E4730" si="4728">TRIM(B4730)</f>
        <v>Illinois</v>
      </c>
      <c r="E4730" s="111" t="str">
        <f t="shared" si="4728"/>
        <v>Murphysboro</v>
      </c>
    </row>
    <row r="4731" spans="1:5">
      <c r="A4731" s="3" t="s">
        <v>13414</v>
      </c>
      <c r="B4731" s="110" t="s">
        <v>1333</v>
      </c>
      <c r="C4731" s="111" t="s">
        <v>13416</v>
      </c>
      <c r="D4731" s="111" t="str">
        <f t="shared" ref="D4731:E4731" si="4729">TRIM(B4731)</f>
        <v>Illinois</v>
      </c>
      <c r="E4731" s="111" t="str">
        <f t="shared" si="4729"/>
        <v>Naperville</v>
      </c>
    </row>
    <row r="4732" spans="1:5">
      <c r="A4732" s="3" t="s">
        <v>13419</v>
      </c>
      <c r="B4732" s="110" t="s">
        <v>1333</v>
      </c>
      <c r="C4732" s="111" t="s">
        <v>13416</v>
      </c>
      <c r="D4732" s="111" t="str">
        <f t="shared" ref="D4732:E4732" si="4730">TRIM(B4732)</f>
        <v>Illinois</v>
      </c>
      <c r="E4732" s="111" t="str">
        <f t="shared" si="4730"/>
        <v>Naperville</v>
      </c>
    </row>
    <row r="4733" spans="1:5">
      <c r="A4733" s="3" t="s">
        <v>13421</v>
      </c>
      <c r="B4733" s="110" t="s">
        <v>1333</v>
      </c>
      <c r="C4733" s="111" t="s">
        <v>13416</v>
      </c>
      <c r="D4733" s="111" t="str">
        <f t="shared" ref="D4733:E4733" si="4731">TRIM(B4733)</f>
        <v>Illinois</v>
      </c>
      <c r="E4733" s="111" t="str">
        <f t="shared" si="4731"/>
        <v>Naperville</v>
      </c>
    </row>
    <row r="4734" spans="1:5">
      <c r="A4734" s="3" t="s">
        <v>13424</v>
      </c>
      <c r="B4734" s="110" t="s">
        <v>1333</v>
      </c>
      <c r="C4734" s="111" t="s">
        <v>350</v>
      </c>
      <c r="D4734" s="111" t="str">
        <f t="shared" ref="D4734:E4734" si="4732">TRIM(B4734)</f>
        <v>Illinois</v>
      </c>
      <c r="E4734" s="111" t="str">
        <f t="shared" si="4732"/>
        <v>Nashville</v>
      </c>
    </row>
    <row r="4735" spans="1:5">
      <c r="A4735" s="3" t="s">
        <v>13428</v>
      </c>
      <c r="B4735" s="110" t="s">
        <v>1333</v>
      </c>
      <c r="C4735" s="111" t="s">
        <v>13429</v>
      </c>
      <c r="D4735" s="111" t="str">
        <f t="shared" ref="D4735:E4735" si="4733">TRIM(B4735)</f>
        <v>Illinois</v>
      </c>
      <c r="E4735" s="111" t="str">
        <f t="shared" si="4733"/>
        <v>Neoga</v>
      </c>
    </row>
    <row r="4736" spans="1:5">
      <c r="A4736" s="3" t="s">
        <v>13432</v>
      </c>
      <c r="B4736" s="110" t="s">
        <v>1333</v>
      </c>
      <c r="C4736" s="112" t="s">
        <v>13433</v>
      </c>
      <c r="D4736" s="111" t="str">
        <f t="shared" ref="D4736:E4736" si="4734">TRIM(B4736)</f>
        <v>Illinois</v>
      </c>
      <c r="E4736" s="111" t="str">
        <f t="shared" si="4734"/>
        <v>New Athens</v>
      </c>
    </row>
    <row r="4737" spans="1:5">
      <c r="A4737" s="3" t="s">
        <v>13435</v>
      </c>
      <c r="B4737" s="110" t="s">
        <v>1333</v>
      </c>
      <c r="C4737" s="111" t="s">
        <v>13436</v>
      </c>
      <c r="D4737" s="111" t="str">
        <f t="shared" ref="D4737:E4737" si="4735">TRIM(B4737)</f>
        <v>Illinois</v>
      </c>
      <c r="E4737" s="111" t="str">
        <f t="shared" si="4735"/>
        <v>New Berlin</v>
      </c>
    </row>
    <row r="4738" spans="1:5">
      <c r="A4738" s="110" t="s">
        <v>13438</v>
      </c>
      <c r="B4738" s="110" t="s">
        <v>1333</v>
      </c>
      <c r="C4738" s="111" t="s">
        <v>13439</v>
      </c>
      <c r="D4738" s="111" t="str">
        <f t="shared" ref="D4738:E4738" si="4736">TRIM(B4738)</f>
        <v>Illinois</v>
      </c>
      <c r="E4738" s="111" t="str">
        <f t="shared" si="4736"/>
        <v>New Lenox</v>
      </c>
    </row>
    <row r="4739" spans="1:5">
      <c r="A4739" s="3" t="s">
        <v>13441</v>
      </c>
      <c r="B4739" s="110" t="s">
        <v>1333</v>
      </c>
      <c r="C4739" s="111" t="s">
        <v>13439</v>
      </c>
      <c r="D4739" s="111" t="str">
        <f t="shared" ref="D4739:E4739" si="4737">TRIM(B4739)</f>
        <v>Illinois</v>
      </c>
      <c r="E4739" s="111" t="str">
        <f t="shared" si="4737"/>
        <v>New Lenox</v>
      </c>
    </row>
    <row r="4740" spans="1:5">
      <c r="A4740" s="3" t="s">
        <v>13443</v>
      </c>
      <c r="B4740" s="110" t="s">
        <v>1333</v>
      </c>
      <c r="C4740" s="111" t="s">
        <v>499</v>
      </c>
      <c r="D4740" s="111" t="str">
        <f t="shared" ref="D4740:E4740" si="4738">TRIM(B4740)</f>
        <v>Illinois</v>
      </c>
      <c r="E4740" s="111" t="str">
        <f t="shared" si="4738"/>
        <v>Newark</v>
      </c>
    </row>
    <row r="4741" spans="1:5">
      <c r="A4741" s="3" t="s">
        <v>13445</v>
      </c>
      <c r="B4741" s="110" t="s">
        <v>1333</v>
      </c>
      <c r="C4741" s="111" t="s">
        <v>11313</v>
      </c>
      <c r="D4741" s="111" t="str">
        <f t="shared" ref="D4741:E4741" si="4739">TRIM(B4741)</f>
        <v>Illinois</v>
      </c>
      <c r="E4741" s="111" t="str">
        <f t="shared" si="4739"/>
        <v>Newton</v>
      </c>
    </row>
    <row r="4742" spans="1:5">
      <c r="A4742" s="3" t="s">
        <v>13446</v>
      </c>
      <c r="B4742" s="110" t="s">
        <v>1333</v>
      </c>
      <c r="C4742" s="111" t="s">
        <v>13448</v>
      </c>
      <c r="D4742" s="111" t="str">
        <f t="shared" ref="D4742:E4742" si="4740">TRIM(B4742)</f>
        <v>Illinois</v>
      </c>
      <c r="E4742" s="111" t="str">
        <f t="shared" si="4740"/>
        <v>Niantic</v>
      </c>
    </row>
    <row r="4743" spans="1:5">
      <c r="A4743" s="3" t="s">
        <v>13449</v>
      </c>
      <c r="B4743" s="110" t="s">
        <v>1333</v>
      </c>
      <c r="C4743" s="111" t="s">
        <v>13450</v>
      </c>
      <c r="D4743" s="111" t="str">
        <f t="shared" ref="D4743:E4743" si="4741">TRIM(B4743)</f>
        <v>Illinois</v>
      </c>
      <c r="E4743" s="111" t="str">
        <f t="shared" si="4741"/>
        <v>Nokomis</v>
      </c>
    </row>
    <row r="4744" spans="1:5">
      <c r="A4744" s="110" t="s">
        <v>13452</v>
      </c>
      <c r="B4744" s="110" t="s">
        <v>1333</v>
      </c>
      <c r="C4744" s="111" t="s">
        <v>13453</v>
      </c>
      <c r="D4744" s="111" t="str">
        <f t="shared" ref="D4744:E4744" si="4742">TRIM(B4744)</f>
        <v>Illinois</v>
      </c>
      <c r="E4744" s="111" t="str">
        <f t="shared" si="4742"/>
        <v>Normal</v>
      </c>
    </row>
    <row r="4745" spans="1:5">
      <c r="A4745" s="110" t="s">
        <v>13454</v>
      </c>
      <c r="B4745" s="110" t="s">
        <v>1333</v>
      </c>
      <c r="C4745" s="111" t="s">
        <v>13453</v>
      </c>
      <c r="D4745" s="111" t="str">
        <f t="shared" ref="D4745:E4745" si="4743">TRIM(B4745)</f>
        <v>Illinois</v>
      </c>
      <c r="E4745" s="111" t="str">
        <f t="shared" si="4743"/>
        <v>Normal</v>
      </c>
    </row>
    <row r="4746" spans="1:5">
      <c r="A4746" s="3" t="s">
        <v>13456</v>
      </c>
      <c r="B4746" s="110" t="s">
        <v>1333</v>
      </c>
      <c r="C4746" s="111" t="s">
        <v>13453</v>
      </c>
      <c r="D4746" s="111" t="str">
        <f t="shared" ref="D4746:E4746" si="4744">TRIM(B4746)</f>
        <v>Illinois</v>
      </c>
      <c r="E4746" s="111" t="str">
        <f t="shared" si="4744"/>
        <v>Normal</v>
      </c>
    </row>
    <row r="4747" spans="1:5">
      <c r="A4747" s="3" t="s">
        <v>13457</v>
      </c>
      <c r="B4747" s="110" t="s">
        <v>1333</v>
      </c>
      <c r="C4747" s="111" t="s">
        <v>13453</v>
      </c>
      <c r="D4747" s="111" t="str">
        <f t="shared" ref="D4747:E4747" si="4745">TRIM(B4747)</f>
        <v>Illinois</v>
      </c>
      <c r="E4747" s="111" t="str">
        <f t="shared" si="4745"/>
        <v>Normal</v>
      </c>
    </row>
    <row r="4748" spans="1:5">
      <c r="A4748" s="110" t="s">
        <v>13459</v>
      </c>
      <c r="B4748" s="110" t="s">
        <v>1333</v>
      </c>
      <c r="C4748" s="111" t="s">
        <v>13453</v>
      </c>
      <c r="D4748" s="111" t="str">
        <f t="shared" ref="D4748:E4748" si="4746">TRIM(B4748)</f>
        <v>Illinois</v>
      </c>
      <c r="E4748" s="111" t="str">
        <f t="shared" si="4746"/>
        <v>Normal</v>
      </c>
    </row>
    <row r="4749" spans="1:5">
      <c r="A4749" s="3" t="s">
        <v>13461</v>
      </c>
      <c r="B4749" s="110" t="s">
        <v>1333</v>
      </c>
      <c r="C4749" s="111" t="s">
        <v>13462</v>
      </c>
      <c r="D4749" s="111" t="str">
        <f t="shared" ref="D4749:E4749" si="4747">TRIM(B4749)</f>
        <v>Illinois</v>
      </c>
      <c r="E4749" s="111" t="str">
        <f t="shared" si="4747"/>
        <v>Norridge</v>
      </c>
    </row>
    <row r="4750" spans="1:5">
      <c r="A4750" s="110" t="s">
        <v>13464</v>
      </c>
      <c r="B4750" s="110" t="s">
        <v>1333</v>
      </c>
      <c r="C4750" s="111" t="s">
        <v>13465</v>
      </c>
      <c r="D4750" s="111" t="str">
        <f t="shared" ref="D4750:E4750" si="4748">TRIM(B4750)</f>
        <v>Illinois</v>
      </c>
      <c r="E4750" s="111" t="str">
        <f t="shared" si="4748"/>
        <v>Norris City</v>
      </c>
    </row>
    <row r="4751" spans="1:5">
      <c r="A4751" s="3" t="s">
        <v>13467</v>
      </c>
      <c r="B4751" s="110" t="s">
        <v>1333</v>
      </c>
      <c r="C4751" s="111" t="s">
        <v>480</v>
      </c>
      <c r="D4751" s="111" t="str">
        <f t="shared" ref="D4751:E4751" si="4749">TRIM(B4751)</f>
        <v>Illinois</v>
      </c>
      <c r="E4751" s="111" t="str">
        <f t="shared" si="4749"/>
        <v>North Chicago</v>
      </c>
    </row>
    <row r="4752" spans="1:5">
      <c r="A4752" s="3" t="s">
        <v>13469</v>
      </c>
      <c r="B4752" s="110" t="s">
        <v>1333</v>
      </c>
      <c r="C4752" s="111" t="s">
        <v>13470</v>
      </c>
      <c r="D4752" s="111" t="str">
        <f t="shared" ref="D4752:E4752" si="4750">TRIM(B4752)</f>
        <v>Illinois</v>
      </c>
      <c r="E4752" s="111" t="str">
        <f t="shared" si="4750"/>
        <v>Northbrook</v>
      </c>
    </row>
    <row r="4753" spans="1:5">
      <c r="A4753" s="3" t="s">
        <v>13472</v>
      </c>
      <c r="B4753" s="110" t="s">
        <v>1333</v>
      </c>
      <c r="C4753" s="111" t="s">
        <v>255</v>
      </c>
      <c r="D4753" s="111" t="str">
        <f t="shared" ref="D4753:E4753" si="4751">TRIM(B4753)</f>
        <v>Illinois</v>
      </c>
      <c r="E4753" s="111" t="str">
        <f t="shared" si="4751"/>
        <v>Northlake</v>
      </c>
    </row>
    <row r="4754" spans="1:5">
      <c r="A4754" s="3" t="s">
        <v>13475</v>
      </c>
      <c r="B4754" s="110" t="s">
        <v>1333</v>
      </c>
      <c r="C4754" s="111" t="s">
        <v>13476</v>
      </c>
      <c r="D4754" s="111" t="str">
        <f t="shared" ref="D4754:E4754" si="4752">TRIM(B4754)</f>
        <v>Illinois</v>
      </c>
      <c r="E4754" s="111" t="str">
        <f t="shared" si="4752"/>
        <v>O Fallon</v>
      </c>
    </row>
    <row r="4755" spans="1:5">
      <c r="A4755" s="3" t="s">
        <v>13477</v>
      </c>
      <c r="B4755" s="110" t="s">
        <v>1333</v>
      </c>
      <c r="C4755" s="111" t="s">
        <v>5426</v>
      </c>
      <c r="D4755" s="111" t="str">
        <f t="shared" ref="D4755:E4755" si="4753">TRIM(B4755)</f>
        <v>Illinois</v>
      </c>
      <c r="E4755" s="111" t="str">
        <f t="shared" si="4753"/>
        <v>Oak Forest</v>
      </c>
    </row>
    <row r="4756" spans="1:5">
      <c r="A4756" s="3" t="s">
        <v>13478</v>
      </c>
      <c r="B4756" s="110" t="s">
        <v>1333</v>
      </c>
      <c r="C4756" s="111" t="s">
        <v>13479</v>
      </c>
      <c r="D4756" s="111" t="str">
        <f t="shared" ref="D4756:E4756" si="4754">TRIM(B4756)</f>
        <v>Illinois</v>
      </c>
      <c r="E4756" s="111" t="str">
        <f t="shared" si="4754"/>
        <v>Oak Lawn</v>
      </c>
    </row>
    <row r="4757" spans="1:5">
      <c r="A4757" s="3" t="s">
        <v>13483</v>
      </c>
      <c r="B4757" s="110" t="s">
        <v>1333</v>
      </c>
      <c r="C4757" s="111" t="s">
        <v>13479</v>
      </c>
      <c r="D4757" s="111" t="str">
        <f t="shared" ref="D4757:E4757" si="4755">TRIM(B4757)</f>
        <v>Illinois</v>
      </c>
      <c r="E4757" s="111" t="str">
        <f t="shared" si="4755"/>
        <v>Oak Lawn</v>
      </c>
    </row>
    <row r="4758" spans="1:5">
      <c r="A4758" s="3" t="s">
        <v>13486</v>
      </c>
      <c r="B4758" s="110" t="s">
        <v>1333</v>
      </c>
      <c r="C4758" s="111" t="s">
        <v>1731</v>
      </c>
      <c r="D4758" s="111" t="str">
        <f t="shared" ref="D4758:E4758" si="4756">TRIM(B4758)</f>
        <v>Illinois</v>
      </c>
      <c r="E4758" s="111" t="str">
        <f t="shared" si="4756"/>
        <v>Oak Park</v>
      </c>
    </row>
    <row r="4759" spans="1:5">
      <c r="A4759" s="3" t="s">
        <v>6188</v>
      </c>
      <c r="B4759" s="110" t="s">
        <v>1333</v>
      </c>
      <c r="C4759" s="111" t="s">
        <v>662</v>
      </c>
      <c r="D4759" s="111" t="str">
        <f t="shared" ref="D4759:E4759" si="4757">TRIM(B4759)</f>
        <v>Illinois</v>
      </c>
      <c r="E4759" s="111" t="str">
        <f t="shared" si="4757"/>
        <v>Oakland</v>
      </c>
    </row>
    <row r="4760" spans="1:5">
      <c r="A4760" s="3" t="s">
        <v>13490</v>
      </c>
      <c r="B4760" s="110" t="s">
        <v>1333</v>
      </c>
      <c r="C4760" s="111" t="s">
        <v>13491</v>
      </c>
      <c r="D4760" s="111" t="str">
        <f t="shared" ref="D4760:E4760" si="4758">TRIM(B4760)</f>
        <v>Illinois</v>
      </c>
      <c r="E4760" s="111" t="str">
        <f t="shared" si="4758"/>
        <v>Oblong</v>
      </c>
    </row>
    <row r="4761" spans="1:5">
      <c r="A4761" s="110" t="s">
        <v>13493</v>
      </c>
      <c r="B4761" s="110" t="s">
        <v>1333</v>
      </c>
      <c r="C4761" s="111" t="s">
        <v>13494</v>
      </c>
      <c r="D4761" s="111" t="str">
        <f t="shared" ref="D4761:E4761" si="4759">TRIM(B4761)</f>
        <v>Illinois</v>
      </c>
      <c r="E4761" s="111" t="str">
        <f t="shared" si="4759"/>
        <v>Odin</v>
      </c>
    </row>
    <row r="4762" spans="1:5">
      <c r="A4762" s="3" t="s">
        <v>13498</v>
      </c>
      <c r="B4762" s="110" t="s">
        <v>1333</v>
      </c>
      <c r="C4762" s="111" t="s">
        <v>1361</v>
      </c>
      <c r="D4762" s="111" t="str">
        <f t="shared" ref="D4762:E4762" si="4760">TRIM(B4762)</f>
        <v>Illinois</v>
      </c>
      <c r="E4762" s="111" t="str">
        <f t="shared" si="4760"/>
        <v>Ohio</v>
      </c>
    </row>
    <row r="4763" spans="1:5">
      <c r="A4763" s="3" t="s">
        <v>13501</v>
      </c>
      <c r="B4763" s="110" t="s">
        <v>1333</v>
      </c>
      <c r="C4763" s="111" t="s">
        <v>13502</v>
      </c>
      <c r="D4763" s="111" t="str">
        <f t="shared" ref="D4763:E4763" si="4761">TRIM(B4763)</f>
        <v>Illinois</v>
      </c>
      <c r="E4763" s="111" t="str">
        <f t="shared" si="4761"/>
        <v>Okawville</v>
      </c>
    </row>
    <row r="4764" spans="1:5">
      <c r="A4764" s="3" t="s">
        <v>13504</v>
      </c>
      <c r="B4764" s="110" t="s">
        <v>1333</v>
      </c>
      <c r="C4764" s="111" t="s">
        <v>13505</v>
      </c>
      <c r="D4764" s="111" t="str">
        <f t="shared" ref="D4764:E4764" si="4762">TRIM(B4764)</f>
        <v>Illinois</v>
      </c>
      <c r="E4764" s="111" t="str">
        <f t="shared" si="4762"/>
        <v>Olney</v>
      </c>
    </row>
    <row r="4765" spans="1:5">
      <c r="A4765" s="3" t="s">
        <v>13506</v>
      </c>
      <c r="B4765" s="110" t="s">
        <v>1333</v>
      </c>
      <c r="C4765" s="111" t="s">
        <v>13507</v>
      </c>
      <c r="D4765" s="111" t="str">
        <f t="shared" ref="D4765:E4765" si="4763">TRIM(B4765)</f>
        <v>Illinois</v>
      </c>
      <c r="E4765" s="111" t="str">
        <f t="shared" si="4763"/>
        <v>Olympia Fields</v>
      </c>
    </row>
    <row r="4766" spans="1:5">
      <c r="A4766" s="3" t="s">
        <v>13509</v>
      </c>
      <c r="B4766" s="110" t="s">
        <v>1333</v>
      </c>
      <c r="C4766" s="111" t="s">
        <v>12369</v>
      </c>
      <c r="D4766" s="111" t="str">
        <f t="shared" ref="D4766:E4766" si="4764">TRIM(B4766)</f>
        <v>Illinois</v>
      </c>
      <c r="E4766" s="111" t="str">
        <f t="shared" si="4764"/>
        <v>Oneida</v>
      </c>
    </row>
    <row r="4767" spans="1:5">
      <c r="A4767" s="3" t="s">
        <v>13510</v>
      </c>
      <c r="B4767" s="110" t="s">
        <v>1333</v>
      </c>
      <c r="C4767" s="111" t="s">
        <v>13511</v>
      </c>
      <c r="D4767" s="111" t="str">
        <f t="shared" ref="D4767:E4767" si="4765">TRIM(B4767)</f>
        <v>Illinois</v>
      </c>
      <c r="E4767" s="111" t="str">
        <f t="shared" si="4765"/>
        <v>Orangeville</v>
      </c>
    </row>
    <row r="4768" spans="1:5">
      <c r="A4768" s="3" t="s">
        <v>13515</v>
      </c>
      <c r="B4768" s="110" t="s">
        <v>1333</v>
      </c>
      <c r="C4768" s="111" t="s">
        <v>1363</v>
      </c>
      <c r="D4768" s="111" t="str">
        <f t="shared" ref="D4768:E4768" si="4766">TRIM(B4768)</f>
        <v>Illinois</v>
      </c>
      <c r="E4768" s="111" t="str">
        <f t="shared" si="4766"/>
        <v>Oregon</v>
      </c>
    </row>
    <row r="4769" spans="1:5">
      <c r="A4769" s="3" t="s">
        <v>13518</v>
      </c>
      <c r="B4769" s="110" t="s">
        <v>1333</v>
      </c>
      <c r="C4769" s="111" t="s">
        <v>13519</v>
      </c>
      <c r="D4769" s="111" t="str">
        <f t="shared" ref="D4769:E4769" si="4767">TRIM(B4769)</f>
        <v>Illinois</v>
      </c>
      <c r="E4769" s="111" t="str">
        <f t="shared" si="4767"/>
        <v>Orion</v>
      </c>
    </row>
    <row r="4770" spans="1:5">
      <c r="A4770" s="3" t="s">
        <v>13521</v>
      </c>
      <c r="B4770" s="110" t="s">
        <v>1333</v>
      </c>
      <c r="C4770" s="111" t="s">
        <v>13522</v>
      </c>
      <c r="D4770" s="111" t="str">
        <f t="shared" ref="D4770:E4770" si="4768">TRIM(B4770)</f>
        <v>Illinois</v>
      </c>
      <c r="E4770" s="111" t="str">
        <f t="shared" si="4768"/>
        <v>Orland Hills</v>
      </c>
    </row>
    <row r="4771" spans="1:5">
      <c r="A4771" s="3" t="s">
        <v>13524</v>
      </c>
      <c r="B4771" s="110" t="s">
        <v>1333</v>
      </c>
      <c r="C4771" s="111" t="s">
        <v>13525</v>
      </c>
      <c r="D4771" s="111" t="str">
        <f t="shared" ref="D4771:E4771" si="4769">TRIM(B4771)</f>
        <v>Illinois</v>
      </c>
      <c r="E4771" s="111" t="str">
        <f t="shared" si="4769"/>
        <v>Orland Park</v>
      </c>
    </row>
    <row r="4772" spans="1:5">
      <c r="A4772" s="3" t="s">
        <v>13527</v>
      </c>
      <c r="B4772" s="110" t="s">
        <v>1333</v>
      </c>
      <c r="C4772" s="111" t="s">
        <v>13528</v>
      </c>
      <c r="D4772" s="111" t="str">
        <f t="shared" ref="D4772:E4772" si="4770">TRIM(B4772)</f>
        <v>Illinois</v>
      </c>
      <c r="E4772" s="111" t="str">
        <f t="shared" si="4770"/>
        <v>Oswego</v>
      </c>
    </row>
    <row r="4773" spans="1:5">
      <c r="A4773" s="3" t="s">
        <v>13531</v>
      </c>
      <c r="B4773" s="110" t="s">
        <v>1333</v>
      </c>
      <c r="C4773" s="111" t="s">
        <v>13528</v>
      </c>
      <c r="D4773" s="111" t="str">
        <f t="shared" ref="D4773:E4773" si="4771">TRIM(B4773)</f>
        <v>Illinois</v>
      </c>
      <c r="E4773" s="111" t="str">
        <f t="shared" si="4771"/>
        <v>Oswego</v>
      </c>
    </row>
    <row r="4774" spans="1:5">
      <c r="A4774" s="110" t="s">
        <v>13533</v>
      </c>
      <c r="B4774" s="110" t="s">
        <v>1333</v>
      </c>
      <c r="C4774" s="111" t="s">
        <v>479</v>
      </c>
      <c r="D4774" s="111" t="str">
        <f t="shared" ref="D4774:E4774" si="4772">TRIM(B4774)</f>
        <v>Illinois</v>
      </c>
      <c r="E4774" s="111" t="str">
        <f t="shared" si="4772"/>
        <v>Ottawa</v>
      </c>
    </row>
    <row r="4775" spans="1:5">
      <c r="A4775" s="3" t="s">
        <v>13535</v>
      </c>
      <c r="B4775" s="110" t="s">
        <v>1333</v>
      </c>
      <c r="C4775" s="111" t="s">
        <v>479</v>
      </c>
      <c r="D4775" s="111" t="str">
        <f t="shared" ref="D4775:E4775" si="4773">TRIM(B4775)</f>
        <v>Illinois</v>
      </c>
      <c r="E4775" s="111" t="str">
        <f t="shared" si="4773"/>
        <v>Ottawa</v>
      </c>
    </row>
    <row r="4776" spans="1:5">
      <c r="A4776" s="110" t="s">
        <v>13537</v>
      </c>
      <c r="B4776" s="110" t="s">
        <v>1333</v>
      </c>
      <c r="C4776" s="111" t="s">
        <v>13539</v>
      </c>
      <c r="D4776" s="111" t="str">
        <f t="shared" ref="D4776:E4776" si="4774">TRIM(B4776)</f>
        <v>Illinois</v>
      </c>
      <c r="E4776" s="111" t="str">
        <f t="shared" si="4774"/>
        <v>Palatine</v>
      </c>
    </row>
    <row r="4777" spans="1:5">
      <c r="A4777" s="3" t="s">
        <v>13540</v>
      </c>
      <c r="B4777" s="110" t="s">
        <v>1333</v>
      </c>
      <c r="C4777" s="111" t="s">
        <v>13539</v>
      </c>
      <c r="D4777" s="111" t="str">
        <f t="shared" ref="D4777:E4777" si="4775">TRIM(B4777)</f>
        <v>Illinois</v>
      </c>
      <c r="E4777" s="111" t="str">
        <f t="shared" si="4775"/>
        <v>Palatine</v>
      </c>
    </row>
    <row r="4778" spans="1:5">
      <c r="A4778" s="3" t="s">
        <v>13542</v>
      </c>
      <c r="B4778" s="110" t="s">
        <v>1333</v>
      </c>
      <c r="C4778" s="111" t="s">
        <v>13539</v>
      </c>
      <c r="D4778" s="111" t="str">
        <f t="shared" ref="D4778:E4778" si="4776">TRIM(B4778)</f>
        <v>Illinois</v>
      </c>
      <c r="E4778" s="111" t="str">
        <f t="shared" si="4776"/>
        <v>Palatine</v>
      </c>
    </row>
    <row r="4779" spans="1:5">
      <c r="A4779" s="3" t="s">
        <v>13543</v>
      </c>
      <c r="B4779" s="110" t="s">
        <v>1333</v>
      </c>
      <c r="C4779" s="111" t="s">
        <v>4105</v>
      </c>
      <c r="D4779" s="111" t="str">
        <f t="shared" ref="D4779:E4779" si="4777">TRIM(B4779)</f>
        <v>Illinois</v>
      </c>
      <c r="E4779" s="111" t="str">
        <f t="shared" si="4777"/>
        <v>Palestine</v>
      </c>
    </row>
    <row r="4780" spans="1:5">
      <c r="A4780" s="3" t="s">
        <v>13546</v>
      </c>
      <c r="B4780" s="110" t="s">
        <v>1333</v>
      </c>
      <c r="C4780" s="111" t="s">
        <v>13547</v>
      </c>
      <c r="D4780" s="111" t="str">
        <f t="shared" ref="D4780:E4780" si="4778">TRIM(B4780)</f>
        <v>Illinois</v>
      </c>
      <c r="E4780" s="111" t="str">
        <f t="shared" si="4778"/>
        <v>Palmyra</v>
      </c>
    </row>
    <row r="4781" spans="1:5">
      <c r="A4781" s="3" t="s">
        <v>13549</v>
      </c>
      <c r="B4781" s="110" t="s">
        <v>1333</v>
      </c>
      <c r="C4781" s="111" t="s">
        <v>13550</v>
      </c>
      <c r="D4781" s="111" t="str">
        <f t="shared" ref="D4781:E4781" si="4779">TRIM(B4781)</f>
        <v>Illinois</v>
      </c>
      <c r="E4781" s="111" t="str">
        <f t="shared" si="4779"/>
        <v>Palos Heights</v>
      </c>
    </row>
    <row r="4782" spans="1:5">
      <c r="A4782" s="3" t="s">
        <v>13552</v>
      </c>
      <c r="B4782" s="110" t="s">
        <v>1333</v>
      </c>
      <c r="C4782" s="111" t="s">
        <v>13553</v>
      </c>
      <c r="D4782" s="111" t="str">
        <f t="shared" ref="D4782:E4782" si="4780">TRIM(B4782)</f>
        <v>Illinois</v>
      </c>
      <c r="E4782" s="111" t="str">
        <f t="shared" si="4780"/>
        <v>Palos Hills</v>
      </c>
    </row>
    <row r="4783" spans="1:5">
      <c r="A4783" s="3" t="s">
        <v>13556</v>
      </c>
      <c r="B4783" s="110" t="s">
        <v>1333</v>
      </c>
      <c r="C4783" s="111" t="s">
        <v>13558</v>
      </c>
      <c r="D4783" s="111" t="str">
        <f t="shared" ref="D4783:E4783" si="4781">TRIM(B4783)</f>
        <v>Illinois</v>
      </c>
      <c r="E4783" s="111" t="str">
        <f t="shared" si="4781"/>
        <v>Pana</v>
      </c>
    </row>
    <row r="4784" spans="1:5">
      <c r="A4784" s="3" t="s">
        <v>13561</v>
      </c>
      <c r="B4784" s="110" t="s">
        <v>1333</v>
      </c>
      <c r="C4784" s="111" t="s">
        <v>194</v>
      </c>
      <c r="D4784" s="111" t="str">
        <f t="shared" ref="D4784:E4784" si="4782">TRIM(B4784)</f>
        <v>Illinois</v>
      </c>
      <c r="E4784" s="111" t="str">
        <f t="shared" si="4782"/>
        <v>Paris</v>
      </c>
    </row>
    <row r="4785" spans="1:5">
      <c r="A4785" s="3" t="s">
        <v>13563</v>
      </c>
      <c r="B4785" s="110" t="s">
        <v>1333</v>
      </c>
      <c r="C4785" s="111" t="s">
        <v>194</v>
      </c>
      <c r="D4785" s="111" t="str">
        <f t="shared" ref="D4785:E4785" si="4783">TRIM(B4785)</f>
        <v>Illinois</v>
      </c>
      <c r="E4785" s="111" t="str">
        <f t="shared" si="4783"/>
        <v>Paris</v>
      </c>
    </row>
    <row r="4786" spans="1:5">
      <c r="A4786" s="3" t="s">
        <v>13566</v>
      </c>
      <c r="B4786" s="110" t="s">
        <v>1333</v>
      </c>
      <c r="C4786" s="111" t="s">
        <v>13567</v>
      </c>
      <c r="D4786" s="111" t="str">
        <f t="shared" ref="D4786:E4786" si="4784">TRIM(B4786)</f>
        <v>Illinois</v>
      </c>
      <c r="E4786" s="111" t="str">
        <f t="shared" si="4784"/>
        <v>Park Forest</v>
      </c>
    </row>
    <row r="4787" spans="1:5">
      <c r="A4787" s="3" t="s">
        <v>13570</v>
      </c>
      <c r="B4787" s="110" t="s">
        <v>1333</v>
      </c>
      <c r="C4787" s="111" t="s">
        <v>13571</v>
      </c>
      <c r="D4787" s="111" t="str">
        <f t="shared" ref="D4787:E4787" si="4785">TRIM(B4787)</f>
        <v>Illinois</v>
      </c>
      <c r="E4787" s="111" t="str">
        <f t="shared" si="4785"/>
        <v>Park Ridge</v>
      </c>
    </row>
    <row r="4788" spans="1:5">
      <c r="A4788" s="3" t="s">
        <v>13573</v>
      </c>
      <c r="B4788" s="110" t="s">
        <v>1333</v>
      </c>
      <c r="C4788" s="111" t="s">
        <v>13571</v>
      </c>
      <c r="D4788" s="111" t="str">
        <f t="shared" ref="D4788:E4788" si="4786">TRIM(B4788)</f>
        <v>Illinois</v>
      </c>
      <c r="E4788" s="111" t="str">
        <f t="shared" si="4786"/>
        <v>Park Ridge</v>
      </c>
    </row>
    <row r="4789" spans="1:5">
      <c r="A4789" s="3" t="s">
        <v>13575</v>
      </c>
      <c r="B4789" s="110" t="s">
        <v>1333</v>
      </c>
      <c r="C4789" s="111" t="s">
        <v>13571</v>
      </c>
      <c r="D4789" s="111" t="str">
        <f t="shared" ref="D4789:E4789" si="4787">TRIM(B4789)</f>
        <v>Illinois</v>
      </c>
      <c r="E4789" s="111" t="str">
        <f t="shared" si="4787"/>
        <v>Park Ridge</v>
      </c>
    </row>
    <row r="4790" spans="1:5">
      <c r="A4790" s="3" t="s">
        <v>13576</v>
      </c>
      <c r="B4790" s="110" t="s">
        <v>1333</v>
      </c>
      <c r="C4790" s="111" t="s">
        <v>13577</v>
      </c>
      <c r="D4790" s="111" t="str">
        <f t="shared" ref="D4790:E4790" si="4788">TRIM(B4790)</f>
        <v>Illinois</v>
      </c>
      <c r="E4790" s="111" t="str">
        <f t="shared" si="4788"/>
        <v>Patoka</v>
      </c>
    </row>
    <row r="4791" spans="1:5">
      <c r="A4791" s="3" t="s">
        <v>13578</v>
      </c>
      <c r="B4791" s="110" t="s">
        <v>1333</v>
      </c>
      <c r="C4791" s="111" t="s">
        <v>13579</v>
      </c>
      <c r="D4791" s="111" t="str">
        <f t="shared" ref="D4791:E4791" si="4789">TRIM(B4791)</f>
        <v>Illinois</v>
      </c>
      <c r="E4791" s="111" t="str">
        <f t="shared" si="4789"/>
        <v>Paw Paw</v>
      </c>
    </row>
    <row r="4792" spans="1:5">
      <c r="A4792" s="3" t="s">
        <v>13581</v>
      </c>
      <c r="B4792" s="110" t="s">
        <v>1333</v>
      </c>
      <c r="C4792" s="111" t="s">
        <v>13582</v>
      </c>
      <c r="D4792" s="111" t="str">
        <f t="shared" ref="D4792:E4792" si="4790">TRIM(B4792)</f>
        <v>Illinois</v>
      </c>
      <c r="E4792" s="111" t="str">
        <f t="shared" si="4790"/>
        <v>Pawnee</v>
      </c>
    </row>
    <row r="4793" spans="1:5">
      <c r="A4793" s="3" t="s">
        <v>13585</v>
      </c>
      <c r="B4793" s="110" t="s">
        <v>1333</v>
      </c>
      <c r="C4793" s="111" t="s">
        <v>13586</v>
      </c>
      <c r="D4793" s="111" t="str">
        <f t="shared" ref="D4793:E4793" si="4791">TRIM(B4793)</f>
        <v>Illinois</v>
      </c>
      <c r="E4793" s="111" t="str">
        <f t="shared" si="4791"/>
        <v>Paxton</v>
      </c>
    </row>
    <row r="4794" spans="1:5">
      <c r="A4794" s="3" t="s">
        <v>8660</v>
      </c>
      <c r="B4794" s="110" t="s">
        <v>1333</v>
      </c>
      <c r="C4794" s="111" t="s">
        <v>2897</v>
      </c>
      <c r="D4794" s="111" t="str">
        <f t="shared" ref="D4794:E4794" si="4792">TRIM(B4794)</f>
        <v>Illinois</v>
      </c>
      <c r="E4794" s="111" t="str">
        <f t="shared" si="4792"/>
        <v>Payson</v>
      </c>
    </row>
    <row r="4795" spans="1:5">
      <c r="A4795" s="3" t="s">
        <v>11552</v>
      </c>
      <c r="B4795" s="110" t="s">
        <v>1333</v>
      </c>
      <c r="C4795" s="111" t="s">
        <v>11553</v>
      </c>
      <c r="D4795" s="111" t="str">
        <f t="shared" ref="D4795:E4795" si="4793">TRIM(B4795)</f>
        <v>Illinois</v>
      </c>
      <c r="E4795" s="111" t="str">
        <f t="shared" si="4793"/>
        <v>Pearl City</v>
      </c>
    </row>
    <row r="4796" spans="1:5">
      <c r="A4796" s="3" t="s">
        <v>13591</v>
      </c>
      <c r="B4796" s="110" t="s">
        <v>1333</v>
      </c>
      <c r="C4796" s="111" t="s">
        <v>13593</v>
      </c>
      <c r="D4796" s="111" t="str">
        <f t="shared" ref="D4796:E4796" si="4794">TRIM(B4796)</f>
        <v>Illinois</v>
      </c>
      <c r="E4796" s="111" t="str">
        <f t="shared" si="4794"/>
        <v>Pecatonica</v>
      </c>
    </row>
    <row r="4797" spans="1:5">
      <c r="A4797" s="3" t="s">
        <v>13595</v>
      </c>
      <c r="B4797" s="110" t="s">
        <v>1333</v>
      </c>
      <c r="C4797" s="111" t="s">
        <v>13596</v>
      </c>
      <c r="D4797" s="111" t="str">
        <f t="shared" ref="D4797:E4797" si="4795">TRIM(B4797)</f>
        <v>Illinois</v>
      </c>
      <c r="E4797" s="111" t="str">
        <f t="shared" si="4795"/>
        <v>Pekin</v>
      </c>
    </row>
    <row r="4798" spans="1:5">
      <c r="A4798" s="110" t="s">
        <v>13598</v>
      </c>
      <c r="B4798" s="110" t="s">
        <v>1333</v>
      </c>
      <c r="C4798" s="111" t="s">
        <v>1105</v>
      </c>
      <c r="D4798" s="111" t="str">
        <f t="shared" ref="D4798:E4798" si="4796">TRIM(B4798)</f>
        <v>Illinois</v>
      </c>
      <c r="E4798" s="111" t="str">
        <f t="shared" si="4796"/>
        <v>Peoria</v>
      </c>
    </row>
    <row r="4799" spans="1:5">
      <c r="A4799" s="3" t="s">
        <v>13600</v>
      </c>
      <c r="B4799" s="110" t="s">
        <v>1333</v>
      </c>
      <c r="C4799" s="111" t="s">
        <v>1105</v>
      </c>
      <c r="D4799" s="111" t="str">
        <f t="shared" ref="D4799:E4799" si="4797">TRIM(B4799)</f>
        <v>Illinois</v>
      </c>
      <c r="E4799" s="111" t="str">
        <f t="shared" si="4797"/>
        <v>Peoria</v>
      </c>
    </row>
    <row r="4800" spans="1:5">
      <c r="A4800" s="3" t="s">
        <v>13602</v>
      </c>
      <c r="B4800" s="110" t="s">
        <v>1333</v>
      </c>
      <c r="C4800" s="111" t="s">
        <v>1105</v>
      </c>
      <c r="D4800" s="111" t="str">
        <f t="shared" ref="D4800:E4800" si="4798">TRIM(B4800)</f>
        <v>Illinois</v>
      </c>
      <c r="E4800" s="111" t="str">
        <f t="shared" si="4798"/>
        <v>Peoria</v>
      </c>
    </row>
    <row r="4801" spans="1:5">
      <c r="A4801" s="110" t="s">
        <v>13604</v>
      </c>
      <c r="B4801" s="110" t="s">
        <v>1333</v>
      </c>
      <c r="C4801" s="111" t="s">
        <v>1105</v>
      </c>
      <c r="D4801" s="111" t="str">
        <f t="shared" ref="D4801:E4801" si="4799">TRIM(B4801)</f>
        <v>Illinois</v>
      </c>
      <c r="E4801" s="111" t="str">
        <f t="shared" si="4799"/>
        <v>Peoria</v>
      </c>
    </row>
    <row r="4802" spans="1:5">
      <c r="A4802" s="3" t="s">
        <v>2913</v>
      </c>
      <c r="B4802" s="110" t="s">
        <v>1333</v>
      </c>
      <c r="C4802" s="111" t="s">
        <v>1105</v>
      </c>
      <c r="D4802" s="111" t="str">
        <f t="shared" ref="D4802:E4802" si="4800">TRIM(B4802)</f>
        <v>Illinois</v>
      </c>
      <c r="E4802" s="111" t="str">
        <f t="shared" si="4800"/>
        <v>Peoria</v>
      </c>
    </row>
    <row r="4803" spans="1:5">
      <c r="A4803" s="3" t="s">
        <v>13608</v>
      </c>
      <c r="B4803" s="110" t="s">
        <v>1333</v>
      </c>
      <c r="C4803" s="111" t="s">
        <v>1105</v>
      </c>
      <c r="D4803" s="111" t="str">
        <f t="shared" ref="D4803:E4803" si="4801">TRIM(B4803)</f>
        <v>Illinois</v>
      </c>
      <c r="E4803" s="111" t="str">
        <f t="shared" si="4801"/>
        <v>Peoria</v>
      </c>
    </row>
    <row r="4804" spans="1:5">
      <c r="A4804" s="3" t="s">
        <v>13610</v>
      </c>
      <c r="B4804" s="110" t="s">
        <v>1333</v>
      </c>
      <c r="C4804" s="111" t="s">
        <v>1105</v>
      </c>
      <c r="D4804" s="111" t="str">
        <f t="shared" ref="D4804:E4804" si="4802">TRIM(B4804)</f>
        <v>Illinois</v>
      </c>
      <c r="E4804" s="111" t="str">
        <f t="shared" si="4802"/>
        <v>Peoria</v>
      </c>
    </row>
    <row r="4805" spans="1:5">
      <c r="A4805" s="110" t="s">
        <v>13613</v>
      </c>
      <c r="B4805" s="110" t="s">
        <v>1333</v>
      </c>
      <c r="C4805" s="111" t="s">
        <v>1105</v>
      </c>
      <c r="D4805" s="111" t="str">
        <f t="shared" ref="D4805:E4805" si="4803">TRIM(B4805)</f>
        <v>Illinois</v>
      </c>
      <c r="E4805" s="111" t="str">
        <f t="shared" si="4803"/>
        <v>Peoria</v>
      </c>
    </row>
    <row r="4806" spans="1:5">
      <c r="A4806" s="3" t="s">
        <v>13616</v>
      </c>
      <c r="B4806" s="110" t="s">
        <v>1333</v>
      </c>
      <c r="C4806" s="111" t="s">
        <v>13617</v>
      </c>
      <c r="D4806" s="111" t="str">
        <f t="shared" ref="D4806:E4806" si="4804">TRIM(B4806)</f>
        <v>Illinois</v>
      </c>
      <c r="E4806" s="111" t="str">
        <f t="shared" si="4804"/>
        <v>Peoria Heights</v>
      </c>
    </row>
    <row r="4807" spans="1:5">
      <c r="A4807" s="3" t="s">
        <v>13620</v>
      </c>
      <c r="B4807" s="110" t="s">
        <v>1333</v>
      </c>
      <c r="C4807" s="111" t="s">
        <v>13621</v>
      </c>
      <c r="D4807" s="111" t="str">
        <f t="shared" ref="D4807:E4807" si="4805">TRIM(B4807)</f>
        <v>Illinois</v>
      </c>
      <c r="E4807" s="111" t="str">
        <f t="shared" si="4805"/>
        <v>Peotone</v>
      </c>
    </row>
    <row r="4808" spans="1:5">
      <c r="A4808" s="3" t="s">
        <v>13622</v>
      </c>
      <c r="B4808" s="110" t="s">
        <v>1333</v>
      </c>
      <c r="C4808" s="111" t="s">
        <v>2409</v>
      </c>
      <c r="D4808" s="111" t="str">
        <f t="shared" ref="D4808:E4808" si="4806">TRIM(B4808)</f>
        <v>Illinois</v>
      </c>
      <c r="E4808" s="111" t="str">
        <f t="shared" si="4806"/>
        <v>Petersburg</v>
      </c>
    </row>
    <row r="4809" spans="1:5">
      <c r="A4809" s="3" t="s">
        <v>13624</v>
      </c>
      <c r="B4809" s="110" t="s">
        <v>1333</v>
      </c>
      <c r="C4809" s="111" t="s">
        <v>13625</v>
      </c>
      <c r="D4809" s="111" t="str">
        <f t="shared" ref="D4809:E4809" si="4807">TRIM(B4809)</f>
        <v>Illinois</v>
      </c>
      <c r="E4809" s="111" t="str">
        <f t="shared" si="4807"/>
        <v>Piasa</v>
      </c>
    </row>
    <row r="4810" spans="1:5">
      <c r="A4810" s="3" t="s">
        <v>13626</v>
      </c>
      <c r="B4810" s="110" t="s">
        <v>1333</v>
      </c>
      <c r="C4810" s="111" t="s">
        <v>13627</v>
      </c>
      <c r="D4810" s="111" t="str">
        <f t="shared" ref="D4810:E4810" si="4808">TRIM(B4810)</f>
        <v>Illinois</v>
      </c>
      <c r="E4810" s="111" t="str">
        <f t="shared" si="4808"/>
        <v>Pinckneyville</v>
      </c>
    </row>
    <row r="4811" spans="1:5">
      <c r="A4811" s="3" t="s">
        <v>13630</v>
      </c>
      <c r="B4811" s="110" t="s">
        <v>1333</v>
      </c>
      <c r="C4811" s="111" t="s">
        <v>11019</v>
      </c>
      <c r="D4811" s="111" t="str">
        <f t="shared" ref="D4811:E4811" si="4809">TRIM(B4811)</f>
        <v>Illinois</v>
      </c>
      <c r="E4811" s="111" t="str">
        <f t="shared" si="4809"/>
        <v>Pittsfield</v>
      </c>
    </row>
    <row r="4812" spans="1:5">
      <c r="A4812" s="3" t="s">
        <v>13632</v>
      </c>
      <c r="B4812" s="110" t="s">
        <v>1333</v>
      </c>
      <c r="C4812" s="111" t="s">
        <v>4652</v>
      </c>
      <c r="D4812" s="111" t="str">
        <f t="shared" ref="D4812:E4812" si="4810">TRIM(B4812)</f>
        <v>Illinois</v>
      </c>
      <c r="E4812" s="111" t="str">
        <f t="shared" si="4810"/>
        <v>Plainfield</v>
      </c>
    </row>
    <row r="4813" spans="1:5">
      <c r="A4813" s="3" t="s">
        <v>13635</v>
      </c>
      <c r="B4813" s="110" t="s">
        <v>1333</v>
      </c>
      <c r="C4813" s="111" t="s">
        <v>4652</v>
      </c>
      <c r="D4813" s="111" t="str">
        <f t="shared" ref="D4813:E4813" si="4811">TRIM(B4813)</f>
        <v>Illinois</v>
      </c>
      <c r="E4813" s="111" t="str">
        <f t="shared" si="4811"/>
        <v>Plainfield</v>
      </c>
    </row>
    <row r="4814" spans="1:5">
      <c r="A4814" s="3" t="s">
        <v>8382</v>
      </c>
      <c r="B4814" s="110" t="s">
        <v>1333</v>
      </c>
      <c r="C4814" s="111" t="s">
        <v>4652</v>
      </c>
      <c r="D4814" s="111" t="str">
        <f t="shared" ref="D4814:E4814" si="4812">TRIM(B4814)</f>
        <v>Illinois</v>
      </c>
      <c r="E4814" s="111" t="str">
        <f t="shared" si="4812"/>
        <v>Plainfield</v>
      </c>
    </row>
    <row r="4815" spans="1:5">
      <c r="A4815" s="3" t="s">
        <v>13637</v>
      </c>
      <c r="B4815" s="110" t="s">
        <v>1333</v>
      </c>
      <c r="C4815" s="111" t="s">
        <v>4652</v>
      </c>
      <c r="D4815" s="111" t="str">
        <f t="shared" ref="D4815:E4815" si="4813">TRIM(B4815)</f>
        <v>Illinois</v>
      </c>
      <c r="E4815" s="111" t="str">
        <f t="shared" si="4813"/>
        <v>Plainfield</v>
      </c>
    </row>
    <row r="4816" spans="1:5">
      <c r="A4816" s="3" t="s">
        <v>13640</v>
      </c>
      <c r="B4816" s="110" t="s">
        <v>1333</v>
      </c>
      <c r="C4816" s="111" t="s">
        <v>4652</v>
      </c>
      <c r="D4816" s="111" t="str">
        <f t="shared" ref="D4816:E4816" si="4814">TRIM(B4816)</f>
        <v>Illinois</v>
      </c>
      <c r="E4816" s="111" t="str">
        <f t="shared" si="4814"/>
        <v>Plainfield</v>
      </c>
    </row>
    <row r="4817" spans="1:5">
      <c r="A4817" s="3" t="s">
        <v>13643</v>
      </c>
      <c r="B4817" s="110" t="s">
        <v>1333</v>
      </c>
      <c r="C4817" s="111" t="s">
        <v>709</v>
      </c>
      <c r="D4817" s="111" t="str">
        <f t="shared" ref="D4817:E4817" si="4815">TRIM(B4817)</f>
        <v>Illinois</v>
      </c>
      <c r="E4817" s="111" t="str">
        <f t="shared" si="4815"/>
        <v>Plano</v>
      </c>
    </row>
    <row r="4818" spans="1:5">
      <c r="A4818" s="3" t="s">
        <v>13645</v>
      </c>
      <c r="B4818" s="110" t="s">
        <v>1333</v>
      </c>
      <c r="C4818" s="111" t="s">
        <v>6400</v>
      </c>
      <c r="D4818" s="111" t="str">
        <f t="shared" ref="D4818:E4818" si="4816">TRIM(B4818)</f>
        <v>Illinois</v>
      </c>
      <c r="E4818" s="111" t="str">
        <f t="shared" si="4816"/>
        <v>Pleasant Hill</v>
      </c>
    </row>
    <row r="4819" spans="1:5">
      <c r="A4819" s="3" t="s">
        <v>13648</v>
      </c>
      <c r="B4819" s="110" t="s">
        <v>1333</v>
      </c>
      <c r="C4819" s="111" t="s">
        <v>4140</v>
      </c>
      <c r="D4819" s="111" t="str">
        <f t="shared" ref="D4819:E4819" si="4817">TRIM(B4819)</f>
        <v>Illinois</v>
      </c>
      <c r="E4819" s="111" t="str">
        <f t="shared" si="4817"/>
        <v>Pleasant Plains</v>
      </c>
    </row>
    <row r="4820" spans="1:5">
      <c r="A4820" s="3" t="s">
        <v>13650</v>
      </c>
      <c r="B4820" s="110" t="s">
        <v>1333</v>
      </c>
      <c r="C4820" s="111" t="s">
        <v>13652</v>
      </c>
      <c r="D4820" s="111" t="str">
        <f t="shared" ref="D4820:E4820" si="4818">TRIM(B4820)</f>
        <v>Illinois</v>
      </c>
      <c r="E4820" s="111" t="str">
        <f t="shared" si="4818"/>
        <v>Polo</v>
      </c>
    </row>
    <row r="4821" spans="1:5">
      <c r="A4821" s="3" t="s">
        <v>13654</v>
      </c>
      <c r="B4821" s="110" t="s">
        <v>1333</v>
      </c>
      <c r="C4821" s="111" t="s">
        <v>13656</v>
      </c>
      <c r="D4821" s="111" t="str">
        <f t="shared" ref="D4821:E4821" si="4819">TRIM(B4821)</f>
        <v>Illinois</v>
      </c>
      <c r="E4821" s="111" t="str">
        <f t="shared" si="4819"/>
        <v>Pontiac</v>
      </c>
    </row>
    <row r="4822" spans="1:5">
      <c r="A4822" s="3" t="s">
        <v>13658</v>
      </c>
      <c r="B4822" s="110" t="s">
        <v>1333</v>
      </c>
      <c r="C4822" s="111" t="s">
        <v>13659</v>
      </c>
      <c r="D4822" s="111" t="str">
        <f t="shared" ref="D4822:E4822" si="4820">TRIM(B4822)</f>
        <v>Illinois</v>
      </c>
      <c r="E4822" s="111" t="str">
        <f t="shared" si="4820"/>
        <v>Poplar Grove</v>
      </c>
    </row>
    <row r="4823" spans="1:5">
      <c r="A4823" s="3" t="s">
        <v>13661</v>
      </c>
      <c r="B4823" s="110" t="s">
        <v>1333</v>
      </c>
      <c r="C4823" s="111" t="s">
        <v>13663</v>
      </c>
      <c r="D4823" s="111" t="str">
        <f t="shared" ref="D4823:E4823" si="4821">TRIM(B4823)</f>
        <v>Illinois</v>
      </c>
      <c r="E4823" s="111" t="str">
        <f t="shared" si="4821"/>
        <v>Port Byron</v>
      </c>
    </row>
    <row r="4824" spans="1:5">
      <c r="A4824" s="3" t="s">
        <v>13665</v>
      </c>
      <c r="B4824" s="110" t="s">
        <v>1333</v>
      </c>
      <c r="C4824" s="111" t="s">
        <v>6448</v>
      </c>
      <c r="D4824" s="111" t="str">
        <f t="shared" ref="D4824:E4824" si="4822">TRIM(B4824)</f>
        <v>Illinois</v>
      </c>
      <c r="E4824" s="111" t="str">
        <f t="shared" si="4822"/>
        <v>Princeton</v>
      </c>
    </row>
    <row r="4825" spans="1:5">
      <c r="A4825" s="3" t="s">
        <v>13666</v>
      </c>
      <c r="B4825" s="110" t="s">
        <v>1333</v>
      </c>
      <c r="C4825" s="111" t="s">
        <v>13667</v>
      </c>
      <c r="D4825" s="111" t="str">
        <f t="shared" ref="D4825:E4825" si="4823">TRIM(B4825)</f>
        <v>Illinois</v>
      </c>
      <c r="E4825" s="111" t="str">
        <f t="shared" si="4823"/>
        <v>Princeville</v>
      </c>
    </row>
    <row r="4826" spans="1:5">
      <c r="A4826" s="3" t="s">
        <v>13669</v>
      </c>
      <c r="B4826" s="110" t="s">
        <v>1333</v>
      </c>
      <c r="C4826" s="111" t="s">
        <v>13670</v>
      </c>
      <c r="D4826" s="111" t="str">
        <f t="shared" ref="D4826:E4826" si="4824">TRIM(B4826)</f>
        <v>Illinois</v>
      </c>
      <c r="E4826" s="111" t="str">
        <f t="shared" si="4824"/>
        <v>Prophetstown</v>
      </c>
    </row>
    <row r="4827" spans="1:5">
      <c r="A4827" s="3" t="s">
        <v>13672</v>
      </c>
      <c r="B4827" s="110" t="s">
        <v>1333</v>
      </c>
      <c r="C4827" s="111" t="s">
        <v>6455</v>
      </c>
      <c r="D4827" s="111" t="str">
        <f t="shared" ref="D4827:E4827" si="4825">TRIM(B4827)</f>
        <v>Illinois</v>
      </c>
      <c r="E4827" s="111" t="str">
        <f t="shared" si="4825"/>
        <v>Quincy</v>
      </c>
    </row>
    <row r="4828" spans="1:5">
      <c r="A4828" s="3" t="s">
        <v>13674</v>
      </c>
      <c r="B4828" s="110" t="s">
        <v>1333</v>
      </c>
      <c r="C4828" s="111" t="s">
        <v>280</v>
      </c>
      <c r="D4828" s="111" t="str">
        <f t="shared" ref="D4828:E4828" si="4826">TRIM(B4828)</f>
        <v>Illinois</v>
      </c>
      <c r="E4828" s="111" t="str">
        <f t="shared" si="4826"/>
        <v>Ramsey</v>
      </c>
    </row>
    <row r="4829" spans="1:5">
      <c r="A4829" s="3" t="s">
        <v>13676</v>
      </c>
      <c r="B4829" s="110" t="s">
        <v>1333</v>
      </c>
      <c r="C4829" s="111" t="s">
        <v>13677</v>
      </c>
      <c r="D4829" s="111" t="str">
        <f t="shared" ref="D4829:E4829" si="4827">TRIM(B4829)</f>
        <v>Illinois</v>
      </c>
      <c r="E4829" s="111" t="str">
        <f t="shared" si="4827"/>
        <v>Rantoul</v>
      </c>
    </row>
    <row r="4830" spans="1:5">
      <c r="A4830" s="3" t="s">
        <v>13679</v>
      </c>
      <c r="B4830" s="110" t="s">
        <v>1333</v>
      </c>
      <c r="C4830" s="111" t="s">
        <v>3897</v>
      </c>
      <c r="D4830" s="111" t="str">
        <f t="shared" ref="D4830:E4830" si="4828">TRIM(B4830)</f>
        <v>Illinois</v>
      </c>
      <c r="E4830" s="111" t="str">
        <f t="shared" si="4828"/>
        <v>Raymond</v>
      </c>
    </row>
    <row r="4831" spans="1:5">
      <c r="A4831" s="3" t="s">
        <v>13681</v>
      </c>
      <c r="B4831" s="110" t="s">
        <v>1333</v>
      </c>
      <c r="C4831" s="111" t="s">
        <v>13682</v>
      </c>
      <c r="D4831" s="111" t="str">
        <f t="shared" ref="D4831:E4831" si="4829">TRIM(B4831)</f>
        <v>Illinois</v>
      </c>
      <c r="E4831" s="111" t="str">
        <f t="shared" si="4829"/>
        <v>Red Bud</v>
      </c>
    </row>
    <row r="4832" spans="1:5">
      <c r="A4832" s="3" t="s">
        <v>13684</v>
      </c>
      <c r="B4832" s="110" t="s">
        <v>1333</v>
      </c>
      <c r="C4832" s="111" t="s">
        <v>657</v>
      </c>
      <c r="D4832" s="111" t="str">
        <f t="shared" ref="D4832:E4832" si="4830">TRIM(B4832)</f>
        <v>Illinois</v>
      </c>
      <c r="E4832" s="111" t="str">
        <f t="shared" si="4830"/>
        <v>Richmond</v>
      </c>
    </row>
    <row r="4833" spans="1:5">
      <c r="A4833" s="3" t="s">
        <v>13687</v>
      </c>
      <c r="B4833" s="110" t="s">
        <v>1333</v>
      </c>
      <c r="C4833" s="111" t="s">
        <v>13688</v>
      </c>
      <c r="D4833" s="111" t="str">
        <f t="shared" ref="D4833:E4833" si="4831">TRIM(B4833)</f>
        <v>Illinois</v>
      </c>
      <c r="E4833" s="111" t="str">
        <f t="shared" si="4831"/>
        <v>Richton Park</v>
      </c>
    </row>
    <row r="4834" spans="1:5">
      <c r="A4834" s="3" t="s">
        <v>13689</v>
      </c>
      <c r="B4834" s="110" t="s">
        <v>1333</v>
      </c>
      <c r="C4834" s="111" t="s">
        <v>13688</v>
      </c>
      <c r="D4834" s="111" t="str">
        <f t="shared" ref="D4834:E4834" si="4832">TRIM(B4834)</f>
        <v>Illinois</v>
      </c>
      <c r="E4834" s="111" t="str">
        <f t="shared" si="4832"/>
        <v>Richton Park</v>
      </c>
    </row>
    <row r="4835" spans="1:5">
      <c r="A4835" s="3" t="s">
        <v>13691</v>
      </c>
      <c r="B4835" s="110" t="s">
        <v>1333</v>
      </c>
      <c r="C4835" s="111" t="s">
        <v>260</v>
      </c>
      <c r="D4835" s="111" t="str">
        <f t="shared" ref="D4835:E4835" si="4833">TRIM(B4835)</f>
        <v>Illinois</v>
      </c>
      <c r="E4835" s="111" t="str">
        <f t="shared" si="4833"/>
        <v>Riverside</v>
      </c>
    </row>
    <row r="4836" spans="1:5">
      <c r="A4836" s="3" t="s">
        <v>13694</v>
      </c>
      <c r="B4836" s="110" t="s">
        <v>1333</v>
      </c>
      <c r="C4836" s="111" t="s">
        <v>13695</v>
      </c>
      <c r="D4836" s="111" t="str">
        <f t="shared" ref="D4836:E4836" si="4834">TRIM(B4836)</f>
        <v>Illinois</v>
      </c>
      <c r="E4836" s="111" t="str">
        <f t="shared" si="4834"/>
        <v>Riverton</v>
      </c>
    </row>
    <row r="4837" spans="1:5">
      <c r="A4837" s="3" t="s">
        <v>13697</v>
      </c>
      <c r="B4837" s="110" t="s">
        <v>1333</v>
      </c>
      <c r="C4837" s="111" t="s">
        <v>2129</v>
      </c>
      <c r="D4837" s="111" t="str">
        <f t="shared" ref="D4837:E4837" si="4835">TRIM(B4837)</f>
        <v>Illinois</v>
      </c>
      <c r="E4837" s="111" t="str">
        <f t="shared" si="4835"/>
        <v>Roanoke</v>
      </c>
    </row>
    <row r="4838" spans="1:5">
      <c r="A4838" s="110" t="s">
        <v>13700</v>
      </c>
      <c r="B4838" s="110" t="s">
        <v>1333</v>
      </c>
      <c r="C4838" s="111" t="s">
        <v>13701</v>
      </c>
      <c r="D4838" s="111" t="str">
        <f t="shared" ref="D4838:E4838" si="4836">TRIM(B4838)</f>
        <v>Illinois</v>
      </c>
      <c r="E4838" s="111" t="str">
        <f t="shared" si="4836"/>
        <v>Robbins</v>
      </c>
    </row>
    <row r="4839" spans="1:5">
      <c r="A4839" s="3" t="s">
        <v>10165</v>
      </c>
      <c r="B4839" s="110" t="s">
        <v>1333</v>
      </c>
      <c r="C4839" s="111" t="s">
        <v>13703</v>
      </c>
      <c r="D4839" s="111" t="str">
        <f t="shared" ref="D4839:E4839" si="4837">TRIM(B4839)</f>
        <v>Illinois</v>
      </c>
      <c r="E4839" s="111" t="str">
        <f t="shared" si="4837"/>
        <v>Robinson</v>
      </c>
    </row>
    <row r="4840" spans="1:5">
      <c r="A4840" s="3" t="s">
        <v>13705</v>
      </c>
      <c r="B4840" s="110" t="s">
        <v>1333</v>
      </c>
      <c r="C4840" s="111" t="s">
        <v>11205</v>
      </c>
      <c r="D4840" s="111" t="str">
        <f t="shared" ref="D4840:E4840" si="4838">TRIM(B4840)</f>
        <v>Illinois</v>
      </c>
      <c r="E4840" s="111" t="str">
        <f t="shared" si="4838"/>
        <v>Rochelle</v>
      </c>
    </row>
    <row r="4841" spans="1:5">
      <c r="A4841" s="3" t="s">
        <v>13707</v>
      </c>
      <c r="B4841" s="110" t="s">
        <v>1333</v>
      </c>
      <c r="C4841" s="111" t="s">
        <v>11566</v>
      </c>
      <c r="D4841" s="111" t="str">
        <f t="shared" ref="D4841:E4841" si="4839">TRIM(B4841)</f>
        <v>Illinois</v>
      </c>
      <c r="E4841" s="111" t="str">
        <f t="shared" si="4839"/>
        <v>Rochester</v>
      </c>
    </row>
    <row r="4842" spans="1:5">
      <c r="A4842" s="3" t="s">
        <v>13709</v>
      </c>
      <c r="B4842" s="110" t="s">
        <v>1333</v>
      </c>
      <c r="C4842" s="111" t="s">
        <v>13710</v>
      </c>
      <c r="D4842" s="111" t="str">
        <f t="shared" ref="D4842:E4842" si="4840">TRIM(B4842)</f>
        <v>Illinois</v>
      </c>
      <c r="E4842" s="111" t="str">
        <f t="shared" si="4840"/>
        <v>Rock Falls</v>
      </c>
    </row>
    <row r="4843" spans="1:5">
      <c r="A4843" s="3" t="s">
        <v>13713</v>
      </c>
      <c r="B4843" s="110" t="s">
        <v>1333</v>
      </c>
      <c r="C4843" s="111" t="s">
        <v>6494</v>
      </c>
      <c r="D4843" s="111" t="str">
        <f t="shared" ref="D4843:E4843" si="4841">TRIM(B4843)</f>
        <v>Illinois</v>
      </c>
      <c r="E4843" s="111" t="str">
        <f t="shared" si="4841"/>
        <v>Rock Island</v>
      </c>
    </row>
    <row r="4844" spans="1:5">
      <c r="A4844" s="110" t="s">
        <v>13715</v>
      </c>
      <c r="B4844" s="110" t="s">
        <v>1333</v>
      </c>
      <c r="C4844" s="111" t="s">
        <v>6494</v>
      </c>
      <c r="D4844" s="111" t="str">
        <f t="shared" ref="D4844:E4844" si="4842">TRIM(B4844)</f>
        <v>Illinois</v>
      </c>
      <c r="E4844" s="111" t="str">
        <f t="shared" si="4842"/>
        <v>Rock Island</v>
      </c>
    </row>
    <row r="4845" spans="1:5">
      <c r="A4845" s="3" t="s">
        <v>1532</v>
      </c>
      <c r="B4845" s="110" t="s">
        <v>1333</v>
      </c>
      <c r="C4845" s="111" t="s">
        <v>2134</v>
      </c>
      <c r="D4845" s="111" t="str">
        <f t="shared" ref="D4845:E4845" si="4843">TRIM(B4845)</f>
        <v>Illinois</v>
      </c>
      <c r="E4845" s="111" t="str">
        <f t="shared" si="4843"/>
        <v>Rockford</v>
      </c>
    </row>
    <row r="4846" spans="1:5">
      <c r="A4846" s="3" t="s">
        <v>8486</v>
      </c>
      <c r="B4846" s="110" t="s">
        <v>1333</v>
      </c>
      <c r="C4846" s="111" t="s">
        <v>2134</v>
      </c>
      <c r="D4846" s="111" t="str">
        <f t="shared" ref="D4846:E4846" si="4844">TRIM(B4846)</f>
        <v>Illinois</v>
      </c>
      <c r="E4846" s="111" t="str">
        <f t="shared" si="4844"/>
        <v>Rockford</v>
      </c>
    </row>
    <row r="4847" spans="1:5">
      <c r="A4847" s="3" t="s">
        <v>4802</v>
      </c>
      <c r="B4847" s="110" t="s">
        <v>1333</v>
      </c>
      <c r="C4847" s="111" t="s">
        <v>2134</v>
      </c>
      <c r="D4847" s="111" t="str">
        <f t="shared" ref="D4847:E4847" si="4845">TRIM(B4847)</f>
        <v>Illinois</v>
      </c>
      <c r="E4847" s="111" t="str">
        <f t="shared" si="4845"/>
        <v>Rockford</v>
      </c>
    </row>
    <row r="4848" spans="1:5">
      <c r="A4848" s="3" t="s">
        <v>13721</v>
      </c>
      <c r="B4848" s="110" t="s">
        <v>1333</v>
      </c>
      <c r="C4848" s="111" t="s">
        <v>2134</v>
      </c>
      <c r="D4848" s="111" t="str">
        <f t="shared" ref="D4848:E4848" si="4846">TRIM(B4848)</f>
        <v>Illinois</v>
      </c>
      <c r="E4848" s="111" t="str">
        <f t="shared" si="4846"/>
        <v>Rockford</v>
      </c>
    </row>
    <row r="4849" spans="1:5">
      <c r="A4849" s="110" t="s">
        <v>13724</v>
      </c>
      <c r="B4849" s="110" t="s">
        <v>1333</v>
      </c>
      <c r="C4849" s="111" t="s">
        <v>2134</v>
      </c>
      <c r="D4849" s="111" t="str">
        <f t="shared" ref="D4849:E4849" si="4847">TRIM(B4849)</f>
        <v>Illinois</v>
      </c>
      <c r="E4849" s="111" t="str">
        <f t="shared" si="4847"/>
        <v>Rockford</v>
      </c>
    </row>
    <row r="4850" spans="1:5">
      <c r="A4850" s="110" t="s">
        <v>13727</v>
      </c>
      <c r="B4850" s="110" t="s">
        <v>1333</v>
      </c>
      <c r="C4850" s="111" t="s">
        <v>2134</v>
      </c>
      <c r="D4850" s="111" t="str">
        <f t="shared" ref="D4850:E4850" si="4848">TRIM(B4850)</f>
        <v>Illinois</v>
      </c>
      <c r="E4850" s="111" t="str">
        <f t="shared" si="4848"/>
        <v>Rockford</v>
      </c>
    </row>
    <row r="4851" spans="1:5">
      <c r="A4851" s="3" t="s">
        <v>13729</v>
      </c>
      <c r="B4851" s="110" t="s">
        <v>1333</v>
      </c>
      <c r="C4851" s="111" t="s">
        <v>13730</v>
      </c>
      <c r="D4851" s="111" t="str">
        <f t="shared" ref="D4851:E4851" si="4849">TRIM(B4851)</f>
        <v>Illinois</v>
      </c>
      <c r="E4851" s="111" t="str">
        <f t="shared" si="4849"/>
        <v>Rockton</v>
      </c>
    </row>
    <row r="4852" spans="1:5">
      <c r="A4852" s="3" t="s">
        <v>13732</v>
      </c>
      <c r="B4852" s="110" t="s">
        <v>1333</v>
      </c>
      <c r="C4852" s="113" t="s">
        <v>13733</v>
      </c>
      <c r="D4852" s="111" t="str">
        <f t="shared" ref="D4852:E4852" si="4850">TRIM(B4852)</f>
        <v>Illinois</v>
      </c>
      <c r="E4852" s="111" t="str">
        <f t="shared" si="4850"/>
        <v>Rolling Meadows</v>
      </c>
    </row>
    <row r="4853" spans="1:5">
      <c r="A4853" s="3" t="s">
        <v>13737</v>
      </c>
      <c r="B4853" s="110" t="s">
        <v>1333</v>
      </c>
      <c r="C4853" s="111" t="s">
        <v>13738</v>
      </c>
      <c r="D4853" s="111" t="str">
        <f t="shared" ref="D4853:E4853" si="4851">TRIM(B4853)</f>
        <v>Illinois</v>
      </c>
      <c r="E4853" s="111" t="str">
        <f t="shared" si="4851"/>
        <v>Romeoville</v>
      </c>
    </row>
    <row r="4854" spans="1:5">
      <c r="A4854" s="3" t="s">
        <v>13740</v>
      </c>
      <c r="B4854" s="110" t="s">
        <v>1333</v>
      </c>
      <c r="C4854" s="111" t="s">
        <v>864</v>
      </c>
      <c r="D4854" s="111" t="str">
        <f t="shared" ref="D4854:E4854" si="4852">TRIM(B4854)</f>
        <v>Illinois</v>
      </c>
      <c r="E4854" s="111" t="str">
        <f t="shared" si="4852"/>
        <v>Roselle</v>
      </c>
    </row>
    <row r="4855" spans="1:5">
      <c r="A4855" s="3" t="s">
        <v>13743</v>
      </c>
      <c r="B4855" s="110" t="s">
        <v>1333</v>
      </c>
      <c r="C4855" s="111" t="s">
        <v>10703</v>
      </c>
      <c r="D4855" s="111" t="str">
        <f t="shared" ref="D4855:E4855" si="4853">TRIM(B4855)</f>
        <v>Illinois</v>
      </c>
      <c r="E4855" s="111" t="str">
        <f t="shared" si="4853"/>
        <v>Rossville</v>
      </c>
    </row>
    <row r="4856" spans="1:5">
      <c r="A4856" s="3" t="s">
        <v>13745</v>
      </c>
      <c r="B4856" s="110" t="s">
        <v>1333</v>
      </c>
      <c r="C4856" s="111" t="s">
        <v>13747</v>
      </c>
      <c r="D4856" s="111" t="str">
        <f t="shared" ref="D4856:E4856" si="4854">TRIM(B4856)</f>
        <v>Illinois</v>
      </c>
      <c r="E4856" s="111" t="str">
        <f t="shared" si="4854"/>
        <v>Round Lake</v>
      </c>
    </row>
    <row r="4857" spans="1:5">
      <c r="A4857" s="110" t="s">
        <v>13749</v>
      </c>
      <c r="B4857" s="110" t="s">
        <v>1333</v>
      </c>
      <c r="C4857" s="111" t="s">
        <v>13747</v>
      </c>
      <c r="D4857" s="111" t="str">
        <f t="shared" ref="D4857:E4857" si="4855">TRIM(B4857)</f>
        <v>Illinois</v>
      </c>
      <c r="E4857" s="111" t="str">
        <f t="shared" si="4855"/>
        <v>Round Lake</v>
      </c>
    </row>
    <row r="4858" spans="1:5">
      <c r="A4858" s="3" t="s">
        <v>13751</v>
      </c>
      <c r="B4858" s="110" t="s">
        <v>1333</v>
      </c>
      <c r="C4858" s="111" t="s">
        <v>13752</v>
      </c>
      <c r="D4858" s="111" t="str">
        <f t="shared" ref="D4858:E4858" si="4856">TRIM(B4858)</f>
        <v>Illinois</v>
      </c>
      <c r="E4858" s="111" t="str">
        <f t="shared" si="4856"/>
        <v>Roxana</v>
      </c>
    </row>
    <row r="4859" spans="1:5">
      <c r="A4859" s="3" t="s">
        <v>13754</v>
      </c>
      <c r="B4859" s="110" t="s">
        <v>1333</v>
      </c>
      <c r="C4859" s="111" t="s">
        <v>13755</v>
      </c>
      <c r="D4859" s="111" t="str">
        <f t="shared" ref="D4859:E4859" si="4857">TRIM(B4859)</f>
        <v>Illinois</v>
      </c>
      <c r="E4859" s="111" t="str">
        <f t="shared" si="4857"/>
        <v>Rushville</v>
      </c>
    </row>
    <row r="4860" spans="1:5">
      <c r="A4860" s="3" t="s">
        <v>13757</v>
      </c>
      <c r="B4860" s="110" t="s">
        <v>1333</v>
      </c>
      <c r="C4860" s="111" t="s">
        <v>13758</v>
      </c>
      <c r="D4860" s="111" t="str">
        <f t="shared" ref="D4860:E4860" si="4858">TRIM(B4860)</f>
        <v>Illinois</v>
      </c>
      <c r="E4860" s="111" t="str">
        <f t="shared" si="4858"/>
        <v>Saint Anne</v>
      </c>
    </row>
    <row r="4861" spans="1:5">
      <c r="A4861" s="3" t="s">
        <v>13759</v>
      </c>
      <c r="B4861" s="110" t="s">
        <v>1333</v>
      </c>
      <c r="C4861" s="111" t="s">
        <v>13760</v>
      </c>
      <c r="D4861" s="111" t="str">
        <f t="shared" ref="D4861:E4861" si="4859">TRIM(B4861)</f>
        <v>Illinois</v>
      </c>
      <c r="E4861" s="111" t="str">
        <f t="shared" si="4859"/>
        <v>Saint Elmo</v>
      </c>
    </row>
    <row r="4862" spans="1:5">
      <c r="A4862" s="3" t="s">
        <v>13762</v>
      </c>
      <c r="B4862" s="110" t="s">
        <v>1333</v>
      </c>
      <c r="C4862" s="111" t="s">
        <v>10972</v>
      </c>
      <c r="D4862" s="111" t="str">
        <f t="shared" ref="D4862:E4862" si="4860">TRIM(B4862)</f>
        <v>Illinois</v>
      </c>
      <c r="E4862" s="111" t="str">
        <f t="shared" si="4860"/>
        <v>Saint Joseph</v>
      </c>
    </row>
    <row r="4863" spans="1:5">
      <c r="A4863" s="3" t="s">
        <v>13764</v>
      </c>
      <c r="B4863" s="110" t="s">
        <v>1333</v>
      </c>
      <c r="C4863" s="111" t="s">
        <v>451</v>
      </c>
      <c r="D4863" s="111" t="str">
        <f t="shared" ref="D4863:E4863" si="4861">TRIM(B4863)</f>
        <v>Illinois</v>
      </c>
      <c r="E4863" s="111" t="str">
        <f t="shared" si="4861"/>
        <v>Salem</v>
      </c>
    </row>
    <row r="4864" spans="1:5">
      <c r="A4864" s="3" t="s">
        <v>13766</v>
      </c>
      <c r="B4864" s="110" t="s">
        <v>1333</v>
      </c>
      <c r="C4864" s="111" t="s">
        <v>13767</v>
      </c>
      <c r="D4864" s="111" t="str">
        <f t="shared" ref="D4864:E4864" si="4862">TRIM(B4864)</f>
        <v>Illinois</v>
      </c>
      <c r="E4864" s="111" t="str">
        <f t="shared" si="4862"/>
        <v>Sandoval</v>
      </c>
    </row>
    <row r="4865" spans="1:5">
      <c r="A4865" s="3" t="s">
        <v>13769</v>
      </c>
      <c r="B4865" s="110" t="s">
        <v>1333</v>
      </c>
      <c r="C4865" s="111" t="s">
        <v>13770</v>
      </c>
      <c r="D4865" s="111" t="str">
        <f t="shared" ref="D4865:E4865" si="4863">TRIM(B4865)</f>
        <v>Illinois</v>
      </c>
      <c r="E4865" s="111" t="str">
        <f t="shared" si="4863"/>
        <v>Sandwich</v>
      </c>
    </row>
    <row r="4866" spans="1:5">
      <c r="A4866" s="3" t="s">
        <v>13772</v>
      </c>
      <c r="B4866" s="110" t="s">
        <v>1333</v>
      </c>
      <c r="C4866" s="111" t="s">
        <v>13774</v>
      </c>
      <c r="D4866" s="111" t="str">
        <f t="shared" ref="D4866:E4866" si="4864">TRIM(B4866)</f>
        <v>Illinois</v>
      </c>
      <c r="E4866" s="111" t="str">
        <f t="shared" si="4864"/>
        <v>Savanna</v>
      </c>
    </row>
    <row r="4867" spans="1:5">
      <c r="A4867" s="3" t="s">
        <v>13776</v>
      </c>
      <c r="B4867" s="110" t="s">
        <v>1333</v>
      </c>
      <c r="C4867" s="111" t="s">
        <v>13777</v>
      </c>
      <c r="D4867" s="111" t="str">
        <f t="shared" ref="D4867:E4867" si="4865">TRIM(B4867)</f>
        <v>Illinois</v>
      </c>
      <c r="E4867" s="111" t="str">
        <f t="shared" si="4865"/>
        <v>Scales Mound</v>
      </c>
    </row>
    <row r="4868" spans="1:5">
      <c r="A4868" s="3" t="s">
        <v>13779</v>
      </c>
      <c r="B4868" s="110" t="s">
        <v>1333</v>
      </c>
      <c r="C4868" s="111" t="s">
        <v>7343</v>
      </c>
      <c r="D4868" s="111" t="str">
        <f t="shared" ref="D4868:E4868" si="4866">TRIM(B4868)</f>
        <v>Illinois</v>
      </c>
      <c r="E4868" s="111" t="str">
        <f t="shared" si="4866"/>
        <v>Schaumburg</v>
      </c>
    </row>
    <row r="4869" spans="1:5">
      <c r="A4869" s="3" t="s">
        <v>13782</v>
      </c>
      <c r="B4869" s="110" t="s">
        <v>1333</v>
      </c>
      <c r="C4869" s="112" t="s">
        <v>13783</v>
      </c>
      <c r="D4869" s="111" t="str">
        <f t="shared" ref="D4869:E4869" si="4867">TRIM(B4869)</f>
        <v>Illinois</v>
      </c>
      <c r="E4869" s="111" t="str">
        <f t="shared" si="4867"/>
        <v>Sciota</v>
      </c>
    </row>
    <row r="4870" spans="1:5">
      <c r="A4870" s="3" t="s">
        <v>13785</v>
      </c>
      <c r="B4870" s="110" t="s">
        <v>1333</v>
      </c>
      <c r="C4870" s="111" t="s">
        <v>13787</v>
      </c>
      <c r="D4870" s="111" t="str">
        <f t="shared" ref="D4870:E4870" si="4868">TRIM(B4870)</f>
        <v>Illinois</v>
      </c>
      <c r="E4870" s="111" t="str">
        <f t="shared" si="4868"/>
        <v>Seneca</v>
      </c>
    </row>
    <row r="4871" spans="1:5">
      <c r="A4871" s="3" t="s">
        <v>13789</v>
      </c>
      <c r="B4871" s="110" t="s">
        <v>1333</v>
      </c>
      <c r="C4871" s="111" t="s">
        <v>13790</v>
      </c>
      <c r="D4871" s="111" t="str">
        <f t="shared" ref="D4871:E4871" si="4869">TRIM(B4871)</f>
        <v>Illinois</v>
      </c>
      <c r="E4871" s="111" t="str">
        <f t="shared" si="4869"/>
        <v>Serena</v>
      </c>
    </row>
    <row r="4872" spans="1:5">
      <c r="A4872" s="3" t="s">
        <v>13792</v>
      </c>
      <c r="B4872" s="110" t="s">
        <v>1333</v>
      </c>
      <c r="C4872" s="111" t="s">
        <v>13793</v>
      </c>
      <c r="D4872" s="111" t="str">
        <f t="shared" ref="D4872:E4872" si="4870">TRIM(B4872)</f>
        <v>Illinois</v>
      </c>
      <c r="E4872" s="111" t="str">
        <f t="shared" si="4870"/>
        <v>Sesser</v>
      </c>
    </row>
    <row r="4873" spans="1:5">
      <c r="A4873" s="3" t="s">
        <v>13794</v>
      </c>
      <c r="B4873" s="110" t="s">
        <v>1333</v>
      </c>
      <c r="C4873" s="111" t="s">
        <v>13795</v>
      </c>
      <c r="D4873" s="111" t="str">
        <f t="shared" ref="D4873:E4873" si="4871">TRIM(B4873)</f>
        <v>Illinois</v>
      </c>
      <c r="E4873" s="111" t="str">
        <f t="shared" si="4871"/>
        <v>Shabbona</v>
      </c>
    </row>
    <row r="4874" spans="1:5">
      <c r="A4874" s="3" t="s">
        <v>13797</v>
      </c>
      <c r="B4874" s="110" t="s">
        <v>1333</v>
      </c>
      <c r="C4874" s="111" t="s">
        <v>5599</v>
      </c>
      <c r="D4874" s="111" t="str">
        <f t="shared" ref="D4874:E4874" si="4872">TRIM(B4874)</f>
        <v>Illinois</v>
      </c>
      <c r="E4874" s="111" t="str">
        <f t="shared" si="4872"/>
        <v>Shelbyville</v>
      </c>
    </row>
    <row r="4875" spans="1:5">
      <c r="A4875" s="3" t="s">
        <v>13799</v>
      </c>
      <c r="B4875" s="110" t="s">
        <v>1333</v>
      </c>
      <c r="C4875" s="111" t="s">
        <v>13800</v>
      </c>
      <c r="D4875" s="111" t="str">
        <f t="shared" ref="D4875:E4875" si="4873">TRIM(B4875)</f>
        <v>Illinois</v>
      </c>
      <c r="E4875" s="111" t="str">
        <f t="shared" si="4873"/>
        <v>Sherrard</v>
      </c>
    </row>
    <row r="4876" spans="1:5">
      <c r="A4876" s="110" t="s">
        <v>13802</v>
      </c>
      <c r="B4876" s="110" t="s">
        <v>1333</v>
      </c>
      <c r="C4876" s="111" t="s">
        <v>13803</v>
      </c>
      <c r="D4876" s="111" t="str">
        <f t="shared" ref="D4876:E4876" si="4874">TRIM(B4876)</f>
        <v>Illinois</v>
      </c>
      <c r="E4876" s="111" t="str">
        <f t="shared" si="4874"/>
        <v>Skokie</v>
      </c>
    </row>
    <row r="4877" spans="1:5">
      <c r="A4877" s="3" t="s">
        <v>13804</v>
      </c>
      <c r="B4877" s="110" t="s">
        <v>1333</v>
      </c>
      <c r="C4877" s="111" t="s">
        <v>13803</v>
      </c>
      <c r="D4877" s="111" t="str">
        <f t="shared" ref="D4877:E4877" si="4875">TRIM(B4877)</f>
        <v>Illinois</v>
      </c>
      <c r="E4877" s="111" t="str">
        <f t="shared" si="4875"/>
        <v>Skokie</v>
      </c>
    </row>
    <row r="4878" spans="1:5">
      <c r="A4878" s="3" t="s">
        <v>13806</v>
      </c>
      <c r="B4878" s="110" t="s">
        <v>1333</v>
      </c>
      <c r="C4878" s="111" t="s">
        <v>13803</v>
      </c>
      <c r="D4878" s="111" t="str">
        <f t="shared" ref="D4878:E4878" si="4876">TRIM(B4878)</f>
        <v>Illinois</v>
      </c>
      <c r="E4878" s="111" t="str">
        <f t="shared" si="4876"/>
        <v>Skokie</v>
      </c>
    </row>
    <row r="4879" spans="1:5">
      <c r="A4879" s="3" t="s">
        <v>13809</v>
      </c>
      <c r="B4879" s="110" t="s">
        <v>1333</v>
      </c>
      <c r="C4879" s="111" t="s">
        <v>13810</v>
      </c>
      <c r="D4879" s="111" t="str">
        <f t="shared" ref="D4879:E4879" si="4877">TRIM(B4879)</f>
        <v>Illinois</v>
      </c>
      <c r="E4879" s="111" t="str">
        <f t="shared" si="4877"/>
        <v>Somonauk</v>
      </c>
    </row>
    <row r="4880" spans="1:5">
      <c r="A4880" s="3" t="s">
        <v>13811</v>
      </c>
      <c r="B4880" s="110" t="s">
        <v>1333</v>
      </c>
      <c r="C4880" s="111" t="s">
        <v>13813</v>
      </c>
      <c r="D4880" s="111" t="str">
        <f t="shared" ref="D4880:E4880" si="4878">TRIM(B4880)</f>
        <v>Illinois</v>
      </c>
      <c r="E4880" s="111" t="str">
        <f t="shared" si="4878"/>
        <v>South Beloit</v>
      </c>
    </row>
    <row r="4881" spans="1:5">
      <c r="A4881" s="3" t="s">
        <v>13814</v>
      </c>
      <c r="B4881" s="110" t="s">
        <v>1333</v>
      </c>
      <c r="C4881" s="111" t="s">
        <v>13815</v>
      </c>
      <c r="D4881" s="111" t="str">
        <f t="shared" ref="D4881:E4881" si="4879">TRIM(B4881)</f>
        <v>Illinois</v>
      </c>
      <c r="E4881" s="111" t="str">
        <f t="shared" si="4879"/>
        <v>South Elgin</v>
      </c>
    </row>
    <row r="4882" spans="1:5">
      <c r="A4882" s="3" t="s">
        <v>13818</v>
      </c>
      <c r="B4882" s="110" t="s">
        <v>1333</v>
      </c>
      <c r="C4882" s="111" t="s">
        <v>13819</v>
      </c>
      <c r="D4882" s="111" t="str">
        <f t="shared" ref="D4882:E4882" si="4880">TRIM(B4882)</f>
        <v>Illinois</v>
      </c>
      <c r="E4882" s="111" t="str">
        <f t="shared" si="4880"/>
        <v>South Holland</v>
      </c>
    </row>
    <row r="4883" spans="1:5">
      <c r="A4883" s="3" t="s">
        <v>13821</v>
      </c>
      <c r="B4883" s="110" t="s">
        <v>1333</v>
      </c>
      <c r="C4883" s="111" t="s">
        <v>13819</v>
      </c>
      <c r="D4883" s="111" t="str">
        <f t="shared" ref="D4883:E4883" si="4881">TRIM(B4883)</f>
        <v>Illinois</v>
      </c>
      <c r="E4883" s="111" t="str">
        <f t="shared" si="4881"/>
        <v>South Holland</v>
      </c>
    </row>
    <row r="4884" spans="1:5">
      <c r="A4884" s="3" t="s">
        <v>13824</v>
      </c>
      <c r="B4884" s="110" t="s">
        <v>1333</v>
      </c>
      <c r="C4884" s="111" t="s">
        <v>10334</v>
      </c>
      <c r="D4884" s="111" t="str">
        <f t="shared" ref="D4884:E4884" si="4882">TRIM(B4884)</f>
        <v>Illinois</v>
      </c>
      <c r="E4884" s="111" t="str">
        <f t="shared" si="4882"/>
        <v>Sparta</v>
      </c>
    </row>
    <row r="4885" spans="1:5">
      <c r="A4885" s="3" t="s">
        <v>3949</v>
      </c>
      <c r="B4885" s="110" t="s">
        <v>1333</v>
      </c>
      <c r="C4885" s="111" t="s">
        <v>7178</v>
      </c>
      <c r="D4885" s="111" t="str">
        <f t="shared" ref="D4885:E4885" si="4883">TRIM(B4885)</f>
        <v>Illinois</v>
      </c>
      <c r="E4885" s="111" t="str">
        <f t="shared" si="4883"/>
        <v>Spring Valley</v>
      </c>
    </row>
    <row r="4886" spans="1:5">
      <c r="A4886" s="3" t="s">
        <v>13828</v>
      </c>
      <c r="B4886" s="110" t="s">
        <v>1333</v>
      </c>
      <c r="C4886" s="111" t="s">
        <v>416</v>
      </c>
      <c r="D4886" s="111" t="str">
        <f t="shared" ref="D4886:E4886" si="4884">TRIM(B4886)</f>
        <v>Illinois</v>
      </c>
      <c r="E4886" s="111" t="str">
        <f t="shared" si="4884"/>
        <v>Springfield</v>
      </c>
    </row>
    <row r="4887" spans="1:5">
      <c r="A4887" s="3" t="s">
        <v>13829</v>
      </c>
      <c r="B4887" s="110" t="s">
        <v>1333</v>
      </c>
      <c r="C4887" s="111" t="s">
        <v>416</v>
      </c>
      <c r="D4887" s="111" t="str">
        <f t="shared" ref="D4887:E4887" si="4885">TRIM(B4887)</f>
        <v>Illinois</v>
      </c>
      <c r="E4887" s="111" t="str">
        <f t="shared" si="4885"/>
        <v>Springfield</v>
      </c>
    </row>
    <row r="4888" spans="1:5">
      <c r="A4888" s="3" t="s">
        <v>13831</v>
      </c>
      <c r="B4888" s="110" t="s">
        <v>1333</v>
      </c>
      <c r="C4888" s="111" t="s">
        <v>416</v>
      </c>
      <c r="D4888" s="111" t="str">
        <f t="shared" ref="D4888:E4888" si="4886">TRIM(B4888)</f>
        <v>Illinois</v>
      </c>
      <c r="E4888" s="111" t="str">
        <f t="shared" si="4886"/>
        <v>Springfield</v>
      </c>
    </row>
    <row r="4889" spans="1:5">
      <c r="A4889" s="3" t="s">
        <v>13833</v>
      </c>
      <c r="B4889" s="110" t="s">
        <v>1333</v>
      </c>
      <c r="C4889" s="111" t="s">
        <v>416</v>
      </c>
      <c r="D4889" s="111" t="str">
        <f t="shared" ref="D4889:E4889" si="4887">TRIM(B4889)</f>
        <v>Illinois</v>
      </c>
      <c r="E4889" s="111" t="str">
        <f t="shared" si="4887"/>
        <v>Springfield</v>
      </c>
    </row>
    <row r="4890" spans="1:5">
      <c r="A4890" s="110" t="s">
        <v>13834</v>
      </c>
      <c r="B4890" s="110" t="s">
        <v>1333</v>
      </c>
      <c r="C4890" s="111" t="s">
        <v>13835</v>
      </c>
      <c r="D4890" s="111" t="str">
        <f t="shared" ref="D4890:E4890" si="4888">TRIM(B4890)</f>
        <v>Illinois</v>
      </c>
      <c r="E4890" s="111" t="str">
        <f t="shared" si="4888"/>
        <v>St Charles</v>
      </c>
    </row>
    <row r="4891" spans="1:5">
      <c r="A4891" s="3" t="s">
        <v>13838</v>
      </c>
      <c r="B4891" s="110" t="s">
        <v>1333</v>
      </c>
      <c r="C4891" s="111" t="s">
        <v>13835</v>
      </c>
      <c r="D4891" s="111" t="str">
        <f t="shared" ref="D4891:E4891" si="4889">TRIM(B4891)</f>
        <v>Illinois</v>
      </c>
      <c r="E4891" s="111" t="str">
        <f t="shared" si="4889"/>
        <v>St Charles</v>
      </c>
    </row>
    <row r="4892" spans="1:5">
      <c r="A4892" s="3" t="s">
        <v>13840</v>
      </c>
      <c r="B4892" s="110" t="s">
        <v>1333</v>
      </c>
      <c r="C4892" s="111" t="s">
        <v>13835</v>
      </c>
      <c r="D4892" s="111" t="str">
        <f t="shared" ref="D4892:E4892" si="4890">TRIM(B4892)</f>
        <v>Illinois</v>
      </c>
      <c r="E4892" s="111" t="str">
        <f t="shared" si="4890"/>
        <v>St Charles</v>
      </c>
    </row>
    <row r="4893" spans="1:5">
      <c r="A4893" s="3" t="s">
        <v>9864</v>
      </c>
      <c r="B4893" s="110" t="s">
        <v>1333</v>
      </c>
      <c r="C4893" s="111" t="s">
        <v>13842</v>
      </c>
      <c r="D4893" s="111" t="str">
        <f t="shared" ref="D4893:E4893" si="4891">TRIM(B4893)</f>
        <v>Illinois</v>
      </c>
      <c r="E4893" s="111" t="str">
        <f t="shared" si="4891"/>
        <v>Stanford</v>
      </c>
    </row>
    <row r="4894" spans="1:5">
      <c r="A4894" s="3" t="s">
        <v>13844</v>
      </c>
      <c r="B4894" s="110" t="s">
        <v>1333</v>
      </c>
      <c r="C4894" s="111" t="s">
        <v>13845</v>
      </c>
      <c r="D4894" s="111" t="str">
        <f t="shared" ref="D4894:E4894" si="4892">TRIM(B4894)</f>
        <v>Illinois</v>
      </c>
      <c r="E4894" s="111" t="str">
        <f t="shared" si="4892"/>
        <v>Staunton</v>
      </c>
    </row>
    <row r="4895" spans="1:5">
      <c r="A4895" s="3" t="s">
        <v>13847</v>
      </c>
      <c r="B4895" s="110" t="s">
        <v>1333</v>
      </c>
      <c r="C4895" s="111" t="s">
        <v>13848</v>
      </c>
      <c r="D4895" s="111" t="str">
        <f t="shared" ref="D4895:E4895" si="4893">TRIM(B4895)</f>
        <v>Illinois</v>
      </c>
      <c r="E4895" s="111" t="str">
        <f t="shared" si="4893"/>
        <v>Steeleville</v>
      </c>
    </row>
    <row r="4896" spans="1:5">
      <c r="A4896" s="3" t="s">
        <v>8247</v>
      </c>
      <c r="B4896" s="110" t="s">
        <v>1333</v>
      </c>
      <c r="C4896" s="111" t="s">
        <v>5504</v>
      </c>
      <c r="D4896" s="111" t="str">
        <f t="shared" ref="D4896:E4896" si="4894">TRIM(B4896)</f>
        <v>Illinois</v>
      </c>
      <c r="E4896" s="111" t="str">
        <f t="shared" si="4894"/>
        <v>Sterling</v>
      </c>
    </row>
    <row r="4897" spans="1:5">
      <c r="A4897" s="3" t="s">
        <v>13853</v>
      </c>
      <c r="B4897" s="110" t="s">
        <v>1333</v>
      </c>
      <c r="C4897" s="111" t="s">
        <v>13854</v>
      </c>
      <c r="D4897" s="111" t="str">
        <f t="shared" ref="D4897:E4897" si="4895">TRIM(B4897)</f>
        <v>Illinois</v>
      </c>
      <c r="E4897" s="111" t="str">
        <f t="shared" si="4895"/>
        <v>Stillman Valley</v>
      </c>
    </row>
    <row r="4898" spans="1:5">
      <c r="A4898" s="3" t="s">
        <v>13856</v>
      </c>
      <c r="B4898" s="110" t="s">
        <v>1333</v>
      </c>
      <c r="C4898" s="111" t="s">
        <v>7188</v>
      </c>
      <c r="D4898" s="111" t="str">
        <f t="shared" ref="D4898:E4898" si="4896">TRIM(B4898)</f>
        <v>Illinois</v>
      </c>
      <c r="E4898" s="111" t="str">
        <f t="shared" si="4896"/>
        <v>Stockton</v>
      </c>
    </row>
    <row r="4899" spans="1:5">
      <c r="A4899" s="110" t="s">
        <v>13858</v>
      </c>
      <c r="B4899" s="110" t="s">
        <v>1333</v>
      </c>
      <c r="C4899" s="111" t="s">
        <v>13859</v>
      </c>
      <c r="D4899" s="111" t="str">
        <f t="shared" ref="D4899:E4899" si="4897">TRIM(B4899)</f>
        <v>Illinois</v>
      </c>
      <c r="E4899" s="111" t="str">
        <f t="shared" si="4897"/>
        <v>Stonington</v>
      </c>
    </row>
    <row r="4900" spans="1:5">
      <c r="A4900" s="3" t="s">
        <v>13862</v>
      </c>
      <c r="B4900" s="110" t="s">
        <v>1333</v>
      </c>
      <c r="C4900" s="111" t="s">
        <v>8251</v>
      </c>
      <c r="D4900" s="111" t="str">
        <f t="shared" ref="D4900:E4900" si="4898">TRIM(B4900)</f>
        <v>Illinois</v>
      </c>
      <c r="E4900" s="111" t="str">
        <f t="shared" si="4898"/>
        <v>Strasburg</v>
      </c>
    </row>
    <row r="4901" spans="1:5">
      <c r="A4901" s="3" t="s">
        <v>13865</v>
      </c>
      <c r="B4901" s="110" t="s">
        <v>1333</v>
      </c>
      <c r="C4901" s="111" t="s">
        <v>13866</v>
      </c>
      <c r="D4901" s="111" t="str">
        <f t="shared" ref="D4901:E4901" si="4899">TRIM(B4901)</f>
        <v>Illinois</v>
      </c>
      <c r="E4901" s="111" t="str">
        <f t="shared" si="4899"/>
        <v>Streamwood</v>
      </c>
    </row>
    <row r="4902" spans="1:5">
      <c r="A4902" s="3" t="s">
        <v>13869</v>
      </c>
      <c r="B4902" s="110" t="s">
        <v>1333</v>
      </c>
      <c r="C4902" s="111" t="s">
        <v>13870</v>
      </c>
      <c r="D4902" s="111" t="str">
        <f t="shared" ref="D4902:E4902" si="4900">TRIM(B4902)</f>
        <v>Illinois</v>
      </c>
      <c r="E4902" s="111" t="str">
        <f t="shared" si="4900"/>
        <v>Streator</v>
      </c>
    </row>
    <row r="4903" spans="1:5">
      <c r="A4903" s="3" t="s">
        <v>2285</v>
      </c>
      <c r="B4903" s="110" t="s">
        <v>1333</v>
      </c>
      <c r="C4903" s="111" t="s">
        <v>13870</v>
      </c>
      <c r="D4903" s="111" t="str">
        <f t="shared" ref="D4903:E4903" si="4901">TRIM(B4903)</f>
        <v>Illinois</v>
      </c>
      <c r="E4903" s="111" t="str">
        <f t="shared" si="4901"/>
        <v>Streator</v>
      </c>
    </row>
    <row r="4904" spans="1:5">
      <c r="A4904" s="3" t="s">
        <v>12545</v>
      </c>
      <c r="B4904" s="110" t="s">
        <v>1333</v>
      </c>
      <c r="C4904" s="111" t="s">
        <v>13876</v>
      </c>
      <c r="D4904" s="111" t="str">
        <f t="shared" ref="D4904:E4904" si="4902">TRIM(B4904)</f>
        <v>Illinois</v>
      </c>
      <c r="E4904" s="111" t="str">
        <f t="shared" si="4902"/>
        <v>Sullivan</v>
      </c>
    </row>
    <row r="4905" spans="1:5">
      <c r="A4905" s="3" t="s">
        <v>13878</v>
      </c>
      <c r="B4905" s="110" t="s">
        <v>1333</v>
      </c>
      <c r="C4905" s="111" t="s">
        <v>12068</v>
      </c>
      <c r="D4905" s="111" t="str">
        <f t="shared" ref="D4905:E4905" si="4903">TRIM(B4905)</f>
        <v>Illinois</v>
      </c>
      <c r="E4905" s="111" t="str">
        <f t="shared" si="4903"/>
        <v>Summit</v>
      </c>
    </row>
    <row r="4906" spans="1:5">
      <c r="A4906" s="3" t="s">
        <v>13881</v>
      </c>
      <c r="B4906" s="110" t="s">
        <v>1333</v>
      </c>
      <c r="C4906" s="111" t="s">
        <v>13883</v>
      </c>
      <c r="D4906" s="111" t="str">
        <f t="shared" ref="D4906:E4906" si="4904">TRIM(B4906)</f>
        <v>Illinois</v>
      </c>
      <c r="E4906" s="111" t="str">
        <f t="shared" si="4904"/>
        <v>Sycamore</v>
      </c>
    </row>
    <row r="4907" spans="1:5">
      <c r="A4907" s="3" t="s">
        <v>13886</v>
      </c>
      <c r="B4907" s="110" t="s">
        <v>1333</v>
      </c>
      <c r="C4907" s="111" t="s">
        <v>13887</v>
      </c>
      <c r="D4907" s="111" t="str">
        <f t="shared" ref="D4907:E4907" si="4905">TRIM(B4907)</f>
        <v>Illinois</v>
      </c>
      <c r="E4907" s="111" t="str">
        <f t="shared" si="4905"/>
        <v>Table Grove</v>
      </c>
    </row>
    <row r="4908" spans="1:5">
      <c r="A4908" s="3" t="s">
        <v>13888</v>
      </c>
      <c r="B4908" s="110" t="s">
        <v>1333</v>
      </c>
      <c r="C4908" s="111" t="s">
        <v>13890</v>
      </c>
      <c r="D4908" s="111" t="str">
        <f t="shared" ref="D4908:E4908" si="4906">TRIM(B4908)</f>
        <v>Illinois</v>
      </c>
      <c r="E4908" s="111" t="str">
        <f t="shared" si="4906"/>
        <v>Tamms</v>
      </c>
    </row>
    <row r="4909" spans="1:5">
      <c r="A4909" s="3" t="s">
        <v>13892</v>
      </c>
      <c r="B4909" s="110" t="s">
        <v>1333</v>
      </c>
      <c r="C4909" s="111" t="s">
        <v>13894</v>
      </c>
      <c r="D4909" s="111" t="str">
        <f t="shared" ref="D4909:E4909" si="4907">TRIM(B4909)</f>
        <v>Illinois</v>
      </c>
      <c r="E4909" s="111" t="str">
        <f t="shared" si="4907"/>
        <v>Taylor Ridge</v>
      </c>
    </row>
    <row r="4910" spans="1:5">
      <c r="A4910" s="3" t="s">
        <v>13896</v>
      </c>
      <c r="B4910" s="110" t="s">
        <v>1333</v>
      </c>
      <c r="C4910" s="111" t="s">
        <v>13898</v>
      </c>
      <c r="D4910" s="111" t="str">
        <f t="shared" ref="D4910:E4910" si="4908">TRIM(B4910)</f>
        <v>Illinois</v>
      </c>
      <c r="E4910" s="111" t="str">
        <f t="shared" si="4908"/>
        <v>Taylorville</v>
      </c>
    </row>
    <row r="4911" spans="1:5">
      <c r="A4911" s="3" t="s">
        <v>13900</v>
      </c>
      <c r="B4911" s="110" t="s">
        <v>1333</v>
      </c>
      <c r="C4911" s="111" t="s">
        <v>13901</v>
      </c>
      <c r="D4911" s="111" t="str">
        <f t="shared" ref="D4911:E4911" si="4909">TRIM(B4911)</f>
        <v>Illinois</v>
      </c>
      <c r="E4911" s="111" t="str">
        <f t="shared" si="4909"/>
        <v>Teutopolis</v>
      </c>
    </row>
    <row r="4912" spans="1:5">
      <c r="A4912" s="3" t="s">
        <v>13903</v>
      </c>
      <c r="B4912" s="110" t="s">
        <v>1333</v>
      </c>
      <c r="C4912" s="111" t="s">
        <v>13904</v>
      </c>
      <c r="D4912" s="111" t="str">
        <f t="shared" ref="D4912:E4912" si="4910">TRIM(B4912)</f>
        <v>Illinois</v>
      </c>
      <c r="E4912" s="111" t="str">
        <f t="shared" si="4910"/>
        <v>Thompsonville</v>
      </c>
    </row>
    <row r="4913" spans="1:5">
      <c r="A4913" s="3" t="s">
        <v>13906</v>
      </c>
      <c r="B4913" s="110" t="s">
        <v>1333</v>
      </c>
      <c r="C4913" s="111" t="s">
        <v>13907</v>
      </c>
      <c r="D4913" s="111" t="str">
        <f t="shared" ref="D4913:E4913" si="4911">TRIM(B4913)</f>
        <v>Illinois</v>
      </c>
      <c r="E4913" s="111" t="str">
        <f t="shared" si="4911"/>
        <v>Tinley Park</v>
      </c>
    </row>
    <row r="4914" spans="1:5">
      <c r="A4914" s="3" t="s">
        <v>13909</v>
      </c>
      <c r="B4914" s="110" t="s">
        <v>1333</v>
      </c>
      <c r="C4914" s="111" t="s">
        <v>309</v>
      </c>
      <c r="D4914" s="111" t="str">
        <f t="shared" ref="D4914:E4914" si="4912">TRIM(B4914)</f>
        <v>Illinois</v>
      </c>
      <c r="E4914" s="111" t="str">
        <f t="shared" si="4912"/>
        <v>Toledo</v>
      </c>
    </row>
    <row r="4915" spans="1:5">
      <c r="A4915" s="3" t="s">
        <v>13311</v>
      </c>
      <c r="B4915" s="110" t="s">
        <v>1333</v>
      </c>
      <c r="C4915" s="111" t="s">
        <v>13912</v>
      </c>
      <c r="D4915" s="111" t="str">
        <f t="shared" ref="D4915:E4915" si="4913">TRIM(B4915)</f>
        <v>Illinois</v>
      </c>
      <c r="E4915" s="111" t="str">
        <f t="shared" si="4913"/>
        <v>Tolono</v>
      </c>
    </row>
    <row r="4916" spans="1:5">
      <c r="A4916" s="3" t="s">
        <v>13915</v>
      </c>
      <c r="B4916" s="110" t="s">
        <v>1333</v>
      </c>
      <c r="C4916" s="111" t="s">
        <v>13916</v>
      </c>
      <c r="D4916" s="111" t="str">
        <f t="shared" ref="D4916:E4916" si="4914">TRIM(B4916)</f>
        <v>Illinois</v>
      </c>
      <c r="E4916" s="111" t="str">
        <f t="shared" si="4914"/>
        <v>Toulon</v>
      </c>
    </row>
    <row r="4917" spans="1:5">
      <c r="A4917" s="3" t="s">
        <v>13919</v>
      </c>
      <c r="B4917" s="110" t="s">
        <v>1333</v>
      </c>
      <c r="C4917" s="111" t="s">
        <v>13920</v>
      </c>
      <c r="D4917" s="111" t="str">
        <f t="shared" ref="D4917:E4917" si="4915">TRIM(B4917)</f>
        <v>Illinois</v>
      </c>
      <c r="E4917" s="111" t="str">
        <f t="shared" si="4915"/>
        <v>Tremont</v>
      </c>
    </row>
    <row r="4918" spans="1:5">
      <c r="A4918" s="3" t="s">
        <v>13923</v>
      </c>
      <c r="B4918" s="110" t="s">
        <v>1333</v>
      </c>
      <c r="C4918" s="111" t="s">
        <v>10194</v>
      </c>
      <c r="D4918" s="111" t="str">
        <f t="shared" ref="D4918:E4918" si="4916">TRIM(B4918)</f>
        <v>Illinois</v>
      </c>
      <c r="E4918" s="111" t="str">
        <f t="shared" si="4916"/>
        <v>Trenton</v>
      </c>
    </row>
    <row r="4919" spans="1:5">
      <c r="A4919" s="3" t="s">
        <v>13925</v>
      </c>
      <c r="B4919" s="110" t="s">
        <v>1333</v>
      </c>
      <c r="C4919" s="111" t="s">
        <v>2228</v>
      </c>
      <c r="D4919" s="111" t="str">
        <f t="shared" ref="D4919:E4919" si="4917">TRIM(B4919)</f>
        <v>Illinois</v>
      </c>
      <c r="E4919" s="111" t="str">
        <f t="shared" si="4917"/>
        <v>Troy</v>
      </c>
    </row>
    <row r="4920" spans="1:5">
      <c r="A4920" s="3" t="s">
        <v>13927</v>
      </c>
      <c r="B4920" s="110" t="s">
        <v>1333</v>
      </c>
      <c r="C4920" s="111" t="s">
        <v>13928</v>
      </c>
      <c r="D4920" s="111" t="str">
        <f t="shared" ref="D4920:E4920" si="4918">TRIM(B4920)</f>
        <v>Illinois</v>
      </c>
      <c r="E4920" s="111" t="str">
        <f t="shared" si="4918"/>
        <v>Tuscola</v>
      </c>
    </row>
    <row r="4921" spans="1:5">
      <c r="A4921" s="3" t="s">
        <v>13931</v>
      </c>
      <c r="B4921" s="110" t="s">
        <v>1333</v>
      </c>
      <c r="C4921" s="111" t="s">
        <v>13933</v>
      </c>
      <c r="D4921" s="111" t="str">
        <f t="shared" ref="D4921:E4921" si="4919">TRIM(B4921)</f>
        <v>Illinois</v>
      </c>
      <c r="E4921" s="111" t="str">
        <f t="shared" si="4919"/>
        <v>Ullin</v>
      </c>
    </row>
    <row r="4922" spans="1:5">
      <c r="A4922" s="3" t="s">
        <v>13935</v>
      </c>
      <c r="B4922" s="110" t="s">
        <v>1333</v>
      </c>
      <c r="C4922" s="111" t="s">
        <v>13936</v>
      </c>
      <c r="D4922" s="111" t="str">
        <f t="shared" ref="D4922:E4922" si="4920">TRIM(B4922)</f>
        <v>Illinois</v>
      </c>
      <c r="E4922" s="111" t="str">
        <f t="shared" si="4920"/>
        <v>Urbana</v>
      </c>
    </row>
    <row r="4923" spans="1:5">
      <c r="A4923" s="3" t="s">
        <v>13938</v>
      </c>
      <c r="B4923" s="110" t="s">
        <v>1333</v>
      </c>
      <c r="C4923" s="111" t="s">
        <v>13941</v>
      </c>
      <c r="D4923" s="111" t="str">
        <f t="shared" ref="D4923:E4923" si="4921">TRIM(B4923)</f>
        <v>Illinois</v>
      </c>
      <c r="E4923" s="111" t="str">
        <f t="shared" si="4921"/>
        <v>Valmeyer</v>
      </c>
    </row>
    <row r="4924" spans="1:5">
      <c r="A4924" s="3" t="s">
        <v>13943</v>
      </c>
      <c r="B4924" s="110" t="s">
        <v>1333</v>
      </c>
      <c r="C4924" s="111" t="s">
        <v>13944</v>
      </c>
      <c r="D4924" s="111" t="str">
        <f t="shared" ref="D4924:E4924" si="4922">TRIM(B4924)</f>
        <v>Illinois</v>
      </c>
      <c r="E4924" s="111" t="str">
        <f t="shared" si="4922"/>
        <v>Vandalia</v>
      </c>
    </row>
    <row r="4925" spans="1:5">
      <c r="A4925" s="3" t="s">
        <v>4139</v>
      </c>
      <c r="B4925" s="110" t="s">
        <v>1333</v>
      </c>
      <c r="C4925" s="111" t="s">
        <v>13946</v>
      </c>
      <c r="D4925" s="111" t="str">
        <f t="shared" ref="D4925:E4925" si="4923">TRIM(B4925)</f>
        <v>Illinois</v>
      </c>
      <c r="E4925" s="111" t="str">
        <f t="shared" si="4923"/>
        <v>Varna</v>
      </c>
    </row>
    <row r="4926" spans="1:5">
      <c r="A4926" s="3" t="s">
        <v>13948</v>
      </c>
      <c r="B4926" s="110" t="s">
        <v>1333</v>
      </c>
      <c r="C4926" s="111" t="s">
        <v>13949</v>
      </c>
      <c r="D4926" s="111" t="str">
        <f t="shared" ref="D4926:E4926" si="4924">TRIM(B4926)</f>
        <v>Illinois</v>
      </c>
      <c r="E4926" s="111" t="str">
        <f t="shared" si="4924"/>
        <v>Vernon Hills</v>
      </c>
    </row>
    <row r="4927" spans="1:5">
      <c r="A4927" s="3" t="s">
        <v>13952</v>
      </c>
      <c r="B4927" s="110" t="s">
        <v>1333</v>
      </c>
      <c r="C4927" s="111" t="s">
        <v>11397</v>
      </c>
      <c r="D4927" s="111" t="str">
        <f t="shared" ref="D4927:E4927" si="4925">TRIM(B4927)</f>
        <v>Illinois</v>
      </c>
      <c r="E4927" s="111" t="str">
        <f t="shared" si="4925"/>
        <v>Vienna</v>
      </c>
    </row>
    <row r="4928" spans="1:5">
      <c r="A4928" s="3" t="s">
        <v>13954</v>
      </c>
      <c r="B4928" s="110" t="s">
        <v>1333</v>
      </c>
      <c r="C4928" s="111" t="s">
        <v>13956</v>
      </c>
      <c r="D4928" s="111" t="str">
        <f t="shared" ref="D4928:E4928" si="4926">TRIM(B4928)</f>
        <v>Illinois</v>
      </c>
      <c r="E4928" s="111" t="str">
        <f t="shared" si="4926"/>
        <v>Villa Grove</v>
      </c>
    </row>
    <row r="4929" spans="1:5">
      <c r="A4929" s="3" t="s">
        <v>13958</v>
      </c>
      <c r="B4929" s="110" t="s">
        <v>1333</v>
      </c>
      <c r="C4929" s="111" t="s">
        <v>6867</v>
      </c>
      <c r="D4929" s="111" t="str">
        <f t="shared" ref="D4929:E4929" si="4927">TRIM(B4929)</f>
        <v>Illinois</v>
      </c>
      <c r="E4929" s="111" t="str">
        <f t="shared" si="4927"/>
        <v>Villa Park</v>
      </c>
    </row>
    <row r="4930" spans="1:5">
      <c r="A4930" s="3" t="s">
        <v>13960</v>
      </c>
      <c r="B4930" s="110" t="s">
        <v>1333</v>
      </c>
      <c r="C4930" s="111" t="s">
        <v>13961</v>
      </c>
      <c r="D4930" s="111" t="str">
        <f t="shared" ref="D4930:E4930" si="4928">TRIM(B4930)</f>
        <v>Illinois</v>
      </c>
      <c r="E4930" s="111" t="str">
        <f t="shared" si="4928"/>
        <v>Virden</v>
      </c>
    </row>
    <row r="4931" spans="1:5">
      <c r="A4931" s="3" t="s">
        <v>13963</v>
      </c>
      <c r="B4931" s="110" t="s">
        <v>1333</v>
      </c>
      <c r="C4931" s="111" t="s">
        <v>1376</v>
      </c>
      <c r="D4931" s="111" t="str">
        <f t="shared" ref="D4931:E4931" si="4929">TRIM(B4931)</f>
        <v>Illinois</v>
      </c>
      <c r="E4931" s="111" t="str">
        <f t="shared" si="4929"/>
        <v>Virginia</v>
      </c>
    </row>
    <row r="4932" spans="1:5">
      <c r="A4932" s="3" t="s">
        <v>13965</v>
      </c>
      <c r="B4932" s="110" t="s">
        <v>1333</v>
      </c>
      <c r="C4932" s="111" t="s">
        <v>13966</v>
      </c>
      <c r="D4932" s="111" t="str">
        <f t="shared" ref="D4932:E4932" si="4930">TRIM(B4932)</f>
        <v>Illinois</v>
      </c>
      <c r="E4932" s="111" t="str">
        <f t="shared" si="4930"/>
        <v>Waltonville</v>
      </c>
    </row>
    <row r="4933" spans="1:5">
      <c r="A4933" s="3" t="s">
        <v>13969</v>
      </c>
      <c r="B4933" s="110" t="s">
        <v>1333</v>
      </c>
      <c r="C4933" s="111" t="s">
        <v>4265</v>
      </c>
      <c r="D4933" s="111" t="str">
        <f t="shared" ref="D4933:E4933" si="4931">TRIM(B4933)</f>
        <v>Illinois</v>
      </c>
      <c r="E4933" s="111" t="str">
        <f t="shared" si="4931"/>
        <v>Warren</v>
      </c>
    </row>
    <row r="4934" spans="1:5">
      <c r="A4934" s="3" t="s">
        <v>13974</v>
      </c>
      <c r="B4934" s="110" t="s">
        <v>1333</v>
      </c>
      <c r="C4934" s="111" t="s">
        <v>13975</v>
      </c>
      <c r="D4934" s="111" t="str">
        <f t="shared" ref="D4934:E4934" si="4932">TRIM(B4934)</f>
        <v>Illinois</v>
      </c>
      <c r="E4934" s="111" t="str">
        <f t="shared" si="4932"/>
        <v>Warrensburg</v>
      </c>
    </row>
    <row r="4935" spans="1:5">
      <c r="A4935" s="3" t="s">
        <v>13978</v>
      </c>
      <c r="B4935" s="110" t="s">
        <v>1333</v>
      </c>
      <c r="C4935" s="111" t="s">
        <v>13979</v>
      </c>
      <c r="D4935" s="111" t="str">
        <f t="shared" ref="D4935:E4935" si="4933">TRIM(B4935)</f>
        <v>Illinois</v>
      </c>
      <c r="E4935" s="111" t="str">
        <f t="shared" si="4933"/>
        <v>Warsaw</v>
      </c>
    </row>
    <row r="4936" spans="1:5">
      <c r="A4936" s="3" t="s">
        <v>13981</v>
      </c>
      <c r="B4936" s="110" t="s">
        <v>1333</v>
      </c>
      <c r="C4936" s="111" t="s">
        <v>13983</v>
      </c>
      <c r="D4936" s="111" t="str">
        <f t="shared" ref="D4936:E4936" si="4934">TRIM(B4936)</f>
        <v>Illinois</v>
      </c>
      <c r="E4936" s="111" t="str">
        <f t="shared" si="4934"/>
        <v>Washburn</v>
      </c>
    </row>
    <row r="4937" spans="1:5">
      <c r="A4937" s="3" t="s">
        <v>13985</v>
      </c>
      <c r="B4937" s="110" t="s">
        <v>1333</v>
      </c>
      <c r="C4937" s="111" t="s">
        <v>276</v>
      </c>
      <c r="D4937" s="111" t="str">
        <f t="shared" ref="D4937:E4937" si="4935">TRIM(B4937)</f>
        <v>Illinois</v>
      </c>
      <c r="E4937" s="111" t="str">
        <f t="shared" si="4935"/>
        <v>Washington</v>
      </c>
    </row>
    <row r="4938" spans="1:5">
      <c r="A4938" s="3" t="s">
        <v>13988</v>
      </c>
      <c r="B4938" s="110" t="s">
        <v>1333</v>
      </c>
      <c r="C4938" s="111" t="s">
        <v>13990</v>
      </c>
      <c r="D4938" s="111" t="str">
        <f t="shared" ref="D4938:E4938" si="4936">TRIM(B4938)</f>
        <v>Illinois</v>
      </c>
      <c r="E4938" s="111" t="str">
        <f t="shared" si="4936"/>
        <v>Waterloo</v>
      </c>
    </row>
    <row r="4939" spans="1:5">
      <c r="A4939" s="3" t="s">
        <v>13992</v>
      </c>
      <c r="B4939" s="110" t="s">
        <v>1333</v>
      </c>
      <c r="C4939" s="111" t="s">
        <v>13993</v>
      </c>
      <c r="D4939" s="111" t="str">
        <f t="shared" ref="D4939:E4939" si="4937">TRIM(B4939)</f>
        <v>Illinois</v>
      </c>
      <c r="E4939" s="111" t="str">
        <f t="shared" si="4937"/>
        <v>Watseka</v>
      </c>
    </row>
    <row r="4940" spans="1:5">
      <c r="A4940" s="3" t="s">
        <v>13995</v>
      </c>
      <c r="B4940" s="110" t="s">
        <v>1333</v>
      </c>
      <c r="C4940" s="111" t="s">
        <v>13996</v>
      </c>
      <c r="D4940" s="111" t="str">
        <f t="shared" ref="D4940:E4940" si="4938">TRIM(B4940)</f>
        <v>Illinois</v>
      </c>
      <c r="E4940" s="111" t="str">
        <f t="shared" si="4938"/>
        <v>Wauconda</v>
      </c>
    </row>
    <row r="4941" spans="1:5">
      <c r="A4941" s="3" t="s">
        <v>13998</v>
      </c>
      <c r="B4941" s="110" t="s">
        <v>1333</v>
      </c>
      <c r="C4941" s="111" t="s">
        <v>14000</v>
      </c>
      <c r="D4941" s="111" t="str">
        <f t="shared" ref="D4941:E4941" si="4939">TRIM(B4941)</f>
        <v>Illinois</v>
      </c>
      <c r="E4941" s="111" t="str">
        <f t="shared" si="4939"/>
        <v>Waukegan</v>
      </c>
    </row>
    <row r="4942" spans="1:5">
      <c r="A4942" s="3" t="s">
        <v>14003</v>
      </c>
      <c r="B4942" s="110" t="s">
        <v>1333</v>
      </c>
      <c r="C4942" s="111" t="s">
        <v>517</v>
      </c>
      <c r="D4942" s="111" t="str">
        <f t="shared" ref="D4942:E4942" si="4940">TRIM(B4942)</f>
        <v>Illinois</v>
      </c>
      <c r="E4942" s="111" t="str">
        <f t="shared" si="4940"/>
        <v>Waverly</v>
      </c>
    </row>
    <row r="4943" spans="1:5">
      <c r="A4943" s="3" t="s">
        <v>14006</v>
      </c>
      <c r="B4943" s="110" t="s">
        <v>1333</v>
      </c>
      <c r="C4943" s="111" t="s">
        <v>14007</v>
      </c>
      <c r="D4943" s="111" t="str">
        <f t="shared" ref="D4943:E4943" si="4941">TRIM(B4943)</f>
        <v>Illinois</v>
      </c>
      <c r="E4943" s="111" t="str">
        <f t="shared" si="4941"/>
        <v>Wayne City</v>
      </c>
    </row>
    <row r="4944" spans="1:5">
      <c r="A4944" s="3" t="s">
        <v>13964</v>
      </c>
      <c r="B4944" s="110" t="s">
        <v>1333</v>
      </c>
      <c r="C4944" s="111" t="s">
        <v>14010</v>
      </c>
      <c r="D4944" s="111" t="str">
        <f t="shared" ref="D4944:E4944" si="4942">TRIM(B4944)</f>
        <v>Illinois</v>
      </c>
      <c r="E4944" s="111" t="str">
        <f t="shared" si="4942"/>
        <v>West Chicago</v>
      </c>
    </row>
    <row r="4945" spans="1:5">
      <c r="A4945" s="3" t="s">
        <v>14012</v>
      </c>
      <c r="B4945" s="110" t="s">
        <v>1333</v>
      </c>
      <c r="C4945" s="111" t="s">
        <v>14013</v>
      </c>
      <c r="D4945" s="111" t="str">
        <f t="shared" ref="D4945:E4945" si="4943">TRIM(B4945)</f>
        <v>Illinois</v>
      </c>
      <c r="E4945" s="111" t="str">
        <f t="shared" si="4943"/>
        <v>West Frankfort</v>
      </c>
    </row>
    <row r="4946" spans="1:5">
      <c r="A4946" s="3" t="s">
        <v>4577</v>
      </c>
      <c r="B4946" s="110" t="s">
        <v>1333</v>
      </c>
      <c r="C4946" s="111" t="s">
        <v>14015</v>
      </c>
      <c r="D4946" s="111" t="str">
        <f t="shared" ref="D4946:E4946" si="4944">TRIM(B4946)</f>
        <v>Illinois</v>
      </c>
      <c r="E4946" s="111" t="str">
        <f t="shared" si="4944"/>
        <v>Westmont</v>
      </c>
    </row>
    <row r="4947" spans="1:5">
      <c r="A4947" s="3" t="s">
        <v>14018</v>
      </c>
      <c r="B4947" s="110" t="s">
        <v>1333</v>
      </c>
      <c r="C4947" s="111" t="s">
        <v>14019</v>
      </c>
      <c r="D4947" s="111" t="str">
        <f t="shared" ref="D4947:E4947" si="4945">TRIM(B4947)</f>
        <v>Illinois</v>
      </c>
      <c r="E4947" s="111" t="str">
        <f t="shared" si="4945"/>
        <v>Westville</v>
      </c>
    </row>
    <row r="4948" spans="1:5">
      <c r="A4948" s="3" t="s">
        <v>14021</v>
      </c>
      <c r="B4948" s="110" t="s">
        <v>1333</v>
      </c>
      <c r="C4948" s="111" t="s">
        <v>10632</v>
      </c>
      <c r="D4948" s="111" t="str">
        <f t="shared" ref="D4948:E4948" si="4946">TRIM(B4948)</f>
        <v>Illinois</v>
      </c>
      <c r="E4948" s="111" t="str">
        <f t="shared" si="4946"/>
        <v>Wheaton</v>
      </c>
    </row>
    <row r="4949" spans="1:5">
      <c r="A4949" s="110" t="s">
        <v>14024</v>
      </c>
      <c r="B4949" s="110" t="s">
        <v>1333</v>
      </c>
      <c r="C4949" s="111" t="s">
        <v>10632</v>
      </c>
      <c r="D4949" s="111" t="str">
        <f t="shared" ref="D4949:E4949" si="4947">TRIM(B4949)</f>
        <v>Illinois</v>
      </c>
      <c r="E4949" s="111" t="str">
        <f t="shared" si="4947"/>
        <v>Wheaton</v>
      </c>
    </row>
    <row r="4950" spans="1:5">
      <c r="A4950" s="3" t="s">
        <v>14026</v>
      </c>
      <c r="B4950" s="110" t="s">
        <v>1333</v>
      </c>
      <c r="C4950" s="111" t="s">
        <v>507</v>
      </c>
      <c r="D4950" s="111" t="str">
        <f t="shared" ref="D4950:E4950" si="4948">TRIM(B4950)</f>
        <v>Illinois</v>
      </c>
      <c r="E4950" s="111" t="str">
        <f t="shared" si="4948"/>
        <v>Wheeling</v>
      </c>
    </row>
    <row r="4951" spans="1:5">
      <c r="A4951" s="3" t="s">
        <v>14030</v>
      </c>
      <c r="B4951" s="110" t="s">
        <v>1333</v>
      </c>
      <c r="C4951" s="111" t="s">
        <v>4275</v>
      </c>
      <c r="D4951" s="111" t="str">
        <f t="shared" ref="D4951:E4951" si="4949">TRIM(B4951)</f>
        <v>Illinois</v>
      </c>
      <c r="E4951" s="111" t="str">
        <f t="shared" si="4949"/>
        <v>White Hall</v>
      </c>
    </row>
    <row r="4952" spans="1:5">
      <c r="A4952" s="3" t="s">
        <v>14032</v>
      </c>
      <c r="B4952" s="110" t="s">
        <v>1333</v>
      </c>
      <c r="C4952" s="111" t="s">
        <v>14033</v>
      </c>
      <c r="D4952" s="111" t="str">
        <f t="shared" ref="D4952:E4952" si="4950">TRIM(B4952)</f>
        <v>Illinois</v>
      </c>
      <c r="E4952" s="111" t="str">
        <f t="shared" si="4950"/>
        <v>Williamsfield</v>
      </c>
    </row>
    <row r="4953" spans="1:5">
      <c r="A4953" s="3" t="s">
        <v>14035</v>
      </c>
      <c r="B4953" s="110" t="s">
        <v>1333</v>
      </c>
      <c r="C4953" s="111" t="s">
        <v>14036</v>
      </c>
      <c r="D4953" s="111" t="str">
        <f t="shared" ref="D4953:E4953" si="4951">TRIM(B4953)</f>
        <v>Illinois</v>
      </c>
      <c r="E4953" s="111" t="str">
        <f t="shared" si="4951"/>
        <v>Williamsville</v>
      </c>
    </row>
    <row r="4954" spans="1:5">
      <c r="A4954" s="3" t="s">
        <v>14037</v>
      </c>
      <c r="B4954" s="110" t="s">
        <v>1333</v>
      </c>
      <c r="C4954" s="111" t="s">
        <v>272</v>
      </c>
      <c r="D4954" s="111" t="str">
        <f t="shared" ref="D4954:E4954" si="4952">TRIM(B4954)</f>
        <v>Illinois</v>
      </c>
      <c r="E4954" s="111" t="str">
        <f t="shared" si="4952"/>
        <v>Wilmington</v>
      </c>
    </row>
    <row r="4955" spans="1:5">
      <c r="A4955" s="3" t="s">
        <v>14041</v>
      </c>
      <c r="B4955" s="110" t="s">
        <v>1333</v>
      </c>
      <c r="C4955" s="111" t="s">
        <v>14042</v>
      </c>
      <c r="D4955" s="111" t="str">
        <f t="shared" ref="D4955:E4955" si="4953">TRIM(B4955)</f>
        <v>Illinois</v>
      </c>
      <c r="E4955" s="111" t="str">
        <f t="shared" si="4953"/>
        <v>Winchester</v>
      </c>
    </row>
    <row r="4956" spans="1:5">
      <c r="A4956" s="3" t="s">
        <v>14045</v>
      </c>
      <c r="B4956" s="110" t="s">
        <v>1333</v>
      </c>
      <c r="C4956" s="111" t="s">
        <v>7524</v>
      </c>
      <c r="D4956" s="111" t="str">
        <f t="shared" ref="D4956:E4956" si="4954">TRIM(B4956)</f>
        <v>Illinois</v>
      </c>
      <c r="E4956" s="111" t="str">
        <f t="shared" si="4954"/>
        <v>Windsor</v>
      </c>
    </row>
    <row r="4957" spans="1:5">
      <c r="A4957" s="3" t="s">
        <v>14049</v>
      </c>
      <c r="B4957" s="110" t="s">
        <v>1333</v>
      </c>
      <c r="C4957" s="111" t="s">
        <v>14050</v>
      </c>
      <c r="D4957" s="111" t="str">
        <f t="shared" ref="D4957:E4957" si="4955">TRIM(B4957)</f>
        <v>Illinois</v>
      </c>
      <c r="E4957" s="111" t="str">
        <f t="shared" si="4955"/>
        <v>Winnebago</v>
      </c>
    </row>
    <row r="4958" spans="1:5">
      <c r="A4958" s="110" t="s">
        <v>14052</v>
      </c>
      <c r="B4958" s="110" t="s">
        <v>1333</v>
      </c>
      <c r="C4958" s="111" t="s">
        <v>10590</v>
      </c>
      <c r="D4958" s="111" t="str">
        <f t="shared" ref="D4958:E4958" si="4956">TRIM(B4958)</f>
        <v>Illinois</v>
      </c>
      <c r="E4958" s="111" t="str">
        <f t="shared" si="4956"/>
        <v>Winnetka</v>
      </c>
    </row>
    <row r="4959" spans="1:5">
      <c r="A4959" s="3" t="s">
        <v>14054</v>
      </c>
      <c r="B4959" s="110" t="s">
        <v>1333</v>
      </c>
      <c r="C4959" s="111" t="s">
        <v>14055</v>
      </c>
      <c r="D4959" s="111" t="str">
        <f t="shared" ref="D4959:E4959" si="4957">TRIM(B4959)</f>
        <v>Illinois</v>
      </c>
      <c r="E4959" s="111" t="str">
        <f t="shared" si="4957"/>
        <v>Wolf Lake</v>
      </c>
    </row>
    <row r="4960" spans="1:5">
      <c r="A4960" s="3" t="s">
        <v>14058</v>
      </c>
      <c r="B4960" s="110" t="s">
        <v>1333</v>
      </c>
      <c r="C4960" s="111" t="s">
        <v>14059</v>
      </c>
      <c r="D4960" s="111" t="str">
        <f t="shared" ref="D4960:E4960" si="4958">TRIM(B4960)</f>
        <v>Illinois</v>
      </c>
      <c r="E4960" s="111" t="str">
        <f t="shared" si="4958"/>
        <v>Wood River</v>
      </c>
    </row>
    <row r="4961" spans="1:5">
      <c r="A4961" s="3" t="s">
        <v>14061</v>
      </c>
      <c r="B4961" s="110" t="s">
        <v>1333</v>
      </c>
      <c r="C4961" s="111" t="s">
        <v>14062</v>
      </c>
      <c r="D4961" s="111" t="str">
        <f t="shared" ref="D4961:E4961" si="4959">TRIM(B4961)</f>
        <v>Illinois</v>
      </c>
      <c r="E4961" s="111" t="str">
        <f t="shared" si="4959"/>
        <v>Woodhull</v>
      </c>
    </row>
    <row r="4962" spans="1:5">
      <c r="A4962" s="3" t="s">
        <v>4162</v>
      </c>
      <c r="B4962" s="110" t="s">
        <v>1333</v>
      </c>
      <c r="C4962" s="111" t="s">
        <v>14064</v>
      </c>
      <c r="D4962" s="111" t="str">
        <f t="shared" ref="D4962:E4962" si="4960">TRIM(B4962)</f>
        <v>Illinois</v>
      </c>
      <c r="E4962" s="111" t="str">
        <f t="shared" si="4960"/>
        <v>Woodlawn</v>
      </c>
    </row>
    <row r="4963" spans="1:5">
      <c r="A4963" s="3" t="s">
        <v>11452</v>
      </c>
      <c r="B4963" s="110" t="s">
        <v>1333</v>
      </c>
      <c r="C4963" s="111" t="s">
        <v>8792</v>
      </c>
      <c r="D4963" s="111" t="str">
        <f t="shared" ref="D4963:E4963" si="4961">TRIM(B4963)</f>
        <v>Illinois</v>
      </c>
      <c r="E4963" s="111" t="str">
        <f t="shared" si="4961"/>
        <v>Woodstock</v>
      </c>
    </row>
    <row r="4964" spans="1:5">
      <c r="A4964" s="3" t="s">
        <v>14067</v>
      </c>
      <c r="B4964" s="110" t="s">
        <v>1333</v>
      </c>
      <c r="C4964" s="111" t="s">
        <v>8792</v>
      </c>
      <c r="D4964" s="111" t="str">
        <f t="shared" ref="D4964:E4964" si="4962">TRIM(B4964)</f>
        <v>Illinois</v>
      </c>
      <c r="E4964" s="111" t="str">
        <f t="shared" si="4962"/>
        <v>Woodstock</v>
      </c>
    </row>
    <row r="4965" spans="1:5">
      <c r="A4965" s="110" t="s">
        <v>14068</v>
      </c>
      <c r="B4965" s="110" t="s">
        <v>1333</v>
      </c>
      <c r="C4965" s="111" t="s">
        <v>14070</v>
      </c>
      <c r="D4965" s="111" t="str">
        <f t="shared" ref="D4965:E4965" si="4963">TRIM(B4965)</f>
        <v>Illinois</v>
      </c>
      <c r="E4965" s="111" t="str">
        <f t="shared" si="4963"/>
        <v>Worth</v>
      </c>
    </row>
    <row r="4966" spans="1:5">
      <c r="A4966" s="3" t="s">
        <v>14071</v>
      </c>
      <c r="B4966" s="110" t="s">
        <v>1333</v>
      </c>
      <c r="C4966" s="111" t="s">
        <v>10662</v>
      </c>
      <c r="D4966" s="111" t="str">
        <f t="shared" ref="D4966:E4966" si="4964">TRIM(B4966)</f>
        <v>Illinois</v>
      </c>
      <c r="E4966" s="111" t="str">
        <f t="shared" si="4964"/>
        <v>Yorkville</v>
      </c>
    </row>
    <row r="4967" spans="1:5">
      <c r="A4967" s="3" t="s">
        <v>14075</v>
      </c>
      <c r="B4967" s="110" t="s">
        <v>1333</v>
      </c>
      <c r="C4967" s="111" t="s">
        <v>14076</v>
      </c>
      <c r="D4967" s="111" t="str">
        <f t="shared" ref="D4967:E4967" si="4965">TRIM(B4967)</f>
        <v>Illinois</v>
      </c>
      <c r="E4967" s="111" t="str">
        <f t="shared" si="4965"/>
        <v>Zeigler</v>
      </c>
    </row>
    <row r="4968" spans="1:5">
      <c r="A4968" s="3" t="s">
        <v>14077</v>
      </c>
      <c r="B4968" s="110" t="s">
        <v>1333</v>
      </c>
      <c r="C4968" s="111" t="s">
        <v>14078</v>
      </c>
      <c r="D4968" s="111" t="str">
        <f t="shared" ref="D4968:E4968" si="4966">TRIM(B4968)</f>
        <v>Illinois</v>
      </c>
      <c r="E4968" s="111" t="str">
        <f t="shared" si="4966"/>
        <v>Zion</v>
      </c>
    </row>
    <row r="4969" spans="1:5">
      <c r="A4969" s="110" t="s">
        <v>14081</v>
      </c>
      <c r="B4969" s="110" t="s">
        <v>1333</v>
      </c>
      <c r="C4969" s="111" t="s">
        <v>14078</v>
      </c>
      <c r="D4969" s="111" t="str">
        <f t="shared" ref="D4969:E4969" si="4967">TRIM(B4969)</f>
        <v>Illinois</v>
      </c>
      <c r="E4969" s="111" t="str">
        <f t="shared" si="4967"/>
        <v>Zion</v>
      </c>
    </row>
    <row r="4970" spans="1:5">
      <c r="A4970" s="3" t="s">
        <v>14083</v>
      </c>
      <c r="B4970" s="110" t="s">
        <v>1334</v>
      </c>
      <c r="C4970" s="111" t="s">
        <v>614</v>
      </c>
      <c r="D4970" s="111" t="str">
        <f t="shared" ref="D4970:E4970" si="4968">TRIM(B4970)</f>
        <v>Indiana</v>
      </c>
      <c r="E4970" s="111" t="str">
        <f t="shared" si="4968"/>
        <v>Akron</v>
      </c>
    </row>
    <row r="4971" spans="1:5">
      <c r="A4971" s="3" t="s">
        <v>14085</v>
      </c>
      <c r="B4971" s="110" t="s">
        <v>1334</v>
      </c>
      <c r="C4971" s="111" t="s">
        <v>11950</v>
      </c>
      <c r="D4971" s="111" t="str">
        <f t="shared" ref="D4971:E4971" si="4969">TRIM(B4971)</f>
        <v>Indiana</v>
      </c>
      <c r="E4971" s="111" t="str">
        <f t="shared" si="4969"/>
        <v>Albion</v>
      </c>
    </row>
    <row r="4972" spans="1:5">
      <c r="A4972" s="3" t="s">
        <v>14088</v>
      </c>
      <c r="B4972" s="110" t="s">
        <v>1334</v>
      </c>
      <c r="C4972" s="111" t="s">
        <v>831</v>
      </c>
      <c r="D4972" s="111" t="str">
        <f t="shared" ref="D4972:E4972" si="4970">TRIM(B4972)</f>
        <v>Indiana</v>
      </c>
      <c r="E4972" s="111" t="str">
        <f t="shared" si="4970"/>
        <v>Alexandria</v>
      </c>
    </row>
    <row r="4973" spans="1:5">
      <c r="A4973" s="3" t="s">
        <v>4344</v>
      </c>
      <c r="B4973" s="110" t="s">
        <v>1334</v>
      </c>
      <c r="C4973" s="111" t="s">
        <v>4345</v>
      </c>
      <c r="D4973" s="111" t="str">
        <f t="shared" ref="D4973:E4973" si="4971">TRIM(B4973)</f>
        <v>Indiana</v>
      </c>
      <c r="E4973" s="111" t="str">
        <f t="shared" si="4971"/>
        <v>Anderson</v>
      </c>
    </row>
    <row r="4974" spans="1:5">
      <c r="A4974" s="3" t="s">
        <v>14093</v>
      </c>
      <c r="B4974" s="110" t="s">
        <v>1334</v>
      </c>
      <c r="C4974" s="111" t="s">
        <v>14094</v>
      </c>
      <c r="D4974" s="111" t="str">
        <f t="shared" ref="D4974:E4974" si="4972">TRIM(B4974)</f>
        <v>Indiana</v>
      </c>
      <c r="E4974" s="111" t="str">
        <f t="shared" si="4972"/>
        <v>Angola</v>
      </c>
    </row>
    <row r="4975" spans="1:5">
      <c r="A4975" s="3" t="s">
        <v>14098</v>
      </c>
      <c r="B4975" s="110" t="s">
        <v>1334</v>
      </c>
      <c r="C4975" s="111" t="s">
        <v>4375</v>
      </c>
      <c r="D4975" s="111" t="str">
        <f t="shared" ref="D4975:E4975" si="4973">TRIM(B4975)</f>
        <v>Indiana</v>
      </c>
      <c r="E4975" s="111" t="str">
        <f t="shared" si="4973"/>
        <v>Arcadia</v>
      </c>
    </row>
    <row r="4976" spans="1:5">
      <c r="A4976" s="3" t="s">
        <v>14101</v>
      </c>
      <c r="B4976" s="110" t="s">
        <v>1334</v>
      </c>
      <c r="C4976" s="111" t="s">
        <v>14102</v>
      </c>
      <c r="D4976" s="111" t="str">
        <f t="shared" ref="D4976:E4976" si="4974">TRIM(B4976)</f>
        <v>Indiana</v>
      </c>
      <c r="E4976" s="111" t="str">
        <f t="shared" si="4974"/>
        <v>Argos</v>
      </c>
    </row>
    <row r="4977" spans="1:5">
      <c r="A4977" s="3" t="s">
        <v>14105</v>
      </c>
      <c r="B4977" s="110" t="s">
        <v>1334</v>
      </c>
      <c r="C4977" s="111" t="s">
        <v>14106</v>
      </c>
      <c r="D4977" s="111" t="str">
        <f t="shared" ref="D4977:E4977" si="4975">TRIM(B4977)</f>
        <v>Indiana</v>
      </c>
      <c r="E4977" s="111" t="str">
        <f t="shared" si="4975"/>
        <v>Attica</v>
      </c>
    </row>
    <row r="4978" spans="1:5">
      <c r="A4978" s="3" t="s">
        <v>14110</v>
      </c>
      <c r="B4978" s="110" t="s">
        <v>1334</v>
      </c>
      <c r="C4978" s="111" t="s">
        <v>353</v>
      </c>
      <c r="D4978" s="111" t="str">
        <f t="shared" ref="D4978:E4978" si="4976">TRIM(B4978)</f>
        <v>Indiana</v>
      </c>
      <c r="E4978" s="111" t="str">
        <f t="shared" si="4976"/>
        <v>Aurora</v>
      </c>
    </row>
    <row r="4979" spans="1:5">
      <c r="A4979" s="3" t="s">
        <v>1684</v>
      </c>
      <c r="B4979" s="110" t="s">
        <v>1334</v>
      </c>
      <c r="C4979" s="111" t="s">
        <v>574</v>
      </c>
      <c r="D4979" s="111" t="str">
        <f t="shared" ref="D4979:E4979" si="4977">TRIM(B4979)</f>
        <v>Indiana</v>
      </c>
      <c r="E4979" s="111" t="str">
        <f t="shared" si="4977"/>
        <v>Austin</v>
      </c>
    </row>
    <row r="4980" spans="1:5">
      <c r="A4980" s="3" t="s">
        <v>8330</v>
      </c>
      <c r="B4980" s="110" t="s">
        <v>1334</v>
      </c>
      <c r="C4980" s="111" t="s">
        <v>8331</v>
      </c>
      <c r="D4980" s="111" t="str">
        <f t="shared" ref="D4980:E4980" si="4978">TRIM(B4980)</f>
        <v>Indiana</v>
      </c>
      <c r="E4980" s="111" t="str">
        <f t="shared" si="4978"/>
        <v>Avon</v>
      </c>
    </row>
    <row r="4981" spans="1:5">
      <c r="A4981" s="3" t="s">
        <v>3581</v>
      </c>
      <c r="B4981" s="110" t="s">
        <v>1334</v>
      </c>
      <c r="C4981" s="111" t="s">
        <v>3582</v>
      </c>
      <c r="D4981" s="111" t="str">
        <f t="shared" ref="D4981:E4981" si="4979">TRIM(B4981)</f>
        <v>Indiana</v>
      </c>
      <c r="E4981" s="111" t="str">
        <f t="shared" si="4979"/>
        <v>Batesville</v>
      </c>
    </row>
    <row r="4982" spans="1:5">
      <c r="A4982" s="3" t="s">
        <v>14118</v>
      </c>
      <c r="B4982" s="110" t="s">
        <v>1334</v>
      </c>
      <c r="C4982" s="111" t="s">
        <v>14119</v>
      </c>
      <c r="D4982" s="111" t="str">
        <f t="shared" ref="D4982:E4982" si="4980">TRIM(B4982)</f>
        <v>Indiana</v>
      </c>
      <c r="E4982" s="111" t="str">
        <f t="shared" si="4980"/>
        <v>Bedford</v>
      </c>
    </row>
    <row r="4983" spans="1:5">
      <c r="A4983" s="3" t="s">
        <v>14122</v>
      </c>
      <c r="B4983" s="110" t="s">
        <v>1334</v>
      </c>
      <c r="C4983" s="111" t="s">
        <v>14123</v>
      </c>
      <c r="D4983" s="111" t="str">
        <f t="shared" ref="D4983:E4983" si="4981">TRIM(B4983)</f>
        <v>Indiana</v>
      </c>
      <c r="E4983" s="111" t="str">
        <f t="shared" si="4981"/>
        <v>Beech Grove</v>
      </c>
    </row>
    <row r="4984" spans="1:5">
      <c r="A4984" s="3" t="s">
        <v>14125</v>
      </c>
      <c r="B4984" s="110" t="s">
        <v>1334</v>
      </c>
      <c r="C4984" s="111" t="s">
        <v>14127</v>
      </c>
      <c r="D4984" s="111" t="str">
        <f t="shared" ref="D4984:E4984" si="4982">TRIM(B4984)</f>
        <v>Indiana</v>
      </c>
      <c r="E4984" s="111" t="str">
        <f t="shared" si="4982"/>
        <v>Berne</v>
      </c>
    </row>
    <row r="4985" spans="1:5">
      <c r="A4985" s="3" t="s">
        <v>14128</v>
      </c>
      <c r="B4985" s="110" t="s">
        <v>1334</v>
      </c>
      <c r="C4985" s="111" t="s">
        <v>14129</v>
      </c>
      <c r="D4985" s="111" t="str">
        <f t="shared" ref="D4985:E4985" si="4983">TRIM(B4985)</f>
        <v>Indiana</v>
      </c>
      <c r="E4985" s="111" t="str">
        <f t="shared" si="4983"/>
        <v>Bicknell</v>
      </c>
    </row>
    <row r="4986" spans="1:5">
      <c r="A4986" s="3" t="s">
        <v>14132</v>
      </c>
      <c r="B4986" s="110" t="s">
        <v>1334</v>
      </c>
      <c r="C4986" s="111" t="s">
        <v>8344</v>
      </c>
      <c r="D4986" s="111" t="str">
        <f t="shared" ref="D4986:E4986" si="4984">TRIM(B4986)</f>
        <v>Indiana</v>
      </c>
      <c r="E4986" s="111" t="str">
        <f t="shared" si="4984"/>
        <v>Bloomfield</v>
      </c>
    </row>
    <row r="4987" spans="1:5">
      <c r="A4987" s="3" t="s">
        <v>14135</v>
      </c>
      <c r="B4987" s="110" t="s">
        <v>1334</v>
      </c>
      <c r="C4987" s="111" t="s">
        <v>8344</v>
      </c>
      <c r="D4987" s="111" t="str">
        <f t="shared" ref="D4987:E4987" si="4985">TRIM(B4987)</f>
        <v>Indiana</v>
      </c>
      <c r="E4987" s="111" t="str">
        <f t="shared" si="4985"/>
        <v>Bloomfield</v>
      </c>
    </row>
    <row r="4988" spans="1:5">
      <c r="A4988" s="110" t="s">
        <v>14137</v>
      </c>
      <c r="B4988" s="110" t="s">
        <v>1334</v>
      </c>
      <c r="C4988" s="111" t="s">
        <v>1004</v>
      </c>
      <c r="D4988" s="111" t="str">
        <f t="shared" ref="D4988:E4988" si="4986">TRIM(B4988)</f>
        <v>Indiana</v>
      </c>
      <c r="E4988" s="111" t="str">
        <f t="shared" si="4986"/>
        <v>Bloomington</v>
      </c>
    </row>
    <row r="4989" spans="1:5">
      <c r="A4989" s="3" t="s">
        <v>14138</v>
      </c>
      <c r="B4989" s="110" t="s">
        <v>1334</v>
      </c>
      <c r="C4989" s="111" t="s">
        <v>1004</v>
      </c>
      <c r="D4989" s="111" t="str">
        <f t="shared" ref="D4989:E4989" si="4987">TRIM(B4989)</f>
        <v>Indiana</v>
      </c>
      <c r="E4989" s="111" t="str">
        <f t="shared" si="4987"/>
        <v>Bloomington</v>
      </c>
    </row>
    <row r="4990" spans="1:5">
      <c r="A4990" s="3" t="s">
        <v>14140</v>
      </c>
      <c r="B4990" s="110" t="s">
        <v>1334</v>
      </c>
      <c r="C4990" s="111" t="s">
        <v>1004</v>
      </c>
      <c r="D4990" s="111" t="str">
        <f t="shared" ref="D4990:E4990" si="4988">TRIM(B4990)</f>
        <v>Indiana</v>
      </c>
      <c r="E4990" s="111" t="str">
        <f t="shared" si="4988"/>
        <v>Bloomington</v>
      </c>
    </row>
    <row r="4991" spans="1:5">
      <c r="A4991" s="3" t="s">
        <v>14142</v>
      </c>
      <c r="B4991" s="110" t="s">
        <v>1334</v>
      </c>
      <c r="C4991" s="111" t="s">
        <v>1004</v>
      </c>
      <c r="D4991" s="111" t="str">
        <f t="shared" ref="D4991:E4991" si="4989">TRIM(B4991)</f>
        <v>Indiana</v>
      </c>
      <c r="E4991" s="111" t="str">
        <f t="shared" si="4989"/>
        <v>Bloomington</v>
      </c>
    </row>
    <row r="4992" spans="1:5">
      <c r="A4992" s="3" t="s">
        <v>14144</v>
      </c>
      <c r="B4992" s="110" t="s">
        <v>1334</v>
      </c>
      <c r="C4992" s="111" t="s">
        <v>14145</v>
      </c>
      <c r="D4992" s="111" t="str">
        <f t="shared" ref="D4992:E4992" si="4990">TRIM(B4992)</f>
        <v>Indiana</v>
      </c>
      <c r="E4992" s="111" t="str">
        <f t="shared" si="4990"/>
        <v>Bluffton</v>
      </c>
    </row>
    <row r="4993" spans="1:5">
      <c r="A4993" s="3" t="s">
        <v>14147</v>
      </c>
      <c r="B4993" s="110" t="s">
        <v>1334</v>
      </c>
      <c r="C4993" s="111" t="s">
        <v>4505</v>
      </c>
      <c r="D4993" s="111" t="str">
        <f t="shared" ref="D4993:E4993" si="4991">TRIM(B4993)</f>
        <v>Indiana</v>
      </c>
      <c r="E4993" s="111" t="str">
        <f t="shared" si="4991"/>
        <v>Boonville</v>
      </c>
    </row>
    <row r="4994" spans="1:5">
      <c r="A4994" s="3" t="s">
        <v>14150</v>
      </c>
      <c r="B4994" s="110" t="s">
        <v>1334</v>
      </c>
      <c r="C4994" s="111" t="s">
        <v>14151</v>
      </c>
      <c r="D4994" s="111" t="str">
        <f t="shared" ref="D4994:E4994" si="4992">TRIM(B4994)</f>
        <v>Indiana</v>
      </c>
      <c r="E4994" s="111" t="str">
        <f t="shared" si="4992"/>
        <v>Borden</v>
      </c>
    </row>
    <row r="4995" spans="1:5">
      <c r="A4995" s="3" t="s">
        <v>14154</v>
      </c>
      <c r="B4995" s="110" t="s">
        <v>1334</v>
      </c>
      <c r="C4995" s="111" t="s">
        <v>14155</v>
      </c>
      <c r="D4995" s="111" t="str">
        <f t="shared" ref="D4995:E4995" si="4993">TRIM(B4995)</f>
        <v>Indiana</v>
      </c>
      <c r="E4995" s="111" t="str">
        <f t="shared" si="4993"/>
        <v>Bourbon</v>
      </c>
    </row>
    <row r="4996" spans="1:5">
      <c r="A4996" s="3" t="s">
        <v>1700</v>
      </c>
      <c r="B4996" s="110" t="s">
        <v>1334</v>
      </c>
      <c r="C4996" s="111" t="s">
        <v>14157</v>
      </c>
      <c r="D4996" s="111" t="str">
        <f t="shared" ref="D4996:E4996" si="4994">TRIM(B4996)</f>
        <v>Indiana</v>
      </c>
      <c r="E4996" s="111" t="str">
        <f t="shared" si="4994"/>
        <v>Brazil</v>
      </c>
    </row>
    <row r="4997" spans="1:5">
      <c r="A4997" s="3" t="s">
        <v>14160</v>
      </c>
      <c r="B4997" s="110" t="s">
        <v>1334</v>
      </c>
      <c r="C4997" s="111" t="s">
        <v>1585</v>
      </c>
      <c r="D4997" s="111" t="str">
        <f t="shared" ref="D4997:E4997" si="4995">TRIM(B4997)</f>
        <v>Indiana</v>
      </c>
      <c r="E4997" s="111" t="str">
        <f t="shared" si="4995"/>
        <v>Bremen</v>
      </c>
    </row>
    <row r="4998" spans="1:5">
      <c r="A4998" s="3" t="s">
        <v>10501</v>
      </c>
      <c r="B4998" s="110" t="s">
        <v>1334</v>
      </c>
      <c r="C4998" s="112" t="s">
        <v>14162</v>
      </c>
      <c r="D4998" s="111" t="str">
        <f t="shared" ref="D4998:E4998" si="4996">TRIM(B4998)</f>
        <v>Indiana</v>
      </c>
      <c r="E4998" s="111" t="str">
        <f t="shared" si="4996"/>
        <v>Brookville</v>
      </c>
    </row>
    <row r="4999" spans="1:5">
      <c r="A4999" s="3" t="s">
        <v>14163</v>
      </c>
      <c r="B4999" s="110" t="s">
        <v>1334</v>
      </c>
      <c r="C4999" s="112" t="s">
        <v>470</v>
      </c>
      <c r="D4999" s="111" t="str">
        <f t="shared" ref="D4999:E4999" si="4997">TRIM(B4999)</f>
        <v>Indiana</v>
      </c>
      <c r="E4999" s="111" t="str">
        <f t="shared" si="4997"/>
        <v>Brownsburg</v>
      </c>
    </row>
    <row r="5000" spans="1:5">
      <c r="A5000" s="3" t="s">
        <v>14165</v>
      </c>
      <c r="B5000" s="110" t="s">
        <v>1334</v>
      </c>
      <c r="C5000" s="111" t="s">
        <v>12123</v>
      </c>
      <c r="D5000" s="111" t="str">
        <f t="shared" ref="D5000:E5000" si="4998">TRIM(B5000)</f>
        <v>Indiana</v>
      </c>
      <c r="E5000" s="111" t="str">
        <f t="shared" si="4998"/>
        <v>Brownstown</v>
      </c>
    </row>
    <row r="5001" spans="1:5">
      <c r="A5001" s="3" t="s">
        <v>14168</v>
      </c>
      <c r="B5001" s="110" t="s">
        <v>1334</v>
      </c>
      <c r="C5001" s="111" t="s">
        <v>12134</v>
      </c>
      <c r="D5001" s="111" t="str">
        <f t="shared" ref="D5001:E5001" si="4999">TRIM(B5001)</f>
        <v>Indiana</v>
      </c>
      <c r="E5001" s="111" t="str">
        <f t="shared" si="4999"/>
        <v>Bunker Hill</v>
      </c>
    </row>
    <row r="5002" spans="1:5">
      <c r="A5002" s="3" t="s">
        <v>14171</v>
      </c>
      <c r="B5002" s="110" t="s">
        <v>1334</v>
      </c>
      <c r="C5002" s="111" t="s">
        <v>1600</v>
      </c>
      <c r="D5002" s="111" t="str">
        <f t="shared" ref="D5002:E5002" si="5000">TRIM(B5002)</f>
        <v>Indiana</v>
      </c>
      <c r="E5002" s="111" t="str">
        <f t="shared" si="5000"/>
        <v>Butler</v>
      </c>
    </row>
    <row r="5003" spans="1:5">
      <c r="A5003" s="3" t="s">
        <v>14173</v>
      </c>
      <c r="B5003" s="110" t="s">
        <v>1334</v>
      </c>
      <c r="C5003" s="111" t="s">
        <v>14174</v>
      </c>
      <c r="D5003" s="111" t="str">
        <f t="shared" ref="D5003:E5003" si="5001">TRIM(B5003)</f>
        <v>Indiana</v>
      </c>
      <c r="E5003" s="111" t="str">
        <f t="shared" si="5001"/>
        <v>Cambridge City</v>
      </c>
    </row>
    <row r="5004" spans="1:5">
      <c r="A5004" s="3" t="s">
        <v>14176</v>
      </c>
      <c r="B5004" s="110" t="s">
        <v>1334</v>
      </c>
      <c r="C5004" s="111" t="s">
        <v>14178</v>
      </c>
      <c r="D5004" s="111" t="str">
        <f t="shared" ref="D5004:E5004" si="5002">TRIM(B5004)</f>
        <v>Indiana</v>
      </c>
      <c r="E5004" s="111" t="str">
        <f t="shared" si="5002"/>
        <v>Campbellsburg</v>
      </c>
    </row>
    <row r="5005" spans="1:5">
      <c r="A5005" s="3" t="s">
        <v>4590</v>
      </c>
      <c r="B5005" s="110" t="s">
        <v>1334</v>
      </c>
      <c r="C5005" s="111" t="s">
        <v>542</v>
      </c>
      <c r="D5005" s="111" t="str">
        <f t="shared" ref="D5005:E5005" si="5003">TRIM(B5005)</f>
        <v>Indiana</v>
      </c>
      <c r="E5005" s="111" t="str">
        <f t="shared" si="5003"/>
        <v>Carmel</v>
      </c>
    </row>
    <row r="5006" spans="1:5">
      <c r="A5006" s="110" t="s">
        <v>14181</v>
      </c>
      <c r="B5006" s="110" t="s">
        <v>1334</v>
      </c>
      <c r="C5006" s="111" t="s">
        <v>542</v>
      </c>
      <c r="D5006" s="111" t="str">
        <f t="shared" ref="D5006:E5006" si="5004">TRIM(B5006)</f>
        <v>Indiana</v>
      </c>
      <c r="E5006" s="111" t="str">
        <f t="shared" si="5004"/>
        <v>Carmel</v>
      </c>
    </row>
    <row r="5007" spans="1:5">
      <c r="A5007" s="110" t="s">
        <v>14184</v>
      </c>
      <c r="B5007" s="110" t="s">
        <v>1334</v>
      </c>
      <c r="C5007" s="111" t="s">
        <v>542</v>
      </c>
      <c r="D5007" s="111" t="str">
        <f t="shared" ref="D5007:E5007" si="5005">TRIM(B5007)</f>
        <v>Indiana</v>
      </c>
      <c r="E5007" s="111" t="str">
        <f t="shared" si="5005"/>
        <v>Carmel</v>
      </c>
    </row>
    <row r="5008" spans="1:5">
      <c r="A5008" s="3" t="s">
        <v>14186</v>
      </c>
      <c r="B5008" s="110" t="s">
        <v>1334</v>
      </c>
      <c r="C5008" s="111" t="s">
        <v>14188</v>
      </c>
      <c r="D5008" s="111" t="str">
        <f t="shared" ref="D5008:E5008" si="5006">TRIM(B5008)</f>
        <v>Indiana</v>
      </c>
      <c r="E5008" s="111" t="str">
        <f t="shared" si="5006"/>
        <v>Cayuga</v>
      </c>
    </row>
    <row r="5009" spans="1:5">
      <c r="A5009" s="3" t="s">
        <v>14190</v>
      </c>
      <c r="B5009" s="110" t="s">
        <v>1334</v>
      </c>
      <c r="C5009" s="111" t="s">
        <v>14191</v>
      </c>
      <c r="D5009" s="111" t="str">
        <f t="shared" ref="D5009:E5009" si="5007">TRIM(B5009)</f>
        <v>Indiana</v>
      </c>
      <c r="E5009" s="111" t="str">
        <f t="shared" si="5007"/>
        <v>Cedar Lake</v>
      </c>
    </row>
    <row r="5010" spans="1:5">
      <c r="A5010" s="3" t="s">
        <v>14192</v>
      </c>
      <c r="B5010" s="110" t="s">
        <v>1334</v>
      </c>
      <c r="C5010" s="111" t="s">
        <v>12830</v>
      </c>
      <c r="D5010" s="111" t="str">
        <f t="shared" ref="D5010:E5010" si="5008">TRIM(B5010)</f>
        <v>Indiana</v>
      </c>
      <c r="E5010" s="111" t="str">
        <f t="shared" si="5008"/>
        <v>Centerville</v>
      </c>
    </row>
    <row r="5011" spans="1:5">
      <c r="A5011" s="3" t="s">
        <v>14194</v>
      </c>
      <c r="B5011" s="110" t="s">
        <v>1334</v>
      </c>
      <c r="C5011" s="111" t="s">
        <v>14195</v>
      </c>
      <c r="D5011" s="111" t="str">
        <f t="shared" ref="D5011:E5011" si="5009">TRIM(B5011)</f>
        <v>Indiana</v>
      </c>
      <c r="E5011" s="111" t="str">
        <f t="shared" si="5009"/>
        <v>Chalmers</v>
      </c>
    </row>
    <row r="5012" spans="1:5">
      <c r="A5012" s="3" t="s">
        <v>14198</v>
      </c>
      <c r="B5012" s="110" t="s">
        <v>1334</v>
      </c>
      <c r="C5012" s="111" t="s">
        <v>14199</v>
      </c>
      <c r="D5012" s="111" t="str">
        <f t="shared" ref="D5012:E5012" si="5010">TRIM(B5012)</f>
        <v>Indiana</v>
      </c>
      <c r="E5012" s="111" t="str">
        <f t="shared" si="5010"/>
        <v>Charlestown</v>
      </c>
    </row>
    <row r="5013" spans="1:5">
      <c r="A5013" s="3" t="s">
        <v>14201</v>
      </c>
      <c r="B5013" s="110" t="s">
        <v>1334</v>
      </c>
      <c r="C5013" s="111" t="s">
        <v>14017</v>
      </c>
      <c r="D5013" s="111" t="str">
        <f t="shared" ref="D5013:E5013" si="5011">TRIM(B5013)</f>
        <v>Indiana</v>
      </c>
      <c r="E5013" s="111" t="str">
        <f t="shared" si="5011"/>
        <v>Charlottesville</v>
      </c>
    </row>
    <row r="5014" spans="1:5">
      <c r="A5014" s="3" t="s">
        <v>14203</v>
      </c>
      <c r="B5014" s="110" t="s">
        <v>1334</v>
      </c>
      <c r="C5014" s="111" t="s">
        <v>3232</v>
      </c>
      <c r="D5014" s="111" t="str">
        <f t="shared" ref="D5014:E5014" si="5012">TRIM(B5014)</f>
        <v>Indiana</v>
      </c>
      <c r="E5014" s="111" t="str">
        <f t="shared" si="5012"/>
        <v>Chesterton</v>
      </c>
    </row>
    <row r="5015" spans="1:5">
      <c r="A5015" s="3" t="s">
        <v>14206</v>
      </c>
      <c r="B5015" s="110" t="s">
        <v>1334</v>
      </c>
      <c r="C5015" s="111" t="s">
        <v>14207</v>
      </c>
      <c r="D5015" s="111" t="str">
        <f t="shared" ref="D5015:E5015" si="5013">TRIM(B5015)</f>
        <v>Indiana</v>
      </c>
      <c r="E5015" s="111" t="str">
        <f t="shared" si="5013"/>
        <v>Churubusco</v>
      </c>
    </row>
    <row r="5016" spans="1:5">
      <c r="A5016" s="3" t="s">
        <v>14209</v>
      </c>
      <c r="B5016" s="110" t="s">
        <v>1334</v>
      </c>
      <c r="C5016" s="111" t="s">
        <v>3693</v>
      </c>
      <c r="D5016" s="111" t="str">
        <f t="shared" ref="D5016:E5016" si="5014">TRIM(B5016)</f>
        <v>Indiana</v>
      </c>
      <c r="E5016" s="111" t="str">
        <f t="shared" si="5014"/>
        <v>Clarksville</v>
      </c>
    </row>
    <row r="5017" spans="1:5">
      <c r="A5017" s="3" t="s">
        <v>14211</v>
      </c>
      <c r="B5017" s="110" t="s">
        <v>1334</v>
      </c>
      <c r="C5017" s="111" t="s">
        <v>14213</v>
      </c>
      <c r="D5017" s="111" t="str">
        <f t="shared" ref="D5017:E5017" si="5015">TRIM(B5017)</f>
        <v>Indiana</v>
      </c>
      <c r="E5017" s="111" t="str">
        <f t="shared" si="5015"/>
        <v>Clay City</v>
      </c>
    </row>
    <row r="5018" spans="1:5">
      <c r="A5018" s="3" t="s">
        <v>14215</v>
      </c>
      <c r="B5018" s="110" t="s">
        <v>1334</v>
      </c>
      <c r="C5018" s="111" t="s">
        <v>1640</v>
      </c>
      <c r="D5018" s="111" t="str">
        <f t="shared" ref="D5018:E5018" si="5016">TRIM(B5018)</f>
        <v>Indiana</v>
      </c>
      <c r="E5018" s="111" t="str">
        <f t="shared" si="5016"/>
        <v>Clayton</v>
      </c>
    </row>
    <row r="5019" spans="1:5">
      <c r="A5019" s="3" t="s">
        <v>14218</v>
      </c>
      <c r="B5019" s="110" t="s">
        <v>1334</v>
      </c>
      <c r="C5019" s="111" t="s">
        <v>3697</v>
      </c>
      <c r="D5019" s="111" t="str">
        <f t="shared" ref="D5019:E5019" si="5017">TRIM(B5019)</f>
        <v>Indiana</v>
      </c>
      <c r="E5019" s="111" t="str">
        <f t="shared" si="5017"/>
        <v>Clinton</v>
      </c>
    </row>
    <row r="5020" spans="1:5">
      <c r="A5020" s="3" t="s">
        <v>4698</v>
      </c>
      <c r="B5020" s="110" t="s">
        <v>1334</v>
      </c>
      <c r="C5020" s="111" t="s">
        <v>4699</v>
      </c>
      <c r="D5020" s="111" t="str">
        <f t="shared" ref="D5020:E5020" si="5018">TRIM(B5020)</f>
        <v>Indiana</v>
      </c>
      <c r="E5020" s="111" t="str">
        <f t="shared" si="5018"/>
        <v>Cloverdale</v>
      </c>
    </row>
    <row r="5021" spans="1:5">
      <c r="A5021" s="3" t="s">
        <v>14222</v>
      </c>
      <c r="B5021" s="110" t="s">
        <v>1334</v>
      </c>
      <c r="C5021" s="111" t="s">
        <v>14223</v>
      </c>
      <c r="D5021" s="111" t="str">
        <f t="shared" ref="D5021:E5021" si="5019">TRIM(B5021)</f>
        <v>Indiana</v>
      </c>
      <c r="E5021" s="111" t="str">
        <f t="shared" si="5019"/>
        <v>Columbia City</v>
      </c>
    </row>
    <row r="5022" spans="1:5">
      <c r="A5022" s="3" t="s">
        <v>14225</v>
      </c>
      <c r="B5022" s="110" t="s">
        <v>1334</v>
      </c>
      <c r="C5022" s="111" t="s">
        <v>138</v>
      </c>
      <c r="D5022" s="111" t="str">
        <f t="shared" ref="D5022:E5022" si="5020">TRIM(B5022)</f>
        <v>Indiana</v>
      </c>
      <c r="E5022" s="111" t="str">
        <f t="shared" si="5020"/>
        <v>Columbus</v>
      </c>
    </row>
    <row r="5023" spans="1:5">
      <c r="A5023" s="3" t="s">
        <v>14227</v>
      </c>
      <c r="B5023" s="110" t="s">
        <v>1334</v>
      </c>
      <c r="C5023" s="111" t="s">
        <v>138</v>
      </c>
      <c r="D5023" s="111" t="str">
        <f t="shared" ref="D5023:E5023" si="5021">TRIM(B5023)</f>
        <v>Indiana</v>
      </c>
      <c r="E5023" s="111" t="str">
        <f t="shared" si="5021"/>
        <v>Columbus</v>
      </c>
    </row>
    <row r="5024" spans="1:5">
      <c r="A5024" s="3" t="s">
        <v>14230</v>
      </c>
      <c r="B5024" s="110" t="s">
        <v>1334</v>
      </c>
      <c r="C5024" s="111" t="s">
        <v>14231</v>
      </c>
      <c r="D5024" s="111" t="str">
        <f t="shared" ref="D5024:E5024" si="5022">TRIM(B5024)</f>
        <v>Indiana</v>
      </c>
      <c r="E5024" s="111" t="str">
        <f t="shared" si="5022"/>
        <v>Connersville</v>
      </c>
    </row>
    <row r="5025" spans="1:5">
      <c r="A5025" s="3" t="s">
        <v>14232</v>
      </c>
      <c r="B5025" s="110" t="s">
        <v>1334</v>
      </c>
      <c r="C5025" s="111" t="s">
        <v>14233</v>
      </c>
      <c r="D5025" s="111" t="str">
        <f t="shared" ref="D5025:E5025" si="5023">TRIM(B5025)</f>
        <v>Indiana</v>
      </c>
      <c r="E5025" s="111" t="str">
        <f t="shared" si="5023"/>
        <v>Converse</v>
      </c>
    </row>
    <row r="5026" spans="1:5">
      <c r="A5026" s="3" t="s">
        <v>14235</v>
      </c>
      <c r="B5026" s="110" t="s">
        <v>1334</v>
      </c>
      <c r="C5026" s="111" t="s">
        <v>14236</v>
      </c>
      <c r="D5026" s="111" t="str">
        <f t="shared" ref="D5026:E5026" si="5024">TRIM(B5026)</f>
        <v>Indiana</v>
      </c>
      <c r="E5026" s="111" t="str">
        <f t="shared" si="5024"/>
        <v>Corydon</v>
      </c>
    </row>
    <row r="5027" spans="1:5">
      <c r="A5027" s="3" t="s">
        <v>14239</v>
      </c>
      <c r="B5027" s="110" t="s">
        <v>1334</v>
      </c>
      <c r="C5027" s="111" t="s">
        <v>10597</v>
      </c>
      <c r="D5027" s="111" t="str">
        <f t="shared" ref="D5027:E5027" si="5025">TRIM(B5027)</f>
        <v>Indiana</v>
      </c>
      <c r="E5027" s="111" t="str">
        <f t="shared" si="5025"/>
        <v>Covington</v>
      </c>
    </row>
    <row r="5028" spans="1:5">
      <c r="A5028" s="3" t="s">
        <v>14241</v>
      </c>
      <c r="B5028" s="110" t="s">
        <v>1334</v>
      </c>
      <c r="C5028" s="111" t="s">
        <v>14242</v>
      </c>
      <c r="D5028" s="111" t="str">
        <f t="shared" ref="D5028:E5028" si="5026">TRIM(B5028)</f>
        <v>Indiana</v>
      </c>
      <c r="E5028" s="111" t="str">
        <f t="shared" si="5026"/>
        <v>Crawfordsville</v>
      </c>
    </row>
    <row r="5029" spans="1:5">
      <c r="A5029" s="3" t="s">
        <v>14245</v>
      </c>
      <c r="B5029" s="110" t="s">
        <v>1334</v>
      </c>
      <c r="C5029" s="111" t="s">
        <v>14242</v>
      </c>
      <c r="D5029" s="111" t="str">
        <f t="shared" ref="D5029:E5029" si="5027">TRIM(B5029)</f>
        <v>Indiana</v>
      </c>
      <c r="E5029" s="111" t="str">
        <f t="shared" si="5027"/>
        <v>Crawfordsville</v>
      </c>
    </row>
    <row r="5030" spans="1:5">
      <c r="A5030" s="3" t="s">
        <v>14247</v>
      </c>
      <c r="B5030" s="110" t="s">
        <v>1334</v>
      </c>
      <c r="C5030" s="111" t="s">
        <v>14242</v>
      </c>
      <c r="D5030" s="111" t="str">
        <f t="shared" ref="D5030:E5030" si="5028">TRIM(B5030)</f>
        <v>Indiana</v>
      </c>
      <c r="E5030" s="111" t="str">
        <f t="shared" si="5028"/>
        <v>Crawfordsville</v>
      </c>
    </row>
    <row r="5031" spans="1:5">
      <c r="A5031" s="3" t="s">
        <v>14249</v>
      </c>
      <c r="B5031" s="110" t="s">
        <v>1334</v>
      </c>
      <c r="C5031" s="111" t="s">
        <v>14251</v>
      </c>
      <c r="D5031" s="111" t="str">
        <f t="shared" ref="D5031:E5031" si="5029">TRIM(B5031)</f>
        <v>Indiana</v>
      </c>
      <c r="E5031" s="111" t="str">
        <f t="shared" si="5029"/>
        <v>Crothersville</v>
      </c>
    </row>
    <row r="5032" spans="1:5">
      <c r="A5032" s="3" t="s">
        <v>2986</v>
      </c>
      <c r="B5032" s="110" t="s">
        <v>1334</v>
      </c>
      <c r="C5032" s="111" t="s">
        <v>14253</v>
      </c>
      <c r="D5032" s="111" t="str">
        <f t="shared" ref="D5032:E5032" si="5030">TRIM(B5032)</f>
        <v>Indiana</v>
      </c>
      <c r="E5032" s="111" t="str">
        <f t="shared" si="5030"/>
        <v>Crown Point</v>
      </c>
    </row>
    <row r="5033" spans="1:5">
      <c r="A5033" s="3" t="s">
        <v>14255</v>
      </c>
      <c r="B5033" s="110" t="s">
        <v>1334</v>
      </c>
      <c r="C5033" s="111" t="s">
        <v>10681</v>
      </c>
      <c r="D5033" s="111" t="str">
        <f t="shared" ref="D5033:E5033" si="5031">TRIM(B5033)</f>
        <v>Indiana</v>
      </c>
      <c r="E5033" s="111" t="str">
        <f t="shared" si="5031"/>
        <v>Culver</v>
      </c>
    </row>
    <row r="5034" spans="1:5">
      <c r="A5034" s="3" t="s">
        <v>14257</v>
      </c>
      <c r="B5034" s="110" t="s">
        <v>1334</v>
      </c>
      <c r="C5034" s="111" t="s">
        <v>1675</v>
      </c>
      <c r="D5034" s="111" t="str">
        <f t="shared" ref="D5034:E5034" si="5032">TRIM(B5034)</f>
        <v>Indiana</v>
      </c>
      <c r="E5034" s="111" t="str">
        <f t="shared" si="5032"/>
        <v>Daleville</v>
      </c>
    </row>
    <row r="5035" spans="1:5">
      <c r="A5035" s="3" t="s">
        <v>14259</v>
      </c>
      <c r="B5035" s="110" t="s">
        <v>1334</v>
      </c>
      <c r="C5035" s="111" t="s">
        <v>529</v>
      </c>
      <c r="D5035" s="111" t="str">
        <f t="shared" ref="D5035:E5035" si="5033">TRIM(B5035)</f>
        <v>Indiana</v>
      </c>
      <c r="E5035" s="111" t="str">
        <f t="shared" si="5033"/>
        <v>Danville</v>
      </c>
    </row>
    <row r="5036" spans="1:5">
      <c r="A5036" s="3" t="s">
        <v>14262</v>
      </c>
      <c r="B5036" s="110" t="s">
        <v>1334</v>
      </c>
      <c r="C5036" s="111" t="s">
        <v>1686</v>
      </c>
      <c r="D5036" s="111" t="str">
        <f t="shared" ref="D5036:E5036" si="5034">TRIM(B5036)</f>
        <v>Indiana</v>
      </c>
      <c r="E5036" s="111" t="str">
        <f t="shared" si="5034"/>
        <v>Decatur</v>
      </c>
    </row>
    <row r="5037" spans="1:5">
      <c r="A5037" s="3" t="s">
        <v>14265</v>
      </c>
      <c r="B5037" s="110" t="s">
        <v>1334</v>
      </c>
      <c r="C5037" s="111" t="s">
        <v>14267</v>
      </c>
      <c r="D5037" s="111" t="str">
        <f t="shared" ref="D5037:E5037" si="5035">TRIM(B5037)</f>
        <v>Indiana</v>
      </c>
      <c r="E5037" s="111" t="str">
        <f t="shared" si="5035"/>
        <v>Delphi</v>
      </c>
    </row>
    <row r="5038" spans="1:5">
      <c r="A5038" s="3" t="s">
        <v>14269</v>
      </c>
      <c r="B5038" s="110" t="s">
        <v>1334</v>
      </c>
      <c r="C5038" s="111" t="s">
        <v>7781</v>
      </c>
      <c r="D5038" s="111" t="str">
        <f t="shared" ref="D5038:E5038" si="5036">TRIM(B5038)</f>
        <v>Indiana</v>
      </c>
      <c r="E5038" s="111" t="str">
        <f t="shared" si="5036"/>
        <v>Denver</v>
      </c>
    </row>
    <row r="5039" spans="1:5">
      <c r="A5039" s="3" t="s">
        <v>14272</v>
      </c>
      <c r="B5039" s="110" t="s">
        <v>1334</v>
      </c>
      <c r="C5039" s="111" t="s">
        <v>11677</v>
      </c>
      <c r="D5039" s="111" t="str">
        <f t="shared" ref="D5039:E5039" si="5037">TRIM(B5039)</f>
        <v>Indiana</v>
      </c>
      <c r="E5039" s="111" t="str">
        <f t="shared" si="5037"/>
        <v>Dubois</v>
      </c>
    </row>
    <row r="5040" spans="1:5">
      <c r="A5040" s="3" t="s">
        <v>14274</v>
      </c>
      <c r="B5040" s="110" t="s">
        <v>1334</v>
      </c>
      <c r="C5040" s="111" t="s">
        <v>14275</v>
      </c>
      <c r="D5040" s="111" t="str">
        <f t="shared" ref="D5040:E5040" si="5038">TRIM(B5040)</f>
        <v>Indiana</v>
      </c>
      <c r="E5040" s="111" t="str">
        <f t="shared" si="5038"/>
        <v>East Chicago</v>
      </c>
    </row>
    <row r="5041" spans="1:5">
      <c r="A5041" s="3" t="s">
        <v>14277</v>
      </c>
      <c r="B5041" s="110" t="s">
        <v>1334</v>
      </c>
      <c r="C5041" s="111" t="s">
        <v>14278</v>
      </c>
      <c r="D5041" s="111" t="str">
        <f t="shared" ref="D5041:E5041" si="5039">TRIM(B5041)</f>
        <v>Indiana</v>
      </c>
      <c r="E5041" s="111" t="str">
        <f t="shared" si="5039"/>
        <v>Edinburgh</v>
      </c>
    </row>
    <row r="5042" spans="1:5">
      <c r="A5042" s="3" t="s">
        <v>14280</v>
      </c>
      <c r="B5042" s="110" t="s">
        <v>1334</v>
      </c>
      <c r="C5042" s="111" t="s">
        <v>854</v>
      </c>
      <c r="D5042" s="111" t="str">
        <f t="shared" ref="D5042:E5042" si="5040">TRIM(B5042)</f>
        <v>Indiana</v>
      </c>
      <c r="E5042" s="111" t="str">
        <f t="shared" si="5040"/>
        <v>Elizabeth</v>
      </c>
    </row>
    <row r="5043" spans="1:5">
      <c r="A5043" s="3" t="s">
        <v>14282</v>
      </c>
      <c r="B5043" s="110" t="s">
        <v>1334</v>
      </c>
      <c r="C5043" s="111" t="s">
        <v>14283</v>
      </c>
      <c r="D5043" s="111" t="str">
        <f t="shared" ref="D5043:E5043" si="5041">TRIM(B5043)</f>
        <v>Indiana</v>
      </c>
      <c r="E5043" s="111" t="str">
        <f t="shared" si="5041"/>
        <v>Elkhart</v>
      </c>
    </row>
    <row r="5044" spans="1:5">
      <c r="A5044" s="3" t="s">
        <v>14285</v>
      </c>
      <c r="B5044" s="110" t="s">
        <v>1334</v>
      </c>
      <c r="C5044" s="111" t="s">
        <v>14283</v>
      </c>
      <c r="D5044" s="111" t="str">
        <f t="shared" ref="D5044:E5044" si="5042">TRIM(B5044)</f>
        <v>Indiana</v>
      </c>
      <c r="E5044" s="111" t="str">
        <f t="shared" si="5042"/>
        <v>Elkhart</v>
      </c>
    </row>
    <row r="5045" spans="1:5">
      <c r="A5045" s="3" t="s">
        <v>14287</v>
      </c>
      <c r="B5045" s="110" t="s">
        <v>1334</v>
      </c>
      <c r="C5045" s="111" t="s">
        <v>14283</v>
      </c>
      <c r="D5045" s="111" t="str">
        <f t="shared" ref="D5045:E5045" si="5043">TRIM(B5045)</f>
        <v>Indiana</v>
      </c>
      <c r="E5045" s="111" t="str">
        <f t="shared" si="5043"/>
        <v>Elkhart</v>
      </c>
    </row>
    <row r="5046" spans="1:5">
      <c r="A5046" s="3" t="s">
        <v>14290</v>
      </c>
      <c r="B5046" s="110" t="s">
        <v>1334</v>
      </c>
      <c r="C5046" s="111" t="s">
        <v>14283</v>
      </c>
      <c r="D5046" s="111" t="str">
        <f t="shared" ref="D5046:E5046" si="5044">TRIM(B5046)</f>
        <v>Indiana</v>
      </c>
      <c r="E5046" s="111" t="str">
        <f t="shared" si="5044"/>
        <v>Elkhart</v>
      </c>
    </row>
    <row r="5047" spans="1:5">
      <c r="A5047" s="3" t="s">
        <v>7466</v>
      </c>
      <c r="B5047" s="110" t="s">
        <v>1334</v>
      </c>
      <c r="C5047" s="111" t="s">
        <v>14293</v>
      </c>
      <c r="D5047" s="111" t="str">
        <f t="shared" ref="D5047:E5047" si="5045">TRIM(B5047)</f>
        <v>Indiana</v>
      </c>
      <c r="E5047" s="111" t="str">
        <f t="shared" si="5045"/>
        <v>Ellettsville</v>
      </c>
    </row>
    <row r="5048" spans="1:5">
      <c r="A5048" s="3" t="s">
        <v>14295</v>
      </c>
      <c r="B5048" s="110" t="s">
        <v>1334</v>
      </c>
      <c r="C5048" s="111" t="s">
        <v>14296</v>
      </c>
      <c r="D5048" s="111" t="str">
        <f t="shared" ref="D5048:E5048" si="5046">TRIM(B5048)</f>
        <v>Indiana</v>
      </c>
      <c r="E5048" s="111" t="str">
        <f t="shared" si="5046"/>
        <v>Elnora</v>
      </c>
    </row>
    <row r="5049" spans="1:5">
      <c r="A5049" s="3" t="s">
        <v>14299</v>
      </c>
      <c r="B5049" s="110" t="s">
        <v>1334</v>
      </c>
      <c r="C5049" s="111" t="s">
        <v>14300</v>
      </c>
      <c r="D5049" s="111" t="str">
        <f t="shared" ref="D5049:E5049" si="5047">TRIM(B5049)</f>
        <v>Indiana</v>
      </c>
      <c r="E5049" s="111" t="str">
        <f t="shared" si="5047"/>
        <v>Elwood</v>
      </c>
    </row>
    <row r="5050" spans="1:5">
      <c r="A5050" s="3" t="s">
        <v>14302</v>
      </c>
      <c r="B5050" s="110" t="s">
        <v>1334</v>
      </c>
      <c r="C5050" s="111" t="s">
        <v>14303</v>
      </c>
      <c r="D5050" s="111" t="str">
        <f t="shared" ref="D5050:E5050" si="5048">TRIM(B5050)</f>
        <v>Indiana</v>
      </c>
      <c r="E5050" s="111" t="str">
        <f t="shared" si="5048"/>
        <v>Eminence</v>
      </c>
    </row>
    <row r="5051" spans="1:5">
      <c r="A5051" s="3" t="s">
        <v>14305</v>
      </c>
      <c r="B5051" s="110" t="s">
        <v>1334</v>
      </c>
      <c r="C5051" s="111" t="s">
        <v>10685</v>
      </c>
      <c r="D5051" s="111" t="str">
        <f t="shared" ref="D5051:E5051" si="5049">TRIM(B5051)</f>
        <v>Indiana</v>
      </c>
      <c r="E5051" s="111" t="str">
        <f t="shared" si="5049"/>
        <v>Evansville</v>
      </c>
    </row>
    <row r="5052" spans="1:5">
      <c r="A5052" s="3" t="s">
        <v>1843</v>
      </c>
      <c r="B5052" s="110" t="s">
        <v>1334</v>
      </c>
      <c r="C5052" s="111" t="s">
        <v>10685</v>
      </c>
      <c r="D5052" s="111" t="str">
        <f t="shared" ref="D5052:E5052" si="5050">TRIM(B5052)</f>
        <v>Indiana</v>
      </c>
      <c r="E5052" s="111" t="str">
        <f t="shared" si="5050"/>
        <v>Evansville</v>
      </c>
    </row>
    <row r="5053" spans="1:5">
      <c r="A5053" s="3" t="s">
        <v>14309</v>
      </c>
      <c r="B5053" s="110" t="s">
        <v>1334</v>
      </c>
      <c r="C5053" s="111" t="s">
        <v>10685</v>
      </c>
      <c r="D5053" s="111" t="str">
        <f t="shared" ref="D5053:E5053" si="5051">TRIM(B5053)</f>
        <v>Indiana</v>
      </c>
      <c r="E5053" s="111" t="str">
        <f t="shared" si="5051"/>
        <v>Evansville</v>
      </c>
    </row>
    <row r="5054" spans="1:5">
      <c r="A5054" s="110" t="s">
        <v>14311</v>
      </c>
      <c r="B5054" s="110" t="s">
        <v>1334</v>
      </c>
      <c r="C5054" s="111" t="s">
        <v>10685</v>
      </c>
      <c r="D5054" s="111" t="str">
        <f t="shared" ref="D5054:E5054" si="5052">TRIM(B5054)</f>
        <v>Indiana</v>
      </c>
      <c r="E5054" s="111" t="str">
        <f t="shared" si="5052"/>
        <v>Evansville</v>
      </c>
    </row>
    <row r="5055" spans="1:5">
      <c r="A5055" s="3" t="s">
        <v>3069</v>
      </c>
      <c r="B5055" s="110" t="s">
        <v>1334</v>
      </c>
      <c r="C5055" s="111" t="s">
        <v>10685</v>
      </c>
      <c r="D5055" s="111" t="str">
        <f t="shared" ref="D5055:E5055" si="5053">TRIM(B5055)</f>
        <v>Indiana</v>
      </c>
      <c r="E5055" s="111" t="str">
        <f t="shared" si="5053"/>
        <v>Evansville</v>
      </c>
    </row>
    <row r="5056" spans="1:5">
      <c r="A5056" s="110" t="s">
        <v>14313</v>
      </c>
      <c r="B5056" s="110" t="s">
        <v>1334</v>
      </c>
      <c r="C5056" s="111" t="s">
        <v>10685</v>
      </c>
      <c r="D5056" s="111" t="str">
        <f t="shared" ref="D5056:E5056" si="5054">TRIM(B5056)</f>
        <v>Indiana</v>
      </c>
      <c r="E5056" s="111" t="str">
        <f t="shared" si="5054"/>
        <v>Evansville</v>
      </c>
    </row>
    <row r="5057" spans="1:5">
      <c r="A5057" s="3" t="s">
        <v>14315</v>
      </c>
      <c r="B5057" s="110" t="s">
        <v>1334</v>
      </c>
      <c r="C5057" s="111" t="s">
        <v>10685</v>
      </c>
      <c r="D5057" s="111" t="str">
        <f t="shared" ref="D5057:E5057" si="5055">TRIM(B5057)</f>
        <v>Indiana</v>
      </c>
      <c r="E5057" s="111" t="str">
        <f t="shared" si="5055"/>
        <v>Evansville</v>
      </c>
    </row>
    <row r="5058" spans="1:5">
      <c r="A5058" s="3" t="s">
        <v>14316</v>
      </c>
      <c r="B5058" s="110" t="s">
        <v>1334</v>
      </c>
      <c r="C5058" s="111" t="s">
        <v>14317</v>
      </c>
      <c r="D5058" s="111" t="str">
        <f t="shared" ref="D5058:E5058" si="5056">TRIM(B5058)</f>
        <v>Indiana</v>
      </c>
      <c r="E5058" s="111" t="str">
        <f t="shared" si="5056"/>
        <v>Fairland</v>
      </c>
    </row>
    <row r="5059" spans="1:5">
      <c r="A5059" s="3" t="s">
        <v>14318</v>
      </c>
      <c r="B5059" s="110" t="s">
        <v>1334</v>
      </c>
      <c r="C5059" s="111" t="s">
        <v>14319</v>
      </c>
      <c r="D5059" s="111" t="str">
        <f t="shared" ref="D5059:E5059" si="5057">TRIM(B5059)</f>
        <v>Indiana</v>
      </c>
      <c r="E5059" s="111" t="str">
        <f t="shared" si="5057"/>
        <v>Fairmount</v>
      </c>
    </row>
    <row r="5060" spans="1:5">
      <c r="A5060" s="3" t="s">
        <v>14320</v>
      </c>
      <c r="B5060" s="110" t="s">
        <v>1334</v>
      </c>
      <c r="C5060" s="111" t="s">
        <v>14321</v>
      </c>
      <c r="D5060" s="111" t="str">
        <f t="shared" ref="D5060:E5060" si="5058">TRIM(B5060)</f>
        <v>Indiana</v>
      </c>
      <c r="E5060" s="111" t="str">
        <f t="shared" si="5058"/>
        <v>Farmersburg</v>
      </c>
    </row>
    <row r="5061" spans="1:5">
      <c r="A5061" s="3" t="s">
        <v>14322</v>
      </c>
      <c r="B5061" s="110" t="s">
        <v>1334</v>
      </c>
      <c r="C5061" s="111" t="s">
        <v>14323</v>
      </c>
      <c r="D5061" s="111" t="str">
        <f t="shared" ref="D5061:E5061" si="5059">TRIM(B5061)</f>
        <v>Indiana</v>
      </c>
      <c r="E5061" s="111" t="str">
        <f t="shared" si="5059"/>
        <v>Ferdinand</v>
      </c>
    </row>
    <row r="5062" spans="1:5">
      <c r="A5062" s="3" t="s">
        <v>14324</v>
      </c>
      <c r="B5062" s="110" t="s">
        <v>1334</v>
      </c>
      <c r="C5062" s="111" t="s">
        <v>4564</v>
      </c>
      <c r="D5062" s="111" t="str">
        <f t="shared" ref="D5062:E5062" si="5060">TRIM(B5062)</f>
        <v>Indiana</v>
      </c>
      <c r="E5062" s="111" t="str">
        <f t="shared" si="5060"/>
        <v>Fishers</v>
      </c>
    </row>
    <row r="5063" spans="1:5">
      <c r="A5063" s="3" t="s">
        <v>14325</v>
      </c>
      <c r="B5063" s="110" t="s">
        <v>1334</v>
      </c>
      <c r="C5063" s="111" t="s">
        <v>4564</v>
      </c>
      <c r="D5063" s="111" t="str">
        <f t="shared" ref="D5063:E5063" si="5061">TRIM(B5063)</f>
        <v>Indiana</v>
      </c>
      <c r="E5063" s="111" t="str">
        <f t="shared" si="5061"/>
        <v>Fishers</v>
      </c>
    </row>
    <row r="5064" spans="1:5">
      <c r="A5064" s="3" t="s">
        <v>14326</v>
      </c>
      <c r="B5064" s="110" t="s">
        <v>1334</v>
      </c>
      <c r="C5064" s="111" t="s">
        <v>11749</v>
      </c>
      <c r="D5064" s="111" t="str">
        <f t="shared" ref="D5064:E5064" si="5062">TRIM(B5064)</f>
        <v>Indiana</v>
      </c>
      <c r="E5064" s="111" t="str">
        <f t="shared" si="5062"/>
        <v>Flora</v>
      </c>
    </row>
    <row r="5065" spans="1:5">
      <c r="A5065" s="3" t="s">
        <v>14327</v>
      </c>
      <c r="B5065" s="110" t="s">
        <v>1334</v>
      </c>
      <c r="C5065" s="111" t="s">
        <v>14328</v>
      </c>
      <c r="D5065" s="111" t="str">
        <f t="shared" ref="D5065:E5065" si="5063">TRIM(B5065)</f>
        <v>Indiana</v>
      </c>
      <c r="E5065" s="111" t="str">
        <f t="shared" si="5063"/>
        <v>Floyd Knobs</v>
      </c>
    </row>
    <row r="5066" spans="1:5">
      <c r="A5066" s="3" t="s">
        <v>14329</v>
      </c>
      <c r="B5066" s="110" t="s">
        <v>1334</v>
      </c>
      <c r="C5066" s="111" t="s">
        <v>14330</v>
      </c>
      <c r="D5066" s="111" t="str">
        <f t="shared" ref="D5066:E5066" si="5064">TRIM(B5066)</f>
        <v>Indiana</v>
      </c>
      <c r="E5066" s="111" t="str">
        <f t="shared" si="5064"/>
        <v>Fort Branch</v>
      </c>
    </row>
    <row r="5067" spans="1:5">
      <c r="A5067" s="3" t="s">
        <v>2074</v>
      </c>
      <c r="B5067" s="110" t="s">
        <v>1334</v>
      </c>
      <c r="C5067" s="111" t="s">
        <v>10672</v>
      </c>
      <c r="D5067" s="111" t="str">
        <f t="shared" ref="D5067:E5067" si="5065">TRIM(B5067)</f>
        <v>Indiana</v>
      </c>
      <c r="E5067" s="111" t="str">
        <f t="shared" si="5065"/>
        <v>Fort Wayne</v>
      </c>
    </row>
    <row r="5068" spans="1:5">
      <c r="A5068" s="110" t="s">
        <v>14331</v>
      </c>
      <c r="B5068" s="110" t="s">
        <v>1334</v>
      </c>
      <c r="C5068" s="111" t="s">
        <v>10672</v>
      </c>
      <c r="D5068" s="111" t="str">
        <f t="shared" ref="D5068:E5068" si="5066">TRIM(B5068)</f>
        <v>Indiana</v>
      </c>
      <c r="E5068" s="111" t="str">
        <f t="shared" si="5066"/>
        <v>Fort Wayne</v>
      </c>
    </row>
    <row r="5069" spans="1:5">
      <c r="A5069" s="3" t="s">
        <v>9358</v>
      </c>
      <c r="B5069" s="110" t="s">
        <v>1334</v>
      </c>
      <c r="C5069" s="111" t="s">
        <v>10672</v>
      </c>
      <c r="D5069" s="111" t="str">
        <f t="shared" ref="D5069:E5069" si="5067">TRIM(B5069)</f>
        <v>Indiana</v>
      </c>
      <c r="E5069" s="111" t="str">
        <f t="shared" si="5067"/>
        <v>Fort Wayne</v>
      </c>
    </row>
    <row r="5070" spans="1:5">
      <c r="A5070" s="3" t="s">
        <v>14332</v>
      </c>
      <c r="B5070" s="110" t="s">
        <v>1334</v>
      </c>
      <c r="C5070" s="111" t="s">
        <v>10672</v>
      </c>
      <c r="D5070" s="111" t="str">
        <f t="shared" ref="D5070:E5070" si="5068">TRIM(B5070)</f>
        <v>Indiana</v>
      </c>
      <c r="E5070" s="111" t="str">
        <f t="shared" si="5068"/>
        <v>Fort Wayne</v>
      </c>
    </row>
    <row r="5071" spans="1:5">
      <c r="A5071" s="3" t="s">
        <v>14333</v>
      </c>
      <c r="B5071" s="110" t="s">
        <v>1334</v>
      </c>
      <c r="C5071" s="111" t="s">
        <v>10672</v>
      </c>
      <c r="D5071" s="111" t="str">
        <f t="shared" ref="D5071:E5071" si="5069">TRIM(B5071)</f>
        <v>Indiana</v>
      </c>
      <c r="E5071" s="111" t="str">
        <f t="shared" si="5069"/>
        <v>Fort Wayne</v>
      </c>
    </row>
    <row r="5072" spans="1:5">
      <c r="A5072" s="3" t="s">
        <v>14334</v>
      </c>
      <c r="B5072" s="110" t="s">
        <v>1334</v>
      </c>
      <c r="C5072" s="111" t="s">
        <v>10672</v>
      </c>
      <c r="D5072" s="111" t="str">
        <f t="shared" ref="D5072:E5072" si="5070">TRIM(B5072)</f>
        <v>Indiana</v>
      </c>
      <c r="E5072" s="111" t="str">
        <f t="shared" si="5070"/>
        <v>Fort Wayne</v>
      </c>
    </row>
    <row r="5073" spans="1:5">
      <c r="A5073" s="3" t="s">
        <v>3597</v>
      </c>
      <c r="B5073" s="110" t="s">
        <v>1334</v>
      </c>
      <c r="C5073" s="111" t="s">
        <v>10672</v>
      </c>
      <c r="D5073" s="111" t="str">
        <f t="shared" ref="D5073:E5073" si="5071">TRIM(B5073)</f>
        <v>Indiana</v>
      </c>
      <c r="E5073" s="111" t="str">
        <f t="shared" si="5071"/>
        <v>Fort Wayne</v>
      </c>
    </row>
    <row r="5074" spans="1:5">
      <c r="A5074" s="3" t="s">
        <v>14335</v>
      </c>
      <c r="B5074" s="110" t="s">
        <v>1334</v>
      </c>
      <c r="C5074" s="111" t="s">
        <v>10672</v>
      </c>
      <c r="D5074" s="111" t="str">
        <f t="shared" ref="D5074:E5074" si="5072">TRIM(B5074)</f>
        <v>Indiana</v>
      </c>
      <c r="E5074" s="111" t="str">
        <f t="shared" si="5072"/>
        <v>Fort Wayne</v>
      </c>
    </row>
    <row r="5075" spans="1:5">
      <c r="A5075" s="3" t="s">
        <v>14336</v>
      </c>
      <c r="B5075" s="110" t="s">
        <v>1334</v>
      </c>
      <c r="C5075" s="111" t="s">
        <v>14337</v>
      </c>
      <c r="D5075" s="111" t="str">
        <f t="shared" ref="D5075:E5075" si="5073">TRIM(B5075)</f>
        <v>Indiana</v>
      </c>
      <c r="E5075" s="111" t="str">
        <f t="shared" si="5073"/>
        <v>Fortville</v>
      </c>
    </row>
    <row r="5076" spans="1:5">
      <c r="A5076" s="3" t="s">
        <v>14338</v>
      </c>
      <c r="B5076" s="110" t="s">
        <v>1334</v>
      </c>
      <c r="C5076" s="111" t="s">
        <v>14340</v>
      </c>
      <c r="D5076" s="111" t="str">
        <f t="shared" ref="D5076:E5076" si="5074">TRIM(B5076)</f>
        <v>Indiana</v>
      </c>
      <c r="E5076" s="111" t="str">
        <f t="shared" si="5074"/>
        <v>Fountain City</v>
      </c>
    </row>
    <row r="5077" spans="1:5">
      <c r="A5077" s="3" t="s">
        <v>14341</v>
      </c>
      <c r="B5077" s="110" t="s">
        <v>1334</v>
      </c>
      <c r="C5077" s="112" t="s">
        <v>14342</v>
      </c>
      <c r="D5077" s="111" t="str">
        <f t="shared" ref="D5077:E5077" si="5075">TRIM(B5077)</f>
        <v>Indiana</v>
      </c>
      <c r="E5077" s="111" t="str">
        <f t="shared" si="5075"/>
        <v>Francesville</v>
      </c>
    </row>
    <row r="5078" spans="1:5">
      <c r="A5078" s="3" t="s">
        <v>14343</v>
      </c>
      <c r="B5078" s="110" t="s">
        <v>1334</v>
      </c>
      <c r="C5078" s="111" t="s">
        <v>12913</v>
      </c>
      <c r="D5078" s="111" t="str">
        <f t="shared" ref="D5078:E5078" si="5076">TRIM(B5078)</f>
        <v>Indiana</v>
      </c>
      <c r="E5078" s="111" t="str">
        <f t="shared" si="5076"/>
        <v>Frankfort</v>
      </c>
    </row>
    <row r="5079" spans="1:5">
      <c r="A5079" s="3" t="s">
        <v>14344</v>
      </c>
      <c r="B5079" s="110" t="s">
        <v>1334</v>
      </c>
      <c r="C5079" s="111" t="s">
        <v>12913</v>
      </c>
      <c r="D5079" s="111" t="str">
        <f t="shared" ref="D5079:E5079" si="5077">TRIM(B5079)</f>
        <v>Indiana</v>
      </c>
      <c r="E5079" s="111" t="str">
        <f t="shared" si="5077"/>
        <v>Frankfort</v>
      </c>
    </row>
    <row r="5080" spans="1:5">
      <c r="A5080" s="3" t="s">
        <v>14345</v>
      </c>
      <c r="B5080" s="110" t="s">
        <v>1334</v>
      </c>
      <c r="C5080" s="111" t="s">
        <v>525</v>
      </c>
      <c r="D5080" s="111" t="str">
        <f t="shared" ref="D5080:E5080" si="5078">TRIM(B5080)</f>
        <v>Indiana</v>
      </c>
      <c r="E5080" s="111" t="str">
        <f t="shared" si="5078"/>
        <v>Franklin</v>
      </c>
    </row>
    <row r="5081" spans="1:5">
      <c r="A5081" s="3" t="s">
        <v>14346</v>
      </c>
      <c r="B5081" s="110" t="s">
        <v>1334</v>
      </c>
      <c r="C5081" s="111" t="s">
        <v>14347</v>
      </c>
      <c r="D5081" s="111" t="str">
        <f t="shared" ref="D5081:E5081" si="5079">TRIM(B5081)</f>
        <v>Indiana</v>
      </c>
      <c r="E5081" s="111" t="str">
        <f t="shared" si="5079"/>
        <v>Frankton</v>
      </c>
    </row>
    <row r="5082" spans="1:5">
      <c r="A5082" s="3" t="s">
        <v>6162</v>
      </c>
      <c r="B5082" s="110" t="s">
        <v>1334</v>
      </c>
      <c r="C5082" s="111" t="s">
        <v>496</v>
      </c>
      <c r="D5082" s="111" t="str">
        <f t="shared" ref="D5082:E5082" si="5080">TRIM(B5082)</f>
        <v>Indiana</v>
      </c>
      <c r="E5082" s="111" t="str">
        <f t="shared" si="5080"/>
        <v>Fremont</v>
      </c>
    </row>
    <row r="5083" spans="1:5">
      <c r="A5083" s="3" t="s">
        <v>14348</v>
      </c>
      <c r="B5083" s="110" t="s">
        <v>1334</v>
      </c>
      <c r="C5083" s="111" t="s">
        <v>14349</v>
      </c>
      <c r="D5083" s="111" t="str">
        <f t="shared" ref="D5083:E5083" si="5081">TRIM(B5083)</f>
        <v>Indiana</v>
      </c>
      <c r="E5083" s="111" t="str">
        <f t="shared" si="5081"/>
        <v>French Lick</v>
      </c>
    </row>
    <row r="5084" spans="1:5">
      <c r="A5084" s="3" t="s">
        <v>14350</v>
      </c>
      <c r="B5084" s="110" t="s">
        <v>1334</v>
      </c>
      <c r="C5084" s="111" t="s">
        <v>12926</v>
      </c>
      <c r="D5084" s="111" t="str">
        <f t="shared" ref="D5084:E5084" si="5082">TRIM(B5084)</f>
        <v>Indiana</v>
      </c>
      <c r="E5084" s="111" t="str">
        <f t="shared" si="5082"/>
        <v>Fulton</v>
      </c>
    </row>
    <row r="5085" spans="1:5">
      <c r="A5085" s="3" t="s">
        <v>14351</v>
      </c>
      <c r="B5085" s="110" t="s">
        <v>1334</v>
      </c>
      <c r="C5085" s="111" t="s">
        <v>14352</v>
      </c>
      <c r="D5085" s="111" t="str">
        <f t="shared" ref="D5085:E5085" si="5083">TRIM(B5085)</f>
        <v>Indiana</v>
      </c>
      <c r="E5085" s="111" t="str">
        <f t="shared" si="5083"/>
        <v>Garrett</v>
      </c>
    </row>
    <row r="5086" spans="1:5">
      <c r="A5086" s="3" t="s">
        <v>14353</v>
      </c>
      <c r="B5086" s="110" t="s">
        <v>1334</v>
      </c>
      <c r="C5086" s="111" t="s">
        <v>14354</v>
      </c>
      <c r="D5086" s="111" t="str">
        <f t="shared" ref="D5086:E5086" si="5084">TRIM(B5086)</f>
        <v>Indiana</v>
      </c>
      <c r="E5086" s="111" t="str">
        <f t="shared" si="5084"/>
        <v>Gary</v>
      </c>
    </row>
    <row r="5087" spans="1:5">
      <c r="A5087" s="110" t="s">
        <v>14355</v>
      </c>
      <c r="B5087" s="110" t="s">
        <v>1334</v>
      </c>
      <c r="C5087" s="111" t="s">
        <v>14354</v>
      </c>
      <c r="D5087" s="111" t="str">
        <f t="shared" ref="D5087:E5087" si="5085">TRIM(B5087)</f>
        <v>Indiana</v>
      </c>
      <c r="E5087" s="111" t="str">
        <f t="shared" si="5085"/>
        <v>Gary</v>
      </c>
    </row>
    <row r="5088" spans="1:5">
      <c r="A5088" s="110" t="s">
        <v>14356</v>
      </c>
      <c r="B5088" s="110" t="s">
        <v>1334</v>
      </c>
      <c r="C5088" s="111" t="s">
        <v>14354</v>
      </c>
      <c r="D5088" s="111" t="str">
        <f t="shared" ref="D5088:E5088" si="5086">TRIM(B5088)</f>
        <v>Indiana</v>
      </c>
      <c r="E5088" s="111" t="str">
        <f t="shared" si="5086"/>
        <v>Gary</v>
      </c>
    </row>
    <row r="5089" spans="1:5">
      <c r="A5089" s="3" t="s">
        <v>14357</v>
      </c>
      <c r="B5089" s="110" t="s">
        <v>1334</v>
      </c>
      <c r="C5089" s="111" t="s">
        <v>14354</v>
      </c>
      <c r="D5089" s="111" t="str">
        <f t="shared" ref="D5089:E5089" si="5087">TRIM(B5089)</f>
        <v>Indiana</v>
      </c>
      <c r="E5089" s="111" t="str">
        <f t="shared" si="5087"/>
        <v>Gary</v>
      </c>
    </row>
    <row r="5090" spans="1:5">
      <c r="A5090" s="3" t="s">
        <v>14358</v>
      </c>
      <c r="B5090" s="110" t="s">
        <v>1334</v>
      </c>
      <c r="C5090" s="111" t="s">
        <v>14354</v>
      </c>
      <c r="D5090" s="111" t="str">
        <f t="shared" ref="D5090:E5090" si="5088">TRIM(B5090)</f>
        <v>Indiana</v>
      </c>
      <c r="E5090" s="111" t="str">
        <f t="shared" si="5088"/>
        <v>Gary</v>
      </c>
    </row>
    <row r="5091" spans="1:5">
      <c r="A5091" s="3" t="s">
        <v>14359</v>
      </c>
      <c r="B5091" s="110" t="s">
        <v>1334</v>
      </c>
      <c r="C5091" s="111" t="s">
        <v>14360</v>
      </c>
      <c r="D5091" s="111" t="str">
        <f t="shared" ref="D5091:E5091" si="5089">TRIM(B5091)</f>
        <v>Indiana</v>
      </c>
      <c r="E5091" s="111" t="str">
        <f t="shared" si="5089"/>
        <v>Gas City</v>
      </c>
    </row>
    <row r="5092" spans="1:5">
      <c r="A5092" s="3" t="s">
        <v>14361</v>
      </c>
      <c r="B5092" s="110" t="s">
        <v>1334</v>
      </c>
      <c r="C5092" s="111" t="s">
        <v>14362</v>
      </c>
      <c r="D5092" s="111" t="str">
        <f t="shared" ref="D5092:E5092" si="5090">TRIM(B5092)</f>
        <v>Indiana</v>
      </c>
      <c r="E5092" s="111" t="str">
        <f t="shared" si="5090"/>
        <v>Gaston</v>
      </c>
    </row>
    <row r="5093" spans="1:5">
      <c r="A5093" s="3" t="s">
        <v>14363</v>
      </c>
      <c r="B5093" s="110" t="s">
        <v>1334</v>
      </c>
      <c r="C5093" s="111" t="s">
        <v>1796</v>
      </c>
      <c r="D5093" s="111" t="str">
        <f t="shared" ref="D5093:E5093" si="5091">TRIM(B5093)</f>
        <v>Indiana</v>
      </c>
      <c r="E5093" s="111" t="str">
        <f t="shared" si="5091"/>
        <v>Goshen</v>
      </c>
    </row>
    <row r="5094" spans="1:5">
      <c r="A5094" s="3" t="s">
        <v>1795</v>
      </c>
      <c r="B5094" s="110" t="s">
        <v>1334</v>
      </c>
      <c r="C5094" s="111" t="s">
        <v>1796</v>
      </c>
      <c r="D5094" s="111" t="str">
        <f t="shared" ref="D5094:E5094" si="5092">TRIM(B5094)</f>
        <v>Indiana</v>
      </c>
      <c r="E5094" s="111" t="str">
        <f t="shared" si="5092"/>
        <v>Goshen</v>
      </c>
    </row>
    <row r="5095" spans="1:5">
      <c r="A5095" s="110" t="s">
        <v>14364</v>
      </c>
      <c r="B5095" s="110" t="s">
        <v>1334</v>
      </c>
      <c r="C5095" s="111" t="s">
        <v>1796</v>
      </c>
      <c r="D5095" s="111" t="str">
        <f t="shared" ref="D5095:E5095" si="5093">TRIM(B5095)</f>
        <v>Indiana</v>
      </c>
      <c r="E5095" s="111" t="str">
        <f t="shared" si="5093"/>
        <v>Goshen</v>
      </c>
    </row>
    <row r="5096" spans="1:5">
      <c r="A5096" s="3" t="s">
        <v>14365</v>
      </c>
      <c r="B5096" s="110" t="s">
        <v>1334</v>
      </c>
      <c r="C5096" s="111" t="s">
        <v>14366</v>
      </c>
      <c r="D5096" s="111" t="str">
        <f t="shared" ref="D5096:E5096" si="5094">TRIM(B5096)</f>
        <v>Indiana</v>
      </c>
      <c r="E5096" s="111" t="str">
        <f t="shared" si="5094"/>
        <v>Greencastle</v>
      </c>
    </row>
    <row r="5097" spans="1:5">
      <c r="A5097" s="3" t="s">
        <v>14367</v>
      </c>
      <c r="B5097" s="110" t="s">
        <v>1334</v>
      </c>
      <c r="C5097" s="111" t="s">
        <v>14366</v>
      </c>
      <c r="D5097" s="111" t="str">
        <f t="shared" ref="D5097:E5097" si="5095">TRIM(B5097)</f>
        <v>Indiana</v>
      </c>
      <c r="E5097" s="111" t="str">
        <f t="shared" si="5095"/>
        <v>Greencastle</v>
      </c>
    </row>
    <row r="5098" spans="1:5">
      <c r="A5098" s="3" t="s">
        <v>14368</v>
      </c>
      <c r="B5098" s="110" t="s">
        <v>1334</v>
      </c>
      <c r="C5098" s="111" t="s">
        <v>5188</v>
      </c>
      <c r="D5098" s="111" t="str">
        <f t="shared" ref="D5098:E5098" si="5096">TRIM(B5098)</f>
        <v>Indiana</v>
      </c>
      <c r="E5098" s="111" t="str">
        <f t="shared" si="5096"/>
        <v>Greenfield</v>
      </c>
    </row>
    <row r="5099" spans="1:5">
      <c r="A5099" s="3" t="s">
        <v>14369</v>
      </c>
      <c r="B5099" s="110" t="s">
        <v>1334</v>
      </c>
      <c r="C5099" s="111" t="s">
        <v>4983</v>
      </c>
      <c r="D5099" s="111" t="str">
        <f t="shared" ref="D5099:E5099" si="5097">TRIM(B5099)</f>
        <v>Indiana</v>
      </c>
      <c r="E5099" s="111" t="str">
        <f t="shared" si="5097"/>
        <v>Greensburg</v>
      </c>
    </row>
    <row r="5100" spans="1:5">
      <c r="A5100" s="3" t="s">
        <v>14370</v>
      </c>
      <c r="B5100" s="110" t="s">
        <v>1334</v>
      </c>
      <c r="C5100" s="111" t="s">
        <v>4983</v>
      </c>
      <c r="D5100" s="111" t="str">
        <f t="shared" ref="D5100:E5100" si="5098">TRIM(B5100)</f>
        <v>Indiana</v>
      </c>
      <c r="E5100" s="111" t="str">
        <f t="shared" si="5098"/>
        <v>Greensburg</v>
      </c>
    </row>
    <row r="5101" spans="1:5">
      <c r="A5101" s="3" t="s">
        <v>14371</v>
      </c>
      <c r="B5101" s="110" t="s">
        <v>1334</v>
      </c>
      <c r="C5101" s="111" t="s">
        <v>4983</v>
      </c>
      <c r="D5101" s="111" t="str">
        <f t="shared" ref="D5101:E5101" si="5099">TRIM(B5101)</f>
        <v>Indiana</v>
      </c>
      <c r="E5101" s="111" t="str">
        <f t="shared" si="5099"/>
        <v>Greensburg</v>
      </c>
    </row>
    <row r="5102" spans="1:5">
      <c r="A5102" s="3" t="s">
        <v>8899</v>
      </c>
      <c r="B5102" s="110" t="s">
        <v>1334</v>
      </c>
      <c r="C5102" s="111" t="s">
        <v>14372</v>
      </c>
      <c r="D5102" s="111" t="str">
        <f t="shared" ref="D5102:E5102" si="5100">TRIM(B5102)</f>
        <v>Indiana</v>
      </c>
      <c r="E5102" s="111" t="str">
        <f t="shared" si="5100"/>
        <v>Greentown</v>
      </c>
    </row>
    <row r="5103" spans="1:5">
      <c r="A5103" s="3" t="s">
        <v>14374</v>
      </c>
      <c r="B5103" s="110" t="s">
        <v>1334</v>
      </c>
      <c r="C5103" s="111" t="s">
        <v>3820</v>
      </c>
      <c r="D5103" s="111" t="str">
        <f t="shared" ref="D5103:E5103" si="5101">TRIM(B5103)</f>
        <v>Indiana</v>
      </c>
      <c r="E5103" s="111" t="str">
        <f t="shared" si="5101"/>
        <v>Greenwood</v>
      </c>
    </row>
    <row r="5104" spans="1:5">
      <c r="A5104" s="3" t="s">
        <v>14375</v>
      </c>
      <c r="B5104" s="110" t="s">
        <v>1334</v>
      </c>
      <c r="C5104" s="111" t="s">
        <v>3820</v>
      </c>
      <c r="D5104" s="111" t="str">
        <f t="shared" ref="D5104:E5104" si="5102">TRIM(B5104)</f>
        <v>Indiana</v>
      </c>
      <c r="E5104" s="111" t="str">
        <f t="shared" si="5102"/>
        <v>Greenwood</v>
      </c>
    </row>
    <row r="5105" spans="1:5">
      <c r="A5105" s="3" t="s">
        <v>14376</v>
      </c>
      <c r="B5105" s="110" t="s">
        <v>1334</v>
      </c>
      <c r="C5105" s="111" t="s">
        <v>14377</v>
      </c>
      <c r="D5105" s="111" t="str">
        <f t="shared" ref="D5105:E5105" si="5103">TRIM(B5105)</f>
        <v>Indiana</v>
      </c>
      <c r="E5105" s="111" t="str">
        <f t="shared" si="5103"/>
        <v>Griffith</v>
      </c>
    </row>
    <row r="5106" spans="1:5">
      <c r="A5106" s="3" t="s">
        <v>14378</v>
      </c>
      <c r="B5106" s="110" t="s">
        <v>1334</v>
      </c>
      <c r="C5106" s="111" t="s">
        <v>11093</v>
      </c>
      <c r="D5106" s="111" t="str">
        <f t="shared" ref="D5106:E5106" si="5104">TRIM(B5106)</f>
        <v>Indiana</v>
      </c>
      <c r="E5106" s="111" t="str">
        <f t="shared" si="5104"/>
        <v>Hagerstown</v>
      </c>
    </row>
    <row r="5107" spans="1:5">
      <c r="A5107" s="3" t="s">
        <v>14379</v>
      </c>
      <c r="B5107" s="110" t="s">
        <v>1334</v>
      </c>
      <c r="C5107" s="111" t="s">
        <v>344</v>
      </c>
      <c r="D5107" s="111" t="str">
        <f t="shared" ref="D5107:E5107" si="5105">TRIM(B5107)</f>
        <v>Indiana</v>
      </c>
      <c r="E5107" s="111" t="str">
        <f t="shared" si="5105"/>
        <v>Hamilton</v>
      </c>
    </row>
    <row r="5108" spans="1:5">
      <c r="A5108" s="3" t="s">
        <v>14380</v>
      </c>
      <c r="B5108" s="110" t="s">
        <v>1334</v>
      </c>
      <c r="C5108" s="111" t="s">
        <v>14381</v>
      </c>
      <c r="D5108" s="111" t="str">
        <f t="shared" ref="D5108:E5108" si="5106">TRIM(B5108)</f>
        <v>Indiana</v>
      </c>
      <c r="E5108" s="111" t="str">
        <f t="shared" si="5106"/>
        <v>Hamlet</v>
      </c>
    </row>
    <row r="5109" spans="1:5">
      <c r="A5109" s="3" t="s">
        <v>14382</v>
      </c>
      <c r="B5109" s="110" t="s">
        <v>1334</v>
      </c>
      <c r="C5109" s="111" t="s">
        <v>289</v>
      </c>
      <c r="D5109" s="111" t="str">
        <f t="shared" ref="D5109:E5109" si="5107">TRIM(B5109)</f>
        <v>Indiana</v>
      </c>
      <c r="E5109" s="111" t="str">
        <f t="shared" si="5107"/>
        <v>Hammond</v>
      </c>
    </row>
    <row r="5110" spans="1:5">
      <c r="A5110" s="3" t="s">
        <v>14383</v>
      </c>
      <c r="B5110" s="110" t="s">
        <v>1334</v>
      </c>
      <c r="C5110" s="111" t="s">
        <v>289</v>
      </c>
      <c r="D5110" s="111" t="str">
        <f t="shared" ref="D5110:E5110" si="5108">TRIM(B5110)</f>
        <v>Indiana</v>
      </c>
      <c r="E5110" s="111" t="str">
        <f t="shared" si="5108"/>
        <v>Hammond</v>
      </c>
    </row>
    <row r="5111" spans="1:5">
      <c r="A5111" s="3" t="s">
        <v>14384</v>
      </c>
      <c r="B5111" s="110" t="s">
        <v>1334</v>
      </c>
      <c r="C5111" s="111" t="s">
        <v>289</v>
      </c>
      <c r="D5111" s="111" t="str">
        <f t="shared" ref="D5111:E5111" si="5109">TRIM(B5111)</f>
        <v>Indiana</v>
      </c>
      <c r="E5111" s="111" t="str">
        <f t="shared" si="5109"/>
        <v>Hammond</v>
      </c>
    </row>
    <row r="5112" spans="1:5">
      <c r="A5112" s="3" t="s">
        <v>14385</v>
      </c>
      <c r="B5112" s="110" t="s">
        <v>1334</v>
      </c>
      <c r="C5112" s="111" t="s">
        <v>289</v>
      </c>
      <c r="D5112" s="111" t="str">
        <f t="shared" ref="D5112:E5112" si="5110">TRIM(B5112)</f>
        <v>Indiana</v>
      </c>
      <c r="E5112" s="111" t="str">
        <f t="shared" si="5110"/>
        <v>Hammond</v>
      </c>
    </row>
    <row r="5113" spans="1:5">
      <c r="A5113" s="3" t="s">
        <v>13624</v>
      </c>
      <c r="B5113" s="110" t="s">
        <v>1334</v>
      </c>
      <c r="C5113" s="111" t="s">
        <v>13019</v>
      </c>
      <c r="D5113" s="111" t="str">
        <f t="shared" ref="D5113:E5113" si="5111">TRIM(B5113)</f>
        <v>Indiana</v>
      </c>
      <c r="E5113" s="111" t="str">
        <f t="shared" si="5111"/>
        <v>Hanover</v>
      </c>
    </row>
    <row r="5114" spans="1:5">
      <c r="A5114" s="3" t="s">
        <v>14386</v>
      </c>
      <c r="B5114" s="110" t="s">
        <v>1334</v>
      </c>
      <c r="C5114" s="111" t="s">
        <v>14387</v>
      </c>
      <c r="D5114" s="111" t="str">
        <f t="shared" ref="D5114:E5114" si="5112">TRIM(B5114)</f>
        <v>Indiana</v>
      </c>
      <c r="E5114" s="111" t="str">
        <f t="shared" si="5112"/>
        <v>Hartford City</v>
      </c>
    </row>
    <row r="5115" spans="1:5">
      <c r="A5115" s="3" t="s">
        <v>14388</v>
      </c>
      <c r="B5115" s="110" t="s">
        <v>1334</v>
      </c>
      <c r="C5115" s="111" t="s">
        <v>8519</v>
      </c>
      <c r="D5115" s="111" t="str">
        <f t="shared" ref="D5115:E5115" si="5113">TRIM(B5115)</f>
        <v>Indiana</v>
      </c>
      <c r="E5115" s="111" t="str">
        <f t="shared" si="5113"/>
        <v>Hebron</v>
      </c>
    </row>
    <row r="5116" spans="1:5">
      <c r="A5116" s="3" t="s">
        <v>14390</v>
      </c>
      <c r="B5116" s="110" t="s">
        <v>1334</v>
      </c>
      <c r="C5116" s="111" t="s">
        <v>14391</v>
      </c>
      <c r="D5116" s="111" t="str">
        <f t="shared" ref="D5116:E5116" si="5114">TRIM(B5116)</f>
        <v>Indiana</v>
      </c>
      <c r="E5116" s="111" t="str">
        <f t="shared" si="5114"/>
        <v>Henryville</v>
      </c>
    </row>
    <row r="5117" spans="1:5">
      <c r="A5117" s="3" t="s">
        <v>2665</v>
      </c>
      <c r="B5117" s="110" t="s">
        <v>1334</v>
      </c>
      <c r="C5117" s="111" t="s">
        <v>234</v>
      </c>
      <c r="D5117" s="111" t="str">
        <f t="shared" ref="D5117:E5117" si="5115">TRIM(B5117)</f>
        <v>Indiana</v>
      </c>
      <c r="E5117" s="111" t="str">
        <f t="shared" si="5115"/>
        <v>Highland</v>
      </c>
    </row>
    <row r="5118" spans="1:5">
      <c r="A5118" s="3" t="s">
        <v>14392</v>
      </c>
      <c r="B5118" s="110" t="s">
        <v>1334</v>
      </c>
      <c r="C5118" s="111" t="s">
        <v>14393</v>
      </c>
      <c r="D5118" s="111" t="str">
        <f t="shared" ref="D5118:E5118" si="5116">TRIM(B5118)</f>
        <v>Indiana</v>
      </c>
      <c r="E5118" s="111" t="str">
        <f t="shared" si="5116"/>
        <v>Hobart</v>
      </c>
    </row>
    <row r="5119" spans="1:5">
      <c r="A5119" s="3" t="s">
        <v>14394</v>
      </c>
      <c r="B5119" s="110" t="s">
        <v>1334</v>
      </c>
      <c r="C5119" s="111" t="s">
        <v>14393</v>
      </c>
      <c r="D5119" s="111" t="str">
        <f t="shared" ref="D5119:E5119" si="5117">TRIM(B5119)</f>
        <v>Indiana</v>
      </c>
      <c r="E5119" s="111" t="str">
        <f t="shared" si="5117"/>
        <v>Hobart</v>
      </c>
    </row>
    <row r="5120" spans="1:5">
      <c r="A5120" s="3" t="s">
        <v>14395</v>
      </c>
      <c r="B5120" s="110" t="s">
        <v>1334</v>
      </c>
      <c r="C5120" s="111" t="s">
        <v>3871</v>
      </c>
      <c r="D5120" s="111" t="str">
        <f t="shared" ref="D5120:E5120" si="5118">TRIM(B5120)</f>
        <v>Indiana</v>
      </c>
      <c r="E5120" s="111" t="str">
        <f t="shared" si="5118"/>
        <v>Hope</v>
      </c>
    </row>
    <row r="5121" spans="1:5">
      <c r="A5121" s="3" t="s">
        <v>14396</v>
      </c>
      <c r="B5121" s="110" t="s">
        <v>1334</v>
      </c>
      <c r="C5121" s="111" t="s">
        <v>14397</v>
      </c>
      <c r="D5121" s="111" t="str">
        <f t="shared" ref="D5121:E5121" si="5119">TRIM(B5121)</f>
        <v>Indiana</v>
      </c>
      <c r="E5121" s="111" t="str">
        <f t="shared" si="5119"/>
        <v>Huntingburg</v>
      </c>
    </row>
    <row r="5122" spans="1:5">
      <c r="A5122" s="3" t="s">
        <v>14398</v>
      </c>
      <c r="B5122" s="110" t="s">
        <v>1334</v>
      </c>
      <c r="C5122" s="111" t="s">
        <v>1053</v>
      </c>
      <c r="D5122" s="111" t="str">
        <f t="shared" ref="D5122:E5122" si="5120">TRIM(B5122)</f>
        <v>Indiana</v>
      </c>
      <c r="E5122" s="111" t="str">
        <f t="shared" si="5120"/>
        <v>Huntington</v>
      </c>
    </row>
    <row r="5123" spans="1:5">
      <c r="A5123" s="3" t="s">
        <v>14399</v>
      </c>
      <c r="B5123" s="110" t="s">
        <v>1334</v>
      </c>
      <c r="C5123" s="111" t="s">
        <v>294</v>
      </c>
      <c r="D5123" s="111" t="str">
        <f t="shared" ref="D5123:E5123" si="5121">TRIM(B5123)</f>
        <v>Indiana</v>
      </c>
      <c r="E5123" s="111" t="str">
        <f t="shared" si="5121"/>
        <v>Indianapolis</v>
      </c>
    </row>
    <row r="5124" spans="1:5">
      <c r="A5124" s="3" t="s">
        <v>14400</v>
      </c>
      <c r="B5124" s="110" t="s">
        <v>1334</v>
      </c>
      <c r="C5124" s="111" t="s">
        <v>294</v>
      </c>
      <c r="D5124" s="111" t="str">
        <f t="shared" ref="D5124:E5124" si="5122">TRIM(B5124)</f>
        <v>Indiana</v>
      </c>
      <c r="E5124" s="111" t="str">
        <f t="shared" si="5122"/>
        <v>Indianapolis</v>
      </c>
    </row>
    <row r="5125" spans="1:5">
      <c r="A5125" s="3" t="s">
        <v>14401</v>
      </c>
      <c r="B5125" s="110" t="s">
        <v>1334</v>
      </c>
      <c r="C5125" s="111" t="s">
        <v>294</v>
      </c>
      <c r="D5125" s="111" t="str">
        <f t="shared" ref="D5125:E5125" si="5123">TRIM(B5125)</f>
        <v>Indiana</v>
      </c>
      <c r="E5125" s="111" t="str">
        <f t="shared" si="5123"/>
        <v>Indianapolis</v>
      </c>
    </row>
    <row r="5126" spans="1:5">
      <c r="A5126" s="110" t="s">
        <v>14402</v>
      </c>
      <c r="B5126" s="110" t="s">
        <v>1334</v>
      </c>
      <c r="C5126" s="111" t="s">
        <v>294</v>
      </c>
      <c r="D5126" s="111" t="str">
        <f t="shared" ref="D5126:E5126" si="5124">TRIM(B5126)</f>
        <v>Indiana</v>
      </c>
      <c r="E5126" s="111" t="str">
        <f t="shared" si="5124"/>
        <v>Indianapolis</v>
      </c>
    </row>
    <row r="5127" spans="1:5">
      <c r="A5127" s="110" t="s">
        <v>14403</v>
      </c>
      <c r="B5127" s="110" t="s">
        <v>1334</v>
      </c>
      <c r="C5127" s="111" t="s">
        <v>294</v>
      </c>
      <c r="D5127" s="111" t="str">
        <f t="shared" ref="D5127:E5127" si="5125">TRIM(B5127)</f>
        <v>Indiana</v>
      </c>
      <c r="E5127" s="111" t="str">
        <f t="shared" si="5125"/>
        <v>Indianapolis</v>
      </c>
    </row>
    <row r="5128" spans="1:5">
      <c r="A5128" s="3" t="s">
        <v>14405</v>
      </c>
      <c r="B5128" s="110" t="s">
        <v>1334</v>
      </c>
      <c r="C5128" s="111" t="s">
        <v>294</v>
      </c>
      <c r="D5128" s="111" t="str">
        <f t="shared" ref="D5128:E5128" si="5126">TRIM(B5128)</f>
        <v>Indiana</v>
      </c>
      <c r="E5128" s="111" t="str">
        <f t="shared" si="5126"/>
        <v>Indianapolis</v>
      </c>
    </row>
    <row r="5129" spans="1:5">
      <c r="A5129" s="3" t="s">
        <v>14406</v>
      </c>
      <c r="B5129" s="110" t="s">
        <v>1334</v>
      </c>
      <c r="C5129" s="111" t="s">
        <v>294</v>
      </c>
      <c r="D5129" s="111" t="str">
        <f t="shared" ref="D5129:E5129" si="5127">TRIM(B5129)</f>
        <v>Indiana</v>
      </c>
      <c r="E5129" s="111" t="str">
        <f t="shared" si="5127"/>
        <v>Indianapolis</v>
      </c>
    </row>
    <row r="5130" spans="1:5">
      <c r="A5130" s="110" t="s">
        <v>14407</v>
      </c>
      <c r="B5130" s="110" t="s">
        <v>1334</v>
      </c>
      <c r="C5130" s="111" t="s">
        <v>294</v>
      </c>
      <c r="D5130" s="111" t="str">
        <f t="shared" ref="D5130:E5130" si="5128">TRIM(B5130)</f>
        <v>Indiana</v>
      </c>
      <c r="E5130" s="111" t="str">
        <f t="shared" si="5128"/>
        <v>Indianapolis</v>
      </c>
    </row>
    <row r="5131" spans="1:5">
      <c r="A5131" s="3" t="s">
        <v>14408</v>
      </c>
      <c r="B5131" s="110" t="s">
        <v>1334</v>
      </c>
      <c r="C5131" s="111" t="s">
        <v>294</v>
      </c>
      <c r="D5131" s="111" t="str">
        <f t="shared" ref="D5131:E5131" si="5129">TRIM(B5131)</f>
        <v>Indiana</v>
      </c>
      <c r="E5131" s="111" t="str">
        <f t="shared" si="5129"/>
        <v>Indianapolis</v>
      </c>
    </row>
    <row r="5132" spans="1:5">
      <c r="A5132" s="3" t="s">
        <v>14409</v>
      </c>
      <c r="B5132" s="110" t="s">
        <v>1334</v>
      </c>
      <c r="C5132" s="111" t="s">
        <v>294</v>
      </c>
      <c r="D5132" s="111" t="str">
        <f t="shared" ref="D5132:E5132" si="5130">TRIM(B5132)</f>
        <v>Indiana</v>
      </c>
      <c r="E5132" s="111" t="str">
        <f t="shared" si="5130"/>
        <v>Indianapolis</v>
      </c>
    </row>
    <row r="5133" spans="1:5">
      <c r="A5133" s="3" t="s">
        <v>7817</v>
      </c>
      <c r="B5133" s="110" t="s">
        <v>1334</v>
      </c>
      <c r="C5133" s="111" t="s">
        <v>294</v>
      </c>
      <c r="D5133" s="111" t="str">
        <f t="shared" ref="D5133:E5133" si="5131">TRIM(B5133)</f>
        <v>Indiana</v>
      </c>
      <c r="E5133" s="111" t="str">
        <f t="shared" si="5131"/>
        <v>Indianapolis</v>
      </c>
    </row>
    <row r="5134" spans="1:5">
      <c r="A5134" s="3" t="s">
        <v>14410</v>
      </c>
      <c r="B5134" s="110" t="s">
        <v>1334</v>
      </c>
      <c r="C5134" s="111" t="s">
        <v>294</v>
      </c>
      <c r="D5134" s="111" t="str">
        <f t="shared" ref="D5134:E5134" si="5132">TRIM(B5134)</f>
        <v>Indiana</v>
      </c>
      <c r="E5134" s="111" t="str">
        <f t="shared" si="5132"/>
        <v>Indianapolis</v>
      </c>
    </row>
    <row r="5135" spans="1:5">
      <c r="A5135" s="3" t="s">
        <v>11557</v>
      </c>
      <c r="B5135" s="110" t="s">
        <v>1334</v>
      </c>
      <c r="C5135" s="111" t="s">
        <v>294</v>
      </c>
      <c r="D5135" s="111" t="str">
        <f t="shared" ref="D5135:E5135" si="5133">TRIM(B5135)</f>
        <v>Indiana</v>
      </c>
      <c r="E5135" s="111" t="str">
        <f t="shared" si="5133"/>
        <v>Indianapolis</v>
      </c>
    </row>
    <row r="5136" spans="1:5">
      <c r="A5136" s="3" t="s">
        <v>14411</v>
      </c>
      <c r="B5136" s="110" t="s">
        <v>1334</v>
      </c>
      <c r="C5136" s="111" t="s">
        <v>294</v>
      </c>
      <c r="D5136" s="111" t="str">
        <f t="shared" ref="D5136:E5136" si="5134">TRIM(B5136)</f>
        <v>Indiana</v>
      </c>
      <c r="E5136" s="111" t="str">
        <f t="shared" si="5134"/>
        <v>Indianapolis</v>
      </c>
    </row>
    <row r="5137" spans="1:5">
      <c r="A5137" s="110" t="s">
        <v>14412</v>
      </c>
      <c r="B5137" s="110" t="s">
        <v>1334</v>
      </c>
      <c r="C5137" s="111" t="s">
        <v>294</v>
      </c>
      <c r="D5137" s="111" t="str">
        <f t="shared" ref="D5137:E5137" si="5135">TRIM(B5137)</f>
        <v>Indiana</v>
      </c>
      <c r="E5137" s="111" t="str">
        <f t="shared" si="5135"/>
        <v>Indianapolis</v>
      </c>
    </row>
    <row r="5138" spans="1:5">
      <c r="A5138" s="3" t="s">
        <v>14413</v>
      </c>
      <c r="B5138" s="110" t="s">
        <v>1334</v>
      </c>
      <c r="C5138" s="111" t="s">
        <v>294</v>
      </c>
      <c r="D5138" s="111" t="str">
        <f t="shared" ref="D5138:E5138" si="5136">TRIM(B5138)</f>
        <v>Indiana</v>
      </c>
      <c r="E5138" s="111" t="str">
        <f t="shared" si="5136"/>
        <v>Indianapolis</v>
      </c>
    </row>
    <row r="5139" spans="1:5">
      <c r="A5139" s="110" t="s">
        <v>14414</v>
      </c>
      <c r="B5139" s="110" t="s">
        <v>1334</v>
      </c>
      <c r="C5139" s="111" t="s">
        <v>294</v>
      </c>
      <c r="D5139" s="111" t="str">
        <f t="shared" ref="D5139:E5139" si="5137">TRIM(B5139)</f>
        <v>Indiana</v>
      </c>
      <c r="E5139" s="111" t="str">
        <f t="shared" si="5137"/>
        <v>Indianapolis</v>
      </c>
    </row>
    <row r="5140" spans="1:5">
      <c r="A5140" s="3" t="s">
        <v>14415</v>
      </c>
      <c r="B5140" s="110" t="s">
        <v>1334</v>
      </c>
      <c r="C5140" s="111" t="s">
        <v>294</v>
      </c>
      <c r="D5140" s="111" t="str">
        <f t="shared" ref="D5140:E5140" si="5138">TRIM(B5140)</f>
        <v>Indiana</v>
      </c>
      <c r="E5140" s="111" t="str">
        <f t="shared" si="5138"/>
        <v>Indianapolis</v>
      </c>
    </row>
    <row r="5141" spans="1:5">
      <c r="A5141" s="3" t="s">
        <v>14416</v>
      </c>
      <c r="B5141" s="110" t="s">
        <v>1334</v>
      </c>
      <c r="C5141" s="111" t="s">
        <v>294</v>
      </c>
      <c r="D5141" s="111" t="str">
        <f t="shared" ref="D5141:E5141" si="5139">TRIM(B5141)</f>
        <v>Indiana</v>
      </c>
      <c r="E5141" s="111" t="str">
        <f t="shared" si="5139"/>
        <v>Indianapolis</v>
      </c>
    </row>
    <row r="5142" spans="1:5">
      <c r="A5142" s="3" t="s">
        <v>9010</v>
      </c>
      <c r="B5142" s="110" t="s">
        <v>1334</v>
      </c>
      <c r="C5142" s="111" t="s">
        <v>294</v>
      </c>
      <c r="D5142" s="111" t="str">
        <f t="shared" ref="D5142:E5142" si="5140">TRIM(B5142)</f>
        <v>Indiana</v>
      </c>
      <c r="E5142" s="111" t="str">
        <f t="shared" si="5140"/>
        <v>Indianapolis</v>
      </c>
    </row>
    <row r="5143" spans="1:5">
      <c r="A5143" s="3" t="s">
        <v>14320</v>
      </c>
      <c r="B5143" s="110" t="s">
        <v>1334</v>
      </c>
      <c r="C5143" s="111" t="s">
        <v>294</v>
      </c>
      <c r="D5143" s="111" t="str">
        <f t="shared" ref="D5143:E5143" si="5141">TRIM(B5143)</f>
        <v>Indiana</v>
      </c>
      <c r="E5143" s="111" t="str">
        <f t="shared" si="5141"/>
        <v>Indianapolis</v>
      </c>
    </row>
    <row r="5144" spans="1:5">
      <c r="A5144" s="3" t="s">
        <v>14418</v>
      </c>
      <c r="B5144" s="110" t="s">
        <v>1334</v>
      </c>
      <c r="C5144" s="111" t="s">
        <v>294</v>
      </c>
      <c r="D5144" s="111" t="str">
        <f t="shared" ref="D5144:E5144" si="5142">TRIM(B5144)</f>
        <v>Indiana</v>
      </c>
      <c r="E5144" s="111" t="str">
        <f t="shared" si="5142"/>
        <v>Indianapolis</v>
      </c>
    </row>
    <row r="5145" spans="1:5">
      <c r="A5145" s="3" t="s">
        <v>14419</v>
      </c>
      <c r="B5145" s="110" t="s">
        <v>1334</v>
      </c>
      <c r="C5145" s="111" t="s">
        <v>294</v>
      </c>
      <c r="D5145" s="111" t="str">
        <f t="shared" ref="D5145:E5145" si="5143">TRIM(B5145)</f>
        <v>Indiana</v>
      </c>
      <c r="E5145" s="111" t="str">
        <f t="shared" si="5143"/>
        <v>Indianapolis</v>
      </c>
    </row>
    <row r="5146" spans="1:5">
      <c r="A5146" s="3" t="s">
        <v>14420</v>
      </c>
      <c r="B5146" s="110" t="s">
        <v>1334</v>
      </c>
      <c r="C5146" s="111" t="s">
        <v>294</v>
      </c>
      <c r="D5146" s="111" t="str">
        <f t="shared" ref="D5146:E5146" si="5144">TRIM(B5146)</f>
        <v>Indiana</v>
      </c>
      <c r="E5146" s="111" t="str">
        <f t="shared" si="5144"/>
        <v>Indianapolis</v>
      </c>
    </row>
    <row r="5147" spans="1:5">
      <c r="A5147" s="3" t="s">
        <v>14421</v>
      </c>
      <c r="B5147" s="110" t="s">
        <v>1334</v>
      </c>
      <c r="C5147" s="76" t="s">
        <v>294</v>
      </c>
      <c r="D5147" s="111" t="str">
        <f t="shared" ref="D5147:E5147" si="5145">TRIM(B5147)</f>
        <v>Indiana</v>
      </c>
      <c r="E5147" s="111" t="str">
        <f t="shared" si="5145"/>
        <v>Indianapolis</v>
      </c>
    </row>
    <row r="5148" spans="1:5">
      <c r="A5148" s="3" t="s">
        <v>14422</v>
      </c>
      <c r="B5148" s="110" t="s">
        <v>1334</v>
      </c>
      <c r="C5148" s="111" t="s">
        <v>294</v>
      </c>
      <c r="D5148" s="111" t="str">
        <f t="shared" ref="D5148:E5148" si="5146">TRIM(B5148)</f>
        <v>Indiana</v>
      </c>
      <c r="E5148" s="111" t="str">
        <f t="shared" si="5146"/>
        <v>Indianapolis</v>
      </c>
    </row>
    <row r="5149" spans="1:5">
      <c r="A5149" s="3" t="s">
        <v>14423</v>
      </c>
      <c r="B5149" s="110" t="s">
        <v>1334</v>
      </c>
      <c r="C5149" s="111" t="s">
        <v>294</v>
      </c>
      <c r="D5149" s="111" t="str">
        <f t="shared" ref="D5149:E5149" si="5147">TRIM(B5149)</f>
        <v>Indiana</v>
      </c>
      <c r="E5149" s="111" t="str">
        <f t="shared" si="5147"/>
        <v>Indianapolis</v>
      </c>
    </row>
    <row r="5150" spans="1:5">
      <c r="A5150" s="3" t="s">
        <v>14424</v>
      </c>
      <c r="B5150" s="110" t="s">
        <v>1334</v>
      </c>
      <c r="C5150" s="111" t="s">
        <v>294</v>
      </c>
      <c r="D5150" s="111" t="str">
        <f t="shared" ref="D5150:E5150" si="5148">TRIM(B5150)</f>
        <v>Indiana</v>
      </c>
      <c r="E5150" s="111" t="str">
        <f t="shared" si="5148"/>
        <v>Indianapolis</v>
      </c>
    </row>
    <row r="5151" spans="1:5">
      <c r="A5151" s="3" t="s">
        <v>14425</v>
      </c>
      <c r="B5151" s="110" t="s">
        <v>1334</v>
      </c>
      <c r="C5151" s="111" t="s">
        <v>14426</v>
      </c>
      <c r="D5151" s="111" t="str">
        <f t="shared" ref="D5151:E5151" si="5149">TRIM(B5151)</f>
        <v>Indiana</v>
      </c>
      <c r="E5151" s="111" t="str">
        <f t="shared" si="5149"/>
        <v>Jasonville</v>
      </c>
    </row>
    <row r="5152" spans="1:5">
      <c r="A5152" s="3" t="s">
        <v>1898</v>
      </c>
      <c r="B5152" s="110" t="s">
        <v>1334</v>
      </c>
      <c r="C5152" s="111" t="s">
        <v>263</v>
      </c>
      <c r="D5152" s="111" t="str">
        <f t="shared" ref="D5152:E5152" si="5150">TRIM(B5152)</f>
        <v>Indiana</v>
      </c>
      <c r="E5152" s="111" t="str">
        <f t="shared" si="5150"/>
        <v>Jasper</v>
      </c>
    </row>
    <row r="5153" spans="1:5">
      <c r="A5153" s="3" t="s">
        <v>14427</v>
      </c>
      <c r="B5153" s="110" t="s">
        <v>1334</v>
      </c>
      <c r="C5153" s="111" t="s">
        <v>299</v>
      </c>
      <c r="D5153" s="111" t="str">
        <f t="shared" ref="D5153:E5153" si="5151">TRIM(B5153)</f>
        <v>Indiana</v>
      </c>
      <c r="E5153" s="111" t="str">
        <f t="shared" si="5151"/>
        <v>Jeffersonville</v>
      </c>
    </row>
    <row r="5154" spans="1:5">
      <c r="A5154" s="3" t="s">
        <v>14428</v>
      </c>
      <c r="B5154" s="110" t="s">
        <v>1334</v>
      </c>
      <c r="C5154" s="111" t="s">
        <v>14429</v>
      </c>
      <c r="D5154" s="111" t="str">
        <f t="shared" ref="D5154:E5154" si="5152">TRIM(B5154)</f>
        <v>Indiana</v>
      </c>
      <c r="E5154" s="111" t="str">
        <f t="shared" si="5152"/>
        <v>Kendallville</v>
      </c>
    </row>
    <row r="5155" spans="1:5">
      <c r="A5155" s="3" t="s">
        <v>14431</v>
      </c>
      <c r="B5155" s="110" t="s">
        <v>1334</v>
      </c>
      <c r="C5155" s="111" t="s">
        <v>14432</v>
      </c>
      <c r="D5155" s="111" t="str">
        <f t="shared" ref="D5155:E5155" si="5153">TRIM(B5155)</f>
        <v>Indiana</v>
      </c>
      <c r="E5155" s="111" t="str">
        <f t="shared" si="5153"/>
        <v>Kentland</v>
      </c>
    </row>
    <row r="5156" spans="1:5">
      <c r="A5156" s="3" t="s">
        <v>14433</v>
      </c>
      <c r="B5156" s="110" t="s">
        <v>1334</v>
      </c>
      <c r="C5156" s="111" t="s">
        <v>14434</v>
      </c>
      <c r="D5156" s="111" t="str">
        <f t="shared" ref="D5156:E5156" si="5154">TRIM(B5156)</f>
        <v>Indiana</v>
      </c>
      <c r="E5156" s="111" t="str">
        <f t="shared" si="5154"/>
        <v>Knightstown</v>
      </c>
    </row>
    <row r="5157" spans="1:5">
      <c r="A5157" s="3" t="s">
        <v>14435</v>
      </c>
      <c r="B5157" s="110" t="s">
        <v>1334</v>
      </c>
      <c r="C5157" s="111" t="s">
        <v>14436</v>
      </c>
      <c r="D5157" s="111" t="str">
        <f t="shared" ref="D5157:E5157" si="5155">TRIM(B5157)</f>
        <v>Indiana</v>
      </c>
      <c r="E5157" s="111" t="str">
        <f t="shared" si="5155"/>
        <v>Knox</v>
      </c>
    </row>
    <row r="5158" spans="1:5">
      <c r="A5158" s="3" t="s">
        <v>14437</v>
      </c>
      <c r="B5158" s="110" t="s">
        <v>1334</v>
      </c>
      <c r="C5158" s="111" t="s">
        <v>14438</v>
      </c>
      <c r="D5158" s="111" t="str">
        <f t="shared" ref="D5158:E5158" si="5156">TRIM(B5158)</f>
        <v>Indiana</v>
      </c>
      <c r="E5158" s="111" t="str">
        <f t="shared" si="5156"/>
        <v>Kokomo</v>
      </c>
    </row>
    <row r="5159" spans="1:5">
      <c r="A5159" s="3" t="s">
        <v>14439</v>
      </c>
      <c r="B5159" s="110" t="s">
        <v>1334</v>
      </c>
      <c r="C5159" s="111" t="s">
        <v>14438</v>
      </c>
      <c r="D5159" s="111" t="str">
        <f t="shared" ref="D5159:E5159" si="5157">TRIM(B5159)</f>
        <v>Indiana</v>
      </c>
      <c r="E5159" s="111" t="str">
        <f t="shared" si="5157"/>
        <v>Kokomo</v>
      </c>
    </row>
    <row r="5160" spans="1:5">
      <c r="A5160" s="3" t="s">
        <v>4225</v>
      </c>
      <c r="B5160" s="110" t="s">
        <v>1334</v>
      </c>
      <c r="C5160" s="111" t="s">
        <v>14438</v>
      </c>
      <c r="D5160" s="111" t="str">
        <f t="shared" ref="D5160:E5160" si="5158">TRIM(B5160)</f>
        <v>Indiana</v>
      </c>
      <c r="E5160" s="111" t="str">
        <f t="shared" si="5158"/>
        <v>Kokomo</v>
      </c>
    </row>
    <row r="5161" spans="1:5">
      <c r="A5161" s="3" t="s">
        <v>14440</v>
      </c>
      <c r="B5161" s="110" t="s">
        <v>1334</v>
      </c>
      <c r="C5161" s="111" t="s">
        <v>14441</v>
      </c>
      <c r="D5161" s="111" t="str">
        <f t="shared" ref="D5161:E5161" si="5159">TRIM(B5161)</f>
        <v>Indiana</v>
      </c>
      <c r="E5161" s="111" t="str">
        <f t="shared" si="5159"/>
        <v>Kouts</v>
      </c>
    </row>
    <row r="5162" spans="1:5">
      <c r="A5162" s="110" t="s">
        <v>14442</v>
      </c>
      <c r="B5162" s="110" t="s">
        <v>1334</v>
      </c>
      <c r="C5162" s="111" t="s">
        <v>14443</v>
      </c>
      <c r="D5162" s="111" t="str">
        <f t="shared" ref="D5162:E5162" si="5160">TRIM(B5162)</f>
        <v>Indiana</v>
      </c>
      <c r="E5162" s="111" t="str">
        <f t="shared" si="5160"/>
        <v>Lacrosse</v>
      </c>
    </row>
    <row r="5163" spans="1:5">
      <c r="A5163" s="3" t="s">
        <v>4802</v>
      </c>
      <c r="B5163" s="110" t="s">
        <v>1334</v>
      </c>
      <c r="C5163" s="111" t="s">
        <v>236</v>
      </c>
      <c r="D5163" s="111" t="str">
        <f t="shared" ref="D5163:E5163" si="5161">TRIM(B5163)</f>
        <v>Indiana</v>
      </c>
      <c r="E5163" s="111" t="str">
        <f t="shared" si="5161"/>
        <v>Lafayette</v>
      </c>
    </row>
    <row r="5164" spans="1:5">
      <c r="A5164" s="3" t="s">
        <v>14444</v>
      </c>
      <c r="B5164" s="110" t="s">
        <v>1334</v>
      </c>
      <c r="C5164" s="111" t="s">
        <v>236</v>
      </c>
      <c r="D5164" s="111" t="str">
        <f t="shared" ref="D5164:E5164" si="5162">TRIM(B5164)</f>
        <v>Indiana</v>
      </c>
      <c r="E5164" s="111" t="str">
        <f t="shared" si="5162"/>
        <v>Lafayette</v>
      </c>
    </row>
    <row r="5165" spans="1:5">
      <c r="A5165" s="3" t="s">
        <v>6188</v>
      </c>
      <c r="B5165" s="110" t="s">
        <v>1334</v>
      </c>
      <c r="C5165" s="111" t="s">
        <v>236</v>
      </c>
      <c r="D5165" s="111" t="str">
        <f t="shared" ref="D5165:E5165" si="5163">TRIM(B5165)</f>
        <v>Indiana</v>
      </c>
      <c r="E5165" s="111" t="str">
        <f t="shared" si="5163"/>
        <v>Lafayette</v>
      </c>
    </row>
    <row r="5166" spans="1:5">
      <c r="A5166" s="3" t="s">
        <v>14445</v>
      </c>
      <c r="B5166" s="110" t="s">
        <v>1334</v>
      </c>
      <c r="C5166" s="111" t="s">
        <v>10337</v>
      </c>
      <c r="D5166" s="111" t="str">
        <f t="shared" ref="D5166:E5166" si="5164">TRIM(B5166)</f>
        <v>Indiana</v>
      </c>
      <c r="E5166" s="111" t="str">
        <f t="shared" si="5164"/>
        <v>Lagrange</v>
      </c>
    </row>
    <row r="5167" spans="1:5">
      <c r="A5167" s="3" t="s">
        <v>14446</v>
      </c>
      <c r="B5167" s="110" t="s">
        <v>1334</v>
      </c>
      <c r="C5167" s="111" t="s">
        <v>10337</v>
      </c>
      <c r="D5167" s="111" t="str">
        <f t="shared" ref="D5167:E5167" si="5165">TRIM(B5167)</f>
        <v>Indiana</v>
      </c>
      <c r="E5167" s="111" t="str">
        <f t="shared" si="5165"/>
        <v>Lagrange</v>
      </c>
    </row>
    <row r="5168" spans="1:5">
      <c r="A5168" s="3" t="s">
        <v>14447</v>
      </c>
      <c r="B5168" s="110" t="s">
        <v>1334</v>
      </c>
      <c r="C5168" s="111" t="s">
        <v>14448</v>
      </c>
      <c r="D5168" s="111" t="str">
        <f t="shared" ref="D5168:E5168" si="5166">TRIM(B5168)</f>
        <v>Indiana</v>
      </c>
      <c r="E5168" s="111" t="str">
        <f t="shared" si="5166"/>
        <v>Lake Station</v>
      </c>
    </row>
    <row r="5169" spans="1:5">
      <c r="A5169" s="3" t="s">
        <v>14449</v>
      </c>
      <c r="B5169" s="110" t="s">
        <v>1334</v>
      </c>
      <c r="C5169" s="111" t="s">
        <v>9818</v>
      </c>
      <c r="D5169" s="111" t="str">
        <f t="shared" ref="D5169:E5169" si="5167">TRIM(B5169)</f>
        <v>Indiana</v>
      </c>
      <c r="E5169" s="111" t="str">
        <f t="shared" si="5167"/>
        <v>Lakeville</v>
      </c>
    </row>
    <row r="5170" spans="1:5">
      <c r="A5170" s="3" t="s">
        <v>14450</v>
      </c>
      <c r="B5170" s="110" t="s">
        <v>1334</v>
      </c>
      <c r="C5170" s="111" t="s">
        <v>14451</v>
      </c>
      <c r="D5170" s="111" t="str">
        <f t="shared" ref="D5170:E5170" si="5168">TRIM(B5170)</f>
        <v>Indiana</v>
      </c>
      <c r="E5170" s="111" t="str">
        <f t="shared" si="5168"/>
        <v>Lanesville</v>
      </c>
    </row>
    <row r="5171" spans="1:5">
      <c r="A5171" s="3" t="s">
        <v>14453</v>
      </c>
      <c r="B5171" s="110" t="s">
        <v>1334</v>
      </c>
      <c r="C5171" s="111" t="s">
        <v>14454</v>
      </c>
      <c r="D5171" s="111" t="str">
        <f t="shared" ref="D5171:E5171" si="5169">TRIM(B5171)</f>
        <v>Indiana</v>
      </c>
      <c r="E5171" s="111" t="str">
        <f t="shared" si="5169"/>
        <v>Lapel</v>
      </c>
    </row>
    <row r="5172" spans="1:5">
      <c r="A5172" s="3" t="s">
        <v>14455</v>
      </c>
      <c r="B5172" s="110" t="s">
        <v>1334</v>
      </c>
      <c r="C5172" s="111" t="s">
        <v>10697</v>
      </c>
      <c r="D5172" s="111" t="str">
        <f t="shared" ref="D5172:E5172" si="5170">TRIM(B5172)</f>
        <v>Indiana</v>
      </c>
      <c r="E5172" s="111" t="str">
        <f t="shared" si="5170"/>
        <v>Laporte</v>
      </c>
    </row>
    <row r="5173" spans="1:5">
      <c r="A5173" s="3" t="s">
        <v>14456</v>
      </c>
      <c r="B5173" s="110" t="s">
        <v>1334</v>
      </c>
      <c r="C5173" s="111" t="s">
        <v>14457</v>
      </c>
      <c r="D5173" s="111" t="str">
        <f t="shared" ref="D5173:E5173" si="5171">TRIM(B5173)</f>
        <v>Indiana</v>
      </c>
      <c r="E5173" s="111" t="str">
        <f t="shared" si="5171"/>
        <v>Lawrenceburg</v>
      </c>
    </row>
    <row r="5174" spans="1:5">
      <c r="A5174" s="3" t="s">
        <v>14458</v>
      </c>
      <c r="B5174" s="110" t="s">
        <v>1334</v>
      </c>
      <c r="C5174" s="111" t="s">
        <v>8525</v>
      </c>
      <c r="D5174" s="111" t="str">
        <f t="shared" ref="D5174:E5174" si="5172">TRIM(B5174)</f>
        <v>Indiana</v>
      </c>
      <c r="E5174" s="111" t="str">
        <f t="shared" si="5172"/>
        <v>Lebanon</v>
      </c>
    </row>
    <row r="5175" spans="1:5">
      <c r="A5175" s="3" t="s">
        <v>14459</v>
      </c>
      <c r="B5175" s="110" t="s">
        <v>1334</v>
      </c>
      <c r="C5175" s="111" t="s">
        <v>14460</v>
      </c>
      <c r="D5175" s="111" t="str">
        <f t="shared" ref="D5175:E5175" si="5173">TRIM(B5175)</f>
        <v>Indiana</v>
      </c>
      <c r="E5175" s="111" t="str">
        <f t="shared" si="5173"/>
        <v>Leo</v>
      </c>
    </row>
    <row r="5176" spans="1:5">
      <c r="A5176" s="3" t="s">
        <v>14461</v>
      </c>
      <c r="B5176" s="110" t="s">
        <v>1334</v>
      </c>
      <c r="C5176" s="111" t="s">
        <v>14462</v>
      </c>
      <c r="D5176" s="111" t="str">
        <f t="shared" ref="D5176:E5176" si="5174">TRIM(B5176)</f>
        <v>Indiana</v>
      </c>
      <c r="E5176" s="111" t="str">
        <f t="shared" si="5174"/>
        <v>Leopold</v>
      </c>
    </row>
    <row r="5177" spans="1:5">
      <c r="A5177" s="3" t="s">
        <v>9484</v>
      </c>
      <c r="B5177" s="110" t="s">
        <v>1334</v>
      </c>
      <c r="C5177" s="111" t="s">
        <v>6684</v>
      </c>
      <c r="D5177" s="111" t="str">
        <f t="shared" ref="D5177:E5177" si="5175">TRIM(B5177)</f>
        <v>Indiana</v>
      </c>
      <c r="E5177" s="111" t="str">
        <f t="shared" si="5175"/>
        <v>Liberty</v>
      </c>
    </row>
    <row r="5178" spans="1:5">
      <c r="A5178" s="3" t="s">
        <v>14463</v>
      </c>
      <c r="B5178" s="110" t="s">
        <v>1334</v>
      </c>
      <c r="C5178" s="111" t="s">
        <v>14464</v>
      </c>
      <c r="D5178" s="111" t="str">
        <f t="shared" ref="D5178:E5178" si="5176">TRIM(B5178)</f>
        <v>Indiana</v>
      </c>
      <c r="E5178" s="111" t="str">
        <f t="shared" si="5176"/>
        <v>Ligonier</v>
      </c>
    </row>
    <row r="5179" spans="1:5">
      <c r="A5179" s="3" t="s">
        <v>14465</v>
      </c>
      <c r="B5179" s="110" t="s">
        <v>1334</v>
      </c>
      <c r="C5179" s="111" t="s">
        <v>14466</v>
      </c>
      <c r="D5179" s="111" t="str">
        <f t="shared" ref="D5179:E5179" si="5177">TRIM(B5179)</f>
        <v>Indiana</v>
      </c>
      <c r="E5179" s="111" t="str">
        <f t="shared" si="5177"/>
        <v>Lincoln City</v>
      </c>
    </row>
    <row r="5180" spans="1:5">
      <c r="A5180" s="3" t="s">
        <v>14467</v>
      </c>
      <c r="B5180" s="110" t="s">
        <v>1334</v>
      </c>
      <c r="C5180" s="111" t="s">
        <v>14468</v>
      </c>
      <c r="D5180" s="111" t="str">
        <f t="shared" ref="D5180:E5180" si="5178">TRIM(B5180)</f>
        <v>Indiana</v>
      </c>
      <c r="E5180" s="111" t="str">
        <f t="shared" si="5178"/>
        <v>Linton</v>
      </c>
    </row>
    <row r="5181" spans="1:5">
      <c r="A5181" s="3" t="s">
        <v>14469</v>
      </c>
      <c r="B5181" s="110" t="s">
        <v>1334</v>
      </c>
      <c r="C5181" s="111" t="s">
        <v>14470</v>
      </c>
      <c r="D5181" s="111" t="str">
        <f t="shared" ref="D5181:E5181" si="5179">TRIM(B5181)</f>
        <v>Indiana</v>
      </c>
      <c r="E5181" s="111" t="str">
        <f t="shared" si="5179"/>
        <v>Lizton</v>
      </c>
    </row>
    <row r="5182" spans="1:5">
      <c r="A5182" s="3" t="s">
        <v>14471</v>
      </c>
      <c r="B5182" s="110" t="s">
        <v>1334</v>
      </c>
      <c r="C5182" s="111" t="s">
        <v>14472</v>
      </c>
      <c r="D5182" s="111" t="str">
        <f t="shared" ref="D5182:E5182" si="5180">TRIM(B5182)</f>
        <v>Indiana</v>
      </c>
      <c r="E5182" s="111" t="str">
        <f t="shared" si="5180"/>
        <v>Logansport</v>
      </c>
    </row>
    <row r="5183" spans="1:5">
      <c r="A5183" s="3" t="s">
        <v>14474</v>
      </c>
      <c r="B5183" s="110" t="s">
        <v>1334</v>
      </c>
      <c r="C5183" s="111" t="s">
        <v>14475</v>
      </c>
      <c r="D5183" s="111" t="str">
        <f t="shared" ref="D5183:E5183" si="5181">TRIM(B5183)</f>
        <v>Indiana</v>
      </c>
      <c r="E5183" s="111" t="str">
        <f t="shared" si="5181"/>
        <v>Loogootee</v>
      </c>
    </row>
    <row r="5184" spans="1:5">
      <c r="A5184" s="3" t="s">
        <v>14476</v>
      </c>
      <c r="B5184" s="110" t="s">
        <v>1334</v>
      </c>
      <c r="C5184" s="111" t="s">
        <v>1569</v>
      </c>
      <c r="D5184" s="111" t="str">
        <f t="shared" ref="D5184:E5184" si="5182">TRIM(B5184)</f>
        <v>Indiana</v>
      </c>
      <c r="E5184" s="111" t="str">
        <f t="shared" si="5182"/>
        <v>Lowell</v>
      </c>
    </row>
    <row r="5185" spans="1:5">
      <c r="A5185" s="3" t="s">
        <v>14477</v>
      </c>
      <c r="B5185" s="110" t="s">
        <v>1334</v>
      </c>
      <c r="C5185" s="111" t="s">
        <v>1939</v>
      </c>
      <c r="D5185" s="111" t="str">
        <f t="shared" ref="D5185:E5185" si="5183">TRIM(B5185)</f>
        <v>Indiana</v>
      </c>
      <c r="E5185" s="111" t="str">
        <f t="shared" si="5183"/>
        <v>Lynn</v>
      </c>
    </row>
    <row r="5186" spans="1:5">
      <c r="A5186" s="3" t="s">
        <v>14478</v>
      </c>
      <c r="B5186" s="110" t="s">
        <v>1334</v>
      </c>
      <c r="C5186" s="111" t="s">
        <v>14479</v>
      </c>
      <c r="D5186" s="111" t="str">
        <f t="shared" ref="D5186:E5186" si="5184">TRIM(B5186)</f>
        <v>Indiana</v>
      </c>
      <c r="E5186" s="111" t="str">
        <f t="shared" si="5184"/>
        <v>Lynnville</v>
      </c>
    </row>
    <row r="5187" spans="1:5">
      <c r="A5187" s="3" t="s">
        <v>14480</v>
      </c>
      <c r="B5187" s="110" t="s">
        <v>1334</v>
      </c>
      <c r="C5187" s="111" t="s">
        <v>488</v>
      </c>
      <c r="D5187" s="111" t="str">
        <f t="shared" ref="D5187:E5187" si="5185">TRIM(B5187)</f>
        <v>Indiana</v>
      </c>
      <c r="E5187" s="111" t="str">
        <f t="shared" si="5185"/>
        <v>Madison</v>
      </c>
    </row>
    <row r="5188" spans="1:5">
      <c r="A5188" s="3" t="s">
        <v>11199</v>
      </c>
      <c r="B5188" s="110" t="s">
        <v>1334</v>
      </c>
      <c r="C5188" s="111" t="s">
        <v>13270</v>
      </c>
      <c r="D5188" s="111" t="str">
        <f t="shared" ref="D5188:E5188" si="5186">TRIM(B5188)</f>
        <v>Indiana</v>
      </c>
      <c r="E5188" s="111" t="str">
        <f t="shared" si="5186"/>
        <v>Marengo</v>
      </c>
    </row>
    <row r="5189" spans="1:5">
      <c r="A5189" s="3" t="s">
        <v>14481</v>
      </c>
      <c r="B5189" s="110" t="s">
        <v>1334</v>
      </c>
      <c r="C5189" s="111" t="s">
        <v>3995</v>
      </c>
      <c r="D5189" s="111" t="str">
        <f t="shared" ref="D5189:E5189" si="5187">TRIM(B5189)</f>
        <v>Indiana</v>
      </c>
      <c r="E5189" s="111" t="str">
        <f t="shared" si="5187"/>
        <v>Marion</v>
      </c>
    </row>
    <row r="5190" spans="1:5">
      <c r="A5190" s="3" t="s">
        <v>3993</v>
      </c>
      <c r="B5190" s="110" t="s">
        <v>1334</v>
      </c>
      <c r="C5190" s="111" t="s">
        <v>3995</v>
      </c>
      <c r="D5190" s="111" t="str">
        <f t="shared" ref="D5190:E5190" si="5188">TRIM(B5190)</f>
        <v>Indiana</v>
      </c>
      <c r="E5190" s="111" t="str">
        <f t="shared" si="5188"/>
        <v>Marion</v>
      </c>
    </row>
    <row r="5191" spans="1:5">
      <c r="A5191" s="3" t="s">
        <v>14482</v>
      </c>
      <c r="B5191" s="110" t="s">
        <v>1334</v>
      </c>
      <c r="C5191" s="111" t="s">
        <v>477</v>
      </c>
      <c r="D5191" s="111" t="str">
        <f t="shared" ref="D5191:E5191" si="5189">TRIM(B5191)</f>
        <v>Indiana</v>
      </c>
      <c r="E5191" s="111" t="str">
        <f t="shared" si="5189"/>
        <v>Martinsville</v>
      </c>
    </row>
    <row r="5192" spans="1:5">
      <c r="A5192" s="3" t="s">
        <v>14483</v>
      </c>
      <c r="B5192" s="110" t="s">
        <v>1334</v>
      </c>
      <c r="C5192" s="111" t="s">
        <v>14484</v>
      </c>
      <c r="D5192" s="111" t="str">
        <f t="shared" ref="D5192:E5192" si="5190">TRIM(B5192)</f>
        <v>Indiana</v>
      </c>
      <c r="E5192" s="111" t="str">
        <f t="shared" si="5190"/>
        <v>Medora</v>
      </c>
    </row>
    <row r="5193" spans="1:5">
      <c r="A5193" s="3" t="s">
        <v>14485</v>
      </c>
      <c r="B5193" s="110" t="s">
        <v>1334</v>
      </c>
      <c r="C5193" s="111" t="s">
        <v>10665</v>
      </c>
      <c r="D5193" s="111" t="str">
        <f t="shared" ref="D5193:E5193" si="5191">TRIM(B5193)</f>
        <v>Indiana</v>
      </c>
      <c r="E5193" s="111" t="str">
        <f t="shared" si="5191"/>
        <v>Merrillville</v>
      </c>
    </row>
    <row r="5194" spans="1:5">
      <c r="A5194" s="3" t="s">
        <v>14486</v>
      </c>
      <c r="B5194" s="110" t="s">
        <v>1334</v>
      </c>
      <c r="C5194" s="111" t="s">
        <v>14487</v>
      </c>
      <c r="D5194" s="111" t="str">
        <f t="shared" ref="D5194:E5194" si="5192">TRIM(B5194)</f>
        <v>Indiana</v>
      </c>
      <c r="E5194" s="111" t="str">
        <f t="shared" si="5192"/>
        <v>Michigan City</v>
      </c>
    </row>
    <row r="5195" spans="1:5">
      <c r="A5195" s="3" t="s">
        <v>14488</v>
      </c>
      <c r="B5195" s="110" t="s">
        <v>1334</v>
      </c>
      <c r="C5195" s="111" t="s">
        <v>14490</v>
      </c>
      <c r="D5195" s="111" t="str">
        <f t="shared" ref="D5195:E5195" si="5193">TRIM(B5195)</f>
        <v>Indiana</v>
      </c>
      <c r="E5195" s="111" t="str">
        <f t="shared" si="5193"/>
        <v>Michigantown</v>
      </c>
    </row>
    <row r="5196" spans="1:5">
      <c r="A5196" s="3" t="s">
        <v>2240</v>
      </c>
      <c r="B5196" s="110" t="s">
        <v>1334</v>
      </c>
      <c r="C5196" s="111" t="s">
        <v>9837</v>
      </c>
      <c r="D5196" s="111" t="str">
        <f t="shared" ref="D5196:E5196" si="5194">TRIM(B5196)</f>
        <v>Indiana</v>
      </c>
      <c r="E5196" s="111" t="str">
        <f t="shared" si="5194"/>
        <v>Middlebury</v>
      </c>
    </row>
    <row r="5197" spans="1:5">
      <c r="A5197" s="3" t="s">
        <v>14491</v>
      </c>
      <c r="B5197" s="110" t="s">
        <v>1334</v>
      </c>
      <c r="C5197" s="111" t="s">
        <v>500</v>
      </c>
      <c r="D5197" s="111" t="str">
        <f t="shared" ref="D5197:E5197" si="5195">TRIM(B5197)</f>
        <v>Indiana</v>
      </c>
      <c r="E5197" s="111" t="str">
        <f t="shared" si="5195"/>
        <v>Middletown</v>
      </c>
    </row>
    <row r="5198" spans="1:5">
      <c r="A5198" s="3" t="s">
        <v>14492</v>
      </c>
      <c r="B5198" s="110" t="s">
        <v>1334</v>
      </c>
      <c r="C5198" s="111" t="s">
        <v>14493</v>
      </c>
      <c r="D5198" s="111" t="str">
        <f t="shared" ref="D5198:E5198" si="5196">TRIM(B5198)</f>
        <v>Indiana</v>
      </c>
      <c r="E5198" s="111" t="str">
        <f t="shared" si="5196"/>
        <v>Milan</v>
      </c>
    </row>
    <row r="5199" spans="1:5">
      <c r="A5199" s="3" t="s">
        <v>14494</v>
      </c>
      <c r="B5199" s="110" t="s">
        <v>1334</v>
      </c>
      <c r="C5199" s="111" t="s">
        <v>10699</v>
      </c>
      <c r="D5199" s="111" t="str">
        <f t="shared" ref="D5199:E5199" si="5197">TRIM(B5199)</f>
        <v>Indiana</v>
      </c>
      <c r="E5199" s="111" t="str">
        <f t="shared" si="5197"/>
        <v>Mishawaka</v>
      </c>
    </row>
    <row r="5200" spans="1:5">
      <c r="A5200" s="3" t="s">
        <v>14495</v>
      </c>
      <c r="B5200" s="110" t="s">
        <v>1334</v>
      </c>
      <c r="C5200" s="111" t="s">
        <v>10699</v>
      </c>
      <c r="D5200" s="111" t="str">
        <f t="shared" ref="D5200:E5200" si="5198">TRIM(B5200)</f>
        <v>Indiana</v>
      </c>
      <c r="E5200" s="111" t="str">
        <f t="shared" si="5198"/>
        <v>Mishawaka</v>
      </c>
    </row>
    <row r="5201" spans="1:5">
      <c r="A5201" s="3" t="s">
        <v>7729</v>
      </c>
      <c r="B5201" s="110" t="s">
        <v>1334</v>
      </c>
      <c r="C5201" s="111" t="s">
        <v>14496</v>
      </c>
      <c r="D5201" s="111" t="str">
        <f t="shared" ref="D5201:E5201" si="5199">TRIM(B5201)</f>
        <v>Indiana</v>
      </c>
      <c r="E5201" s="111" t="str">
        <f t="shared" si="5199"/>
        <v>Mitchell</v>
      </c>
    </row>
    <row r="5202" spans="1:5">
      <c r="A5202" s="110" t="s">
        <v>14497</v>
      </c>
      <c r="B5202" s="110" t="s">
        <v>1334</v>
      </c>
      <c r="C5202" s="111" t="s">
        <v>14498</v>
      </c>
      <c r="D5202" s="111" t="str">
        <f t="shared" ref="D5202:E5202" si="5200">TRIM(B5202)</f>
        <v>Indiana</v>
      </c>
      <c r="E5202" s="111" t="str">
        <f t="shared" si="5200"/>
        <v>Modoc</v>
      </c>
    </row>
    <row r="5203" spans="1:5">
      <c r="A5203" s="3" t="s">
        <v>14499</v>
      </c>
      <c r="B5203" s="110" t="s">
        <v>1334</v>
      </c>
      <c r="C5203" s="111" t="s">
        <v>14498</v>
      </c>
      <c r="D5203" s="111" t="str">
        <f t="shared" ref="D5203:E5203" si="5201">TRIM(B5203)</f>
        <v>Indiana</v>
      </c>
      <c r="E5203" s="111" t="str">
        <f t="shared" si="5201"/>
        <v>Modoc</v>
      </c>
    </row>
    <row r="5204" spans="1:5">
      <c r="A5204" s="3" t="s">
        <v>14500</v>
      </c>
      <c r="B5204" s="110" t="s">
        <v>1334</v>
      </c>
      <c r="C5204" s="111" t="s">
        <v>14501</v>
      </c>
      <c r="D5204" s="111" t="str">
        <f t="shared" ref="D5204:E5204" si="5202">TRIM(B5204)</f>
        <v>Indiana</v>
      </c>
      <c r="E5204" s="111" t="str">
        <f t="shared" si="5202"/>
        <v>Monon</v>
      </c>
    </row>
    <row r="5205" spans="1:5">
      <c r="A5205" s="3" t="s">
        <v>14502</v>
      </c>
      <c r="B5205" s="110" t="s">
        <v>1334</v>
      </c>
      <c r="C5205" s="111" t="s">
        <v>380</v>
      </c>
      <c r="D5205" s="111" t="str">
        <f t="shared" ref="D5205:E5205" si="5203">TRIM(B5205)</f>
        <v>Indiana</v>
      </c>
      <c r="E5205" s="111" t="str">
        <f t="shared" si="5203"/>
        <v>Monroe</v>
      </c>
    </row>
    <row r="5206" spans="1:5">
      <c r="A5206" s="3" t="s">
        <v>14503</v>
      </c>
      <c r="B5206" s="110" t="s">
        <v>1334</v>
      </c>
      <c r="C5206" s="111" t="s">
        <v>1975</v>
      </c>
      <c r="D5206" s="111" t="str">
        <f t="shared" ref="D5206:E5206" si="5204">TRIM(B5206)</f>
        <v>Indiana</v>
      </c>
      <c r="E5206" s="111" t="str">
        <f t="shared" si="5204"/>
        <v>Monroeville</v>
      </c>
    </row>
    <row r="5207" spans="1:5">
      <c r="A5207" s="3" t="s">
        <v>5983</v>
      </c>
      <c r="B5207" s="110" t="s">
        <v>1334</v>
      </c>
      <c r="C5207" s="111" t="s">
        <v>5984</v>
      </c>
      <c r="D5207" s="111" t="str">
        <f t="shared" ref="D5207:E5207" si="5205">TRIM(B5207)</f>
        <v>Indiana</v>
      </c>
      <c r="E5207" s="111" t="str">
        <f t="shared" si="5205"/>
        <v>Monrovia</v>
      </c>
    </row>
    <row r="5208" spans="1:5">
      <c r="A5208" s="3" t="s">
        <v>14504</v>
      </c>
      <c r="B5208" s="110" t="s">
        <v>1334</v>
      </c>
      <c r="C5208" s="111" t="s">
        <v>11099</v>
      </c>
      <c r="D5208" s="111" t="str">
        <f t="shared" ref="D5208:E5208" si="5206">TRIM(B5208)</f>
        <v>Indiana</v>
      </c>
      <c r="E5208" s="111" t="str">
        <f t="shared" si="5206"/>
        <v>Montezuma</v>
      </c>
    </row>
    <row r="5209" spans="1:5">
      <c r="A5209" s="3" t="s">
        <v>14506</v>
      </c>
      <c r="B5209" s="110" t="s">
        <v>1334</v>
      </c>
      <c r="C5209" s="111" t="s">
        <v>439</v>
      </c>
      <c r="D5209" s="111" t="str">
        <f t="shared" ref="D5209:E5209" si="5207">TRIM(B5209)</f>
        <v>Indiana</v>
      </c>
      <c r="E5209" s="111" t="str">
        <f t="shared" si="5207"/>
        <v>Montgomery</v>
      </c>
    </row>
    <row r="5210" spans="1:5">
      <c r="A5210" s="3" t="s">
        <v>14507</v>
      </c>
      <c r="B5210" s="110" t="s">
        <v>1334</v>
      </c>
      <c r="C5210" s="111" t="s">
        <v>4040</v>
      </c>
      <c r="D5210" s="111" t="str">
        <f t="shared" ref="D5210:E5210" si="5208">TRIM(B5210)</f>
        <v>Indiana</v>
      </c>
      <c r="E5210" s="111" t="str">
        <f t="shared" si="5208"/>
        <v>Monticello</v>
      </c>
    </row>
    <row r="5211" spans="1:5">
      <c r="A5211" s="3" t="s">
        <v>14508</v>
      </c>
      <c r="B5211" s="110" t="s">
        <v>1334</v>
      </c>
      <c r="C5211" s="111" t="s">
        <v>14509</v>
      </c>
      <c r="D5211" s="111" t="str">
        <f t="shared" ref="D5211:E5211" si="5209">TRIM(B5211)</f>
        <v>Indiana</v>
      </c>
      <c r="E5211" s="111" t="str">
        <f t="shared" si="5209"/>
        <v>Mooresville</v>
      </c>
    </row>
    <row r="5212" spans="1:5">
      <c r="A5212" s="3" t="s">
        <v>14510</v>
      </c>
      <c r="B5212" s="110" t="s">
        <v>1334</v>
      </c>
      <c r="C5212" s="111" t="s">
        <v>14511</v>
      </c>
      <c r="D5212" s="111" t="str">
        <f t="shared" ref="D5212:E5212" si="5210">TRIM(B5212)</f>
        <v>Indiana</v>
      </c>
      <c r="E5212" s="111" t="str">
        <f t="shared" si="5210"/>
        <v>Morocco</v>
      </c>
    </row>
    <row r="5213" spans="1:5">
      <c r="A5213" s="3" t="s">
        <v>14512</v>
      </c>
      <c r="B5213" s="110" t="s">
        <v>1334</v>
      </c>
      <c r="C5213" s="111" t="s">
        <v>12004</v>
      </c>
      <c r="D5213" s="111" t="str">
        <f t="shared" ref="D5213:E5213" si="5211">TRIM(B5213)</f>
        <v>Indiana</v>
      </c>
      <c r="E5213" s="111" t="str">
        <f t="shared" si="5211"/>
        <v>Morristown</v>
      </c>
    </row>
    <row r="5214" spans="1:5">
      <c r="A5214" s="3" t="s">
        <v>13395</v>
      </c>
      <c r="B5214" s="110" t="s">
        <v>1334</v>
      </c>
      <c r="C5214" s="111" t="s">
        <v>6798</v>
      </c>
      <c r="D5214" s="111" t="str">
        <f t="shared" ref="D5214:E5214" si="5212">TRIM(B5214)</f>
        <v>Indiana</v>
      </c>
      <c r="E5214" s="111" t="str">
        <f t="shared" si="5212"/>
        <v>Mount Vernon</v>
      </c>
    </row>
    <row r="5215" spans="1:5">
      <c r="A5215" s="3" t="s">
        <v>14513</v>
      </c>
      <c r="B5215" s="110" t="s">
        <v>1334</v>
      </c>
      <c r="C5215" s="111" t="s">
        <v>14514</v>
      </c>
      <c r="D5215" s="111" t="str">
        <f t="shared" ref="D5215:E5215" si="5213">TRIM(B5215)</f>
        <v>Indiana</v>
      </c>
      <c r="E5215" s="111" t="str">
        <f t="shared" si="5213"/>
        <v>Muncie</v>
      </c>
    </row>
    <row r="5216" spans="1:5">
      <c r="A5216" s="3" t="s">
        <v>4696</v>
      </c>
      <c r="B5216" s="110" t="s">
        <v>1334</v>
      </c>
      <c r="C5216" s="111" t="s">
        <v>14514</v>
      </c>
      <c r="D5216" s="111" t="str">
        <f t="shared" ref="D5216:E5216" si="5214">TRIM(B5216)</f>
        <v>Indiana</v>
      </c>
      <c r="E5216" s="111" t="str">
        <f t="shared" si="5214"/>
        <v>Muncie</v>
      </c>
    </row>
    <row r="5217" spans="1:5">
      <c r="A5217" s="3" t="s">
        <v>14515</v>
      </c>
      <c r="B5217" s="110" t="s">
        <v>1334</v>
      </c>
      <c r="C5217" s="111" t="s">
        <v>14514</v>
      </c>
      <c r="D5217" s="111" t="str">
        <f t="shared" ref="D5217:E5217" si="5215">TRIM(B5217)</f>
        <v>Indiana</v>
      </c>
      <c r="E5217" s="111" t="str">
        <f t="shared" si="5215"/>
        <v>Muncie</v>
      </c>
    </row>
    <row r="5218" spans="1:5">
      <c r="A5218" s="3" t="s">
        <v>14516</v>
      </c>
      <c r="B5218" s="110" t="s">
        <v>1334</v>
      </c>
      <c r="C5218" s="111" t="s">
        <v>14514</v>
      </c>
      <c r="D5218" s="111" t="str">
        <f t="shared" ref="D5218:E5218" si="5216">TRIM(B5218)</f>
        <v>Indiana</v>
      </c>
      <c r="E5218" s="111" t="str">
        <f t="shared" si="5216"/>
        <v>Muncie</v>
      </c>
    </row>
    <row r="5219" spans="1:5">
      <c r="A5219" s="3" t="s">
        <v>14517</v>
      </c>
      <c r="B5219" s="110" t="s">
        <v>1334</v>
      </c>
      <c r="C5219" s="111" t="s">
        <v>7664</v>
      </c>
      <c r="D5219" s="111" t="str">
        <f t="shared" ref="D5219:E5219" si="5217">TRIM(B5219)</f>
        <v>Indiana</v>
      </c>
      <c r="E5219" s="111" t="str">
        <f t="shared" si="5217"/>
        <v>Munster</v>
      </c>
    </row>
    <row r="5220" spans="1:5">
      <c r="A5220" s="3" t="s">
        <v>14518</v>
      </c>
      <c r="B5220" s="110" t="s">
        <v>1334</v>
      </c>
      <c r="C5220" s="111" t="s">
        <v>14519</v>
      </c>
      <c r="D5220" s="111" t="str">
        <f t="shared" ref="D5220:E5220" si="5218">TRIM(B5220)</f>
        <v>Indiana</v>
      </c>
      <c r="E5220" s="111" t="str">
        <f t="shared" si="5218"/>
        <v>N Manchester</v>
      </c>
    </row>
    <row r="5221" spans="1:5">
      <c r="A5221" s="3" t="s">
        <v>14520</v>
      </c>
      <c r="B5221" s="110" t="s">
        <v>1334</v>
      </c>
      <c r="C5221" s="111" t="s">
        <v>14521</v>
      </c>
      <c r="D5221" s="111" t="str">
        <f t="shared" ref="D5221:E5221" si="5219">TRIM(B5221)</f>
        <v>Indiana</v>
      </c>
      <c r="E5221" s="111" t="str">
        <f t="shared" si="5219"/>
        <v>Nappanee</v>
      </c>
    </row>
    <row r="5222" spans="1:5">
      <c r="A5222" s="3" t="s">
        <v>13391</v>
      </c>
      <c r="B5222" s="110" t="s">
        <v>1334</v>
      </c>
      <c r="C5222" s="111" t="s">
        <v>350</v>
      </c>
      <c r="D5222" s="111" t="str">
        <f t="shared" ref="D5222:E5222" si="5220">TRIM(B5222)</f>
        <v>Indiana</v>
      </c>
      <c r="E5222" s="111" t="str">
        <f t="shared" si="5220"/>
        <v>Nashville</v>
      </c>
    </row>
    <row r="5223" spans="1:5">
      <c r="A5223" s="3" t="s">
        <v>14523</v>
      </c>
      <c r="B5223" s="110" t="s">
        <v>1334</v>
      </c>
      <c r="C5223" s="111" t="s">
        <v>11755</v>
      </c>
      <c r="D5223" s="111" t="str">
        <f t="shared" ref="D5223:E5223" si="5221">TRIM(B5223)</f>
        <v>Indiana</v>
      </c>
      <c r="E5223" s="111" t="str">
        <f t="shared" si="5221"/>
        <v>New Albany</v>
      </c>
    </row>
    <row r="5224" spans="1:5">
      <c r="A5224" s="3" t="s">
        <v>14524</v>
      </c>
      <c r="B5224" s="110" t="s">
        <v>1334</v>
      </c>
      <c r="C5224" s="111" t="s">
        <v>14525</v>
      </c>
      <c r="D5224" s="111" t="str">
        <f t="shared" ref="D5224:E5224" si="5222">TRIM(B5224)</f>
        <v>Indiana</v>
      </c>
      <c r="E5224" s="111" t="str">
        <f t="shared" si="5222"/>
        <v>New Carlisle</v>
      </c>
    </row>
    <row r="5225" spans="1:5">
      <c r="A5225" s="3" t="s">
        <v>14526</v>
      </c>
      <c r="B5225" s="110" t="s">
        <v>1334</v>
      </c>
      <c r="C5225" s="111" t="s">
        <v>8130</v>
      </c>
      <c r="D5225" s="111" t="str">
        <f t="shared" ref="D5225:E5225" si="5223">TRIM(B5225)</f>
        <v>Indiana</v>
      </c>
      <c r="E5225" s="111" t="str">
        <f t="shared" si="5223"/>
        <v>New Castle</v>
      </c>
    </row>
    <row r="5226" spans="1:5">
      <c r="A5226" s="3" t="s">
        <v>14527</v>
      </c>
      <c r="B5226" s="110" t="s">
        <v>1334</v>
      </c>
      <c r="C5226" s="111" t="s">
        <v>8130</v>
      </c>
      <c r="D5226" s="111" t="str">
        <f t="shared" ref="D5226:E5226" si="5224">TRIM(B5226)</f>
        <v>Indiana</v>
      </c>
      <c r="E5226" s="111" t="str">
        <f t="shared" si="5224"/>
        <v>New Castle</v>
      </c>
    </row>
    <row r="5227" spans="1:5">
      <c r="A5227" s="3" t="s">
        <v>14528</v>
      </c>
      <c r="B5227" s="110" t="s">
        <v>1334</v>
      </c>
      <c r="C5227" s="111" t="s">
        <v>6967</v>
      </c>
      <c r="D5227" s="111" t="str">
        <f t="shared" ref="D5227:E5227" si="5225">TRIM(B5227)</f>
        <v>Indiana</v>
      </c>
      <c r="E5227" s="111" t="str">
        <f t="shared" si="5225"/>
        <v>New Haven</v>
      </c>
    </row>
    <row r="5228" spans="1:5">
      <c r="A5228" s="3" t="s">
        <v>14529</v>
      </c>
      <c r="B5228" s="110" t="s">
        <v>1334</v>
      </c>
      <c r="C5228" s="111" t="s">
        <v>14530</v>
      </c>
      <c r="D5228" s="111" t="str">
        <f t="shared" ref="D5228:E5228" si="5226">TRIM(B5228)</f>
        <v>Indiana</v>
      </c>
      <c r="E5228" s="111" t="str">
        <f t="shared" si="5226"/>
        <v>New Palestine</v>
      </c>
    </row>
    <row r="5229" spans="1:5">
      <c r="A5229" s="3" t="s">
        <v>14531</v>
      </c>
      <c r="B5229" s="110" t="s">
        <v>1334</v>
      </c>
      <c r="C5229" s="111" t="s">
        <v>14532</v>
      </c>
      <c r="D5229" s="111" t="str">
        <f t="shared" ref="D5229:E5229" si="5227">TRIM(B5229)</f>
        <v>Indiana</v>
      </c>
      <c r="E5229" s="111" t="str">
        <f t="shared" si="5227"/>
        <v>New Washington</v>
      </c>
    </row>
    <row r="5230" spans="1:5">
      <c r="A5230" s="3" t="s">
        <v>11521</v>
      </c>
      <c r="B5230" s="110" t="s">
        <v>1334</v>
      </c>
      <c r="C5230" s="111" t="s">
        <v>14533</v>
      </c>
      <c r="D5230" s="111" t="str">
        <f t="shared" ref="D5230:E5230" si="5228">TRIM(B5230)</f>
        <v>Indiana</v>
      </c>
      <c r="E5230" s="111" t="str">
        <f t="shared" si="5228"/>
        <v>Newburgh</v>
      </c>
    </row>
    <row r="5231" spans="1:5">
      <c r="A5231" s="3" t="s">
        <v>14534</v>
      </c>
      <c r="B5231" s="110" t="s">
        <v>1334</v>
      </c>
      <c r="C5231" s="111" t="s">
        <v>10730</v>
      </c>
      <c r="D5231" s="111" t="str">
        <f t="shared" ref="D5231:E5231" si="5229">TRIM(B5231)</f>
        <v>Indiana</v>
      </c>
      <c r="E5231" s="111" t="str">
        <f t="shared" si="5229"/>
        <v>Noblesville</v>
      </c>
    </row>
    <row r="5232" spans="1:5">
      <c r="A5232" s="110" t="s">
        <v>14535</v>
      </c>
      <c r="B5232" s="110" t="s">
        <v>1334</v>
      </c>
      <c r="C5232" s="111" t="s">
        <v>10730</v>
      </c>
      <c r="D5232" s="111" t="str">
        <f t="shared" ref="D5232:E5232" si="5230">TRIM(B5232)</f>
        <v>Indiana</v>
      </c>
      <c r="E5232" s="111" t="str">
        <f t="shared" si="5230"/>
        <v>Noblesville</v>
      </c>
    </row>
    <row r="5233" spans="1:5">
      <c r="A5233" s="3" t="s">
        <v>14536</v>
      </c>
      <c r="B5233" s="110" t="s">
        <v>1334</v>
      </c>
      <c r="C5233" s="111" t="s">
        <v>14537</v>
      </c>
      <c r="D5233" s="111" t="str">
        <f t="shared" ref="D5233:E5233" si="5231">TRIM(B5233)</f>
        <v>Indiana</v>
      </c>
      <c r="E5233" s="111" t="str">
        <f t="shared" si="5231"/>
        <v>North Judson</v>
      </c>
    </row>
    <row r="5234" spans="1:5">
      <c r="A5234" s="3" t="s">
        <v>14538</v>
      </c>
      <c r="B5234" s="110" t="s">
        <v>1334</v>
      </c>
      <c r="C5234" s="111" t="s">
        <v>14539</v>
      </c>
      <c r="D5234" s="111" t="str">
        <f t="shared" ref="D5234:E5234" si="5232">TRIM(B5234)</f>
        <v>Indiana</v>
      </c>
      <c r="E5234" s="111" t="str">
        <f t="shared" si="5232"/>
        <v>North Vernon</v>
      </c>
    </row>
    <row r="5235" spans="1:5">
      <c r="A5235" s="3" t="s">
        <v>14540</v>
      </c>
      <c r="B5235" s="110" t="s">
        <v>1334</v>
      </c>
      <c r="C5235" s="111" t="s">
        <v>14541</v>
      </c>
      <c r="D5235" s="111" t="str">
        <f t="shared" ref="D5235:E5235" si="5233">TRIM(B5235)</f>
        <v>Indiana</v>
      </c>
      <c r="E5235" s="111" t="str">
        <f t="shared" si="5233"/>
        <v>Oakland City</v>
      </c>
    </row>
    <row r="5236" spans="1:5">
      <c r="A5236" s="3" t="s">
        <v>14542</v>
      </c>
      <c r="B5236" s="110" t="s">
        <v>1334</v>
      </c>
      <c r="C5236" s="111" t="s">
        <v>14543</v>
      </c>
      <c r="D5236" s="111" t="str">
        <f t="shared" ref="D5236:E5236" si="5234">TRIM(B5236)</f>
        <v>Indiana</v>
      </c>
      <c r="E5236" s="111" t="str">
        <f t="shared" si="5234"/>
        <v>Orleans</v>
      </c>
    </row>
    <row r="5237" spans="1:5">
      <c r="A5237" s="3" t="s">
        <v>14545</v>
      </c>
      <c r="B5237" s="110" t="s">
        <v>1334</v>
      </c>
      <c r="C5237" s="111" t="s">
        <v>14546</v>
      </c>
      <c r="D5237" s="111" t="str">
        <f t="shared" ref="D5237:E5237" si="5235">TRIM(B5237)</f>
        <v>Indiana</v>
      </c>
      <c r="E5237" s="111" t="str">
        <f t="shared" si="5235"/>
        <v>Osgood</v>
      </c>
    </row>
    <row r="5238" spans="1:5">
      <c r="A5238" s="3" t="s">
        <v>14547</v>
      </c>
      <c r="B5238" s="110" t="s">
        <v>1334</v>
      </c>
      <c r="C5238" s="111" t="s">
        <v>14548</v>
      </c>
      <c r="D5238" s="111" t="str">
        <f t="shared" ref="D5238:E5238" si="5236">TRIM(B5238)</f>
        <v>Indiana</v>
      </c>
      <c r="E5238" s="111" t="str">
        <f t="shared" si="5236"/>
        <v>Ossian</v>
      </c>
    </row>
    <row r="5239" spans="1:5">
      <c r="A5239" s="3" t="s">
        <v>14549</v>
      </c>
      <c r="B5239" s="110" t="s">
        <v>1334</v>
      </c>
      <c r="C5239" s="111" t="s">
        <v>279</v>
      </c>
      <c r="D5239" s="111" t="str">
        <f t="shared" ref="D5239:E5239" si="5237">TRIM(B5239)</f>
        <v>Indiana</v>
      </c>
      <c r="E5239" s="111" t="str">
        <f t="shared" si="5237"/>
        <v>Oxford</v>
      </c>
    </row>
    <row r="5240" spans="1:5">
      <c r="A5240" s="3" t="s">
        <v>14550</v>
      </c>
      <c r="B5240" s="110" t="s">
        <v>1334</v>
      </c>
      <c r="C5240" s="111" t="s">
        <v>14551</v>
      </c>
      <c r="D5240" s="111" t="str">
        <f t="shared" ref="D5240:E5240" si="5238">TRIM(B5240)</f>
        <v>Indiana</v>
      </c>
      <c r="E5240" s="111" t="str">
        <f t="shared" si="5238"/>
        <v>Paoli</v>
      </c>
    </row>
    <row r="5241" spans="1:5">
      <c r="A5241" s="3" t="s">
        <v>14552</v>
      </c>
      <c r="B5241" s="110" t="s">
        <v>1334</v>
      </c>
      <c r="C5241" s="111" t="s">
        <v>14553</v>
      </c>
      <c r="D5241" s="111" t="str">
        <f t="shared" ref="D5241:E5241" si="5239">TRIM(B5241)</f>
        <v>Indiana</v>
      </c>
      <c r="E5241" s="111" t="str">
        <f t="shared" si="5239"/>
        <v>Parker City</v>
      </c>
    </row>
    <row r="5242" spans="1:5">
      <c r="A5242" s="3" t="s">
        <v>8899</v>
      </c>
      <c r="B5242" s="110" t="s">
        <v>1334</v>
      </c>
      <c r="C5242" s="111" t="s">
        <v>13596</v>
      </c>
      <c r="D5242" s="111" t="str">
        <f t="shared" ref="D5242:E5242" si="5240">TRIM(B5242)</f>
        <v>Indiana</v>
      </c>
      <c r="E5242" s="111" t="str">
        <f t="shared" si="5240"/>
        <v>Pekin</v>
      </c>
    </row>
    <row r="5243" spans="1:5">
      <c r="A5243" s="3" t="s">
        <v>14554</v>
      </c>
      <c r="B5243" s="110" t="s">
        <v>1334</v>
      </c>
      <c r="C5243" s="111" t="s">
        <v>14555</v>
      </c>
      <c r="D5243" s="111" t="str">
        <f t="shared" ref="D5243:E5243" si="5241">TRIM(B5243)</f>
        <v>Indiana</v>
      </c>
      <c r="E5243" s="111" t="str">
        <f t="shared" si="5241"/>
        <v>Pendleton</v>
      </c>
    </row>
    <row r="5244" spans="1:5">
      <c r="A5244" s="3" t="s">
        <v>14556</v>
      </c>
      <c r="B5244" s="110" t="s">
        <v>1334</v>
      </c>
      <c r="C5244" s="111" t="s">
        <v>10629</v>
      </c>
      <c r="D5244" s="111" t="str">
        <f t="shared" ref="D5244:E5244" si="5242">TRIM(B5244)</f>
        <v>Indiana</v>
      </c>
      <c r="E5244" s="111" t="str">
        <f t="shared" si="5242"/>
        <v>Peru</v>
      </c>
    </row>
    <row r="5245" spans="1:5">
      <c r="A5245" s="3" t="s">
        <v>14557</v>
      </c>
      <c r="B5245" s="110" t="s">
        <v>1334</v>
      </c>
      <c r="C5245" s="111" t="s">
        <v>2409</v>
      </c>
      <c r="D5245" s="111" t="str">
        <f t="shared" ref="D5245:E5245" si="5243">TRIM(B5245)</f>
        <v>Indiana</v>
      </c>
      <c r="E5245" s="111" t="str">
        <f t="shared" si="5243"/>
        <v>Petersburg</v>
      </c>
    </row>
    <row r="5246" spans="1:5">
      <c r="A5246" s="3" t="s">
        <v>8382</v>
      </c>
      <c r="B5246" s="110" t="s">
        <v>1334</v>
      </c>
      <c r="C5246" s="111" t="s">
        <v>4652</v>
      </c>
      <c r="D5246" s="111" t="str">
        <f t="shared" ref="D5246:E5246" si="5244">TRIM(B5246)</f>
        <v>Indiana</v>
      </c>
      <c r="E5246" s="111" t="str">
        <f t="shared" si="5244"/>
        <v>Plainfield</v>
      </c>
    </row>
    <row r="5247" spans="1:5">
      <c r="A5247" s="3" t="s">
        <v>14558</v>
      </c>
      <c r="B5247" s="110" t="s">
        <v>1334</v>
      </c>
      <c r="C5247" s="111" t="s">
        <v>11518</v>
      </c>
      <c r="D5247" s="111" t="str">
        <f t="shared" ref="D5247:E5247" si="5245">TRIM(B5247)</f>
        <v>Indiana</v>
      </c>
      <c r="E5247" s="111" t="str">
        <f t="shared" si="5245"/>
        <v>Plymouth</v>
      </c>
    </row>
    <row r="5248" spans="1:5">
      <c r="A5248" s="3" t="s">
        <v>14559</v>
      </c>
      <c r="B5248" s="110" t="s">
        <v>1334</v>
      </c>
      <c r="C5248" s="111" t="s">
        <v>14561</v>
      </c>
      <c r="D5248" s="111" t="str">
        <f t="shared" ref="D5248:E5248" si="5246">TRIM(B5248)</f>
        <v>Indiana</v>
      </c>
      <c r="E5248" s="111" t="str">
        <f t="shared" si="5246"/>
        <v>Poneto</v>
      </c>
    </row>
    <row r="5249" spans="1:5">
      <c r="A5249" s="3" t="s">
        <v>14562</v>
      </c>
      <c r="B5249" s="110" t="s">
        <v>1334</v>
      </c>
      <c r="C5249" s="111" t="s">
        <v>14563</v>
      </c>
      <c r="D5249" s="111" t="str">
        <f t="shared" ref="D5249:E5249" si="5247">TRIM(B5249)</f>
        <v>Indiana</v>
      </c>
      <c r="E5249" s="111" t="str">
        <f t="shared" si="5247"/>
        <v>Portage</v>
      </c>
    </row>
    <row r="5250" spans="1:5">
      <c r="A5250" s="3" t="s">
        <v>14564</v>
      </c>
      <c r="B5250" s="110" t="s">
        <v>1334</v>
      </c>
      <c r="C5250" s="111" t="s">
        <v>14563</v>
      </c>
      <c r="D5250" s="111" t="str">
        <f t="shared" ref="D5250:E5250" si="5248">TRIM(B5250)</f>
        <v>Indiana</v>
      </c>
      <c r="E5250" s="111" t="str">
        <f t="shared" si="5248"/>
        <v>Portage</v>
      </c>
    </row>
    <row r="5251" spans="1:5">
      <c r="A5251" s="3" t="s">
        <v>14565</v>
      </c>
      <c r="B5251" s="110" t="s">
        <v>1334</v>
      </c>
      <c r="C5251" s="111" t="s">
        <v>8643</v>
      </c>
      <c r="D5251" s="111" t="str">
        <f t="shared" ref="D5251:E5251" si="5249">TRIM(B5251)</f>
        <v>Indiana</v>
      </c>
      <c r="E5251" s="111" t="str">
        <f t="shared" si="5249"/>
        <v>Portland</v>
      </c>
    </row>
    <row r="5252" spans="1:5">
      <c r="A5252" s="3" t="s">
        <v>14566</v>
      </c>
      <c r="B5252" s="110" t="s">
        <v>1334</v>
      </c>
      <c r="C5252" s="111" t="s">
        <v>14567</v>
      </c>
      <c r="D5252" s="111" t="str">
        <f t="shared" ref="D5252:E5252" si="5250">TRIM(B5252)</f>
        <v>Indiana</v>
      </c>
      <c r="E5252" s="111" t="str">
        <f t="shared" si="5250"/>
        <v>Poseyville</v>
      </c>
    </row>
    <row r="5253" spans="1:5">
      <c r="A5253" s="3" t="s">
        <v>14568</v>
      </c>
      <c r="B5253" s="110" t="s">
        <v>1334</v>
      </c>
      <c r="C5253" s="111" t="s">
        <v>6448</v>
      </c>
      <c r="D5253" s="111" t="str">
        <f t="shared" ref="D5253:E5253" si="5251">TRIM(B5253)</f>
        <v>Indiana</v>
      </c>
      <c r="E5253" s="111" t="str">
        <f t="shared" si="5251"/>
        <v>Princeton</v>
      </c>
    </row>
    <row r="5254" spans="1:5">
      <c r="A5254" s="3" t="s">
        <v>14569</v>
      </c>
      <c r="B5254" s="110" t="s">
        <v>1334</v>
      </c>
      <c r="C5254" s="111" t="s">
        <v>280</v>
      </c>
      <c r="D5254" s="111" t="str">
        <f t="shared" ref="D5254:E5254" si="5252">TRIM(B5254)</f>
        <v>Indiana</v>
      </c>
      <c r="E5254" s="111" t="str">
        <f t="shared" si="5252"/>
        <v>Ramsey</v>
      </c>
    </row>
    <row r="5255" spans="1:5">
      <c r="A5255" s="3" t="s">
        <v>14570</v>
      </c>
      <c r="B5255" s="110" t="s">
        <v>1334</v>
      </c>
      <c r="C5255" s="111" t="s">
        <v>12327</v>
      </c>
      <c r="D5255" s="111" t="str">
        <f t="shared" ref="D5255:E5255" si="5253">TRIM(B5255)</f>
        <v>Indiana</v>
      </c>
      <c r="E5255" s="111" t="str">
        <f t="shared" si="5253"/>
        <v>Rensselaer</v>
      </c>
    </row>
    <row r="5256" spans="1:5">
      <c r="A5256" s="3" t="s">
        <v>6534</v>
      </c>
      <c r="B5256" s="110" t="s">
        <v>1334</v>
      </c>
      <c r="C5256" s="111" t="s">
        <v>657</v>
      </c>
      <c r="D5256" s="111" t="str">
        <f t="shared" ref="D5256:E5256" si="5254">TRIM(B5256)</f>
        <v>Indiana</v>
      </c>
      <c r="E5256" s="111" t="str">
        <f t="shared" si="5254"/>
        <v>Richmond</v>
      </c>
    </row>
    <row r="5257" spans="1:5">
      <c r="A5257" s="3" t="s">
        <v>14571</v>
      </c>
      <c r="B5257" s="110" t="s">
        <v>1334</v>
      </c>
      <c r="C5257" s="111" t="s">
        <v>14572</v>
      </c>
      <c r="D5257" s="111" t="str">
        <f t="shared" ref="D5257:E5257" si="5255">TRIM(B5257)</f>
        <v>Indiana</v>
      </c>
      <c r="E5257" s="111" t="str">
        <f t="shared" si="5255"/>
        <v>Rising Sun</v>
      </c>
    </row>
    <row r="5258" spans="1:5">
      <c r="A5258" s="3" t="s">
        <v>14573</v>
      </c>
      <c r="B5258" s="110" t="s">
        <v>1334</v>
      </c>
      <c r="C5258" s="111" t="s">
        <v>14574</v>
      </c>
      <c r="D5258" s="111" t="str">
        <f t="shared" ref="D5258:E5258" si="5256">TRIM(B5258)</f>
        <v>Indiana</v>
      </c>
      <c r="E5258" s="111" t="str">
        <f t="shared" si="5256"/>
        <v>Roachdale</v>
      </c>
    </row>
    <row r="5259" spans="1:5">
      <c r="A5259" s="3" t="s">
        <v>14575</v>
      </c>
      <c r="B5259" s="110" t="s">
        <v>1334</v>
      </c>
      <c r="C5259" s="111" t="s">
        <v>11566</v>
      </c>
      <c r="D5259" s="111" t="str">
        <f t="shared" ref="D5259:E5259" si="5257">TRIM(B5259)</f>
        <v>Indiana</v>
      </c>
      <c r="E5259" s="111" t="str">
        <f t="shared" si="5257"/>
        <v>Rochester</v>
      </c>
    </row>
    <row r="5260" spans="1:5">
      <c r="A5260" s="3" t="s">
        <v>14576</v>
      </c>
      <c r="B5260" s="110" t="s">
        <v>1334</v>
      </c>
      <c r="C5260" s="111" t="s">
        <v>14577</v>
      </c>
      <c r="D5260" s="111" t="str">
        <f t="shared" ref="D5260:E5260" si="5258">TRIM(B5260)</f>
        <v>Indiana</v>
      </c>
      <c r="E5260" s="111" t="str">
        <f t="shared" si="5258"/>
        <v>Rockport</v>
      </c>
    </row>
    <row r="5261" spans="1:5">
      <c r="A5261" s="3" t="s">
        <v>14578</v>
      </c>
      <c r="B5261" s="110" t="s">
        <v>1334</v>
      </c>
      <c r="C5261" s="111" t="s">
        <v>14579</v>
      </c>
      <c r="D5261" s="111" t="str">
        <f t="shared" ref="D5261:E5261" si="5259">TRIM(B5261)</f>
        <v>Indiana</v>
      </c>
      <c r="E5261" s="111" t="str">
        <f t="shared" si="5259"/>
        <v>Rockville</v>
      </c>
    </row>
    <row r="5262" spans="1:5">
      <c r="A5262" s="3" t="s">
        <v>14580</v>
      </c>
      <c r="B5262" s="110" t="s">
        <v>1334</v>
      </c>
      <c r="C5262" s="111" t="s">
        <v>10703</v>
      </c>
      <c r="D5262" s="111" t="str">
        <f t="shared" ref="D5262:E5262" si="5260">TRIM(B5262)</f>
        <v>Indiana</v>
      </c>
      <c r="E5262" s="111" t="str">
        <f t="shared" si="5260"/>
        <v>Rossville</v>
      </c>
    </row>
    <row r="5263" spans="1:5">
      <c r="A5263" s="3" t="s">
        <v>14581</v>
      </c>
      <c r="B5263" s="110" t="s">
        <v>1334</v>
      </c>
      <c r="C5263" s="111" t="s">
        <v>14582</v>
      </c>
      <c r="D5263" s="111" t="str">
        <f t="shared" ref="D5263:E5263" si="5261">TRIM(B5263)</f>
        <v>Indiana</v>
      </c>
      <c r="E5263" s="111" t="str">
        <f t="shared" si="5261"/>
        <v>Royal Center</v>
      </c>
    </row>
    <row r="5264" spans="1:5">
      <c r="A5264" s="3" t="s">
        <v>14583</v>
      </c>
      <c r="B5264" s="110" t="s">
        <v>1334</v>
      </c>
      <c r="C5264" s="111" t="s">
        <v>13755</v>
      </c>
      <c r="D5264" s="111" t="str">
        <f t="shared" ref="D5264:E5264" si="5262">TRIM(B5264)</f>
        <v>Indiana</v>
      </c>
      <c r="E5264" s="111" t="str">
        <f t="shared" si="5262"/>
        <v>Rushville</v>
      </c>
    </row>
    <row r="5265" spans="1:5">
      <c r="A5265" s="3" t="s">
        <v>4343</v>
      </c>
      <c r="B5265" s="110" t="s">
        <v>1334</v>
      </c>
      <c r="C5265" s="111" t="s">
        <v>14584</v>
      </c>
      <c r="D5265" s="111" t="str">
        <f t="shared" ref="D5265:E5265" si="5263">TRIM(B5265)</f>
        <v>Indiana</v>
      </c>
      <c r="E5265" s="111" t="str">
        <f t="shared" si="5263"/>
        <v>Russiaville</v>
      </c>
    </row>
    <row r="5266" spans="1:5">
      <c r="A5266" s="3" t="s">
        <v>14585</v>
      </c>
      <c r="B5266" s="110" t="s">
        <v>1334</v>
      </c>
      <c r="C5266" s="111" t="s">
        <v>14586</v>
      </c>
      <c r="D5266" s="111" t="str">
        <f t="shared" ref="D5266:E5266" si="5264">TRIM(B5266)</f>
        <v>Indiana</v>
      </c>
      <c r="E5266" s="111" t="str">
        <f t="shared" si="5264"/>
        <v>Saint John</v>
      </c>
    </row>
    <row r="5267" spans="1:5">
      <c r="A5267" s="3" t="s">
        <v>4178</v>
      </c>
      <c r="B5267" s="110" t="s">
        <v>1334</v>
      </c>
      <c r="C5267" s="111" t="s">
        <v>451</v>
      </c>
      <c r="D5267" s="111" t="str">
        <f t="shared" ref="D5267:E5267" si="5265">TRIM(B5267)</f>
        <v>Indiana</v>
      </c>
      <c r="E5267" s="111" t="str">
        <f t="shared" si="5265"/>
        <v>Salem</v>
      </c>
    </row>
    <row r="5268" spans="1:5">
      <c r="A5268" s="3" t="s">
        <v>14587</v>
      </c>
      <c r="B5268" s="110" t="s">
        <v>1334</v>
      </c>
      <c r="C5268" s="111" t="s">
        <v>14588</v>
      </c>
      <c r="D5268" s="111" t="str">
        <f t="shared" ref="D5268:E5268" si="5266">TRIM(B5268)</f>
        <v>Indiana</v>
      </c>
      <c r="E5268" s="111" t="str">
        <f t="shared" si="5266"/>
        <v>Scottsburg</v>
      </c>
    </row>
    <row r="5269" spans="1:5">
      <c r="A5269" s="3" t="s">
        <v>6948</v>
      </c>
      <c r="B5269" s="110" t="s">
        <v>1334</v>
      </c>
      <c r="C5269" s="111" t="s">
        <v>14589</v>
      </c>
      <c r="D5269" s="111" t="str">
        <f t="shared" ref="D5269:E5269" si="5267">TRIM(B5269)</f>
        <v>Indiana</v>
      </c>
      <c r="E5269" s="111" t="str">
        <f t="shared" si="5267"/>
        <v>Sellersburg</v>
      </c>
    </row>
    <row r="5270" spans="1:5">
      <c r="A5270" s="3" t="s">
        <v>14590</v>
      </c>
      <c r="B5270" s="110" t="s">
        <v>1334</v>
      </c>
      <c r="C5270" s="111" t="s">
        <v>2157</v>
      </c>
      <c r="D5270" s="111" t="str">
        <f t="shared" ref="D5270:E5270" si="5268">TRIM(B5270)</f>
        <v>Indiana</v>
      </c>
      <c r="E5270" s="111" t="str">
        <f t="shared" si="5268"/>
        <v>Selma</v>
      </c>
    </row>
    <row r="5271" spans="1:5">
      <c r="A5271" s="3" t="s">
        <v>14591</v>
      </c>
      <c r="B5271" s="110" t="s">
        <v>1334</v>
      </c>
      <c r="C5271" s="111" t="s">
        <v>6650</v>
      </c>
      <c r="D5271" s="111" t="str">
        <f t="shared" ref="D5271:E5271" si="5269">TRIM(B5271)</f>
        <v>Indiana</v>
      </c>
      <c r="E5271" s="111" t="str">
        <f t="shared" si="5269"/>
        <v>Seymour</v>
      </c>
    </row>
    <row r="5272" spans="1:5">
      <c r="A5272" s="3" t="s">
        <v>14592</v>
      </c>
      <c r="B5272" s="110" t="s">
        <v>1334</v>
      </c>
      <c r="C5272" s="111" t="s">
        <v>14593</v>
      </c>
      <c r="D5272" s="111" t="str">
        <f t="shared" ref="D5272:E5272" si="5270">TRIM(B5272)</f>
        <v>Indiana</v>
      </c>
      <c r="E5272" s="111" t="str">
        <f t="shared" si="5270"/>
        <v>Sharpsville</v>
      </c>
    </row>
    <row r="5273" spans="1:5">
      <c r="A5273" s="3" t="s">
        <v>14594</v>
      </c>
      <c r="B5273" s="110" t="s">
        <v>1334</v>
      </c>
      <c r="C5273" s="111" t="s">
        <v>5599</v>
      </c>
      <c r="D5273" s="111" t="str">
        <f t="shared" ref="D5273:E5273" si="5271">TRIM(B5273)</f>
        <v>Indiana</v>
      </c>
      <c r="E5273" s="111" t="str">
        <f t="shared" si="5271"/>
        <v>Shelbyville</v>
      </c>
    </row>
    <row r="5274" spans="1:5">
      <c r="A5274" s="3" t="s">
        <v>13624</v>
      </c>
      <c r="B5274" s="110" t="s">
        <v>1334</v>
      </c>
      <c r="C5274" s="111" t="s">
        <v>5599</v>
      </c>
      <c r="D5274" s="111" t="str">
        <f t="shared" ref="D5274:E5274" si="5272">TRIM(B5274)</f>
        <v>Indiana</v>
      </c>
      <c r="E5274" s="111" t="str">
        <f t="shared" si="5272"/>
        <v>Shelbyville</v>
      </c>
    </row>
    <row r="5275" spans="1:5">
      <c r="A5275" s="3" t="s">
        <v>4186</v>
      </c>
      <c r="B5275" s="110" t="s">
        <v>1334</v>
      </c>
      <c r="C5275" s="112" t="s">
        <v>4187</v>
      </c>
      <c r="D5275" s="111" t="str">
        <f t="shared" ref="D5275:E5275" si="5273">TRIM(B5275)</f>
        <v>Indiana</v>
      </c>
      <c r="E5275" s="111" t="str">
        <f t="shared" si="5273"/>
        <v>Sheridan</v>
      </c>
    </row>
    <row r="5276" spans="1:5">
      <c r="A5276" s="3" t="s">
        <v>14595</v>
      </c>
      <c r="B5276" s="110" t="s">
        <v>1334</v>
      </c>
      <c r="C5276" s="111" t="s">
        <v>14596</v>
      </c>
      <c r="D5276" s="111" t="str">
        <f t="shared" ref="D5276:E5276" si="5274">TRIM(B5276)</f>
        <v>Indiana</v>
      </c>
      <c r="E5276" s="111" t="str">
        <f t="shared" si="5274"/>
        <v>Shoals</v>
      </c>
    </row>
    <row r="5277" spans="1:5">
      <c r="A5277" s="3" t="s">
        <v>14597</v>
      </c>
      <c r="B5277" s="110" t="s">
        <v>1334</v>
      </c>
      <c r="C5277" s="111" t="s">
        <v>10727</v>
      </c>
      <c r="D5277" s="111" t="str">
        <f t="shared" ref="D5277:E5277" si="5275">TRIM(B5277)</f>
        <v>Indiana</v>
      </c>
      <c r="E5277" s="111" t="str">
        <f t="shared" si="5275"/>
        <v>South Bend</v>
      </c>
    </row>
    <row r="5278" spans="1:5">
      <c r="A5278" s="3" t="s">
        <v>14598</v>
      </c>
      <c r="B5278" s="110" t="s">
        <v>1334</v>
      </c>
      <c r="C5278" s="111" t="s">
        <v>10727</v>
      </c>
      <c r="D5278" s="111" t="str">
        <f t="shared" ref="D5278:E5278" si="5276">TRIM(B5278)</f>
        <v>Indiana</v>
      </c>
      <c r="E5278" s="111" t="str">
        <f t="shared" si="5276"/>
        <v>South Bend</v>
      </c>
    </row>
    <row r="5279" spans="1:5">
      <c r="A5279" s="3" t="s">
        <v>9276</v>
      </c>
      <c r="B5279" s="110" t="s">
        <v>1334</v>
      </c>
      <c r="C5279" s="111" t="s">
        <v>10727</v>
      </c>
      <c r="D5279" s="111" t="str">
        <f t="shared" ref="D5279:E5279" si="5277">TRIM(B5279)</f>
        <v>Indiana</v>
      </c>
      <c r="E5279" s="111" t="str">
        <f t="shared" si="5277"/>
        <v>South Bend</v>
      </c>
    </row>
    <row r="5280" spans="1:5">
      <c r="A5280" s="3" t="s">
        <v>14599</v>
      </c>
      <c r="B5280" s="110" t="s">
        <v>1334</v>
      </c>
      <c r="C5280" s="111" t="s">
        <v>10727</v>
      </c>
      <c r="D5280" s="111" t="str">
        <f t="shared" ref="D5280:E5280" si="5278">TRIM(B5280)</f>
        <v>Indiana</v>
      </c>
      <c r="E5280" s="111" t="str">
        <f t="shared" si="5278"/>
        <v>South Bend</v>
      </c>
    </row>
    <row r="5281" spans="1:5">
      <c r="A5281" s="3" t="s">
        <v>14600</v>
      </c>
      <c r="B5281" s="110" t="s">
        <v>1334</v>
      </c>
      <c r="C5281" s="111" t="s">
        <v>10727</v>
      </c>
      <c r="D5281" s="111" t="str">
        <f t="shared" ref="D5281:E5281" si="5279">TRIM(B5281)</f>
        <v>Indiana</v>
      </c>
      <c r="E5281" s="111" t="str">
        <f t="shared" si="5279"/>
        <v>South Bend</v>
      </c>
    </row>
    <row r="5282" spans="1:5">
      <c r="A5282" s="3" t="s">
        <v>3140</v>
      </c>
      <c r="B5282" s="110" t="s">
        <v>1334</v>
      </c>
      <c r="C5282" s="111" t="s">
        <v>10727</v>
      </c>
      <c r="D5282" s="111" t="str">
        <f t="shared" ref="D5282:E5282" si="5280">TRIM(B5282)</f>
        <v>Indiana</v>
      </c>
      <c r="E5282" s="111" t="str">
        <f t="shared" si="5280"/>
        <v>South Bend</v>
      </c>
    </row>
    <row r="5283" spans="1:5">
      <c r="A5283" s="3" t="s">
        <v>14601</v>
      </c>
      <c r="B5283" s="110" t="s">
        <v>1334</v>
      </c>
      <c r="C5283" s="111" t="s">
        <v>14602</v>
      </c>
      <c r="D5283" s="111" t="str">
        <f t="shared" ref="D5283:E5283" si="5281">TRIM(B5283)</f>
        <v>Indiana</v>
      </c>
      <c r="E5283" s="111" t="str">
        <f t="shared" si="5281"/>
        <v>South Whitley</v>
      </c>
    </row>
    <row r="5284" spans="1:5">
      <c r="A5284" s="3" t="s">
        <v>14603</v>
      </c>
      <c r="B5284" s="110" t="s">
        <v>1334</v>
      </c>
      <c r="C5284" s="111" t="s">
        <v>14604</v>
      </c>
      <c r="D5284" s="111" t="str">
        <f t="shared" ref="D5284:E5284" si="5282">TRIM(B5284)</f>
        <v>Indiana</v>
      </c>
      <c r="E5284" s="111" t="str">
        <f t="shared" si="5282"/>
        <v>Speedway</v>
      </c>
    </row>
    <row r="5285" spans="1:5">
      <c r="A5285" s="3" t="s">
        <v>14605</v>
      </c>
      <c r="B5285" s="110" t="s">
        <v>1334</v>
      </c>
      <c r="C5285" s="111" t="s">
        <v>14606</v>
      </c>
      <c r="D5285" s="111" t="str">
        <f t="shared" ref="D5285:E5285" si="5283">TRIM(B5285)</f>
        <v>Indiana</v>
      </c>
      <c r="E5285" s="111" t="str">
        <f t="shared" si="5283"/>
        <v>Spencer</v>
      </c>
    </row>
    <row r="5286" spans="1:5">
      <c r="A5286" s="3" t="s">
        <v>14608</v>
      </c>
      <c r="B5286" s="110" t="s">
        <v>1334</v>
      </c>
      <c r="C5286" s="111" t="s">
        <v>14609</v>
      </c>
      <c r="D5286" s="111" t="str">
        <f t="shared" ref="D5286:E5286" si="5284">TRIM(B5286)</f>
        <v>Indiana</v>
      </c>
      <c r="E5286" s="111" t="str">
        <f t="shared" si="5284"/>
        <v>St Leon</v>
      </c>
    </row>
    <row r="5287" spans="1:5">
      <c r="A5287" s="3" t="s">
        <v>14610</v>
      </c>
      <c r="B5287" s="110" t="s">
        <v>1334</v>
      </c>
      <c r="C5287" s="111" t="s">
        <v>14611</v>
      </c>
      <c r="D5287" s="111" t="str">
        <f t="shared" ref="D5287:E5287" si="5285">TRIM(B5287)</f>
        <v>Indiana</v>
      </c>
      <c r="E5287" s="111" t="str">
        <f t="shared" si="5285"/>
        <v>Straughn</v>
      </c>
    </row>
    <row r="5288" spans="1:5">
      <c r="A5288" s="3" t="s">
        <v>12545</v>
      </c>
      <c r="B5288" s="110" t="s">
        <v>1334</v>
      </c>
      <c r="C5288" s="111" t="s">
        <v>13876</v>
      </c>
      <c r="D5288" s="111" t="str">
        <f t="shared" ref="D5288:E5288" si="5286">TRIM(B5288)</f>
        <v>Indiana</v>
      </c>
      <c r="E5288" s="111" t="str">
        <f t="shared" si="5286"/>
        <v>Sullivan</v>
      </c>
    </row>
    <row r="5289" spans="1:5">
      <c r="A5289" s="3" t="s">
        <v>14612</v>
      </c>
      <c r="B5289" s="110" t="s">
        <v>1334</v>
      </c>
      <c r="C5289" s="111" t="s">
        <v>14613</v>
      </c>
      <c r="D5289" s="111" t="str">
        <f t="shared" ref="D5289:E5289" si="5287">TRIM(B5289)</f>
        <v>Indiana</v>
      </c>
      <c r="E5289" s="111" t="str">
        <f t="shared" si="5287"/>
        <v>Switz City</v>
      </c>
    </row>
    <row r="5290" spans="1:5">
      <c r="A5290" s="3" t="s">
        <v>14614</v>
      </c>
      <c r="B5290" s="110" t="s">
        <v>1334</v>
      </c>
      <c r="C5290" s="111" t="s">
        <v>12293</v>
      </c>
      <c r="D5290" s="111" t="str">
        <f t="shared" ref="D5290:E5290" si="5288">TRIM(B5290)</f>
        <v>Indiana</v>
      </c>
      <c r="E5290" s="111" t="str">
        <f t="shared" si="5288"/>
        <v>Syracuse</v>
      </c>
    </row>
    <row r="5291" spans="1:5">
      <c r="A5291" s="3" t="s">
        <v>14615</v>
      </c>
      <c r="B5291" s="110" t="s">
        <v>1334</v>
      </c>
      <c r="C5291" s="111" t="s">
        <v>14616</v>
      </c>
      <c r="D5291" s="111" t="str">
        <f t="shared" ref="D5291:E5291" si="5289">TRIM(B5291)</f>
        <v>Indiana</v>
      </c>
      <c r="E5291" s="111" t="str">
        <f t="shared" si="5289"/>
        <v>Tell City</v>
      </c>
    </row>
    <row r="5292" spans="1:5">
      <c r="A5292" s="110" t="s">
        <v>14617</v>
      </c>
      <c r="B5292" s="110" t="s">
        <v>1334</v>
      </c>
      <c r="C5292" s="111" t="s">
        <v>393</v>
      </c>
      <c r="D5292" s="111" t="str">
        <f t="shared" ref="D5292:E5292" si="5290">TRIM(B5292)</f>
        <v>Indiana</v>
      </c>
      <c r="E5292" s="111" t="str">
        <f t="shared" si="5290"/>
        <v>Terre Haute</v>
      </c>
    </row>
    <row r="5293" spans="1:5">
      <c r="A5293" s="3" t="s">
        <v>14619</v>
      </c>
      <c r="B5293" s="110" t="s">
        <v>1334</v>
      </c>
      <c r="C5293" s="111" t="s">
        <v>393</v>
      </c>
      <c r="D5293" s="111" t="str">
        <f t="shared" ref="D5293:E5293" si="5291">TRIM(B5293)</f>
        <v>Indiana</v>
      </c>
      <c r="E5293" s="111" t="str">
        <f t="shared" si="5291"/>
        <v>Terre Haute</v>
      </c>
    </row>
    <row r="5294" spans="1:5">
      <c r="A5294" s="3" t="s">
        <v>14620</v>
      </c>
      <c r="B5294" s="110" t="s">
        <v>1334</v>
      </c>
      <c r="C5294" s="111" t="s">
        <v>393</v>
      </c>
      <c r="D5294" s="111" t="str">
        <f t="shared" ref="D5294:E5294" si="5292">TRIM(B5294)</f>
        <v>Indiana</v>
      </c>
      <c r="E5294" s="111" t="str">
        <f t="shared" si="5292"/>
        <v>Terre Haute</v>
      </c>
    </row>
    <row r="5295" spans="1:5">
      <c r="A5295" s="3" t="s">
        <v>14621</v>
      </c>
      <c r="B5295" s="110" t="s">
        <v>1334</v>
      </c>
      <c r="C5295" s="111" t="s">
        <v>14622</v>
      </c>
      <c r="D5295" s="111" t="str">
        <f t="shared" ref="D5295:E5295" si="5293">TRIM(B5295)</f>
        <v>Indiana</v>
      </c>
      <c r="E5295" s="111" t="str">
        <f t="shared" si="5293"/>
        <v>Thorntown</v>
      </c>
    </row>
    <row r="5296" spans="1:5">
      <c r="A5296" s="3" t="s">
        <v>14623</v>
      </c>
      <c r="B5296" s="110" t="s">
        <v>1334</v>
      </c>
      <c r="C5296" s="111" t="s">
        <v>14624</v>
      </c>
      <c r="D5296" s="111" t="str">
        <f t="shared" ref="D5296:E5296" si="5294">TRIM(B5296)</f>
        <v>Indiana</v>
      </c>
      <c r="E5296" s="111" t="str">
        <f t="shared" si="5294"/>
        <v>Tipton</v>
      </c>
    </row>
    <row r="5297" spans="1:5">
      <c r="A5297" s="3" t="s">
        <v>14625</v>
      </c>
      <c r="B5297" s="110" t="s">
        <v>1334</v>
      </c>
      <c r="C5297" s="111" t="s">
        <v>14626</v>
      </c>
      <c r="D5297" s="111" t="str">
        <f t="shared" ref="D5297:E5297" si="5295">TRIM(B5297)</f>
        <v>Indiana</v>
      </c>
      <c r="E5297" s="111" t="str">
        <f t="shared" si="5295"/>
        <v>Topeka</v>
      </c>
    </row>
    <row r="5298" spans="1:5">
      <c r="A5298" s="3" t="s">
        <v>14627</v>
      </c>
      <c r="B5298" s="110" t="s">
        <v>1334</v>
      </c>
      <c r="C5298" s="111" t="s">
        <v>14628</v>
      </c>
      <c r="D5298" s="111" t="str">
        <f t="shared" ref="D5298:E5298" si="5296">TRIM(B5298)</f>
        <v>Indiana</v>
      </c>
      <c r="E5298" s="111" t="str">
        <f t="shared" si="5296"/>
        <v>Trafalgar</v>
      </c>
    </row>
    <row r="5299" spans="1:5">
      <c r="A5299" s="3" t="s">
        <v>14629</v>
      </c>
      <c r="B5299" s="110" t="s">
        <v>1334</v>
      </c>
      <c r="C5299" s="111" t="s">
        <v>7340</v>
      </c>
      <c r="D5299" s="111" t="str">
        <f t="shared" ref="D5299:E5299" si="5297">TRIM(B5299)</f>
        <v>Indiana</v>
      </c>
      <c r="E5299" s="111" t="str">
        <f t="shared" si="5297"/>
        <v>Union City</v>
      </c>
    </row>
    <row r="5300" spans="1:5">
      <c r="A5300" s="3" t="s">
        <v>14630</v>
      </c>
      <c r="B5300" s="110" t="s">
        <v>1334</v>
      </c>
      <c r="C5300" s="111" t="s">
        <v>14631</v>
      </c>
      <c r="D5300" s="111" t="str">
        <f t="shared" ref="D5300:E5300" si="5298">TRIM(B5300)</f>
        <v>Indiana</v>
      </c>
      <c r="E5300" s="111" t="str">
        <f t="shared" si="5298"/>
        <v>Union Mills</v>
      </c>
    </row>
    <row r="5301" spans="1:5">
      <c r="A5301" s="3" t="s">
        <v>14632</v>
      </c>
      <c r="B5301" s="110" t="s">
        <v>1334</v>
      </c>
      <c r="C5301" s="111" t="s">
        <v>14633</v>
      </c>
      <c r="D5301" s="111" t="str">
        <f t="shared" ref="D5301:E5301" si="5299">TRIM(B5301)</f>
        <v>Indiana</v>
      </c>
      <c r="E5301" s="111" t="str">
        <f t="shared" si="5299"/>
        <v>Valparaiso</v>
      </c>
    </row>
    <row r="5302" spans="1:5">
      <c r="A5302" s="3" t="s">
        <v>14634</v>
      </c>
      <c r="B5302" s="110" t="s">
        <v>1334</v>
      </c>
      <c r="C5302" s="111" t="s">
        <v>14633</v>
      </c>
      <c r="D5302" s="111" t="str">
        <f t="shared" ref="D5302:E5302" si="5300">TRIM(B5302)</f>
        <v>Indiana</v>
      </c>
      <c r="E5302" s="111" t="str">
        <f t="shared" si="5300"/>
        <v>Valparaiso</v>
      </c>
    </row>
    <row r="5303" spans="1:5">
      <c r="A5303" s="3" t="s">
        <v>14635</v>
      </c>
      <c r="B5303" s="110" t="s">
        <v>1334</v>
      </c>
      <c r="C5303" s="111" t="s">
        <v>14633</v>
      </c>
      <c r="D5303" s="111" t="str">
        <f t="shared" ref="D5303:E5303" si="5301">TRIM(B5303)</f>
        <v>Indiana</v>
      </c>
      <c r="E5303" s="111" t="str">
        <f t="shared" si="5301"/>
        <v>Valparaiso</v>
      </c>
    </row>
    <row r="5304" spans="1:5">
      <c r="A5304" s="3" t="s">
        <v>14636</v>
      </c>
      <c r="B5304" s="110" t="s">
        <v>1334</v>
      </c>
      <c r="C5304" s="111" t="s">
        <v>14633</v>
      </c>
      <c r="D5304" s="111" t="str">
        <f t="shared" ref="D5304:E5304" si="5302">TRIM(B5304)</f>
        <v>Indiana</v>
      </c>
      <c r="E5304" s="111" t="str">
        <f t="shared" si="5302"/>
        <v>Valparaiso</v>
      </c>
    </row>
    <row r="5305" spans="1:5">
      <c r="A5305" s="3" t="s">
        <v>8616</v>
      </c>
      <c r="B5305" s="110" t="s">
        <v>1334</v>
      </c>
      <c r="C5305" s="111" t="s">
        <v>14633</v>
      </c>
      <c r="D5305" s="111" t="str">
        <f t="shared" ref="D5305:E5305" si="5303">TRIM(B5305)</f>
        <v>Indiana</v>
      </c>
      <c r="E5305" s="111" t="str">
        <f t="shared" si="5303"/>
        <v>Valparaiso</v>
      </c>
    </row>
    <row r="5306" spans="1:5">
      <c r="A5306" s="3" t="s">
        <v>14637</v>
      </c>
      <c r="B5306" s="110" t="s">
        <v>1334</v>
      </c>
      <c r="C5306" s="111" t="s">
        <v>14638</v>
      </c>
      <c r="D5306" s="111" t="str">
        <f t="shared" ref="D5306:E5306" si="5304">TRIM(B5306)</f>
        <v>Indiana</v>
      </c>
      <c r="E5306" s="111" t="str">
        <f t="shared" si="5304"/>
        <v>Veedersburg</v>
      </c>
    </row>
    <row r="5307" spans="1:5">
      <c r="A5307" s="3" t="s">
        <v>14639</v>
      </c>
      <c r="B5307" s="110" t="s">
        <v>1334</v>
      </c>
      <c r="C5307" s="111" t="s">
        <v>14640</v>
      </c>
      <c r="D5307" s="111" t="str">
        <f t="shared" ref="D5307:E5307" si="5305">TRIM(B5307)</f>
        <v>Indiana</v>
      </c>
      <c r="E5307" s="111" t="str">
        <f t="shared" si="5305"/>
        <v>Versailles</v>
      </c>
    </row>
    <row r="5308" spans="1:5">
      <c r="A5308" s="3" t="s">
        <v>14642</v>
      </c>
      <c r="B5308" s="110" t="s">
        <v>1334</v>
      </c>
      <c r="C5308" s="111" t="s">
        <v>14643</v>
      </c>
      <c r="D5308" s="111" t="str">
        <f t="shared" ref="D5308:E5308" si="5306">TRIM(B5308)</f>
        <v>Indiana</v>
      </c>
      <c r="E5308" s="111" t="str">
        <f t="shared" si="5306"/>
        <v>Vevay</v>
      </c>
    </row>
    <row r="5309" spans="1:5">
      <c r="A5309" s="3" t="s">
        <v>1925</v>
      </c>
      <c r="B5309" s="110" t="s">
        <v>1334</v>
      </c>
      <c r="C5309" s="111" t="s">
        <v>10713</v>
      </c>
      <c r="D5309" s="111" t="str">
        <f t="shared" ref="D5309:E5309" si="5307">TRIM(B5309)</f>
        <v>Indiana</v>
      </c>
      <c r="E5309" s="111" t="str">
        <f t="shared" si="5307"/>
        <v>Vincennes</v>
      </c>
    </row>
    <row r="5310" spans="1:5">
      <c r="A5310" s="3" t="s">
        <v>14644</v>
      </c>
      <c r="B5310" s="110" t="s">
        <v>1334</v>
      </c>
      <c r="C5310" s="111" t="s">
        <v>10713</v>
      </c>
      <c r="D5310" s="111" t="str">
        <f t="shared" ref="D5310:E5310" si="5308">TRIM(B5310)</f>
        <v>Indiana</v>
      </c>
      <c r="E5310" s="111" t="str">
        <f t="shared" si="5308"/>
        <v>Vincennes</v>
      </c>
    </row>
    <row r="5311" spans="1:5">
      <c r="A5311" s="3" t="s">
        <v>14645</v>
      </c>
      <c r="B5311" s="110" t="s">
        <v>1334</v>
      </c>
      <c r="C5311" s="111" t="s">
        <v>14646</v>
      </c>
      <c r="D5311" s="111" t="str">
        <f t="shared" ref="D5311:E5311" si="5309">TRIM(B5311)</f>
        <v>Indiana</v>
      </c>
      <c r="E5311" s="111" t="str">
        <f t="shared" si="5309"/>
        <v>Wabash</v>
      </c>
    </row>
    <row r="5312" spans="1:5">
      <c r="A5312" s="3" t="s">
        <v>14647</v>
      </c>
      <c r="B5312" s="110" t="s">
        <v>1334</v>
      </c>
      <c r="C5312" s="111" t="s">
        <v>14646</v>
      </c>
      <c r="D5312" s="111" t="str">
        <f t="shared" ref="D5312:E5312" si="5310">TRIM(B5312)</f>
        <v>Indiana</v>
      </c>
      <c r="E5312" s="111" t="str">
        <f t="shared" si="5310"/>
        <v>Wabash</v>
      </c>
    </row>
    <row r="5313" spans="1:5">
      <c r="A5313" s="3" t="s">
        <v>14648</v>
      </c>
      <c r="B5313" s="110" t="s">
        <v>1334</v>
      </c>
      <c r="C5313" s="111" t="s">
        <v>14646</v>
      </c>
      <c r="D5313" s="111" t="str">
        <f t="shared" ref="D5313:E5313" si="5311">TRIM(B5313)</f>
        <v>Indiana</v>
      </c>
      <c r="E5313" s="111" t="str">
        <f t="shared" si="5311"/>
        <v>Wabash</v>
      </c>
    </row>
    <row r="5314" spans="1:5">
      <c r="A5314" s="3" t="s">
        <v>14649</v>
      </c>
      <c r="B5314" s="110" t="s">
        <v>1334</v>
      </c>
      <c r="C5314" s="111" t="s">
        <v>14646</v>
      </c>
      <c r="D5314" s="111" t="str">
        <f t="shared" ref="D5314:E5314" si="5312">TRIM(B5314)</f>
        <v>Indiana</v>
      </c>
      <c r="E5314" s="111" t="str">
        <f t="shared" si="5312"/>
        <v>Wabash</v>
      </c>
    </row>
    <row r="5315" spans="1:5">
      <c r="A5315" s="3" t="s">
        <v>14650</v>
      </c>
      <c r="B5315" s="110" t="s">
        <v>1334</v>
      </c>
      <c r="C5315" s="111" t="s">
        <v>4258</v>
      </c>
      <c r="D5315" s="111" t="str">
        <f t="shared" ref="D5315:E5315" si="5313">TRIM(B5315)</f>
        <v>Indiana</v>
      </c>
      <c r="E5315" s="111" t="str">
        <f t="shared" si="5313"/>
        <v>Waldron</v>
      </c>
    </row>
    <row r="5316" spans="1:5">
      <c r="A5316" s="3" t="s">
        <v>14651</v>
      </c>
      <c r="B5316" s="110" t="s">
        <v>1334</v>
      </c>
      <c r="C5316" s="111" t="s">
        <v>14652</v>
      </c>
      <c r="D5316" s="111" t="str">
        <f t="shared" ref="D5316:E5316" si="5314">TRIM(B5316)</f>
        <v>Indiana</v>
      </c>
      <c r="E5316" s="111" t="str">
        <f t="shared" si="5314"/>
        <v>Walkerton</v>
      </c>
    </row>
    <row r="5317" spans="1:5">
      <c r="A5317" s="3" t="s">
        <v>14653</v>
      </c>
      <c r="B5317" s="110" t="s">
        <v>1334</v>
      </c>
      <c r="C5317" s="111" t="s">
        <v>14654</v>
      </c>
      <c r="D5317" s="111" t="str">
        <f t="shared" ref="D5317:E5317" si="5315">TRIM(B5317)</f>
        <v>Indiana</v>
      </c>
      <c r="E5317" s="111" t="str">
        <f t="shared" si="5315"/>
        <v>Walton</v>
      </c>
    </row>
    <row r="5318" spans="1:5">
      <c r="A5318" s="3" t="s">
        <v>14655</v>
      </c>
      <c r="B5318" s="110" t="s">
        <v>1334</v>
      </c>
      <c r="C5318" s="111" t="s">
        <v>13979</v>
      </c>
      <c r="D5318" s="111" t="str">
        <f t="shared" ref="D5318:E5318" si="5316">TRIM(B5318)</f>
        <v>Indiana</v>
      </c>
      <c r="E5318" s="111" t="str">
        <f t="shared" si="5316"/>
        <v>Warsaw</v>
      </c>
    </row>
    <row r="5319" spans="1:5">
      <c r="A5319" s="3" t="s">
        <v>3140</v>
      </c>
      <c r="B5319" s="110" t="s">
        <v>1334</v>
      </c>
      <c r="C5319" s="111" t="s">
        <v>276</v>
      </c>
      <c r="D5319" s="111" t="str">
        <f t="shared" ref="D5319:E5319" si="5317">TRIM(B5319)</f>
        <v>Indiana</v>
      </c>
      <c r="E5319" s="111" t="str">
        <f t="shared" si="5317"/>
        <v>Washington</v>
      </c>
    </row>
    <row r="5320" spans="1:5">
      <c r="A5320" s="3" t="s">
        <v>12751</v>
      </c>
      <c r="B5320" s="110" t="s">
        <v>1334</v>
      </c>
      <c r="C5320" s="111" t="s">
        <v>13990</v>
      </c>
      <c r="D5320" s="111" t="str">
        <f t="shared" ref="D5320:E5320" si="5318">TRIM(B5320)</f>
        <v>Indiana</v>
      </c>
      <c r="E5320" s="111" t="str">
        <f t="shared" si="5318"/>
        <v>Waterloo</v>
      </c>
    </row>
    <row r="5321" spans="1:5">
      <c r="A5321" s="3" t="s">
        <v>14656</v>
      </c>
      <c r="B5321" s="110" t="s">
        <v>1334</v>
      </c>
      <c r="C5321" s="111" t="s">
        <v>14657</v>
      </c>
      <c r="D5321" s="111" t="str">
        <f t="shared" ref="D5321:E5321" si="5319">TRIM(B5321)</f>
        <v>Indiana</v>
      </c>
      <c r="E5321" s="111" t="str">
        <f t="shared" si="5319"/>
        <v>West Lafayette</v>
      </c>
    </row>
    <row r="5322" spans="1:5">
      <c r="A5322" s="3" t="s">
        <v>14315</v>
      </c>
      <c r="B5322" s="110" t="s">
        <v>1334</v>
      </c>
      <c r="C5322" s="111" t="s">
        <v>14657</v>
      </c>
      <c r="D5322" s="111" t="str">
        <f t="shared" ref="D5322:E5322" si="5320">TRIM(B5322)</f>
        <v>Indiana</v>
      </c>
      <c r="E5322" s="111" t="str">
        <f t="shared" si="5320"/>
        <v>West Lafayette</v>
      </c>
    </row>
    <row r="5323" spans="1:5">
      <c r="A5323" s="3" t="s">
        <v>14658</v>
      </c>
      <c r="B5323" s="110" t="s">
        <v>1334</v>
      </c>
      <c r="C5323" s="111" t="s">
        <v>14659</v>
      </c>
      <c r="D5323" s="111" t="str">
        <f t="shared" ref="D5323:E5323" si="5321">TRIM(B5323)</f>
        <v>Indiana</v>
      </c>
      <c r="E5323" s="111" t="str">
        <f t="shared" si="5321"/>
        <v>West Lebanon</v>
      </c>
    </row>
    <row r="5324" spans="1:5">
      <c r="A5324" s="3" t="s">
        <v>14660</v>
      </c>
      <c r="B5324" s="110" t="s">
        <v>1334</v>
      </c>
      <c r="C5324" s="113" t="s">
        <v>14661</v>
      </c>
      <c r="D5324" s="111" t="str">
        <f t="shared" ref="D5324:E5324" si="5322">TRIM(B5324)</f>
        <v>Indiana</v>
      </c>
      <c r="E5324" s="111" t="str">
        <f t="shared" si="5322"/>
        <v>West Terre Haute</v>
      </c>
    </row>
    <row r="5325" spans="1:5">
      <c r="A5325" s="3" t="s">
        <v>14662</v>
      </c>
      <c r="B5325" s="110" t="s">
        <v>1334</v>
      </c>
      <c r="C5325" s="111" t="s">
        <v>6783</v>
      </c>
      <c r="D5325" s="111" t="str">
        <f t="shared" ref="D5325:E5325" si="5323">TRIM(B5325)</f>
        <v>Indiana</v>
      </c>
      <c r="E5325" s="111" t="str">
        <f t="shared" si="5323"/>
        <v>Westfield</v>
      </c>
    </row>
    <row r="5326" spans="1:5">
      <c r="A5326" s="3" t="s">
        <v>14018</v>
      </c>
      <c r="B5326" s="110" t="s">
        <v>1334</v>
      </c>
      <c r="C5326" s="111" t="s">
        <v>14019</v>
      </c>
      <c r="D5326" s="111" t="str">
        <f t="shared" ref="D5326:E5326" si="5324">TRIM(B5326)</f>
        <v>Indiana</v>
      </c>
      <c r="E5326" s="111" t="str">
        <f t="shared" si="5324"/>
        <v>Westville</v>
      </c>
    </row>
    <row r="5327" spans="1:5">
      <c r="A5327" s="3" t="s">
        <v>14663</v>
      </c>
      <c r="B5327" s="110" t="s">
        <v>1334</v>
      </c>
      <c r="C5327" s="111" t="s">
        <v>14664</v>
      </c>
      <c r="D5327" s="111" t="str">
        <f t="shared" ref="D5327:E5327" si="5325">TRIM(B5327)</f>
        <v>Indiana</v>
      </c>
      <c r="E5327" s="111" t="str">
        <f t="shared" si="5325"/>
        <v>Wheatfield</v>
      </c>
    </row>
    <row r="5328" spans="1:5">
      <c r="A5328" s="3" t="s">
        <v>14665</v>
      </c>
      <c r="B5328" s="110" t="s">
        <v>1334</v>
      </c>
      <c r="C5328" s="111" t="s">
        <v>14666</v>
      </c>
      <c r="D5328" s="111" t="str">
        <f t="shared" ref="D5328:E5328" si="5326">TRIM(B5328)</f>
        <v>Indiana</v>
      </c>
      <c r="E5328" s="111" t="str">
        <f t="shared" si="5326"/>
        <v>Whiteland</v>
      </c>
    </row>
    <row r="5329" spans="1:5">
      <c r="A5329" s="3" t="s">
        <v>14667</v>
      </c>
      <c r="B5329" s="110" t="s">
        <v>1334</v>
      </c>
      <c r="C5329" s="111" t="s">
        <v>14668</v>
      </c>
      <c r="D5329" s="111" t="str">
        <f t="shared" ref="D5329:E5329" si="5327">TRIM(B5329)</f>
        <v>Indiana</v>
      </c>
      <c r="E5329" s="111" t="str">
        <f t="shared" si="5327"/>
        <v>Whiting</v>
      </c>
    </row>
    <row r="5330" spans="1:5">
      <c r="A5330" s="3" t="s">
        <v>14669</v>
      </c>
      <c r="B5330" s="110" t="s">
        <v>1334</v>
      </c>
      <c r="C5330" s="111" t="s">
        <v>14668</v>
      </c>
      <c r="D5330" s="111" t="str">
        <f t="shared" ref="D5330:E5330" si="5328">TRIM(B5330)</f>
        <v>Indiana</v>
      </c>
      <c r="E5330" s="111" t="str">
        <f t="shared" si="5328"/>
        <v>Whiting</v>
      </c>
    </row>
    <row r="5331" spans="1:5">
      <c r="A5331" s="3" t="s">
        <v>14670</v>
      </c>
      <c r="B5331" s="110" t="s">
        <v>1334</v>
      </c>
      <c r="C5331" s="111" t="s">
        <v>14671</v>
      </c>
      <c r="D5331" s="111" t="str">
        <f t="shared" ref="D5331:E5331" si="5329">TRIM(B5331)</f>
        <v>Indiana</v>
      </c>
      <c r="E5331" s="111" t="str">
        <f t="shared" si="5329"/>
        <v>Winamac</v>
      </c>
    </row>
    <row r="5332" spans="1:5">
      <c r="A5332" s="3" t="s">
        <v>14672</v>
      </c>
      <c r="B5332" s="110" t="s">
        <v>1334</v>
      </c>
      <c r="C5332" s="111" t="s">
        <v>14042</v>
      </c>
      <c r="D5332" s="111" t="str">
        <f t="shared" ref="D5332:E5332" si="5330">TRIM(B5332)</f>
        <v>Indiana</v>
      </c>
      <c r="E5332" s="111" t="str">
        <f t="shared" si="5330"/>
        <v>Winchester</v>
      </c>
    </row>
    <row r="5333" spans="1:5">
      <c r="A5333" s="3" t="s">
        <v>14673</v>
      </c>
      <c r="B5333" s="110" t="s">
        <v>1334</v>
      </c>
      <c r="C5333" s="111" t="s">
        <v>8782</v>
      </c>
      <c r="D5333" s="111" t="str">
        <f t="shared" ref="D5333:E5333" si="5331">TRIM(B5333)</f>
        <v>Indiana</v>
      </c>
      <c r="E5333" s="111" t="str">
        <f t="shared" si="5331"/>
        <v>Wolcott</v>
      </c>
    </row>
    <row r="5334" spans="1:5">
      <c r="A5334" s="3" t="s">
        <v>14674</v>
      </c>
      <c r="B5334" s="110" t="s">
        <v>1334</v>
      </c>
      <c r="C5334" s="111" t="s">
        <v>14675</v>
      </c>
      <c r="D5334" s="111" t="str">
        <f t="shared" ref="D5334:E5334" si="5332">TRIM(B5334)</f>
        <v>Indiana</v>
      </c>
      <c r="E5334" s="111" t="str">
        <f t="shared" si="5332"/>
        <v>Woodburn</v>
      </c>
    </row>
    <row r="5335" spans="1:5">
      <c r="A5335" s="3" t="s">
        <v>14676</v>
      </c>
      <c r="B5335" s="110" t="s">
        <v>1334</v>
      </c>
      <c r="C5335" s="111" t="s">
        <v>14677</v>
      </c>
      <c r="D5335" s="111" t="str">
        <f t="shared" ref="D5335:E5335" si="5333">TRIM(B5335)</f>
        <v>Indiana</v>
      </c>
      <c r="E5335" s="111" t="str">
        <f t="shared" si="5333"/>
        <v>Yorktown</v>
      </c>
    </row>
    <row r="5336" spans="1:5">
      <c r="A5336" s="3" t="s">
        <v>14678</v>
      </c>
      <c r="B5336" s="110" t="s">
        <v>1334</v>
      </c>
      <c r="C5336" s="111" t="s">
        <v>6895</v>
      </c>
      <c r="D5336" s="111" t="str">
        <f t="shared" ref="D5336:E5336" si="5334">TRIM(B5336)</f>
        <v>Indiana</v>
      </c>
      <c r="E5336" s="111" t="str">
        <f t="shared" si="5334"/>
        <v>Zionsville</v>
      </c>
    </row>
    <row r="5337" spans="1:5">
      <c r="A5337" s="3" t="s">
        <v>14679</v>
      </c>
      <c r="B5337" s="110" t="s">
        <v>1335</v>
      </c>
      <c r="C5337" s="111" t="s">
        <v>14680</v>
      </c>
      <c r="D5337" s="111" t="str">
        <f t="shared" ref="D5337:E5337" si="5335">TRIM(B5337)</f>
        <v>Iowa</v>
      </c>
      <c r="E5337" s="111" t="str">
        <f t="shared" si="5335"/>
        <v>Ackley</v>
      </c>
    </row>
    <row r="5338" spans="1:5">
      <c r="A5338" s="3" t="s">
        <v>14681</v>
      </c>
      <c r="B5338" s="110" t="s">
        <v>1335</v>
      </c>
      <c r="C5338" s="111" t="s">
        <v>10291</v>
      </c>
      <c r="D5338" s="111" t="str">
        <f t="shared" ref="D5338:E5338" si="5336">TRIM(B5338)</f>
        <v>Iowa</v>
      </c>
      <c r="E5338" s="111" t="str">
        <f t="shared" si="5336"/>
        <v>Adel</v>
      </c>
    </row>
    <row r="5339" spans="1:5">
      <c r="A5339" s="3" t="s">
        <v>14682</v>
      </c>
      <c r="B5339" s="110" t="s">
        <v>1335</v>
      </c>
      <c r="C5339" s="111" t="s">
        <v>14683</v>
      </c>
      <c r="D5339" s="111" t="str">
        <f t="shared" ref="D5339:E5339" si="5337">TRIM(B5339)</f>
        <v>Iowa</v>
      </c>
      <c r="E5339" s="111" t="str">
        <f t="shared" si="5337"/>
        <v>Afton</v>
      </c>
    </row>
    <row r="5340" spans="1:5">
      <c r="A5340" s="3" t="s">
        <v>14684</v>
      </c>
      <c r="B5340" s="110" t="s">
        <v>1335</v>
      </c>
      <c r="C5340" s="111" t="s">
        <v>614</v>
      </c>
      <c r="D5340" s="111" t="str">
        <f t="shared" ref="D5340:E5340" si="5338">TRIM(B5340)</f>
        <v>Iowa</v>
      </c>
      <c r="E5340" s="111" t="str">
        <f t="shared" si="5338"/>
        <v>Akron</v>
      </c>
    </row>
    <row r="5341" spans="1:5">
      <c r="A5341" s="3" t="s">
        <v>14685</v>
      </c>
      <c r="B5341" s="110" t="s">
        <v>1335</v>
      </c>
      <c r="C5341" s="111" t="s">
        <v>14686</v>
      </c>
      <c r="D5341" s="111" t="str">
        <f t="shared" ref="D5341:E5341" si="5339">TRIM(B5341)</f>
        <v>Iowa</v>
      </c>
      <c r="E5341" s="111" t="str">
        <f t="shared" si="5339"/>
        <v>Albia</v>
      </c>
    </row>
    <row r="5342" spans="1:5">
      <c r="A5342" s="3" t="s">
        <v>14687</v>
      </c>
      <c r="B5342" s="110" t="s">
        <v>1335</v>
      </c>
      <c r="C5342" s="111" t="s">
        <v>14688</v>
      </c>
      <c r="D5342" s="111" t="str">
        <f t="shared" ref="D5342:E5342" si="5340">TRIM(B5342)</f>
        <v>Iowa</v>
      </c>
      <c r="E5342" s="111" t="str">
        <f t="shared" si="5340"/>
        <v>Alburnett</v>
      </c>
    </row>
    <row r="5343" spans="1:5">
      <c r="A5343" s="3" t="s">
        <v>14689</v>
      </c>
      <c r="B5343" s="110" t="s">
        <v>1335</v>
      </c>
      <c r="C5343" s="111" t="s">
        <v>10735</v>
      </c>
      <c r="D5343" s="111" t="str">
        <f t="shared" ref="D5343:E5343" si="5341">TRIM(B5343)</f>
        <v>Iowa</v>
      </c>
      <c r="E5343" s="111" t="str">
        <f t="shared" si="5341"/>
        <v>Algona</v>
      </c>
    </row>
    <row r="5344" spans="1:5">
      <c r="A5344" s="3" t="s">
        <v>14690</v>
      </c>
      <c r="B5344" s="110" t="s">
        <v>1335</v>
      </c>
      <c r="C5344" s="111" t="s">
        <v>14691</v>
      </c>
      <c r="D5344" s="111" t="str">
        <f t="shared" ref="D5344:E5344" si="5342">TRIM(B5344)</f>
        <v>Iowa</v>
      </c>
      <c r="E5344" s="111" t="str">
        <f t="shared" si="5342"/>
        <v>Alleman</v>
      </c>
    </row>
    <row r="5345" spans="1:5">
      <c r="A5345" s="3" t="s">
        <v>14692</v>
      </c>
      <c r="B5345" s="110" t="s">
        <v>1335</v>
      </c>
      <c r="C5345" s="111" t="s">
        <v>14693</v>
      </c>
      <c r="D5345" s="111" t="str">
        <f t="shared" ref="D5345:E5345" si="5343">TRIM(B5345)</f>
        <v>Iowa</v>
      </c>
      <c r="E5345" s="111" t="str">
        <f t="shared" si="5343"/>
        <v>Alta</v>
      </c>
    </row>
    <row r="5346" spans="1:5">
      <c r="A5346" s="3" t="s">
        <v>14694</v>
      </c>
      <c r="B5346" s="110" t="s">
        <v>1335</v>
      </c>
      <c r="C5346" s="112" t="s">
        <v>14695</v>
      </c>
      <c r="D5346" s="111" t="str">
        <f t="shared" ref="D5346:E5346" si="5344">TRIM(B5346)</f>
        <v>Iowa</v>
      </c>
      <c r="E5346" s="111" t="str">
        <f t="shared" si="5344"/>
        <v>Ames</v>
      </c>
    </row>
    <row r="5347" spans="1:5">
      <c r="A5347" s="3" t="s">
        <v>14696</v>
      </c>
      <c r="B5347" s="110" t="s">
        <v>1335</v>
      </c>
      <c r="C5347" s="111" t="s">
        <v>14697</v>
      </c>
      <c r="D5347" s="111" t="str">
        <f t="shared" ref="D5347:E5347" si="5345">TRIM(B5347)</f>
        <v>Iowa</v>
      </c>
      <c r="E5347" s="111" t="str">
        <f t="shared" si="5345"/>
        <v>Anamosa</v>
      </c>
    </row>
    <row r="5348" spans="1:5">
      <c r="A5348" s="3" t="s">
        <v>14698</v>
      </c>
      <c r="B5348" s="110" t="s">
        <v>1335</v>
      </c>
      <c r="C5348" s="111" t="s">
        <v>14699</v>
      </c>
      <c r="D5348" s="111" t="str">
        <f t="shared" ref="D5348:E5348" si="5346">TRIM(B5348)</f>
        <v>Iowa</v>
      </c>
      <c r="E5348" s="111" t="str">
        <f t="shared" si="5346"/>
        <v>Anita</v>
      </c>
    </row>
    <row r="5349" spans="1:5">
      <c r="A5349" s="3" t="s">
        <v>14700</v>
      </c>
      <c r="B5349" s="110" t="s">
        <v>1335</v>
      </c>
      <c r="C5349" s="111" t="s">
        <v>14699</v>
      </c>
      <c r="D5349" s="111" t="str">
        <f t="shared" ref="D5349:E5349" si="5347">TRIM(B5349)</f>
        <v>Iowa</v>
      </c>
      <c r="E5349" s="111" t="str">
        <f t="shared" si="5347"/>
        <v>Anita</v>
      </c>
    </row>
    <row r="5350" spans="1:5">
      <c r="A5350" s="3" t="s">
        <v>14701</v>
      </c>
      <c r="B5350" s="110" t="s">
        <v>1335</v>
      </c>
      <c r="C5350" s="111" t="s">
        <v>8176</v>
      </c>
      <c r="D5350" s="111" t="str">
        <f t="shared" ref="D5350:E5350" si="5348">TRIM(B5350)</f>
        <v>Iowa</v>
      </c>
      <c r="E5350" s="111" t="str">
        <f t="shared" si="5348"/>
        <v>Ankeny</v>
      </c>
    </row>
    <row r="5351" spans="1:5">
      <c r="A5351" s="3" t="s">
        <v>14702</v>
      </c>
      <c r="B5351" s="110" t="s">
        <v>1335</v>
      </c>
      <c r="C5351" s="111" t="s">
        <v>8176</v>
      </c>
      <c r="D5351" s="111" t="str">
        <f t="shared" ref="D5351:E5351" si="5349">TRIM(B5351)</f>
        <v>Iowa</v>
      </c>
      <c r="E5351" s="111" t="str">
        <f t="shared" si="5349"/>
        <v>Ankeny</v>
      </c>
    </row>
    <row r="5352" spans="1:5">
      <c r="A5352" s="3" t="s">
        <v>14703</v>
      </c>
      <c r="B5352" s="110" t="s">
        <v>1335</v>
      </c>
      <c r="C5352" s="111" t="s">
        <v>1048</v>
      </c>
      <c r="D5352" s="111" t="str">
        <f t="shared" ref="D5352:E5352" si="5350">TRIM(B5352)</f>
        <v>Iowa</v>
      </c>
      <c r="E5352" s="111" t="str">
        <f t="shared" si="5350"/>
        <v>Arlington</v>
      </c>
    </row>
    <row r="5353" spans="1:5">
      <c r="A5353" s="3" t="s">
        <v>14704</v>
      </c>
      <c r="B5353" s="110" t="s">
        <v>1335</v>
      </c>
      <c r="C5353" s="111" t="s">
        <v>11996</v>
      </c>
      <c r="D5353" s="111" t="str">
        <f t="shared" ref="D5353:E5353" si="5351">TRIM(B5353)</f>
        <v>Iowa</v>
      </c>
      <c r="E5353" s="111" t="str">
        <f t="shared" si="5351"/>
        <v>Armstrong</v>
      </c>
    </row>
    <row r="5354" spans="1:5">
      <c r="A5354" s="3" t="s">
        <v>9157</v>
      </c>
      <c r="B5354" s="110" t="s">
        <v>1335</v>
      </c>
      <c r="C5354" s="111" t="s">
        <v>14705</v>
      </c>
      <c r="D5354" s="111" t="str">
        <f t="shared" ref="D5354:E5354" si="5352">TRIM(B5354)</f>
        <v>Iowa</v>
      </c>
      <c r="E5354" s="111" t="str">
        <f t="shared" si="5352"/>
        <v>Atlantic</v>
      </c>
    </row>
    <row r="5355" spans="1:5">
      <c r="A5355" s="3" t="s">
        <v>14706</v>
      </c>
      <c r="B5355" s="110" t="s">
        <v>1335</v>
      </c>
      <c r="C5355" s="111" t="s">
        <v>14707</v>
      </c>
      <c r="D5355" s="111" t="str">
        <f t="shared" ref="D5355:E5355" si="5353">TRIM(B5355)</f>
        <v>Iowa</v>
      </c>
      <c r="E5355" s="111" t="str">
        <f t="shared" si="5353"/>
        <v>Audubon</v>
      </c>
    </row>
    <row r="5356" spans="1:5">
      <c r="A5356" s="3" t="s">
        <v>14708</v>
      </c>
      <c r="B5356" s="110" t="s">
        <v>1335</v>
      </c>
      <c r="C5356" s="111" t="s">
        <v>14709</v>
      </c>
      <c r="D5356" s="111" t="str">
        <f t="shared" ref="D5356:E5356" si="5354">TRIM(B5356)</f>
        <v>Iowa</v>
      </c>
      <c r="E5356" s="111" t="str">
        <f t="shared" si="5354"/>
        <v>Avoca</v>
      </c>
    </row>
    <row r="5357" spans="1:5">
      <c r="A5357" s="3" t="s">
        <v>14710</v>
      </c>
      <c r="B5357" s="110" t="s">
        <v>1335</v>
      </c>
      <c r="C5357" s="111" t="s">
        <v>14711</v>
      </c>
      <c r="D5357" s="111" t="str">
        <f t="shared" ref="D5357:E5357" si="5355">TRIM(B5357)</f>
        <v>Iowa</v>
      </c>
      <c r="E5357" s="111" t="str">
        <f t="shared" si="5355"/>
        <v>Baxter</v>
      </c>
    </row>
    <row r="5358" spans="1:5">
      <c r="A5358" s="3" t="s">
        <v>14712</v>
      </c>
      <c r="B5358" s="110" t="s">
        <v>1335</v>
      </c>
      <c r="C5358" s="111" t="s">
        <v>14119</v>
      </c>
      <c r="D5358" s="111" t="str">
        <f t="shared" ref="D5358:E5358" si="5356">TRIM(B5358)</f>
        <v>Iowa</v>
      </c>
      <c r="E5358" s="111" t="str">
        <f t="shared" si="5356"/>
        <v>Bedford</v>
      </c>
    </row>
    <row r="5359" spans="1:5">
      <c r="A5359" s="3" t="s">
        <v>14713</v>
      </c>
      <c r="B5359" s="110" t="s">
        <v>1335</v>
      </c>
      <c r="C5359" s="111" t="s">
        <v>14714</v>
      </c>
      <c r="D5359" s="111" t="str">
        <f t="shared" ref="D5359:E5359" si="5357">TRIM(B5359)</f>
        <v>Iowa</v>
      </c>
      <c r="E5359" s="111" t="str">
        <f t="shared" si="5357"/>
        <v>Belle Plaine</v>
      </c>
    </row>
    <row r="5360" spans="1:5">
      <c r="A5360" s="3" t="s">
        <v>14715</v>
      </c>
      <c r="B5360" s="110" t="s">
        <v>1335</v>
      </c>
      <c r="C5360" s="111" t="s">
        <v>14159</v>
      </c>
      <c r="D5360" s="111" t="str">
        <f t="shared" ref="D5360:E5360" si="5358">TRIM(B5360)</f>
        <v>Iowa</v>
      </c>
      <c r="E5360" s="111" t="str">
        <f t="shared" si="5358"/>
        <v>Bellevue</v>
      </c>
    </row>
    <row r="5361" spans="1:5">
      <c r="A5361" s="3" t="s">
        <v>14716</v>
      </c>
      <c r="B5361" s="110" t="s">
        <v>1335</v>
      </c>
      <c r="C5361" s="111" t="s">
        <v>14717</v>
      </c>
      <c r="D5361" s="111" t="str">
        <f t="shared" ref="D5361:E5361" si="5359">TRIM(B5361)</f>
        <v>Iowa</v>
      </c>
      <c r="E5361" s="111" t="str">
        <f t="shared" si="5359"/>
        <v>Belmond</v>
      </c>
    </row>
    <row r="5362" spans="1:5">
      <c r="A5362" s="3" t="s">
        <v>14718</v>
      </c>
      <c r="B5362" s="110" t="s">
        <v>1335</v>
      </c>
      <c r="C5362" s="111" t="s">
        <v>10755</v>
      </c>
      <c r="D5362" s="111" t="str">
        <f t="shared" ref="D5362:E5362" si="5360">TRIM(B5362)</f>
        <v>Iowa</v>
      </c>
      <c r="E5362" s="111" t="str">
        <f t="shared" si="5360"/>
        <v>Bettendorf</v>
      </c>
    </row>
    <row r="5363" spans="1:5">
      <c r="A5363" s="3" t="s">
        <v>1893</v>
      </c>
      <c r="B5363" s="110" t="s">
        <v>1335</v>
      </c>
      <c r="C5363" s="111" t="s">
        <v>10755</v>
      </c>
      <c r="D5363" s="111" t="str">
        <f t="shared" ref="D5363:E5363" si="5361">TRIM(B5363)</f>
        <v>Iowa</v>
      </c>
      <c r="E5363" s="111" t="str">
        <f t="shared" si="5361"/>
        <v>Bettendorf</v>
      </c>
    </row>
    <row r="5364" spans="1:5">
      <c r="A5364" s="3" t="s">
        <v>14719</v>
      </c>
      <c r="B5364" s="110" t="s">
        <v>1335</v>
      </c>
      <c r="C5364" s="111" t="s">
        <v>8344</v>
      </c>
      <c r="D5364" s="111" t="str">
        <f t="shared" ref="D5364:E5364" si="5362">TRIM(B5364)</f>
        <v>Iowa</v>
      </c>
      <c r="E5364" s="111" t="str">
        <f t="shared" si="5362"/>
        <v>Bloomfield</v>
      </c>
    </row>
    <row r="5365" spans="1:5">
      <c r="A5365" s="3" t="s">
        <v>14720</v>
      </c>
      <c r="B5365" s="110" t="s">
        <v>1335</v>
      </c>
      <c r="C5365" s="111" t="s">
        <v>14721</v>
      </c>
      <c r="D5365" s="111" t="str">
        <f t="shared" ref="D5365:E5365" si="5363">TRIM(B5365)</f>
        <v>Iowa</v>
      </c>
      <c r="E5365" s="111" t="str">
        <f t="shared" si="5363"/>
        <v>Bondurant</v>
      </c>
    </row>
    <row r="5366" spans="1:5">
      <c r="A5366" s="3" t="s">
        <v>14722</v>
      </c>
      <c r="B5366" s="110" t="s">
        <v>1335</v>
      </c>
      <c r="C5366" s="111" t="s">
        <v>14723</v>
      </c>
      <c r="D5366" s="111" t="str">
        <f t="shared" ref="D5366:E5366" si="5364">TRIM(B5366)</f>
        <v>Iowa</v>
      </c>
      <c r="E5366" s="111" t="str">
        <f t="shared" si="5364"/>
        <v>Boone</v>
      </c>
    </row>
    <row r="5367" spans="1:5">
      <c r="A5367" s="3" t="s">
        <v>14724</v>
      </c>
      <c r="B5367" s="110" t="s">
        <v>1335</v>
      </c>
      <c r="C5367" s="111" t="s">
        <v>14725</v>
      </c>
      <c r="D5367" s="111" t="str">
        <f t="shared" ref="D5367:E5367" si="5365">TRIM(B5367)</f>
        <v>Iowa</v>
      </c>
      <c r="E5367" s="111" t="str">
        <f t="shared" si="5365"/>
        <v>Britt</v>
      </c>
    </row>
    <row r="5368" spans="1:5">
      <c r="A5368" s="3" t="s">
        <v>14726</v>
      </c>
      <c r="B5368" s="110" t="s">
        <v>1335</v>
      </c>
      <c r="C5368" s="111" t="s">
        <v>326</v>
      </c>
      <c r="D5368" s="111" t="str">
        <f t="shared" ref="D5368:E5368" si="5366">TRIM(B5368)</f>
        <v>Iowa</v>
      </c>
      <c r="E5368" s="111" t="str">
        <f t="shared" si="5366"/>
        <v>Brooklyn</v>
      </c>
    </row>
    <row r="5369" spans="1:5">
      <c r="A5369" s="3" t="s">
        <v>14727</v>
      </c>
      <c r="B5369" s="110" t="s">
        <v>1335</v>
      </c>
      <c r="C5369" s="111" t="s">
        <v>14728</v>
      </c>
      <c r="D5369" s="111" t="str">
        <f t="shared" ref="D5369:E5369" si="5367">TRIM(B5369)</f>
        <v>Iowa</v>
      </c>
      <c r="E5369" s="111" t="str">
        <f t="shared" si="5367"/>
        <v>Buffalo Center</v>
      </c>
    </row>
    <row r="5370" spans="1:5">
      <c r="A5370" s="3" t="s">
        <v>14729</v>
      </c>
      <c r="B5370" s="110" t="s">
        <v>1335</v>
      </c>
      <c r="C5370" s="111" t="s">
        <v>7667</v>
      </c>
      <c r="D5370" s="111" t="str">
        <f t="shared" ref="D5370:E5370" si="5368">TRIM(B5370)</f>
        <v>Iowa</v>
      </c>
      <c r="E5370" s="111" t="str">
        <f t="shared" si="5368"/>
        <v>Burlington</v>
      </c>
    </row>
    <row r="5371" spans="1:5">
      <c r="A5371" s="3" t="s">
        <v>14730</v>
      </c>
      <c r="B5371" s="110" t="s">
        <v>1335</v>
      </c>
      <c r="C5371" s="111" t="s">
        <v>14731</v>
      </c>
      <c r="D5371" s="111" t="str">
        <f t="shared" ref="D5371:E5371" si="5369">TRIM(B5371)</f>
        <v>Iowa</v>
      </c>
      <c r="E5371" s="111" t="str">
        <f t="shared" si="5369"/>
        <v>Bussey</v>
      </c>
    </row>
    <row r="5372" spans="1:5">
      <c r="A5372" s="3" t="s">
        <v>14732</v>
      </c>
      <c r="B5372" s="110" t="s">
        <v>1335</v>
      </c>
      <c r="C5372" s="111" t="s">
        <v>14733</v>
      </c>
      <c r="D5372" s="111" t="str">
        <f t="shared" ref="D5372:E5372" si="5370">TRIM(B5372)</f>
        <v>Iowa</v>
      </c>
      <c r="E5372" s="111" t="str">
        <f t="shared" si="5370"/>
        <v>Calmar</v>
      </c>
    </row>
    <row r="5373" spans="1:5">
      <c r="A5373" s="3" t="s">
        <v>14734</v>
      </c>
      <c r="B5373" s="110" t="s">
        <v>1335</v>
      </c>
      <c r="C5373" s="111" t="s">
        <v>14735</v>
      </c>
      <c r="D5373" s="111" t="str">
        <f t="shared" ref="D5373:E5373" si="5371">TRIM(B5373)</f>
        <v>Iowa</v>
      </c>
      <c r="E5373" s="111" t="str">
        <f t="shared" si="5371"/>
        <v>Camanche</v>
      </c>
    </row>
    <row r="5374" spans="1:5">
      <c r="A5374" s="3" t="s">
        <v>3669</v>
      </c>
      <c r="B5374" s="110" t="s">
        <v>1335</v>
      </c>
      <c r="C5374" s="111" t="s">
        <v>3670</v>
      </c>
      <c r="D5374" s="111" t="str">
        <f t="shared" ref="D5374:E5374" si="5372">TRIM(B5374)</f>
        <v>Iowa</v>
      </c>
      <c r="E5374" s="111" t="str">
        <f t="shared" si="5372"/>
        <v>Carlisle</v>
      </c>
    </row>
    <row r="5375" spans="1:5">
      <c r="A5375" s="3" t="s">
        <v>2074</v>
      </c>
      <c r="B5375" s="110" t="s">
        <v>1335</v>
      </c>
      <c r="C5375" s="111" t="s">
        <v>14736</v>
      </c>
      <c r="D5375" s="111" t="str">
        <f t="shared" ref="D5375:E5375" si="5373">TRIM(B5375)</f>
        <v>Iowa</v>
      </c>
      <c r="E5375" s="111" t="str">
        <f t="shared" si="5373"/>
        <v>Carroll</v>
      </c>
    </row>
    <row r="5376" spans="1:5">
      <c r="A5376" s="3" t="s">
        <v>14737</v>
      </c>
      <c r="B5376" s="110" t="s">
        <v>1335</v>
      </c>
      <c r="C5376" s="111" t="s">
        <v>11641</v>
      </c>
      <c r="D5376" s="111" t="str">
        <f t="shared" ref="D5376:E5376" si="5374">TRIM(B5376)</f>
        <v>Iowa</v>
      </c>
      <c r="E5376" s="111" t="str">
        <f t="shared" si="5374"/>
        <v>Cascade</v>
      </c>
    </row>
    <row r="5377" spans="1:5">
      <c r="A5377" s="3" t="s">
        <v>14738</v>
      </c>
      <c r="B5377" s="110" t="s">
        <v>1335</v>
      </c>
      <c r="C5377" s="111" t="s">
        <v>1272</v>
      </c>
      <c r="D5377" s="111" t="str">
        <f t="shared" ref="D5377:E5377" si="5375">TRIM(B5377)</f>
        <v>Iowa</v>
      </c>
      <c r="E5377" s="111" t="str">
        <f t="shared" si="5375"/>
        <v>Cedar Falls</v>
      </c>
    </row>
    <row r="5378" spans="1:5">
      <c r="A5378" s="3" t="s">
        <v>7817</v>
      </c>
      <c r="B5378" s="110" t="s">
        <v>1335</v>
      </c>
      <c r="C5378" s="111" t="s">
        <v>10762</v>
      </c>
      <c r="D5378" s="111" t="str">
        <f t="shared" ref="D5378:E5378" si="5376">TRIM(B5378)</f>
        <v>Iowa</v>
      </c>
      <c r="E5378" s="111" t="str">
        <f t="shared" si="5376"/>
        <v>Cedar Rapids</v>
      </c>
    </row>
    <row r="5379" spans="1:5">
      <c r="A5379" s="3" t="s">
        <v>7824</v>
      </c>
      <c r="B5379" s="110" t="s">
        <v>1335</v>
      </c>
      <c r="C5379" s="111" t="s">
        <v>10762</v>
      </c>
      <c r="D5379" s="111" t="str">
        <f t="shared" ref="D5379:E5379" si="5377">TRIM(B5379)</f>
        <v>Iowa</v>
      </c>
      <c r="E5379" s="111" t="str">
        <f t="shared" si="5377"/>
        <v>Cedar Rapids</v>
      </c>
    </row>
    <row r="5380" spans="1:5">
      <c r="A5380" s="3" t="s">
        <v>14739</v>
      </c>
      <c r="B5380" s="110" t="s">
        <v>1335</v>
      </c>
      <c r="C5380" s="111" t="s">
        <v>10762</v>
      </c>
      <c r="D5380" s="111" t="str">
        <f t="shared" ref="D5380:E5380" si="5378">TRIM(B5380)</f>
        <v>Iowa</v>
      </c>
      <c r="E5380" s="111" t="str">
        <f t="shared" si="5378"/>
        <v>Cedar Rapids</v>
      </c>
    </row>
    <row r="5381" spans="1:5">
      <c r="A5381" s="3" t="s">
        <v>7844</v>
      </c>
      <c r="B5381" s="110" t="s">
        <v>1335</v>
      </c>
      <c r="C5381" s="111" t="s">
        <v>10762</v>
      </c>
      <c r="D5381" s="111" t="str">
        <f t="shared" ref="D5381:E5381" si="5379">TRIM(B5381)</f>
        <v>Iowa</v>
      </c>
      <c r="E5381" s="111" t="str">
        <f t="shared" si="5379"/>
        <v>Cedar Rapids</v>
      </c>
    </row>
    <row r="5382" spans="1:5">
      <c r="A5382" s="3" t="s">
        <v>14740</v>
      </c>
      <c r="B5382" s="110" t="s">
        <v>1335</v>
      </c>
      <c r="C5382" s="111" t="s">
        <v>1611</v>
      </c>
      <c r="D5382" s="111" t="str">
        <f t="shared" ref="D5382:E5382" si="5380">TRIM(B5382)</f>
        <v>Iowa</v>
      </c>
      <c r="E5382" s="111" t="str">
        <f t="shared" si="5380"/>
        <v>Center Point</v>
      </c>
    </row>
    <row r="5383" spans="1:5">
      <c r="A5383" s="3" t="s">
        <v>14741</v>
      </c>
      <c r="B5383" s="110" t="s">
        <v>1335</v>
      </c>
      <c r="C5383" s="111" t="s">
        <v>12830</v>
      </c>
      <c r="D5383" s="111" t="str">
        <f t="shared" ref="D5383:E5383" si="5381">TRIM(B5383)</f>
        <v>Iowa</v>
      </c>
      <c r="E5383" s="111" t="str">
        <f t="shared" si="5381"/>
        <v>Centerville</v>
      </c>
    </row>
    <row r="5384" spans="1:5">
      <c r="A5384" s="3" t="s">
        <v>14742</v>
      </c>
      <c r="B5384" s="110" t="s">
        <v>1335</v>
      </c>
      <c r="C5384" s="111" t="s">
        <v>14743</v>
      </c>
      <c r="D5384" s="111" t="str">
        <f t="shared" ref="D5384:E5384" si="5382">TRIM(B5384)</f>
        <v>Iowa</v>
      </c>
      <c r="E5384" s="111" t="str">
        <f t="shared" si="5382"/>
        <v>Central City</v>
      </c>
    </row>
    <row r="5385" spans="1:5">
      <c r="A5385" s="3" t="s">
        <v>14744</v>
      </c>
      <c r="B5385" s="110" t="s">
        <v>1335</v>
      </c>
      <c r="C5385" s="111" t="s">
        <v>14745</v>
      </c>
      <c r="D5385" s="111" t="str">
        <f t="shared" ref="D5385:E5385" si="5383">TRIM(B5385)</f>
        <v>Iowa</v>
      </c>
      <c r="E5385" s="111" t="str">
        <f t="shared" si="5383"/>
        <v>Chariton</v>
      </c>
    </row>
    <row r="5386" spans="1:5">
      <c r="A5386" s="3" t="s">
        <v>14746</v>
      </c>
      <c r="B5386" s="110" t="s">
        <v>1335</v>
      </c>
      <c r="C5386" s="111" t="s">
        <v>14747</v>
      </c>
      <c r="D5386" s="111" t="str">
        <f t="shared" ref="D5386:E5386" si="5384">TRIM(B5386)</f>
        <v>Iowa</v>
      </c>
      <c r="E5386" s="111" t="str">
        <f t="shared" si="5384"/>
        <v>Charles City</v>
      </c>
    </row>
    <row r="5387" spans="1:5">
      <c r="A5387" s="3" t="s">
        <v>3140</v>
      </c>
      <c r="B5387" s="110" t="s">
        <v>1335</v>
      </c>
      <c r="C5387" s="111" t="s">
        <v>1626</v>
      </c>
      <c r="D5387" s="111" t="str">
        <f t="shared" ref="D5387:E5387" si="5385">TRIM(B5387)</f>
        <v>Iowa</v>
      </c>
      <c r="E5387" s="111" t="str">
        <f t="shared" si="5385"/>
        <v>Cherokee</v>
      </c>
    </row>
    <row r="5388" spans="1:5">
      <c r="A5388" s="3" t="s">
        <v>14748</v>
      </c>
      <c r="B5388" s="110" t="s">
        <v>1335</v>
      </c>
      <c r="C5388" s="111" t="s">
        <v>14749</v>
      </c>
      <c r="D5388" s="111" t="str">
        <f t="shared" ref="D5388:E5388" si="5386">TRIM(B5388)</f>
        <v>Iowa</v>
      </c>
      <c r="E5388" s="111" t="str">
        <f t="shared" si="5386"/>
        <v>Churdan</v>
      </c>
    </row>
    <row r="5389" spans="1:5">
      <c r="A5389" s="3" t="s">
        <v>14750</v>
      </c>
      <c r="B5389" s="110" t="s">
        <v>1335</v>
      </c>
      <c r="C5389" s="111" t="s">
        <v>14751</v>
      </c>
      <c r="D5389" s="111" t="str">
        <f t="shared" ref="D5389:E5389" si="5387">TRIM(B5389)</f>
        <v>Iowa</v>
      </c>
      <c r="E5389" s="111" t="str">
        <f t="shared" si="5387"/>
        <v>Clarence</v>
      </c>
    </row>
    <row r="5390" spans="1:5">
      <c r="A5390" s="3" t="s">
        <v>14752</v>
      </c>
      <c r="B5390" s="110" t="s">
        <v>1335</v>
      </c>
      <c r="C5390" s="111" t="s">
        <v>10750</v>
      </c>
      <c r="D5390" s="111" t="str">
        <f t="shared" ref="D5390:E5390" si="5388">TRIM(B5390)</f>
        <v>Iowa</v>
      </c>
      <c r="E5390" s="111" t="str">
        <f t="shared" si="5388"/>
        <v>Clarinda</v>
      </c>
    </row>
    <row r="5391" spans="1:5">
      <c r="A5391" s="3" t="s">
        <v>14753</v>
      </c>
      <c r="B5391" s="110" t="s">
        <v>1335</v>
      </c>
      <c r="C5391" s="111" t="s">
        <v>14754</v>
      </c>
      <c r="D5391" s="111" t="str">
        <f t="shared" ref="D5391:E5391" si="5389">TRIM(B5391)</f>
        <v>Iowa</v>
      </c>
      <c r="E5391" s="111" t="str">
        <f t="shared" si="5389"/>
        <v>Clarion</v>
      </c>
    </row>
    <row r="5392" spans="1:5">
      <c r="A5392" s="3" t="s">
        <v>3692</v>
      </c>
      <c r="B5392" s="110" t="s">
        <v>1335</v>
      </c>
      <c r="C5392" s="111" t="s">
        <v>3693</v>
      </c>
      <c r="D5392" s="111" t="str">
        <f t="shared" ref="D5392:E5392" si="5390">TRIM(B5392)</f>
        <v>Iowa</v>
      </c>
      <c r="E5392" s="111" t="str">
        <f t="shared" si="5390"/>
        <v>Clarksville</v>
      </c>
    </row>
    <row r="5393" spans="1:5">
      <c r="A5393" s="3" t="s">
        <v>5442</v>
      </c>
      <c r="B5393" s="110" t="s">
        <v>1335</v>
      </c>
      <c r="C5393" s="111" t="s">
        <v>14755</v>
      </c>
      <c r="D5393" s="111" t="str">
        <f t="shared" ref="D5393:E5393" si="5391">TRIM(B5393)</f>
        <v>Iowa</v>
      </c>
      <c r="E5393" s="111" t="str">
        <f t="shared" si="5391"/>
        <v>Clear Lake</v>
      </c>
    </row>
    <row r="5394" spans="1:5">
      <c r="A5394" s="3" t="s">
        <v>3695</v>
      </c>
      <c r="B5394" s="110" t="s">
        <v>1335</v>
      </c>
      <c r="C5394" s="111" t="s">
        <v>3697</v>
      </c>
      <c r="D5394" s="111" t="str">
        <f t="shared" ref="D5394:E5394" si="5392">TRIM(B5394)</f>
        <v>Iowa</v>
      </c>
      <c r="E5394" s="111" t="str">
        <f t="shared" si="5392"/>
        <v>Clinton</v>
      </c>
    </row>
    <row r="5395" spans="1:5">
      <c r="A5395" s="3" t="s">
        <v>14756</v>
      </c>
      <c r="B5395" s="110" t="s">
        <v>1335</v>
      </c>
      <c r="C5395" s="111" t="s">
        <v>4718</v>
      </c>
      <c r="D5395" s="111" t="str">
        <f t="shared" ref="D5395:E5395" si="5393">TRIM(B5395)</f>
        <v>Iowa</v>
      </c>
      <c r="E5395" s="111" t="str">
        <f t="shared" si="5393"/>
        <v>Colfax</v>
      </c>
    </row>
    <row r="5396" spans="1:5">
      <c r="A5396" s="3" t="s">
        <v>14757</v>
      </c>
      <c r="B5396" s="110" t="s">
        <v>1335</v>
      </c>
      <c r="C5396" s="111" t="s">
        <v>14758</v>
      </c>
      <c r="D5396" s="111" t="str">
        <f t="shared" ref="D5396:E5396" si="5394">TRIM(B5396)</f>
        <v>Iowa</v>
      </c>
      <c r="E5396" s="111" t="str">
        <f t="shared" si="5394"/>
        <v>College Springs</v>
      </c>
    </row>
    <row r="5397" spans="1:5">
      <c r="A5397" s="3" t="s">
        <v>14759</v>
      </c>
      <c r="B5397" s="110" t="s">
        <v>1335</v>
      </c>
      <c r="C5397" s="111" t="s">
        <v>14760</v>
      </c>
      <c r="D5397" s="111" t="str">
        <f t="shared" ref="D5397:E5397" si="5395">TRIM(B5397)</f>
        <v>Iowa</v>
      </c>
      <c r="E5397" s="111" t="str">
        <f t="shared" si="5395"/>
        <v>Colo</v>
      </c>
    </row>
    <row r="5398" spans="1:5">
      <c r="A5398" s="3" t="s">
        <v>14761</v>
      </c>
      <c r="B5398" s="110" t="s">
        <v>1335</v>
      </c>
      <c r="C5398" s="113" t="s">
        <v>14762</v>
      </c>
      <c r="D5398" s="111" t="str">
        <f t="shared" ref="D5398:E5398" si="5396">TRIM(B5398)</f>
        <v>Iowa</v>
      </c>
      <c r="E5398" s="111" t="str">
        <f t="shared" si="5396"/>
        <v>Columbus Junction</v>
      </c>
    </row>
    <row r="5399" spans="1:5">
      <c r="A5399" s="3" t="s">
        <v>14763</v>
      </c>
      <c r="B5399" s="110" t="s">
        <v>1335</v>
      </c>
      <c r="C5399" s="111" t="s">
        <v>14764</v>
      </c>
      <c r="D5399" s="111" t="str">
        <f t="shared" ref="D5399:E5399" si="5397">TRIM(B5399)</f>
        <v>Iowa</v>
      </c>
      <c r="E5399" s="111" t="str">
        <f t="shared" si="5397"/>
        <v>Conrad</v>
      </c>
    </row>
    <row r="5400" spans="1:5">
      <c r="A5400" s="110" t="s">
        <v>14765</v>
      </c>
      <c r="B5400" s="110" t="s">
        <v>1335</v>
      </c>
      <c r="C5400" s="111" t="s">
        <v>14766</v>
      </c>
      <c r="D5400" s="111" t="str">
        <f t="shared" ref="D5400:E5400" si="5398">TRIM(B5400)</f>
        <v>Iowa</v>
      </c>
      <c r="E5400" s="111" t="str">
        <f t="shared" si="5398"/>
        <v>Coon Rapids</v>
      </c>
    </row>
    <row r="5401" spans="1:5">
      <c r="A5401" s="3" t="s">
        <v>3706</v>
      </c>
      <c r="B5401" s="110" t="s">
        <v>1335</v>
      </c>
      <c r="C5401" s="111" t="s">
        <v>3707</v>
      </c>
      <c r="D5401" s="111" t="str">
        <f t="shared" ref="D5401:E5401" si="5399">TRIM(B5401)</f>
        <v>Iowa</v>
      </c>
      <c r="E5401" s="111" t="str">
        <f t="shared" si="5399"/>
        <v>Corning</v>
      </c>
    </row>
    <row r="5402" spans="1:5">
      <c r="A5402" s="3" t="s">
        <v>14767</v>
      </c>
      <c r="B5402" s="110" t="s">
        <v>1335</v>
      </c>
      <c r="C5402" s="111" t="s">
        <v>14768</v>
      </c>
      <c r="D5402" s="111" t="str">
        <f t="shared" ref="D5402:E5402" si="5400">TRIM(B5402)</f>
        <v>Iowa</v>
      </c>
      <c r="E5402" s="111" t="str">
        <f t="shared" si="5400"/>
        <v>Correctionville</v>
      </c>
    </row>
    <row r="5403" spans="1:5">
      <c r="A5403" s="3" t="s">
        <v>14769</v>
      </c>
      <c r="B5403" s="110" t="s">
        <v>1335</v>
      </c>
      <c r="C5403" s="111" t="s">
        <v>14236</v>
      </c>
      <c r="D5403" s="111" t="str">
        <f t="shared" ref="D5403:E5403" si="5401">TRIM(B5403)</f>
        <v>Iowa</v>
      </c>
      <c r="E5403" s="111" t="str">
        <f t="shared" si="5401"/>
        <v>Corydon</v>
      </c>
    </row>
    <row r="5404" spans="1:5">
      <c r="A5404" s="3" t="s">
        <v>6888</v>
      </c>
      <c r="B5404" s="110" t="s">
        <v>1335</v>
      </c>
      <c r="C5404" s="111" t="s">
        <v>10739</v>
      </c>
      <c r="D5404" s="111" t="str">
        <f t="shared" ref="D5404:E5404" si="5402">TRIM(B5404)</f>
        <v>Iowa</v>
      </c>
      <c r="E5404" s="111" t="str">
        <f t="shared" si="5402"/>
        <v>Council Bluffs</v>
      </c>
    </row>
    <row r="5405" spans="1:5">
      <c r="A5405" s="3" t="s">
        <v>14770</v>
      </c>
      <c r="B5405" s="110" t="s">
        <v>1335</v>
      </c>
      <c r="C5405" s="111" t="s">
        <v>10739</v>
      </c>
      <c r="D5405" s="111" t="str">
        <f t="shared" ref="D5405:E5405" si="5403">TRIM(B5405)</f>
        <v>Iowa</v>
      </c>
      <c r="E5405" s="111" t="str">
        <f t="shared" si="5403"/>
        <v>Council Bluffs</v>
      </c>
    </row>
    <row r="5406" spans="1:5">
      <c r="A5406" s="3" t="s">
        <v>7844</v>
      </c>
      <c r="B5406" s="110" t="s">
        <v>1335</v>
      </c>
      <c r="C5406" s="111" t="s">
        <v>10739</v>
      </c>
      <c r="D5406" s="111" t="str">
        <f t="shared" ref="D5406:E5406" si="5404">TRIM(B5406)</f>
        <v>Iowa</v>
      </c>
      <c r="E5406" s="111" t="str">
        <f t="shared" si="5404"/>
        <v>Council Bluffs</v>
      </c>
    </row>
    <row r="5407" spans="1:5">
      <c r="A5407" s="3" t="s">
        <v>14771</v>
      </c>
      <c r="B5407" s="110" t="s">
        <v>1335</v>
      </c>
      <c r="C5407" s="111" t="s">
        <v>14772</v>
      </c>
      <c r="D5407" s="111" t="str">
        <f t="shared" ref="D5407:E5407" si="5405">TRIM(B5407)</f>
        <v>Iowa</v>
      </c>
      <c r="E5407" s="111" t="str">
        <f t="shared" si="5405"/>
        <v>Cresco</v>
      </c>
    </row>
    <row r="5408" spans="1:5">
      <c r="A5408" s="3" t="s">
        <v>14773</v>
      </c>
      <c r="B5408" s="110" t="s">
        <v>1335</v>
      </c>
      <c r="C5408" s="111" t="s">
        <v>14774</v>
      </c>
      <c r="D5408" s="111" t="str">
        <f t="shared" ref="D5408:E5408" si="5406">TRIM(B5408)</f>
        <v>Iowa</v>
      </c>
      <c r="E5408" s="111" t="str">
        <f t="shared" si="5406"/>
        <v>Creston</v>
      </c>
    </row>
    <row r="5409" spans="1:5">
      <c r="A5409" s="3" t="s">
        <v>14775</v>
      </c>
      <c r="B5409" s="110" t="s">
        <v>1335</v>
      </c>
      <c r="C5409" s="111" t="s">
        <v>529</v>
      </c>
      <c r="D5409" s="111" t="str">
        <f t="shared" ref="D5409:E5409" si="5407">TRIM(B5409)</f>
        <v>Iowa</v>
      </c>
      <c r="E5409" s="111" t="str">
        <f t="shared" si="5407"/>
        <v>Danville</v>
      </c>
    </row>
    <row r="5410" spans="1:5">
      <c r="A5410" s="3" t="s">
        <v>1843</v>
      </c>
      <c r="B5410" s="110" t="s">
        <v>1335</v>
      </c>
      <c r="C5410" s="111" t="s">
        <v>9128</v>
      </c>
      <c r="D5410" s="111" t="str">
        <f t="shared" ref="D5410:E5410" si="5408">TRIM(B5410)</f>
        <v>Iowa</v>
      </c>
      <c r="E5410" s="111" t="str">
        <f t="shared" si="5408"/>
        <v>Davenport</v>
      </c>
    </row>
    <row r="5411" spans="1:5">
      <c r="A5411" s="3" t="s">
        <v>3069</v>
      </c>
      <c r="B5411" s="110" t="s">
        <v>1335</v>
      </c>
      <c r="C5411" s="111" t="s">
        <v>9128</v>
      </c>
      <c r="D5411" s="111" t="str">
        <f t="shared" ref="D5411:E5411" si="5409">TRIM(B5411)</f>
        <v>Iowa</v>
      </c>
      <c r="E5411" s="111" t="str">
        <f t="shared" si="5409"/>
        <v>Davenport</v>
      </c>
    </row>
    <row r="5412" spans="1:5">
      <c r="A5412" s="3" t="s">
        <v>2304</v>
      </c>
      <c r="B5412" s="110" t="s">
        <v>1335</v>
      </c>
      <c r="C5412" s="111" t="s">
        <v>9128</v>
      </c>
      <c r="D5412" s="111" t="str">
        <f t="shared" ref="D5412:E5412" si="5410">TRIM(B5412)</f>
        <v>Iowa</v>
      </c>
      <c r="E5412" s="111" t="str">
        <f t="shared" si="5410"/>
        <v>Davenport</v>
      </c>
    </row>
    <row r="5413" spans="1:5">
      <c r="A5413" s="3" t="s">
        <v>14776</v>
      </c>
      <c r="B5413" s="110" t="s">
        <v>1335</v>
      </c>
      <c r="C5413" s="111" t="s">
        <v>14777</v>
      </c>
      <c r="D5413" s="111" t="str">
        <f t="shared" ref="D5413:E5413" si="5411">TRIM(B5413)</f>
        <v>Iowa</v>
      </c>
      <c r="E5413" s="111" t="str">
        <f t="shared" si="5411"/>
        <v>De Witt</v>
      </c>
    </row>
    <row r="5414" spans="1:5">
      <c r="A5414" s="3" t="s">
        <v>14778</v>
      </c>
      <c r="B5414" s="110" t="s">
        <v>1335</v>
      </c>
      <c r="C5414" s="111" t="s">
        <v>14779</v>
      </c>
      <c r="D5414" s="111" t="str">
        <f t="shared" ref="D5414:E5414" si="5412">TRIM(B5414)</f>
        <v>Iowa</v>
      </c>
      <c r="E5414" s="111" t="str">
        <f t="shared" si="5412"/>
        <v>Decorah</v>
      </c>
    </row>
    <row r="5415" spans="1:5">
      <c r="A5415" s="3" t="s">
        <v>14780</v>
      </c>
      <c r="B5415" s="110" t="s">
        <v>1335</v>
      </c>
      <c r="C5415" s="111" t="s">
        <v>4827</v>
      </c>
      <c r="D5415" s="111" t="str">
        <f t="shared" ref="D5415:E5415" si="5413">TRIM(B5415)</f>
        <v>Iowa</v>
      </c>
      <c r="E5415" s="111" t="str">
        <f t="shared" si="5413"/>
        <v>Delhi</v>
      </c>
    </row>
    <row r="5416" spans="1:5">
      <c r="A5416" s="3" t="s">
        <v>14781</v>
      </c>
      <c r="B5416" s="110" t="s">
        <v>1335</v>
      </c>
      <c r="C5416" s="111" t="s">
        <v>14782</v>
      </c>
      <c r="D5416" s="111" t="str">
        <f t="shared" ref="D5416:E5416" si="5414">TRIM(B5416)</f>
        <v>Iowa</v>
      </c>
      <c r="E5416" s="111" t="str">
        <f t="shared" si="5414"/>
        <v>Denison</v>
      </c>
    </row>
    <row r="5417" spans="1:5">
      <c r="A5417" s="3" t="s">
        <v>14783</v>
      </c>
      <c r="B5417" s="110" t="s">
        <v>1335</v>
      </c>
      <c r="C5417" s="111" t="s">
        <v>7781</v>
      </c>
      <c r="D5417" s="111" t="str">
        <f t="shared" ref="D5417:E5417" si="5415">TRIM(B5417)</f>
        <v>Iowa</v>
      </c>
      <c r="E5417" s="111" t="str">
        <f t="shared" si="5415"/>
        <v>Denver</v>
      </c>
    </row>
    <row r="5418" spans="1:5">
      <c r="A5418" s="3" t="s">
        <v>2294</v>
      </c>
      <c r="B5418" s="110" t="s">
        <v>1335</v>
      </c>
      <c r="C5418" s="111" t="s">
        <v>14784</v>
      </c>
      <c r="D5418" s="111" t="str">
        <f t="shared" ref="D5418:E5418" si="5416">TRIM(B5418)</f>
        <v>Iowa</v>
      </c>
      <c r="E5418" s="111" t="str">
        <f t="shared" si="5416"/>
        <v>Des Moines</v>
      </c>
    </row>
    <row r="5419" spans="1:5">
      <c r="A5419" s="3" t="s">
        <v>1865</v>
      </c>
      <c r="B5419" s="110" t="s">
        <v>1335</v>
      </c>
      <c r="C5419" s="111" t="s">
        <v>14784</v>
      </c>
      <c r="D5419" s="111" t="str">
        <f t="shared" ref="D5419:E5419" si="5417">TRIM(B5419)</f>
        <v>Iowa</v>
      </c>
      <c r="E5419" s="111" t="str">
        <f t="shared" si="5417"/>
        <v>Des Moines</v>
      </c>
    </row>
    <row r="5420" spans="1:5">
      <c r="A5420" s="3" t="s">
        <v>1925</v>
      </c>
      <c r="B5420" s="110" t="s">
        <v>1335</v>
      </c>
      <c r="C5420" s="111" t="s">
        <v>14784</v>
      </c>
      <c r="D5420" s="111" t="str">
        <f t="shared" ref="D5420:E5420" si="5418">TRIM(B5420)</f>
        <v>Iowa</v>
      </c>
      <c r="E5420" s="111" t="str">
        <f t="shared" si="5418"/>
        <v>Des Moines</v>
      </c>
    </row>
    <row r="5421" spans="1:5">
      <c r="A5421" s="3" t="s">
        <v>3069</v>
      </c>
      <c r="B5421" s="110" t="s">
        <v>1335</v>
      </c>
      <c r="C5421" s="111" t="s">
        <v>14784</v>
      </c>
      <c r="D5421" s="111" t="str">
        <f t="shared" ref="D5421:E5421" si="5419">TRIM(B5421)</f>
        <v>Iowa</v>
      </c>
      <c r="E5421" s="111" t="str">
        <f t="shared" si="5419"/>
        <v>Des Moines</v>
      </c>
    </row>
    <row r="5422" spans="1:5">
      <c r="A5422" s="3" t="s">
        <v>5101</v>
      </c>
      <c r="B5422" s="110" t="s">
        <v>1335</v>
      </c>
      <c r="C5422" s="111" t="s">
        <v>14784</v>
      </c>
      <c r="D5422" s="111" t="str">
        <f t="shared" ref="D5422:E5422" si="5420">TRIM(B5422)</f>
        <v>Iowa</v>
      </c>
      <c r="E5422" s="111" t="str">
        <f t="shared" si="5420"/>
        <v>Des Moines</v>
      </c>
    </row>
    <row r="5423" spans="1:5">
      <c r="A5423" s="3" t="s">
        <v>14785</v>
      </c>
      <c r="B5423" s="110" t="s">
        <v>1335</v>
      </c>
      <c r="C5423" s="111" t="s">
        <v>14784</v>
      </c>
      <c r="D5423" s="111" t="str">
        <f t="shared" ref="D5423:E5423" si="5421">TRIM(B5423)</f>
        <v>Iowa</v>
      </c>
      <c r="E5423" s="111" t="str">
        <f t="shared" si="5421"/>
        <v>Des Moines</v>
      </c>
    </row>
    <row r="5424" spans="1:5">
      <c r="A5424" s="3" t="s">
        <v>14786</v>
      </c>
      <c r="B5424" s="110" t="s">
        <v>1335</v>
      </c>
      <c r="C5424" s="111" t="s">
        <v>14787</v>
      </c>
      <c r="D5424" s="111" t="str">
        <f t="shared" ref="D5424:E5424" si="5422">TRIM(B5424)</f>
        <v>Iowa</v>
      </c>
      <c r="E5424" s="111" t="str">
        <f t="shared" si="5422"/>
        <v>Diagonal</v>
      </c>
    </row>
    <row r="5425" spans="1:5">
      <c r="A5425" s="3" t="s">
        <v>14788</v>
      </c>
      <c r="B5425" s="110" t="s">
        <v>1335</v>
      </c>
      <c r="C5425" s="111" t="s">
        <v>14789</v>
      </c>
      <c r="D5425" s="111" t="str">
        <f t="shared" ref="D5425:E5425" si="5423">TRIM(B5425)</f>
        <v>Iowa</v>
      </c>
      <c r="E5425" s="111" t="str">
        <f t="shared" si="5423"/>
        <v>Dike</v>
      </c>
    </row>
    <row r="5426" spans="1:5">
      <c r="A5426" s="3" t="s">
        <v>14790</v>
      </c>
      <c r="B5426" s="110" t="s">
        <v>1335</v>
      </c>
      <c r="C5426" s="111" t="s">
        <v>14791</v>
      </c>
      <c r="D5426" s="111" t="str">
        <f t="shared" ref="D5426:E5426" si="5424">TRIM(B5426)</f>
        <v>Iowa</v>
      </c>
      <c r="E5426" s="111" t="str">
        <f t="shared" si="5424"/>
        <v>Donnellson</v>
      </c>
    </row>
    <row r="5427" spans="1:5">
      <c r="A5427" s="3" t="s">
        <v>14792</v>
      </c>
      <c r="B5427" s="110" t="s">
        <v>1335</v>
      </c>
      <c r="C5427" s="111" t="s">
        <v>14793</v>
      </c>
      <c r="D5427" s="111" t="str">
        <f t="shared" ref="D5427:E5427" si="5425">TRIM(B5427)</f>
        <v>Iowa</v>
      </c>
      <c r="E5427" s="111" t="str">
        <f t="shared" si="5425"/>
        <v>Dubuque</v>
      </c>
    </row>
    <row r="5428" spans="1:5">
      <c r="A5428" s="3" t="s">
        <v>14794</v>
      </c>
      <c r="B5428" s="110" t="s">
        <v>1335</v>
      </c>
      <c r="C5428" s="111" t="s">
        <v>14793</v>
      </c>
      <c r="D5428" s="111" t="str">
        <f t="shared" ref="D5428:E5428" si="5426">TRIM(B5428)</f>
        <v>Iowa</v>
      </c>
      <c r="E5428" s="111" t="str">
        <f t="shared" si="5426"/>
        <v>Dubuque</v>
      </c>
    </row>
    <row r="5429" spans="1:5">
      <c r="A5429" s="3" t="s">
        <v>14795</v>
      </c>
      <c r="B5429" s="110" t="s">
        <v>1335</v>
      </c>
      <c r="C5429" s="111" t="s">
        <v>14796</v>
      </c>
      <c r="D5429" s="111" t="str">
        <f t="shared" ref="D5429:E5429" si="5427">TRIM(B5429)</f>
        <v>Iowa</v>
      </c>
      <c r="E5429" s="111" t="str">
        <f t="shared" si="5427"/>
        <v>Dunkerton</v>
      </c>
    </row>
    <row r="5430" spans="1:5">
      <c r="A5430" s="3" t="s">
        <v>14797</v>
      </c>
      <c r="B5430" s="110" t="s">
        <v>1335</v>
      </c>
      <c r="C5430" s="111" t="s">
        <v>4865</v>
      </c>
      <c r="D5430" s="111" t="str">
        <f t="shared" ref="D5430:E5430" si="5428">TRIM(B5430)</f>
        <v>Iowa</v>
      </c>
      <c r="E5430" s="111" t="str">
        <f t="shared" si="5428"/>
        <v>Dunlap</v>
      </c>
    </row>
    <row r="5431" spans="1:5">
      <c r="A5431" s="3" t="s">
        <v>9963</v>
      </c>
      <c r="B5431" s="110" t="s">
        <v>1335</v>
      </c>
      <c r="C5431" s="111" t="s">
        <v>14798</v>
      </c>
      <c r="D5431" s="111" t="str">
        <f t="shared" ref="D5431:E5431" si="5429">TRIM(B5431)</f>
        <v>Iowa</v>
      </c>
      <c r="E5431" s="111" t="str">
        <f t="shared" si="5429"/>
        <v>Durant</v>
      </c>
    </row>
    <row r="5432" spans="1:5">
      <c r="A5432" s="3" t="s">
        <v>14799</v>
      </c>
      <c r="B5432" s="110" t="s">
        <v>1335</v>
      </c>
      <c r="C5432" s="111" t="s">
        <v>14800</v>
      </c>
      <c r="D5432" s="111" t="str">
        <f t="shared" ref="D5432:E5432" si="5430">TRIM(B5432)</f>
        <v>Iowa</v>
      </c>
      <c r="E5432" s="111" t="str">
        <f t="shared" si="5430"/>
        <v>Eagle Grove</v>
      </c>
    </row>
    <row r="5433" spans="1:5">
      <c r="A5433" s="3" t="s">
        <v>14801</v>
      </c>
      <c r="B5433" s="110" t="s">
        <v>1335</v>
      </c>
      <c r="C5433" s="111" t="s">
        <v>14802</v>
      </c>
      <c r="D5433" s="111" t="str">
        <f t="shared" ref="D5433:E5433" si="5431">TRIM(B5433)</f>
        <v>Iowa</v>
      </c>
      <c r="E5433" s="111" t="str">
        <f t="shared" si="5431"/>
        <v>Earlham</v>
      </c>
    </row>
    <row r="5434" spans="1:5">
      <c r="A5434" s="3" t="s">
        <v>14803</v>
      </c>
      <c r="B5434" s="110" t="s">
        <v>1335</v>
      </c>
      <c r="C5434" s="111" t="s">
        <v>14804</v>
      </c>
      <c r="D5434" s="111" t="str">
        <f t="shared" ref="D5434:E5434" si="5432">TRIM(B5434)</f>
        <v>Iowa</v>
      </c>
      <c r="E5434" s="111" t="str">
        <f t="shared" si="5432"/>
        <v>Eddyville</v>
      </c>
    </row>
    <row r="5435" spans="1:5">
      <c r="A5435" s="3" t="s">
        <v>14805</v>
      </c>
      <c r="B5435" s="110" t="s">
        <v>1335</v>
      </c>
      <c r="C5435" s="111" t="s">
        <v>253</v>
      </c>
      <c r="D5435" s="111" t="str">
        <f t="shared" ref="D5435:E5435" si="5433">TRIM(B5435)</f>
        <v>Iowa</v>
      </c>
      <c r="E5435" s="111" t="str">
        <f t="shared" si="5433"/>
        <v>Edgewood</v>
      </c>
    </row>
    <row r="5436" spans="1:5">
      <c r="A5436" s="3" t="s">
        <v>14806</v>
      </c>
      <c r="B5436" s="110" t="s">
        <v>1335</v>
      </c>
      <c r="C5436" s="111" t="s">
        <v>14807</v>
      </c>
      <c r="D5436" s="111" t="str">
        <f t="shared" ref="D5436:E5436" si="5434">TRIM(B5436)</f>
        <v>Iowa</v>
      </c>
      <c r="E5436" s="111" t="str">
        <f t="shared" si="5434"/>
        <v>Eldon</v>
      </c>
    </row>
    <row r="5437" spans="1:5">
      <c r="A5437" s="3" t="s">
        <v>14808</v>
      </c>
      <c r="B5437" s="110" t="s">
        <v>1335</v>
      </c>
      <c r="C5437" s="111" t="s">
        <v>14809</v>
      </c>
      <c r="D5437" s="111" t="str">
        <f t="shared" ref="D5437:E5437" si="5435">TRIM(B5437)</f>
        <v>Iowa</v>
      </c>
      <c r="E5437" s="111" t="str">
        <f t="shared" si="5435"/>
        <v>Eldora</v>
      </c>
    </row>
    <row r="5438" spans="1:5">
      <c r="A5438" s="3" t="s">
        <v>14810</v>
      </c>
      <c r="B5438" s="110" t="s">
        <v>1335</v>
      </c>
      <c r="C5438" s="111" t="s">
        <v>14811</v>
      </c>
      <c r="D5438" s="111" t="str">
        <f t="shared" ref="D5438:E5438" si="5436">TRIM(B5438)</f>
        <v>Iowa</v>
      </c>
      <c r="E5438" s="111" t="str">
        <f t="shared" si="5436"/>
        <v>Eldridge</v>
      </c>
    </row>
    <row r="5439" spans="1:5">
      <c r="A5439" s="3" t="s">
        <v>14812</v>
      </c>
      <c r="B5439" s="110" t="s">
        <v>1335</v>
      </c>
      <c r="C5439" s="111" t="s">
        <v>14813</v>
      </c>
      <c r="D5439" s="111" t="str">
        <f t="shared" ref="D5439:E5439" si="5437">TRIM(B5439)</f>
        <v>Iowa</v>
      </c>
      <c r="E5439" s="111" t="str">
        <f t="shared" si="5437"/>
        <v>Elk Horn</v>
      </c>
    </row>
    <row r="5440" spans="1:5">
      <c r="A5440" s="3" t="s">
        <v>14814</v>
      </c>
      <c r="B5440" s="110" t="s">
        <v>1335</v>
      </c>
      <c r="C5440" s="111" t="s">
        <v>14815</v>
      </c>
      <c r="D5440" s="111" t="str">
        <f t="shared" ref="D5440:E5440" si="5438">TRIM(B5440)</f>
        <v>Iowa</v>
      </c>
      <c r="E5440" s="111" t="str">
        <f t="shared" si="5438"/>
        <v>Elkader</v>
      </c>
    </row>
    <row r="5441" spans="1:5">
      <c r="A5441" s="3" t="s">
        <v>14816</v>
      </c>
      <c r="B5441" s="110" t="s">
        <v>1335</v>
      </c>
      <c r="C5441" s="111" t="s">
        <v>14817</v>
      </c>
      <c r="D5441" s="111" t="str">
        <f t="shared" ref="D5441:E5441" si="5439">TRIM(B5441)</f>
        <v>Iowa</v>
      </c>
      <c r="E5441" s="111" t="str">
        <f t="shared" si="5439"/>
        <v>Emmetsburg</v>
      </c>
    </row>
    <row r="5442" spans="1:5">
      <c r="A5442" s="3" t="s">
        <v>14818</v>
      </c>
      <c r="B5442" s="110" t="s">
        <v>1335</v>
      </c>
      <c r="C5442" s="111" t="s">
        <v>14819</v>
      </c>
      <c r="D5442" s="111" t="str">
        <f t="shared" ref="D5442:E5442" si="5440">TRIM(B5442)</f>
        <v>Iowa</v>
      </c>
      <c r="E5442" s="111" t="str">
        <f t="shared" si="5440"/>
        <v>Epworth</v>
      </c>
    </row>
    <row r="5443" spans="1:5">
      <c r="A5443" s="3" t="s">
        <v>14820</v>
      </c>
      <c r="B5443" s="110" t="s">
        <v>1335</v>
      </c>
      <c r="C5443" s="111" t="s">
        <v>11151</v>
      </c>
      <c r="D5443" s="111" t="str">
        <f t="shared" ref="D5443:E5443" si="5441">TRIM(B5443)</f>
        <v>Iowa</v>
      </c>
      <c r="E5443" s="111" t="str">
        <f t="shared" si="5441"/>
        <v>Essex</v>
      </c>
    </row>
    <row r="5444" spans="1:5">
      <c r="A5444" s="3" t="s">
        <v>14821</v>
      </c>
      <c r="B5444" s="110" t="s">
        <v>1335</v>
      </c>
      <c r="C5444" s="111" t="s">
        <v>14822</v>
      </c>
      <c r="D5444" s="111" t="str">
        <f t="shared" ref="D5444:E5444" si="5442">TRIM(B5444)</f>
        <v>Iowa</v>
      </c>
      <c r="E5444" s="111" t="str">
        <f t="shared" si="5442"/>
        <v>Estherville</v>
      </c>
    </row>
    <row r="5445" spans="1:5">
      <c r="A5445" s="3" t="s">
        <v>14823</v>
      </c>
      <c r="B5445" s="110" t="s">
        <v>1335</v>
      </c>
      <c r="C5445" s="111" t="s">
        <v>14824</v>
      </c>
      <c r="D5445" s="111" t="str">
        <f t="shared" ref="D5445:E5445" si="5443">TRIM(B5445)</f>
        <v>Iowa</v>
      </c>
      <c r="E5445" s="111" t="str">
        <f t="shared" si="5443"/>
        <v>Everly</v>
      </c>
    </row>
    <row r="5446" spans="1:5">
      <c r="A5446" s="3" t="s">
        <v>14825</v>
      </c>
      <c r="B5446" s="110" t="s">
        <v>1335</v>
      </c>
      <c r="C5446" s="111" t="s">
        <v>14826</v>
      </c>
      <c r="D5446" s="111" t="str">
        <f t="shared" ref="D5446:E5446" si="5444">TRIM(B5446)</f>
        <v>Iowa</v>
      </c>
      <c r="E5446" s="111" t="str">
        <f t="shared" si="5444"/>
        <v>Fairbank</v>
      </c>
    </row>
    <row r="5447" spans="1:5">
      <c r="A5447" s="3" t="s">
        <v>5002</v>
      </c>
      <c r="B5447" s="110" t="s">
        <v>1335</v>
      </c>
      <c r="C5447" s="111" t="s">
        <v>303</v>
      </c>
      <c r="D5447" s="111" t="str">
        <f t="shared" ref="D5447:E5447" si="5445">TRIM(B5447)</f>
        <v>Iowa</v>
      </c>
      <c r="E5447" s="111" t="str">
        <f t="shared" si="5445"/>
        <v>Fairfield</v>
      </c>
    </row>
    <row r="5448" spans="1:5">
      <c r="A5448" s="3" t="s">
        <v>14827</v>
      </c>
      <c r="B5448" s="110" t="s">
        <v>1335</v>
      </c>
      <c r="C5448" s="111" t="s">
        <v>14828</v>
      </c>
      <c r="D5448" s="111" t="str">
        <f t="shared" ref="D5448:E5448" si="5446">TRIM(B5448)</f>
        <v>Iowa</v>
      </c>
      <c r="E5448" s="111" t="str">
        <f t="shared" si="5446"/>
        <v>Forest City</v>
      </c>
    </row>
    <row r="5449" spans="1:5">
      <c r="A5449" s="3" t="s">
        <v>14829</v>
      </c>
      <c r="B5449" s="110" t="s">
        <v>1335</v>
      </c>
      <c r="C5449" s="111" t="s">
        <v>14830</v>
      </c>
      <c r="D5449" s="111" t="str">
        <f t="shared" ref="D5449:E5449" si="5447">TRIM(B5449)</f>
        <v>Iowa</v>
      </c>
      <c r="E5449" s="111" t="str">
        <f t="shared" si="5447"/>
        <v>Fort Dodge</v>
      </c>
    </row>
    <row r="5450" spans="1:5">
      <c r="A5450" s="3" t="s">
        <v>14831</v>
      </c>
      <c r="B5450" s="110" t="s">
        <v>1335</v>
      </c>
      <c r="C5450" s="111" t="s">
        <v>14832</v>
      </c>
      <c r="D5450" s="111" t="str">
        <f t="shared" ref="D5450:E5450" si="5448">TRIM(B5450)</f>
        <v>Iowa</v>
      </c>
      <c r="E5450" s="111" t="str">
        <f t="shared" si="5448"/>
        <v>Fort Madison</v>
      </c>
    </row>
    <row r="5451" spans="1:5">
      <c r="A5451" s="3" t="s">
        <v>14833</v>
      </c>
      <c r="B5451" s="110" t="s">
        <v>1335</v>
      </c>
      <c r="C5451" s="111" t="s">
        <v>5125</v>
      </c>
      <c r="D5451" s="111" t="str">
        <f t="shared" ref="D5451:E5451" si="5449">TRIM(B5451)</f>
        <v>Iowa</v>
      </c>
      <c r="E5451" s="111" t="str">
        <f t="shared" si="5449"/>
        <v>Garden Grove</v>
      </c>
    </row>
    <row r="5452" spans="1:5">
      <c r="A5452" s="3" t="s">
        <v>14834</v>
      </c>
      <c r="B5452" s="110" t="s">
        <v>1335</v>
      </c>
      <c r="C5452" s="111" t="s">
        <v>12682</v>
      </c>
      <c r="D5452" s="111" t="str">
        <f t="shared" ref="D5452:E5452" si="5450">TRIM(B5452)</f>
        <v>Iowa</v>
      </c>
      <c r="E5452" s="111" t="str">
        <f t="shared" si="5450"/>
        <v>Garner</v>
      </c>
    </row>
    <row r="5453" spans="1:5">
      <c r="A5453" s="110" t="s">
        <v>14835</v>
      </c>
      <c r="B5453" s="110" t="s">
        <v>1335</v>
      </c>
      <c r="C5453" s="111" t="s">
        <v>14836</v>
      </c>
      <c r="D5453" s="111" t="str">
        <f t="shared" ref="D5453:E5453" si="5451">TRIM(B5453)</f>
        <v>Iowa</v>
      </c>
      <c r="E5453" s="111" t="str">
        <f t="shared" si="5451"/>
        <v>Garwin</v>
      </c>
    </row>
    <row r="5454" spans="1:5">
      <c r="A5454" s="3" t="s">
        <v>14837</v>
      </c>
      <c r="B5454" s="110" t="s">
        <v>1335</v>
      </c>
      <c r="C5454" s="111" t="s">
        <v>14838</v>
      </c>
      <c r="D5454" s="111" t="str">
        <f t="shared" ref="D5454:E5454" si="5452">TRIM(B5454)</f>
        <v>Iowa</v>
      </c>
      <c r="E5454" s="111" t="str">
        <f t="shared" si="5452"/>
        <v>George</v>
      </c>
    </row>
    <row r="5455" spans="1:5">
      <c r="A5455" s="3" t="s">
        <v>2661</v>
      </c>
      <c r="B5455" s="110" t="s">
        <v>1335</v>
      </c>
      <c r="C5455" s="111" t="s">
        <v>2649</v>
      </c>
      <c r="D5455" s="111" t="str">
        <f t="shared" ref="D5455:E5455" si="5453">TRIM(B5455)</f>
        <v>Iowa</v>
      </c>
      <c r="E5455" s="111" t="str">
        <f t="shared" si="5453"/>
        <v>Gilbert</v>
      </c>
    </row>
    <row r="5456" spans="1:5">
      <c r="A5456" s="3" t="s">
        <v>14839</v>
      </c>
      <c r="B5456" s="110" t="s">
        <v>1335</v>
      </c>
      <c r="C5456" s="111" t="s">
        <v>14840</v>
      </c>
      <c r="D5456" s="111" t="str">
        <f t="shared" ref="D5456:E5456" si="5454">TRIM(B5456)</f>
        <v>Iowa</v>
      </c>
      <c r="E5456" s="111" t="str">
        <f t="shared" si="5454"/>
        <v>Glenwood</v>
      </c>
    </row>
    <row r="5457" spans="1:5">
      <c r="A5457" s="3" t="s">
        <v>14841</v>
      </c>
      <c r="B5457" s="110" t="s">
        <v>1335</v>
      </c>
      <c r="C5457" s="111" t="s">
        <v>14842</v>
      </c>
      <c r="D5457" s="111" t="str">
        <f t="shared" ref="D5457:E5457" si="5455">TRIM(B5457)</f>
        <v>Iowa</v>
      </c>
      <c r="E5457" s="111" t="str">
        <f t="shared" si="5455"/>
        <v>Glidden</v>
      </c>
    </row>
    <row r="5458" spans="1:5">
      <c r="A5458" s="3" t="s">
        <v>14843</v>
      </c>
      <c r="B5458" s="110" t="s">
        <v>1335</v>
      </c>
      <c r="C5458" s="111" t="s">
        <v>14844</v>
      </c>
      <c r="D5458" s="111" t="str">
        <f t="shared" ref="D5458:E5458" si="5456">TRIM(B5458)</f>
        <v>Iowa</v>
      </c>
      <c r="E5458" s="111" t="str">
        <f t="shared" si="5456"/>
        <v>Goose Lake</v>
      </c>
    </row>
    <row r="5459" spans="1:5">
      <c r="A5459" s="3" t="s">
        <v>14845</v>
      </c>
      <c r="B5459" s="110" t="s">
        <v>1335</v>
      </c>
      <c r="C5459" s="111" t="s">
        <v>14846</v>
      </c>
      <c r="D5459" s="111" t="str">
        <f t="shared" ref="D5459:E5459" si="5457">TRIM(B5459)</f>
        <v>Iowa</v>
      </c>
      <c r="E5459" s="111" t="str">
        <f t="shared" si="5457"/>
        <v>Gowrie</v>
      </c>
    </row>
    <row r="5460" spans="1:5">
      <c r="A5460" s="3" t="s">
        <v>14847</v>
      </c>
      <c r="B5460" s="110" t="s">
        <v>1335</v>
      </c>
      <c r="C5460" s="111" t="s">
        <v>14848</v>
      </c>
      <c r="D5460" s="111" t="str">
        <f t="shared" ref="D5460:E5460" si="5458">TRIM(B5460)</f>
        <v>Iowa</v>
      </c>
      <c r="E5460" s="111" t="str">
        <f t="shared" si="5458"/>
        <v>Graettinger</v>
      </c>
    </row>
    <row r="5461" spans="1:5">
      <c r="A5461" s="3" t="s">
        <v>14849</v>
      </c>
      <c r="B5461" s="110" t="s">
        <v>1335</v>
      </c>
      <c r="C5461" s="111" t="s">
        <v>14850</v>
      </c>
      <c r="D5461" s="111" t="str">
        <f t="shared" ref="D5461:E5461" si="5459">TRIM(B5461)</f>
        <v>Iowa</v>
      </c>
      <c r="E5461" s="111" t="str">
        <f t="shared" si="5459"/>
        <v>Greene</v>
      </c>
    </row>
    <row r="5462" spans="1:5">
      <c r="A5462" s="3" t="s">
        <v>14851</v>
      </c>
      <c r="B5462" s="110" t="s">
        <v>1335</v>
      </c>
      <c r="C5462" s="111" t="s">
        <v>5188</v>
      </c>
      <c r="D5462" s="111" t="str">
        <f t="shared" ref="D5462:E5462" si="5460">TRIM(B5462)</f>
        <v>Iowa</v>
      </c>
      <c r="E5462" s="111" t="str">
        <f t="shared" si="5460"/>
        <v>Greenfield</v>
      </c>
    </row>
    <row r="5463" spans="1:5">
      <c r="A5463" s="3" t="s">
        <v>14852</v>
      </c>
      <c r="B5463" s="110" t="s">
        <v>1335</v>
      </c>
      <c r="C5463" s="111" t="s">
        <v>14853</v>
      </c>
      <c r="D5463" s="111" t="str">
        <f t="shared" ref="D5463:E5463" si="5461">TRIM(B5463)</f>
        <v>Iowa</v>
      </c>
      <c r="E5463" s="111" t="str">
        <f t="shared" si="5461"/>
        <v>Grimes</v>
      </c>
    </row>
    <row r="5464" spans="1:5">
      <c r="A5464" s="3" t="s">
        <v>14854</v>
      </c>
      <c r="B5464" s="110" t="s">
        <v>1335</v>
      </c>
      <c r="C5464" s="111" t="s">
        <v>14855</v>
      </c>
      <c r="D5464" s="111" t="str">
        <f t="shared" ref="D5464:E5464" si="5462">TRIM(B5464)</f>
        <v>Iowa</v>
      </c>
      <c r="E5464" s="111" t="str">
        <f t="shared" si="5462"/>
        <v>Grinnell</v>
      </c>
    </row>
    <row r="5465" spans="1:5">
      <c r="A5465" s="3" t="s">
        <v>14856</v>
      </c>
      <c r="B5465" s="110" t="s">
        <v>1335</v>
      </c>
      <c r="C5465" s="111" t="s">
        <v>8479</v>
      </c>
      <c r="D5465" s="111" t="str">
        <f t="shared" ref="D5465:E5465" si="5463">TRIM(B5465)</f>
        <v>Iowa</v>
      </c>
      <c r="E5465" s="111" t="str">
        <f t="shared" si="5463"/>
        <v>Griswold</v>
      </c>
    </row>
    <row r="5466" spans="1:5">
      <c r="A5466" s="3" t="s">
        <v>14857</v>
      </c>
      <c r="B5466" s="110" t="s">
        <v>1335</v>
      </c>
      <c r="C5466" s="111" t="s">
        <v>14858</v>
      </c>
      <c r="D5466" s="111" t="str">
        <f t="shared" ref="D5466:E5466" si="5464">TRIM(B5466)</f>
        <v>Iowa</v>
      </c>
      <c r="E5466" s="111" t="str">
        <f t="shared" si="5464"/>
        <v>Grundy Center</v>
      </c>
    </row>
    <row r="5467" spans="1:5">
      <c r="A5467" s="3" t="s">
        <v>14859</v>
      </c>
      <c r="B5467" s="110" t="s">
        <v>1335</v>
      </c>
      <c r="C5467" s="111" t="s">
        <v>14860</v>
      </c>
      <c r="D5467" s="111" t="str">
        <f t="shared" ref="D5467:E5467" si="5465">TRIM(B5467)</f>
        <v>Iowa</v>
      </c>
      <c r="E5467" s="111" t="str">
        <f t="shared" si="5465"/>
        <v>Guthrie Center</v>
      </c>
    </row>
    <row r="5468" spans="1:5">
      <c r="A5468" s="3" t="s">
        <v>14861</v>
      </c>
      <c r="B5468" s="110" t="s">
        <v>1335</v>
      </c>
      <c r="C5468" s="111" t="s">
        <v>14862</v>
      </c>
      <c r="D5468" s="111" t="str">
        <f t="shared" ref="D5468:E5468" si="5466">TRIM(B5468)</f>
        <v>Iowa</v>
      </c>
      <c r="E5468" s="111" t="str">
        <f t="shared" si="5466"/>
        <v>Guttenberg</v>
      </c>
    </row>
    <row r="5469" spans="1:5">
      <c r="A5469" s="3" t="s">
        <v>14863</v>
      </c>
      <c r="B5469" s="110" t="s">
        <v>1335</v>
      </c>
      <c r="C5469" s="111" t="s">
        <v>3841</v>
      </c>
      <c r="D5469" s="111" t="str">
        <f t="shared" ref="D5469:E5469" si="5467">TRIM(B5469)</f>
        <v>Iowa</v>
      </c>
      <c r="E5469" s="111" t="str">
        <f t="shared" si="5467"/>
        <v>Hampton</v>
      </c>
    </row>
    <row r="5470" spans="1:5">
      <c r="A5470" s="3" t="s">
        <v>14864</v>
      </c>
      <c r="B5470" s="110" t="s">
        <v>1335</v>
      </c>
      <c r="C5470" s="111" t="s">
        <v>14865</v>
      </c>
      <c r="D5470" s="111" t="str">
        <f t="shared" ref="D5470:E5470" si="5468">TRIM(B5470)</f>
        <v>Iowa</v>
      </c>
      <c r="E5470" s="111" t="str">
        <f t="shared" si="5468"/>
        <v>Harlan</v>
      </c>
    </row>
    <row r="5471" spans="1:5">
      <c r="A5471" s="3" t="s">
        <v>14866</v>
      </c>
      <c r="B5471" s="110" t="s">
        <v>1335</v>
      </c>
      <c r="C5471" s="111" t="s">
        <v>14867</v>
      </c>
      <c r="D5471" s="111" t="str">
        <f t="shared" ref="D5471:E5471" si="5469">TRIM(B5471)</f>
        <v>Iowa</v>
      </c>
      <c r="E5471" s="111" t="str">
        <f t="shared" si="5469"/>
        <v>Hartley</v>
      </c>
    </row>
    <row r="5472" spans="1:5">
      <c r="A5472" s="3" t="s">
        <v>14868</v>
      </c>
      <c r="B5472" s="110" t="s">
        <v>1335</v>
      </c>
      <c r="C5472" s="111" t="s">
        <v>5100</v>
      </c>
      <c r="D5472" s="111" t="str">
        <f t="shared" ref="D5472:E5472" si="5470">TRIM(B5472)</f>
        <v>Iowa</v>
      </c>
      <c r="E5472" s="111" t="str">
        <f t="shared" si="5470"/>
        <v>Hastings</v>
      </c>
    </row>
    <row r="5473" spans="1:5">
      <c r="A5473" s="3" t="s">
        <v>14869</v>
      </c>
      <c r="B5473" s="110" t="s">
        <v>1335</v>
      </c>
      <c r="C5473" s="111" t="s">
        <v>14870</v>
      </c>
      <c r="D5473" s="111" t="str">
        <f t="shared" ref="D5473:E5473" si="5471">TRIM(B5473)</f>
        <v>Iowa</v>
      </c>
      <c r="E5473" s="111" t="str">
        <f t="shared" si="5471"/>
        <v>Hawarden</v>
      </c>
    </row>
    <row r="5474" spans="1:5">
      <c r="A5474" s="3" t="s">
        <v>14871</v>
      </c>
      <c r="B5474" s="110" t="s">
        <v>1335</v>
      </c>
      <c r="C5474" s="111" t="s">
        <v>14872</v>
      </c>
      <c r="D5474" s="111" t="str">
        <f t="shared" ref="D5474:E5474" si="5472">TRIM(B5474)</f>
        <v>Iowa</v>
      </c>
      <c r="E5474" s="111" t="str">
        <f t="shared" si="5472"/>
        <v>Hinton</v>
      </c>
    </row>
    <row r="5475" spans="1:5">
      <c r="A5475" s="3" t="s">
        <v>14873</v>
      </c>
      <c r="B5475" s="110" t="s">
        <v>1335</v>
      </c>
      <c r="C5475" s="111" t="s">
        <v>14874</v>
      </c>
      <c r="D5475" s="111" t="str">
        <f t="shared" ref="D5475:E5475" si="5473">TRIM(B5475)</f>
        <v>Iowa</v>
      </c>
      <c r="E5475" s="111" t="str">
        <f t="shared" si="5473"/>
        <v>Holstein</v>
      </c>
    </row>
    <row r="5476" spans="1:5">
      <c r="A5476" s="3" t="s">
        <v>9374</v>
      </c>
      <c r="B5476" s="110" t="s">
        <v>1335</v>
      </c>
      <c r="C5476" s="111" t="s">
        <v>886</v>
      </c>
      <c r="D5476" s="111" t="str">
        <f t="shared" ref="D5476:E5476" si="5474">TRIM(B5476)</f>
        <v>Iowa</v>
      </c>
      <c r="E5476" s="111" t="str">
        <f t="shared" si="5474"/>
        <v>Hudson</v>
      </c>
    </row>
    <row r="5477" spans="1:5">
      <c r="A5477" s="3" t="s">
        <v>14875</v>
      </c>
      <c r="B5477" s="110" t="s">
        <v>1335</v>
      </c>
      <c r="C5477" s="111" t="s">
        <v>14876</v>
      </c>
      <c r="D5477" s="111" t="str">
        <f t="shared" ref="D5477:E5477" si="5475">TRIM(B5477)</f>
        <v>Iowa</v>
      </c>
      <c r="E5477" s="111" t="str">
        <f t="shared" si="5475"/>
        <v>Hull</v>
      </c>
    </row>
    <row r="5478" spans="1:5">
      <c r="A5478" s="3" t="s">
        <v>14877</v>
      </c>
      <c r="B5478" s="110" t="s">
        <v>1335</v>
      </c>
      <c r="C5478" s="111" t="s">
        <v>14878</v>
      </c>
      <c r="D5478" s="111" t="str">
        <f t="shared" ref="D5478:E5478" si="5476">TRIM(B5478)</f>
        <v>Iowa</v>
      </c>
      <c r="E5478" s="111" t="str">
        <f t="shared" si="5476"/>
        <v>Humboldt</v>
      </c>
    </row>
    <row r="5479" spans="1:5">
      <c r="A5479" s="3" t="s">
        <v>14879</v>
      </c>
      <c r="B5479" s="110" t="s">
        <v>1335</v>
      </c>
      <c r="C5479" s="111" t="s">
        <v>14880</v>
      </c>
      <c r="D5479" s="111" t="str">
        <f t="shared" ref="D5479:E5479" si="5477">TRIM(B5479)</f>
        <v>Iowa</v>
      </c>
      <c r="E5479" s="111" t="str">
        <f t="shared" si="5477"/>
        <v>Huxley</v>
      </c>
    </row>
    <row r="5480" spans="1:5">
      <c r="A5480" s="3" t="s">
        <v>14881</v>
      </c>
      <c r="B5480" s="110" t="s">
        <v>1335</v>
      </c>
      <c r="C5480" s="111" t="s">
        <v>14882</v>
      </c>
      <c r="D5480" s="111" t="str">
        <f t="shared" ref="D5480:E5480" si="5478">TRIM(B5480)</f>
        <v>Iowa</v>
      </c>
      <c r="E5480" s="111" t="str">
        <f t="shared" si="5478"/>
        <v>Ida Grove</v>
      </c>
    </row>
    <row r="5481" spans="1:5">
      <c r="A5481" s="3" t="s">
        <v>14883</v>
      </c>
      <c r="B5481" s="110" t="s">
        <v>1335</v>
      </c>
      <c r="C5481" s="111" t="s">
        <v>5323</v>
      </c>
      <c r="D5481" s="111" t="str">
        <f t="shared" ref="D5481:E5481" si="5479">TRIM(B5481)</f>
        <v>Iowa</v>
      </c>
      <c r="E5481" s="111" t="str">
        <f t="shared" si="5479"/>
        <v>Independence</v>
      </c>
    </row>
    <row r="5482" spans="1:5">
      <c r="A5482" s="3" t="s">
        <v>14884</v>
      </c>
      <c r="B5482" s="110" t="s">
        <v>1335</v>
      </c>
      <c r="C5482" s="111" t="s">
        <v>14885</v>
      </c>
      <c r="D5482" s="111" t="str">
        <f t="shared" ref="D5482:E5482" si="5480">TRIM(B5482)</f>
        <v>Iowa</v>
      </c>
      <c r="E5482" s="111" t="str">
        <f t="shared" si="5480"/>
        <v>Indianola</v>
      </c>
    </row>
    <row r="5483" spans="1:5">
      <c r="A5483" s="3" t="s">
        <v>14886</v>
      </c>
      <c r="B5483" s="110" t="s">
        <v>1335</v>
      </c>
      <c r="C5483" s="111" t="s">
        <v>14887</v>
      </c>
      <c r="D5483" s="111" t="str">
        <f t="shared" ref="D5483:E5483" si="5481">TRIM(B5483)</f>
        <v>Iowa</v>
      </c>
      <c r="E5483" s="111" t="str">
        <f t="shared" si="5481"/>
        <v>Inwood</v>
      </c>
    </row>
    <row r="5484" spans="1:5">
      <c r="A5484" s="3" t="s">
        <v>14888</v>
      </c>
      <c r="B5484" s="110" t="s">
        <v>1335</v>
      </c>
      <c r="C5484" s="111" t="s">
        <v>14889</v>
      </c>
      <c r="D5484" s="111" t="str">
        <f t="shared" ref="D5484:E5484" si="5482">TRIM(B5484)</f>
        <v>Iowa</v>
      </c>
      <c r="E5484" s="111" t="str">
        <f t="shared" si="5482"/>
        <v>Iowa City</v>
      </c>
    </row>
    <row r="5485" spans="1:5">
      <c r="A5485" s="3" t="s">
        <v>14890</v>
      </c>
      <c r="B5485" s="110" t="s">
        <v>1335</v>
      </c>
      <c r="C5485" s="111" t="s">
        <v>14889</v>
      </c>
      <c r="D5485" s="111" t="str">
        <f t="shared" ref="D5485:E5485" si="5483">TRIM(B5485)</f>
        <v>Iowa</v>
      </c>
      <c r="E5485" s="111" t="str">
        <f t="shared" si="5483"/>
        <v>Iowa City</v>
      </c>
    </row>
    <row r="5486" spans="1:5">
      <c r="A5486" s="3" t="s">
        <v>14891</v>
      </c>
      <c r="B5486" s="110" t="s">
        <v>1335</v>
      </c>
      <c r="C5486" s="111" t="s">
        <v>14892</v>
      </c>
      <c r="D5486" s="111" t="str">
        <f t="shared" ref="D5486:E5486" si="5484">TRIM(B5486)</f>
        <v>Iowa</v>
      </c>
      <c r="E5486" s="111" t="str">
        <f t="shared" si="5484"/>
        <v>Iowa Falls</v>
      </c>
    </row>
    <row r="5487" spans="1:5">
      <c r="A5487" s="3" t="s">
        <v>14893</v>
      </c>
      <c r="B5487" s="110" t="s">
        <v>1335</v>
      </c>
      <c r="C5487" s="113" t="s">
        <v>14894</v>
      </c>
      <c r="D5487" s="111" t="str">
        <f t="shared" ref="D5487:E5487" si="5485">TRIM(B5487)</f>
        <v>Iowa</v>
      </c>
      <c r="E5487" s="111" t="str">
        <f t="shared" si="5485"/>
        <v>Jackson Junction</v>
      </c>
    </row>
    <row r="5488" spans="1:5">
      <c r="A5488" s="3" t="s">
        <v>14895</v>
      </c>
      <c r="B5488" s="110" t="s">
        <v>1335</v>
      </c>
      <c r="C5488" s="111" t="s">
        <v>14896</v>
      </c>
      <c r="D5488" s="111" t="str">
        <f t="shared" ref="D5488:E5488" si="5486">TRIM(B5488)</f>
        <v>Iowa</v>
      </c>
      <c r="E5488" s="111" t="str">
        <f t="shared" si="5486"/>
        <v>Janesville</v>
      </c>
    </row>
    <row r="5489" spans="1:5">
      <c r="A5489" s="3" t="s">
        <v>1733</v>
      </c>
      <c r="B5489" s="110" t="s">
        <v>1335</v>
      </c>
      <c r="C5489" s="111" t="s">
        <v>7891</v>
      </c>
      <c r="D5489" s="111" t="str">
        <f t="shared" ref="D5489:E5489" si="5487">TRIM(B5489)</f>
        <v>Iowa</v>
      </c>
      <c r="E5489" s="111" t="str">
        <f t="shared" si="5487"/>
        <v>Jefferson</v>
      </c>
    </row>
    <row r="5490" spans="1:5">
      <c r="A5490" s="3" t="s">
        <v>14897</v>
      </c>
      <c r="B5490" s="110" t="s">
        <v>1335</v>
      </c>
      <c r="C5490" s="111" t="s">
        <v>10903</v>
      </c>
      <c r="D5490" s="111" t="str">
        <f t="shared" ref="D5490:E5490" si="5488">TRIM(B5490)</f>
        <v>Iowa</v>
      </c>
      <c r="E5490" s="111" t="str">
        <f t="shared" si="5488"/>
        <v>Jesup</v>
      </c>
    </row>
    <row r="5491" spans="1:5">
      <c r="A5491" s="3" t="s">
        <v>14898</v>
      </c>
      <c r="B5491" s="110" t="s">
        <v>1335</v>
      </c>
      <c r="C5491" s="111" t="s">
        <v>14899</v>
      </c>
      <c r="D5491" s="111" t="str">
        <f t="shared" ref="D5491:E5491" si="5489">TRIM(B5491)</f>
        <v>Iowa</v>
      </c>
      <c r="E5491" s="111" t="str">
        <f t="shared" si="5489"/>
        <v>Jewell</v>
      </c>
    </row>
    <row r="5492" spans="1:5">
      <c r="A5492" s="3" t="s">
        <v>14900</v>
      </c>
      <c r="B5492" s="110" t="s">
        <v>1335</v>
      </c>
      <c r="C5492" s="111" t="s">
        <v>491</v>
      </c>
      <c r="D5492" s="111" t="str">
        <f t="shared" ref="D5492:E5492" si="5490">TRIM(B5492)</f>
        <v>Iowa</v>
      </c>
      <c r="E5492" s="111" t="str">
        <f t="shared" si="5490"/>
        <v>Johnston</v>
      </c>
    </row>
    <row r="5493" spans="1:5">
      <c r="A5493" s="3" t="s">
        <v>14901</v>
      </c>
      <c r="B5493" s="110" t="s">
        <v>1335</v>
      </c>
      <c r="C5493" s="111" t="s">
        <v>14902</v>
      </c>
      <c r="D5493" s="111" t="str">
        <f t="shared" ref="D5493:E5493" si="5491">TRIM(B5493)</f>
        <v>Iowa</v>
      </c>
      <c r="E5493" s="111" t="str">
        <f t="shared" si="5491"/>
        <v>Keokuk</v>
      </c>
    </row>
    <row r="5494" spans="1:5">
      <c r="A5494" s="3" t="s">
        <v>4249</v>
      </c>
      <c r="B5494" s="110" t="s">
        <v>1335</v>
      </c>
      <c r="C5494" s="111" t="s">
        <v>14903</v>
      </c>
      <c r="D5494" s="111" t="str">
        <f t="shared" ref="D5494:E5494" si="5492">TRIM(B5494)</f>
        <v>Iowa</v>
      </c>
      <c r="E5494" s="111" t="str">
        <f t="shared" si="5492"/>
        <v>Keosauqua</v>
      </c>
    </row>
    <row r="5495" spans="1:5">
      <c r="A5495" s="3" t="s">
        <v>14904</v>
      </c>
      <c r="B5495" s="110" t="s">
        <v>1335</v>
      </c>
      <c r="C5495" s="111" t="s">
        <v>14905</v>
      </c>
      <c r="D5495" s="111" t="str">
        <f t="shared" ref="D5495:E5495" si="5493">TRIM(B5495)</f>
        <v>Iowa</v>
      </c>
      <c r="E5495" s="111" t="str">
        <f t="shared" si="5493"/>
        <v>Keota</v>
      </c>
    </row>
    <row r="5496" spans="1:5">
      <c r="A5496" s="3" t="s">
        <v>14906</v>
      </c>
      <c r="B5496" s="110" t="s">
        <v>1335</v>
      </c>
      <c r="C5496" s="111" t="s">
        <v>14907</v>
      </c>
      <c r="D5496" s="111" t="str">
        <f t="shared" ref="D5496:E5496" si="5494">TRIM(B5496)</f>
        <v>Iowa</v>
      </c>
      <c r="E5496" s="111" t="str">
        <f t="shared" si="5494"/>
        <v>Kingsley</v>
      </c>
    </row>
    <row r="5497" spans="1:5">
      <c r="A5497" s="3" t="s">
        <v>14908</v>
      </c>
      <c r="B5497" s="110" t="s">
        <v>1335</v>
      </c>
      <c r="C5497" s="111" t="s">
        <v>13155</v>
      </c>
      <c r="D5497" s="111" t="str">
        <f t="shared" ref="D5497:E5497" si="5495">TRIM(B5497)</f>
        <v>Iowa</v>
      </c>
      <c r="E5497" s="111" t="str">
        <f t="shared" si="5495"/>
        <v>Knoxville</v>
      </c>
    </row>
    <row r="5498" spans="1:5">
      <c r="A5498" s="3" t="s">
        <v>14909</v>
      </c>
      <c r="B5498" s="110" t="s">
        <v>1335</v>
      </c>
      <c r="C5498" s="111" t="s">
        <v>14910</v>
      </c>
      <c r="D5498" s="111" t="str">
        <f t="shared" ref="D5498:E5498" si="5496">TRIM(B5498)</f>
        <v>Iowa</v>
      </c>
      <c r="E5498" s="111" t="str">
        <f t="shared" si="5496"/>
        <v>La Porte City</v>
      </c>
    </row>
    <row r="5499" spans="1:5">
      <c r="A5499" s="3" t="s">
        <v>14911</v>
      </c>
      <c r="B5499" s="110" t="s">
        <v>1335</v>
      </c>
      <c r="C5499" s="111" t="s">
        <v>3922</v>
      </c>
      <c r="D5499" s="111" t="str">
        <f t="shared" ref="D5499:E5499" si="5497">TRIM(B5499)</f>
        <v>Iowa</v>
      </c>
      <c r="E5499" s="111" t="str">
        <f t="shared" si="5497"/>
        <v>Lake City</v>
      </c>
    </row>
    <row r="5500" spans="1:5">
      <c r="A5500" s="3" t="s">
        <v>14912</v>
      </c>
      <c r="B5500" s="110" t="s">
        <v>1335</v>
      </c>
      <c r="C5500" s="111" t="s">
        <v>14913</v>
      </c>
      <c r="D5500" s="111" t="str">
        <f t="shared" ref="D5500:E5500" si="5498">TRIM(B5500)</f>
        <v>Iowa</v>
      </c>
      <c r="E5500" s="111" t="str">
        <f t="shared" si="5498"/>
        <v>Lake Mills</v>
      </c>
    </row>
    <row r="5501" spans="1:5">
      <c r="A5501" s="3" t="s">
        <v>14914</v>
      </c>
      <c r="B5501" s="110" t="s">
        <v>1335</v>
      </c>
      <c r="C5501" s="111" t="s">
        <v>14915</v>
      </c>
      <c r="D5501" s="111" t="str">
        <f t="shared" ref="D5501:E5501" si="5499">TRIM(B5501)</f>
        <v>Iowa</v>
      </c>
      <c r="E5501" s="111" t="str">
        <f t="shared" si="5499"/>
        <v>Lake Park</v>
      </c>
    </row>
    <row r="5502" spans="1:5">
      <c r="A5502" s="3" t="s">
        <v>14916</v>
      </c>
      <c r="B5502" s="110" t="s">
        <v>1335</v>
      </c>
      <c r="C5502" s="111" t="s">
        <v>14917</v>
      </c>
      <c r="D5502" s="111" t="str">
        <f t="shared" ref="D5502:E5502" si="5500">TRIM(B5502)</f>
        <v>Iowa</v>
      </c>
      <c r="E5502" s="111" t="str">
        <f t="shared" si="5500"/>
        <v>Lake View</v>
      </c>
    </row>
    <row r="5503" spans="1:5">
      <c r="A5503" s="3" t="s">
        <v>14918</v>
      </c>
      <c r="B5503" s="110" t="s">
        <v>1335</v>
      </c>
      <c r="C5503" s="111" t="s">
        <v>14919</v>
      </c>
      <c r="D5503" s="111" t="str">
        <f t="shared" ref="D5503:E5503" si="5501">TRIM(B5503)</f>
        <v>Iowa</v>
      </c>
      <c r="E5503" s="111" t="str">
        <f t="shared" si="5501"/>
        <v>Lamoni</v>
      </c>
    </row>
    <row r="5504" spans="1:5">
      <c r="A5504" s="3" t="s">
        <v>14920</v>
      </c>
      <c r="B5504" s="110" t="s">
        <v>1335</v>
      </c>
      <c r="C5504" s="111" t="s">
        <v>10544</v>
      </c>
      <c r="D5504" s="111" t="str">
        <f t="shared" ref="D5504:E5504" si="5502">TRIM(B5504)</f>
        <v>Iowa</v>
      </c>
      <c r="E5504" s="111" t="str">
        <f t="shared" si="5502"/>
        <v>Lansing</v>
      </c>
    </row>
    <row r="5505" spans="1:5">
      <c r="A5505" s="3" t="s">
        <v>14921</v>
      </c>
      <c r="B5505" s="110" t="s">
        <v>1335</v>
      </c>
      <c r="C5505" s="111" t="s">
        <v>2925</v>
      </c>
      <c r="D5505" s="111" t="str">
        <f t="shared" ref="D5505:E5505" si="5503">TRIM(B5505)</f>
        <v>Iowa</v>
      </c>
      <c r="E5505" s="111" t="str">
        <f t="shared" si="5503"/>
        <v>Lawton</v>
      </c>
    </row>
    <row r="5506" spans="1:5">
      <c r="A5506" s="3" t="s">
        <v>14922</v>
      </c>
      <c r="B5506" s="110" t="s">
        <v>1335</v>
      </c>
      <c r="C5506" s="111" t="s">
        <v>5488</v>
      </c>
      <c r="D5506" s="111" t="str">
        <f t="shared" ref="D5506:E5506" si="5504">TRIM(B5506)</f>
        <v>Iowa</v>
      </c>
      <c r="E5506" s="111" t="str">
        <f t="shared" si="5504"/>
        <v>Le Grand</v>
      </c>
    </row>
    <row r="5507" spans="1:5">
      <c r="A5507" s="3" t="s">
        <v>14923</v>
      </c>
      <c r="B5507" s="110" t="s">
        <v>1335</v>
      </c>
      <c r="C5507" s="111" t="s">
        <v>14924</v>
      </c>
      <c r="D5507" s="111" t="str">
        <f t="shared" ref="D5507:E5507" si="5505">TRIM(B5507)</f>
        <v>Iowa</v>
      </c>
      <c r="E5507" s="111" t="str">
        <f t="shared" si="5505"/>
        <v>Le Mars</v>
      </c>
    </row>
    <row r="5508" spans="1:5">
      <c r="A5508" s="3" t="s">
        <v>14925</v>
      </c>
      <c r="B5508" s="110" t="s">
        <v>1335</v>
      </c>
      <c r="C5508" s="111" t="s">
        <v>14926</v>
      </c>
      <c r="D5508" s="111" t="str">
        <f t="shared" ref="D5508:E5508" si="5506">TRIM(B5508)</f>
        <v>Iowa</v>
      </c>
      <c r="E5508" s="111" t="str">
        <f t="shared" si="5506"/>
        <v>Lenox</v>
      </c>
    </row>
    <row r="5509" spans="1:5">
      <c r="A5509" s="3" t="s">
        <v>14927</v>
      </c>
      <c r="B5509" s="110" t="s">
        <v>1335</v>
      </c>
      <c r="C5509" s="111" t="s">
        <v>14928</v>
      </c>
      <c r="D5509" s="111" t="str">
        <f t="shared" ref="D5509:E5509" si="5507">TRIM(B5509)</f>
        <v>Iowa</v>
      </c>
      <c r="E5509" s="111" t="str">
        <f t="shared" si="5507"/>
        <v>Leon</v>
      </c>
    </row>
    <row r="5510" spans="1:5">
      <c r="A5510" s="3" t="s">
        <v>14929</v>
      </c>
      <c r="B5510" s="110" t="s">
        <v>1335</v>
      </c>
      <c r="C5510" s="111" t="s">
        <v>14930</v>
      </c>
      <c r="D5510" s="111" t="str">
        <f t="shared" ref="D5510:E5510" si="5508">TRIM(B5510)</f>
        <v>Iowa</v>
      </c>
      <c r="E5510" s="111" t="str">
        <f t="shared" si="5508"/>
        <v>Letts</v>
      </c>
    </row>
    <row r="5511" spans="1:5">
      <c r="A5511" s="3" t="s">
        <v>14931</v>
      </c>
      <c r="B5511" s="110" t="s">
        <v>1335</v>
      </c>
      <c r="C5511" s="111" t="s">
        <v>14932</v>
      </c>
      <c r="D5511" s="111" t="str">
        <f t="shared" ref="D5511:E5511" si="5509">TRIM(B5511)</f>
        <v>Iowa</v>
      </c>
      <c r="E5511" s="111" t="str">
        <f t="shared" si="5509"/>
        <v>Liberty Center</v>
      </c>
    </row>
    <row r="5512" spans="1:5">
      <c r="A5512" s="3" t="s">
        <v>14933</v>
      </c>
      <c r="B5512" s="110" t="s">
        <v>1335</v>
      </c>
      <c r="C5512" s="111" t="s">
        <v>14934</v>
      </c>
      <c r="D5512" s="111" t="str">
        <f t="shared" ref="D5512:E5512" si="5510">TRIM(B5512)</f>
        <v>Iowa</v>
      </c>
      <c r="E5512" s="111" t="str">
        <f t="shared" si="5510"/>
        <v>Lisbon</v>
      </c>
    </row>
    <row r="5513" spans="1:5">
      <c r="A5513" s="3" t="s">
        <v>14935</v>
      </c>
      <c r="B5513" s="110" t="s">
        <v>1335</v>
      </c>
      <c r="C5513" s="111" t="s">
        <v>14936</v>
      </c>
      <c r="D5513" s="111" t="str">
        <f t="shared" ref="D5513:E5513" si="5511">TRIM(B5513)</f>
        <v>Iowa</v>
      </c>
      <c r="E5513" s="111" t="str">
        <f t="shared" si="5511"/>
        <v>Logan</v>
      </c>
    </row>
    <row r="5514" spans="1:5">
      <c r="A5514" s="3" t="s">
        <v>14937</v>
      </c>
      <c r="B5514" s="110" t="s">
        <v>1335</v>
      </c>
      <c r="C5514" s="111" t="s">
        <v>14938</v>
      </c>
      <c r="D5514" s="111" t="str">
        <f t="shared" ref="D5514:E5514" si="5512">TRIM(B5514)</f>
        <v>Iowa</v>
      </c>
      <c r="E5514" s="111" t="str">
        <f t="shared" si="5512"/>
        <v>Lone Tree</v>
      </c>
    </row>
    <row r="5515" spans="1:5">
      <c r="A5515" s="3" t="s">
        <v>14939</v>
      </c>
      <c r="B5515" s="110" t="s">
        <v>1335</v>
      </c>
      <c r="C5515" s="111" t="s">
        <v>14940</v>
      </c>
      <c r="D5515" s="111" t="str">
        <f t="shared" ref="D5515:E5515" si="5513">TRIM(B5515)</f>
        <v>Iowa</v>
      </c>
      <c r="E5515" s="111" t="str">
        <f t="shared" si="5513"/>
        <v>Madrid</v>
      </c>
    </row>
    <row r="5516" spans="1:5">
      <c r="A5516" s="3" t="s">
        <v>14941</v>
      </c>
      <c r="B5516" s="110" t="s">
        <v>1335</v>
      </c>
      <c r="C5516" s="111" t="s">
        <v>8540</v>
      </c>
      <c r="D5516" s="111" t="str">
        <f t="shared" ref="D5516:E5516" si="5514">TRIM(B5516)</f>
        <v>Iowa</v>
      </c>
      <c r="E5516" s="111" t="str">
        <f t="shared" si="5514"/>
        <v>Manchester</v>
      </c>
    </row>
    <row r="5517" spans="1:5">
      <c r="A5517" s="3" t="s">
        <v>14942</v>
      </c>
      <c r="B5517" s="110" t="s">
        <v>1335</v>
      </c>
      <c r="C5517" s="111" t="s">
        <v>14943</v>
      </c>
      <c r="D5517" s="111" t="str">
        <f t="shared" ref="D5517:E5517" si="5515">TRIM(B5517)</f>
        <v>Iowa</v>
      </c>
      <c r="E5517" s="111" t="str">
        <f t="shared" si="5515"/>
        <v>Manly</v>
      </c>
    </row>
    <row r="5518" spans="1:5">
      <c r="A5518" s="3" t="s">
        <v>14944</v>
      </c>
      <c r="B5518" s="110" t="s">
        <v>1335</v>
      </c>
      <c r="C5518" s="111" t="s">
        <v>13358</v>
      </c>
      <c r="D5518" s="111" t="str">
        <f t="shared" ref="D5518:E5518" si="5516">TRIM(B5518)</f>
        <v>Iowa</v>
      </c>
      <c r="E5518" s="111" t="str">
        <f t="shared" si="5516"/>
        <v>Manning</v>
      </c>
    </row>
    <row r="5519" spans="1:5">
      <c r="A5519" s="3" t="s">
        <v>14945</v>
      </c>
      <c r="B5519" s="110" t="s">
        <v>1335</v>
      </c>
      <c r="C5519" s="111" t="s">
        <v>14946</v>
      </c>
      <c r="D5519" s="111" t="str">
        <f t="shared" ref="D5519:E5519" si="5517">TRIM(B5519)</f>
        <v>Iowa</v>
      </c>
      <c r="E5519" s="111" t="str">
        <f t="shared" si="5517"/>
        <v>Manson</v>
      </c>
    </row>
    <row r="5520" spans="1:5">
      <c r="A5520" s="3" t="s">
        <v>14947</v>
      </c>
      <c r="B5520" s="110" t="s">
        <v>1335</v>
      </c>
      <c r="C5520" s="111" t="s">
        <v>14948</v>
      </c>
      <c r="D5520" s="111" t="str">
        <f t="shared" ref="D5520:E5520" si="5518">TRIM(B5520)</f>
        <v>Iowa</v>
      </c>
      <c r="E5520" s="111" t="str">
        <f t="shared" si="5518"/>
        <v>Mapleton</v>
      </c>
    </row>
    <row r="5521" spans="1:5">
      <c r="A5521" s="3" t="s">
        <v>14949</v>
      </c>
      <c r="B5521" s="110" t="s">
        <v>1335</v>
      </c>
      <c r="C5521" s="111" t="s">
        <v>14950</v>
      </c>
      <c r="D5521" s="111" t="str">
        <f t="shared" ref="D5521:E5521" si="5519">TRIM(B5521)</f>
        <v>Iowa</v>
      </c>
      <c r="E5521" s="111" t="str">
        <f t="shared" si="5519"/>
        <v>Maquoketa</v>
      </c>
    </row>
    <row r="5522" spans="1:5">
      <c r="A5522" s="3" t="s">
        <v>14951</v>
      </c>
      <c r="B5522" s="110" t="s">
        <v>1335</v>
      </c>
      <c r="C5522" s="111" t="s">
        <v>14952</v>
      </c>
      <c r="D5522" s="111" t="str">
        <f t="shared" ref="D5522:E5522" si="5520">TRIM(B5522)</f>
        <v>Iowa</v>
      </c>
      <c r="E5522" s="111" t="str">
        <f t="shared" si="5520"/>
        <v>Marcus</v>
      </c>
    </row>
    <row r="5523" spans="1:5">
      <c r="A5523" s="3" t="s">
        <v>14953</v>
      </c>
      <c r="B5523" s="110" t="s">
        <v>1335</v>
      </c>
      <c r="C5523" s="111" t="s">
        <v>13270</v>
      </c>
      <c r="D5523" s="111" t="str">
        <f t="shared" ref="D5523:E5523" si="5521">TRIM(B5523)</f>
        <v>Iowa</v>
      </c>
      <c r="E5523" s="111" t="str">
        <f t="shared" si="5521"/>
        <v>Marengo</v>
      </c>
    </row>
    <row r="5524" spans="1:5">
      <c r="A5524" s="3" t="s">
        <v>14954</v>
      </c>
      <c r="B5524" s="110" t="s">
        <v>1335</v>
      </c>
      <c r="C5524" s="111" t="s">
        <v>3995</v>
      </c>
      <c r="D5524" s="111" t="str">
        <f t="shared" ref="D5524:E5524" si="5522">TRIM(B5524)</f>
        <v>Iowa</v>
      </c>
      <c r="E5524" s="111" t="str">
        <f t="shared" si="5522"/>
        <v>Marion</v>
      </c>
    </row>
    <row r="5525" spans="1:5">
      <c r="A5525" s="3" t="s">
        <v>3993</v>
      </c>
      <c r="B5525" s="110" t="s">
        <v>1335</v>
      </c>
      <c r="C5525" s="112" t="s">
        <v>3995</v>
      </c>
      <c r="D5525" s="111" t="str">
        <f t="shared" ref="D5525:E5525" si="5523">TRIM(B5525)</f>
        <v>Iowa</v>
      </c>
      <c r="E5525" s="111" t="str">
        <f t="shared" si="5523"/>
        <v>Marion</v>
      </c>
    </row>
    <row r="5526" spans="1:5">
      <c r="A5526" s="3" t="s">
        <v>14955</v>
      </c>
      <c r="B5526" s="110" t="s">
        <v>1335</v>
      </c>
      <c r="C5526" s="111" t="s">
        <v>14956</v>
      </c>
      <c r="D5526" s="111" t="str">
        <f t="shared" ref="D5526:E5526" si="5524">TRIM(B5526)</f>
        <v>Iowa</v>
      </c>
      <c r="E5526" s="111" t="str">
        <f t="shared" si="5524"/>
        <v>Marshalltown</v>
      </c>
    </row>
    <row r="5527" spans="1:5">
      <c r="A5527" s="3" t="s">
        <v>14957</v>
      </c>
      <c r="B5527" s="110" t="s">
        <v>1335</v>
      </c>
      <c r="C5527" s="111" t="s">
        <v>14958</v>
      </c>
      <c r="D5527" s="111" t="str">
        <f t="shared" ref="D5527:E5527" si="5525">TRIM(B5527)</f>
        <v>Iowa</v>
      </c>
      <c r="E5527" s="111" t="str">
        <f t="shared" si="5525"/>
        <v>Martensdale</v>
      </c>
    </row>
    <row r="5528" spans="1:5">
      <c r="A5528" s="3" t="s">
        <v>14959</v>
      </c>
      <c r="B5528" s="110" t="s">
        <v>1335</v>
      </c>
      <c r="C5528" s="111" t="s">
        <v>13292</v>
      </c>
      <c r="D5528" s="111" t="str">
        <f t="shared" ref="D5528:E5528" si="5526">TRIM(B5528)</f>
        <v>Iowa</v>
      </c>
      <c r="E5528" s="111" t="str">
        <f t="shared" si="5526"/>
        <v>Mason City</v>
      </c>
    </row>
    <row r="5529" spans="1:5">
      <c r="A5529" s="3" t="s">
        <v>14960</v>
      </c>
      <c r="B5529" s="110" t="s">
        <v>1335</v>
      </c>
      <c r="C5529" s="111" t="s">
        <v>5904</v>
      </c>
      <c r="D5529" s="111" t="str">
        <f t="shared" ref="D5529:E5529" si="5527">TRIM(B5529)</f>
        <v>Iowa</v>
      </c>
      <c r="E5529" s="111" t="str">
        <f t="shared" si="5527"/>
        <v>Maxwell</v>
      </c>
    </row>
    <row r="5530" spans="1:5">
      <c r="A5530" s="3" t="s">
        <v>14961</v>
      </c>
      <c r="B5530" s="110" t="s">
        <v>1335</v>
      </c>
      <c r="C5530" s="111" t="s">
        <v>4017</v>
      </c>
      <c r="D5530" s="111" t="str">
        <f t="shared" ref="D5530:E5530" si="5528">TRIM(B5530)</f>
        <v>Iowa</v>
      </c>
      <c r="E5530" s="111" t="str">
        <f t="shared" si="5528"/>
        <v>Maynard</v>
      </c>
    </row>
    <row r="5531" spans="1:5">
      <c r="A5531" s="3" t="s">
        <v>14962</v>
      </c>
      <c r="B5531" s="110" t="s">
        <v>1335</v>
      </c>
      <c r="C5531" s="111" t="s">
        <v>14963</v>
      </c>
      <c r="D5531" s="111" t="str">
        <f t="shared" ref="D5531:E5531" si="5529">TRIM(B5531)</f>
        <v>Iowa</v>
      </c>
      <c r="E5531" s="111" t="str">
        <f t="shared" si="5529"/>
        <v>Mediapolis</v>
      </c>
    </row>
    <row r="5532" spans="1:5">
      <c r="A5532" s="3" t="s">
        <v>14964</v>
      </c>
      <c r="B5532" s="110" t="s">
        <v>1335</v>
      </c>
      <c r="C5532" s="111" t="s">
        <v>14965</v>
      </c>
      <c r="D5532" s="111" t="str">
        <f t="shared" ref="D5532:E5532" si="5530">TRIM(B5532)</f>
        <v>Iowa</v>
      </c>
      <c r="E5532" s="111" t="str">
        <f t="shared" si="5530"/>
        <v>Melcher</v>
      </c>
    </row>
    <row r="5533" spans="1:5">
      <c r="A5533" s="3" t="s">
        <v>14966</v>
      </c>
      <c r="B5533" s="110" t="s">
        <v>1335</v>
      </c>
      <c r="C5533" s="111" t="s">
        <v>8552</v>
      </c>
      <c r="D5533" s="111" t="str">
        <f t="shared" ref="D5533:E5533" si="5531">TRIM(B5533)</f>
        <v>Iowa</v>
      </c>
      <c r="E5533" s="111" t="str">
        <f t="shared" si="5531"/>
        <v>Milford</v>
      </c>
    </row>
    <row r="5534" spans="1:5">
      <c r="A5534" s="3" t="s">
        <v>14967</v>
      </c>
      <c r="B5534" s="110" t="s">
        <v>1335</v>
      </c>
      <c r="C5534" s="111" t="s">
        <v>14968</v>
      </c>
      <c r="D5534" s="111" t="str">
        <f t="shared" ref="D5534:E5534" si="5532">TRIM(B5534)</f>
        <v>Iowa</v>
      </c>
      <c r="E5534" s="111" t="str">
        <f t="shared" si="5532"/>
        <v>Missouri Valley</v>
      </c>
    </row>
    <row r="5535" spans="1:5">
      <c r="A5535" s="3" t="s">
        <v>14969</v>
      </c>
      <c r="B5535" s="110" t="s">
        <v>1335</v>
      </c>
      <c r="C5535" s="111" t="s">
        <v>14970</v>
      </c>
      <c r="D5535" s="111" t="str">
        <f t="shared" ref="D5535:E5535" si="5533">TRIM(B5535)</f>
        <v>Iowa</v>
      </c>
      <c r="E5535" s="111" t="str">
        <f t="shared" si="5533"/>
        <v>Mondamin</v>
      </c>
    </row>
    <row r="5536" spans="1:5">
      <c r="A5536" s="3" t="s">
        <v>14971</v>
      </c>
      <c r="B5536" s="110" t="s">
        <v>1335</v>
      </c>
      <c r="C5536" s="111" t="s">
        <v>14972</v>
      </c>
      <c r="D5536" s="111" t="str">
        <f t="shared" ref="D5536:E5536" si="5534">TRIM(B5536)</f>
        <v>Iowa</v>
      </c>
      <c r="E5536" s="111" t="str">
        <f t="shared" si="5534"/>
        <v>Monona</v>
      </c>
    </row>
    <row r="5537" spans="1:5">
      <c r="A5537" s="3" t="s">
        <v>14973</v>
      </c>
      <c r="B5537" s="110" t="s">
        <v>1335</v>
      </c>
      <c r="C5537" s="111" t="s">
        <v>380</v>
      </c>
      <c r="D5537" s="111" t="str">
        <f t="shared" ref="D5537:E5537" si="5535">TRIM(B5537)</f>
        <v>Iowa</v>
      </c>
      <c r="E5537" s="111" t="str">
        <f t="shared" si="5535"/>
        <v>Monroe</v>
      </c>
    </row>
    <row r="5538" spans="1:5">
      <c r="A5538" s="3" t="s">
        <v>14974</v>
      </c>
      <c r="B5538" s="110" t="s">
        <v>1335</v>
      </c>
      <c r="C5538" s="111" t="s">
        <v>11099</v>
      </c>
      <c r="D5538" s="111" t="str">
        <f t="shared" ref="D5538:E5538" si="5536">TRIM(B5538)</f>
        <v>Iowa</v>
      </c>
      <c r="E5538" s="111" t="str">
        <f t="shared" si="5536"/>
        <v>Montezuma</v>
      </c>
    </row>
    <row r="5539" spans="1:5">
      <c r="A5539" s="3" t="s">
        <v>4042</v>
      </c>
      <c r="B5539" s="110" t="s">
        <v>1335</v>
      </c>
      <c r="C5539" s="111" t="s">
        <v>4040</v>
      </c>
      <c r="D5539" s="111" t="str">
        <f t="shared" ref="D5539:E5539" si="5537">TRIM(B5539)</f>
        <v>Iowa</v>
      </c>
      <c r="E5539" s="111" t="str">
        <f t="shared" si="5537"/>
        <v>Monticello</v>
      </c>
    </row>
    <row r="5540" spans="1:5">
      <c r="A5540" s="3" t="s">
        <v>14975</v>
      </c>
      <c r="B5540" s="110" t="s">
        <v>1335</v>
      </c>
      <c r="C5540" s="111" t="s">
        <v>14976</v>
      </c>
      <c r="D5540" s="111" t="str">
        <f t="shared" ref="D5540:E5540" si="5538">TRIM(B5540)</f>
        <v>Iowa</v>
      </c>
      <c r="E5540" s="111" t="str">
        <f t="shared" si="5538"/>
        <v>Moravia</v>
      </c>
    </row>
    <row r="5541" spans="1:5">
      <c r="A5541" s="3" t="s">
        <v>14977</v>
      </c>
      <c r="B5541" s="110" t="s">
        <v>1335</v>
      </c>
      <c r="C5541" s="111" t="s">
        <v>1999</v>
      </c>
      <c r="D5541" s="111" t="str">
        <f t="shared" ref="D5541:E5541" si="5539">TRIM(B5541)</f>
        <v>Iowa</v>
      </c>
      <c r="E5541" s="111" t="str">
        <f t="shared" si="5539"/>
        <v>Moulton</v>
      </c>
    </row>
    <row r="5542" spans="1:5">
      <c r="A5542" s="3" t="s">
        <v>14978</v>
      </c>
      <c r="B5542" s="110" t="s">
        <v>1335</v>
      </c>
      <c r="C5542" s="111" t="s">
        <v>14979</v>
      </c>
      <c r="D5542" s="111" t="str">
        <f t="shared" ref="D5542:E5542" si="5540">TRIM(B5542)</f>
        <v>Iowa</v>
      </c>
      <c r="E5542" s="111" t="str">
        <f t="shared" si="5540"/>
        <v>Mount Ayr</v>
      </c>
    </row>
    <row r="5543" spans="1:5">
      <c r="A5543" s="3" t="s">
        <v>8871</v>
      </c>
      <c r="B5543" s="110" t="s">
        <v>1335</v>
      </c>
      <c r="C5543" s="111" t="s">
        <v>398</v>
      </c>
      <c r="D5543" s="111" t="str">
        <f t="shared" ref="D5543:E5543" si="5541">TRIM(B5543)</f>
        <v>Iowa</v>
      </c>
      <c r="E5543" s="111" t="str">
        <f t="shared" si="5541"/>
        <v>Mount Pleasant</v>
      </c>
    </row>
    <row r="5544" spans="1:5">
      <c r="A5544" s="3" t="s">
        <v>13395</v>
      </c>
      <c r="B5544" s="110" t="s">
        <v>1335</v>
      </c>
      <c r="C5544" s="111" t="s">
        <v>6798</v>
      </c>
      <c r="D5544" s="111" t="str">
        <f t="shared" ref="D5544:E5544" si="5542">TRIM(B5544)</f>
        <v>Iowa</v>
      </c>
      <c r="E5544" s="111" t="str">
        <f t="shared" si="5542"/>
        <v>Mount Vernon</v>
      </c>
    </row>
    <row r="5545" spans="1:5">
      <c r="A5545" s="3" t="s">
        <v>14980</v>
      </c>
      <c r="B5545" s="110" t="s">
        <v>1335</v>
      </c>
      <c r="C5545" s="111" t="s">
        <v>14981</v>
      </c>
      <c r="D5545" s="111" t="str">
        <f t="shared" ref="D5545:E5545" si="5543">TRIM(B5545)</f>
        <v>Iowa</v>
      </c>
      <c r="E5545" s="111" t="str">
        <f t="shared" si="5543"/>
        <v>Moville</v>
      </c>
    </row>
    <row r="5546" spans="1:5">
      <c r="A5546" s="3" t="s">
        <v>14982</v>
      </c>
      <c r="B5546" s="110" t="s">
        <v>1335</v>
      </c>
      <c r="C5546" s="111" t="s">
        <v>13882</v>
      </c>
      <c r="D5546" s="111" t="str">
        <f t="shared" ref="D5546:E5546" si="5544">TRIM(B5546)</f>
        <v>Iowa</v>
      </c>
      <c r="E5546" s="111" t="str">
        <f t="shared" si="5544"/>
        <v>Murray</v>
      </c>
    </row>
    <row r="5547" spans="1:5">
      <c r="A5547" s="3" t="s">
        <v>14983</v>
      </c>
      <c r="B5547" s="110" t="s">
        <v>1335</v>
      </c>
      <c r="C5547" s="111" t="s">
        <v>14984</v>
      </c>
      <c r="D5547" s="111" t="str">
        <f t="shared" ref="D5547:E5547" si="5545">TRIM(B5547)</f>
        <v>Iowa</v>
      </c>
      <c r="E5547" s="111" t="str">
        <f t="shared" si="5545"/>
        <v>Muscatine</v>
      </c>
    </row>
    <row r="5548" spans="1:5">
      <c r="A5548" s="3" t="s">
        <v>14985</v>
      </c>
      <c r="B5548" s="110" t="s">
        <v>1335</v>
      </c>
      <c r="C5548" s="111" t="s">
        <v>11963</v>
      </c>
      <c r="D5548" s="111" t="str">
        <f t="shared" ref="D5548:E5548" si="5546">TRIM(B5548)</f>
        <v>Iowa</v>
      </c>
      <c r="E5548" s="111" t="str">
        <f t="shared" si="5546"/>
        <v>Nashua</v>
      </c>
    </row>
    <row r="5549" spans="1:5">
      <c r="A5549" s="3" t="s">
        <v>14986</v>
      </c>
      <c r="B5549" s="110" t="s">
        <v>1335</v>
      </c>
      <c r="C5549" s="111" t="s">
        <v>14987</v>
      </c>
      <c r="D5549" s="111" t="str">
        <f t="shared" ref="D5549:E5549" si="5547">TRIM(B5549)</f>
        <v>Iowa</v>
      </c>
      <c r="E5549" s="111" t="str">
        <f t="shared" si="5547"/>
        <v>Neola</v>
      </c>
    </row>
    <row r="5550" spans="1:5">
      <c r="A5550" s="3" t="s">
        <v>14988</v>
      </c>
      <c r="B5550" s="110" t="s">
        <v>1335</v>
      </c>
      <c r="C5550" s="111" t="s">
        <v>1352</v>
      </c>
      <c r="D5550" s="111" t="str">
        <f t="shared" ref="D5550:E5550" si="5548">TRIM(B5550)</f>
        <v>Iowa</v>
      </c>
      <c r="E5550" s="111" t="str">
        <f t="shared" si="5548"/>
        <v>Nevada</v>
      </c>
    </row>
    <row r="5551" spans="1:5">
      <c r="A5551" s="3" t="s">
        <v>14989</v>
      </c>
      <c r="B5551" s="110" t="s">
        <v>1335</v>
      </c>
      <c r="C5551" s="111" t="s">
        <v>11992</v>
      </c>
      <c r="D5551" s="111" t="str">
        <f t="shared" ref="D5551:E5551" si="5549">TRIM(B5551)</f>
        <v>Iowa</v>
      </c>
      <c r="E5551" s="111" t="str">
        <f t="shared" si="5549"/>
        <v>New Hampton</v>
      </c>
    </row>
    <row r="5552" spans="1:5">
      <c r="A5552" s="3" t="s">
        <v>14990</v>
      </c>
      <c r="B5552" s="110" t="s">
        <v>1335</v>
      </c>
      <c r="C5552" s="111" t="s">
        <v>8596</v>
      </c>
      <c r="D5552" s="111" t="str">
        <f t="shared" ref="D5552:E5552" si="5550">TRIM(B5552)</f>
        <v>Iowa</v>
      </c>
      <c r="E5552" s="111" t="str">
        <f t="shared" si="5550"/>
        <v>New London</v>
      </c>
    </row>
    <row r="5553" spans="1:5">
      <c r="A5553" s="3" t="s">
        <v>14991</v>
      </c>
      <c r="B5553" s="110" t="s">
        <v>1335</v>
      </c>
      <c r="C5553" s="111" t="s">
        <v>14992</v>
      </c>
      <c r="D5553" s="111" t="str">
        <f t="shared" ref="D5553:E5553" si="5551">TRIM(B5553)</f>
        <v>Iowa</v>
      </c>
      <c r="E5553" s="111" t="str">
        <f t="shared" si="5551"/>
        <v>New Sharon</v>
      </c>
    </row>
    <row r="5554" spans="1:5">
      <c r="A5554" s="3" t="s">
        <v>14993</v>
      </c>
      <c r="B5554" s="110" t="s">
        <v>1335</v>
      </c>
      <c r="C5554" s="111" t="s">
        <v>14994</v>
      </c>
      <c r="D5554" s="111" t="str">
        <f t="shared" ref="D5554:E5554" si="5552">TRIM(B5554)</f>
        <v>Iowa</v>
      </c>
      <c r="E5554" s="111" t="str">
        <f t="shared" si="5552"/>
        <v>Newell</v>
      </c>
    </row>
    <row r="5555" spans="1:5">
      <c r="A5555" s="3" t="s">
        <v>14995</v>
      </c>
      <c r="B5555" s="110" t="s">
        <v>1335</v>
      </c>
      <c r="C5555" s="111" t="s">
        <v>11313</v>
      </c>
      <c r="D5555" s="111" t="str">
        <f t="shared" ref="D5555:E5555" si="5553">TRIM(B5555)</f>
        <v>Iowa</v>
      </c>
      <c r="E5555" s="111" t="str">
        <f t="shared" si="5553"/>
        <v>Newton</v>
      </c>
    </row>
    <row r="5556" spans="1:5">
      <c r="A5556" s="3" t="s">
        <v>14996</v>
      </c>
      <c r="B5556" s="110" t="s">
        <v>1335</v>
      </c>
      <c r="C5556" s="111" t="s">
        <v>14997</v>
      </c>
      <c r="D5556" s="111" t="str">
        <f t="shared" ref="D5556:E5556" si="5554">TRIM(B5556)</f>
        <v>Iowa</v>
      </c>
      <c r="E5556" s="111" t="str">
        <f t="shared" si="5554"/>
        <v>North English</v>
      </c>
    </row>
    <row r="5557" spans="1:5">
      <c r="A5557" s="3" t="s">
        <v>2745</v>
      </c>
      <c r="B5557" s="110" t="s">
        <v>1335</v>
      </c>
      <c r="C5557" s="111" t="s">
        <v>14998</v>
      </c>
      <c r="D5557" s="111" t="str">
        <f t="shared" ref="D5557:E5557" si="5555">TRIM(B5557)</f>
        <v>Iowa</v>
      </c>
      <c r="E5557" s="111" t="str">
        <f t="shared" si="5555"/>
        <v>North Liberty</v>
      </c>
    </row>
    <row r="5558" spans="1:5">
      <c r="A5558" s="3" t="s">
        <v>14999</v>
      </c>
      <c r="B5558" s="110" t="s">
        <v>1335</v>
      </c>
      <c r="C5558" s="111" t="s">
        <v>15000</v>
      </c>
      <c r="D5558" s="111" t="str">
        <f t="shared" ref="D5558:E5558" si="5556">TRIM(B5558)</f>
        <v>Iowa</v>
      </c>
      <c r="E5558" s="111" t="str">
        <f t="shared" si="5556"/>
        <v>Northwood</v>
      </c>
    </row>
    <row r="5559" spans="1:5">
      <c r="A5559" s="3" t="s">
        <v>15001</v>
      </c>
      <c r="B5559" s="110" t="s">
        <v>1335</v>
      </c>
      <c r="C5559" s="111" t="s">
        <v>2873</v>
      </c>
      <c r="D5559" s="111" t="str">
        <f t="shared" ref="D5559:E5559" si="5557">TRIM(B5559)</f>
        <v>Iowa</v>
      </c>
      <c r="E5559" s="111" t="str">
        <f t="shared" si="5557"/>
        <v>Norwalk</v>
      </c>
    </row>
    <row r="5560" spans="1:5">
      <c r="A5560" s="3" t="s">
        <v>15002</v>
      </c>
      <c r="B5560" s="110" t="s">
        <v>1335</v>
      </c>
      <c r="C5560" s="111" t="s">
        <v>662</v>
      </c>
      <c r="D5560" s="111" t="str">
        <f t="shared" ref="D5560:E5560" si="5558">TRIM(B5560)</f>
        <v>Iowa</v>
      </c>
      <c r="E5560" s="111" t="str">
        <f t="shared" si="5558"/>
        <v>Oakland</v>
      </c>
    </row>
    <row r="5561" spans="1:5">
      <c r="A5561" s="3" t="s">
        <v>15003</v>
      </c>
      <c r="B5561" s="110" t="s">
        <v>1335</v>
      </c>
      <c r="C5561" s="111" t="s">
        <v>15004</v>
      </c>
      <c r="D5561" s="111" t="str">
        <f t="shared" ref="D5561:E5561" si="5559">TRIM(B5561)</f>
        <v>Iowa</v>
      </c>
      <c r="E5561" s="111" t="str">
        <f t="shared" si="5559"/>
        <v>Oelwein</v>
      </c>
    </row>
    <row r="5562" spans="1:5">
      <c r="A5562" s="3" t="s">
        <v>15005</v>
      </c>
      <c r="B5562" s="110" t="s">
        <v>1335</v>
      </c>
      <c r="C5562" s="111" t="s">
        <v>317</v>
      </c>
      <c r="D5562" s="111" t="str">
        <f t="shared" ref="D5562:E5562" si="5560">TRIM(B5562)</f>
        <v>Iowa</v>
      </c>
      <c r="E5562" s="111" t="str">
        <f t="shared" si="5560"/>
        <v>Ogden</v>
      </c>
    </row>
    <row r="5563" spans="1:5">
      <c r="A5563" s="3" t="s">
        <v>15006</v>
      </c>
      <c r="B5563" s="110" t="s">
        <v>1335</v>
      </c>
      <c r="C5563" s="111" t="s">
        <v>15007</v>
      </c>
      <c r="D5563" s="111" t="str">
        <f t="shared" ref="D5563:E5563" si="5561">TRIM(B5563)</f>
        <v>Iowa</v>
      </c>
      <c r="E5563" s="111" t="str">
        <f t="shared" si="5561"/>
        <v>Onawa</v>
      </c>
    </row>
    <row r="5564" spans="1:5">
      <c r="A5564" s="3" t="s">
        <v>15008</v>
      </c>
      <c r="B5564" s="110" t="s">
        <v>1335</v>
      </c>
      <c r="C5564" s="111" t="s">
        <v>9826</v>
      </c>
      <c r="D5564" s="111" t="str">
        <f t="shared" ref="D5564:E5564" si="5562">TRIM(B5564)</f>
        <v>Iowa</v>
      </c>
      <c r="E5564" s="111" t="str">
        <f t="shared" si="5562"/>
        <v>Orange City</v>
      </c>
    </row>
    <row r="5565" spans="1:5">
      <c r="A5565" s="3" t="s">
        <v>15009</v>
      </c>
      <c r="B5565" s="110" t="s">
        <v>1335</v>
      </c>
      <c r="C5565" s="111" t="s">
        <v>15010</v>
      </c>
      <c r="D5565" s="111" t="str">
        <f t="shared" ref="D5565:E5565" si="5563">TRIM(B5565)</f>
        <v>Iowa</v>
      </c>
      <c r="E5565" s="111" t="str">
        <f t="shared" si="5563"/>
        <v>Orient</v>
      </c>
    </row>
    <row r="5566" spans="1:5">
      <c r="A5566" s="3" t="s">
        <v>15011</v>
      </c>
      <c r="B5566" s="110" t="s">
        <v>1335</v>
      </c>
      <c r="C5566" s="111" t="s">
        <v>15012</v>
      </c>
      <c r="D5566" s="111" t="str">
        <f t="shared" ref="D5566:E5566" si="5564">TRIM(B5566)</f>
        <v>Iowa</v>
      </c>
      <c r="E5566" s="111" t="str">
        <f t="shared" si="5564"/>
        <v>Osage</v>
      </c>
    </row>
    <row r="5567" spans="1:5">
      <c r="A5567" s="3" t="s">
        <v>15013</v>
      </c>
      <c r="B5567" s="110" t="s">
        <v>1335</v>
      </c>
      <c r="C5567" s="111" t="s">
        <v>4100</v>
      </c>
      <c r="D5567" s="111" t="str">
        <f t="shared" ref="D5567:E5567" si="5565">TRIM(B5567)</f>
        <v>Iowa</v>
      </c>
      <c r="E5567" s="111" t="str">
        <f t="shared" si="5565"/>
        <v>Osceola</v>
      </c>
    </row>
    <row r="5568" spans="1:5">
      <c r="A5568" s="3" t="s">
        <v>15014</v>
      </c>
      <c r="B5568" s="110" t="s">
        <v>1335</v>
      </c>
      <c r="C5568" s="111" t="s">
        <v>15015</v>
      </c>
      <c r="D5568" s="111" t="str">
        <f t="shared" ref="D5568:E5568" si="5566">TRIM(B5568)</f>
        <v>Iowa</v>
      </c>
      <c r="E5568" s="111" t="str">
        <f t="shared" si="5566"/>
        <v>Oskaloosa</v>
      </c>
    </row>
    <row r="5569" spans="1:5">
      <c r="A5569" s="3" t="s">
        <v>15016</v>
      </c>
      <c r="B5569" s="110" t="s">
        <v>1335</v>
      </c>
      <c r="C5569" s="111" t="s">
        <v>227</v>
      </c>
      <c r="D5569" s="111" t="str">
        <f t="shared" ref="D5569:E5569" si="5567">TRIM(B5569)</f>
        <v>Iowa</v>
      </c>
      <c r="E5569" s="111" t="str">
        <f t="shared" si="5567"/>
        <v>Ottumwa</v>
      </c>
    </row>
    <row r="5570" spans="1:5">
      <c r="A5570" s="3" t="s">
        <v>13595</v>
      </c>
      <c r="B5570" s="110" t="s">
        <v>1335</v>
      </c>
      <c r="C5570" s="111" t="s">
        <v>15017</v>
      </c>
      <c r="D5570" s="111" t="str">
        <f t="shared" ref="D5570:E5570" si="5568">TRIM(B5570)</f>
        <v>Iowa</v>
      </c>
      <c r="E5570" s="111" t="str">
        <f t="shared" si="5568"/>
        <v>Packwood</v>
      </c>
    </row>
    <row r="5571" spans="1:5">
      <c r="A5571" s="3" t="s">
        <v>6301</v>
      </c>
      <c r="B5571" s="110" t="s">
        <v>1335</v>
      </c>
      <c r="C5571" s="111" t="s">
        <v>15018</v>
      </c>
      <c r="D5571" s="111" t="str">
        <f t="shared" ref="D5571:E5571" si="5569">TRIM(B5571)</f>
        <v>Iowa</v>
      </c>
      <c r="E5571" s="111" t="str">
        <f t="shared" si="5569"/>
        <v>Panora</v>
      </c>
    </row>
    <row r="5572" spans="1:5">
      <c r="A5572" s="3" t="s">
        <v>15019</v>
      </c>
      <c r="B5572" s="110" t="s">
        <v>1335</v>
      </c>
      <c r="C5572" s="111" t="s">
        <v>15020</v>
      </c>
      <c r="D5572" s="111" t="str">
        <f t="shared" ref="D5572:E5572" si="5570">TRIM(B5572)</f>
        <v>Iowa</v>
      </c>
      <c r="E5572" s="111" t="str">
        <f t="shared" si="5570"/>
        <v>Parkersburg</v>
      </c>
    </row>
    <row r="5573" spans="1:5">
      <c r="A5573" s="110" t="s">
        <v>15021</v>
      </c>
      <c r="B5573" s="110" t="s">
        <v>1335</v>
      </c>
      <c r="C5573" s="111" t="s">
        <v>15022</v>
      </c>
      <c r="D5573" s="111" t="str">
        <f t="shared" ref="D5573:E5573" si="5571">TRIM(B5573)</f>
        <v>Iowa</v>
      </c>
      <c r="E5573" s="111" t="str">
        <f t="shared" si="5571"/>
        <v>Paullina</v>
      </c>
    </row>
    <row r="5574" spans="1:5">
      <c r="A5574" s="3" t="s">
        <v>15023</v>
      </c>
      <c r="B5574" s="110" t="s">
        <v>1335</v>
      </c>
      <c r="C5574" s="111" t="s">
        <v>15024</v>
      </c>
      <c r="D5574" s="111" t="str">
        <f t="shared" ref="D5574:E5574" si="5572">TRIM(B5574)</f>
        <v>Iowa</v>
      </c>
      <c r="E5574" s="111" t="str">
        <f t="shared" si="5572"/>
        <v>Pella</v>
      </c>
    </row>
    <row r="5575" spans="1:5">
      <c r="A5575" s="3" t="s">
        <v>2683</v>
      </c>
      <c r="B5575" s="110" t="s">
        <v>1335</v>
      </c>
      <c r="C5575" s="111" t="s">
        <v>9957</v>
      </c>
      <c r="D5575" s="111" t="str">
        <f t="shared" ref="D5575:E5575" si="5573">TRIM(B5575)</f>
        <v>Iowa</v>
      </c>
      <c r="E5575" s="111" t="str">
        <f t="shared" si="5573"/>
        <v>Perry</v>
      </c>
    </row>
    <row r="5576" spans="1:5">
      <c r="A5576" s="3" t="s">
        <v>15025</v>
      </c>
      <c r="B5576" s="110" t="s">
        <v>1335</v>
      </c>
      <c r="C5576" s="111" t="s">
        <v>6400</v>
      </c>
      <c r="D5576" s="111" t="str">
        <f t="shared" ref="D5576:E5576" si="5574">TRIM(B5576)</f>
        <v>Iowa</v>
      </c>
      <c r="E5576" s="111" t="str">
        <f t="shared" si="5574"/>
        <v>Pleasant Hill</v>
      </c>
    </row>
    <row r="5577" spans="1:5">
      <c r="A5577" s="3" t="s">
        <v>15026</v>
      </c>
      <c r="B5577" s="110" t="s">
        <v>1335</v>
      </c>
      <c r="C5577" s="111" t="s">
        <v>15027</v>
      </c>
      <c r="D5577" s="111" t="str">
        <f t="shared" ref="D5577:E5577" si="5575">TRIM(B5577)</f>
        <v>Iowa</v>
      </c>
      <c r="E5577" s="111" t="str">
        <f t="shared" si="5575"/>
        <v>Pleasantville</v>
      </c>
    </row>
    <row r="5578" spans="1:5">
      <c r="A5578" s="3" t="s">
        <v>15028</v>
      </c>
      <c r="B5578" s="110" t="s">
        <v>1335</v>
      </c>
      <c r="C5578" s="111" t="s">
        <v>4142</v>
      </c>
      <c r="D5578" s="111" t="str">
        <f t="shared" ref="D5578:E5578" si="5576">TRIM(B5578)</f>
        <v>Iowa</v>
      </c>
      <c r="E5578" s="111" t="str">
        <f t="shared" si="5576"/>
        <v>Pocahontas</v>
      </c>
    </row>
    <row r="5579" spans="1:5">
      <c r="A5579" s="110" t="s">
        <v>15029</v>
      </c>
      <c r="B5579" s="110" t="s">
        <v>1335</v>
      </c>
      <c r="C5579" s="111" t="s">
        <v>15030</v>
      </c>
      <c r="D5579" s="111" t="str">
        <f t="shared" ref="D5579:E5579" si="5577">TRIM(B5579)</f>
        <v>Iowa</v>
      </c>
      <c r="E5579" s="111" t="str">
        <f t="shared" si="5577"/>
        <v>Postville</v>
      </c>
    </row>
    <row r="5580" spans="1:5">
      <c r="A5580" s="3" t="s">
        <v>15031</v>
      </c>
      <c r="B5580" s="110" t="s">
        <v>1335</v>
      </c>
      <c r="C5580" s="111" t="s">
        <v>4992</v>
      </c>
      <c r="D5580" s="111" t="str">
        <f t="shared" ref="D5580:E5580" si="5578">TRIM(B5580)</f>
        <v>Iowa</v>
      </c>
      <c r="E5580" s="111" t="str">
        <f t="shared" si="5578"/>
        <v>Preston</v>
      </c>
    </row>
    <row r="5581" spans="1:5">
      <c r="A5581" s="3" t="s">
        <v>15032</v>
      </c>
      <c r="B5581" s="110" t="s">
        <v>1335</v>
      </c>
      <c r="C5581" s="111" t="s">
        <v>8508</v>
      </c>
      <c r="D5581" s="111" t="str">
        <f t="shared" ref="D5581:E5581" si="5579">TRIM(B5581)</f>
        <v>Iowa</v>
      </c>
      <c r="E5581" s="111" t="str">
        <f t="shared" si="5579"/>
        <v>Red Oak</v>
      </c>
    </row>
    <row r="5582" spans="1:5">
      <c r="A5582" s="3" t="s">
        <v>15033</v>
      </c>
      <c r="B5582" s="110" t="s">
        <v>1335</v>
      </c>
      <c r="C5582" s="111" t="s">
        <v>15034</v>
      </c>
      <c r="D5582" s="111" t="str">
        <f t="shared" ref="D5582:E5582" si="5580">TRIM(B5582)</f>
        <v>Iowa</v>
      </c>
      <c r="E5582" s="111" t="str">
        <f t="shared" si="5580"/>
        <v>Reinbeck</v>
      </c>
    </row>
    <row r="5583" spans="1:5">
      <c r="A5583" s="3" t="s">
        <v>15035</v>
      </c>
      <c r="B5583" s="110" t="s">
        <v>1335</v>
      </c>
      <c r="C5583" s="111" t="s">
        <v>15036</v>
      </c>
      <c r="D5583" s="111" t="str">
        <f t="shared" ref="D5583:E5583" si="5581">TRIM(B5583)</f>
        <v>Iowa</v>
      </c>
      <c r="E5583" s="111" t="str">
        <f t="shared" si="5581"/>
        <v>Riceville</v>
      </c>
    </row>
    <row r="5584" spans="1:5">
      <c r="A5584" s="3" t="s">
        <v>2665</v>
      </c>
      <c r="B5584" s="110" t="s">
        <v>1335</v>
      </c>
      <c r="C5584" s="111" t="s">
        <v>260</v>
      </c>
      <c r="D5584" s="111" t="str">
        <f t="shared" ref="D5584:E5584" si="5582">TRIM(B5584)</f>
        <v>Iowa</v>
      </c>
      <c r="E5584" s="111" t="str">
        <f t="shared" si="5582"/>
        <v>Riverside</v>
      </c>
    </row>
    <row r="5585" spans="1:5">
      <c r="A5585" s="3" t="s">
        <v>15037</v>
      </c>
      <c r="B5585" s="110" t="s">
        <v>1335</v>
      </c>
      <c r="C5585" s="111" t="s">
        <v>15038</v>
      </c>
      <c r="D5585" s="111" t="str">
        <f t="shared" ref="D5585:E5585" si="5583">TRIM(B5585)</f>
        <v>Iowa</v>
      </c>
      <c r="E5585" s="111" t="str">
        <f t="shared" si="5583"/>
        <v>Rock Rapids</v>
      </c>
    </row>
    <row r="5586" spans="1:5">
      <c r="A5586" s="3" t="s">
        <v>15039</v>
      </c>
      <c r="B5586" s="110" t="s">
        <v>1335</v>
      </c>
      <c r="C5586" s="112" t="s">
        <v>15040</v>
      </c>
      <c r="D5586" s="111" t="str">
        <f t="shared" ref="D5586:E5586" si="5584">TRIM(B5586)</f>
        <v>Iowa</v>
      </c>
      <c r="E5586" s="111" t="str">
        <f t="shared" si="5584"/>
        <v>Rock Valley</v>
      </c>
    </row>
    <row r="5587" spans="1:5">
      <c r="A5587" s="3" t="s">
        <v>15041</v>
      </c>
      <c r="B5587" s="110" t="s">
        <v>1335</v>
      </c>
      <c r="C5587" s="111" t="s">
        <v>2134</v>
      </c>
      <c r="D5587" s="111" t="str">
        <f t="shared" ref="D5587:E5587" si="5585">TRIM(B5587)</f>
        <v>Iowa</v>
      </c>
      <c r="E5587" s="111" t="str">
        <f t="shared" si="5585"/>
        <v>Rockford</v>
      </c>
    </row>
    <row r="5588" spans="1:5">
      <c r="A5588" s="3" t="s">
        <v>15042</v>
      </c>
      <c r="B5588" s="110" t="s">
        <v>1335</v>
      </c>
      <c r="C5588" s="111" t="s">
        <v>15043</v>
      </c>
      <c r="D5588" s="111" t="str">
        <f t="shared" ref="D5588:E5588" si="5586">TRIM(B5588)</f>
        <v>Iowa</v>
      </c>
      <c r="E5588" s="111" t="str">
        <f t="shared" si="5586"/>
        <v>Ruthven</v>
      </c>
    </row>
    <row r="5589" spans="1:5">
      <c r="A5589" s="3" t="s">
        <v>15044</v>
      </c>
      <c r="B5589" s="110" t="s">
        <v>1335</v>
      </c>
      <c r="C5589" s="111" t="s">
        <v>15045</v>
      </c>
      <c r="D5589" s="111" t="str">
        <f t="shared" ref="D5589:E5589" si="5587">TRIM(B5589)</f>
        <v>Iowa</v>
      </c>
      <c r="E5589" s="111" t="str">
        <f t="shared" si="5587"/>
        <v>Sergeant Bluff</v>
      </c>
    </row>
    <row r="5590" spans="1:5">
      <c r="A5590" s="3" t="s">
        <v>8660</v>
      </c>
      <c r="B5590" s="110" t="s">
        <v>1335</v>
      </c>
      <c r="C5590" s="111" t="s">
        <v>6650</v>
      </c>
      <c r="D5590" s="111" t="str">
        <f t="shared" ref="D5590:E5590" si="5588">TRIM(B5590)</f>
        <v>Iowa</v>
      </c>
      <c r="E5590" s="111" t="str">
        <f t="shared" si="5588"/>
        <v>Seymour</v>
      </c>
    </row>
    <row r="5591" spans="1:5">
      <c r="A5591" s="3" t="s">
        <v>4266</v>
      </c>
      <c r="B5591" s="110" t="s">
        <v>1335</v>
      </c>
      <c r="C5591" s="111" t="s">
        <v>2166</v>
      </c>
      <c r="D5591" s="111" t="str">
        <f t="shared" ref="D5591:E5591" si="5589">TRIM(B5591)</f>
        <v>Iowa</v>
      </c>
      <c r="E5591" s="111" t="str">
        <f t="shared" si="5589"/>
        <v>Sheffield</v>
      </c>
    </row>
    <row r="5592" spans="1:5">
      <c r="A5592" s="3" t="s">
        <v>6662</v>
      </c>
      <c r="B5592" s="110" t="s">
        <v>1335</v>
      </c>
      <c r="C5592" s="111" t="s">
        <v>15046</v>
      </c>
      <c r="D5592" s="111" t="str">
        <f t="shared" ref="D5592:E5592" si="5590">TRIM(B5592)</f>
        <v>Iowa</v>
      </c>
      <c r="E5592" s="111" t="str">
        <f t="shared" si="5590"/>
        <v>Sheldon</v>
      </c>
    </row>
    <row r="5593" spans="1:5">
      <c r="A5593" s="3" t="s">
        <v>14491</v>
      </c>
      <c r="B5593" s="110" t="s">
        <v>1335</v>
      </c>
      <c r="C5593" s="111" t="s">
        <v>15047</v>
      </c>
      <c r="D5593" s="111" t="str">
        <f t="shared" ref="D5593:E5593" si="5591">TRIM(B5593)</f>
        <v>Iowa</v>
      </c>
      <c r="E5593" s="111" t="str">
        <f t="shared" si="5591"/>
        <v>Shenandoah</v>
      </c>
    </row>
    <row r="5594" spans="1:5">
      <c r="A5594" s="3" t="s">
        <v>15048</v>
      </c>
      <c r="B5594" s="110" t="s">
        <v>1335</v>
      </c>
      <c r="C5594" s="111" t="s">
        <v>15049</v>
      </c>
      <c r="D5594" s="111" t="str">
        <f t="shared" ref="D5594:E5594" si="5592">TRIM(B5594)</f>
        <v>Iowa</v>
      </c>
      <c r="E5594" s="111" t="str">
        <f t="shared" si="5592"/>
        <v>Sibley</v>
      </c>
    </row>
    <row r="5595" spans="1:5">
      <c r="A5595" s="3" t="s">
        <v>15050</v>
      </c>
      <c r="B5595" s="110" t="s">
        <v>1335</v>
      </c>
      <c r="C5595" s="111" t="s">
        <v>15051</v>
      </c>
      <c r="D5595" s="111" t="str">
        <f t="shared" ref="D5595:E5595" si="5593">TRIM(B5595)</f>
        <v>Iowa</v>
      </c>
      <c r="E5595" s="111" t="str">
        <f t="shared" si="5593"/>
        <v>Sidney</v>
      </c>
    </row>
    <row r="5596" spans="1:5">
      <c r="A5596" s="3" t="s">
        <v>15052</v>
      </c>
      <c r="B5596" s="110" t="s">
        <v>1335</v>
      </c>
      <c r="C5596" s="111" t="s">
        <v>15053</v>
      </c>
      <c r="D5596" s="111" t="str">
        <f t="shared" ref="D5596:E5596" si="5594">TRIM(B5596)</f>
        <v>Iowa</v>
      </c>
      <c r="E5596" s="111" t="str">
        <f t="shared" si="5594"/>
        <v>Sigourney</v>
      </c>
    </row>
    <row r="5597" spans="1:5">
      <c r="A5597" s="3" t="s">
        <v>15054</v>
      </c>
      <c r="B5597" s="110" t="s">
        <v>1335</v>
      </c>
      <c r="C5597" s="111" t="s">
        <v>15055</v>
      </c>
      <c r="D5597" s="111" t="str">
        <f t="shared" ref="D5597:E5597" si="5595">TRIM(B5597)</f>
        <v>Iowa</v>
      </c>
      <c r="E5597" s="111" t="str">
        <f t="shared" si="5595"/>
        <v>Sioux Center</v>
      </c>
    </row>
    <row r="5598" spans="1:5">
      <c r="A5598" s="3" t="s">
        <v>2294</v>
      </c>
      <c r="B5598" s="110" t="s">
        <v>1335</v>
      </c>
      <c r="C5598" s="111" t="s">
        <v>15056</v>
      </c>
      <c r="D5598" s="111" t="str">
        <f t="shared" ref="D5598:E5598" si="5596">TRIM(B5598)</f>
        <v>Iowa</v>
      </c>
      <c r="E5598" s="111" t="str">
        <f t="shared" si="5596"/>
        <v>Sioux City</v>
      </c>
    </row>
    <row r="5599" spans="1:5">
      <c r="A5599" s="3" t="s">
        <v>3069</v>
      </c>
      <c r="B5599" s="110" t="s">
        <v>1335</v>
      </c>
      <c r="C5599" s="111" t="s">
        <v>15056</v>
      </c>
      <c r="D5599" s="111" t="str">
        <f t="shared" ref="D5599:E5599" si="5597">TRIM(B5599)</f>
        <v>Iowa</v>
      </c>
      <c r="E5599" s="111" t="str">
        <f t="shared" si="5597"/>
        <v>Sioux City</v>
      </c>
    </row>
    <row r="5600" spans="1:5">
      <c r="A5600" s="3" t="s">
        <v>2304</v>
      </c>
      <c r="B5600" s="110" t="s">
        <v>1335</v>
      </c>
      <c r="C5600" s="111" t="s">
        <v>15056</v>
      </c>
      <c r="D5600" s="111" t="str">
        <f t="shared" ref="D5600:E5600" si="5598">TRIM(B5600)</f>
        <v>Iowa</v>
      </c>
      <c r="E5600" s="111" t="str">
        <f t="shared" si="5598"/>
        <v>Sioux City</v>
      </c>
    </row>
    <row r="5601" spans="1:5">
      <c r="A5601" s="3" t="s">
        <v>15057</v>
      </c>
      <c r="B5601" s="110" t="s">
        <v>1335</v>
      </c>
      <c r="C5601" s="111" t="s">
        <v>15058</v>
      </c>
      <c r="D5601" s="111" t="str">
        <f t="shared" ref="D5601:E5601" si="5599">TRIM(B5601)</f>
        <v>Iowa</v>
      </c>
      <c r="E5601" s="111" t="str">
        <f t="shared" si="5599"/>
        <v>Sioux Rapids</v>
      </c>
    </row>
    <row r="5602" spans="1:5">
      <c r="A5602" s="3" t="s">
        <v>2860</v>
      </c>
      <c r="B5602" s="110" t="s">
        <v>1335</v>
      </c>
      <c r="C5602" s="111" t="s">
        <v>15059</v>
      </c>
      <c r="D5602" s="111" t="str">
        <f t="shared" ref="D5602:E5602" si="5600">TRIM(B5602)</f>
        <v>Iowa</v>
      </c>
      <c r="E5602" s="111" t="str">
        <f t="shared" si="5600"/>
        <v>Sloan</v>
      </c>
    </row>
    <row r="5603" spans="1:5">
      <c r="A5603" s="3" t="s">
        <v>15060</v>
      </c>
      <c r="B5603" s="110" t="s">
        <v>1335</v>
      </c>
      <c r="C5603" s="111" t="s">
        <v>6696</v>
      </c>
      <c r="D5603" s="111" t="str">
        <f t="shared" ref="D5603:E5603" si="5601">TRIM(B5603)</f>
        <v>Iowa</v>
      </c>
      <c r="E5603" s="111" t="str">
        <f t="shared" si="5601"/>
        <v>Solon</v>
      </c>
    </row>
    <row r="5604" spans="1:5">
      <c r="A5604" s="3" t="s">
        <v>10577</v>
      </c>
      <c r="B5604" s="110" t="s">
        <v>1335</v>
      </c>
      <c r="C5604" s="111" t="s">
        <v>14606</v>
      </c>
      <c r="D5604" s="111" t="str">
        <f t="shared" ref="D5604:E5604" si="5602">TRIM(B5604)</f>
        <v>Iowa</v>
      </c>
      <c r="E5604" s="111" t="str">
        <f t="shared" si="5602"/>
        <v>Spencer</v>
      </c>
    </row>
    <row r="5605" spans="1:5">
      <c r="A5605" s="3" t="s">
        <v>15061</v>
      </c>
      <c r="B5605" s="110" t="s">
        <v>1335</v>
      </c>
      <c r="C5605" s="111" t="s">
        <v>11909</v>
      </c>
      <c r="D5605" s="111" t="str">
        <f t="shared" ref="D5605:E5605" si="5603">TRIM(B5605)</f>
        <v>Iowa</v>
      </c>
      <c r="E5605" s="111" t="str">
        <f t="shared" si="5603"/>
        <v>Spirit Lake</v>
      </c>
    </row>
    <row r="5606" spans="1:5">
      <c r="A5606" s="110" t="s">
        <v>15062</v>
      </c>
      <c r="B5606" s="110" t="s">
        <v>1335</v>
      </c>
      <c r="C5606" s="111" t="s">
        <v>411</v>
      </c>
      <c r="D5606" s="111" t="str">
        <f t="shared" ref="D5606:E5606" si="5604">TRIM(B5606)</f>
        <v>Iowa</v>
      </c>
      <c r="E5606" s="111" t="str">
        <f t="shared" si="5604"/>
        <v>Springville</v>
      </c>
    </row>
    <row r="5607" spans="1:5">
      <c r="A5607" s="3" t="s">
        <v>15063</v>
      </c>
      <c r="B5607" s="110" t="s">
        <v>1335</v>
      </c>
      <c r="C5607" s="111" t="s">
        <v>15064</v>
      </c>
      <c r="D5607" s="111" t="str">
        <f t="shared" ref="D5607:E5607" si="5605">TRIM(B5607)</f>
        <v>Iowa</v>
      </c>
      <c r="E5607" s="111" t="str">
        <f t="shared" si="5605"/>
        <v>St Ansgar</v>
      </c>
    </row>
    <row r="5608" spans="1:5">
      <c r="A5608" s="3" t="s">
        <v>15065</v>
      </c>
      <c r="B5608" s="110" t="s">
        <v>1335</v>
      </c>
      <c r="C5608" s="111" t="s">
        <v>15066</v>
      </c>
      <c r="D5608" s="111" t="str">
        <f t="shared" ref="D5608:E5608" si="5606">TRIM(B5608)</f>
        <v>Iowa</v>
      </c>
      <c r="E5608" s="111" t="str">
        <f t="shared" si="5606"/>
        <v>Stanton</v>
      </c>
    </row>
    <row r="5609" spans="1:5">
      <c r="A5609" s="3" t="s">
        <v>15067</v>
      </c>
      <c r="B5609" s="110" t="s">
        <v>1335</v>
      </c>
      <c r="C5609" s="111" t="s">
        <v>15068</v>
      </c>
      <c r="D5609" s="111" t="str">
        <f t="shared" ref="D5609:E5609" si="5607">TRIM(B5609)</f>
        <v>Iowa</v>
      </c>
      <c r="E5609" s="111" t="str">
        <f t="shared" si="5607"/>
        <v>State Center</v>
      </c>
    </row>
    <row r="5610" spans="1:5">
      <c r="A5610" s="3" t="s">
        <v>15069</v>
      </c>
      <c r="B5610" s="110" t="s">
        <v>1335</v>
      </c>
      <c r="C5610" s="111" t="s">
        <v>15070</v>
      </c>
      <c r="D5610" s="111" t="str">
        <f t="shared" ref="D5610:E5610" si="5608">TRIM(B5610)</f>
        <v>Iowa</v>
      </c>
      <c r="E5610" s="111" t="str">
        <f t="shared" si="5608"/>
        <v>Storm Lake</v>
      </c>
    </row>
    <row r="5611" spans="1:5">
      <c r="A5611" s="3" t="s">
        <v>15071</v>
      </c>
      <c r="B5611" s="110" t="s">
        <v>1335</v>
      </c>
      <c r="C5611" s="111" t="s">
        <v>15070</v>
      </c>
      <c r="D5611" s="111" t="str">
        <f t="shared" ref="D5611:E5611" si="5609">TRIM(B5611)</f>
        <v>Iowa</v>
      </c>
      <c r="E5611" s="111" t="str">
        <f t="shared" si="5609"/>
        <v>Storm Lake</v>
      </c>
    </row>
    <row r="5612" spans="1:5">
      <c r="A5612" s="3" t="s">
        <v>15072</v>
      </c>
      <c r="B5612" s="110" t="s">
        <v>1335</v>
      </c>
      <c r="C5612" s="111" t="s">
        <v>15073</v>
      </c>
      <c r="D5612" s="111" t="str">
        <f t="shared" ref="D5612:E5612" si="5610">TRIM(B5612)</f>
        <v>Iowa</v>
      </c>
      <c r="E5612" s="111" t="str">
        <f t="shared" si="5610"/>
        <v>Story City</v>
      </c>
    </row>
    <row r="5613" spans="1:5">
      <c r="A5613" s="3" t="s">
        <v>15074</v>
      </c>
      <c r="B5613" s="110" t="s">
        <v>1335</v>
      </c>
      <c r="C5613" s="111" t="s">
        <v>10120</v>
      </c>
      <c r="D5613" s="111" t="str">
        <f t="shared" ref="D5613:E5613" si="5611">TRIM(B5613)</f>
        <v>Iowa</v>
      </c>
      <c r="E5613" s="111" t="str">
        <f t="shared" si="5611"/>
        <v>Stuart</v>
      </c>
    </row>
    <row r="5614" spans="1:5">
      <c r="A5614" s="3" t="s">
        <v>15075</v>
      </c>
      <c r="B5614" s="110" t="s">
        <v>1335</v>
      </c>
      <c r="C5614" s="111" t="s">
        <v>15076</v>
      </c>
      <c r="D5614" s="111" t="str">
        <f t="shared" ref="D5614:E5614" si="5612">TRIM(B5614)</f>
        <v>Iowa</v>
      </c>
      <c r="E5614" s="111" t="str">
        <f t="shared" si="5612"/>
        <v>Sully</v>
      </c>
    </row>
    <row r="5615" spans="1:5">
      <c r="A5615" s="3" t="s">
        <v>15077</v>
      </c>
      <c r="B5615" s="110" t="s">
        <v>1335</v>
      </c>
      <c r="C5615" s="111" t="s">
        <v>6618</v>
      </c>
      <c r="D5615" s="111" t="str">
        <f t="shared" ref="D5615:E5615" si="5613">TRIM(B5615)</f>
        <v>Iowa</v>
      </c>
      <c r="E5615" s="111" t="str">
        <f t="shared" si="5613"/>
        <v>Sumner</v>
      </c>
    </row>
    <row r="5616" spans="1:5">
      <c r="A5616" s="3" t="s">
        <v>15078</v>
      </c>
      <c r="B5616" s="110" t="s">
        <v>1335</v>
      </c>
      <c r="C5616" s="111" t="s">
        <v>15079</v>
      </c>
      <c r="D5616" s="111" t="str">
        <f t="shared" ref="D5616:E5616" si="5614">TRIM(B5616)</f>
        <v>Iowa</v>
      </c>
      <c r="E5616" s="111" t="str">
        <f t="shared" si="5614"/>
        <v>Tabor</v>
      </c>
    </row>
    <row r="5617" spans="1:5">
      <c r="A5617" s="3" t="s">
        <v>15080</v>
      </c>
      <c r="B5617" s="110" t="s">
        <v>1335</v>
      </c>
      <c r="C5617" s="111" t="s">
        <v>15081</v>
      </c>
      <c r="D5617" s="111" t="str">
        <f t="shared" ref="D5617:E5617" si="5615">TRIM(B5617)</f>
        <v>Iowa</v>
      </c>
      <c r="E5617" s="111" t="str">
        <f t="shared" si="5615"/>
        <v>Tama</v>
      </c>
    </row>
    <row r="5618" spans="1:5">
      <c r="A5618" s="3" t="s">
        <v>15082</v>
      </c>
      <c r="B5618" s="110" t="s">
        <v>1335</v>
      </c>
      <c r="C5618" s="111" t="s">
        <v>15083</v>
      </c>
      <c r="D5618" s="111" t="str">
        <f t="shared" ref="D5618:E5618" si="5616">TRIM(B5618)</f>
        <v>Iowa</v>
      </c>
      <c r="E5618" s="111" t="str">
        <f t="shared" si="5616"/>
        <v>Thornburg</v>
      </c>
    </row>
    <row r="5619" spans="1:5">
      <c r="A5619" s="3" t="s">
        <v>15084</v>
      </c>
      <c r="B5619" s="110" t="s">
        <v>1335</v>
      </c>
      <c r="C5619" s="111" t="s">
        <v>15085</v>
      </c>
      <c r="D5619" s="111" t="str">
        <f t="shared" ref="D5619:E5619" si="5617">TRIM(B5619)</f>
        <v>Iowa</v>
      </c>
      <c r="E5619" s="111" t="str">
        <f t="shared" si="5617"/>
        <v>Tiffin</v>
      </c>
    </row>
    <row r="5620" spans="1:5">
      <c r="A5620" s="3" t="s">
        <v>14623</v>
      </c>
      <c r="B5620" s="110" t="s">
        <v>1335</v>
      </c>
      <c r="C5620" s="111" t="s">
        <v>14624</v>
      </c>
      <c r="D5620" s="111" t="str">
        <f t="shared" ref="D5620:E5620" si="5618">TRIM(B5620)</f>
        <v>Iowa</v>
      </c>
      <c r="E5620" s="111" t="str">
        <f t="shared" si="5618"/>
        <v>Tipton</v>
      </c>
    </row>
    <row r="5621" spans="1:5">
      <c r="A5621" s="3" t="s">
        <v>15086</v>
      </c>
      <c r="B5621" s="110" t="s">
        <v>1335</v>
      </c>
      <c r="C5621" s="111" t="s">
        <v>15087</v>
      </c>
      <c r="D5621" s="111" t="str">
        <f t="shared" ref="D5621:E5621" si="5619">TRIM(B5621)</f>
        <v>Iowa</v>
      </c>
      <c r="E5621" s="111" t="str">
        <f t="shared" si="5619"/>
        <v>Traer</v>
      </c>
    </row>
    <row r="5622" spans="1:5">
      <c r="A5622" s="3" t="s">
        <v>15088</v>
      </c>
      <c r="B5622" s="110" t="s">
        <v>1335</v>
      </c>
      <c r="C5622" s="111" t="s">
        <v>15089</v>
      </c>
      <c r="D5622" s="111" t="str">
        <f t="shared" ref="D5622:E5622" si="5620">TRIM(B5622)</f>
        <v>Iowa</v>
      </c>
      <c r="E5622" s="111" t="str">
        <f t="shared" si="5620"/>
        <v>Treynor</v>
      </c>
    </row>
    <row r="5623" spans="1:5">
      <c r="A5623" s="3" t="s">
        <v>15090</v>
      </c>
      <c r="B5623" s="110" t="s">
        <v>1335</v>
      </c>
      <c r="C5623" s="111" t="s">
        <v>15091</v>
      </c>
      <c r="D5623" s="111" t="str">
        <f t="shared" ref="D5623:E5623" si="5621">TRIM(B5623)</f>
        <v>Iowa</v>
      </c>
      <c r="E5623" s="111" t="str">
        <f t="shared" si="5621"/>
        <v>Tripoli</v>
      </c>
    </row>
    <row r="5624" spans="1:5">
      <c r="A5624" s="3" t="s">
        <v>15092</v>
      </c>
      <c r="B5624" s="110" t="s">
        <v>1335</v>
      </c>
      <c r="C5624" s="111" t="s">
        <v>15093</v>
      </c>
      <c r="D5624" s="111" t="str">
        <f t="shared" ref="D5624:E5624" si="5622">TRIM(B5624)</f>
        <v>Iowa</v>
      </c>
      <c r="E5624" s="111" t="str">
        <f t="shared" si="5622"/>
        <v>Troy Mills</v>
      </c>
    </row>
    <row r="5625" spans="1:5">
      <c r="A5625" s="110" t="s">
        <v>15094</v>
      </c>
      <c r="B5625" s="110" t="s">
        <v>1335</v>
      </c>
      <c r="C5625" s="111" t="s">
        <v>15095</v>
      </c>
      <c r="D5625" s="111" t="str">
        <f t="shared" ref="D5625:E5625" si="5623">TRIM(B5625)</f>
        <v>Iowa</v>
      </c>
      <c r="E5625" s="111" t="str">
        <f t="shared" si="5623"/>
        <v>Truro</v>
      </c>
    </row>
    <row r="5626" spans="1:5">
      <c r="A5626" s="3" t="s">
        <v>15096</v>
      </c>
      <c r="B5626" s="110" t="s">
        <v>1335</v>
      </c>
      <c r="C5626" s="111" t="s">
        <v>15097</v>
      </c>
      <c r="D5626" s="111" t="str">
        <f t="shared" ref="D5626:E5626" si="5624">TRIM(B5626)</f>
        <v>Iowa</v>
      </c>
      <c r="E5626" s="111" t="str">
        <f t="shared" si="5624"/>
        <v>Underwood</v>
      </c>
    </row>
    <row r="5627" spans="1:5">
      <c r="A5627" s="3" t="s">
        <v>15098</v>
      </c>
      <c r="B5627" s="110" t="s">
        <v>1335</v>
      </c>
      <c r="C5627" s="111" t="s">
        <v>15099</v>
      </c>
      <c r="D5627" s="111" t="str">
        <f t="shared" ref="D5627:E5627" si="5625">TRIM(B5627)</f>
        <v>Iowa</v>
      </c>
      <c r="E5627" s="111" t="str">
        <f t="shared" si="5625"/>
        <v>Urbandale</v>
      </c>
    </row>
    <row r="5628" spans="1:5">
      <c r="A5628" s="3" t="s">
        <v>15100</v>
      </c>
      <c r="B5628" s="110" t="s">
        <v>1335</v>
      </c>
      <c r="C5628" s="111" t="s">
        <v>15101</v>
      </c>
      <c r="D5628" s="111" t="str">
        <f t="shared" ref="D5628:E5628" si="5626">TRIM(B5628)</f>
        <v>Iowa</v>
      </c>
      <c r="E5628" s="111" t="str">
        <f t="shared" si="5626"/>
        <v>Van Horne</v>
      </c>
    </row>
    <row r="5629" spans="1:5">
      <c r="A5629" s="3" t="s">
        <v>15102</v>
      </c>
      <c r="B5629" s="110" t="s">
        <v>1335</v>
      </c>
      <c r="C5629" s="111" t="s">
        <v>15103</v>
      </c>
      <c r="D5629" s="111" t="str">
        <f t="shared" ref="D5629:E5629" si="5627">TRIM(B5629)</f>
        <v>Iowa</v>
      </c>
      <c r="E5629" s="111" t="str">
        <f t="shared" si="5627"/>
        <v>Van Meter</v>
      </c>
    </row>
    <row r="5630" spans="1:5">
      <c r="A5630" s="3" t="s">
        <v>15104</v>
      </c>
      <c r="B5630" s="110" t="s">
        <v>1335</v>
      </c>
      <c r="C5630" s="111" t="s">
        <v>4686</v>
      </c>
      <c r="D5630" s="111" t="str">
        <f t="shared" ref="D5630:E5630" si="5628">TRIM(B5630)</f>
        <v>Iowa</v>
      </c>
      <c r="E5630" s="111" t="str">
        <f t="shared" si="5628"/>
        <v>Victor</v>
      </c>
    </row>
    <row r="5631" spans="1:5">
      <c r="A5631" s="3" t="s">
        <v>15105</v>
      </c>
      <c r="B5631" s="110" t="s">
        <v>1335</v>
      </c>
      <c r="C5631" s="111" t="s">
        <v>15106</v>
      </c>
      <c r="D5631" s="111" t="str">
        <f t="shared" ref="D5631:E5631" si="5629">TRIM(B5631)</f>
        <v>Iowa</v>
      </c>
      <c r="E5631" s="111" t="str">
        <f t="shared" si="5629"/>
        <v>Vinton</v>
      </c>
    </row>
    <row r="5632" spans="1:5">
      <c r="A5632" s="3" t="s">
        <v>15107</v>
      </c>
      <c r="B5632" s="110" t="s">
        <v>1335</v>
      </c>
      <c r="C5632" s="111" t="s">
        <v>15108</v>
      </c>
      <c r="D5632" s="111" t="str">
        <f t="shared" ref="D5632:E5632" si="5630">TRIM(B5632)</f>
        <v>Iowa</v>
      </c>
      <c r="E5632" s="111" t="str">
        <f t="shared" si="5630"/>
        <v>Wapello</v>
      </c>
    </row>
    <row r="5633" spans="1:5">
      <c r="A5633" s="3" t="s">
        <v>3140</v>
      </c>
      <c r="B5633" s="110" t="s">
        <v>1335</v>
      </c>
      <c r="C5633" s="111" t="s">
        <v>276</v>
      </c>
      <c r="D5633" s="111" t="str">
        <f t="shared" ref="D5633:E5633" si="5631">TRIM(B5633)</f>
        <v>Iowa</v>
      </c>
      <c r="E5633" s="111" t="str">
        <f t="shared" si="5631"/>
        <v>Washington</v>
      </c>
    </row>
    <row r="5634" spans="1:5">
      <c r="A5634" s="3" t="s">
        <v>2294</v>
      </c>
      <c r="B5634" s="110" t="s">
        <v>1335</v>
      </c>
      <c r="C5634" s="111" t="s">
        <v>13990</v>
      </c>
      <c r="D5634" s="111" t="str">
        <f t="shared" ref="D5634:E5634" si="5632">TRIM(B5634)</f>
        <v>Iowa</v>
      </c>
      <c r="E5634" s="111" t="str">
        <f t="shared" si="5632"/>
        <v>Waterloo</v>
      </c>
    </row>
    <row r="5635" spans="1:5">
      <c r="A5635" s="3" t="s">
        <v>2304</v>
      </c>
      <c r="B5635" s="110" t="s">
        <v>1335</v>
      </c>
      <c r="C5635" s="111" t="s">
        <v>13990</v>
      </c>
      <c r="D5635" s="111" t="str">
        <f t="shared" ref="D5635:E5635" si="5633">TRIM(B5635)</f>
        <v>Iowa</v>
      </c>
      <c r="E5635" s="111" t="str">
        <f t="shared" si="5633"/>
        <v>Waterloo</v>
      </c>
    </row>
    <row r="5636" spans="1:5">
      <c r="A5636" s="3" t="s">
        <v>15109</v>
      </c>
      <c r="B5636" s="110" t="s">
        <v>1335</v>
      </c>
      <c r="C5636" s="111" t="s">
        <v>3447</v>
      </c>
      <c r="D5636" s="111" t="str">
        <f t="shared" ref="D5636:E5636" si="5634">TRIM(B5636)</f>
        <v>Iowa</v>
      </c>
      <c r="E5636" s="111" t="str">
        <f t="shared" si="5634"/>
        <v>Waukee</v>
      </c>
    </row>
    <row r="5637" spans="1:5">
      <c r="A5637" s="3" t="s">
        <v>15110</v>
      </c>
      <c r="B5637" s="110" t="s">
        <v>1335</v>
      </c>
      <c r="C5637" s="111" t="s">
        <v>15111</v>
      </c>
      <c r="D5637" s="111" t="str">
        <f t="shared" ref="D5637:E5637" si="5635">TRIM(B5637)</f>
        <v>Iowa</v>
      </c>
      <c r="E5637" s="111" t="str">
        <f t="shared" si="5635"/>
        <v>Waukon</v>
      </c>
    </row>
    <row r="5638" spans="1:5">
      <c r="A5638" s="3" t="s">
        <v>15112</v>
      </c>
      <c r="B5638" s="110" t="s">
        <v>1335</v>
      </c>
      <c r="C5638" s="111" t="s">
        <v>517</v>
      </c>
      <c r="D5638" s="111" t="str">
        <f t="shared" ref="D5638:E5638" si="5636">TRIM(B5638)</f>
        <v>Iowa</v>
      </c>
      <c r="E5638" s="111" t="str">
        <f t="shared" si="5636"/>
        <v>Waverly</v>
      </c>
    </row>
    <row r="5639" spans="1:5">
      <c r="A5639" s="3" t="s">
        <v>15113</v>
      </c>
      <c r="B5639" s="110" t="s">
        <v>1335</v>
      </c>
      <c r="C5639" s="111" t="s">
        <v>15114</v>
      </c>
      <c r="D5639" s="111" t="str">
        <f t="shared" ref="D5639:E5639" si="5637">TRIM(B5639)</f>
        <v>Iowa</v>
      </c>
      <c r="E5639" s="111" t="str">
        <f t="shared" si="5637"/>
        <v>Wayland</v>
      </c>
    </row>
    <row r="5640" spans="1:5">
      <c r="A5640" s="3" t="s">
        <v>15115</v>
      </c>
      <c r="B5640" s="110" t="s">
        <v>1335</v>
      </c>
      <c r="C5640" s="111" t="s">
        <v>15116</v>
      </c>
      <c r="D5640" s="111" t="str">
        <f t="shared" ref="D5640:E5640" si="5638">TRIM(B5640)</f>
        <v>Iowa</v>
      </c>
      <c r="E5640" s="111" t="str">
        <f t="shared" si="5638"/>
        <v>Webster City</v>
      </c>
    </row>
    <row r="5641" spans="1:5">
      <c r="A5641" s="3" t="s">
        <v>15117</v>
      </c>
      <c r="B5641" s="110" t="s">
        <v>1335</v>
      </c>
      <c r="C5641" s="111" t="s">
        <v>15118</v>
      </c>
      <c r="D5641" s="111" t="str">
        <f t="shared" ref="D5641:E5641" si="5639">TRIM(B5641)</f>
        <v>Iowa</v>
      </c>
      <c r="E5641" s="111" t="str">
        <f t="shared" si="5639"/>
        <v>Wellman</v>
      </c>
    </row>
    <row r="5642" spans="1:5">
      <c r="A5642" s="3" t="s">
        <v>15119</v>
      </c>
      <c r="B5642" s="110" t="s">
        <v>1335</v>
      </c>
      <c r="C5642" s="111" t="s">
        <v>15120</v>
      </c>
      <c r="D5642" s="111" t="str">
        <f t="shared" ref="D5642:E5642" si="5640">TRIM(B5642)</f>
        <v>Iowa</v>
      </c>
      <c r="E5642" s="111" t="str">
        <f t="shared" si="5640"/>
        <v>West Bend</v>
      </c>
    </row>
    <row r="5643" spans="1:5">
      <c r="A5643" s="3" t="s">
        <v>15121</v>
      </c>
      <c r="B5643" s="110" t="s">
        <v>1335</v>
      </c>
      <c r="C5643" s="111" t="s">
        <v>15122</v>
      </c>
      <c r="D5643" s="111" t="str">
        <f t="shared" ref="D5643:E5643" si="5641">TRIM(B5643)</f>
        <v>Iowa</v>
      </c>
      <c r="E5643" s="111" t="str">
        <f t="shared" si="5641"/>
        <v>West Branch</v>
      </c>
    </row>
    <row r="5644" spans="1:5">
      <c r="A5644" s="3" t="s">
        <v>15123</v>
      </c>
      <c r="B5644" s="110" t="s">
        <v>1335</v>
      </c>
      <c r="C5644" s="111" t="s">
        <v>15124</v>
      </c>
      <c r="D5644" s="111" t="str">
        <f t="shared" ref="D5644:E5644" si="5642">TRIM(B5644)</f>
        <v>Iowa</v>
      </c>
      <c r="E5644" s="111" t="str">
        <f t="shared" si="5642"/>
        <v>West Burlington</v>
      </c>
    </row>
    <row r="5645" spans="1:5">
      <c r="A5645" s="3" t="s">
        <v>2256</v>
      </c>
      <c r="B5645" s="110" t="s">
        <v>1335</v>
      </c>
      <c r="C5645" s="113" t="s">
        <v>15125</v>
      </c>
      <c r="D5645" s="111" t="str">
        <f t="shared" ref="D5645:E5645" si="5643">TRIM(B5645)</f>
        <v>Iowa</v>
      </c>
      <c r="E5645" s="111" t="str">
        <f t="shared" si="5643"/>
        <v>West Des Moines</v>
      </c>
    </row>
    <row r="5646" spans="1:5">
      <c r="A5646" s="3" t="s">
        <v>15126</v>
      </c>
      <c r="B5646" s="110" t="s">
        <v>1335</v>
      </c>
      <c r="C5646" s="111" t="s">
        <v>15127</v>
      </c>
      <c r="D5646" s="111" t="str">
        <f t="shared" ref="D5646:E5646" si="5644">TRIM(B5646)</f>
        <v>Iowa</v>
      </c>
      <c r="E5646" s="111" t="str">
        <f t="shared" si="5644"/>
        <v>West Liberty</v>
      </c>
    </row>
    <row r="5647" spans="1:5">
      <c r="A5647" s="3" t="s">
        <v>15128</v>
      </c>
      <c r="B5647" s="110" t="s">
        <v>1335</v>
      </c>
      <c r="C5647" s="111" t="s">
        <v>15129</v>
      </c>
      <c r="D5647" s="111" t="str">
        <f t="shared" ref="D5647:E5647" si="5645">TRIM(B5647)</f>
        <v>Iowa</v>
      </c>
      <c r="E5647" s="111" t="str">
        <f t="shared" si="5645"/>
        <v>West Union</v>
      </c>
    </row>
    <row r="5648" spans="1:5">
      <c r="A5648" s="3" t="s">
        <v>15130</v>
      </c>
      <c r="B5648" s="110" t="s">
        <v>1335</v>
      </c>
      <c r="C5648" s="111" t="s">
        <v>15131</v>
      </c>
      <c r="D5648" s="111" t="str">
        <f t="shared" ref="D5648:E5648" si="5646">TRIM(B5648)</f>
        <v>Iowa</v>
      </c>
      <c r="E5648" s="111" t="str">
        <f t="shared" si="5646"/>
        <v>Westside</v>
      </c>
    </row>
    <row r="5649" spans="1:5">
      <c r="A5649" s="110" t="s">
        <v>15132</v>
      </c>
      <c r="B5649" s="110" t="s">
        <v>1335</v>
      </c>
      <c r="C5649" s="111" t="s">
        <v>7487</v>
      </c>
      <c r="D5649" s="111" t="str">
        <f t="shared" ref="D5649:E5649" si="5647">TRIM(B5649)</f>
        <v>Iowa</v>
      </c>
      <c r="E5649" s="111" t="str">
        <f t="shared" si="5647"/>
        <v>Wheatland</v>
      </c>
    </row>
    <row r="5650" spans="1:5">
      <c r="A5650" s="3" t="s">
        <v>15133</v>
      </c>
      <c r="B5650" s="110" t="s">
        <v>1335</v>
      </c>
      <c r="C5650" s="111" t="s">
        <v>14668</v>
      </c>
      <c r="D5650" s="111" t="str">
        <f t="shared" ref="D5650:E5650" si="5648">TRIM(B5650)</f>
        <v>Iowa</v>
      </c>
      <c r="E5650" s="111" t="str">
        <f t="shared" si="5648"/>
        <v>Whiting</v>
      </c>
    </row>
    <row r="5651" spans="1:5">
      <c r="A5651" s="3" t="s">
        <v>15134</v>
      </c>
      <c r="B5651" s="110" t="s">
        <v>1335</v>
      </c>
      <c r="C5651" s="111" t="s">
        <v>558</v>
      </c>
      <c r="D5651" s="111" t="str">
        <f t="shared" ref="D5651:E5651" si="5649">TRIM(B5651)</f>
        <v>Iowa</v>
      </c>
      <c r="E5651" s="111" t="str">
        <f t="shared" si="5649"/>
        <v>Williamsburg</v>
      </c>
    </row>
    <row r="5652" spans="1:5">
      <c r="A5652" s="3" t="s">
        <v>15135</v>
      </c>
      <c r="B5652" s="110" t="s">
        <v>1335</v>
      </c>
      <c r="C5652" s="111" t="s">
        <v>8766</v>
      </c>
      <c r="D5652" s="111" t="str">
        <f t="shared" ref="D5652:E5652" si="5650">TRIM(B5652)</f>
        <v>Iowa</v>
      </c>
      <c r="E5652" s="111" t="str">
        <f t="shared" si="5650"/>
        <v>Wilton</v>
      </c>
    </row>
    <row r="5653" spans="1:5">
      <c r="A5653" s="3" t="s">
        <v>15136</v>
      </c>
      <c r="B5653" s="110" t="s">
        <v>1335</v>
      </c>
      <c r="C5653" s="111" t="s">
        <v>2284</v>
      </c>
      <c r="D5653" s="111" t="str">
        <f t="shared" ref="D5653:E5653" si="5651">TRIM(B5653)</f>
        <v>Iowa</v>
      </c>
      <c r="E5653" s="111" t="str">
        <f t="shared" si="5651"/>
        <v>Winfield</v>
      </c>
    </row>
    <row r="5654" spans="1:5">
      <c r="A5654" s="3" t="s">
        <v>15137</v>
      </c>
      <c r="B5654" s="110" t="s">
        <v>1335</v>
      </c>
      <c r="C5654" s="111" t="s">
        <v>15138</v>
      </c>
      <c r="D5654" s="111" t="str">
        <f t="shared" ref="D5654:E5654" si="5652">TRIM(B5654)</f>
        <v>Iowa</v>
      </c>
      <c r="E5654" s="111" t="str">
        <f t="shared" si="5652"/>
        <v>Winterset</v>
      </c>
    </row>
    <row r="5655" spans="1:5">
      <c r="A5655" s="3" t="s">
        <v>15139</v>
      </c>
      <c r="B5655" s="110" t="s">
        <v>1335</v>
      </c>
      <c r="C5655" s="111" t="s">
        <v>15140</v>
      </c>
      <c r="D5655" s="111" t="str">
        <f t="shared" ref="D5655:E5655" si="5653">TRIM(B5655)</f>
        <v>Iowa</v>
      </c>
      <c r="E5655" s="111" t="str">
        <f t="shared" si="5653"/>
        <v>Winthrop</v>
      </c>
    </row>
    <row r="5656" spans="1:5">
      <c r="A5656" s="3" t="s">
        <v>15141</v>
      </c>
      <c r="B5656" s="110" t="s">
        <v>1335</v>
      </c>
      <c r="C5656" s="111" t="s">
        <v>15142</v>
      </c>
      <c r="D5656" s="111" t="str">
        <f t="shared" ref="D5656:E5656" si="5654">TRIM(B5656)</f>
        <v>Iowa</v>
      </c>
      <c r="E5656" s="111" t="str">
        <f t="shared" si="5654"/>
        <v>Woodbine</v>
      </c>
    </row>
    <row r="5657" spans="1:5">
      <c r="A5657" s="3" t="s">
        <v>15143</v>
      </c>
      <c r="B5657" s="110" t="s">
        <v>1335</v>
      </c>
      <c r="C5657" s="111" t="s">
        <v>15144</v>
      </c>
      <c r="D5657" s="111" t="str">
        <f t="shared" ref="D5657:E5657" si="5655">TRIM(B5657)</f>
        <v>Iowa</v>
      </c>
      <c r="E5657" s="111" t="str">
        <f t="shared" si="5655"/>
        <v>Woodward</v>
      </c>
    </row>
    <row r="5658" spans="1:5">
      <c r="A5658" s="3" t="s">
        <v>15145</v>
      </c>
      <c r="B5658" s="110" t="s">
        <v>1335</v>
      </c>
      <c r="C5658" s="111" t="s">
        <v>1380</v>
      </c>
      <c r="D5658" s="111" t="str">
        <f t="shared" ref="D5658:E5658" si="5656">TRIM(B5658)</f>
        <v>Iowa</v>
      </c>
      <c r="E5658" s="111" t="str">
        <f t="shared" si="5656"/>
        <v>Wyoming</v>
      </c>
    </row>
    <row r="5659" spans="1:5">
      <c r="A5659" s="3" t="s">
        <v>15146</v>
      </c>
      <c r="B5659" s="110" t="s">
        <v>1337</v>
      </c>
      <c r="C5659" s="111" t="s">
        <v>15147</v>
      </c>
      <c r="D5659" s="111" t="str">
        <f t="shared" ref="D5659:E5659" si="5657">TRIM(B5659)</f>
        <v>Kansas</v>
      </c>
      <c r="E5659" s="111" t="str">
        <f t="shared" si="5657"/>
        <v>Abilene</v>
      </c>
    </row>
    <row r="5660" spans="1:5">
      <c r="A5660" s="110" t="s">
        <v>15148</v>
      </c>
      <c r="B5660" s="110" t="s">
        <v>1337</v>
      </c>
      <c r="C5660" s="111" t="s">
        <v>754</v>
      </c>
      <c r="D5660" s="111" t="str">
        <f t="shared" ref="D5660:E5660" si="5658">TRIM(B5660)</f>
        <v>Kansas</v>
      </c>
      <c r="E5660" s="111" t="str">
        <f t="shared" si="5658"/>
        <v>Allen</v>
      </c>
    </row>
    <row r="5661" spans="1:5">
      <c r="A5661" s="3" t="s">
        <v>15149</v>
      </c>
      <c r="B5661" s="110" t="s">
        <v>1337</v>
      </c>
      <c r="C5661" s="111" t="s">
        <v>3551</v>
      </c>
      <c r="D5661" s="111" t="str">
        <f t="shared" ref="D5661:E5661" si="5659">TRIM(B5661)</f>
        <v>Kansas</v>
      </c>
      <c r="E5661" s="111" t="str">
        <f t="shared" si="5659"/>
        <v>Alma</v>
      </c>
    </row>
    <row r="5662" spans="1:5">
      <c r="A5662" s="3" t="s">
        <v>15150</v>
      </c>
      <c r="B5662" s="110" t="s">
        <v>1337</v>
      </c>
      <c r="C5662" s="111" t="s">
        <v>15151</v>
      </c>
      <c r="D5662" s="111" t="str">
        <f t="shared" ref="D5662:E5662" si="5660">TRIM(B5662)</f>
        <v>Kansas</v>
      </c>
      <c r="E5662" s="111" t="str">
        <f t="shared" si="5660"/>
        <v>Almena</v>
      </c>
    </row>
    <row r="5663" spans="1:5">
      <c r="A5663" s="3" t="s">
        <v>15152</v>
      </c>
      <c r="B5663" s="110" t="s">
        <v>1337</v>
      </c>
      <c r="C5663" s="111" t="s">
        <v>11959</v>
      </c>
      <c r="D5663" s="111" t="str">
        <f t="shared" ref="D5663:E5663" si="5661">TRIM(B5663)</f>
        <v>Kansas</v>
      </c>
      <c r="E5663" s="111" t="str">
        <f t="shared" si="5661"/>
        <v>Altamont</v>
      </c>
    </row>
    <row r="5664" spans="1:5">
      <c r="A5664" s="3" t="s">
        <v>15153</v>
      </c>
      <c r="B5664" s="110" t="s">
        <v>1337</v>
      </c>
      <c r="C5664" s="111" t="s">
        <v>6910</v>
      </c>
      <c r="D5664" s="111" t="str">
        <f t="shared" ref="D5664:E5664" si="5662">TRIM(B5664)</f>
        <v>Kansas</v>
      </c>
      <c r="E5664" s="111" t="str">
        <f t="shared" si="5662"/>
        <v>Andale</v>
      </c>
    </row>
    <row r="5665" spans="1:5">
      <c r="A5665" s="3" t="s">
        <v>15154</v>
      </c>
      <c r="B5665" s="110" t="s">
        <v>1337</v>
      </c>
      <c r="C5665" s="111" t="s">
        <v>1096</v>
      </c>
      <c r="D5665" s="111" t="str">
        <f t="shared" ref="D5665:E5665" si="5663">TRIM(B5665)</f>
        <v>Kansas</v>
      </c>
      <c r="E5665" s="111" t="str">
        <f t="shared" si="5663"/>
        <v>Andover</v>
      </c>
    </row>
    <row r="5666" spans="1:5">
      <c r="A5666" s="3" t="s">
        <v>15155</v>
      </c>
      <c r="B5666" s="110" t="s">
        <v>1337</v>
      </c>
      <c r="C5666" s="111" t="s">
        <v>1096</v>
      </c>
      <c r="D5666" s="111" t="str">
        <f t="shared" ref="D5666:E5666" si="5664">TRIM(B5666)</f>
        <v>Kansas</v>
      </c>
      <c r="E5666" s="111" t="str">
        <f t="shared" si="5664"/>
        <v>Andover</v>
      </c>
    </row>
    <row r="5667" spans="1:5">
      <c r="A5667" s="3" t="s">
        <v>15156</v>
      </c>
      <c r="B5667" s="110" t="s">
        <v>1337</v>
      </c>
      <c r="C5667" s="111" t="s">
        <v>15157</v>
      </c>
      <c r="D5667" s="111" t="str">
        <f t="shared" ref="D5667:E5667" si="5665">TRIM(B5667)</f>
        <v>Kansas</v>
      </c>
      <c r="E5667" s="111" t="str">
        <f t="shared" si="5665"/>
        <v>Anthony</v>
      </c>
    </row>
    <row r="5668" spans="1:5">
      <c r="A5668" s="3" t="s">
        <v>15158</v>
      </c>
      <c r="B5668" s="110" t="s">
        <v>1337</v>
      </c>
      <c r="C5668" s="111" t="s">
        <v>15159</v>
      </c>
      <c r="D5668" s="111" t="str">
        <f t="shared" ref="D5668:E5668" si="5666">TRIM(B5668)</f>
        <v>Kansas</v>
      </c>
      <c r="E5668" s="111" t="str">
        <f t="shared" si="5666"/>
        <v>Argonia</v>
      </c>
    </row>
    <row r="5669" spans="1:5">
      <c r="A5669" s="3" t="s">
        <v>15160</v>
      </c>
      <c r="B5669" s="110" t="s">
        <v>1337</v>
      </c>
      <c r="C5669" s="111" t="s">
        <v>15161</v>
      </c>
      <c r="D5669" s="111" t="str">
        <f t="shared" ref="D5669:E5669" si="5667">TRIM(B5669)</f>
        <v>Kansas</v>
      </c>
      <c r="E5669" s="111" t="str">
        <f t="shared" si="5667"/>
        <v>Arkansas City</v>
      </c>
    </row>
    <row r="5670" spans="1:5">
      <c r="A5670" s="3" t="s">
        <v>15162</v>
      </c>
      <c r="B5670" s="110" t="s">
        <v>1337</v>
      </c>
      <c r="C5670" s="111" t="s">
        <v>15163</v>
      </c>
      <c r="D5670" s="111" t="str">
        <f t="shared" ref="D5670:E5670" si="5668">TRIM(B5670)</f>
        <v>Kansas</v>
      </c>
      <c r="E5670" s="111" t="str">
        <f t="shared" si="5668"/>
        <v>Arma</v>
      </c>
    </row>
    <row r="5671" spans="1:5">
      <c r="A5671" s="3" t="s">
        <v>15164</v>
      </c>
      <c r="B5671" s="110" t="s">
        <v>1337</v>
      </c>
      <c r="C5671" s="111" t="s">
        <v>10817</v>
      </c>
      <c r="D5671" s="111" t="str">
        <f t="shared" ref="D5671:E5671" si="5669">TRIM(B5671)</f>
        <v>Kansas</v>
      </c>
      <c r="E5671" s="111" t="str">
        <f t="shared" si="5669"/>
        <v>Ashland</v>
      </c>
    </row>
    <row r="5672" spans="1:5">
      <c r="A5672" s="3" t="s">
        <v>15165</v>
      </c>
      <c r="B5672" s="110" t="s">
        <v>1337</v>
      </c>
      <c r="C5672" s="111" t="s">
        <v>10784</v>
      </c>
      <c r="D5672" s="111" t="str">
        <f t="shared" ref="D5672:E5672" si="5670">TRIM(B5672)</f>
        <v>Kansas</v>
      </c>
      <c r="E5672" s="111" t="str">
        <f t="shared" si="5670"/>
        <v>Atchison</v>
      </c>
    </row>
    <row r="5673" spans="1:5">
      <c r="A5673" s="3" t="s">
        <v>14105</v>
      </c>
      <c r="B5673" s="110" t="s">
        <v>1337</v>
      </c>
      <c r="C5673" s="111" t="s">
        <v>14106</v>
      </c>
      <c r="D5673" s="111" t="str">
        <f t="shared" ref="D5673:E5673" si="5671">TRIM(B5673)</f>
        <v>Kansas</v>
      </c>
      <c r="E5673" s="111" t="str">
        <f t="shared" si="5671"/>
        <v>Attica</v>
      </c>
    </row>
    <row r="5674" spans="1:5">
      <c r="A5674" s="3" t="s">
        <v>15166</v>
      </c>
      <c r="B5674" s="110" t="s">
        <v>1337</v>
      </c>
      <c r="C5674" s="111" t="s">
        <v>15167</v>
      </c>
      <c r="D5674" s="111" t="str">
        <f t="shared" ref="D5674:E5674" si="5672">TRIM(B5674)</f>
        <v>Kansas</v>
      </c>
      <c r="E5674" s="111" t="str">
        <f t="shared" si="5672"/>
        <v>Atwood</v>
      </c>
    </row>
    <row r="5675" spans="1:5">
      <c r="A5675" s="3" t="s">
        <v>15168</v>
      </c>
      <c r="B5675" s="110" t="s">
        <v>1337</v>
      </c>
      <c r="C5675" s="111" t="s">
        <v>337</v>
      </c>
      <c r="D5675" s="111" t="str">
        <f t="shared" ref="D5675:E5675" si="5673">TRIM(B5675)</f>
        <v>Kansas</v>
      </c>
      <c r="E5675" s="111" t="str">
        <f t="shared" si="5673"/>
        <v>Augusta</v>
      </c>
    </row>
    <row r="5676" spans="1:5">
      <c r="A5676" s="3" t="s">
        <v>15169</v>
      </c>
      <c r="B5676" s="110" t="s">
        <v>1337</v>
      </c>
      <c r="C5676" s="111" t="s">
        <v>15170</v>
      </c>
      <c r="D5676" s="111" t="str">
        <f t="shared" ref="D5676:E5676" si="5674">TRIM(B5676)</f>
        <v>Kansas</v>
      </c>
      <c r="E5676" s="111" t="str">
        <f t="shared" si="5674"/>
        <v>Axtell</v>
      </c>
    </row>
    <row r="5677" spans="1:5">
      <c r="A5677" s="3" t="s">
        <v>11085</v>
      </c>
      <c r="B5677" s="110" t="s">
        <v>1337</v>
      </c>
      <c r="C5677" s="111" t="s">
        <v>15171</v>
      </c>
      <c r="D5677" s="111" t="str">
        <f t="shared" ref="D5677:E5677" si="5675">TRIM(B5677)</f>
        <v>Kansas</v>
      </c>
      <c r="E5677" s="111" t="str">
        <f t="shared" si="5675"/>
        <v>Baldwin City</v>
      </c>
    </row>
    <row r="5678" spans="1:5">
      <c r="A5678" s="3" t="s">
        <v>15172</v>
      </c>
      <c r="B5678" s="110" t="s">
        <v>1337</v>
      </c>
      <c r="C5678" s="111" t="s">
        <v>15173</v>
      </c>
      <c r="D5678" s="111" t="str">
        <f t="shared" ref="D5678:E5678" si="5676">TRIM(B5678)</f>
        <v>Kansas</v>
      </c>
      <c r="E5678" s="111" t="str">
        <f t="shared" si="5676"/>
        <v>Basehor</v>
      </c>
    </row>
    <row r="5679" spans="1:5">
      <c r="A5679" s="3" t="s">
        <v>15174</v>
      </c>
      <c r="B5679" s="110" t="s">
        <v>1337</v>
      </c>
      <c r="C5679" s="111" t="s">
        <v>15175</v>
      </c>
      <c r="D5679" s="111" t="str">
        <f t="shared" ref="D5679:E5679" si="5677">TRIM(B5679)</f>
        <v>Kansas</v>
      </c>
      <c r="E5679" s="111" t="str">
        <f t="shared" si="5677"/>
        <v>Baxter Springs</v>
      </c>
    </row>
    <row r="5680" spans="1:5">
      <c r="A5680" s="3" t="s">
        <v>15176</v>
      </c>
      <c r="B5680" s="110" t="s">
        <v>1337</v>
      </c>
      <c r="C5680" s="111" t="s">
        <v>815</v>
      </c>
      <c r="D5680" s="111" t="str">
        <f t="shared" ref="D5680:E5680" si="5678">TRIM(B5680)</f>
        <v>Kansas</v>
      </c>
      <c r="E5680" s="111" t="str">
        <f t="shared" si="5678"/>
        <v>Bel Aire</v>
      </c>
    </row>
    <row r="5681" spans="1:5">
      <c r="A5681" s="3" t="s">
        <v>15177</v>
      </c>
      <c r="B5681" s="110" t="s">
        <v>1337</v>
      </c>
      <c r="C5681" s="111" t="s">
        <v>14714</v>
      </c>
      <c r="D5681" s="111" t="str">
        <f t="shared" ref="D5681:E5681" si="5679">TRIM(B5681)</f>
        <v>Kansas</v>
      </c>
      <c r="E5681" s="111" t="str">
        <f t="shared" si="5679"/>
        <v>Belle Plaine</v>
      </c>
    </row>
    <row r="5682" spans="1:5">
      <c r="A5682" s="3" t="s">
        <v>15178</v>
      </c>
      <c r="B5682" s="110" t="s">
        <v>1337</v>
      </c>
      <c r="C5682" s="111" t="s">
        <v>10569</v>
      </c>
      <c r="D5682" s="111" t="str">
        <f t="shared" ref="D5682:E5682" si="5680">TRIM(B5682)</f>
        <v>Kansas</v>
      </c>
      <c r="E5682" s="111" t="str">
        <f t="shared" si="5680"/>
        <v>Belleville</v>
      </c>
    </row>
    <row r="5683" spans="1:5">
      <c r="A5683" s="3" t="s">
        <v>15179</v>
      </c>
      <c r="B5683" s="110" t="s">
        <v>1337</v>
      </c>
      <c r="C5683" s="111" t="s">
        <v>7735</v>
      </c>
      <c r="D5683" s="111" t="str">
        <f t="shared" ref="D5683:E5683" si="5681">TRIM(B5683)</f>
        <v>Kansas</v>
      </c>
      <c r="E5683" s="111" t="str">
        <f t="shared" si="5681"/>
        <v>Beloit</v>
      </c>
    </row>
    <row r="5684" spans="1:5">
      <c r="A5684" s="3" t="s">
        <v>15180</v>
      </c>
      <c r="B5684" s="110" t="s">
        <v>1337</v>
      </c>
      <c r="C5684" s="111" t="s">
        <v>521</v>
      </c>
      <c r="D5684" s="111" t="str">
        <f t="shared" ref="D5684:E5684" si="5682">TRIM(B5684)</f>
        <v>Kansas</v>
      </c>
      <c r="E5684" s="111" t="str">
        <f t="shared" si="5682"/>
        <v>Bennington</v>
      </c>
    </row>
    <row r="5685" spans="1:5">
      <c r="A5685" s="3" t="s">
        <v>15181</v>
      </c>
      <c r="B5685" s="110" t="s">
        <v>1337</v>
      </c>
      <c r="C5685" s="111" t="s">
        <v>15182</v>
      </c>
      <c r="D5685" s="111" t="str">
        <f t="shared" ref="D5685:E5685" si="5683">TRIM(B5685)</f>
        <v>Kansas</v>
      </c>
      <c r="E5685" s="111" t="str">
        <f t="shared" si="5683"/>
        <v>Bird City</v>
      </c>
    </row>
    <row r="5686" spans="1:5">
      <c r="A5686" s="3" t="s">
        <v>15183</v>
      </c>
      <c r="B5686" s="110" t="s">
        <v>1337</v>
      </c>
      <c r="C5686" s="111" t="s">
        <v>15184</v>
      </c>
      <c r="D5686" s="111" t="str">
        <f t="shared" ref="D5686:E5686" si="5684">TRIM(B5686)</f>
        <v>Kansas</v>
      </c>
      <c r="E5686" s="111" t="str">
        <f t="shared" si="5684"/>
        <v>Blue Rapids</v>
      </c>
    </row>
    <row r="5687" spans="1:5">
      <c r="A5687" s="3" t="s">
        <v>15185</v>
      </c>
      <c r="B5687" s="110" t="s">
        <v>1337</v>
      </c>
      <c r="C5687" s="111" t="s">
        <v>15186</v>
      </c>
      <c r="D5687" s="111" t="str">
        <f t="shared" ref="D5687:E5687" si="5685">TRIM(B5687)</f>
        <v>Kansas</v>
      </c>
      <c r="E5687" s="111" t="str">
        <f t="shared" si="5685"/>
        <v>Bonner Springs</v>
      </c>
    </row>
    <row r="5688" spans="1:5">
      <c r="A5688" s="3" t="s">
        <v>15187</v>
      </c>
      <c r="B5688" s="110" t="s">
        <v>1337</v>
      </c>
      <c r="C5688" s="111" t="s">
        <v>7198</v>
      </c>
      <c r="D5688" s="111" t="str">
        <f t="shared" ref="D5688:E5688" si="5686">TRIM(B5688)</f>
        <v>Kansas</v>
      </c>
      <c r="E5688" s="111" t="str">
        <f t="shared" si="5686"/>
        <v>Brewster</v>
      </c>
    </row>
    <row r="5689" spans="1:5">
      <c r="A5689" s="3" t="s">
        <v>15188</v>
      </c>
      <c r="B5689" s="110" t="s">
        <v>1337</v>
      </c>
      <c r="C5689" s="111" t="s">
        <v>14162</v>
      </c>
      <c r="D5689" s="111" t="str">
        <f t="shared" ref="D5689:E5689" si="5687">TRIM(B5689)</f>
        <v>Kansas</v>
      </c>
      <c r="E5689" s="111" t="str">
        <f t="shared" si="5687"/>
        <v>Brookville</v>
      </c>
    </row>
    <row r="5690" spans="1:5">
      <c r="A5690" s="3" t="s">
        <v>15189</v>
      </c>
      <c r="B5690" s="110" t="s">
        <v>1337</v>
      </c>
      <c r="C5690" s="111" t="s">
        <v>15190</v>
      </c>
      <c r="D5690" s="111" t="str">
        <f t="shared" ref="D5690:E5690" si="5688">TRIM(B5690)</f>
        <v>Kansas</v>
      </c>
      <c r="E5690" s="111" t="str">
        <f t="shared" si="5688"/>
        <v>Bucklin</v>
      </c>
    </row>
    <row r="5691" spans="1:5">
      <c r="A5691" s="3" t="s">
        <v>15191</v>
      </c>
      <c r="B5691" s="110" t="s">
        <v>1337</v>
      </c>
      <c r="C5691" s="111" t="s">
        <v>12129</v>
      </c>
      <c r="D5691" s="111" t="str">
        <f t="shared" ref="D5691:E5691" si="5689">TRIM(B5691)</f>
        <v>Kansas</v>
      </c>
      <c r="E5691" s="111" t="str">
        <f t="shared" si="5689"/>
        <v>Buffalo</v>
      </c>
    </row>
    <row r="5692" spans="1:5">
      <c r="A5692" s="3" t="s">
        <v>15192</v>
      </c>
      <c r="B5692" s="110" t="s">
        <v>1337</v>
      </c>
      <c r="C5692" s="111" t="s">
        <v>15193</v>
      </c>
      <c r="D5692" s="111" t="str">
        <f t="shared" ref="D5692:E5692" si="5690">TRIM(B5692)</f>
        <v>Kansas</v>
      </c>
      <c r="E5692" s="111" t="str">
        <f t="shared" si="5690"/>
        <v>Buhler</v>
      </c>
    </row>
    <row r="5693" spans="1:5">
      <c r="A5693" s="3" t="s">
        <v>15194</v>
      </c>
      <c r="B5693" s="110" t="s">
        <v>1337</v>
      </c>
      <c r="C5693" s="111" t="s">
        <v>15195</v>
      </c>
      <c r="D5693" s="111" t="str">
        <f t="shared" ref="D5693:E5693" si="5691">TRIM(B5693)</f>
        <v>Kansas</v>
      </c>
      <c r="E5693" s="111" t="str">
        <f t="shared" si="5691"/>
        <v>Burden</v>
      </c>
    </row>
    <row r="5694" spans="1:5">
      <c r="A5694" s="3" t="s">
        <v>15196</v>
      </c>
      <c r="B5694" s="110" t="s">
        <v>1337</v>
      </c>
      <c r="C5694" s="111" t="s">
        <v>4542</v>
      </c>
      <c r="D5694" s="111" t="str">
        <f t="shared" ref="D5694:E5694" si="5692">TRIM(B5694)</f>
        <v>Kansas</v>
      </c>
      <c r="E5694" s="111" t="str">
        <f t="shared" si="5692"/>
        <v>Burlingame</v>
      </c>
    </row>
    <row r="5695" spans="1:5">
      <c r="A5695" s="3" t="s">
        <v>7666</v>
      </c>
      <c r="B5695" s="110" t="s">
        <v>1337</v>
      </c>
      <c r="C5695" s="111" t="s">
        <v>7667</v>
      </c>
      <c r="D5695" s="111" t="str">
        <f t="shared" ref="D5695:E5695" si="5693">TRIM(B5695)</f>
        <v>Kansas</v>
      </c>
      <c r="E5695" s="111" t="str">
        <f t="shared" si="5693"/>
        <v>Burlington</v>
      </c>
    </row>
    <row r="5696" spans="1:5">
      <c r="A5696" s="3" t="s">
        <v>15197</v>
      </c>
      <c r="B5696" s="110" t="s">
        <v>1337</v>
      </c>
      <c r="C5696" s="111" t="s">
        <v>15198</v>
      </c>
      <c r="D5696" s="111" t="str">
        <f t="shared" ref="D5696:E5696" si="5694">TRIM(B5696)</f>
        <v>Kansas</v>
      </c>
      <c r="E5696" s="111" t="str">
        <f t="shared" si="5694"/>
        <v>Burrton</v>
      </c>
    </row>
    <row r="5697" spans="1:5">
      <c r="A5697" s="110" t="s">
        <v>15199</v>
      </c>
      <c r="B5697" s="110" t="s">
        <v>1337</v>
      </c>
      <c r="C5697" s="111" t="s">
        <v>271</v>
      </c>
      <c r="D5697" s="111" t="str">
        <f t="shared" ref="D5697:E5697" si="5695">TRIM(B5697)</f>
        <v>Kansas</v>
      </c>
      <c r="E5697" s="111" t="str">
        <f t="shared" si="5695"/>
        <v>Caldwell</v>
      </c>
    </row>
    <row r="5698" spans="1:5">
      <c r="A5698" s="3" t="s">
        <v>15200</v>
      </c>
      <c r="B5698" s="110" t="s">
        <v>1337</v>
      </c>
      <c r="C5698" s="111" t="s">
        <v>15201</v>
      </c>
      <c r="D5698" s="111" t="str">
        <f t="shared" ref="D5698:E5698" si="5696">TRIM(B5698)</f>
        <v>Kansas</v>
      </c>
      <c r="E5698" s="111" t="str">
        <f t="shared" si="5696"/>
        <v>Caney</v>
      </c>
    </row>
    <row r="5699" spans="1:5">
      <c r="A5699" s="3" t="s">
        <v>15202</v>
      </c>
      <c r="B5699" s="110" t="s">
        <v>1337</v>
      </c>
      <c r="C5699" s="111" t="s">
        <v>15201</v>
      </c>
      <c r="D5699" s="111" t="str">
        <f t="shared" ref="D5699:E5699" si="5697">TRIM(B5699)</f>
        <v>Kansas</v>
      </c>
      <c r="E5699" s="111" t="str">
        <f t="shared" si="5697"/>
        <v>Caney</v>
      </c>
    </row>
    <row r="5700" spans="1:5">
      <c r="A5700" s="3" t="s">
        <v>15203</v>
      </c>
      <c r="B5700" s="110" t="s">
        <v>1337</v>
      </c>
      <c r="C5700" s="111" t="s">
        <v>1205</v>
      </c>
      <c r="D5700" s="111" t="str">
        <f t="shared" ref="D5700:E5700" si="5698">TRIM(B5700)</f>
        <v>Kansas</v>
      </c>
      <c r="E5700" s="111" t="str">
        <f t="shared" si="5698"/>
        <v>Canton</v>
      </c>
    </row>
    <row r="5701" spans="1:5">
      <c r="A5701" s="3" t="s">
        <v>15204</v>
      </c>
      <c r="B5701" s="110" t="s">
        <v>1337</v>
      </c>
      <c r="C5701" s="111" t="s">
        <v>5964</v>
      </c>
      <c r="D5701" s="111" t="str">
        <f t="shared" ref="D5701:E5701" si="5699">TRIM(B5701)</f>
        <v>Kansas</v>
      </c>
      <c r="E5701" s="111" t="str">
        <f t="shared" si="5699"/>
        <v>Carbondale</v>
      </c>
    </row>
    <row r="5702" spans="1:5">
      <c r="A5702" s="3" t="s">
        <v>15205</v>
      </c>
      <c r="B5702" s="110" t="s">
        <v>1337</v>
      </c>
      <c r="C5702" s="111" t="s">
        <v>15206</v>
      </c>
      <c r="D5702" s="111" t="str">
        <f t="shared" ref="D5702:E5702" si="5700">TRIM(B5702)</f>
        <v>Kansas</v>
      </c>
      <c r="E5702" s="111" t="str">
        <f t="shared" si="5700"/>
        <v>Cedar Vale</v>
      </c>
    </row>
    <row r="5703" spans="1:5">
      <c r="A5703" s="3" t="s">
        <v>12204</v>
      </c>
      <c r="B5703" s="110" t="s">
        <v>1337</v>
      </c>
      <c r="C5703" s="111" t="s">
        <v>12205</v>
      </c>
      <c r="D5703" s="111" t="str">
        <f t="shared" ref="D5703:E5703" si="5701">TRIM(B5703)</f>
        <v>Kansas</v>
      </c>
      <c r="E5703" s="111" t="str">
        <f t="shared" si="5701"/>
        <v>Centralia</v>
      </c>
    </row>
    <row r="5704" spans="1:5">
      <c r="A5704" s="3" t="s">
        <v>15207</v>
      </c>
      <c r="B5704" s="110" t="s">
        <v>1337</v>
      </c>
      <c r="C5704" s="111" t="s">
        <v>15208</v>
      </c>
      <c r="D5704" s="111" t="str">
        <f t="shared" ref="D5704:E5704" si="5702">TRIM(B5704)</f>
        <v>Kansas</v>
      </c>
      <c r="E5704" s="111" t="str">
        <f t="shared" si="5702"/>
        <v>Chanute</v>
      </c>
    </row>
    <row r="5705" spans="1:5">
      <c r="A5705" s="3" t="s">
        <v>15209</v>
      </c>
      <c r="B5705" s="110" t="s">
        <v>1337</v>
      </c>
      <c r="C5705" s="111" t="s">
        <v>15210</v>
      </c>
      <c r="D5705" s="111" t="str">
        <f t="shared" ref="D5705:E5705" si="5703">TRIM(B5705)</f>
        <v>Kansas</v>
      </c>
      <c r="E5705" s="111" t="str">
        <f t="shared" si="5703"/>
        <v>Chapman</v>
      </c>
    </row>
    <row r="5706" spans="1:5">
      <c r="A5706" s="3" t="s">
        <v>15211</v>
      </c>
      <c r="B5706" s="110" t="s">
        <v>1337</v>
      </c>
      <c r="C5706" s="111" t="s">
        <v>15212</v>
      </c>
      <c r="D5706" s="111" t="str">
        <f t="shared" ref="D5706:E5706" si="5704">TRIM(B5706)</f>
        <v>Kansas</v>
      </c>
      <c r="E5706" s="111" t="str">
        <f t="shared" si="5704"/>
        <v>Chase</v>
      </c>
    </row>
    <row r="5707" spans="1:5">
      <c r="A5707" s="3" t="s">
        <v>15213</v>
      </c>
      <c r="B5707" s="110" t="s">
        <v>1337</v>
      </c>
      <c r="C5707" s="111" t="s">
        <v>15214</v>
      </c>
      <c r="D5707" s="111" t="str">
        <f t="shared" ref="D5707:E5707" si="5705">TRIM(B5707)</f>
        <v>Kansas</v>
      </c>
      <c r="E5707" s="111" t="str">
        <f t="shared" si="5705"/>
        <v>Cheney</v>
      </c>
    </row>
    <row r="5708" spans="1:5">
      <c r="A5708" s="3" t="s">
        <v>8999</v>
      </c>
      <c r="B5708" s="110" t="s">
        <v>1337</v>
      </c>
      <c r="C5708" s="111" t="s">
        <v>1626</v>
      </c>
      <c r="D5708" s="111" t="str">
        <f t="shared" ref="D5708:E5708" si="5706">TRIM(B5708)</f>
        <v>Kansas</v>
      </c>
      <c r="E5708" s="111" t="str">
        <f t="shared" si="5706"/>
        <v>Cherokee</v>
      </c>
    </row>
    <row r="5709" spans="1:5">
      <c r="A5709" s="110" t="s">
        <v>15215</v>
      </c>
      <c r="B5709" s="110" t="s">
        <v>1337</v>
      </c>
      <c r="C5709" s="111" t="s">
        <v>15216</v>
      </c>
      <c r="D5709" s="111" t="str">
        <f t="shared" ref="D5709:E5709" si="5707">TRIM(B5709)</f>
        <v>Kansas</v>
      </c>
      <c r="E5709" s="111" t="str">
        <f t="shared" si="5707"/>
        <v>Cherryvale</v>
      </c>
    </row>
    <row r="5710" spans="1:5">
      <c r="A5710" s="3" t="s">
        <v>15217</v>
      </c>
      <c r="B5710" s="110" t="s">
        <v>1337</v>
      </c>
      <c r="C5710" s="111" t="s">
        <v>15218</v>
      </c>
      <c r="D5710" s="111" t="str">
        <f t="shared" ref="D5710:E5710" si="5708">TRIM(B5710)</f>
        <v>Kansas</v>
      </c>
      <c r="E5710" s="111" t="str">
        <f t="shared" si="5708"/>
        <v>Chetopa</v>
      </c>
    </row>
    <row r="5711" spans="1:5">
      <c r="A5711" s="3" t="s">
        <v>15219</v>
      </c>
      <c r="B5711" s="110" t="s">
        <v>1337</v>
      </c>
      <c r="C5711" s="111" t="s">
        <v>15220</v>
      </c>
      <c r="D5711" s="111" t="str">
        <f t="shared" ref="D5711:E5711" si="5709">TRIM(B5711)</f>
        <v>Kansas</v>
      </c>
      <c r="E5711" s="111" t="str">
        <f t="shared" si="5709"/>
        <v>Cimarron</v>
      </c>
    </row>
    <row r="5712" spans="1:5">
      <c r="A5712" s="3" t="s">
        <v>15221</v>
      </c>
      <c r="B5712" s="110" t="s">
        <v>1337</v>
      </c>
      <c r="C5712" s="111" t="s">
        <v>15222</v>
      </c>
      <c r="D5712" s="111" t="str">
        <f t="shared" ref="D5712:E5712" si="5710">TRIM(B5712)</f>
        <v>Kansas</v>
      </c>
      <c r="E5712" s="111" t="str">
        <f t="shared" si="5710"/>
        <v>Claflin</v>
      </c>
    </row>
    <row r="5713" spans="1:5">
      <c r="A5713" s="3" t="s">
        <v>15223</v>
      </c>
      <c r="B5713" s="110" t="s">
        <v>1337</v>
      </c>
      <c r="C5713" s="111" t="s">
        <v>15224</v>
      </c>
      <c r="D5713" s="111" t="str">
        <f t="shared" ref="D5713:E5713" si="5711">TRIM(B5713)</f>
        <v>Kansas</v>
      </c>
      <c r="E5713" s="111" t="str">
        <f t="shared" si="5711"/>
        <v>Clay Center</v>
      </c>
    </row>
    <row r="5714" spans="1:5">
      <c r="A5714" s="3" t="s">
        <v>9055</v>
      </c>
      <c r="B5714" s="110" t="s">
        <v>1337</v>
      </c>
      <c r="C5714" s="111" t="s">
        <v>6382</v>
      </c>
      <c r="D5714" s="111" t="str">
        <f t="shared" ref="D5714:E5714" si="5712">TRIM(B5714)</f>
        <v>Kansas</v>
      </c>
      <c r="E5714" s="111" t="str">
        <f t="shared" si="5712"/>
        <v>Clearwater</v>
      </c>
    </row>
    <row r="5715" spans="1:5">
      <c r="A5715" s="3" t="s">
        <v>15225</v>
      </c>
      <c r="B5715" s="110" t="s">
        <v>1337</v>
      </c>
      <c r="C5715" s="111" t="s">
        <v>15226</v>
      </c>
      <c r="D5715" s="111" t="str">
        <f t="shared" ref="D5715:E5715" si="5713">TRIM(B5715)</f>
        <v>Kansas</v>
      </c>
      <c r="E5715" s="111" t="str">
        <f t="shared" si="5713"/>
        <v>Clyde</v>
      </c>
    </row>
    <row r="5716" spans="1:5">
      <c r="A5716" s="3" t="s">
        <v>15227</v>
      </c>
      <c r="B5716" s="110" t="s">
        <v>1337</v>
      </c>
      <c r="C5716" s="111" t="s">
        <v>15228</v>
      </c>
      <c r="D5716" s="111" t="str">
        <f t="shared" ref="D5716:E5716" si="5714">TRIM(B5716)</f>
        <v>Kansas</v>
      </c>
      <c r="E5716" s="111" t="str">
        <f t="shared" si="5714"/>
        <v>Coffeyville</v>
      </c>
    </row>
    <row r="5717" spans="1:5">
      <c r="A5717" s="3" t="s">
        <v>15229</v>
      </c>
      <c r="B5717" s="110" t="s">
        <v>1337</v>
      </c>
      <c r="C5717" s="111" t="s">
        <v>15230</v>
      </c>
      <c r="D5717" s="111" t="str">
        <f t="shared" ref="D5717:E5717" si="5715">TRIM(B5717)</f>
        <v>Kansas</v>
      </c>
      <c r="E5717" s="111" t="str">
        <f t="shared" si="5715"/>
        <v>Colby</v>
      </c>
    </row>
    <row r="5718" spans="1:5">
      <c r="A5718" s="3" t="s">
        <v>12878</v>
      </c>
      <c r="B5718" s="110" t="s">
        <v>1337</v>
      </c>
      <c r="C5718" s="111" t="s">
        <v>15231</v>
      </c>
      <c r="D5718" s="111" t="str">
        <f t="shared" ref="D5718:E5718" si="5716">TRIM(B5718)</f>
        <v>Kansas</v>
      </c>
      <c r="E5718" s="111" t="str">
        <f t="shared" si="5716"/>
        <v>Coldwater</v>
      </c>
    </row>
    <row r="5719" spans="1:5">
      <c r="A5719" s="3" t="s">
        <v>15232</v>
      </c>
      <c r="B5719" s="110" t="s">
        <v>1337</v>
      </c>
      <c r="C5719" s="111" t="s">
        <v>15233</v>
      </c>
      <c r="D5719" s="111" t="str">
        <f t="shared" ref="D5719:E5719" si="5717">TRIM(B5719)</f>
        <v>Kansas</v>
      </c>
      <c r="E5719" s="111" t="str">
        <f t="shared" si="5717"/>
        <v>Colony</v>
      </c>
    </row>
    <row r="5720" spans="1:5">
      <c r="A5720" s="3" t="s">
        <v>10563</v>
      </c>
      <c r="B5720" s="110" t="s">
        <v>1337</v>
      </c>
      <c r="C5720" s="111" t="s">
        <v>138</v>
      </c>
      <c r="D5720" s="111" t="str">
        <f t="shared" ref="D5720:E5720" si="5718">TRIM(B5720)</f>
        <v>Kansas</v>
      </c>
      <c r="E5720" s="111" t="str">
        <f t="shared" si="5718"/>
        <v>Columbus</v>
      </c>
    </row>
    <row r="5721" spans="1:5">
      <c r="A5721" s="3" t="s">
        <v>15234</v>
      </c>
      <c r="B5721" s="110" t="s">
        <v>1337</v>
      </c>
      <c r="C5721" s="111" t="s">
        <v>15235</v>
      </c>
      <c r="D5721" s="111" t="str">
        <f t="shared" ref="D5721:E5721" si="5719">TRIM(B5721)</f>
        <v>Kansas</v>
      </c>
      <c r="E5721" s="111" t="str">
        <f t="shared" si="5719"/>
        <v>Concordia</v>
      </c>
    </row>
    <row r="5722" spans="1:5">
      <c r="A5722" s="3" t="s">
        <v>15236</v>
      </c>
      <c r="B5722" s="110" t="s">
        <v>1337</v>
      </c>
      <c r="C5722" s="111" t="s">
        <v>15237</v>
      </c>
      <c r="D5722" s="111" t="str">
        <f t="shared" ref="D5722:E5722" si="5720">TRIM(B5722)</f>
        <v>Kansas</v>
      </c>
      <c r="E5722" s="111" t="str">
        <f t="shared" si="5720"/>
        <v>Conway Springs</v>
      </c>
    </row>
    <row r="5723" spans="1:5">
      <c r="A5723" s="3" t="s">
        <v>15238</v>
      </c>
      <c r="B5723" s="110" t="s">
        <v>1337</v>
      </c>
      <c r="C5723" s="113" t="s">
        <v>15239</v>
      </c>
      <c r="D5723" s="111" t="str">
        <f t="shared" ref="D5723:E5723" si="5721">TRIM(B5723)</f>
        <v>Kansas</v>
      </c>
      <c r="E5723" s="111" t="str">
        <f t="shared" si="5721"/>
        <v>Cottonwood Falls</v>
      </c>
    </row>
    <row r="5724" spans="1:5">
      <c r="A5724" s="3" t="s">
        <v>15240</v>
      </c>
      <c r="B5724" s="110" t="s">
        <v>1337</v>
      </c>
      <c r="C5724" s="111" t="s">
        <v>15241</v>
      </c>
      <c r="D5724" s="111" t="str">
        <f t="shared" ref="D5724:E5724" si="5722">TRIM(B5724)</f>
        <v>Kansas</v>
      </c>
      <c r="E5724" s="111" t="str">
        <f t="shared" si="5722"/>
        <v>Council Grove</v>
      </c>
    </row>
    <row r="5725" spans="1:5">
      <c r="A5725" s="3" t="s">
        <v>15242</v>
      </c>
      <c r="B5725" s="110" t="s">
        <v>1337</v>
      </c>
      <c r="C5725" s="111" t="s">
        <v>15243</v>
      </c>
      <c r="D5725" s="111" t="str">
        <f t="shared" ref="D5725:E5725" si="5723">TRIM(B5725)</f>
        <v>Kansas</v>
      </c>
      <c r="E5725" s="111" t="str">
        <f t="shared" si="5723"/>
        <v>Cunningham</v>
      </c>
    </row>
    <row r="5726" spans="1:5">
      <c r="A5726" s="3" t="s">
        <v>15244</v>
      </c>
      <c r="B5726" s="110" t="s">
        <v>1337</v>
      </c>
      <c r="C5726" s="111" t="s">
        <v>15245</v>
      </c>
      <c r="D5726" s="111" t="str">
        <f t="shared" ref="D5726:E5726" si="5724">TRIM(B5726)</f>
        <v>Kansas</v>
      </c>
      <c r="E5726" s="111" t="str">
        <f t="shared" si="5724"/>
        <v>De Soto</v>
      </c>
    </row>
    <row r="5727" spans="1:5">
      <c r="A5727" s="3" t="s">
        <v>12748</v>
      </c>
      <c r="B5727" s="110" t="s">
        <v>1337</v>
      </c>
      <c r="C5727" s="111" t="s">
        <v>12749</v>
      </c>
      <c r="D5727" s="111" t="str">
        <f t="shared" ref="D5727:E5727" si="5725">TRIM(B5727)</f>
        <v>Kansas</v>
      </c>
      <c r="E5727" s="111" t="str">
        <f t="shared" si="5725"/>
        <v>Deerfield</v>
      </c>
    </row>
    <row r="5728" spans="1:5">
      <c r="A5728" s="3" t="s">
        <v>8419</v>
      </c>
      <c r="B5728" s="110" t="s">
        <v>1337</v>
      </c>
      <c r="C5728" s="111" t="s">
        <v>8420</v>
      </c>
      <c r="D5728" s="111" t="str">
        <f t="shared" ref="D5728:E5728" si="5726">TRIM(B5728)</f>
        <v>Kansas</v>
      </c>
      <c r="E5728" s="111" t="str">
        <f t="shared" si="5726"/>
        <v>Derby</v>
      </c>
    </row>
    <row r="5729" spans="1:5">
      <c r="A5729" s="3" t="s">
        <v>15246</v>
      </c>
      <c r="B5729" s="110" t="s">
        <v>1337</v>
      </c>
      <c r="C5729" s="111" t="s">
        <v>10669</v>
      </c>
      <c r="D5729" s="111" t="str">
        <f t="shared" ref="D5729:E5729" si="5727">TRIM(B5729)</f>
        <v>Kansas</v>
      </c>
      <c r="E5729" s="111" t="str">
        <f t="shared" si="5727"/>
        <v>Dexter</v>
      </c>
    </row>
    <row r="5730" spans="1:5">
      <c r="A5730" s="3" t="s">
        <v>15247</v>
      </c>
      <c r="B5730" s="110" t="s">
        <v>1337</v>
      </c>
      <c r="C5730" s="111" t="s">
        <v>15248</v>
      </c>
      <c r="D5730" s="111" t="str">
        <f t="shared" ref="D5730:E5730" si="5728">TRIM(B5730)</f>
        <v>Kansas</v>
      </c>
      <c r="E5730" s="111" t="str">
        <f t="shared" si="5728"/>
        <v>Dighton</v>
      </c>
    </row>
    <row r="5731" spans="1:5">
      <c r="A5731" s="3" t="s">
        <v>15249</v>
      </c>
      <c r="B5731" s="110" t="s">
        <v>1337</v>
      </c>
      <c r="C5731" s="111" t="s">
        <v>457</v>
      </c>
      <c r="D5731" s="111" t="str">
        <f t="shared" ref="D5731:E5731" si="5729">TRIM(B5731)</f>
        <v>Kansas</v>
      </c>
      <c r="E5731" s="111" t="str">
        <f t="shared" si="5729"/>
        <v>Dodge City</v>
      </c>
    </row>
    <row r="5732" spans="1:5">
      <c r="A5732" s="3" t="s">
        <v>10346</v>
      </c>
      <c r="B5732" s="110" t="s">
        <v>1337</v>
      </c>
      <c r="C5732" s="111" t="s">
        <v>15250</v>
      </c>
      <c r="D5732" s="111" t="str">
        <f t="shared" ref="D5732:E5732" si="5730">TRIM(B5732)</f>
        <v>Kansas</v>
      </c>
      <c r="E5732" s="111" t="str">
        <f t="shared" si="5730"/>
        <v>Douglass</v>
      </c>
    </row>
    <row r="5733" spans="1:5">
      <c r="A5733" s="3" t="s">
        <v>15251</v>
      </c>
      <c r="B5733" s="110" t="s">
        <v>1337</v>
      </c>
      <c r="C5733" s="111" t="s">
        <v>12791</v>
      </c>
      <c r="D5733" s="111" t="str">
        <f t="shared" ref="D5733:E5733" si="5731">TRIM(B5733)</f>
        <v>Kansas</v>
      </c>
      <c r="E5733" s="111" t="str">
        <f t="shared" si="5731"/>
        <v>Downs</v>
      </c>
    </row>
    <row r="5734" spans="1:5">
      <c r="A5734" s="3" t="s">
        <v>15252</v>
      </c>
      <c r="B5734" s="110" t="s">
        <v>1337</v>
      </c>
      <c r="C5734" s="111" t="s">
        <v>9761</v>
      </c>
      <c r="D5734" s="111" t="str">
        <f t="shared" ref="D5734:E5734" si="5732">TRIM(B5734)</f>
        <v>Kansas</v>
      </c>
      <c r="E5734" s="111" t="str">
        <f t="shared" si="5732"/>
        <v>Easton</v>
      </c>
    </row>
    <row r="5735" spans="1:5">
      <c r="A5735" s="3" t="s">
        <v>15253</v>
      </c>
      <c r="B5735" s="110" t="s">
        <v>1337</v>
      </c>
      <c r="C5735" s="111" t="s">
        <v>462</v>
      </c>
      <c r="D5735" s="111" t="str">
        <f t="shared" ref="D5735:E5735" si="5733">TRIM(B5735)</f>
        <v>Kansas</v>
      </c>
      <c r="E5735" s="111" t="str">
        <f t="shared" si="5733"/>
        <v>Effingham</v>
      </c>
    </row>
    <row r="5736" spans="1:5">
      <c r="A5736" s="3" t="s">
        <v>3753</v>
      </c>
      <c r="B5736" s="110" t="s">
        <v>1337</v>
      </c>
      <c r="C5736" s="111" t="s">
        <v>3754</v>
      </c>
      <c r="D5736" s="111" t="str">
        <f t="shared" ref="D5736:E5736" si="5734">TRIM(B5736)</f>
        <v>Kansas</v>
      </c>
      <c r="E5736" s="111" t="str">
        <f t="shared" si="5734"/>
        <v>El Dorado</v>
      </c>
    </row>
    <row r="5737" spans="1:5">
      <c r="A5737" s="3" t="s">
        <v>15254</v>
      </c>
      <c r="B5737" s="110" t="s">
        <v>1337</v>
      </c>
      <c r="C5737" s="111" t="s">
        <v>14283</v>
      </c>
      <c r="D5737" s="111" t="str">
        <f t="shared" ref="D5737:E5737" si="5735">TRIM(B5737)</f>
        <v>Kansas</v>
      </c>
      <c r="E5737" s="111" t="str">
        <f t="shared" si="5735"/>
        <v>Elkhart</v>
      </c>
    </row>
    <row r="5738" spans="1:5">
      <c r="A5738" s="3" t="s">
        <v>15255</v>
      </c>
      <c r="B5738" s="110" t="s">
        <v>1337</v>
      </c>
      <c r="C5738" s="111" t="s">
        <v>15256</v>
      </c>
      <c r="D5738" s="111" t="str">
        <f t="shared" ref="D5738:E5738" si="5736">TRIM(B5738)</f>
        <v>Kansas</v>
      </c>
      <c r="E5738" s="111" t="str">
        <f t="shared" si="5736"/>
        <v>Ellinwood</v>
      </c>
    </row>
    <row r="5739" spans="1:5">
      <c r="A5739" s="3" t="s">
        <v>15257</v>
      </c>
      <c r="B5739" s="110" t="s">
        <v>1337</v>
      </c>
      <c r="C5739" s="111" t="s">
        <v>15258</v>
      </c>
      <c r="D5739" s="111" t="str">
        <f t="shared" ref="D5739:E5739" si="5737">TRIM(B5739)</f>
        <v>Kansas</v>
      </c>
      <c r="E5739" s="111" t="str">
        <f t="shared" si="5737"/>
        <v>Ellis</v>
      </c>
    </row>
    <row r="5740" spans="1:5">
      <c r="A5740" s="3" t="s">
        <v>15259</v>
      </c>
      <c r="B5740" s="110" t="s">
        <v>1337</v>
      </c>
      <c r="C5740" s="111" t="s">
        <v>6832</v>
      </c>
      <c r="D5740" s="111" t="str">
        <f t="shared" ref="D5740:E5740" si="5738">TRIM(B5740)</f>
        <v>Kansas</v>
      </c>
      <c r="E5740" s="111" t="str">
        <f t="shared" si="5738"/>
        <v>Ellsworth</v>
      </c>
    </row>
    <row r="5741" spans="1:5">
      <c r="A5741" s="3" t="s">
        <v>15260</v>
      </c>
      <c r="B5741" s="110" t="s">
        <v>1337</v>
      </c>
      <c r="C5741" s="111" t="s">
        <v>478</v>
      </c>
      <c r="D5741" s="111" t="str">
        <f t="shared" ref="D5741:E5741" si="5739">TRIM(B5741)</f>
        <v>Kansas</v>
      </c>
      <c r="E5741" s="111" t="str">
        <f t="shared" si="5739"/>
        <v>Emporia</v>
      </c>
    </row>
    <row r="5742" spans="1:5">
      <c r="A5742" s="3" t="s">
        <v>7885</v>
      </c>
      <c r="B5742" s="110" t="s">
        <v>1337</v>
      </c>
      <c r="C5742" s="111" t="s">
        <v>1160</v>
      </c>
      <c r="D5742" s="111" t="str">
        <f t="shared" ref="D5742:E5742" si="5740">TRIM(B5742)</f>
        <v>Kansas</v>
      </c>
      <c r="E5742" s="111" t="str">
        <f t="shared" si="5740"/>
        <v>Erie</v>
      </c>
    </row>
    <row r="5743" spans="1:5">
      <c r="A5743" s="3" t="s">
        <v>15261</v>
      </c>
      <c r="B5743" s="110" t="s">
        <v>1337</v>
      </c>
      <c r="C5743" s="111" t="s">
        <v>15262</v>
      </c>
      <c r="D5743" s="111" t="str">
        <f t="shared" ref="D5743:E5743" si="5741">TRIM(B5743)</f>
        <v>Kansas</v>
      </c>
      <c r="E5743" s="111" t="str">
        <f t="shared" si="5741"/>
        <v>Eskridge</v>
      </c>
    </row>
    <row r="5744" spans="1:5">
      <c r="A5744" s="3" t="s">
        <v>15263</v>
      </c>
      <c r="B5744" s="110" t="s">
        <v>1337</v>
      </c>
      <c r="C5744" s="111" t="s">
        <v>15264</v>
      </c>
      <c r="D5744" s="111" t="str">
        <f t="shared" ref="D5744:E5744" si="5742">TRIM(B5744)</f>
        <v>Kansas</v>
      </c>
      <c r="E5744" s="111" t="str">
        <f t="shared" si="5742"/>
        <v>Eudora</v>
      </c>
    </row>
    <row r="5745" spans="1:5">
      <c r="A5745" s="3" t="s">
        <v>15265</v>
      </c>
      <c r="B5745" s="110" t="s">
        <v>1337</v>
      </c>
      <c r="C5745" s="111" t="s">
        <v>4989</v>
      </c>
      <c r="D5745" s="111" t="str">
        <f t="shared" ref="D5745:E5745" si="5743">TRIM(B5745)</f>
        <v>Kansas</v>
      </c>
      <c r="E5745" s="111" t="str">
        <f t="shared" si="5743"/>
        <v>Eureka</v>
      </c>
    </row>
    <row r="5746" spans="1:5">
      <c r="A5746" s="3" t="s">
        <v>15266</v>
      </c>
      <c r="B5746" s="110" t="s">
        <v>1337</v>
      </c>
      <c r="C5746" s="112" t="s">
        <v>15267</v>
      </c>
      <c r="D5746" s="111" t="str">
        <f t="shared" ref="D5746:E5746" si="5744">TRIM(B5746)</f>
        <v>Kansas</v>
      </c>
      <c r="E5746" s="111" t="str">
        <f t="shared" si="5744"/>
        <v>Fort Scott</v>
      </c>
    </row>
    <row r="5747" spans="1:5">
      <c r="A5747" s="3" t="s">
        <v>5061</v>
      </c>
      <c r="B5747" s="110" t="s">
        <v>1337</v>
      </c>
      <c r="C5747" s="111" t="s">
        <v>5062</v>
      </c>
      <c r="D5747" s="111" t="str">
        <f t="shared" ref="D5747:E5747" si="5745">TRIM(B5747)</f>
        <v>Kansas</v>
      </c>
      <c r="E5747" s="111" t="str">
        <f t="shared" si="5745"/>
        <v>Fowler</v>
      </c>
    </row>
    <row r="5748" spans="1:5">
      <c r="A5748" s="3" t="s">
        <v>14344</v>
      </c>
      <c r="B5748" s="110" t="s">
        <v>1337</v>
      </c>
      <c r="C5748" s="111" t="s">
        <v>12913</v>
      </c>
      <c r="D5748" s="111" t="str">
        <f t="shared" ref="D5748:E5748" si="5746">TRIM(B5748)</f>
        <v>Kansas</v>
      </c>
      <c r="E5748" s="111" t="str">
        <f t="shared" si="5746"/>
        <v>Frankfort</v>
      </c>
    </row>
    <row r="5749" spans="1:5">
      <c r="A5749" s="3" t="s">
        <v>15268</v>
      </c>
      <c r="B5749" s="110" t="s">
        <v>1337</v>
      </c>
      <c r="C5749" s="111" t="s">
        <v>2636</v>
      </c>
      <c r="D5749" s="111" t="str">
        <f t="shared" ref="D5749:E5749" si="5747">TRIM(B5749)</f>
        <v>Kansas</v>
      </c>
      <c r="E5749" s="111" t="str">
        <f t="shared" si="5747"/>
        <v>Fredonia</v>
      </c>
    </row>
    <row r="5750" spans="1:5">
      <c r="A5750" s="3" t="s">
        <v>15269</v>
      </c>
      <c r="B5750" s="110" t="s">
        <v>1337</v>
      </c>
      <c r="C5750" s="111" t="s">
        <v>15270</v>
      </c>
      <c r="D5750" s="111" t="str">
        <f t="shared" ref="D5750:E5750" si="5748">TRIM(B5750)</f>
        <v>Kansas</v>
      </c>
      <c r="E5750" s="111" t="str">
        <f t="shared" si="5748"/>
        <v>Frontenac</v>
      </c>
    </row>
    <row r="5751" spans="1:5">
      <c r="A5751" s="3" t="s">
        <v>12932</v>
      </c>
      <c r="B5751" s="110" t="s">
        <v>1337</v>
      </c>
      <c r="C5751" s="111" t="s">
        <v>2346</v>
      </c>
      <c r="D5751" s="111" t="str">
        <f t="shared" ref="D5751:E5751" si="5749">TRIM(B5751)</f>
        <v>Kansas</v>
      </c>
      <c r="E5751" s="111" t="str">
        <f t="shared" si="5749"/>
        <v>Galena</v>
      </c>
    </row>
    <row r="5752" spans="1:5">
      <c r="A5752" s="3" t="s">
        <v>15271</v>
      </c>
      <c r="B5752" s="110" t="s">
        <v>1337</v>
      </c>
      <c r="C5752" s="111" t="s">
        <v>15272</v>
      </c>
      <c r="D5752" s="111" t="str">
        <f t="shared" ref="D5752:E5752" si="5750">TRIM(B5752)</f>
        <v>Kansas</v>
      </c>
      <c r="E5752" s="111" t="str">
        <f t="shared" si="5750"/>
        <v>Garden City</v>
      </c>
    </row>
    <row r="5753" spans="1:5">
      <c r="A5753" s="3" t="s">
        <v>15273</v>
      </c>
      <c r="B5753" s="110" t="s">
        <v>1337</v>
      </c>
      <c r="C5753" s="111" t="s">
        <v>15274</v>
      </c>
      <c r="D5753" s="111" t="str">
        <f t="shared" ref="D5753:E5753" si="5751">TRIM(B5753)</f>
        <v>Kansas</v>
      </c>
      <c r="E5753" s="111" t="str">
        <f t="shared" si="5751"/>
        <v>Garden Plain</v>
      </c>
    </row>
    <row r="5754" spans="1:5">
      <c r="A5754" s="3" t="s">
        <v>15275</v>
      </c>
      <c r="B5754" s="110" t="s">
        <v>1337</v>
      </c>
      <c r="C5754" s="111" t="s">
        <v>12945</v>
      </c>
      <c r="D5754" s="111" t="str">
        <f t="shared" ref="D5754:E5754" si="5752">TRIM(B5754)</f>
        <v>Kansas</v>
      </c>
      <c r="E5754" s="111" t="str">
        <f t="shared" si="5752"/>
        <v>Gardner</v>
      </c>
    </row>
    <row r="5755" spans="1:5">
      <c r="A5755" s="3" t="s">
        <v>15276</v>
      </c>
      <c r="B5755" s="110" t="s">
        <v>1337</v>
      </c>
      <c r="C5755" s="111" t="s">
        <v>15277</v>
      </c>
      <c r="D5755" s="111" t="str">
        <f t="shared" ref="D5755:E5755" si="5753">TRIM(B5755)</f>
        <v>Kansas</v>
      </c>
      <c r="E5755" s="111" t="str">
        <f t="shared" si="5753"/>
        <v>Garnett</v>
      </c>
    </row>
    <row r="5756" spans="1:5">
      <c r="A5756" s="3" t="s">
        <v>15278</v>
      </c>
      <c r="B5756" s="110" t="s">
        <v>1337</v>
      </c>
      <c r="C5756" s="111" t="s">
        <v>15279</v>
      </c>
      <c r="D5756" s="111" t="str">
        <f t="shared" ref="D5756:E5756" si="5754">TRIM(B5756)</f>
        <v>Kansas</v>
      </c>
      <c r="E5756" s="111" t="str">
        <f t="shared" si="5754"/>
        <v>Girard</v>
      </c>
    </row>
    <row r="5757" spans="1:5">
      <c r="A5757" s="3" t="s">
        <v>15280</v>
      </c>
      <c r="B5757" s="110" t="s">
        <v>1337</v>
      </c>
      <c r="C5757" s="111" t="s">
        <v>15281</v>
      </c>
      <c r="D5757" s="111" t="str">
        <f t="shared" ref="D5757:E5757" si="5755">TRIM(B5757)</f>
        <v>Kansas</v>
      </c>
      <c r="E5757" s="111" t="str">
        <f t="shared" si="5755"/>
        <v>Glasco</v>
      </c>
    </row>
    <row r="5758" spans="1:5">
      <c r="A5758" s="3" t="s">
        <v>12745</v>
      </c>
      <c r="B5758" s="110" t="s">
        <v>1337</v>
      </c>
      <c r="C5758" s="111" t="s">
        <v>15282</v>
      </c>
      <c r="D5758" s="111" t="str">
        <f t="shared" ref="D5758:E5758" si="5756">TRIM(B5758)</f>
        <v>Kansas</v>
      </c>
      <c r="E5758" s="111" t="str">
        <f t="shared" si="5756"/>
        <v>Goddard</v>
      </c>
    </row>
    <row r="5759" spans="1:5">
      <c r="A5759" s="3" t="s">
        <v>15283</v>
      </c>
      <c r="B5759" s="110" t="s">
        <v>1337</v>
      </c>
      <c r="C5759" s="111" t="s">
        <v>15282</v>
      </c>
      <c r="D5759" s="111" t="str">
        <f t="shared" ref="D5759:E5759" si="5757">TRIM(B5759)</f>
        <v>Kansas</v>
      </c>
      <c r="E5759" s="111" t="str">
        <f t="shared" si="5757"/>
        <v>Goddard</v>
      </c>
    </row>
    <row r="5760" spans="1:5">
      <c r="A5760" s="3" t="s">
        <v>15284</v>
      </c>
      <c r="B5760" s="110" t="s">
        <v>1337</v>
      </c>
      <c r="C5760" s="111" t="s">
        <v>15285</v>
      </c>
      <c r="D5760" s="111" t="str">
        <f t="shared" ref="D5760:E5760" si="5758">TRIM(B5760)</f>
        <v>Kansas</v>
      </c>
      <c r="E5760" s="111" t="str">
        <f t="shared" si="5758"/>
        <v>Goessel</v>
      </c>
    </row>
    <row r="5761" spans="1:5">
      <c r="A5761" s="3" t="s">
        <v>15286</v>
      </c>
      <c r="B5761" s="110" t="s">
        <v>1337</v>
      </c>
      <c r="C5761" s="111" t="s">
        <v>15287</v>
      </c>
      <c r="D5761" s="111" t="str">
        <f t="shared" ref="D5761:E5761" si="5759">TRIM(B5761)</f>
        <v>Kansas</v>
      </c>
      <c r="E5761" s="111" t="str">
        <f t="shared" si="5759"/>
        <v>Goodland</v>
      </c>
    </row>
    <row r="5762" spans="1:5">
      <c r="A5762" s="3" t="s">
        <v>15288</v>
      </c>
      <c r="B5762" s="110" t="s">
        <v>1337</v>
      </c>
      <c r="C5762" s="111" t="s">
        <v>15289</v>
      </c>
      <c r="D5762" s="111" t="str">
        <f t="shared" ref="D5762:E5762" si="5760">TRIM(B5762)</f>
        <v>Kansas</v>
      </c>
      <c r="E5762" s="111" t="str">
        <f t="shared" si="5760"/>
        <v>Grainfield</v>
      </c>
    </row>
    <row r="5763" spans="1:5">
      <c r="A5763" s="3" t="s">
        <v>15290</v>
      </c>
      <c r="B5763" s="110" t="s">
        <v>1337</v>
      </c>
      <c r="C5763" s="111" t="s">
        <v>15291</v>
      </c>
      <c r="D5763" s="111" t="str">
        <f t="shared" ref="D5763:E5763" si="5761">TRIM(B5763)</f>
        <v>Kansas</v>
      </c>
      <c r="E5763" s="111" t="str">
        <f t="shared" si="5761"/>
        <v>Great Bend</v>
      </c>
    </row>
    <row r="5764" spans="1:5">
      <c r="A5764" s="3" t="s">
        <v>15292</v>
      </c>
      <c r="B5764" s="110" t="s">
        <v>1337</v>
      </c>
      <c r="C5764" s="111" t="s">
        <v>4983</v>
      </c>
      <c r="D5764" s="111" t="str">
        <f t="shared" ref="D5764:E5764" si="5762">TRIM(B5764)</f>
        <v>Kansas</v>
      </c>
      <c r="E5764" s="111" t="str">
        <f t="shared" si="5762"/>
        <v>Greensburg</v>
      </c>
    </row>
    <row r="5765" spans="1:5">
      <c r="A5765" s="3" t="s">
        <v>15293</v>
      </c>
      <c r="B5765" s="110" t="s">
        <v>1337</v>
      </c>
      <c r="C5765" s="111" t="s">
        <v>7962</v>
      </c>
      <c r="D5765" s="111" t="str">
        <f t="shared" ref="D5765:E5765" si="5763">TRIM(B5765)</f>
        <v>Kansas</v>
      </c>
      <c r="E5765" s="111" t="str">
        <f t="shared" si="5763"/>
        <v>Gypsum</v>
      </c>
    </row>
    <row r="5766" spans="1:5">
      <c r="A5766" s="3" t="s">
        <v>15294</v>
      </c>
      <c r="B5766" s="110" t="s">
        <v>1337</v>
      </c>
      <c r="C5766" s="111" t="s">
        <v>15295</v>
      </c>
      <c r="D5766" s="111" t="str">
        <f t="shared" ref="D5766:E5766" si="5764">TRIM(B5766)</f>
        <v>Kansas</v>
      </c>
      <c r="E5766" s="111" t="str">
        <f t="shared" si="5764"/>
        <v>Halstead</v>
      </c>
    </row>
    <row r="5767" spans="1:5">
      <c r="A5767" s="3" t="s">
        <v>1827</v>
      </c>
      <c r="B5767" s="110" t="s">
        <v>1337</v>
      </c>
      <c r="C5767" s="111" t="s">
        <v>344</v>
      </c>
      <c r="D5767" s="111" t="str">
        <f t="shared" ref="D5767:E5767" si="5765">TRIM(B5767)</f>
        <v>Kansas</v>
      </c>
      <c r="E5767" s="111" t="str">
        <f t="shared" si="5765"/>
        <v>Hamilton</v>
      </c>
    </row>
    <row r="5768" spans="1:5">
      <c r="A5768" s="3" t="s">
        <v>15296</v>
      </c>
      <c r="B5768" s="110" t="s">
        <v>1337</v>
      </c>
      <c r="C5768" s="111" t="s">
        <v>13019</v>
      </c>
      <c r="D5768" s="111" t="str">
        <f t="shared" ref="D5768:E5768" si="5766">TRIM(B5768)</f>
        <v>Kansas</v>
      </c>
      <c r="E5768" s="111" t="str">
        <f t="shared" si="5766"/>
        <v>Hanover</v>
      </c>
    </row>
    <row r="5769" spans="1:5">
      <c r="A5769" s="3" t="s">
        <v>15297</v>
      </c>
      <c r="B5769" s="110" t="s">
        <v>1337</v>
      </c>
      <c r="C5769" s="111" t="s">
        <v>1832</v>
      </c>
      <c r="D5769" s="111" t="str">
        <f t="shared" ref="D5769:E5769" si="5767">TRIM(B5769)</f>
        <v>Kansas</v>
      </c>
      <c r="E5769" s="111" t="str">
        <f t="shared" si="5767"/>
        <v>Hartford</v>
      </c>
    </row>
    <row r="5770" spans="1:5">
      <c r="A5770" s="3" t="s">
        <v>15298</v>
      </c>
      <c r="B5770" s="110" t="s">
        <v>1337</v>
      </c>
      <c r="C5770" s="111" t="s">
        <v>4855</v>
      </c>
      <c r="D5770" s="111" t="str">
        <f t="shared" ref="D5770:E5770" si="5768">TRIM(B5770)</f>
        <v>Kansas</v>
      </c>
      <c r="E5770" s="111" t="str">
        <f t="shared" si="5768"/>
        <v>Haven</v>
      </c>
    </row>
    <row r="5771" spans="1:5">
      <c r="A5771" s="3" t="s">
        <v>15299</v>
      </c>
      <c r="B5771" s="110" t="s">
        <v>1337</v>
      </c>
      <c r="C5771" s="111" t="s">
        <v>8447</v>
      </c>
      <c r="D5771" s="111" t="str">
        <f t="shared" ref="D5771:E5771" si="5769">TRIM(B5771)</f>
        <v>Kansas</v>
      </c>
      <c r="E5771" s="111" t="str">
        <f t="shared" si="5769"/>
        <v>Hays</v>
      </c>
    </row>
    <row r="5772" spans="1:5">
      <c r="A5772" s="3" t="s">
        <v>15300</v>
      </c>
      <c r="B5772" s="110" t="s">
        <v>1337</v>
      </c>
      <c r="C5772" s="111" t="s">
        <v>15301</v>
      </c>
      <c r="D5772" s="111" t="str">
        <f t="shared" ref="D5772:E5772" si="5770">TRIM(B5772)</f>
        <v>Kansas</v>
      </c>
      <c r="E5772" s="111" t="str">
        <f t="shared" si="5770"/>
        <v>Healy</v>
      </c>
    </row>
    <row r="5773" spans="1:5">
      <c r="A5773" s="3" t="s">
        <v>15302</v>
      </c>
      <c r="B5773" s="110" t="s">
        <v>1337</v>
      </c>
      <c r="C5773" s="111" t="s">
        <v>15303</v>
      </c>
      <c r="D5773" s="111" t="str">
        <f t="shared" ref="D5773:E5773" si="5771">TRIM(B5773)</f>
        <v>Kansas</v>
      </c>
      <c r="E5773" s="111" t="str">
        <f t="shared" si="5771"/>
        <v>Herington</v>
      </c>
    </row>
    <row r="5774" spans="1:5">
      <c r="A5774" s="3" t="s">
        <v>15304</v>
      </c>
      <c r="B5774" s="110" t="s">
        <v>1337</v>
      </c>
      <c r="C5774" s="111" t="s">
        <v>3976</v>
      </c>
      <c r="D5774" s="111" t="str">
        <f t="shared" ref="D5774:E5774" si="5772">TRIM(B5774)</f>
        <v>Kansas</v>
      </c>
      <c r="E5774" s="111" t="str">
        <f t="shared" si="5772"/>
        <v>Hesston</v>
      </c>
    </row>
    <row r="5775" spans="1:5">
      <c r="A5775" s="3" t="s">
        <v>15305</v>
      </c>
      <c r="B5775" s="110" t="s">
        <v>1337</v>
      </c>
      <c r="C5775" s="111" t="s">
        <v>15306</v>
      </c>
      <c r="D5775" s="111" t="str">
        <f t="shared" ref="D5775:E5775" si="5773">TRIM(B5775)</f>
        <v>Kansas</v>
      </c>
      <c r="E5775" s="111" t="str">
        <f t="shared" si="5773"/>
        <v>Hiawatha</v>
      </c>
    </row>
    <row r="5776" spans="1:5">
      <c r="A5776" s="3" t="s">
        <v>15307</v>
      </c>
      <c r="B5776" s="110" t="s">
        <v>1337</v>
      </c>
      <c r="C5776" s="111" t="s">
        <v>234</v>
      </c>
      <c r="D5776" s="111" t="str">
        <f t="shared" ref="D5776:E5776" si="5774">TRIM(B5776)</f>
        <v>Kansas</v>
      </c>
      <c r="E5776" s="111" t="str">
        <f t="shared" si="5774"/>
        <v>Highland</v>
      </c>
    </row>
    <row r="5777" spans="1:5">
      <c r="A5777" s="3" t="s">
        <v>15308</v>
      </c>
      <c r="B5777" s="110" t="s">
        <v>1337</v>
      </c>
      <c r="C5777" s="111" t="s">
        <v>15309</v>
      </c>
      <c r="D5777" s="111" t="str">
        <f t="shared" ref="D5777:E5777" si="5775">TRIM(B5777)</f>
        <v>Kansas</v>
      </c>
      <c r="E5777" s="111" t="str">
        <f t="shared" si="5775"/>
        <v>Hill City</v>
      </c>
    </row>
    <row r="5778" spans="1:5">
      <c r="A5778" s="3" t="s">
        <v>15310</v>
      </c>
      <c r="B5778" s="110" t="s">
        <v>1337</v>
      </c>
      <c r="C5778" s="111" t="s">
        <v>13070</v>
      </c>
      <c r="D5778" s="111" t="str">
        <f t="shared" ref="D5778:E5778" si="5776">TRIM(B5778)</f>
        <v>Kansas</v>
      </c>
      <c r="E5778" s="111" t="str">
        <f t="shared" si="5776"/>
        <v>Hillsboro</v>
      </c>
    </row>
    <row r="5779" spans="1:5">
      <c r="A5779" s="3" t="s">
        <v>15311</v>
      </c>
      <c r="B5779" s="110" t="s">
        <v>1337</v>
      </c>
      <c r="C5779" s="111" t="s">
        <v>15312</v>
      </c>
      <c r="D5779" s="111" t="str">
        <f t="shared" ref="D5779:E5779" si="5777">TRIM(B5779)</f>
        <v>Kansas</v>
      </c>
      <c r="E5779" s="111" t="str">
        <f t="shared" si="5777"/>
        <v>Hoisington</v>
      </c>
    </row>
    <row r="5780" spans="1:5">
      <c r="A5780" s="3" t="s">
        <v>15313</v>
      </c>
      <c r="B5780" s="110" t="s">
        <v>1337</v>
      </c>
      <c r="C5780" s="111" t="s">
        <v>15314</v>
      </c>
      <c r="D5780" s="111" t="str">
        <f t="shared" ref="D5780:E5780" si="5778">TRIM(B5780)</f>
        <v>Kansas</v>
      </c>
      <c r="E5780" s="111" t="str">
        <f t="shared" si="5778"/>
        <v>Holcomb</v>
      </c>
    </row>
    <row r="5781" spans="1:5">
      <c r="A5781" s="3" t="s">
        <v>15315</v>
      </c>
      <c r="B5781" s="110" t="s">
        <v>1337</v>
      </c>
      <c r="C5781" s="111" t="s">
        <v>15316</v>
      </c>
      <c r="D5781" s="111" t="str">
        <f t="shared" ref="D5781:E5781" si="5779">TRIM(B5781)</f>
        <v>Kansas</v>
      </c>
      <c r="E5781" s="111" t="str">
        <f t="shared" si="5779"/>
        <v>Holton</v>
      </c>
    </row>
    <row r="5782" spans="1:5">
      <c r="A5782" s="3" t="s">
        <v>15317</v>
      </c>
      <c r="B5782" s="110" t="s">
        <v>1337</v>
      </c>
      <c r="C5782" s="111" t="s">
        <v>15316</v>
      </c>
      <c r="D5782" s="111" t="str">
        <f t="shared" ref="D5782:E5782" si="5780">TRIM(B5782)</f>
        <v>Kansas</v>
      </c>
      <c r="E5782" s="111" t="str">
        <f t="shared" si="5780"/>
        <v>Holton</v>
      </c>
    </row>
    <row r="5783" spans="1:5">
      <c r="A5783" s="3" t="s">
        <v>3020</v>
      </c>
      <c r="B5783" s="110" t="s">
        <v>1337</v>
      </c>
      <c r="C5783" s="111" t="s">
        <v>3871</v>
      </c>
      <c r="D5783" s="111" t="str">
        <f t="shared" ref="D5783:E5783" si="5781">TRIM(B5783)</f>
        <v>Kansas</v>
      </c>
      <c r="E5783" s="111" t="str">
        <f t="shared" si="5781"/>
        <v>Hope</v>
      </c>
    </row>
    <row r="5784" spans="1:5">
      <c r="A5784" s="3" t="s">
        <v>15318</v>
      </c>
      <c r="B5784" s="110" t="s">
        <v>1337</v>
      </c>
      <c r="C5784" s="111" t="s">
        <v>15319</v>
      </c>
      <c r="D5784" s="111" t="str">
        <f t="shared" ref="D5784:E5784" si="5782">TRIM(B5784)</f>
        <v>Kansas</v>
      </c>
      <c r="E5784" s="111" t="str">
        <f t="shared" si="5782"/>
        <v>Horton</v>
      </c>
    </row>
    <row r="5785" spans="1:5">
      <c r="A5785" s="3" t="s">
        <v>3889</v>
      </c>
      <c r="B5785" s="110" t="s">
        <v>1337</v>
      </c>
      <c r="C5785" s="111" t="s">
        <v>3890</v>
      </c>
      <c r="D5785" s="111" t="str">
        <f t="shared" ref="D5785:E5785" si="5783">TRIM(B5785)</f>
        <v>Kansas</v>
      </c>
      <c r="E5785" s="111" t="str">
        <f t="shared" si="5783"/>
        <v>Hoxie</v>
      </c>
    </row>
    <row r="5786" spans="1:5">
      <c r="A5786" s="3" t="s">
        <v>15320</v>
      </c>
      <c r="B5786" s="110" t="s">
        <v>1337</v>
      </c>
      <c r="C5786" s="111" t="s">
        <v>15321</v>
      </c>
      <c r="D5786" s="111" t="str">
        <f t="shared" ref="D5786:E5786" si="5784">TRIM(B5786)</f>
        <v>Kansas</v>
      </c>
      <c r="E5786" s="111" t="str">
        <f t="shared" si="5784"/>
        <v>Hoyt</v>
      </c>
    </row>
    <row r="5787" spans="1:5">
      <c r="A5787" s="3" t="s">
        <v>15322</v>
      </c>
      <c r="B5787" s="110" t="s">
        <v>1337</v>
      </c>
      <c r="C5787" s="111" t="s">
        <v>15323</v>
      </c>
      <c r="D5787" s="111" t="str">
        <f t="shared" ref="D5787:E5787" si="5785">TRIM(B5787)</f>
        <v>Kansas</v>
      </c>
      <c r="E5787" s="111" t="str">
        <f t="shared" si="5785"/>
        <v>Hugoton</v>
      </c>
    </row>
    <row r="5788" spans="1:5">
      <c r="A5788" s="3" t="s">
        <v>15324</v>
      </c>
      <c r="B5788" s="110" t="s">
        <v>1337</v>
      </c>
      <c r="C5788" s="111" t="s">
        <v>15323</v>
      </c>
      <c r="D5788" s="111" t="str">
        <f t="shared" ref="D5788:E5788" si="5786">TRIM(B5788)</f>
        <v>Kansas</v>
      </c>
      <c r="E5788" s="111" t="str">
        <f t="shared" si="5786"/>
        <v>Hugoton</v>
      </c>
    </row>
    <row r="5789" spans="1:5">
      <c r="A5789" s="3" t="s">
        <v>14877</v>
      </c>
      <c r="B5789" s="110" t="s">
        <v>1337</v>
      </c>
      <c r="C5789" s="111" t="s">
        <v>14878</v>
      </c>
      <c r="D5789" s="111" t="str">
        <f t="shared" ref="D5789:E5789" si="5787">TRIM(B5789)</f>
        <v>Kansas</v>
      </c>
      <c r="E5789" s="111" t="str">
        <f t="shared" si="5787"/>
        <v>Humboldt</v>
      </c>
    </row>
    <row r="5790" spans="1:5">
      <c r="A5790" s="3" t="s">
        <v>15325</v>
      </c>
      <c r="B5790" s="110" t="s">
        <v>1337</v>
      </c>
      <c r="C5790" s="111" t="s">
        <v>11569</v>
      </c>
      <c r="D5790" s="111" t="str">
        <f t="shared" ref="D5790:E5790" si="5788">TRIM(B5790)</f>
        <v>Kansas</v>
      </c>
      <c r="E5790" s="111" t="str">
        <f t="shared" si="5788"/>
        <v>Hutchinson</v>
      </c>
    </row>
    <row r="5791" spans="1:5">
      <c r="A5791" s="3" t="s">
        <v>15326</v>
      </c>
      <c r="B5791" s="110" t="s">
        <v>1337</v>
      </c>
      <c r="C5791" s="111" t="s">
        <v>15327</v>
      </c>
      <c r="D5791" s="111" t="str">
        <f t="shared" ref="D5791:E5791" si="5789">TRIM(B5791)</f>
        <v>Kansas</v>
      </c>
      <c r="E5791" s="111" t="str">
        <f t="shared" si="5789"/>
        <v>Ingalls</v>
      </c>
    </row>
    <row r="5792" spans="1:5">
      <c r="A5792" s="3" t="s">
        <v>15328</v>
      </c>
      <c r="B5792" s="110" t="s">
        <v>1337</v>
      </c>
      <c r="C5792" s="111" t="s">
        <v>15329</v>
      </c>
      <c r="D5792" s="111" t="str">
        <f t="shared" ref="D5792:E5792" si="5790">TRIM(B5792)</f>
        <v>Kansas</v>
      </c>
      <c r="E5792" s="111" t="str">
        <f t="shared" si="5790"/>
        <v>Inman</v>
      </c>
    </row>
    <row r="5793" spans="1:5">
      <c r="A5793" s="3" t="s">
        <v>15330</v>
      </c>
      <c r="B5793" s="110" t="s">
        <v>1337</v>
      </c>
      <c r="C5793" s="111" t="s">
        <v>15331</v>
      </c>
      <c r="D5793" s="111" t="str">
        <f t="shared" ref="D5793:E5793" si="5791">TRIM(B5793)</f>
        <v>Kansas</v>
      </c>
      <c r="E5793" s="111" t="str">
        <f t="shared" si="5791"/>
        <v>Iola</v>
      </c>
    </row>
    <row r="5794" spans="1:5">
      <c r="A5794" s="3" t="s">
        <v>15332</v>
      </c>
      <c r="B5794" s="110" t="s">
        <v>1337</v>
      </c>
      <c r="C5794" s="111" t="s">
        <v>15333</v>
      </c>
      <c r="D5794" s="111" t="str">
        <f t="shared" ref="D5794:E5794" si="5792">TRIM(B5794)</f>
        <v>Kansas</v>
      </c>
      <c r="E5794" s="111" t="str">
        <f t="shared" si="5792"/>
        <v>Jetmore</v>
      </c>
    </row>
    <row r="5795" spans="1:5">
      <c r="A5795" s="3" t="s">
        <v>15334</v>
      </c>
      <c r="B5795" s="110" t="s">
        <v>1337</v>
      </c>
      <c r="C5795" s="111" t="s">
        <v>15335</v>
      </c>
      <c r="D5795" s="111" t="str">
        <f t="shared" ref="D5795:E5795" si="5793">TRIM(B5795)</f>
        <v>Kansas</v>
      </c>
      <c r="E5795" s="111" t="str">
        <f t="shared" si="5793"/>
        <v>Johnson</v>
      </c>
    </row>
    <row r="5796" spans="1:5">
      <c r="A5796" s="3" t="s">
        <v>15336</v>
      </c>
      <c r="B5796" s="110" t="s">
        <v>1337</v>
      </c>
      <c r="C5796" s="111" t="s">
        <v>3914</v>
      </c>
      <c r="D5796" s="111" t="str">
        <f t="shared" ref="D5796:E5796" si="5794">TRIM(B5796)</f>
        <v>Kansas</v>
      </c>
      <c r="E5796" s="111" t="str">
        <f t="shared" si="5794"/>
        <v>Junction City</v>
      </c>
    </row>
    <row r="5797" spans="1:5">
      <c r="A5797" s="3" t="s">
        <v>15337</v>
      </c>
      <c r="B5797" s="110" t="s">
        <v>1337</v>
      </c>
      <c r="C5797" s="111" t="s">
        <v>351</v>
      </c>
      <c r="D5797" s="111" t="str">
        <f t="shared" ref="D5797:E5797" si="5795">TRIM(B5797)</f>
        <v>Kansas</v>
      </c>
      <c r="E5797" s="111" t="str">
        <f t="shared" si="5795"/>
        <v>Kansas City</v>
      </c>
    </row>
    <row r="5798" spans="1:5">
      <c r="A5798" s="110" t="s">
        <v>15338</v>
      </c>
      <c r="B5798" s="110" t="s">
        <v>1337</v>
      </c>
      <c r="C5798" s="111" t="s">
        <v>351</v>
      </c>
      <c r="D5798" s="111" t="str">
        <f t="shared" ref="D5798:E5798" si="5796">TRIM(B5798)</f>
        <v>Kansas</v>
      </c>
      <c r="E5798" s="111" t="str">
        <f t="shared" si="5796"/>
        <v>Kansas City</v>
      </c>
    </row>
    <row r="5799" spans="1:5">
      <c r="A5799" s="110" t="s">
        <v>15339</v>
      </c>
      <c r="B5799" s="110" t="s">
        <v>1337</v>
      </c>
      <c r="C5799" s="111" t="s">
        <v>351</v>
      </c>
      <c r="D5799" s="111" t="str">
        <f t="shared" ref="D5799:E5799" si="5797">TRIM(B5799)</f>
        <v>Kansas</v>
      </c>
      <c r="E5799" s="111" t="str">
        <f t="shared" si="5797"/>
        <v>Kansas City</v>
      </c>
    </row>
    <row r="5800" spans="1:5">
      <c r="A5800" s="3" t="s">
        <v>15340</v>
      </c>
      <c r="B5800" s="110" t="s">
        <v>1337</v>
      </c>
      <c r="C5800" s="111" t="s">
        <v>351</v>
      </c>
      <c r="D5800" s="111" t="str">
        <f t="shared" ref="D5800:E5800" si="5798">TRIM(B5800)</f>
        <v>Kansas</v>
      </c>
      <c r="E5800" s="111" t="str">
        <f t="shared" si="5798"/>
        <v>Kansas City</v>
      </c>
    </row>
    <row r="5801" spans="1:5">
      <c r="A5801" s="3" t="s">
        <v>9544</v>
      </c>
      <c r="B5801" s="110" t="s">
        <v>1337</v>
      </c>
      <c r="C5801" s="111" t="s">
        <v>351</v>
      </c>
      <c r="D5801" s="111" t="str">
        <f t="shared" ref="D5801:E5801" si="5799">TRIM(B5801)</f>
        <v>Kansas</v>
      </c>
      <c r="E5801" s="111" t="str">
        <f t="shared" si="5799"/>
        <v>Kansas City</v>
      </c>
    </row>
    <row r="5802" spans="1:5">
      <c r="A5802" s="3" t="s">
        <v>15341</v>
      </c>
      <c r="B5802" s="110" t="s">
        <v>1337</v>
      </c>
      <c r="C5802" s="111" t="s">
        <v>351</v>
      </c>
      <c r="D5802" s="111" t="str">
        <f t="shared" ref="D5802:E5802" si="5800">TRIM(B5802)</f>
        <v>Kansas</v>
      </c>
      <c r="E5802" s="111" t="str">
        <f t="shared" si="5800"/>
        <v>Kansas City</v>
      </c>
    </row>
    <row r="5803" spans="1:5">
      <c r="A5803" s="3" t="s">
        <v>15342</v>
      </c>
      <c r="B5803" s="110" t="s">
        <v>1337</v>
      </c>
      <c r="C5803" s="111" t="s">
        <v>351</v>
      </c>
      <c r="D5803" s="111" t="str">
        <f t="shared" ref="D5803:E5803" si="5801">TRIM(B5803)</f>
        <v>Kansas</v>
      </c>
      <c r="E5803" s="111" t="str">
        <f t="shared" si="5801"/>
        <v>Kansas City</v>
      </c>
    </row>
    <row r="5804" spans="1:5">
      <c r="A5804" s="3" t="s">
        <v>3140</v>
      </c>
      <c r="B5804" s="110" t="s">
        <v>1337</v>
      </c>
      <c r="C5804" s="111" t="s">
        <v>351</v>
      </c>
      <c r="D5804" s="111" t="str">
        <f t="shared" ref="D5804:E5804" si="5802">TRIM(B5804)</f>
        <v>Kansas</v>
      </c>
      <c r="E5804" s="111" t="str">
        <f t="shared" si="5802"/>
        <v>Kansas City</v>
      </c>
    </row>
    <row r="5805" spans="1:5">
      <c r="A5805" s="3" t="s">
        <v>15343</v>
      </c>
      <c r="B5805" s="110" t="s">
        <v>1337</v>
      </c>
      <c r="C5805" s="111" t="s">
        <v>351</v>
      </c>
      <c r="D5805" s="111" t="str">
        <f t="shared" ref="D5805:E5805" si="5803">TRIM(B5805)</f>
        <v>Kansas</v>
      </c>
      <c r="E5805" s="111" t="str">
        <f t="shared" si="5803"/>
        <v>Kansas City</v>
      </c>
    </row>
    <row r="5806" spans="1:5">
      <c r="A5806" s="3" t="s">
        <v>11748</v>
      </c>
      <c r="B5806" s="110" t="s">
        <v>1337</v>
      </c>
      <c r="C5806" s="111" t="s">
        <v>11043</v>
      </c>
      <c r="D5806" s="111" t="str">
        <f t="shared" ref="D5806:E5806" si="5804">TRIM(B5806)</f>
        <v>Kansas</v>
      </c>
      <c r="E5806" s="111" t="str">
        <f t="shared" si="5804"/>
        <v>Kensington</v>
      </c>
    </row>
    <row r="5807" spans="1:5">
      <c r="A5807" s="3" t="s">
        <v>2780</v>
      </c>
      <c r="B5807" s="110" t="s">
        <v>1337</v>
      </c>
      <c r="C5807" s="111" t="s">
        <v>2778</v>
      </c>
      <c r="D5807" s="111" t="str">
        <f t="shared" ref="D5807:E5807" si="5805">TRIM(B5807)</f>
        <v>Kansas</v>
      </c>
      <c r="E5807" s="111" t="str">
        <f t="shared" si="5805"/>
        <v>Kingman</v>
      </c>
    </row>
    <row r="5808" spans="1:5">
      <c r="A5808" s="3" t="s">
        <v>15344</v>
      </c>
      <c r="B5808" s="110" t="s">
        <v>1337</v>
      </c>
      <c r="C5808" s="111" t="s">
        <v>15345</v>
      </c>
      <c r="D5808" s="111" t="str">
        <f t="shared" ref="D5808:E5808" si="5806">TRIM(B5808)</f>
        <v>Kansas</v>
      </c>
      <c r="E5808" s="111" t="str">
        <f t="shared" si="5806"/>
        <v>Kinsley</v>
      </c>
    </row>
    <row r="5809" spans="1:5">
      <c r="A5809" s="110" t="s">
        <v>15346</v>
      </c>
      <c r="B5809" s="110" t="s">
        <v>1337</v>
      </c>
      <c r="C5809" s="111" t="s">
        <v>8018</v>
      </c>
      <c r="D5809" s="111" t="str">
        <f t="shared" ref="D5809:E5809" si="5807">TRIM(B5809)</f>
        <v>Kansas</v>
      </c>
      <c r="E5809" s="111" t="str">
        <f t="shared" si="5807"/>
        <v>Kiowa</v>
      </c>
    </row>
    <row r="5810" spans="1:5">
      <c r="A5810" s="3" t="s">
        <v>15347</v>
      </c>
      <c r="B5810" s="110" t="s">
        <v>1337</v>
      </c>
      <c r="C5810" s="111" t="s">
        <v>15348</v>
      </c>
      <c r="D5810" s="111" t="str">
        <f t="shared" ref="D5810:E5810" si="5808">TRIM(B5810)</f>
        <v>Kansas</v>
      </c>
      <c r="E5810" s="111" t="str">
        <f t="shared" si="5808"/>
        <v>Kismet</v>
      </c>
    </row>
    <row r="5811" spans="1:5">
      <c r="A5811" s="3" t="s">
        <v>15349</v>
      </c>
      <c r="B5811" s="110" t="s">
        <v>1337</v>
      </c>
      <c r="C5811" s="111" t="s">
        <v>14234</v>
      </c>
      <c r="D5811" s="111" t="str">
        <f t="shared" ref="D5811:E5811" si="5809">TRIM(B5811)</f>
        <v>Kansas</v>
      </c>
      <c r="E5811" s="111" t="str">
        <f t="shared" si="5809"/>
        <v>La Crosse</v>
      </c>
    </row>
    <row r="5812" spans="1:5">
      <c r="A5812" s="3" t="s">
        <v>7969</v>
      </c>
      <c r="B5812" s="110" t="s">
        <v>1337</v>
      </c>
      <c r="C5812" s="111" t="s">
        <v>15350</v>
      </c>
      <c r="D5812" s="111" t="str">
        <f t="shared" ref="D5812:E5812" si="5810">TRIM(B5812)</f>
        <v>Kansas</v>
      </c>
      <c r="E5812" s="111" t="str">
        <f t="shared" si="5810"/>
        <v>Lacygne</v>
      </c>
    </row>
    <row r="5813" spans="1:5">
      <c r="A5813" s="3" t="s">
        <v>15351</v>
      </c>
      <c r="B5813" s="110" t="s">
        <v>1337</v>
      </c>
      <c r="C5813" s="111" t="s">
        <v>15352</v>
      </c>
      <c r="D5813" s="111" t="str">
        <f t="shared" ref="D5813:E5813" si="5811">TRIM(B5813)</f>
        <v>Kansas</v>
      </c>
      <c r="E5813" s="111" t="str">
        <f t="shared" si="5811"/>
        <v>Lakin</v>
      </c>
    </row>
    <row r="5814" spans="1:5">
      <c r="A5814" s="3" t="s">
        <v>15353</v>
      </c>
      <c r="B5814" s="110" t="s">
        <v>1337</v>
      </c>
      <c r="C5814" s="111" t="s">
        <v>10544</v>
      </c>
      <c r="D5814" s="111" t="str">
        <f t="shared" ref="D5814:E5814" si="5812">TRIM(B5814)</f>
        <v>Kansas</v>
      </c>
      <c r="E5814" s="111" t="str">
        <f t="shared" si="5812"/>
        <v>Lansing</v>
      </c>
    </row>
    <row r="5815" spans="1:5">
      <c r="A5815" s="3" t="s">
        <v>15354</v>
      </c>
      <c r="B5815" s="110" t="s">
        <v>1337</v>
      </c>
      <c r="C5815" s="111" t="s">
        <v>15355</v>
      </c>
      <c r="D5815" s="111" t="str">
        <f t="shared" ref="D5815:E5815" si="5813">TRIM(B5815)</f>
        <v>Kansas</v>
      </c>
      <c r="E5815" s="111" t="str">
        <f t="shared" si="5813"/>
        <v>Larned</v>
      </c>
    </row>
    <row r="5816" spans="1:5">
      <c r="A5816" s="3" t="s">
        <v>15356</v>
      </c>
      <c r="B5816" s="110" t="s">
        <v>1337</v>
      </c>
      <c r="C5816" s="111" t="s">
        <v>5267</v>
      </c>
      <c r="D5816" s="111" t="str">
        <f t="shared" ref="D5816:E5816" si="5814">TRIM(B5816)</f>
        <v>Kansas</v>
      </c>
      <c r="E5816" s="111" t="str">
        <f t="shared" si="5814"/>
        <v>Lawrence</v>
      </c>
    </row>
    <row r="5817" spans="1:5">
      <c r="A5817" s="3" t="s">
        <v>15357</v>
      </c>
      <c r="B5817" s="110" t="s">
        <v>1337</v>
      </c>
      <c r="C5817" s="111" t="s">
        <v>5267</v>
      </c>
      <c r="D5817" s="111" t="str">
        <f t="shared" ref="D5817:E5817" si="5815">TRIM(B5817)</f>
        <v>Kansas</v>
      </c>
      <c r="E5817" s="111" t="str">
        <f t="shared" si="5815"/>
        <v>Lawrence</v>
      </c>
    </row>
    <row r="5818" spans="1:5">
      <c r="A5818" s="3" t="s">
        <v>15358</v>
      </c>
      <c r="B5818" s="110" t="s">
        <v>1337</v>
      </c>
      <c r="C5818" s="111" t="s">
        <v>15359</v>
      </c>
      <c r="D5818" s="111" t="str">
        <f t="shared" ref="D5818:E5818" si="5816">TRIM(B5818)</f>
        <v>Kansas</v>
      </c>
      <c r="E5818" s="111" t="str">
        <f t="shared" si="5816"/>
        <v>Leavenworth</v>
      </c>
    </row>
    <row r="5819" spans="1:5">
      <c r="A5819" s="3" t="s">
        <v>15360</v>
      </c>
      <c r="B5819" s="110" t="s">
        <v>1337</v>
      </c>
      <c r="C5819" s="111" t="s">
        <v>15361</v>
      </c>
      <c r="D5819" s="111" t="str">
        <f t="shared" ref="D5819:E5819" si="5817">TRIM(B5819)</f>
        <v>Kansas</v>
      </c>
      <c r="E5819" s="111" t="str">
        <f t="shared" si="5817"/>
        <v>Lebo</v>
      </c>
    </row>
    <row r="5820" spans="1:5">
      <c r="A5820" s="3" t="s">
        <v>15362</v>
      </c>
      <c r="B5820" s="110" t="s">
        <v>1337</v>
      </c>
      <c r="C5820" s="111" t="s">
        <v>14928</v>
      </c>
      <c r="D5820" s="111" t="str">
        <f t="shared" ref="D5820:E5820" si="5818">TRIM(B5820)</f>
        <v>Kansas</v>
      </c>
      <c r="E5820" s="111" t="str">
        <f t="shared" si="5818"/>
        <v>Leon</v>
      </c>
    </row>
    <row r="5821" spans="1:5">
      <c r="A5821" s="3" t="s">
        <v>15363</v>
      </c>
      <c r="B5821" s="110" t="s">
        <v>1337</v>
      </c>
      <c r="C5821" s="111" t="s">
        <v>15364</v>
      </c>
      <c r="D5821" s="111" t="str">
        <f t="shared" ref="D5821:E5821" si="5819">TRIM(B5821)</f>
        <v>Kansas</v>
      </c>
      <c r="E5821" s="111" t="str">
        <f t="shared" si="5819"/>
        <v>Leoti</v>
      </c>
    </row>
    <row r="5822" spans="1:5">
      <c r="A5822" s="3" t="s">
        <v>15365</v>
      </c>
      <c r="B5822" s="110" t="s">
        <v>1337</v>
      </c>
      <c r="C5822" s="111" t="s">
        <v>15366</v>
      </c>
      <c r="D5822" s="111" t="str">
        <f t="shared" ref="D5822:E5822" si="5820">TRIM(B5822)</f>
        <v>Kansas</v>
      </c>
      <c r="E5822" s="111" t="str">
        <f t="shared" si="5820"/>
        <v>Leroy</v>
      </c>
    </row>
    <row r="5823" spans="1:5">
      <c r="A5823" s="3" t="s">
        <v>15367</v>
      </c>
      <c r="B5823" s="110" t="s">
        <v>1337</v>
      </c>
      <c r="C5823" s="111" t="s">
        <v>15368</v>
      </c>
      <c r="D5823" s="111" t="str">
        <f t="shared" ref="D5823:E5823" si="5821">TRIM(B5823)</f>
        <v>Kansas</v>
      </c>
      <c r="E5823" s="111" t="str">
        <f t="shared" si="5821"/>
        <v>Liberal</v>
      </c>
    </row>
    <row r="5824" spans="1:5">
      <c r="A5824" s="3" t="s">
        <v>15369</v>
      </c>
      <c r="B5824" s="110" t="s">
        <v>1337</v>
      </c>
      <c r="C5824" s="111" t="s">
        <v>1283</v>
      </c>
      <c r="D5824" s="111" t="str">
        <f t="shared" ref="D5824:E5824" si="5822">TRIM(B5824)</f>
        <v>Kansas</v>
      </c>
      <c r="E5824" s="111" t="str">
        <f t="shared" si="5822"/>
        <v>Lincoln</v>
      </c>
    </row>
    <row r="5825" spans="1:5">
      <c r="A5825" s="3" t="s">
        <v>15370</v>
      </c>
      <c r="B5825" s="110" t="s">
        <v>1337</v>
      </c>
      <c r="C5825" s="111" t="s">
        <v>15371</v>
      </c>
      <c r="D5825" s="111" t="str">
        <f t="shared" ref="D5825:E5825" si="5823">TRIM(B5825)</f>
        <v>Kansas</v>
      </c>
      <c r="E5825" s="111" t="str">
        <f t="shared" si="5823"/>
        <v>Lindsborg</v>
      </c>
    </row>
    <row r="5826" spans="1:5">
      <c r="A5826" s="3" t="s">
        <v>15372</v>
      </c>
      <c r="B5826" s="110" t="s">
        <v>1337</v>
      </c>
      <c r="C5826" s="111" t="s">
        <v>15373</v>
      </c>
      <c r="D5826" s="111" t="str">
        <f t="shared" ref="D5826:E5826" si="5824">TRIM(B5826)</f>
        <v>Kansas</v>
      </c>
      <c r="E5826" s="111" t="str">
        <f t="shared" si="5824"/>
        <v>Linn</v>
      </c>
    </row>
    <row r="5827" spans="1:5">
      <c r="A5827" s="3" t="s">
        <v>15374</v>
      </c>
      <c r="B5827" s="110" t="s">
        <v>1337</v>
      </c>
      <c r="C5827" s="111" t="s">
        <v>15375</v>
      </c>
      <c r="D5827" s="111" t="str">
        <f t="shared" ref="D5827:E5827" si="5825">TRIM(B5827)</f>
        <v>Kansas</v>
      </c>
      <c r="E5827" s="111" t="str">
        <f t="shared" si="5825"/>
        <v>Little River</v>
      </c>
    </row>
    <row r="5828" spans="1:5">
      <c r="A5828" s="3" t="s">
        <v>15376</v>
      </c>
      <c r="B5828" s="110" t="s">
        <v>1337</v>
      </c>
      <c r="C5828" s="111" t="s">
        <v>14936</v>
      </c>
      <c r="D5828" s="111" t="str">
        <f t="shared" ref="D5828:E5828" si="5826">TRIM(B5828)</f>
        <v>Kansas</v>
      </c>
      <c r="E5828" s="111" t="str">
        <f t="shared" si="5826"/>
        <v>Logan</v>
      </c>
    </row>
    <row r="5829" spans="1:5">
      <c r="A5829" s="3" t="s">
        <v>15377</v>
      </c>
      <c r="B5829" s="110" t="s">
        <v>1337</v>
      </c>
      <c r="C5829" s="111" t="s">
        <v>15378</v>
      </c>
      <c r="D5829" s="111" t="str">
        <f t="shared" ref="D5829:E5829" si="5827">TRIM(B5829)</f>
        <v>Kansas</v>
      </c>
      <c r="E5829" s="111" t="str">
        <f t="shared" si="5827"/>
        <v>Longton</v>
      </c>
    </row>
    <row r="5830" spans="1:5">
      <c r="A5830" s="3" t="s">
        <v>15379</v>
      </c>
      <c r="B5830" s="110" t="s">
        <v>1337</v>
      </c>
      <c r="C5830" s="111" t="s">
        <v>15380</v>
      </c>
      <c r="D5830" s="111" t="str">
        <f t="shared" ref="D5830:E5830" si="5828">TRIM(B5830)</f>
        <v>Kansas</v>
      </c>
      <c r="E5830" s="111" t="str">
        <f t="shared" si="5828"/>
        <v>Louisburg</v>
      </c>
    </row>
    <row r="5831" spans="1:5">
      <c r="A5831" s="3" t="s">
        <v>15381</v>
      </c>
      <c r="B5831" s="110" t="s">
        <v>1337</v>
      </c>
      <c r="C5831" s="111" t="s">
        <v>248</v>
      </c>
      <c r="D5831" s="111" t="str">
        <f t="shared" ref="D5831:E5831" si="5829">TRIM(B5831)</f>
        <v>Kansas</v>
      </c>
      <c r="E5831" s="111" t="str">
        <f t="shared" si="5829"/>
        <v>Lyndon</v>
      </c>
    </row>
    <row r="5832" spans="1:5">
      <c r="A5832" s="3" t="s">
        <v>15382</v>
      </c>
      <c r="B5832" s="110" t="s">
        <v>1337</v>
      </c>
      <c r="C5832" s="111" t="s">
        <v>8090</v>
      </c>
      <c r="D5832" s="111" t="str">
        <f t="shared" ref="D5832:E5832" si="5830">TRIM(B5832)</f>
        <v>Kansas</v>
      </c>
      <c r="E5832" s="111" t="str">
        <f t="shared" si="5830"/>
        <v>Lyons</v>
      </c>
    </row>
    <row r="5833" spans="1:5">
      <c r="A5833" s="3" t="s">
        <v>15383</v>
      </c>
      <c r="B5833" s="110" t="s">
        <v>1337</v>
      </c>
      <c r="C5833" s="111" t="s">
        <v>15384</v>
      </c>
      <c r="D5833" s="111" t="str">
        <f t="shared" ref="D5833:E5833" si="5831">TRIM(B5833)</f>
        <v>Kansas</v>
      </c>
      <c r="E5833" s="111" t="str">
        <f t="shared" si="5831"/>
        <v>Macksville</v>
      </c>
    </row>
    <row r="5834" spans="1:5">
      <c r="A5834" s="3" t="s">
        <v>6772</v>
      </c>
      <c r="B5834" s="110" t="s">
        <v>1337</v>
      </c>
      <c r="C5834" s="111" t="s">
        <v>488</v>
      </c>
      <c r="D5834" s="111" t="str">
        <f t="shared" ref="D5834:E5834" si="5832">TRIM(B5834)</f>
        <v>Kansas</v>
      </c>
      <c r="E5834" s="111" t="str">
        <f t="shared" si="5832"/>
        <v>Madison</v>
      </c>
    </row>
    <row r="5835" spans="1:5">
      <c r="A5835" s="3" t="s">
        <v>15385</v>
      </c>
      <c r="B5835" s="110" t="s">
        <v>1337</v>
      </c>
      <c r="C5835" s="111" t="s">
        <v>15386</v>
      </c>
      <c r="D5835" s="111" t="str">
        <f t="shared" ref="D5835:E5835" si="5833">TRIM(B5835)</f>
        <v>Kansas</v>
      </c>
      <c r="E5835" s="111" t="str">
        <f t="shared" si="5833"/>
        <v>Maize</v>
      </c>
    </row>
    <row r="5836" spans="1:5">
      <c r="A5836" s="3" t="s">
        <v>15387</v>
      </c>
      <c r="B5836" s="110" t="s">
        <v>1337</v>
      </c>
      <c r="C5836" s="111" t="s">
        <v>15388</v>
      </c>
      <c r="D5836" s="111" t="str">
        <f t="shared" ref="D5836:E5836" si="5834">TRIM(B5836)</f>
        <v>Kansas</v>
      </c>
      <c r="E5836" s="111" t="str">
        <f t="shared" si="5834"/>
        <v>Manhattan</v>
      </c>
    </row>
    <row r="5837" spans="1:5">
      <c r="A5837" s="3" t="s">
        <v>15389</v>
      </c>
      <c r="B5837" s="110" t="s">
        <v>1337</v>
      </c>
      <c r="C5837" s="111" t="s">
        <v>15390</v>
      </c>
      <c r="D5837" s="111" t="str">
        <f t="shared" ref="D5837:E5837" si="5835">TRIM(B5837)</f>
        <v>Kansas</v>
      </c>
      <c r="E5837" s="111" t="str">
        <f t="shared" si="5835"/>
        <v>Mankato</v>
      </c>
    </row>
    <row r="5838" spans="1:5">
      <c r="A5838" s="3" t="s">
        <v>3993</v>
      </c>
      <c r="B5838" s="110" t="s">
        <v>1337</v>
      </c>
      <c r="C5838" s="111" t="s">
        <v>3995</v>
      </c>
      <c r="D5838" s="111" t="str">
        <f t="shared" ref="D5838:E5838" si="5836">TRIM(B5838)</f>
        <v>Kansas</v>
      </c>
      <c r="E5838" s="111" t="str">
        <f t="shared" si="5836"/>
        <v>Marion</v>
      </c>
    </row>
    <row r="5839" spans="1:5">
      <c r="A5839" s="3" t="s">
        <v>15391</v>
      </c>
      <c r="B5839" s="110" t="s">
        <v>1337</v>
      </c>
      <c r="C5839" s="111" t="s">
        <v>305</v>
      </c>
      <c r="D5839" s="111" t="str">
        <f t="shared" ref="D5839:E5839" si="5837">TRIM(B5839)</f>
        <v>Kansas</v>
      </c>
      <c r="E5839" s="111" t="str">
        <f t="shared" si="5837"/>
        <v>Marysville</v>
      </c>
    </row>
    <row r="5840" spans="1:5">
      <c r="A5840" s="3" t="s">
        <v>15392</v>
      </c>
      <c r="B5840" s="110" t="s">
        <v>1337</v>
      </c>
      <c r="C5840" s="111" t="s">
        <v>15393</v>
      </c>
      <c r="D5840" s="111" t="str">
        <f t="shared" ref="D5840:E5840" si="5838">TRIM(B5840)</f>
        <v>Kansas</v>
      </c>
      <c r="E5840" s="111" t="str">
        <f t="shared" si="5838"/>
        <v>Mclouth</v>
      </c>
    </row>
    <row r="5841" spans="1:5">
      <c r="A5841" s="3" t="s">
        <v>15394</v>
      </c>
      <c r="B5841" s="110" t="s">
        <v>1337</v>
      </c>
      <c r="C5841" s="111" t="s">
        <v>15395</v>
      </c>
      <c r="D5841" s="111" t="str">
        <f t="shared" ref="D5841:E5841" si="5839">TRIM(B5841)</f>
        <v>Kansas</v>
      </c>
      <c r="E5841" s="111" t="str">
        <f t="shared" si="5839"/>
        <v>Mcpherson</v>
      </c>
    </row>
    <row r="5842" spans="1:5">
      <c r="A5842" s="3" t="s">
        <v>15396</v>
      </c>
      <c r="B5842" s="110" t="s">
        <v>1337</v>
      </c>
      <c r="C5842" s="111" t="s">
        <v>15397</v>
      </c>
      <c r="D5842" s="111" t="str">
        <f t="shared" ref="D5842:E5842" si="5840">TRIM(B5842)</f>
        <v>Kansas</v>
      </c>
      <c r="E5842" s="111" t="str">
        <f t="shared" si="5840"/>
        <v>Meade</v>
      </c>
    </row>
    <row r="5843" spans="1:5">
      <c r="A5843" s="3" t="s">
        <v>15398</v>
      </c>
      <c r="B5843" s="110" t="s">
        <v>1337</v>
      </c>
      <c r="C5843" s="111" t="s">
        <v>15399</v>
      </c>
      <c r="D5843" s="111" t="str">
        <f t="shared" ref="D5843:E5843" si="5841">TRIM(B5843)</f>
        <v>Kansas</v>
      </c>
      <c r="E5843" s="111" t="str">
        <f t="shared" si="5841"/>
        <v>Medicine Lodge</v>
      </c>
    </row>
    <row r="5844" spans="1:5">
      <c r="A5844" s="3" t="s">
        <v>15400</v>
      </c>
      <c r="B5844" s="110" t="s">
        <v>1337</v>
      </c>
      <c r="C5844" s="111" t="s">
        <v>15401</v>
      </c>
      <c r="D5844" s="111" t="str">
        <f t="shared" ref="D5844:E5844" si="5842">TRIM(B5844)</f>
        <v>Kansas</v>
      </c>
      <c r="E5844" s="111" t="str">
        <f t="shared" si="5842"/>
        <v>Melvern</v>
      </c>
    </row>
    <row r="5845" spans="1:5">
      <c r="A5845" s="3" t="s">
        <v>15402</v>
      </c>
      <c r="B5845" s="110" t="s">
        <v>1337</v>
      </c>
      <c r="C5845" s="112" t="s">
        <v>8544</v>
      </c>
      <c r="D5845" s="111" t="str">
        <f t="shared" ref="D5845:E5845" si="5843">TRIM(B5845)</f>
        <v>Kansas</v>
      </c>
      <c r="E5845" s="111" t="str">
        <f t="shared" si="5843"/>
        <v>Meriden</v>
      </c>
    </row>
    <row r="5846" spans="1:5">
      <c r="A5846" s="3" t="s">
        <v>15403</v>
      </c>
      <c r="B5846" s="110" t="s">
        <v>1337</v>
      </c>
      <c r="C5846" s="111" t="s">
        <v>15404</v>
      </c>
      <c r="D5846" s="111" t="str">
        <f t="shared" ref="D5846:E5846" si="5844">TRIM(B5846)</f>
        <v>Kansas</v>
      </c>
      <c r="E5846" s="111" t="str">
        <f t="shared" si="5844"/>
        <v>Miltonvale</v>
      </c>
    </row>
    <row r="5847" spans="1:5">
      <c r="A5847" s="3" t="s">
        <v>15405</v>
      </c>
      <c r="B5847" s="110" t="s">
        <v>1337</v>
      </c>
      <c r="C5847" s="111" t="s">
        <v>220</v>
      </c>
      <c r="D5847" s="111" t="str">
        <f t="shared" ref="D5847:E5847" si="5845">TRIM(B5847)</f>
        <v>Kansas</v>
      </c>
      <c r="E5847" s="111" t="str">
        <f t="shared" si="5845"/>
        <v>Minneapolis</v>
      </c>
    </row>
    <row r="5848" spans="1:5">
      <c r="A5848" s="3" t="s">
        <v>15406</v>
      </c>
      <c r="B5848" s="110" t="s">
        <v>1337</v>
      </c>
      <c r="C5848" s="111" t="s">
        <v>9730</v>
      </c>
      <c r="D5848" s="111" t="str">
        <f t="shared" ref="D5848:E5848" si="5846">TRIM(B5848)</f>
        <v>Kansas</v>
      </c>
      <c r="E5848" s="111" t="str">
        <f t="shared" si="5846"/>
        <v>Minneola</v>
      </c>
    </row>
    <row r="5849" spans="1:5">
      <c r="A5849" s="3" t="s">
        <v>15407</v>
      </c>
      <c r="B5849" s="110" t="s">
        <v>1337</v>
      </c>
      <c r="C5849" s="111" t="s">
        <v>11099</v>
      </c>
      <c r="D5849" s="111" t="str">
        <f t="shared" ref="D5849:E5849" si="5847">TRIM(B5849)</f>
        <v>Kansas</v>
      </c>
      <c r="E5849" s="111" t="str">
        <f t="shared" si="5847"/>
        <v>Montezuma</v>
      </c>
    </row>
    <row r="5850" spans="1:5">
      <c r="A5850" s="3" t="s">
        <v>15408</v>
      </c>
      <c r="B5850" s="110" t="s">
        <v>1337</v>
      </c>
      <c r="C5850" s="111" t="s">
        <v>15409</v>
      </c>
      <c r="D5850" s="111" t="str">
        <f t="shared" ref="D5850:E5850" si="5848">TRIM(B5850)</f>
        <v>Kansas</v>
      </c>
      <c r="E5850" s="111" t="str">
        <f t="shared" si="5848"/>
        <v>Moran</v>
      </c>
    </row>
    <row r="5851" spans="1:5">
      <c r="A5851" s="3" t="s">
        <v>11818</v>
      </c>
      <c r="B5851" s="110" t="s">
        <v>1337</v>
      </c>
      <c r="C5851" s="111" t="s">
        <v>10512</v>
      </c>
      <c r="D5851" s="111" t="str">
        <f t="shared" ref="D5851:E5851" si="5849">TRIM(B5851)</f>
        <v>Kansas</v>
      </c>
      <c r="E5851" s="111" t="str">
        <f t="shared" si="5849"/>
        <v>Moscow</v>
      </c>
    </row>
    <row r="5852" spans="1:5">
      <c r="A5852" s="3" t="s">
        <v>15410</v>
      </c>
      <c r="B5852" s="110" t="s">
        <v>1337</v>
      </c>
      <c r="C5852" s="111" t="s">
        <v>15411</v>
      </c>
      <c r="D5852" s="111" t="str">
        <f t="shared" ref="D5852:E5852" si="5850">TRIM(B5852)</f>
        <v>Kansas</v>
      </c>
      <c r="E5852" s="111" t="str">
        <f t="shared" si="5850"/>
        <v>Mound City</v>
      </c>
    </row>
    <row r="5853" spans="1:5">
      <c r="A5853" s="3" t="s">
        <v>15412</v>
      </c>
      <c r="B5853" s="110" t="s">
        <v>1337</v>
      </c>
      <c r="C5853" s="111" t="s">
        <v>15413</v>
      </c>
      <c r="D5853" s="111" t="str">
        <f t="shared" ref="D5853:E5853" si="5851">TRIM(B5853)</f>
        <v>Kansas</v>
      </c>
      <c r="E5853" s="111" t="str">
        <f t="shared" si="5851"/>
        <v>Moundridge</v>
      </c>
    </row>
    <row r="5854" spans="1:5">
      <c r="A5854" s="3" t="s">
        <v>15414</v>
      </c>
      <c r="B5854" s="110" t="s">
        <v>1337</v>
      </c>
      <c r="C5854" s="111" t="s">
        <v>15415</v>
      </c>
      <c r="D5854" s="111" t="str">
        <f t="shared" ref="D5854:E5854" si="5852">TRIM(B5854)</f>
        <v>Kansas</v>
      </c>
      <c r="E5854" s="111" t="str">
        <f t="shared" si="5852"/>
        <v>Mulvane</v>
      </c>
    </row>
    <row r="5855" spans="1:5">
      <c r="A5855" s="3" t="s">
        <v>15416</v>
      </c>
      <c r="B5855" s="110" t="s">
        <v>1337</v>
      </c>
      <c r="C5855" s="111" t="s">
        <v>15417</v>
      </c>
      <c r="D5855" s="111" t="str">
        <f t="shared" ref="D5855:E5855" si="5853">TRIM(B5855)</f>
        <v>Kansas</v>
      </c>
      <c r="E5855" s="111" t="str">
        <f t="shared" si="5853"/>
        <v>Natoma</v>
      </c>
    </row>
    <row r="5856" spans="1:5">
      <c r="A5856" s="3" t="s">
        <v>15418</v>
      </c>
      <c r="B5856" s="110" t="s">
        <v>1337</v>
      </c>
      <c r="C5856" s="111" t="s">
        <v>15419</v>
      </c>
      <c r="D5856" s="111" t="str">
        <f t="shared" ref="D5856:E5856" si="5854">TRIM(B5856)</f>
        <v>Kansas</v>
      </c>
      <c r="E5856" s="111" t="str">
        <f t="shared" si="5854"/>
        <v>Neodesha</v>
      </c>
    </row>
    <row r="5857" spans="1:5">
      <c r="A5857" s="3" t="s">
        <v>15420</v>
      </c>
      <c r="B5857" s="110" t="s">
        <v>1337</v>
      </c>
      <c r="C5857" s="111" t="s">
        <v>15421</v>
      </c>
      <c r="D5857" s="111" t="str">
        <f t="shared" ref="D5857:E5857" si="5855">TRIM(B5857)</f>
        <v>Kansas</v>
      </c>
      <c r="E5857" s="111" t="str">
        <f t="shared" si="5855"/>
        <v>Ness City</v>
      </c>
    </row>
    <row r="5858" spans="1:5">
      <c r="A5858" s="3" t="s">
        <v>15422</v>
      </c>
      <c r="B5858" s="110" t="s">
        <v>1337</v>
      </c>
      <c r="C5858" s="111" t="s">
        <v>11313</v>
      </c>
      <c r="D5858" s="111" t="str">
        <f t="shared" ref="D5858:E5858" si="5856">TRIM(B5858)</f>
        <v>Kansas</v>
      </c>
      <c r="E5858" s="111" t="str">
        <f t="shared" si="5856"/>
        <v>Newton</v>
      </c>
    </row>
    <row r="5859" spans="1:5">
      <c r="A5859" s="3" t="s">
        <v>15423</v>
      </c>
      <c r="B5859" s="110" t="s">
        <v>1337</v>
      </c>
      <c r="C5859" s="111" t="s">
        <v>11313</v>
      </c>
      <c r="D5859" s="111" t="str">
        <f t="shared" ref="D5859:E5859" si="5857">TRIM(B5859)</f>
        <v>Kansas</v>
      </c>
      <c r="E5859" s="111" t="str">
        <f t="shared" si="5857"/>
        <v>Newton</v>
      </c>
    </row>
    <row r="5860" spans="1:5">
      <c r="A5860" s="3" t="s">
        <v>15424</v>
      </c>
      <c r="B5860" s="110" t="s">
        <v>1337</v>
      </c>
      <c r="C5860" s="111" t="s">
        <v>15425</v>
      </c>
      <c r="D5860" s="111" t="str">
        <f t="shared" ref="D5860:E5860" si="5858">TRIM(B5860)</f>
        <v>Kansas</v>
      </c>
      <c r="E5860" s="111" t="str">
        <f t="shared" si="5858"/>
        <v>Nickerson</v>
      </c>
    </row>
    <row r="5861" spans="1:5">
      <c r="A5861" s="3" t="s">
        <v>15426</v>
      </c>
      <c r="B5861" s="110" t="s">
        <v>1337</v>
      </c>
      <c r="C5861" s="111" t="s">
        <v>15427</v>
      </c>
      <c r="D5861" s="111" t="str">
        <f t="shared" ref="D5861:E5861" si="5859">TRIM(B5861)</f>
        <v>Kansas</v>
      </c>
      <c r="E5861" s="111" t="str">
        <f t="shared" si="5859"/>
        <v>Norton</v>
      </c>
    </row>
    <row r="5862" spans="1:5">
      <c r="A5862" s="3" t="s">
        <v>15428</v>
      </c>
      <c r="B5862" s="110" t="s">
        <v>1337</v>
      </c>
      <c r="C5862" s="111" t="s">
        <v>342</v>
      </c>
      <c r="D5862" s="111" t="str">
        <f t="shared" ref="D5862:E5862" si="5860">TRIM(B5862)</f>
        <v>Kansas</v>
      </c>
      <c r="E5862" s="111" t="str">
        <f t="shared" si="5860"/>
        <v>Norwich</v>
      </c>
    </row>
    <row r="5863" spans="1:5">
      <c r="A5863" s="3" t="s">
        <v>15429</v>
      </c>
      <c r="B5863" s="110" t="s">
        <v>1337</v>
      </c>
      <c r="C5863" s="111" t="s">
        <v>6201</v>
      </c>
      <c r="D5863" s="111" t="str">
        <f t="shared" ref="D5863:E5863" si="5861">TRIM(B5863)</f>
        <v>Kansas</v>
      </c>
      <c r="E5863" s="111" t="str">
        <f t="shared" si="5861"/>
        <v>Oakley</v>
      </c>
    </row>
    <row r="5864" spans="1:5">
      <c r="A5864" s="3" t="s">
        <v>15430</v>
      </c>
      <c r="B5864" s="110" t="s">
        <v>1337</v>
      </c>
      <c r="C5864" s="111" t="s">
        <v>15431</v>
      </c>
      <c r="D5864" s="111" t="str">
        <f t="shared" ref="D5864:E5864" si="5862">TRIM(B5864)</f>
        <v>Kansas</v>
      </c>
      <c r="E5864" s="111" t="str">
        <f t="shared" si="5862"/>
        <v>Oberlin</v>
      </c>
    </row>
    <row r="5865" spans="1:5">
      <c r="A5865" s="110" t="s">
        <v>15432</v>
      </c>
      <c r="B5865" s="110" t="s">
        <v>1337</v>
      </c>
      <c r="C5865" s="111" t="s">
        <v>8148</v>
      </c>
      <c r="D5865" s="111" t="str">
        <f t="shared" ref="D5865:E5865" si="5863">TRIM(B5865)</f>
        <v>Kansas</v>
      </c>
      <c r="E5865" s="111" t="str">
        <f t="shared" si="5863"/>
        <v>Olathe</v>
      </c>
    </row>
    <row r="5866" spans="1:5">
      <c r="A5866" s="3" t="s">
        <v>15433</v>
      </c>
      <c r="B5866" s="110" t="s">
        <v>1337</v>
      </c>
      <c r="C5866" s="111" t="s">
        <v>8148</v>
      </c>
      <c r="D5866" s="111" t="str">
        <f t="shared" ref="D5866:E5866" si="5864">TRIM(B5866)</f>
        <v>Kansas</v>
      </c>
      <c r="E5866" s="111" t="str">
        <f t="shared" si="5864"/>
        <v>Olathe</v>
      </c>
    </row>
    <row r="5867" spans="1:5">
      <c r="A5867" s="3" t="s">
        <v>15434</v>
      </c>
      <c r="B5867" s="110" t="s">
        <v>1337</v>
      </c>
      <c r="C5867" s="111" t="s">
        <v>8148</v>
      </c>
      <c r="D5867" s="111" t="str">
        <f t="shared" ref="D5867:E5867" si="5865">TRIM(B5867)</f>
        <v>Kansas</v>
      </c>
      <c r="E5867" s="111" t="str">
        <f t="shared" si="5865"/>
        <v>Olathe</v>
      </c>
    </row>
    <row r="5868" spans="1:5">
      <c r="A5868" s="3" t="s">
        <v>15435</v>
      </c>
      <c r="B5868" s="110" t="s">
        <v>1337</v>
      </c>
      <c r="C5868" s="111" t="s">
        <v>8148</v>
      </c>
      <c r="D5868" s="111" t="str">
        <f t="shared" ref="D5868:E5868" si="5866">TRIM(B5868)</f>
        <v>Kansas</v>
      </c>
      <c r="E5868" s="111" t="str">
        <f t="shared" si="5866"/>
        <v>Olathe</v>
      </c>
    </row>
    <row r="5869" spans="1:5">
      <c r="A5869" s="3" t="s">
        <v>15436</v>
      </c>
      <c r="B5869" s="110" t="s">
        <v>1337</v>
      </c>
      <c r="C5869" s="111" t="s">
        <v>8148</v>
      </c>
      <c r="D5869" s="111" t="str">
        <f t="shared" ref="D5869:E5869" si="5867">TRIM(B5869)</f>
        <v>Kansas</v>
      </c>
      <c r="E5869" s="111" t="str">
        <f t="shared" si="5867"/>
        <v>Olathe</v>
      </c>
    </row>
    <row r="5870" spans="1:5">
      <c r="A5870" s="3" t="s">
        <v>15437</v>
      </c>
      <c r="B5870" s="110" t="s">
        <v>1337</v>
      </c>
      <c r="C5870" s="111" t="s">
        <v>8148</v>
      </c>
      <c r="D5870" s="111" t="str">
        <f t="shared" ref="D5870:E5870" si="5868">TRIM(B5870)</f>
        <v>Kansas</v>
      </c>
      <c r="E5870" s="111" t="str">
        <f t="shared" si="5868"/>
        <v>Olathe</v>
      </c>
    </row>
    <row r="5871" spans="1:5">
      <c r="A5871" s="3" t="s">
        <v>15438</v>
      </c>
      <c r="B5871" s="110" t="s">
        <v>1337</v>
      </c>
      <c r="C5871" s="111" t="s">
        <v>15439</v>
      </c>
      <c r="D5871" s="111" t="str">
        <f t="shared" ref="D5871:E5871" si="5869">TRIM(B5871)</f>
        <v>Kansas</v>
      </c>
      <c r="E5871" s="111" t="str">
        <f t="shared" si="5869"/>
        <v>Olpe</v>
      </c>
    </row>
    <row r="5872" spans="1:5">
      <c r="A5872" s="3" t="s">
        <v>15440</v>
      </c>
      <c r="B5872" s="110" t="s">
        <v>1337</v>
      </c>
      <c r="C5872" s="111" t="s">
        <v>15441</v>
      </c>
      <c r="D5872" s="111" t="str">
        <f t="shared" ref="D5872:E5872" si="5870">TRIM(B5872)</f>
        <v>Kansas</v>
      </c>
      <c r="E5872" s="111" t="str">
        <f t="shared" si="5870"/>
        <v>Onaga</v>
      </c>
    </row>
    <row r="5873" spans="1:5">
      <c r="A5873" s="3" t="s">
        <v>15442</v>
      </c>
      <c r="B5873" s="110" t="s">
        <v>1337</v>
      </c>
      <c r="C5873" s="111" t="s">
        <v>15443</v>
      </c>
      <c r="D5873" s="111" t="str">
        <f t="shared" ref="D5873:E5873" si="5871">TRIM(B5873)</f>
        <v>Kansas</v>
      </c>
      <c r="E5873" s="111" t="str">
        <f t="shared" si="5871"/>
        <v>Osage City</v>
      </c>
    </row>
    <row r="5874" spans="1:5">
      <c r="A5874" s="3" t="s">
        <v>15444</v>
      </c>
      <c r="B5874" s="110" t="s">
        <v>1337</v>
      </c>
      <c r="C5874" s="111" t="s">
        <v>15445</v>
      </c>
      <c r="D5874" s="111" t="str">
        <f t="shared" ref="D5874:E5874" si="5872">TRIM(B5874)</f>
        <v>Kansas</v>
      </c>
      <c r="E5874" s="111" t="str">
        <f t="shared" si="5872"/>
        <v>Osawatomie</v>
      </c>
    </row>
    <row r="5875" spans="1:5">
      <c r="A5875" s="3" t="s">
        <v>15446</v>
      </c>
      <c r="B5875" s="110" t="s">
        <v>1337</v>
      </c>
      <c r="C5875" s="111" t="s">
        <v>15447</v>
      </c>
      <c r="D5875" s="111" t="str">
        <f t="shared" ref="D5875:E5875" si="5873">TRIM(B5875)</f>
        <v>Kansas</v>
      </c>
      <c r="E5875" s="111" t="str">
        <f t="shared" si="5873"/>
        <v>Osborne</v>
      </c>
    </row>
    <row r="5876" spans="1:5">
      <c r="A5876" s="3" t="s">
        <v>15448</v>
      </c>
      <c r="B5876" s="110" t="s">
        <v>1337</v>
      </c>
      <c r="C5876" s="111" t="s">
        <v>15015</v>
      </c>
      <c r="D5876" s="111" t="str">
        <f t="shared" ref="D5876:E5876" si="5874">TRIM(B5876)</f>
        <v>Kansas</v>
      </c>
      <c r="E5876" s="111" t="str">
        <f t="shared" si="5874"/>
        <v>Oskaloosa</v>
      </c>
    </row>
    <row r="5877" spans="1:5">
      <c r="A5877" s="3" t="s">
        <v>15449</v>
      </c>
      <c r="B5877" s="110" t="s">
        <v>1337</v>
      </c>
      <c r="C5877" s="111" t="s">
        <v>13528</v>
      </c>
      <c r="D5877" s="111" t="str">
        <f t="shared" ref="D5877:E5877" si="5875">TRIM(B5877)</f>
        <v>Kansas</v>
      </c>
      <c r="E5877" s="111" t="str">
        <f t="shared" si="5875"/>
        <v>Oswego</v>
      </c>
    </row>
    <row r="5878" spans="1:5">
      <c r="A5878" s="3" t="s">
        <v>15450</v>
      </c>
      <c r="B5878" s="110" t="s">
        <v>1337</v>
      </c>
      <c r="C5878" s="111" t="s">
        <v>8155</v>
      </c>
      <c r="D5878" s="111" t="str">
        <f t="shared" ref="D5878:E5878" si="5876">TRIM(B5878)</f>
        <v>Kansas</v>
      </c>
      <c r="E5878" s="111" t="str">
        <f t="shared" si="5876"/>
        <v>Otis</v>
      </c>
    </row>
    <row r="5879" spans="1:5">
      <c r="A5879" s="3" t="s">
        <v>15451</v>
      </c>
      <c r="B5879" s="110" t="s">
        <v>1337</v>
      </c>
      <c r="C5879" s="111" t="s">
        <v>479</v>
      </c>
      <c r="D5879" s="111" t="str">
        <f t="shared" ref="D5879:E5879" si="5877">TRIM(B5879)</f>
        <v>Kansas</v>
      </c>
      <c r="E5879" s="111" t="str">
        <f t="shared" si="5877"/>
        <v>Ottawa</v>
      </c>
    </row>
    <row r="5880" spans="1:5">
      <c r="A5880" s="3" t="s">
        <v>15452</v>
      </c>
      <c r="B5880" s="110" t="s">
        <v>1337</v>
      </c>
      <c r="C5880" s="111" t="s">
        <v>1227</v>
      </c>
      <c r="D5880" s="111" t="str">
        <f t="shared" ref="D5880:E5880" si="5878">TRIM(B5880)</f>
        <v>Kansas</v>
      </c>
      <c r="E5880" s="111" t="str">
        <f t="shared" si="5878"/>
        <v>Overland Park</v>
      </c>
    </row>
    <row r="5881" spans="1:5">
      <c r="A5881" s="3" t="s">
        <v>15453</v>
      </c>
      <c r="B5881" s="110" t="s">
        <v>1337</v>
      </c>
      <c r="C5881" s="111" t="s">
        <v>1227</v>
      </c>
      <c r="D5881" s="111" t="str">
        <f t="shared" ref="D5881:E5881" si="5879">TRIM(B5881)</f>
        <v>Kansas</v>
      </c>
      <c r="E5881" s="111" t="str">
        <f t="shared" si="5879"/>
        <v>Overland Park</v>
      </c>
    </row>
    <row r="5882" spans="1:5">
      <c r="A5882" s="3" t="s">
        <v>15454</v>
      </c>
      <c r="B5882" s="110" t="s">
        <v>1337</v>
      </c>
      <c r="C5882" s="111" t="s">
        <v>1227</v>
      </c>
      <c r="D5882" s="111" t="str">
        <f t="shared" ref="D5882:E5882" si="5880">TRIM(B5882)</f>
        <v>Kansas</v>
      </c>
      <c r="E5882" s="111" t="str">
        <f t="shared" si="5880"/>
        <v>Overland Park</v>
      </c>
    </row>
    <row r="5883" spans="1:5">
      <c r="A5883" s="3" t="s">
        <v>15455</v>
      </c>
      <c r="B5883" s="110" t="s">
        <v>1337</v>
      </c>
      <c r="C5883" s="111" t="s">
        <v>1227</v>
      </c>
      <c r="D5883" s="111" t="str">
        <f t="shared" ref="D5883:E5883" si="5881">TRIM(B5883)</f>
        <v>Kansas</v>
      </c>
      <c r="E5883" s="111" t="str">
        <f t="shared" si="5881"/>
        <v>Overland Park</v>
      </c>
    </row>
    <row r="5884" spans="1:5">
      <c r="A5884" s="3" t="s">
        <v>15456</v>
      </c>
      <c r="B5884" s="110" t="s">
        <v>1337</v>
      </c>
      <c r="C5884" s="111" t="s">
        <v>279</v>
      </c>
      <c r="D5884" s="111" t="str">
        <f t="shared" ref="D5884:E5884" si="5882">TRIM(B5884)</f>
        <v>Kansas</v>
      </c>
      <c r="E5884" s="111" t="str">
        <f t="shared" si="5882"/>
        <v>Oxford</v>
      </c>
    </row>
    <row r="5885" spans="1:5">
      <c r="A5885" s="3" t="s">
        <v>15457</v>
      </c>
      <c r="B5885" s="110" t="s">
        <v>1337</v>
      </c>
      <c r="C5885" s="111" t="s">
        <v>15458</v>
      </c>
      <c r="D5885" s="111" t="str">
        <f t="shared" ref="D5885:E5885" si="5883">TRIM(B5885)</f>
        <v>Kansas</v>
      </c>
      <c r="E5885" s="111" t="str">
        <f t="shared" si="5883"/>
        <v>Palco</v>
      </c>
    </row>
    <row r="5886" spans="1:5">
      <c r="A5886" s="3" t="s">
        <v>15459</v>
      </c>
      <c r="B5886" s="110" t="s">
        <v>1337</v>
      </c>
      <c r="C5886" s="111" t="s">
        <v>15460</v>
      </c>
      <c r="D5886" s="111" t="str">
        <f t="shared" ref="D5886:E5886" si="5884">TRIM(B5886)</f>
        <v>Kansas</v>
      </c>
      <c r="E5886" s="111" t="str">
        <f t="shared" si="5884"/>
        <v>Paola</v>
      </c>
    </row>
    <row r="5887" spans="1:5">
      <c r="A5887" s="3" t="s">
        <v>15461</v>
      </c>
      <c r="B5887" s="110" t="s">
        <v>1337</v>
      </c>
      <c r="C5887" s="111" t="s">
        <v>6929</v>
      </c>
      <c r="D5887" s="111" t="str">
        <f t="shared" ref="D5887:E5887" si="5885">TRIM(B5887)</f>
        <v>Kansas</v>
      </c>
      <c r="E5887" s="111" t="str">
        <f t="shared" si="5885"/>
        <v>Parsons</v>
      </c>
    </row>
    <row r="5888" spans="1:5">
      <c r="A5888" s="3" t="s">
        <v>15462</v>
      </c>
      <c r="B5888" s="110" t="s">
        <v>1337</v>
      </c>
      <c r="C5888" s="111" t="s">
        <v>11246</v>
      </c>
      <c r="D5888" s="111" t="str">
        <f t="shared" ref="D5888:E5888" si="5886">TRIM(B5888)</f>
        <v>Kansas</v>
      </c>
      <c r="E5888" s="111" t="str">
        <f t="shared" si="5886"/>
        <v>Peabody</v>
      </c>
    </row>
    <row r="5889" spans="1:5">
      <c r="A5889" s="3" t="s">
        <v>15463</v>
      </c>
      <c r="B5889" s="110" t="s">
        <v>1337</v>
      </c>
      <c r="C5889" s="111" t="s">
        <v>9957</v>
      </c>
      <c r="D5889" s="111" t="str">
        <f t="shared" ref="D5889:E5889" si="5887">TRIM(B5889)</f>
        <v>Kansas</v>
      </c>
      <c r="E5889" s="111" t="str">
        <f t="shared" si="5887"/>
        <v>Perry</v>
      </c>
    </row>
    <row r="5890" spans="1:5">
      <c r="A5890" s="3" t="s">
        <v>15464</v>
      </c>
      <c r="B5890" s="110" t="s">
        <v>1337</v>
      </c>
      <c r="C5890" s="111" t="s">
        <v>15465</v>
      </c>
      <c r="D5890" s="111" t="str">
        <f t="shared" ref="D5890:E5890" si="5888">TRIM(B5890)</f>
        <v>Kansas</v>
      </c>
      <c r="E5890" s="111" t="str">
        <f t="shared" si="5888"/>
        <v>Phillipsburg</v>
      </c>
    </row>
    <row r="5891" spans="1:5">
      <c r="A5891" s="3" t="s">
        <v>15466</v>
      </c>
      <c r="B5891" s="110" t="s">
        <v>1337</v>
      </c>
      <c r="C5891" s="111" t="s">
        <v>6388</v>
      </c>
      <c r="D5891" s="111" t="str">
        <f t="shared" ref="D5891:E5891" si="5889">TRIM(B5891)</f>
        <v>Kansas</v>
      </c>
      <c r="E5891" s="111" t="str">
        <f t="shared" si="5889"/>
        <v>Pittsburg</v>
      </c>
    </row>
    <row r="5892" spans="1:5">
      <c r="A5892" s="3" t="s">
        <v>8640</v>
      </c>
      <c r="B5892" s="110" t="s">
        <v>1337</v>
      </c>
      <c r="C5892" s="111" t="s">
        <v>8641</v>
      </c>
      <c r="D5892" s="111" t="str">
        <f t="shared" ref="D5892:E5892" si="5890">TRIM(B5892)</f>
        <v>Kansas</v>
      </c>
      <c r="E5892" s="111" t="str">
        <f t="shared" si="5890"/>
        <v>Plainville</v>
      </c>
    </row>
    <row r="5893" spans="1:5">
      <c r="A5893" s="3" t="s">
        <v>15467</v>
      </c>
      <c r="B5893" s="110" t="s">
        <v>1337</v>
      </c>
      <c r="C5893" s="111" t="s">
        <v>6403</v>
      </c>
      <c r="D5893" s="111" t="str">
        <f t="shared" ref="D5893:E5893" si="5891">TRIM(B5893)</f>
        <v>Kansas</v>
      </c>
      <c r="E5893" s="111" t="str">
        <f t="shared" si="5891"/>
        <v>Pleasanton</v>
      </c>
    </row>
    <row r="5894" spans="1:5">
      <c r="A5894" s="3" t="s">
        <v>15468</v>
      </c>
      <c r="B5894" s="110" t="s">
        <v>1337</v>
      </c>
      <c r="C5894" s="111" t="s">
        <v>6410</v>
      </c>
      <c r="D5894" s="111" t="str">
        <f t="shared" ref="D5894:E5894" si="5892">TRIM(B5894)</f>
        <v>Kansas</v>
      </c>
      <c r="E5894" s="111" t="str">
        <f t="shared" si="5892"/>
        <v>Pomona</v>
      </c>
    </row>
    <row r="5895" spans="1:5">
      <c r="A5895" s="3" t="s">
        <v>15469</v>
      </c>
      <c r="B5895" s="110" t="s">
        <v>1337</v>
      </c>
      <c r="C5895" s="112" t="s">
        <v>15470</v>
      </c>
      <c r="D5895" s="111" t="str">
        <f t="shared" ref="D5895:E5895" si="5893">TRIM(B5895)</f>
        <v>Kansas</v>
      </c>
      <c r="E5895" s="111" t="str">
        <f t="shared" si="5893"/>
        <v>Pratt</v>
      </c>
    </row>
    <row r="5896" spans="1:5">
      <c r="A5896" s="3" t="s">
        <v>2853</v>
      </c>
      <c r="B5896" s="110" t="s">
        <v>1337</v>
      </c>
      <c r="C5896" s="111" t="s">
        <v>15470</v>
      </c>
      <c r="D5896" s="111" t="str">
        <f t="shared" ref="D5896:E5896" si="5894">TRIM(B5896)</f>
        <v>Kansas</v>
      </c>
      <c r="E5896" s="111" t="str">
        <f t="shared" si="5894"/>
        <v>Pratt</v>
      </c>
    </row>
    <row r="5897" spans="1:5">
      <c r="A5897" s="3" t="s">
        <v>15471</v>
      </c>
      <c r="B5897" s="110" t="s">
        <v>1337</v>
      </c>
      <c r="C5897" s="111" t="s">
        <v>15472</v>
      </c>
      <c r="D5897" s="111" t="str">
        <f t="shared" ref="D5897:E5897" si="5895">TRIM(B5897)</f>
        <v>Kansas</v>
      </c>
      <c r="E5897" s="111" t="str">
        <f t="shared" si="5895"/>
        <v>Pretty Prairie</v>
      </c>
    </row>
    <row r="5898" spans="1:5">
      <c r="A5898" s="3" t="s">
        <v>15473</v>
      </c>
      <c r="B5898" s="110" t="s">
        <v>1337</v>
      </c>
      <c r="C5898" s="111" t="s">
        <v>15474</v>
      </c>
      <c r="D5898" s="111" t="str">
        <f t="shared" ref="D5898:E5898" si="5896">TRIM(B5898)</f>
        <v>Kansas</v>
      </c>
      <c r="E5898" s="111" t="str">
        <f t="shared" si="5896"/>
        <v>Quinter</v>
      </c>
    </row>
    <row r="5899" spans="1:5">
      <c r="A5899" s="3" t="s">
        <v>15475</v>
      </c>
      <c r="B5899" s="110" t="s">
        <v>1337</v>
      </c>
      <c r="C5899" s="111" t="s">
        <v>15476</v>
      </c>
      <c r="D5899" s="111" t="str">
        <f t="shared" ref="D5899:E5899" si="5897">TRIM(B5899)</f>
        <v>Kansas</v>
      </c>
      <c r="E5899" s="111" t="str">
        <f t="shared" si="5897"/>
        <v>Randolph</v>
      </c>
    </row>
    <row r="5900" spans="1:5">
      <c r="A5900" s="3" t="s">
        <v>15477</v>
      </c>
      <c r="B5900" s="110" t="s">
        <v>1337</v>
      </c>
      <c r="C5900" s="111" t="s">
        <v>15478</v>
      </c>
      <c r="D5900" s="111" t="str">
        <f t="shared" ref="D5900:E5900" si="5898">TRIM(B5900)</f>
        <v>Kansas</v>
      </c>
      <c r="E5900" s="111" t="str">
        <f t="shared" si="5898"/>
        <v>Ransom</v>
      </c>
    </row>
    <row r="5901" spans="1:5">
      <c r="A5901" s="3" t="s">
        <v>15479</v>
      </c>
      <c r="B5901" s="110" t="s">
        <v>1337</v>
      </c>
      <c r="C5901" s="111" t="s">
        <v>15480</v>
      </c>
      <c r="D5901" s="111" t="str">
        <f t="shared" ref="D5901:E5901" si="5899">TRIM(B5901)</f>
        <v>Kansas</v>
      </c>
      <c r="E5901" s="111" t="str">
        <f t="shared" si="5899"/>
        <v>Rexford</v>
      </c>
    </row>
    <row r="5902" spans="1:5">
      <c r="A5902" s="3" t="s">
        <v>15481</v>
      </c>
      <c r="B5902" s="110" t="s">
        <v>1337</v>
      </c>
      <c r="C5902" s="111" t="s">
        <v>657</v>
      </c>
      <c r="D5902" s="111" t="str">
        <f t="shared" ref="D5902:E5902" si="5900">TRIM(B5902)</f>
        <v>Kansas</v>
      </c>
      <c r="E5902" s="111" t="str">
        <f t="shared" si="5900"/>
        <v>Richmond</v>
      </c>
    </row>
    <row r="5903" spans="1:5">
      <c r="A5903" s="3" t="s">
        <v>15482</v>
      </c>
      <c r="B5903" s="110" t="s">
        <v>1337</v>
      </c>
      <c r="C5903" s="111" t="s">
        <v>15483</v>
      </c>
      <c r="D5903" s="111" t="str">
        <f t="shared" ref="D5903:E5903" si="5901">TRIM(B5903)</f>
        <v>Kansas</v>
      </c>
      <c r="E5903" s="111" t="str">
        <f t="shared" si="5901"/>
        <v>Riley</v>
      </c>
    </row>
    <row r="5904" spans="1:5">
      <c r="A5904" s="3" t="s">
        <v>13694</v>
      </c>
      <c r="B5904" s="110" t="s">
        <v>1337</v>
      </c>
      <c r="C5904" s="111" t="s">
        <v>13695</v>
      </c>
      <c r="D5904" s="111" t="str">
        <f t="shared" ref="D5904:E5904" si="5902">TRIM(B5904)</f>
        <v>Kansas</v>
      </c>
      <c r="E5904" s="111" t="str">
        <f t="shared" si="5902"/>
        <v>Riverton</v>
      </c>
    </row>
    <row r="5905" spans="1:5">
      <c r="A5905" s="3" t="s">
        <v>15484</v>
      </c>
      <c r="B5905" s="110" t="s">
        <v>1337</v>
      </c>
      <c r="C5905" s="111" t="s">
        <v>15485</v>
      </c>
      <c r="D5905" s="111" t="str">
        <f t="shared" ref="D5905:E5905" si="5903">TRIM(B5905)</f>
        <v>Kansas</v>
      </c>
      <c r="E5905" s="111" t="str">
        <f t="shared" si="5903"/>
        <v>Rolla</v>
      </c>
    </row>
    <row r="5906" spans="1:5">
      <c r="A5906" s="3" t="s">
        <v>15486</v>
      </c>
      <c r="B5906" s="110" t="s">
        <v>1337</v>
      </c>
      <c r="C5906" s="111" t="s">
        <v>15487</v>
      </c>
      <c r="D5906" s="111" t="str">
        <f t="shared" ref="D5906:E5906" si="5904">TRIM(B5906)</f>
        <v>Kansas</v>
      </c>
      <c r="E5906" s="111" t="str">
        <f t="shared" si="5904"/>
        <v>Rosalia</v>
      </c>
    </row>
    <row r="5907" spans="1:5">
      <c r="A5907" s="3" t="s">
        <v>15488</v>
      </c>
      <c r="B5907" s="110" t="s">
        <v>1337</v>
      </c>
      <c r="C5907" s="111" t="s">
        <v>15489</v>
      </c>
      <c r="D5907" s="111" t="str">
        <f t="shared" ref="D5907:E5907" si="5905">TRIM(B5907)</f>
        <v>Kansas</v>
      </c>
      <c r="E5907" s="111" t="str">
        <f t="shared" si="5905"/>
        <v>Rose Hill</v>
      </c>
    </row>
    <row r="5908" spans="1:5">
      <c r="A5908" s="3" t="s">
        <v>15490</v>
      </c>
      <c r="B5908" s="110" t="s">
        <v>1337</v>
      </c>
      <c r="C5908" s="111" t="s">
        <v>10703</v>
      </c>
      <c r="D5908" s="111" t="str">
        <f t="shared" ref="D5908:E5908" si="5906">TRIM(B5908)</f>
        <v>Kansas</v>
      </c>
      <c r="E5908" s="111" t="str">
        <f t="shared" si="5906"/>
        <v>Rossville</v>
      </c>
    </row>
    <row r="5909" spans="1:5">
      <c r="A5909" s="3" t="s">
        <v>15491</v>
      </c>
      <c r="B5909" s="110" t="s">
        <v>1337</v>
      </c>
      <c r="C5909" s="111" t="s">
        <v>15492</v>
      </c>
      <c r="D5909" s="111" t="str">
        <f t="shared" ref="D5909:E5909" si="5907">TRIM(B5909)</f>
        <v>Kansas</v>
      </c>
      <c r="E5909" s="111" t="str">
        <f t="shared" si="5907"/>
        <v>Russell</v>
      </c>
    </row>
    <row r="5910" spans="1:5">
      <c r="A5910" s="3" t="s">
        <v>15493</v>
      </c>
      <c r="B5910" s="110" t="s">
        <v>1337</v>
      </c>
      <c r="C5910" s="111" t="s">
        <v>15494</v>
      </c>
      <c r="D5910" s="111" t="str">
        <f t="shared" ref="D5910:E5910" si="5908">TRIM(B5910)</f>
        <v>Kansas</v>
      </c>
      <c r="E5910" s="111" t="str">
        <f t="shared" si="5908"/>
        <v>Sabetha</v>
      </c>
    </row>
    <row r="5911" spans="1:5">
      <c r="A5911" s="3" t="s">
        <v>15495</v>
      </c>
      <c r="B5911" s="110" t="s">
        <v>1337</v>
      </c>
      <c r="C5911" s="111" t="s">
        <v>10793</v>
      </c>
      <c r="D5911" s="111" t="str">
        <f t="shared" ref="D5911:E5911" si="5909">TRIM(B5911)</f>
        <v>Kansas</v>
      </c>
      <c r="E5911" s="111" t="str">
        <f t="shared" si="5909"/>
        <v>Salina</v>
      </c>
    </row>
    <row r="5912" spans="1:5">
      <c r="A5912" s="3" t="s">
        <v>15496</v>
      </c>
      <c r="B5912" s="110" t="s">
        <v>1337</v>
      </c>
      <c r="C5912" s="111" t="s">
        <v>10793</v>
      </c>
      <c r="D5912" s="111" t="str">
        <f t="shared" ref="D5912:E5912" si="5910">TRIM(B5912)</f>
        <v>Kansas</v>
      </c>
      <c r="E5912" s="111" t="str">
        <f t="shared" si="5910"/>
        <v>Salina</v>
      </c>
    </row>
    <row r="5913" spans="1:5">
      <c r="A5913" s="3" t="s">
        <v>15497</v>
      </c>
      <c r="B5913" s="110" t="s">
        <v>1337</v>
      </c>
      <c r="C5913" s="111" t="s">
        <v>15498</v>
      </c>
      <c r="D5913" s="111" t="str">
        <f t="shared" ref="D5913:E5913" si="5911">TRIM(B5913)</f>
        <v>Kansas</v>
      </c>
      <c r="E5913" s="111" t="str">
        <f t="shared" si="5911"/>
        <v>Satanta</v>
      </c>
    </row>
    <row r="5914" spans="1:5">
      <c r="A5914" s="3" t="s">
        <v>15499</v>
      </c>
      <c r="B5914" s="110" t="s">
        <v>1337</v>
      </c>
      <c r="C5914" s="111" t="s">
        <v>15500</v>
      </c>
      <c r="D5914" s="111" t="str">
        <f t="shared" ref="D5914:E5914" si="5912">TRIM(B5914)</f>
        <v>Kansas</v>
      </c>
      <c r="E5914" s="111" t="str">
        <f t="shared" si="5912"/>
        <v>Scandia</v>
      </c>
    </row>
    <row r="5915" spans="1:5">
      <c r="A5915" s="3" t="s">
        <v>15501</v>
      </c>
      <c r="B5915" s="110" t="s">
        <v>1337</v>
      </c>
      <c r="C5915" s="111" t="s">
        <v>15502</v>
      </c>
      <c r="D5915" s="111" t="str">
        <f t="shared" ref="D5915:E5915" si="5913">TRIM(B5915)</f>
        <v>Kansas</v>
      </c>
      <c r="E5915" s="111" t="str">
        <f t="shared" si="5913"/>
        <v>Scott City</v>
      </c>
    </row>
    <row r="5916" spans="1:5">
      <c r="A5916" s="3" t="s">
        <v>15503</v>
      </c>
      <c r="B5916" s="110" t="s">
        <v>1337</v>
      </c>
      <c r="C5916" s="111" t="s">
        <v>15504</v>
      </c>
      <c r="D5916" s="111" t="str">
        <f t="shared" ref="D5916:E5916" si="5914">TRIM(B5916)</f>
        <v>Kansas</v>
      </c>
      <c r="E5916" s="111" t="str">
        <f t="shared" si="5914"/>
        <v>Sedan</v>
      </c>
    </row>
    <row r="5917" spans="1:5">
      <c r="A5917" s="3" t="s">
        <v>15505</v>
      </c>
      <c r="B5917" s="110" t="s">
        <v>1337</v>
      </c>
      <c r="C5917" s="111" t="s">
        <v>15506</v>
      </c>
      <c r="D5917" s="111" t="str">
        <f t="shared" ref="D5917:E5917" si="5915">TRIM(B5917)</f>
        <v>Kansas</v>
      </c>
      <c r="E5917" s="111" t="str">
        <f t="shared" si="5915"/>
        <v>Sedgwick</v>
      </c>
    </row>
    <row r="5918" spans="1:5">
      <c r="A5918" s="3" t="s">
        <v>15507</v>
      </c>
      <c r="B5918" s="110" t="s">
        <v>1337</v>
      </c>
      <c r="C5918" s="111" t="s">
        <v>13787</v>
      </c>
      <c r="D5918" s="111" t="str">
        <f t="shared" ref="D5918:E5918" si="5916">TRIM(B5918)</f>
        <v>Kansas</v>
      </c>
      <c r="E5918" s="111" t="str">
        <f t="shared" si="5916"/>
        <v>Seneca</v>
      </c>
    </row>
    <row r="5919" spans="1:5">
      <c r="A5919" s="3" t="s">
        <v>15508</v>
      </c>
      <c r="B5919" s="110" t="s">
        <v>1337</v>
      </c>
      <c r="C5919" s="111" t="s">
        <v>15509</v>
      </c>
      <c r="D5919" s="111" t="str">
        <f t="shared" ref="D5919:E5919" si="5917">TRIM(B5919)</f>
        <v>Kansas</v>
      </c>
      <c r="E5919" s="111" t="str">
        <f t="shared" si="5917"/>
        <v>Sharon Springs</v>
      </c>
    </row>
    <row r="5920" spans="1:5">
      <c r="A5920" s="3" t="s">
        <v>15510</v>
      </c>
      <c r="B5920" s="110" t="s">
        <v>1337</v>
      </c>
      <c r="C5920" s="111" t="s">
        <v>12916</v>
      </c>
      <c r="D5920" s="111" t="str">
        <f t="shared" ref="D5920:E5920" si="5918">TRIM(B5920)</f>
        <v>Kansas</v>
      </c>
      <c r="E5920" s="111" t="str">
        <f t="shared" si="5918"/>
        <v>Shawnee</v>
      </c>
    </row>
    <row r="5921" spans="1:5">
      <c r="A5921" s="3" t="s">
        <v>15511</v>
      </c>
      <c r="B5921" s="110" t="s">
        <v>1337</v>
      </c>
      <c r="C5921" s="113" t="s">
        <v>15512</v>
      </c>
      <c r="D5921" s="111" t="str">
        <f t="shared" ref="D5921:E5921" si="5919">TRIM(B5921)</f>
        <v>Kansas</v>
      </c>
      <c r="E5921" s="111" t="str">
        <f t="shared" si="5919"/>
        <v>Shawnee Mission</v>
      </c>
    </row>
    <row r="5922" spans="1:5">
      <c r="A5922" s="3" t="s">
        <v>15513</v>
      </c>
      <c r="B5922" s="110" t="s">
        <v>1337</v>
      </c>
      <c r="C5922" s="113" t="s">
        <v>15512</v>
      </c>
      <c r="D5922" s="111" t="str">
        <f t="shared" ref="D5922:E5922" si="5920">TRIM(B5922)</f>
        <v>Kansas</v>
      </c>
      <c r="E5922" s="111" t="str">
        <f t="shared" si="5920"/>
        <v>Shawnee Mission</v>
      </c>
    </row>
    <row r="5923" spans="1:5">
      <c r="A5923" s="3" t="s">
        <v>15514</v>
      </c>
      <c r="B5923" s="110" t="s">
        <v>1337</v>
      </c>
      <c r="C5923" s="113" t="s">
        <v>15512</v>
      </c>
      <c r="D5923" s="111" t="str">
        <f t="shared" ref="D5923:E5923" si="5921">TRIM(B5923)</f>
        <v>Kansas</v>
      </c>
      <c r="E5923" s="111" t="str">
        <f t="shared" si="5921"/>
        <v>Shawnee Mission</v>
      </c>
    </row>
    <row r="5924" spans="1:5">
      <c r="A5924" s="3" t="s">
        <v>15515</v>
      </c>
      <c r="B5924" s="110" t="s">
        <v>1337</v>
      </c>
      <c r="C5924" s="113" t="s">
        <v>15512</v>
      </c>
      <c r="D5924" s="111" t="str">
        <f t="shared" ref="D5924:E5924" si="5922">TRIM(B5924)</f>
        <v>Kansas</v>
      </c>
      <c r="E5924" s="111" t="str">
        <f t="shared" si="5922"/>
        <v>Shawnee Mission</v>
      </c>
    </row>
    <row r="5925" spans="1:5">
      <c r="A5925" s="3" t="s">
        <v>15516</v>
      </c>
      <c r="B5925" s="110" t="s">
        <v>1337</v>
      </c>
      <c r="C5925" s="113" t="s">
        <v>15512</v>
      </c>
      <c r="D5925" s="111" t="str">
        <f t="shared" ref="D5925:E5925" si="5923">TRIM(B5925)</f>
        <v>Kansas</v>
      </c>
      <c r="E5925" s="111" t="str">
        <f t="shared" si="5923"/>
        <v>Shawnee Mission</v>
      </c>
    </row>
    <row r="5926" spans="1:5">
      <c r="A5926" s="3" t="s">
        <v>15517</v>
      </c>
      <c r="B5926" s="110" t="s">
        <v>1337</v>
      </c>
      <c r="C5926" s="111" t="s">
        <v>15518</v>
      </c>
      <c r="D5926" s="111" t="str">
        <f t="shared" ref="D5926:E5926" si="5924">TRIM(B5926)</f>
        <v>Kansas</v>
      </c>
      <c r="E5926" s="111" t="str">
        <f t="shared" si="5924"/>
        <v>Silver Lake</v>
      </c>
    </row>
    <row r="5927" spans="1:5">
      <c r="A5927" s="3" t="s">
        <v>15519</v>
      </c>
      <c r="B5927" s="110" t="s">
        <v>1337</v>
      </c>
      <c r="C5927" s="111" t="s">
        <v>15520</v>
      </c>
      <c r="D5927" s="111" t="str">
        <f t="shared" ref="D5927:E5927" si="5925">TRIM(B5927)</f>
        <v>Kansas</v>
      </c>
      <c r="E5927" s="111" t="str">
        <f t="shared" si="5925"/>
        <v>Smith Center</v>
      </c>
    </row>
    <row r="5928" spans="1:5">
      <c r="A5928" s="3" t="s">
        <v>15521</v>
      </c>
      <c r="B5928" s="110" t="s">
        <v>1337</v>
      </c>
      <c r="C5928" s="111" t="s">
        <v>15522</v>
      </c>
      <c r="D5928" s="111" t="str">
        <f t="shared" ref="D5928:E5928" si="5926">TRIM(B5928)</f>
        <v>Kansas</v>
      </c>
      <c r="E5928" s="111" t="str">
        <f t="shared" si="5926"/>
        <v>Solomon</v>
      </c>
    </row>
    <row r="5929" spans="1:5">
      <c r="A5929" s="3" t="s">
        <v>15523</v>
      </c>
      <c r="B5929" s="110" t="s">
        <v>1337</v>
      </c>
      <c r="C5929" s="111" t="s">
        <v>15524</v>
      </c>
      <c r="D5929" s="111" t="str">
        <f t="shared" ref="D5929:E5929" si="5927">TRIM(B5929)</f>
        <v>Kansas</v>
      </c>
      <c r="E5929" s="111" t="str">
        <f t="shared" si="5927"/>
        <v>South Haven</v>
      </c>
    </row>
    <row r="5930" spans="1:5">
      <c r="A5930" s="3" t="s">
        <v>15525</v>
      </c>
      <c r="B5930" s="110" t="s">
        <v>1337</v>
      </c>
      <c r="C5930" s="111" t="s">
        <v>15526</v>
      </c>
      <c r="D5930" s="111" t="str">
        <f t="shared" ref="D5930:E5930" si="5928">TRIM(B5930)</f>
        <v>Kansas</v>
      </c>
      <c r="E5930" s="111" t="str">
        <f t="shared" si="5928"/>
        <v>Spearville</v>
      </c>
    </row>
    <row r="5931" spans="1:5">
      <c r="A5931" s="3" t="s">
        <v>3874</v>
      </c>
      <c r="B5931" s="110" t="s">
        <v>1337</v>
      </c>
      <c r="C5931" s="111" t="s">
        <v>10093</v>
      </c>
      <c r="D5931" s="111" t="str">
        <f t="shared" ref="D5931:E5931" si="5929">TRIM(B5931)</f>
        <v>Kansas</v>
      </c>
      <c r="E5931" s="111" t="str">
        <f t="shared" si="5929"/>
        <v>Spring Hill</v>
      </c>
    </row>
    <row r="5932" spans="1:5">
      <c r="A5932" s="3" t="s">
        <v>9595</v>
      </c>
      <c r="B5932" s="110" t="s">
        <v>1337</v>
      </c>
      <c r="C5932" s="111" t="s">
        <v>15527</v>
      </c>
      <c r="D5932" s="111" t="str">
        <f t="shared" ref="D5932:E5932" si="5930">TRIM(B5932)</f>
        <v>Kansas</v>
      </c>
      <c r="E5932" s="111" t="str">
        <f t="shared" si="5930"/>
        <v>St Francis</v>
      </c>
    </row>
    <row r="5933" spans="1:5">
      <c r="A5933" s="3" t="s">
        <v>15528</v>
      </c>
      <c r="B5933" s="110" t="s">
        <v>1337</v>
      </c>
      <c r="C5933" s="111" t="s">
        <v>13905</v>
      </c>
      <c r="D5933" s="111" t="str">
        <f t="shared" ref="D5933:E5933" si="5931">TRIM(B5933)</f>
        <v>Kansas</v>
      </c>
      <c r="E5933" s="111" t="str">
        <f t="shared" si="5931"/>
        <v>St George</v>
      </c>
    </row>
    <row r="5934" spans="1:5">
      <c r="A5934" s="3" t="s">
        <v>15529</v>
      </c>
      <c r="B5934" s="110" t="s">
        <v>1337</v>
      </c>
      <c r="C5934" s="111" t="s">
        <v>15530</v>
      </c>
      <c r="D5934" s="111" t="str">
        <f t="shared" ref="D5934:E5934" si="5932">TRIM(B5934)</f>
        <v>Kansas</v>
      </c>
      <c r="E5934" s="111" t="str">
        <f t="shared" si="5932"/>
        <v>St Marys</v>
      </c>
    </row>
    <row r="5935" spans="1:5">
      <c r="A5935" s="3" t="s">
        <v>10949</v>
      </c>
      <c r="B5935" s="110" t="s">
        <v>1337</v>
      </c>
      <c r="C5935" s="111" t="s">
        <v>6748</v>
      </c>
      <c r="D5935" s="111" t="str">
        <f t="shared" ref="D5935:E5935" si="5933">TRIM(B5935)</f>
        <v>Kansas</v>
      </c>
      <c r="E5935" s="111" t="str">
        <f t="shared" si="5933"/>
        <v>St. John</v>
      </c>
    </row>
    <row r="5936" spans="1:5">
      <c r="A5936" s="3" t="s">
        <v>4214</v>
      </c>
      <c r="B5936" s="110" t="s">
        <v>1337</v>
      </c>
      <c r="C5936" s="111" t="s">
        <v>15531</v>
      </c>
      <c r="D5936" s="111" t="str">
        <f t="shared" ref="D5936:E5936" si="5934">TRIM(B5936)</f>
        <v>Kansas</v>
      </c>
      <c r="E5936" s="111" t="str">
        <f t="shared" si="5934"/>
        <v>St. Paul</v>
      </c>
    </row>
    <row r="5937" spans="1:5">
      <c r="A5937" s="3" t="s">
        <v>15532</v>
      </c>
      <c r="B5937" s="110" t="s">
        <v>1337</v>
      </c>
      <c r="C5937" s="111" t="s">
        <v>13984</v>
      </c>
      <c r="D5937" s="111" t="str">
        <f t="shared" ref="D5937:E5937" si="5935">TRIM(B5937)</f>
        <v>Kansas</v>
      </c>
      <c r="E5937" s="111" t="str">
        <f t="shared" si="5935"/>
        <v>Stafford</v>
      </c>
    </row>
    <row r="5938" spans="1:5">
      <c r="A5938" s="3" t="s">
        <v>15533</v>
      </c>
      <c r="B5938" s="110" t="s">
        <v>1337</v>
      </c>
      <c r="C5938" s="111" t="s">
        <v>5504</v>
      </c>
      <c r="D5938" s="111" t="str">
        <f t="shared" ref="D5938:E5938" si="5936">TRIM(B5938)</f>
        <v>Kansas</v>
      </c>
      <c r="E5938" s="111" t="str">
        <f t="shared" si="5936"/>
        <v>Sterling</v>
      </c>
    </row>
    <row r="5939" spans="1:5">
      <c r="A5939" s="3" t="s">
        <v>15475</v>
      </c>
      <c r="B5939" s="110" t="s">
        <v>1337</v>
      </c>
      <c r="C5939" s="111" t="s">
        <v>15534</v>
      </c>
      <c r="D5939" s="111" t="str">
        <f t="shared" ref="D5939:E5939" si="5937">TRIM(B5939)</f>
        <v>Kansas</v>
      </c>
      <c r="E5939" s="111" t="str">
        <f t="shared" si="5937"/>
        <v>Stilwell</v>
      </c>
    </row>
    <row r="5940" spans="1:5">
      <c r="A5940" s="3" t="s">
        <v>7208</v>
      </c>
      <c r="B5940" s="110" t="s">
        <v>1337</v>
      </c>
      <c r="C5940" s="111" t="s">
        <v>7188</v>
      </c>
      <c r="D5940" s="111" t="str">
        <f t="shared" ref="D5940:E5940" si="5938">TRIM(B5940)</f>
        <v>Kansas</v>
      </c>
      <c r="E5940" s="111" t="str">
        <f t="shared" si="5938"/>
        <v>Stockton</v>
      </c>
    </row>
    <row r="5941" spans="1:5">
      <c r="A5941" s="3" t="s">
        <v>15535</v>
      </c>
      <c r="B5941" s="110" t="s">
        <v>1337</v>
      </c>
      <c r="C5941" s="111" t="s">
        <v>15536</v>
      </c>
      <c r="D5941" s="111" t="str">
        <f t="shared" ref="D5941:E5941" si="5939">TRIM(B5941)</f>
        <v>Kansas</v>
      </c>
      <c r="E5941" s="111" t="str">
        <f t="shared" si="5939"/>
        <v>Sublette</v>
      </c>
    </row>
    <row r="5942" spans="1:5">
      <c r="A5942" s="110" t="s">
        <v>15537</v>
      </c>
      <c r="B5942" s="110" t="s">
        <v>1337</v>
      </c>
      <c r="C5942" s="111" t="s">
        <v>15538</v>
      </c>
      <c r="D5942" s="111" t="str">
        <f t="shared" ref="D5942:E5942" si="5940">TRIM(B5942)</f>
        <v>Kansas</v>
      </c>
      <c r="E5942" s="111" t="str">
        <f t="shared" si="5940"/>
        <v>Sylvan Grove</v>
      </c>
    </row>
    <row r="5943" spans="1:5">
      <c r="A5943" s="3" t="s">
        <v>15539</v>
      </c>
      <c r="B5943" s="110" t="s">
        <v>1337</v>
      </c>
      <c r="C5943" s="111" t="s">
        <v>12293</v>
      </c>
      <c r="D5943" s="111" t="str">
        <f t="shared" ref="D5943:E5943" si="5941">TRIM(B5943)</f>
        <v>Kansas</v>
      </c>
      <c r="E5943" s="111" t="str">
        <f t="shared" si="5941"/>
        <v>Syracuse</v>
      </c>
    </row>
    <row r="5944" spans="1:5">
      <c r="A5944" s="3" t="s">
        <v>15540</v>
      </c>
      <c r="B5944" s="110" t="s">
        <v>1337</v>
      </c>
      <c r="C5944" s="111" t="s">
        <v>15541</v>
      </c>
      <c r="D5944" s="111" t="str">
        <f t="shared" ref="D5944:E5944" si="5942">TRIM(B5944)</f>
        <v>Kansas</v>
      </c>
      <c r="E5944" s="111" t="str">
        <f t="shared" si="5942"/>
        <v>Tecumseh</v>
      </c>
    </row>
    <row r="5945" spans="1:5">
      <c r="A5945" s="3" t="s">
        <v>15542</v>
      </c>
      <c r="B5945" s="110" t="s">
        <v>1337</v>
      </c>
      <c r="C5945" s="111" t="s">
        <v>15543</v>
      </c>
      <c r="D5945" s="111" t="str">
        <f t="shared" ref="D5945:E5945" si="5943">TRIM(B5945)</f>
        <v>Kansas</v>
      </c>
      <c r="E5945" s="111" t="str">
        <f t="shared" si="5943"/>
        <v>Tescott</v>
      </c>
    </row>
    <row r="5946" spans="1:5">
      <c r="A5946" s="3" t="s">
        <v>15544</v>
      </c>
      <c r="B5946" s="110" t="s">
        <v>1337</v>
      </c>
      <c r="C5946" s="111" t="s">
        <v>15545</v>
      </c>
      <c r="D5946" s="111" t="str">
        <f t="shared" ref="D5946:E5946" si="5944">TRIM(B5946)</f>
        <v>Kansas</v>
      </c>
      <c r="E5946" s="111" t="str">
        <f t="shared" si="5944"/>
        <v>Tonganoxie</v>
      </c>
    </row>
    <row r="5947" spans="1:5">
      <c r="A5947" s="110" t="s">
        <v>15546</v>
      </c>
      <c r="B5947" s="110" t="s">
        <v>1337</v>
      </c>
      <c r="C5947" s="111" t="s">
        <v>14626</v>
      </c>
      <c r="D5947" s="111" t="str">
        <f t="shared" ref="D5947:E5947" si="5945">TRIM(B5947)</f>
        <v>Kansas</v>
      </c>
      <c r="E5947" s="111" t="str">
        <f t="shared" si="5945"/>
        <v>Topeka</v>
      </c>
    </row>
    <row r="5948" spans="1:5">
      <c r="A5948" s="110" t="s">
        <v>15547</v>
      </c>
      <c r="B5948" s="110" t="s">
        <v>1337</v>
      </c>
      <c r="C5948" s="111" t="s">
        <v>14626</v>
      </c>
      <c r="D5948" s="111" t="str">
        <f t="shared" ref="D5948:E5948" si="5946">TRIM(B5948)</f>
        <v>Kansas</v>
      </c>
      <c r="E5948" s="111" t="str">
        <f t="shared" si="5946"/>
        <v>Topeka</v>
      </c>
    </row>
    <row r="5949" spans="1:5">
      <c r="A5949" s="3" t="s">
        <v>13064</v>
      </c>
      <c r="B5949" s="110" t="s">
        <v>1337</v>
      </c>
      <c r="C5949" s="111" t="s">
        <v>14626</v>
      </c>
      <c r="D5949" s="111" t="str">
        <f t="shared" ref="D5949:E5949" si="5947">TRIM(B5949)</f>
        <v>Kansas</v>
      </c>
      <c r="E5949" s="111" t="str">
        <f t="shared" si="5947"/>
        <v>Topeka</v>
      </c>
    </row>
    <row r="5950" spans="1:5">
      <c r="A5950" s="3" t="s">
        <v>15548</v>
      </c>
      <c r="B5950" s="110" t="s">
        <v>1337</v>
      </c>
      <c r="C5950" s="111" t="s">
        <v>14626</v>
      </c>
      <c r="D5950" s="111" t="str">
        <f t="shared" ref="D5950:E5950" si="5948">TRIM(B5950)</f>
        <v>Kansas</v>
      </c>
      <c r="E5950" s="111" t="str">
        <f t="shared" si="5948"/>
        <v>Topeka</v>
      </c>
    </row>
    <row r="5951" spans="1:5">
      <c r="A5951" s="3" t="s">
        <v>15549</v>
      </c>
      <c r="B5951" s="110" t="s">
        <v>1337</v>
      </c>
      <c r="C5951" s="111" t="s">
        <v>14626</v>
      </c>
      <c r="D5951" s="111" t="str">
        <f t="shared" ref="D5951:E5951" si="5949">TRIM(B5951)</f>
        <v>Kansas</v>
      </c>
      <c r="E5951" s="111" t="str">
        <f t="shared" si="5949"/>
        <v>Topeka</v>
      </c>
    </row>
    <row r="5952" spans="1:5">
      <c r="A5952" s="3" t="s">
        <v>15550</v>
      </c>
      <c r="B5952" s="110" t="s">
        <v>1337</v>
      </c>
      <c r="C5952" s="111" t="s">
        <v>14626</v>
      </c>
      <c r="D5952" s="111" t="str">
        <f t="shared" ref="D5952:E5952" si="5950">TRIM(B5952)</f>
        <v>Kansas</v>
      </c>
      <c r="E5952" s="111" t="str">
        <f t="shared" si="5950"/>
        <v>Topeka</v>
      </c>
    </row>
    <row r="5953" spans="1:5">
      <c r="A5953" s="3" t="s">
        <v>15551</v>
      </c>
      <c r="B5953" s="110" t="s">
        <v>1337</v>
      </c>
      <c r="C5953" s="111" t="s">
        <v>14626</v>
      </c>
      <c r="D5953" s="111" t="str">
        <f t="shared" ref="D5953:E5953" si="5951">TRIM(B5953)</f>
        <v>Kansas</v>
      </c>
      <c r="E5953" s="111" t="str">
        <f t="shared" si="5951"/>
        <v>Topeka</v>
      </c>
    </row>
    <row r="5954" spans="1:5">
      <c r="A5954" s="3" t="s">
        <v>15552</v>
      </c>
      <c r="B5954" s="110" t="s">
        <v>1337</v>
      </c>
      <c r="C5954" s="111" t="s">
        <v>14626</v>
      </c>
      <c r="D5954" s="111" t="str">
        <f t="shared" ref="D5954:E5954" si="5952">TRIM(B5954)</f>
        <v>Kansas</v>
      </c>
      <c r="E5954" s="111" t="str">
        <f t="shared" si="5952"/>
        <v>Topeka</v>
      </c>
    </row>
    <row r="5955" spans="1:5">
      <c r="A5955" s="3" t="s">
        <v>15553</v>
      </c>
      <c r="B5955" s="110" t="s">
        <v>1337</v>
      </c>
      <c r="C5955" s="111" t="s">
        <v>14626</v>
      </c>
      <c r="D5955" s="111" t="str">
        <f t="shared" ref="D5955:E5955" si="5953">TRIM(B5955)</f>
        <v>Kansas</v>
      </c>
      <c r="E5955" s="111" t="str">
        <f t="shared" si="5953"/>
        <v>Topeka</v>
      </c>
    </row>
    <row r="5956" spans="1:5">
      <c r="A5956" s="3" t="s">
        <v>15554</v>
      </c>
      <c r="B5956" s="110" t="s">
        <v>1337</v>
      </c>
      <c r="C5956" s="111" t="s">
        <v>15555</v>
      </c>
      <c r="D5956" s="111" t="str">
        <f t="shared" ref="D5956:E5956" si="5954">TRIM(B5956)</f>
        <v>Kansas</v>
      </c>
      <c r="E5956" s="111" t="str">
        <f t="shared" si="5954"/>
        <v>Towanda</v>
      </c>
    </row>
    <row r="5957" spans="1:5">
      <c r="A5957" s="3" t="s">
        <v>15556</v>
      </c>
      <c r="B5957" s="110" t="s">
        <v>1337</v>
      </c>
      <c r="C5957" s="111" t="s">
        <v>15557</v>
      </c>
      <c r="D5957" s="111" t="str">
        <f t="shared" ref="D5957:E5957" si="5955">TRIM(B5957)</f>
        <v>Kansas</v>
      </c>
      <c r="E5957" s="111" t="str">
        <f t="shared" si="5955"/>
        <v>Tribune</v>
      </c>
    </row>
    <row r="5958" spans="1:5">
      <c r="A5958" s="3" t="s">
        <v>15558</v>
      </c>
      <c r="B5958" s="110" t="s">
        <v>1337</v>
      </c>
      <c r="C5958" s="111" t="s">
        <v>2228</v>
      </c>
      <c r="D5958" s="111" t="str">
        <f t="shared" ref="D5958:E5958" si="5956">TRIM(B5958)</f>
        <v>Kansas</v>
      </c>
      <c r="E5958" s="111" t="str">
        <f t="shared" si="5956"/>
        <v>Troy</v>
      </c>
    </row>
    <row r="5959" spans="1:5">
      <c r="A5959" s="3" t="s">
        <v>15559</v>
      </c>
      <c r="B5959" s="110" t="s">
        <v>1337</v>
      </c>
      <c r="C5959" s="111" t="s">
        <v>15560</v>
      </c>
      <c r="D5959" s="111" t="str">
        <f t="shared" ref="D5959:E5959" si="5957">TRIM(B5959)</f>
        <v>Kansas</v>
      </c>
      <c r="E5959" s="111" t="str">
        <f t="shared" si="5957"/>
        <v>Udall</v>
      </c>
    </row>
    <row r="5960" spans="1:5">
      <c r="A5960" s="3" t="s">
        <v>15561</v>
      </c>
      <c r="B5960" s="110" t="s">
        <v>1337</v>
      </c>
      <c r="C5960" s="111" t="s">
        <v>15562</v>
      </c>
      <c r="D5960" s="111" t="str">
        <f t="shared" ref="D5960:E5960" si="5958">TRIM(B5960)</f>
        <v>Kansas</v>
      </c>
      <c r="E5960" s="111" t="str">
        <f t="shared" si="5958"/>
        <v>Ulysses</v>
      </c>
    </row>
    <row r="5961" spans="1:5">
      <c r="A5961" s="3" t="s">
        <v>15563</v>
      </c>
      <c r="B5961" s="110" t="s">
        <v>1337</v>
      </c>
      <c r="C5961" s="111" t="s">
        <v>15564</v>
      </c>
      <c r="D5961" s="111" t="str">
        <f t="shared" ref="D5961:E5961" si="5959">TRIM(B5961)</f>
        <v>Kansas</v>
      </c>
      <c r="E5961" s="111" t="str">
        <f t="shared" si="5959"/>
        <v>Uniontown</v>
      </c>
    </row>
    <row r="5962" spans="1:5">
      <c r="A5962" s="110" t="s">
        <v>15565</v>
      </c>
      <c r="B5962" s="110" t="s">
        <v>1337</v>
      </c>
      <c r="C5962" s="111" t="s">
        <v>7365</v>
      </c>
      <c r="D5962" s="111" t="str">
        <f t="shared" ref="D5962:E5962" si="5960">TRIM(B5962)</f>
        <v>Kansas</v>
      </c>
      <c r="E5962" s="111" t="str">
        <f t="shared" si="5960"/>
        <v>Valley Center</v>
      </c>
    </row>
    <row r="5963" spans="1:5">
      <c r="A5963" s="3" t="s">
        <v>7369</v>
      </c>
      <c r="B5963" s="110" t="s">
        <v>1337</v>
      </c>
      <c r="C5963" s="111" t="s">
        <v>7365</v>
      </c>
      <c r="D5963" s="111" t="str">
        <f t="shared" ref="D5963:E5963" si="5961">TRIM(B5963)</f>
        <v>Kansas</v>
      </c>
      <c r="E5963" s="111" t="str">
        <f t="shared" si="5961"/>
        <v>Valley Center</v>
      </c>
    </row>
    <row r="5964" spans="1:5">
      <c r="A5964" s="3" t="s">
        <v>15566</v>
      </c>
      <c r="B5964" s="110" t="s">
        <v>1337</v>
      </c>
      <c r="C5964" s="111" t="s">
        <v>15567</v>
      </c>
      <c r="D5964" s="111" t="str">
        <f t="shared" ref="D5964:E5964" si="5962">TRIM(B5964)</f>
        <v>Kansas</v>
      </c>
      <c r="E5964" s="111" t="str">
        <f t="shared" si="5962"/>
        <v>Valley Falls</v>
      </c>
    </row>
    <row r="5965" spans="1:5">
      <c r="A5965" s="3" t="s">
        <v>15568</v>
      </c>
      <c r="B5965" s="110" t="s">
        <v>1337</v>
      </c>
      <c r="C5965" s="111" t="s">
        <v>13780</v>
      </c>
      <c r="D5965" s="111" t="str">
        <f t="shared" ref="D5965:E5965" si="5963">TRIM(B5965)</f>
        <v>Kansas</v>
      </c>
      <c r="E5965" s="111" t="str">
        <f t="shared" si="5963"/>
        <v>Victoria</v>
      </c>
    </row>
    <row r="5966" spans="1:5">
      <c r="A5966" s="3" t="s">
        <v>15569</v>
      </c>
      <c r="B5966" s="110" t="s">
        <v>1337</v>
      </c>
      <c r="C5966" s="111" t="s">
        <v>15570</v>
      </c>
      <c r="D5966" s="111" t="str">
        <f t="shared" ref="D5966:E5966" si="5964">TRIM(B5966)</f>
        <v>Kansas</v>
      </c>
      <c r="E5966" s="111" t="str">
        <f t="shared" si="5964"/>
        <v>Wakeeney</v>
      </c>
    </row>
    <row r="5967" spans="1:5">
      <c r="A5967" s="3" t="s">
        <v>15571</v>
      </c>
      <c r="B5967" s="110" t="s">
        <v>1337</v>
      </c>
      <c r="C5967" s="111" t="s">
        <v>14096</v>
      </c>
      <c r="D5967" s="111" t="str">
        <f t="shared" ref="D5967:E5967" si="5965">TRIM(B5967)</f>
        <v>Kansas</v>
      </c>
      <c r="E5967" s="111" t="str">
        <f t="shared" si="5965"/>
        <v>Wakefield</v>
      </c>
    </row>
    <row r="5968" spans="1:5">
      <c r="A5968" s="3" t="s">
        <v>15572</v>
      </c>
      <c r="B5968" s="110" t="s">
        <v>1337</v>
      </c>
      <c r="C5968" s="111" t="s">
        <v>15573</v>
      </c>
      <c r="D5968" s="111" t="str">
        <f t="shared" ref="D5968:E5968" si="5966">TRIM(B5968)</f>
        <v>Kansas</v>
      </c>
      <c r="E5968" s="111" t="str">
        <f t="shared" si="5966"/>
        <v>Wamego</v>
      </c>
    </row>
    <row r="5969" spans="1:5">
      <c r="A5969" s="3" t="s">
        <v>1620</v>
      </c>
      <c r="B5969" s="110" t="s">
        <v>1337</v>
      </c>
      <c r="C5969" s="111" t="s">
        <v>276</v>
      </c>
      <c r="D5969" s="111" t="str">
        <f t="shared" ref="D5969:E5969" si="5967">TRIM(B5969)</f>
        <v>Kansas</v>
      </c>
      <c r="E5969" s="111" t="str">
        <f t="shared" si="5967"/>
        <v>Washington</v>
      </c>
    </row>
    <row r="5970" spans="1:5">
      <c r="A5970" s="3" t="s">
        <v>3921</v>
      </c>
      <c r="B5970" s="110" t="s">
        <v>1337</v>
      </c>
      <c r="C5970" s="111" t="s">
        <v>15574</v>
      </c>
      <c r="D5970" s="111" t="str">
        <f t="shared" ref="D5970:E5970" si="5968">TRIM(B5970)</f>
        <v>Kansas</v>
      </c>
      <c r="E5970" s="111" t="str">
        <f t="shared" si="5968"/>
        <v>Wathena</v>
      </c>
    </row>
    <row r="5971" spans="1:5">
      <c r="A5971" s="3" t="s">
        <v>15575</v>
      </c>
      <c r="B5971" s="110" t="s">
        <v>1337</v>
      </c>
      <c r="C5971" s="111" t="s">
        <v>517</v>
      </c>
      <c r="D5971" s="111" t="str">
        <f t="shared" ref="D5971:E5971" si="5969">TRIM(B5971)</f>
        <v>Kansas</v>
      </c>
      <c r="E5971" s="111" t="str">
        <f t="shared" si="5969"/>
        <v>Waverly</v>
      </c>
    </row>
    <row r="5972" spans="1:5">
      <c r="A5972" s="3" t="s">
        <v>10228</v>
      </c>
      <c r="B5972" s="110" t="s">
        <v>1337</v>
      </c>
      <c r="C5972" s="111" t="s">
        <v>8522</v>
      </c>
      <c r="D5972" s="111" t="str">
        <f t="shared" ref="D5972:E5972" si="5970">TRIM(B5972)</f>
        <v>Kansas</v>
      </c>
      <c r="E5972" s="111" t="str">
        <f t="shared" si="5970"/>
        <v>Wellington</v>
      </c>
    </row>
    <row r="5973" spans="1:5">
      <c r="A5973" s="3" t="s">
        <v>15576</v>
      </c>
      <c r="B5973" s="110" t="s">
        <v>1337</v>
      </c>
      <c r="C5973" s="111" t="s">
        <v>15577</v>
      </c>
      <c r="D5973" s="111" t="str">
        <f t="shared" ref="D5973:E5973" si="5971">TRIM(B5973)</f>
        <v>Kansas</v>
      </c>
      <c r="E5973" s="111" t="str">
        <f t="shared" si="5971"/>
        <v>Wellsville</v>
      </c>
    </row>
    <row r="5974" spans="1:5">
      <c r="A5974" s="3" t="s">
        <v>15578</v>
      </c>
      <c r="B5974" s="110" t="s">
        <v>1337</v>
      </c>
      <c r="C5974" s="111" t="s">
        <v>15579</v>
      </c>
      <c r="D5974" s="111" t="str">
        <f t="shared" ref="D5974:E5974" si="5972">TRIM(B5974)</f>
        <v>Kansas</v>
      </c>
      <c r="E5974" s="111" t="str">
        <f t="shared" si="5972"/>
        <v>Weskan</v>
      </c>
    </row>
    <row r="5975" spans="1:5">
      <c r="A5975" s="3" t="s">
        <v>15580</v>
      </c>
      <c r="B5975" s="110" t="s">
        <v>1337</v>
      </c>
      <c r="C5975" s="111" t="s">
        <v>15581</v>
      </c>
      <c r="D5975" s="111" t="str">
        <f t="shared" ref="D5975:E5975" si="5973">TRIM(B5975)</f>
        <v>Kansas</v>
      </c>
      <c r="E5975" s="111" t="str">
        <f t="shared" si="5973"/>
        <v>Wetmore</v>
      </c>
    </row>
    <row r="5976" spans="1:5">
      <c r="A5976" s="3" t="s">
        <v>15582</v>
      </c>
      <c r="B5976" s="110" t="s">
        <v>1337</v>
      </c>
      <c r="C5976" s="111" t="s">
        <v>15583</v>
      </c>
      <c r="D5976" s="111" t="str">
        <f t="shared" ref="D5976:E5976" si="5974">TRIM(B5976)</f>
        <v>Kansas</v>
      </c>
      <c r="E5976" s="111" t="str">
        <f t="shared" si="5974"/>
        <v>White City</v>
      </c>
    </row>
    <row r="5977" spans="1:5">
      <c r="A5977" s="3" t="s">
        <v>15584</v>
      </c>
      <c r="B5977" s="110" t="s">
        <v>1337</v>
      </c>
      <c r="C5977" s="111" t="s">
        <v>15585</v>
      </c>
      <c r="D5977" s="111" t="str">
        <f t="shared" ref="D5977:E5977" si="5975">TRIM(B5977)</f>
        <v>Kansas</v>
      </c>
      <c r="E5977" s="111" t="str">
        <f t="shared" si="5975"/>
        <v>Whitewater</v>
      </c>
    </row>
    <row r="5978" spans="1:5">
      <c r="A5978" s="3" t="s">
        <v>15586</v>
      </c>
      <c r="B5978" s="110" t="s">
        <v>1337</v>
      </c>
      <c r="C5978" s="111" t="s">
        <v>1202</v>
      </c>
      <c r="D5978" s="111" t="str">
        <f t="shared" ref="D5978:E5978" si="5976">TRIM(B5978)</f>
        <v>Kansas</v>
      </c>
      <c r="E5978" s="111" t="str">
        <f t="shared" si="5976"/>
        <v>Wichita</v>
      </c>
    </row>
    <row r="5979" spans="1:5">
      <c r="A5979" s="110" t="s">
        <v>15587</v>
      </c>
      <c r="B5979" s="110" t="s">
        <v>1337</v>
      </c>
      <c r="C5979" s="111" t="s">
        <v>1202</v>
      </c>
      <c r="D5979" s="111" t="str">
        <f t="shared" ref="D5979:E5979" si="5977">TRIM(B5979)</f>
        <v>Kansas</v>
      </c>
      <c r="E5979" s="111" t="str">
        <f t="shared" si="5977"/>
        <v>Wichita</v>
      </c>
    </row>
    <row r="5980" spans="1:5">
      <c r="A5980" s="3" t="s">
        <v>2294</v>
      </c>
      <c r="B5980" s="110" t="s">
        <v>1337</v>
      </c>
      <c r="C5980" s="111" t="s">
        <v>1202</v>
      </c>
      <c r="D5980" s="111" t="str">
        <f t="shared" ref="D5980:E5980" si="5978">TRIM(B5980)</f>
        <v>Kansas</v>
      </c>
      <c r="E5980" s="111" t="str">
        <f t="shared" si="5978"/>
        <v>Wichita</v>
      </c>
    </row>
    <row r="5981" spans="1:5">
      <c r="A5981" s="3" t="s">
        <v>15588</v>
      </c>
      <c r="B5981" s="110" t="s">
        <v>1337</v>
      </c>
      <c r="C5981" s="111" t="s">
        <v>1202</v>
      </c>
      <c r="D5981" s="111" t="str">
        <f t="shared" ref="D5981:E5981" si="5979">TRIM(B5981)</f>
        <v>Kansas</v>
      </c>
      <c r="E5981" s="111" t="str">
        <f t="shared" si="5979"/>
        <v>Wichita</v>
      </c>
    </row>
    <row r="5982" spans="1:5">
      <c r="A5982" s="3" t="s">
        <v>15589</v>
      </c>
      <c r="B5982" s="110" t="s">
        <v>1337</v>
      </c>
      <c r="C5982" s="111" t="s">
        <v>1202</v>
      </c>
      <c r="D5982" s="111" t="str">
        <f t="shared" ref="D5982:E5982" si="5980">TRIM(B5982)</f>
        <v>Kansas</v>
      </c>
      <c r="E5982" s="111" t="str">
        <f t="shared" si="5980"/>
        <v>Wichita</v>
      </c>
    </row>
    <row r="5983" spans="1:5">
      <c r="A5983" s="3" t="s">
        <v>3069</v>
      </c>
      <c r="B5983" s="110" t="s">
        <v>1337</v>
      </c>
      <c r="C5983" s="111" t="s">
        <v>1202</v>
      </c>
      <c r="D5983" s="111" t="str">
        <f t="shared" ref="D5983:E5983" si="5981">TRIM(B5983)</f>
        <v>Kansas</v>
      </c>
      <c r="E5983" s="111" t="str">
        <f t="shared" si="5981"/>
        <v>Wichita</v>
      </c>
    </row>
    <row r="5984" spans="1:5">
      <c r="A5984" s="3" t="s">
        <v>15590</v>
      </c>
      <c r="B5984" s="110" t="s">
        <v>1337</v>
      </c>
      <c r="C5984" s="111" t="s">
        <v>1202</v>
      </c>
      <c r="D5984" s="111" t="str">
        <f t="shared" ref="D5984:E5984" si="5982">TRIM(B5984)</f>
        <v>Kansas</v>
      </c>
      <c r="E5984" s="111" t="str">
        <f t="shared" si="5982"/>
        <v>Wichita</v>
      </c>
    </row>
    <row r="5985" spans="1:5">
      <c r="A5985" s="3" t="s">
        <v>4439</v>
      </c>
      <c r="B5985" s="110" t="s">
        <v>1337</v>
      </c>
      <c r="C5985" s="111" t="s">
        <v>1202</v>
      </c>
      <c r="D5985" s="111" t="str">
        <f t="shared" ref="D5985:E5985" si="5983">TRIM(B5985)</f>
        <v>Kansas</v>
      </c>
      <c r="E5985" s="111" t="str">
        <f t="shared" si="5983"/>
        <v>Wichita</v>
      </c>
    </row>
    <row r="5986" spans="1:5">
      <c r="A5986" s="3" t="s">
        <v>8999</v>
      </c>
      <c r="B5986" s="110" t="s">
        <v>1337</v>
      </c>
      <c r="C5986" s="111" t="s">
        <v>1202</v>
      </c>
      <c r="D5986" s="111" t="str">
        <f t="shared" ref="D5986:E5986" si="5984">TRIM(B5986)</f>
        <v>Kansas</v>
      </c>
      <c r="E5986" s="111" t="str">
        <f t="shared" si="5984"/>
        <v>Wichita</v>
      </c>
    </row>
    <row r="5987" spans="1:5">
      <c r="A5987" s="3" t="s">
        <v>15591</v>
      </c>
      <c r="B5987" s="110" t="s">
        <v>1337</v>
      </c>
      <c r="C5987" s="111" t="s">
        <v>1202</v>
      </c>
      <c r="D5987" s="111" t="str">
        <f t="shared" ref="D5987:E5987" si="5985">TRIM(B5987)</f>
        <v>Kansas</v>
      </c>
      <c r="E5987" s="111" t="str">
        <f t="shared" si="5985"/>
        <v>Wichita</v>
      </c>
    </row>
    <row r="5988" spans="1:5">
      <c r="A5988" s="3" t="s">
        <v>2304</v>
      </c>
      <c r="B5988" s="110" t="s">
        <v>1337</v>
      </c>
      <c r="C5988" s="111" t="s">
        <v>1202</v>
      </c>
      <c r="D5988" s="111" t="str">
        <f t="shared" ref="D5988:E5988" si="5986">TRIM(B5988)</f>
        <v>Kansas</v>
      </c>
      <c r="E5988" s="111" t="str">
        <f t="shared" si="5986"/>
        <v>Wichita</v>
      </c>
    </row>
    <row r="5989" spans="1:5">
      <c r="A5989" s="3" t="s">
        <v>15592</v>
      </c>
      <c r="B5989" s="110" t="s">
        <v>1337</v>
      </c>
      <c r="C5989" s="111" t="s">
        <v>1202</v>
      </c>
      <c r="D5989" s="111" t="str">
        <f t="shared" ref="D5989:E5989" si="5987">TRIM(B5989)</f>
        <v>Kansas</v>
      </c>
      <c r="E5989" s="111" t="str">
        <f t="shared" si="5987"/>
        <v>Wichita</v>
      </c>
    </row>
    <row r="5990" spans="1:5">
      <c r="A5990" s="110" t="s">
        <v>15593</v>
      </c>
      <c r="B5990" s="110" t="s">
        <v>1337</v>
      </c>
      <c r="C5990" s="111" t="s">
        <v>1202</v>
      </c>
      <c r="D5990" s="111" t="str">
        <f t="shared" ref="D5990:E5990" si="5988">TRIM(B5990)</f>
        <v>Kansas</v>
      </c>
      <c r="E5990" s="111" t="str">
        <f t="shared" si="5988"/>
        <v>Wichita</v>
      </c>
    </row>
    <row r="5991" spans="1:5">
      <c r="A5991" s="3" t="s">
        <v>15594</v>
      </c>
      <c r="B5991" s="110" t="s">
        <v>1337</v>
      </c>
      <c r="C5991" s="111" t="s">
        <v>4278</v>
      </c>
      <c r="D5991" s="111" t="str">
        <f t="shared" ref="D5991:E5991" si="5989">TRIM(B5991)</f>
        <v>Kansas</v>
      </c>
      <c r="E5991" s="111" t="str">
        <f t="shared" si="5989"/>
        <v>Wilson</v>
      </c>
    </row>
    <row r="5992" spans="1:5">
      <c r="A5992" s="3" t="s">
        <v>15595</v>
      </c>
      <c r="B5992" s="110" t="s">
        <v>1337</v>
      </c>
      <c r="C5992" s="111" t="s">
        <v>14042</v>
      </c>
      <c r="D5992" s="111" t="str">
        <f t="shared" ref="D5992:E5992" si="5990">TRIM(B5992)</f>
        <v>Kansas</v>
      </c>
      <c r="E5992" s="111" t="str">
        <f t="shared" si="5990"/>
        <v>Winchester</v>
      </c>
    </row>
    <row r="5993" spans="1:5">
      <c r="A5993" s="3" t="s">
        <v>2282</v>
      </c>
      <c r="B5993" s="110" t="s">
        <v>1337</v>
      </c>
      <c r="C5993" s="111" t="s">
        <v>2284</v>
      </c>
      <c r="D5993" s="111" t="str">
        <f t="shared" ref="D5993:E5993" si="5991">TRIM(B5993)</f>
        <v>Kansas</v>
      </c>
      <c r="E5993" s="111" t="str">
        <f t="shared" si="5991"/>
        <v>Winfield</v>
      </c>
    </row>
    <row r="5994" spans="1:5">
      <c r="A5994" s="3" t="s">
        <v>15596</v>
      </c>
      <c r="B5994" s="110" t="s">
        <v>1337</v>
      </c>
      <c r="C5994" s="111" t="s">
        <v>11533</v>
      </c>
      <c r="D5994" s="111" t="str">
        <f t="shared" ref="D5994:E5994" si="5992">TRIM(B5994)</f>
        <v>Kansas</v>
      </c>
      <c r="E5994" s="111" t="str">
        <f t="shared" si="5992"/>
        <v>Winona</v>
      </c>
    </row>
    <row r="5995" spans="1:5">
      <c r="A5995" s="3" t="s">
        <v>15597</v>
      </c>
      <c r="B5995" s="110" t="s">
        <v>1337</v>
      </c>
      <c r="C5995" s="111" t="s">
        <v>15598</v>
      </c>
      <c r="D5995" s="111" t="str">
        <f t="shared" ref="D5995:E5995" si="5993">TRIM(B5995)</f>
        <v>Kansas</v>
      </c>
      <c r="E5995" s="111" t="str">
        <f t="shared" si="5993"/>
        <v>Yates Center</v>
      </c>
    </row>
    <row r="5996" spans="1:5">
      <c r="A5996" s="3" t="s">
        <v>15599</v>
      </c>
      <c r="B5996" s="110" t="s">
        <v>1338</v>
      </c>
      <c r="C5996" s="111" t="s">
        <v>182</v>
      </c>
      <c r="D5996" s="111" t="str">
        <f t="shared" ref="D5996:E5996" si="5994">TRIM(B5996)</f>
        <v>Kentucky</v>
      </c>
      <c r="E5996" s="111" t="str">
        <f t="shared" si="5994"/>
        <v>Albany</v>
      </c>
    </row>
    <row r="5997" spans="1:5">
      <c r="A5997" s="3" t="s">
        <v>15600</v>
      </c>
      <c r="B5997" s="110" t="s">
        <v>1338</v>
      </c>
      <c r="C5997" s="111" t="s">
        <v>831</v>
      </c>
      <c r="D5997" s="111" t="str">
        <f t="shared" ref="D5997:E5997" si="5995">TRIM(B5997)</f>
        <v>Kentucky</v>
      </c>
      <c r="E5997" s="111" t="str">
        <f t="shared" si="5995"/>
        <v>Alexandria</v>
      </c>
    </row>
    <row r="5998" spans="1:5">
      <c r="A5998" s="3" t="s">
        <v>15601</v>
      </c>
      <c r="B5998" s="110" t="s">
        <v>1338</v>
      </c>
      <c r="C5998" s="111" t="s">
        <v>10817</v>
      </c>
      <c r="D5998" s="111" t="str">
        <f t="shared" ref="D5998:E5998" si="5996">TRIM(B5998)</f>
        <v>Kentucky</v>
      </c>
      <c r="E5998" s="111" t="str">
        <f t="shared" si="5996"/>
        <v>Ashland</v>
      </c>
    </row>
    <row r="5999" spans="1:5">
      <c r="A5999" s="3" t="s">
        <v>1663</v>
      </c>
      <c r="B5999" s="110" t="s">
        <v>1338</v>
      </c>
      <c r="C5999" s="111" t="s">
        <v>10817</v>
      </c>
      <c r="D5999" s="111" t="str">
        <f t="shared" ref="D5999:E5999" si="5997">TRIM(B5999)</f>
        <v>Kentucky</v>
      </c>
      <c r="E5999" s="111" t="str">
        <f t="shared" si="5997"/>
        <v>Ashland</v>
      </c>
    </row>
    <row r="6000" spans="1:5">
      <c r="A6000" s="3" t="s">
        <v>15602</v>
      </c>
      <c r="B6000" s="110" t="s">
        <v>1338</v>
      </c>
      <c r="C6000" s="111" t="s">
        <v>10817</v>
      </c>
      <c r="D6000" s="111" t="str">
        <f t="shared" ref="D6000:E6000" si="5998">TRIM(B6000)</f>
        <v>Kentucky</v>
      </c>
      <c r="E6000" s="111" t="str">
        <f t="shared" si="5998"/>
        <v>Ashland</v>
      </c>
    </row>
    <row r="6001" spans="1:5">
      <c r="A6001" s="3" t="s">
        <v>15603</v>
      </c>
      <c r="B6001" s="110" t="s">
        <v>1338</v>
      </c>
      <c r="C6001" s="111" t="s">
        <v>15604</v>
      </c>
      <c r="D6001" s="111" t="str">
        <f t="shared" ref="D6001:E6001" si="5999">TRIM(B6001)</f>
        <v>Kentucky</v>
      </c>
      <c r="E6001" s="111" t="str">
        <f t="shared" si="5999"/>
        <v>Barbourville</v>
      </c>
    </row>
    <row r="6002" spans="1:5">
      <c r="A6002" s="3" t="s">
        <v>15605</v>
      </c>
      <c r="B6002" s="110" t="s">
        <v>1338</v>
      </c>
      <c r="C6002" s="111" t="s">
        <v>15606</v>
      </c>
      <c r="D6002" s="111" t="str">
        <f t="shared" ref="D6002:E6002" si="6000">TRIM(B6002)</f>
        <v>Kentucky</v>
      </c>
      <c r="E6002" s="111" t="str">
        <f t="shared" si="6000"/>
        <v>Bardstown</v>
      </c>
    </row>
    <row r="6003" spans="1:5">
      <c r="A6003" s="3" t="s">
        <v>15607</v>
      </c>
      <c r="B6003" s="110" t="s">
        <v>1338</v>
      </c>
      <c r="C6003" s="111" t="s">
        <v>15606</v>
      </c>
      <c r="D6003" s="111" t="str">
        <f t="shared" ref="D6003:E6003" si="6001">TRIM(B6003)</f>
        <v>Kentucky</v>
      </c>
      <c r="E6003" s="111" t="str">
        <f t="shared" si="6001"/>
        <v>Bardstown</v>
      </c>
    </row>
    <row r="6004" spans="1:5">
      <c r="A6004" s="3" t="s">
        <v>15608</v>
      </c>
      <c r="B6004" s="110" t="s">
        <v>1338</v>
      </c>
      <c r="C6004" s="111" t="s">
        <v>15606</v>
      </c>
      <c r="D6004" s="111" t="str">
        <f t="shared" ref="D6004:E6004" si="6002">TRIM(B6004)</f>
        <v>Kentucky</v>
      </c>
      <c r="E6004" s="111" t="str">
        <f t="shared" si="6002"/>
        <v>Bardstown</v>
      </c>
    </row>
    <row r="6005" spans="1:5">
      <c r="A6005" s="3" t="s">
        <v>15609</v>
      </c>
      <c r="B6005" s="110" t="s">
        <v>1338</v>
      </c>
      <c r="C6005" s="111" t="s">
        <v>15610</v>
      </c>
      <c r="D6005" s="111" t="str">
        <f t="shared" ref="D6005:E6005" si="6003">TRIM(B6005)</f>
        <v>Kentucky</v>
      </c>
      <c r="E6005" s="111" t="str">
        <f t="shared" si="6003"/>
        <v>Bardwell</v>
      </c>
    </row>
    <row r="6006" spans="1:5">
      <c r="A6006" s="3" t="s">
        <v>15611</v>
      </c>
      <c r="B6006" s="110" t="s">
        <v>1338</v>
      </c>
      <c r="C6006" s="111" t="s">
        <v>15612</v>
      </c>
      <c r="D6006" s="111" t="str">
        <f t="shared" ref="D6006:E6006" si="6004">TRIM(B6006)</f>
        <v>Kentucky</v>
      </c>
      <c r="E6006" s="111" t="str">
        <f t="shared" si="6004"/>
        <v>Barlow</v>
      </c>
    </row>
    <row r="6007" spans="1:5">
      <c r="A6007" s="3" t="s">
        <v>15613</v>
      </c>
      <c r="B6007" s="110" t="s">
        <v>1338</v>
      </c>
      <c r="C6007" s="111" t="s">
        <v>14711</v>
      </c>
      <c r="D6007" s="111" t="str">
        <f t="shared" ref="D6007:E6007" si="6005">TRIM(B6007)</f>
        <v>Kentucky</v>
      </c>
      <c r="E6007" s="111" t="str">
        <f t="shared" si="6005"/>
        <v>Baxter</v>
      </c>
    </row>
    <row r="6008" spans="1:5">
      <c r="A6008" s="3" t="s">
        <v>15614</v>
      </c>
      <c r="B6008" s="110" t="s">
        <v>1338</v>
      </c>
      <c r="C6008" s="111" t="s">
        <v>15615</v>
      </c>
      <c r="D6008" s="111" t="str">
        <f t="shared" ref="D6008:E6008" si="6006">TRIM(B6008)</f>
        <v>Kentucky</v>
      </c>
      <c r="E6008" s="111" t="str">
        <f t="shared" si="6006"/>
        <v>Beattyville</v>
      </c>
    </row>
    <row r="6009" spans="1:5">
      <c r="A6009" s="3" t="s">
        <v>15616</v>
      </c>
      <c r="B6009" s="110" t="s">
        <v>1338</v>
      </c>
      <c r="C6009" s="111" t="s">
        <v>14119</v>
      </c>
      <c r="D6009" s="111" t="str">
        <f t="shared" ref="D6009:E6009" si="6007">TRIM(B6009)</f>
        <v>Kentucky</v>
      </c>
      <c r="E6009" s="111" t="str">
        <f t="shared" si="6007"/>
        <v>Bedford</v>
      </c>
    </row>
    <row r="6010" spans="1:5">
      <c r="A6010" s="3" t="s">
        <v>15617</v>
      </c>
      <c r="B6010" s="110" t="s">
        <v>1338</v>
      </c>
      <c r="C6010" s="111" t="s">
        <v>15618</v>
      </c>
      <c r="D6010" s="111" t="str">
        <f t="shared" ref="D6010:E6010" si="6008">TRIM(B6010)</f>
        <v>Kentucky</v>
      </c>
      <c r="E6010" s="111" t="str">
        <f t="shared" si="6008"/>
        <v>Belfry</v>
      </c>
    </row>
    <row r="6011" spans="1:5">
      <c r="A6011" s="3" t="s">
        <v>14715</v>
      </c>
      <c r="B6011" s="110" t="s">
        <v>1338</v>
      </c>
      <c r="C6011" s="111" t="s">
        <v>14159</v>
      </c>
      <c r="D6011" s="111" t="str">
        <f t="shared" ref="D6011:E6011" si="6009">TRIM(B6011)</f>
        <v>Kentucky</v>
      </c>
      <c r="E6011" s="111" t="str">
        <f t="shared" si="6009"/>
        <v>Bellevue</v>
      </c>
    </row>
    <row r="6012" spans="1:5">
      <c r="A6012" s="3" t="s">
        <v>15619</v>
      </c>
      <c r="B6012" s="110" t="s">
        <v>1338</v>
      </c>
      <c r="C6012" s="111" t="s">
        <v>3604</v>
      </c>
      <c r="D6012" s="111" t="str">
        <f t="shared" ref="D6012:E6012" si="6010">TRIM(B6012)</f>
        <v>Kentucky</v>
      </c>
      <c r="E6012" s="111" t="str">
        <f t="shared" si="6010"/>
        <v>Benton</v>
      </c>
    </row>
    <row r="6013" spans="1:5">
      <c r="A6013" s="3" t="s">
        <v>15620</v>
      </c>
      <c r="B6013" s="110" t="s">
        <v>1338</v>
      </c>
      <c r="C6013" s="111" t="s">
        <v>15621</v>
      </c>
      <c r="D6013" s="111" t="str">
        <f t="shared" ref="D6013:E6013" si="6011">TRIM(B6013)</f>
        <v>Kentucky</v>
      </c>
      <c r="E6013" s="111" t="str">
        <f t="shared" si="6011"/>
        <v>Berea</v>
      </c>
    </row>
    <row r="6014" spans="1:5">
      <c r="A6014" s="3" t="s">
        <v>15622</v>
      </c>
      <c r="B6014" s="110" t="s">
        <v>1338</v>
      </c>
      <c r="C6014" s="111" t="s">
        <v>15621</v>
      </c>
      <c r="D6014" s="111" t="str">
        <f t="shared" ref="D6014:E6014" si="6012">TRIM(B6014)</f>
        <v>Kentucky</v>
      </c>
      <c r="E6014" s="111" t="str">
        <f t="shared" si="6012"/>
        <v>Berea</v>
      </c>
    </row>
    <row r="6015" spans="1:5">
      <c r="A6015" s="3" t="s">
        <v>15623</v>
      </c>
      <c r="B6015" s="110" t="s">
        <v>1338</v>
      </c>
      <c r="C6015" s="112" t="s">
        <v>15624</v>
      </c>
      <c r="D6015" s="111" t="str">
        <f t="shared" ref="D6015:E6015" si="6013">TRIM(B6015)</f>
        <v>Kentucky</v>
      </c>
      <c r="E6015" s="111" t="str">
        <f t="shared" si="6013"/>
        <v>Betsy Layne</v>
      </c>
    </row>
    <row r="6016" spans="1:5">
      <c r="A6016" s="3" t="s">
        <v>15625</v>
      </c>
      <c r="B6016" s="110" t="s">
        <v>1338</v>
      </c>
      <c r="C6016" s="111" t="s">
        <v>3637</v>
      </c>
      <c r="D6016" s="111" t="str">
        <f t="shared" ref="D6016:E6016" si="6014">TRIM(B6016)</f>
        <v>Kentucky</v>
      </c>
      <c r="E6016" s="111" t="str">
        <f t="shared" si="6014"/>
        <v>Booneville</v>
      </c>
    </row>
    <row r="6017" spans="1:5">
      <c r="A6017" s="3" t="s">
        <v>15626</v>
      </c>
      <c r="B6017" s="110" t="s">
        <v>1338</v>
      </c>
      <c r="C6017" s="111" t="s">
        <v>15627</v>
      </c>
      <c r="D6017" s="111" t="str">
        <f t="shared" ref="D6017:E6017" si="6015">TRIM(B6017)</f>
        <v>Kentucky</v>
      </c>
      <c r="E6017" s="111" t="str">
        <f t="shared" si="6015"/>
        <v>Bowling Green</v>
      </c>
    </row>
    <row r="6018" spans="1:5">
      <c r="A6018" s="3" t="s">
        <v>3819</v>
      </c>
      <c r="B6018" s="110" t="s">
        <v>1338</v>
      </c>
      <c r="C6018" s="111" t="s">
        <v>15627</v>
      </c>
      <c r="D6018" s="111" t="str">
        <f t="shared" ref="D6018:E6018" si="6016">TRIM(B6018)</f>
        <v>Kentucky</v>
      </c>
      <c r="E6018" s="111" t="str">
        <f t="shared" si="6016"/>
        <v>Bowling Green</v>
      </c>
    </row>
    <row r="6019" spans="1:5">
      <c r="A6019" s="3" t="s">
        <v>15628</v>
      </c>
      <c r="B6019" s="110" t="s">
        <v>1338</v>
      </c>
      <c r="C6019" s="111" t="s">
        <v>15627</v>
      </c>
      <c r="D6019" s="111" t="str">
        <f t="shared" ref="D6019:E6019" si="6017">TRIM(B6019)</f>
        <v>Kentucky</v>
      </c>
      <c r="E6019" s="111" t="str">
        <f t="shared" si="6017"/>
        <v>Bowling Green</v>
      </c>
    </row>
    <row r="6020" spans="1:5">
      <c r="A6020" s="3" t="s">
        <v>14424</v>
      </c>
      <c r="B6020" s="110" t="s">
        <v>1338</v>
      </c>
      <c r="C6020" s="111" t="s">
        <v>15627</v>
      </c>
      <c r="D6020" s="111" t="str">
        <f t="shared" ref="D6020:E6020" si="6018">TRIM(B6020)</f>
        <v>Kentucky</v>
      </c>
      <c r="E6020" s="111" t="str">
        <f t="shared" si="6018"/>
        <v>Bowling Green</v>
      </c>
    </row>
    <row r="6021" spans="1:5">
      <c r="A6021" s="3" t="s">
        <v>15629</v>
      </c>
      <c r="B6021" s="110" t="s">
        <v>1338</v>
      </c>
      <c r="C6021" s="111" t="s">
        <v>15627</v>
      </c>
      <c r="D6021" s="111" t="str">
        <f t="shared" ref="D6021:E6021" si="6019">TRIM(B6021)</f>
        <v>Kentucky</v>
      </c>
      <c r="E6021" s="111" t="str">
        <f t="shared" si="6019"/>
        <v>Bowling Green</v>
      </c>
    </row>
    <row r="6022" spans="1:5">
      <c r="A6022" s="3" t="s">
        <v>15630</v>
      </c>
      <c r="B6022" s="110" t="s">
        <v>1338</v>
      </c>
      <c r="C6022" s="111" t="s">
        <v>15631</v>
      </c>
      <c r="D6022" s="111" t="str">
        <f t="shared" ref="D6022:E6022" si="6020">TRIM(B6022)</f>
        <v>Kentucky</v>
      </c>
      <c r="E6022" s="111" t="str">
        <f t="shared" si="6020"/>
        <v>Brandenburg</v>
      </c>
    </row>
    <row r="6023" spans="1:5">
      <c r="A6023" s="3" t="s">
        <v>15632</v>
      </c>
      <c r="B6023" s="110" t="s">
        <v>1338</v>
      </c>
      <c r="C6023" s="111" t="s">
        <v>9016</v>
      </c>
      <c r="D6023" s="111" t="str">
        <f t="shared" ref="D6023:E6023" si="6021">TRIM(B6023)</f>
        <v>Kentucky</v>
      </c>
      <c r="E6023" s="111" t="str">
        <f t="shared" si="6021"/>
        <v>Brooksville</v>
      </c>
    </row>
    <row r="6024" spans="1:5">
      <c r="A6024" s="3" t="s">
        <v>15633</v>
      </c>
      <c r="B6024" s="110" t="s">
        <v>1338</v>
      </c>
      <c r="C6024" s="111" t="s">
        <v>426</v>
      </c>
      <c r="D6024" s="111" t="str">
        <f t="shared" ref="D6024:E6024" si="6022">TRIM(B6024)</f>
        <v>Kentucky</v>
      </c>
      <c r="E6024" s="111" t="str">
        <f t="shared" si="6022"/>
        <v>Brownsville</v>
      </c>
    </row>
    <row r="6025" spans="1:5">
      <c r="A6025" s="3" t="s">
        <v>15634</v>
      </c>
      <c r="B6025" s="110" t="s">
        <v>1338</v>
      </c>
      <c r="C6025" s="111" t="s">
        <v>15635</v>
      </c>
      <c r="D6025" s="111" t="str">
        <f t="shared" ref="D6025:E6025" si="6023">TRIM(B6025)</f>
        <v>Kentucky</v>
      </c>
      <c r="E6025" s="111" t="str">
        <f t="shared" si="6023"/>
        <v>Buckner</v>
      </c>
    </row>
    <row r="6026" spans="1:5">
      <c r="A6026" s="3" t="s">
        <v>15636</v>
      </c>
      <c r="B6026" s="110" t="s">
        <v>1338</v>
      </c>
      <c r="C6026" s="111" t="s">
        <v>15637</v>
      </c>
      <c r="D6026" s="111" t="str">
        <f t="shared" ref="D6026:E6026" si="6024">TRIM(B6026)</f>
        <v>Kentucky</v>
      </c>
      <c r="E6026" s="111" t="str">
        <f t="shared" si="6024"/>
        <v>Burkesville</v>
      </c>
    </row>
    <row r="6027" spans="1:5">
      <c r="A6027" s="3" t="s">
        <v>15638</v>
      </c>
      <c r="B6027" s="110" t="s">
        <v>1338</v>
      </c>
      <c r="C6027" s="111" t="s">
        <v>15639</v>
      </c>
      <c r="D6027" s="111" t="str">
        <f t="shared" ref="D6027:E6027" si="6025">TRIM(B6027)</f>
        <v>Kentucky</v>
      </c>
      <c r="E6027" s="111" t="str">
        <f t="shared" si="6025"/>
        <v>Cadiz</v>
      </c>
    </row>
    <row r="6028" spans="1:5">
      <c r="A6028" s="3" t="s">
        <v>15640</v>
      </c>
      <c r="B6028" s="110" t="s">
        <v>1338</v>
      </c>
      <c r="C6028" s="111" t="s">
        <v>10327</v>
      </c>
      <c r="D6028" s="111" t="str">
        <f t="shared" ref="D6028:E6028" si="6026">TRIM(B6028)</f>
        <v>Kentucky</v>
      </c>
      <c r="E6028" s="111" t="str">
        <f t="shared" si="6026"/>
        <v>Calhoun</v>
      </c>
    </row>
    <row r="6029" spans="1:5">
      <c r="A6029" s="3" t="s">
        <v>15641</v>
      </c>
      <c r="B6029" s="110" t="s">
        <v>1338</v>
      </c>
      <c r="C6029" s="111" t="s">
        <v>15642</v>
      </c>
      <c r="D6029" s="111" t="str">
        <f t="shared" ref="D6029:E6029" si="6027">TRIM(B6029)</f>
        <v>Kentucky</v>
      </c>
      <c r="E6029" s="111" t="str">
        <f t="shared" si="6027"/>
        <v>Campbellsville</v>
      </c>
    </row>
    <row r="6030" spans="1:5">
      <c r="A6030" s="3" t="s">
        <v>9955</v>
      </c>
      <c r="B6030" s="110" t="s">
        <v>1338</v>
      </c>
      <c r="C6030" s="111" t="s">
        <v>15642</v>
      </c>
      <c r="D6030" s="111" t="str">
        <f t="shared" ref="D6030:E6030" si="6028">TRIM(B6030)</f>
        <v>Kentucky</v>
      </c>
      <c r="E6030" s="111" t="str">
        <f t="shared" si="6028"/>
        <v>Campbellsville</v>
      </c>
    </row>
    <row r="6031" spans="1:5">
      <c r="A6031" s="3" t="s">
        <v>15643</v>
      </c>
      <c r="B6031" s="110" t="s">
        <v>1338</v>
      </c>
      <c r="C6031" s="111" t="s">
        <v>15644</v>
      </c>
      <c r="D6031" s="111" t="str">
        <f t="shared" ref="D6031:E6031" si="6029">TRIM(B6031)</f>
        <v>Kentucky</v>
      </c>
      <c r="E6031" s="111" t="str">
        <f t="shared" si="6029"/>
        <v>Campton</v>
      </c>
    </row>
    <row r="6032" spans="1:5">
      <c r="A6032" s="3" t="s">
        <v>15645</v>
      </c>
      <c r="B6032" s="110" t="s">
        <v>1338</v>
      </c>
      <c r="C6032" s="111" t="s">
        <v>3670</v>
      </c>
      <c r="D6032" s="111" t="str">
        <f t="shared" ref="D6032:E6032" si="6030">TRIM(B6032)</f>
        <v>Kentucky</v>
      </c>
      <c r="E6032" s="111" t="str">
        <f t="shared" si="6030"/>
        <v>Carlisle</v>
      </c>
    </row>
    <row r="6033" spans="1:5">
      <c r="A6033" s="3" t="s">
        <v>15646</v>
      </c>
      <c r="B6033" s="110" t="s">
        <v>1338</v>
      </c>
      <c r="C6033" s="111" t="s">
        <v>5618</v>
      </c>
      <c r="D6033" s="111" t="str">
        <f t="shared" ref="D6033:E6033" si="6031">TRIM(B6033)</f>
        <v>Kentucky</v>
      </c>
      <c r="E6033" s="111" t="str">
        <f t="shared" si="6031"/>
        <v>Carrollton</v>
      </c>
    </row>
    <row r="6034" spans="1:5">
      <c r="A6034" s="3" t="s">
        <v>15647</v>
      </c>
      <c r="B6034" s="110" t="s">
        <v>1338</v>
      </c>
      <c r="C6034" s="111" t="s">
        <v>15648</v>
      </c>
      <c r="D6034" s="111" t="str">
        <f t="shared" ref="D6034:E6034" si="6032">TRIM(B6034)</f>
        <v>Kentucky</v>
      </c>
      <c r="E6034" s="111" t="str">
        <f t="shared" si="6032"/>
        <v>Cecilia</v>
      </c>
    </row>
    <row r="6035" spans="1:5">
      <c r="A6035" s="3" t="s">
        <v>15649</v>
      </c>
      <c r="B6035" s="110" t="s">
        <v>1338</v>
      </c>
      <c r="C6035" s="111" t="s">
        <v>3697</v>
      </c>
      <c r="D6035" s="111" t="str">
        <f t="shared" ref="D6035:E6035" si="6033">TRIM(B6035)</f>
        <v>Kentucky</v>
      </c>
      <c r="E6035" s="111" t="str">
        <f t="shared" si="6033"/>
        <v>Clinton</v>
      </c>
    </row>
    <row r="6036" spans="1:5">
      <c r="A6036" s="3" t="s">
        <v>15650</v>
      </c>
      <c r="B6036" s="110" t="s">
        <v>1338</v>
      </c>
      <c r="C6036" s="111" t="s">
        <v>15651</v>
      </c>
      <c r="D6036" s="111" t="str">
        <f t="shared" ref="D6036:E6036" si="6034">TRIM(B6036)</f>
        <v>Kentucky</v>
      </c>
      <c r="E6036" s="111" t="str">
        <f t="shared" si="6034"/>
        <v>Cloverport</v>
      </c>
    </row>
    <row r="6037" spans="1:5">
      <c r="A6037" s="3" t="s">
        <v>15652</v>
      </c>
      <c r="B6037" s="110" t="s">
        <v>1338</v>
      </c>
      <c r="C6037" s="111" t="s">
        <v>356</v>
      </c>
      <c r="D6037" s="111" t="str">
        <f t="shared" ref="D6037:E6037" si="6035">TRIM(B6037)</f>
        <v>Kentucky</v>
      </c>
      <c r="E6037" s="111" t="str">
        <f t="shared" si="6035"/>
        <v>Columbia</v>
      </c>
    </row>
    <row r="6038" spans="1:5">
      <c r="A6038" s="3" t="s">
        <v>15653</v>
      </c>
      <c r="B6038" s="110" t="s">
        <v>1338</v>
      </c>
      <c r="C6038" s="111" t="s">
        <v>15654</v>
      </c>
      <c r="D6038" s="111" t="str">
        <f t="shared" ref="D6038:E6038" si="6036">TRIM(B6038)</f>
        <v>Kentucky</v>
      </c>
      <c r="E6038" s="111" t="str">
        <f t="shared" si="6036"/>
        <v>Corbin</v>
      </c>
    </row>
    <row r="6039" spans="1:5">
      <c r="A6039" s="3" t="s">
        <v>15655</v>
      </c>
      <c r="B6039" s="110" t="s">
        <v>1338</v>
      </c>
      <c r="C6039" s="111" t="s">
        <v>15654</v>
      </c>
      <c r="D6039" s="111" t="str">
        <f t="shared" ref="D6039:E6039" si="6037">TRIM(B6039)</f>
        <v>Kentucky</v>
      </c>
      <c r="E6039" s="111" t="str">
        <f t="shared" si="6037"/>
        <v>Corbin</v>
      </c>
    </row>
    <row r="6040" spans="1:5">
      <c r="A6040" s="3" t="s">
        <v>15656</v>
      </c>
      <c r="B6040" s="110" t="s">
        <v>1338</v>
      </c>
      <c r="C6040" s="111" t="s">
        <v>10597</v>
      </c>
      <c r="D6040" s="111" t="str">
        <f t="shared" ref="D6040:E6040" si="6038">TRIM(B6040)</f>
        <v>Kentucky</v>
      </c>
      <c r="E6040" s="111" t="str">
        <f t="shared" si="6038"/>
        <v>Covington</v>
      </c>
    </row>
    <row r="6041" spans="1:5">
      <c r="A6041" s="3" t="s">
        <v>15657</v>
      </c>
      <c r="B6041" s="110" t="s">
        <v>1338</v>
      </c>
      <c r="C6041" s="111" t="s">
        <v>15658</v>
      </c>
      <c r="D6041" s="111" t="str">
        <f t="shared" ref="D6041:E6041" si="6039">TRIM(B6041)</f>
        <v>Kentucky</v>
      </c>
      <c r="E6041" s="111" t="str">
        <f t="shared" si="6039"/>
        <v>Crestwood</v>
      </c>
    </row>
    <row r="6042" spans="1:5">
      <c r="A6042" s="3" t="s">
        <v>15659</v>
      </c>
      <c r="B6042" s="110" t="s">
        <v>1338</v>
      </c>
      <c r="C6042" s="111" t="s">
        <v>15660</v>
      </c>
      <c r="D6042" s="111" t="str">
        <f t="shared" ref="D6042:E6042" si="6040">TRIM(B6042)</f>
        <v>Kentucky</v>
      </c>
      <c r="E6042" s="111" t="str">
        <f t="shared" si="6040"/>
        <v>Cynthiana</v>
      </c>
    </row>
    <row r="6043" spans="1:5">
      <c r="A6043" s="3" t="s">
        <v>15661</v>
      </c>
      <c r="B6043" s="110" t="s">
        <v>1338</v>
      </c>
      <c r="C6043" s="111" t="s">
        <v>529</v>
      </c>
      <c r="D6043" s="111" t="str">
        <f t="shared" ref="D6043:E6043" si="6041">TRIM(B6043)</f>
        <v>Kentucky</v>
      </c>
      <c r="E6043" s="111" t="str">
        <f t="shared" si="6041"/>
        <v>Danville</v>
      </c>
    </row>
    <row r="6044" spans="1:5">
      <c r="A6044" s="3" t="s">
        <v>1676</v>
      </c>
      <c r="B6044" s="110" t="s">
        <v>1338</v>
      </c>
      <c r="C6044" s="111" t="s">
        <v>529</v>
      </c>
      <c r="D6044" s="111" t="str">
        <f t="shared" ref="D6044:E6044" si="6042">TRIM(B6044)</f>
        <v>Kentucky</v>
      </c>
      <c r="E6044" s="111" t="str">
        <f t="shared" si="6042"/>
        <v>Danville</v>
      </c>
    </row>
    <row r="6045" spans="1:5">
      <c r="A6045" s="3" t="s">
        <v>15662</v>
      </c>
      <c r="B6045" s="110" t="s">
        <v>1338</v>
      </c>
      <c r="C6045" s="111" t="s">
        <v>15663</v>
      </c>
      <c r="D6045" s="111" t="str">
        <f t="shared" ref="D6045:E6045" si="6043">TRIM(B6045)</f>
        <v>Kentucky</v>
      </c>
      <c r="E6045" s="111" t="str">
        <f t="shared" si="6043"/>
        <v>Dawson Springs</v>
      </c>
    </row>
    <row r="6046" spans="1:5">
      <c r="A6046" s="3" t="s">
        <v>15664</v>
      </c>
      <c r="B6046" s="110" t="s">
        <v>1338</v>
      </c>
      <c r="C6046" s="111" t="s">
        <v>568</v>
      </c>
      <c r="D6046" s="111" t="str">
        <f t="shared" ref="D6046:E6046" si="6044">TRIM(B6046)</f>
        <v>Kentucky</v>
      </c>
      <c r="E6046" s="111" t="str">
        <f t="shared" si="6044"/>
        <v>Dayton</v>
      </c>
    </row>
    <row r="6047" spans="1:5">
      <c r="A6047" s="3" t="s">
        <v>11172</v>
      </c>
      <c r="B6047" s="110" t="s">
        <v>1338</v>
      </c>
      <c r="C6047" s="111" t="s">
        <v>4841</v>
      </c>
      <c r="D6047" s="111" t="str">
        <f t="shared" ref="D6047:E6047" si="6045">TRIM(B6047)</f>
        <v>Kentucky</v>
      </c>
      <c r="E6047" s="111" t="str">
        <f t="shared" si="6045"/>
        <v>Dixon</v>
      </c>
    </row>
    <row r="6048" spans="1:5">
      <c r="A6048" s="3" t="s">
        <v>15665</v>
      </c>
      <c r="B6048" s="110" t="s">
        <v>1338</v>
      </c>
      <c r="C6048" s="111" t="s">
        <v>15666</v>
      </c>
      <c r="D6048" s="111" t="str">
        <f t="shared" ref="D6048:E6048" si="6046">TRIM(B6048)</f>
        <v>Kentucky</v>
      </c>
      <c r="E6048" s="111" t="str">
        <f t="shared" si="6046"/>
        <v>Dry Ridge</v>
      </c>
    </row>
    <row r="6049" spans="1:5">
      <c r="A6049" s="3" t="s">
        <v>14327</v>
      </c>
      <c r="B6049" s="110" t="s">
        <v>1338</v>
      </c>
      <c r="C6049" s="111" t="s">
        <v>15667</v>
      </c>
      <c r="D6049" s="111" t="str">
        <f t="shared" ref="D6049:E6049" si="6047">TRIM(B6049)</f>
        <v>Kentucky</v>
      </c>
      <c r="E6049" s="111" t="str">
        <f t="shared" si="6047"/>
        <v>Eastern</v>
      </c>
    </row>
    <row r="6050" spans="1:5">
      <c r="A6050" s="3" t="s">
        <v>15668</v>
      </c>
      <c r="B6050" s="110" t="s">
        <v>1338</v>
      </c>
      <c r="C6050" s="111" t="s">
        <v>14804</v>
      </c>
      <c r="D6050" s="111" t="str">
        <f t="shared" ref="D6050:E6050" si="6048">TRIM(B6050)</f>
        <v>Kentucky</v>
      </c>
      <c r="E6050" s="111" t="str">
        <f t="shared" si="6048"/>
        <v>Eddyville</v>
      </c>
    </row>
    <row r="6051" spans="1:5">
      <c r="A6051" s="3" t="s">
        <v>15669</v>
      </c>
      <c r="B6051" s="110" t="s">
        <v>1338</v>
      </c>
      <c r="C6051" s="111" t="s">
        <v>15670</v>
      </c>
      <c r="D6051" s="111" t="str">
        <f t="shared" ref="D6051:E6051" si="6049">TRIM(B6051)</f>
        <v>Kentucky</v>
      </c>
      <c r="E6051" s="111" t="str">
        <f t="shared" si="6049"/>
        <v>Edmonton</v>
      </c>
    </row>
    <row r="6052" spans="1:5">
      <c r="A6052" s="3" t="s">
        <v>15671</v>
      </c>
      <c r="B6052" s="110" t="s">
        <v>1338</v>
      </c>
      <c r="C6052" s="111" t="s">
        <v>6000</v>
      </c>
      <c r="D6052" s="111" t="str">
        <f t="shared" ref="D6052:E6052" si="6050">TRIM(B6052)</f>
        <v>Kentucky</v>
      </c>
      <c r="E6052" s="111" t="str">
        <f t="shared" si="6050"/>
        <v>Elizabethtown</v>
      </c>
    </row>
    <row r="6053" spans="1:5">
      <c r="A6053" s="3" t="s">
        <v>15672</v>
      </c>
      <c r="B6053" s="110" t="s">
        <v>1338</v>
      </c>
      <c r="C6053" s="111" t="s">
        <v>6000</v>
      </c>
      <c r="D6053" s="111" t="str">
        <f t="shared" ref="D6053:E6053" si="6051">TRIM(B6053)</f>
        <v>Kentucky</v>
      </c>
      <c r="E6053" s="111" t="str">
        <f t="shared" si="6051"/>
        <v>Elizabethtown</v>
      </c>
    </row>
    <row r="6054" spans="1:5">
      <c r="A6054" s="3" t="s">
        <v>15673</v>
      </c>
      <c r="B6054" s="110" t="s">
        <v>1338</v>
      </c>
      <c r="C6054" s="111" t="s">
        <v>15674</v>
      </c>
      <c r="D6054" s="111" t="str">
        <f t="shared" ref="D6054:E6054" si="6052">TRIM(B6054)</f>
        <v>Kentucky</v>
      </c>
      <c r="E6054" s="111" t="str">
        <f t="shared" si="6052"/>
        <v>Elkton</v>
      </c>
    </row>
    <row r="6055" spans="1:5">
      <c r="A6055" s="3" t="s">
        <v>15675</v>
      </c>
      <c r="B6055" s="110" t="s">
        <v>1338</v>
      </c>
      <c r="C6055" s="111" t="s">
        <v>14303</v>
      </c>
      <c r="D6055" s="111" t="str">
        <f t="shared" ref="D6055:E6055" si="6053">TRIM(B6055)</f>
        <v>Kentucky</v>
      </c>
      <c r="E6055" s="111" t="str">
        <f t="shared" si="6053"/>
        <v>Eminence</v>
      </c>
    </row>
    <row r="6056" spans="1:5">
      <c r="A6056" s="3" t="s">
        <v>15676</v>
      </c>
      <c r="B6056" s="110" t="s">
        <v>1338</v>
      </c>
      <c r="C6056" s="111" t="s">
        <v>10840</v>
      </c>
      <c r="D6056" s="111" t="str">
        <f t="shared" ref="D6056:E6056" si="6054">TRIM(B6056)</f>
        <v>Kentucky</v>
      </c>
      <c r="E6056" s="111" t="str">
        <f t="shared" si="6054"/>
        <v>Erlanger</v>
      </c>
    </row>
    <row r="6057" spans="1:5">
      <c r="A6057" s="3" t="s">
        <v>15677</v>
      </c>
      <c r="B6057" s="110" t="s">
        <v>1338</v>
      </c>
      <c r="C6057" s="111" t="s">
        <v>15678</v>
      </c>
      <c r="D6057" s="111" t="str">
        <f t="shared" ref="D6057:E6057" si="6055">TRIM(B6057)</f>
        <v>Kentucky</v>
      </c>
      <c r="E6057" s="111" t="str">
        <f t="shared" si="6055"/>
        <v>Fairdale</v>
      </c>
    </row>
    <row r="6058" spans="1:5">
      <c r="A6058" s="3" t="s">
        <v>15679</v>
      </c>
      <c r="B6058" s="110" t="s">
        <v>1338</v>
      </c>
      <c r="C6058" s="111" t="s">
        <v>11286</v>
      </c>
      <c r="D6058" s="111" t="str">
        <f t="shared" ref="D6058:E6058" si="6056">TRIM(B6058)</f>
        <v>Kentucky</v>
      </c>
      <c r="E6058" s="111" t="str">
        <f t="shared" si="6056"/>
        <v>Falmouth</v>
      </c>
    </row>
    <row r="6059" spans="1:5">
      <c r="A6059" s="3" t="s">
        <v>15680</v>
      </c>
      <c r="B6059" s="110" t="s">
        <v>1338</v>
      </c>
      <c r="C6059" s="111" t="s">
        <v>15681</v>
      </c>
      <c r="D6059" s="111" t="str">
        <f t="shared" ref="D6059:E6059" si="6057">TRIM(B6059)</f>
        <v>Kentucky</v>
      </c>
      <c r="E6059" s="111" t="str">
        <f t="shared" si="6057"/>
        <v>Flemingsburg</v>
      </c>
    </row>
    <row r="6060" spans="1:5">
      <c r="A6060" s="3" t="s">
        <v>15682</v>
      </c>
      <c r="B6060" s="110" t="s">
        <v>1338</v>
      </c>
      <c r="C6060" s="111" t="s">
        <v>1756</v>
      </c>
      <c r="D6060" s="111" t="str">
        <f t="shared" ref="D6060:E6060" si="6058">TRIM(B6060)</f>
        <v>Kentucky</v>
      </c>
      <c r="E6060" s="111" t="str">
        <f t="shared" si="6058"/>
        <v>Florence</v>
      </c>
    </row>
    <row r="6061" spans="1:5">
      <c r="A6061" s="3" t="s">
        <v>15683</v>
      </c>
      <c r="B6061" s="110" t="s">
        <v>1338</v>
      </c>
      <c r="C6061" s="111" t="s">
        <v>15684</v>
      </c>
      <c r="D6061" s="111" t="str">
        <f t="shared" ref="D6061:E6061" si="6059">TRIM(B6061)</f>
        <v>Kentucky</v>
      </c>
      <c r="E6061" s="111" t="str">
        <f t="shared" si="6059"/>
        <v>Fort Mitchell</v>
      </c>
    </row>
    <row r="6062" spans="1:5">
      <c r="A6062" s="3" t="s">
        <v>15685</v>
      </c>
      <c r="B6062" s="110" t="s">
        <v>1338</v>
      </c>
      <c r="C6062" s="111" t="s">
        <v>15684</v>
      </c>
      <c r="D6062" s="111" t="str">
        <f t="shared" ref="D6062:E6062" si="6060">TRIM(B6062)</f>
        <v>Kentucky</v>
      </c>
      <c r="E6062" s="111" t="str">
        <f t="shared" si="6060"/>
        <v>Fort Mitchell</v>
      </c>
    </row>
    <row r="6063" spans="1:5">
      <c r="A6063" s="3" t="s">
        <v>6078</v>
      </c>
      <c r="B6063" s="110" t="s">
        <v>1338</v>
      </c>
      <c r="C6063" s="111" t="s">
        <v>2629</v>
      </c>
      <c r="D6063" s="111" t="str">
        <f t="shared" ref="D6063:E6063" si="6061">TRIM(B6063)</f>
        <v>Kentucky</v>
      </c>
      <c r="E6063" s="111" t="str">
        <f t="shared" si="6061"/>
        <v>Fort Thomas</v>
      </c>
    </row>
    <row r="6064" spans="1:5">
      <c r="A6064" s="3" t="s">
        <v>14344</v>
      </c>
      <c r="B6064" s="110" t="s">
        <v>1338</v>
      </c>
      <c r="C6064" s="111" t="s">
        <v>12913</v>
      </c>
      <c r="D6064" s="111" t="str">
        <f t="shared" ref="D6064:E6064" si="6062">TRIM(B6064)</f>
        <v>Kentucky</v>
      </c>
      <c r="E6064" s="111" t="str">
        <f t="shared" si="6062"/>
        <v>Frankfort</v>
      </c>
    </row>
    <row r="6065" spans="1:5">
      <c r="A6065" s="3" t="s">
        <v>10501</v>
      </c>
      <c r="B6065" s="110" t="s">
        <v>1338</v>
      </c>
      <c r="C6065" s="111" t="s">
        <v>12913</v>
      </c>
      <c r="D6065" s="111" t="str">
        <f t="shared" ref="D6065:E6065" si="6063">TRIM(B6065)</f>
        <v>Kentucky</v>
      </c>
      <c r="E6065" s="111" t="str">
        <f t="shared" si="6063"/>
        <v>Frankfort</v>
      </c>
    </row>
    <row r="6066" spans="1:5">
      <c r="A6066" s="3" t="s">
        <v>15686</v>
      </c>
      <c r="B6066" s="110" t="s">
        <v>1338</v>
      </c>
      <c r="C6066" s="111" t="s">
        <v>12913</v>
      </c>
      <c r="D6066" s="111" t="str">
        <f t="shared" ref="D6066:E6066" si="6064">TRIM(B6066)</f>
        <v>Kentucky</v>
      </c>
      <c r="E6066" s="111" t="str">
        <f t="shared" si="6064"/>
        <v>Frankfort</v>
      </c>
    </row>
    <row r="6067" spans="1:5">
      <c r="A6067" s="3" t="s">
        <v>15687</v>
      </c>
      <c r="B6067" s="110" t="s">
        <v>1338</v>
      </c>
      <c r="C6067" s="111" t="s">
        <v>525</v>
      </c>
      <c r="D6067" s="111" t="str">
        <f t="shared" ref="D6067:E6067" si="6065">TRIM(B6067)</f>
        <v>Kentucky</v>
      </c>
      <c r="E6067" s="111" t="str">
        <f t="shared" si="6065"/>
        <v>Franklin</v>
      </c>
    </row>
    <row r="6068" spans="1:5">
      <c r="A6068" s="3" t="s">
        <v>15688</v>
      </c>
      <c r="B6068" s="110" t="s">
        <v>1338</v>
      </c>
      <c r="C6068" s="111" t="s">
        <v>15689</v>
      </c>
      <c r="D6068" s="111" t="str">
        <f t="shared" ref="D6068:E6068" si="6066">TRIM(B6068)</f>
        <v>Kentucky</v>
      </c>
      <c r="E6068" s="111" t="str">
        <f t="shared" si="6066"/>
        <v>Frenchburg</v>
      </c>
    </row>
    <row r="6069" spans="1:5">
      <c r="A6069" s="3" t="s">
        <v>15690</v>
      </c>
      <c r="B6069" s="110" t="s">
        <v>1338</v>
      </c>
      <c r="C6069" s="111" t="s">
        <v>8818</v>
      </c>
      <c r="D6069" s="111" t="str">
        <f t="shared" ref="D6069:E6069" si="6067">TRIM(B6069)</f>
        <v>Kentucky</v>
      </c>
      <c r="E6069" s="111" t="str">
        <f t="shared" si="6067"/>
        <v>Georgetown</v>
      </c>
    </row>
    <row r="6070" spans="1:5">
      <c r="A6070" s="3" t="s">
        <v>15691</v>
      </c>
      <c r="B6070" s="110" t="s">
        <v>1338</v>
      </c>
      <c r="C6070" s="111" t="s">
        <v>15692</v>
      </c>
      <c r="D6070" s="111" t="str">
        <f t="shared" ref="D6070:E6070" si="6068">TRIM(B6070)</f>
        <v>Kentucky</v>
      </c>
      <c r="E6070" s="111" t="str">
        <f t="shared" si="6068"/>
        <v>Glasgow</v>
      </c>
    </row>
    <row r="6071" spans="1:5">
      <c r="A6071" s="3" t="s">
        <v>8837</v>
      </c>
      <c r="B6071" s="110" t="s">
        <v>1338</v>
      </c>
      <c r="C6071" s="111" t="s">
        <v>15692</v>
      </c>
      <c r="D6071" s="111" t="str">
        <f t="shared" ref="D6071:E6071" si="6069">TRIM(B6071)</f>
        <v>Kentucky</v>
      </c>
      <c r="E6071" s="111" t="str">
        <f t="shared" si="6069"/>
        <v>Glasgow</v>
      </c>
    </row>
    <row r="6072" spans="1:5">
      <c r="A6072" s="3" t="s">
        <v>15693</v>
      </c>
      <c r="B6072" s="110" t="s">
        <v>1338</v>
      </c>
      <c r="C6072" s="111" t="s">
        <v>1796</v>
      </c>
      <c r="D6072" s="111" t="str">
        <f t="shared" ref="D6072:E6072" si="6070">TRIM(B6072)</f>
        <v>Kentucky</v>
      </c>
      <c r="E6072" s="111" t="str">
        <f t="shared" si="6070"/>
        <v>Goshen</v>
      </c>
    </row>
    <row r="6073" spans="1:5">
      <c r="A6073" s="3" t="s">
        <v>15694</v>
      </c>
      <c r="B6073" s="110" t="s">
        <v>1338</v>
      </c>
      <c r="C6073" s="111" t="s">
        <v>15695</v>
      </c>
      <c r="D6073" s="111" t="str">
        <f t="shared" ref="D6073:E6073" si="6071">TRIM(B6073)</f>
        <v>Kentucky</v>
      </c>
      <c r="E6073" s="111" t="str">
        <f t="shared" si="6071"/>
        <v>Grayson</v>
      </c>
    </row>
    <row r="6074" spans="1:5">
      <c r="A6074" s="3" t="s">
        <v>15696</v>
      </c>
      <c r="B6074" s="110" t="s">
        <v>1338</v>
      </c>
      <c r="C6074" s="111" t="s">
        <v>4983</v>
      </c>
      <c r="D6074" s="111" t="str">
        <f t="shared" ref="D6074:E6074" si="6072">TRIM(B6074)</f>
        <v>Kentucky</v>
      </c>
      <c r="E6074" s="111" t="str">
        <f t="shared" si="6072"/>
        <v>Greensburg</v>
      </c>
    </row>
    <row r="6075" spans="1:5">
      <c r="A6075" s="3" t="s">
        <v>15697</v>
      </c>
      <c r="B6075" s="110" t="s">
        <v>1338</v>
      </c>
      <c r="C6075" s="111" t="s">
        <v>15698</v>
      </c>
      <c r="D6075" s="111" t="str">
        <f t="shared" ref="D6075:E6075" si="6073">TRIM(B6075)</f>
        <v>Kentucky</v>
      </c>
      <c r="E6075" s="111" t="str">
        <f t="shared" si="6073"/>
        <v>Greenup</v>
      </c>
    </row>
    <row r="6076" spans="1:5">
      <c r="A6076" s="3" t="s">
        <v>15699</v>
      </c>
      <c r="B6076" s="110" t="s">
        <v>1338</v>
      </c>
      <c r="C6076" s="111" t="s">
        <v>1804</v>
      </c>
      <c r="D6076" s="111" t="str">
        <f t="shared" ref="D6076:E6076" si="6074">TRIM(B6076)</f>
        <v>Kentucky</v>
      </c>
      <c r="E6076" s="111" t="str">
        <f t="shared" si="6074"/>
        <v>Greenville</v>
      </c>
    </row>
    <row r="6077" spans="1:5">
      <c r="A6077" s="3" t="s">
        <v>14864</v>
      </c>
      <c r="B6077" s="110" t="s">
        <v>1338</v>
      </c>
      <c r="C6077" s="111" t="s">
        <v>14865</v>
      </c>
      <c r="D6077" s="111" t="str">
        <f t="shared" ref="D6077:E6077" si="6075">TRIM(B6077)</f>
        <v>Kentucky</v>
      </c>
      <c r="E6077" s="111" t="str">
        <f t="shared" si="6075"/>
        <v>Harlan</v>
      </c>
    </row>
    <row r="6078" spans="1:5">
      <c r="A6078" s="3" t="s">
        <v>15700</v>
      </c>
      <c r="B6078" s="110" t="s">
        <v>1338</v>
      </c>
      <c r="C6078" s="111" t="s">
        <v>15701</v>
      </c>
      <c r="D6078" s="111" t="str">
        <f t="shared" ref="D6078:E6078" si="6076">TRIM(B6078)</f>
        <v>Kentucky</v>
      </c>
      <c r="E6078" s="111" t="str">
        <f t="shared" si="6076"/>
        <v>Harned</v>
      </c>
    </row>
    <row r="6079" spans="1:5">
      <c r="A6079" s="3" t="s">
        <v>15702</v>
      </c>
      <c r="B6079" s="110" t="s">
        <v>1338</v>
      </c>
      <c r="C6079" s="111" t="s">
        <v>15703</v>
      </c>
      <c r="D6079" s="111" t="str">
        <f t="shared" ref="D6079:E6079" si="6077">TRIM(B6079)</f>
        <v>Kentucky</v>
      </c>
      <c r="E6079" s="111" t="str">
        <f t="shared" si="6077"/>
        <v>Harrodsburg</v>
      </c>
    </row>
    <row r="6080" spans="1:5">
      <c r="A6080" s="3" t="s">
        <v>15704</v>
      </c>
      <c r="B6080" s="110" t="s">
        <v>1338</v>
      </c>
      <c r="C6080" s="111" t="s">
        <v>1832</v>
      </c>
      <c r="D6080" s="111" t="str">
        <f t="shared" ref="D6080:E6080" si="6078">TRIM(B6080)</f>
        <v>Kentucky</v>
      </c>
      <c r="E6080" s="111" t="str">
        <f t="shared" si="6078"/>
        <v>Hartford</v>
      </c>
    </row>
    <row r="6081" spans="1:5">
      <c r="A6081" s="3" t="s">
        <v>15705</v>
      </c>
      <c r="B6081" s="110" t="s">
        <v>1338</v>
      </c>
      <c r="C6081" s="111" t="s">
        <v>15706</v>
      </c>
      <c r="D6081" s="111" t="str">
        <f t="shared" ref="D6081:E6081" si="6079">TRIM(B6081)</f>
        <v>Kentucky</v>
      </c>
      <c r="E6081" s="111" t="str">
        <f t="shared" si="6079"/>
        <v>Hazard</v>
      </c>
    </row>
    <row r="6082" spans="1:5">
      <c r="A6082" s="3" t="s">
        <v>15707</v>
      </c>
      <c r="B6082" s="110" t="s">
        <v>1338</v>
      </c>
      <c r="C6082" s="111" t="s">
        <v>15706</v>
      </c>
      <c r="D6082" s="111" t="str">
        <f t="shared" ref="D6082:E6082" si="6080">TRIM(B6082)</f>
        <v>Kentucky</v>
      </c>
      <c r="E6082" s="111" t="str">
        <f t="shared" si="6080"/>
        <v>Hazard</v>
      </c>
    </row>
    <row r="6083" spans="1:5">
      <c r="A6083" s="3" t="s">
        <v>15708</v>
      </c>
      <c r="B6083" s="110" t="s">
        <v>1338</v>
      </c>
      <c r="C6083" s="111" t="s">
        <v>8519</v>
      </c>
      <c r="D6083" s="111" t="str">
        <f t="shared" ref="D6083:E6083" si="6081">TRIM(B6083)</f>
        <v>Kentucky</v>
      </c>
      <c r="E6083" s="111" t="str">
        <f t="shared" si="6081"/>
        <v>Hebron</v>
      </c>
    </row>
    <row r="6084" spans="1:5">
      <c r="A6084" s="3" t="s">
        <v>15709</v>
      </c>
      <c r="B6084" s="110" t="s">
        <v>1338</v>
      </c>
      <c r="C6084" s="111" t="s">
        <v>7970</v>
      </c>
      <c r="D6084" s="111" t="str">
        <f t="shared" ref="D6084:E6084" si="6082">TRIM(B6084)</f>
        <v>Kentucky</v>
      </c>
      <c r="E6084" s="111" t="str">
        <f t="shared" si="6082"/>
        <v>Henderson</v>
      </c>
    </row>
    <row r="6085" spans="1:5">
      <c r="A6085" s="3" t="s">
        <v>15710</v>
      </c>
      <c r="B6085" s="110" t="s">
        <v>1338</v>
      </c>
      <c r="C6085" s="111" t="s">
        <v>15711</v>
      </c>
      <c r="D6085" s="111" t="str">
        <f t="shared" ref="D6085:E6085" si="6083">TRIM(B6085)</f>
        <v>Kentucky</v>
      </c>
      <c r="E6085" s="111" t="str">
        <f t="shared" si="6083"/>
        <v>Hickman</v>
      </c>
    </row>
    <row r="6086" spans="1:5">
      <c r="A6086" s="3" t="s">
        <v>15712</v>
      </c>
      <c r="B6086" s="110" t="s">
        <v>1338</v>
      </c>
      <c r="C6086" s="111" t="s">
        <v>15713</v>
      </c>
      <c r="D6086" s="111" t="str">
        <f t="shared" ref="D6086:E6086" si="6084">TRIM(B6086)</f>
        <v>Kentucky</v>
      </c>
      <c r="E6086" s="111" t="str">
        <f t="shared" si="6084"/>
        <v>Hindman</v>
      </c>
    </row>
    <row r="6087" spans="1:5">
      <c r="A6087" s="3" t="s">
        <v>15714</v>
      </c>
      <c r="B6087" s="110" t="s">
        <v>1338</v>
      </c>
      <c r="C6087" s="111" t="s">
        <v>15715</v>
      </c>
      <c r="D6087" s="111" t="str">
        <f t="shared" ref="D6087:E6087" si="6085">TRIM(B6087)</f>
        <v>Kentucky</v>
      </c>
      <c r="E6087" s="111" t="str">
        <f t="shared" si="6085"/>
        <v>Hodgenville</v>
      </c>
    </row>
    <row r="6088" spans="1:5">
      <c r="A6088" s="3" t="s">
        <v>15716</v>
      </c>
      <c r="B6088" s="110" t="s">
        <v>1338</v>
      </c>
      <c r="C6088" s="111" t="s">
        <v>15717</v>
      </c>
      <c r="D6088" s="111" t="str">
        <f t="shared" ref="D6088:E6088" si="6086">TRIM(B6088)</f>
        <v>Kentucky</v>
      </c>
      <c r="E6088" s="111" t="str">
        <f t="shared" si="6086"/>
        <v>Hopkinsville</v>
      </c>
    </row>
    <row r="6089" spans="1:5">
      <c r="A6089" s="3" t="s">
        <v>15718</v>
      </c>
      <c r="B6089" s="110" t="s">
        <v>1338</v>
      </c>
      <c r="C6089" s="111" t="s">
        <v>15717</v>
      </c>
      <c r="D6089" s="111" t="str">
        <f t="shared" ref="D6089:E6089" si="6087">TRIM(B6089)</f>
        <v>Kentucky</v>
      </c>
      <c r="E6089" s="111" t="str">
        <f t="shared" si="6087"/>
        <v>Hopkinsville</v>
      </c>
    </row>
    <row r="6090" spans="1:5">
      <c r="A6090" s="3" t="s">
        <v>15719</v>
      </c>
      <c r="B6090" s="110" t="s">
        <v>1338</v>
      </c>
      <c r="C6090" s="111" t="s">
        <v>15720</v>
      </c>
      <c r="D6090" s="111" t="str">
        <f t="shared" ref="D6090:E6090" si="6088">TRIM(B6090)</f>
        <v>Kentucky</v>
      </c>
      <c r="E6090" s="111" t="str">
        <f t="shared" si="6088"/>
        <v>Horse Cave</v>
      </c>
    </row>
    <row r="6091" spans="1:5">
      <c r="A6091" s="3" t="s">
        <v>15721</v>
      </c>
      <c r="B6091" s="110" t="s">
        <v>1338</v>
      </c>
      <c r="C6091" s="111" t="s">
        <v>15722</v>
      </c>
      <c r="D6091" s="111" t="str">
        <f t="shared" ref="D6091:E6091" si="6089">TRIM(B6091)</f>
        <v>Kentucky</v>
      </c>
      <c r="E6091" s="111" t="str">
        <f t="shared" si="6089"/>
        <v>Hyden</v>
      </c>
    </row>
    <row r="6092" spans="1:5">
      <c r="A6092" s="3" t="s">
        <v>15723</v>
      </c>
      <c r="B6092" s="110" t="s">
        <v>1338</v>
      </c>
      <c r="C6092" s="111" t="s">
        <v>5323</v>
      </c>
      <c r="D6092" s="111" t="str">
        <f t="shared" ref="D6092:E6092" si="6090">TRIM(B6092)</f>
        <v>Kentucky</v>
      </c>
      <c r="E6092" s="111" t="str">
        <f t="shared" si="6090"/>
        <v>Independence</v>
      </c>
    </row>
    <row r="6093" spans="1:5">
      <c r="A6093" s="3" t="s">
        <v>15724</v>
      </c>
      <c r="B6093" s="110" t="s">
        <v>1338</v>
      </c>
      <c r="C6093" s="111" t="s">
        <v>15725</v>
      </c>
      <c r="D6093" s="111" t="str">
        <f t="shared" ref="D6093:E6093" si="6091">TRIM(B6093)</f>
        <v>Kentucky</v>
      </c>
      <c r="E6093" s="111" t="str">
        <f t="shared" si="6091"/>
        <v>Inez</v>
      </c>
    </row>
    <row r="6094" spans="1:5">
      <c r="A6094" s="3" t="s">
        <v>15726</v>
      </c>
      <c r="B6094" s="110" t="s">
        <v>1338</v>
      </c>
      <c r="C6094" s="111" t="s">
        <v>5340</v>
      </c>
      <c r="D6094" s="111" t="str">
        <f t="shared" ref="D6094:E6094" si="6092">TRIM(B6094)</f>
        <v>Kentucky</v>
      </c>
      <c r="E6094" s="111" t="str">
        <f t="shared" si="6092"/>
        <v>Irvine</v>
      </c>
    </row>
    <row r="6095" spans="1:5">
      <c r="A6095" s="3" t="s">
        <v>15727</v>
      </c>
      <c r="B6095" s="110" t="s">
        <v>1338</v>
      </c>
      <c r="C6095" s="111" t="s">
        <v>297</v>
      </c>
      <c r="D6095" s="111" t="str">
        <f t="shared" ref="D6095:E6095" si="6093">TRIM(B6095)</f>
        <v>Kentucky</v>
      </c>
      <c r="E6095" s="111" t="str">
        <f t="shared" si="6093"/>
        <v>Jackson</v>
      </c>
    </row>
    <row r="6096" spans="1:5">
      <c r="A6096" s="3" t="s">
        <v>15728</v>
      </c>
      <c r="B6096" s="110" t="s">
        <v>1338</v>
      </c>
      <c r="C6096" s="111" t="s">
        <v>61</v>
      </c>
      <c r="D6096" s="111" t="str">
        <f t="shared" ref="D6096:E6096" si="6094">TRIM(B6096)</f>
        <v>Kentucky</v>
      </c>
      <c r="E6096" s="111" t="str">
        <f t="shared" si="6094"/>
        <v>Lancaster</v>
      </c>
    </row>
    <row r="6097" spans="1:5">
      <c r="A6097" s="3" t="s">
        <v>15729</v>
      </c>
      <c r="B6097" s="110" t="s">
        <v>1338</v>
      </c>
      <c r="C6097" s="111" t="s">
        <v>14457</v>
      </c>
      <c r="D6097" s="111" t="str">
        <f t="shared" ref="D6097:E6097" si="6095">TRIM(B6097)</f>
        <v>Kentucky</v>
      </c>
      <c r="E6097" s="111" t="str">
        <f t="shared" si="6095"/>
        <v>Lawrenceburg</v>
      </c>
    </row>
    <row r="6098" spans="1:5">
      <c r="A6098" s="3" t="s">
        <v>1808</v>
      </c>
      <c r="B6098" s="110" t="s">
        <v>1338</v>
      </c>
      <c r="C6098" s="111" t="s">
        <v>8525</v>
      </c>
      <c r="D6098" s="111" t="str">
        <f t="shared" ref="D6098:E6098" si="6096">TRIM(B6098)</f>
        <v>Kentucky</v>
      </c>
      <c r="E6098" s="111" t="str">
        <f t="shared" si="6096"/>
        <v>Lebanon</v>
      </c>
    </row>
    <row r="6099" spans="1:5">
      <c r="A6099" s="3" t="s">
        <v>15730</v>
      </c>
      <c r="B6099" s="110" t="s">
        <v>1338</v>
      </c>
      <c r="C6099" s="111" t="s">
        <v>15731</v>
      </c>
      <c r="D6099" s="111" t="str">
        <f t="shared" ref="D6099:E6099" si="6097">TRIM(B6099)</f>
        <v>Kentucky</v>
      </c>
      <c r="E6099" s="111" t="str">
        <f t="shared" si="6097"/>
        <v>Leitchfield</v>
      </c>
    </row>
    <row r="6100" spans="1:5">
      <c r="A6100" s="3" t="s">
        <v>15732</v>
      </c>
      <c r="B6100" s="110" t="s">
        <v>1338</v>
      </c>
      <c r="C6100" s="111" t="s">
        <v>15733</v>
      </c>
      <c r="D6100" s="111" t="str">
        <f t="shared" ref="D6100:E6100" si="6098">TRIM(B6100)</f>
        <v>Kentucky</v>
      </c>
      <c r="E6100" s="111" t="str">
        <f t="shared" si="6098"/>
        <v>Lewisport</v>
      </c>
    </row>
    <row r="6101" spans="1:5">
      <c r="A6101" s="3" t="s">
        <v>15734</v>
      </c>
      <c r="B6101" s="110" t="s">
        <v>1338</v>
      </c>
      <c r="C6101" s="111" t="s">
        <v>506</v>
      </c>
      <c r="D6101" s="111" t="str">
        <f t="shared" ref="D6101:E6101" si="6099">TRIM(B6101)</f>
        <v>Kentucky</v>
      </c>
      <c r="E6101" s="111" t="str">
        <f t="shared" si="6099"/>
        <v>Lexington</v>
      </c>
    </row>
    <row r="6102" spans="1:5">
      <c r="A6102" s="3" t="s">
        <v>15735</v>
      </c>
      <c r="B6102" s="110" t="s">
        <v>1338</v>
      </c>
      <c r="C6102" s="111" t="s">
        <v>506</v>
      </c>
      <c r="D6102" s="111" t="str">
        <f t="shared" ref="D6102:E6102" si="6100">TRIM(B6102)</f>
        <v>Kentucky</v>
      </c>
      <c r="E6102" s="111" t="str">
        <f t="shared" si="6100"/>
        <v>Lexington</v>
      </c>
    </row>
    <row r="6103" spans="1:5">
      <c r="A6103" s="3" t="s">
        <v>15736</v>
      </c>
      <c r="B6103" s="110" t="s">
        <v>1338</v>
      </c>
      <c r="C6103" s="111" t="s">
        <v>506</v>
      </c>
      <c r="D6103" s="111" t="str">
        <f t="shared" ref="D6103:E6103" si="6101">TRIM(B6103)</f>
        <v>Kentucky</v>
      </c>
      <c r="E6103" s="111" t="str">
        <f t="shared" si="6101"/>
        <v>Lexington</v>
      </c>
    </row>
    <row r="6104" spans="1:5">
      <c r="A6104" s="3" t="s">
        <v>1907</v>
      </c>
      <c r="B6104" s="110" t="s">
        <v>1338</v>
      </c>
      <c r="C6104" s="111" t="s">
        <v>506</v>
      </c>
      <c r="D6104" s="111" t="str">
        <f t="shared" ref="D6104:E6104" si="6102">TRIM(B6104)</f>
        <v>Kentucky</v>
      </c>
      <c r="E6104" s="111" t="str">
        <f t="shared" si="6102"/>
        <v>Lexington</v>
      </c>
    </row>
    <row r="6105" spans="1:5">
      <c r="A6105" s="3" t="s">
        <v>15737</v>
      </c>
      <c r="B6105" s="110" t="s">
        <v>1338</v>
      </c>
      <c r="C6105" s="111" t="s">
        <v>506</v>
      </c>
      <c r="D6105" s="111" t="str">
        <f t="shared" ref="D6105:E6105" si="6103">TRIM(B6105)</f>
        <v>Kentucky</v>
      </c>
      <c r="E6105" s="111" t="str">
        <f t="shared" si="6103"/>
        <v>Lexington</v>
      </c>
    </row>
    <row r="6106" spans="1:5">
      <c r="A6106" s="3" t="s">
        <v>15738</v>
      </c>
      <c r="B6106" s="110" t="s">
        <v>1338</v>
      </c>
      <c r="C6106" s="111" t="s">
        <v>506</v>
      </c>
      <c r="D6106" s="111" t="str">
        <f t="shared" ref="D6106:E6106" si="6104">TRIM(B6106)</f>
        <v>Kentucky</v>
      </c>
      <c r="E6106" s="111" t="str">
        <f t="shared" si="6104"/>
        <v>Lexington</v>
      </c>
    </row>
    <row r="6107" spans="1:5">
      <c r="A6107" s="3" t="s">
        <v>15739</v>
      </c>
      <c r="B6107" s="110" t="s">
        <v>1338</v>
      </c>
      <c r="C6107" s="111" t="s">
        <v>506</v>
      </c>
      <c r="D6107" s="111" t="str">
        <f t="shared" ref="D6107:E6107" si="6105">TRIM(B6107)</f>
        <v>Kentucky</v>
      </c>
      <c r="E6107" s="111" t="str">
        <f t="shared" si="6105"/>
        <v>Lexington</v>
      </c>
    </row>
    <row r="6108" spans="1:5">
      <c r="A6108" s="3" t="s">
        <v>15740</v>
      </c>
      <c r="B6108" s="110" t="s">
        <v>1338</v>
      </c>
      <c r="C6108" s="111" t="s">
        <v>6684</v>
      </c>
      <c r="D6108" s="111" t="str">
        <f t="shared" ref="D6108:E6108" si="6106">TRIM(B6108)</f>
        <v>Kentucky</v>
      </c>
      <c r="E6108" s="111" t="str">
        <f t="shared" si="6106"/>
        <v>Liberty</v>
      </c>
    </row>
    <row r="6109" spans="1:5">
      <c r="A6109" s="3" t="s">
        <v>9059</v>
      </c>
      <c r="B6109" s="110" t="s">
        <v>1338</v>
      </c>
      <c r="C6109" s="111" t="s">
        <v>15741</v>
      </c>
      <c r="D6109" s="111" t="str">
        <f t="shared" ref="D6109:E6109" si="6107">TRIM(B6109)</f>
        <v>Kentucky</v>
      </c>
      <c r="E6109" s="111" t="str">
        <f t="shared" si="6107"/>
        <v>Lick Creek</v>
      </c>
    </row>
    <row r="6110" spans="1:5">
      <c r="A6110" s="3" t="s">
        <v>15742</v>
      </c>
      <c r="B6110" s="110" t="s">
        <v>1338</v>
      </c>
      <c r="C6110" s="111" t="s">
        <v>241</v>
      </c>
      <c r="D6110" s="111" t="str">
        <f t="shared" ref="D6110:E6110" si="6108">TRIM(B6110)</f>
        <v>Kentucky</v>
      </c>
      <c r="E6110" s="111" t="str">
        <f t="shared" si="6108"/>
        <v>London</v>
      </c>
    </row>
    <row r="6111" spans="1:5">
      <c r="A6111" s="3" t="s">
        <v>15743</v>
      </c>
      <c r="B6111" s="110" t="s">
        <v>1338</v>
      </c>
      <c r="C6111" s="111" t="s">
        <v>241</v>
      </c>
      <c r="D6111" s="111" t="str">
        <f t="shared" ref="D6111:E6111" si="6109">TRIM(B6111)</f>
        <v>Kentucky</v>
      </c>
      <c r="E6111" s="111" t="str">
        <f t="shared" si="6109"/>
        <v>London</v>
      </c>
    </row>
    <row r="6112" spans="1:5">
      <c r="A6112" s="3" t="s">
        <v>1998</v>
      </c>
      <c r="B6112" s="110" t="s">
        <v>1338</v>
      </c>
      <c r="C6112" s="111" t="s">
        <v>15744</v>
      </c>
      <c r="D6112" s="111" t="str">
        <f t="shared" ref="D6112:E6112" si="6110">TRIM(B6112)</f>
        <v>Kentucky</v>
      </c>
      <c r="E6112" s="111" t="str">
        <f t="shared" si="6110"/>
        <v>Louisa</v>
      </c>
    </row>
    <row r="6113" spans="1:5">
      <c r="A6113" s="3" t="s">
        <v>15745</v>
      </c>
      <c r="B6113" s="110" t="s">
        <v>1338</v>
      </c>
      <c r="C6113" s="111" t="s">
        <v>494</v>
      </c>
      <c r="D6113" s="111" t="str">
        <f t="shared" ref="D6113:E6113" si="6111">TRIM(B6113)</f>
        <v>Kentucky</v>
      </c>
      <c r="E6113" s="111" t="str">
        <f t="shared" si="6111"/>
        <v>Louisville</v>
      </c>
    </row>
    <row r="6114" spans="1:5">
      <c r="A6114" s="3" t="s">
        <v>14879</v>
      </c>
      <c r="B6114" s="110" t="s">
        <v>1338</v>
      </c>
      <c r="C6114" s="111" t="s">
        <v>494</v>
      </c>
      <c r="D6114" s="111" t="str">
        <f t="shared" ref="D6114:E6114" si="6112">TRIM(B6114)</f>
        <v>Kentucky</v>
      </c>
      <c r="E6114" s="111" t="str">
        <f t="shared" si="6112"/>
        <v>Louisville</v>
      </c>
    </row>
    <row r="6115" spans="1:5">
      <c r="A6115" s="3" t="s">
        <v>15746</v>
      </c>
      <c r="B6115" s="110" t="s">
        <v>1338</v>
      </c>
      <c r="C6115" s="111" t="s">
        <v>494</v>
      </c>
      <c r="D6115" s="111" t="str">
        <f t="shared" ref="D6115:E6115" si="6113">TRIM(B6115)</f>
        <v>Kentucky</v>
      </c>
      <c r="E6115" s="111" t="str">
        <f t="shared" si="6113"/>
        <v>Louisville</v>
      </c>
    </row>
    <row r="6116" spans="1:5">
      <c r="A6116" s="3" t="s">
        <v>15747</v>
      </c>
      <c r="B6116" s="110" t="s">
        <v>1338</v>
      </c>
      <c r="C6116" s="111" t="s">
        <v>494</v>
      </c>
      <c r="D6116" s="111" t="str">
        <f t="shared" ref="D6116:E6116" si="6114">TRIM(B6116)</f>
        <v>Kentucky</v>
      </c>
      <c r="E6116" s="111" t="str">
        <f t="shared" si="6114"/>
        <v>Louisville</v>
      </c>
    </row>
    <row r="6117" spans="1:5">
      <c r="A6117" s="3" t="s">
        <v>15748</v>
      </c>
      <c r="B6117" s="110" t="s">
        <v>1338</v>
      </c>
      <c r="C6117" s="111" t="s">
        <v>494</v>
      </c>
      <c r="D6117" s="111" t="str">
        <f t="shared" ref="D6117:E6117" si="6115">TRIM(B6117)</f>
        <v>Kentucky</v>
      </c>
      <c r="E6117" s="111" t="str">
        <f t="shared" si="6115"/>
        <v>Louisville</v>
      </c>
    </row>
    <row r="6118" spans="1:5">
      <c r="A6118" s="3" t="s">
        <v>15749</v>
      </c>
      <c r="B6118" s="110" t="s">
        <v>1338</v>
      </c>
      <c r="C6118" s="111" t="s">
        <v>494</v>
      </c>
      <c r="D6118" s="111" t="str">
        <f t="shared" ref="D6118:E6118" si="6116">TRIM(B6118)</f>
        <v>Kentucky</v>
      </c>
      <c r="E6118" s="111" t="str">
        <f t="shared" si="6116"/>
        <v>Louisville</v>
      </c>
    </row>
    <row r="6119" spans="1:5">
      <c r="A6119" s="3" t="s">
        <v>8899</v>
      </c>
      <c r="B6119" s="110" t="s">
        <v>1338</v>
      </c>
      <c r="C6119" s="111" t="s">
        <v>494</v>
      </c>
      <c r="D6119" s="111" t="str">
        <f t="shared" ref="D6119:E6119" si="6117">TRIM(B6119)</f>
        <v>Kentucky</v>
      </c>
      <c r="E6119" s="111" t="str">
        <f t="shared" si="6117"/>
        <v>Louisville</v>
      </c>
    </row>
    <row r="6120" spans="1:5">
      <c r="A6120" s="3" t="s">
        <v>15750</v>
      </c>
      <c r="B6120" s="110" t="s">
        <v>1338</v>
      </c>
      <c r="C6120" s="111" t="s">
        <v>494</v>
      </c>
      <c r="D6120" s="111" t="str">
        <f t="shared" ref="D6120:E6120" si="6118">TRIM(B6120)</f>
        <v>Kentucky</v>
      </c>
      <c r="E6120" s="111" t="str">
        <f t="shared" si="6118"/>
        <v>Louisville</v>
      </c>
    </row>
    <row r="6121" spans="1:5">
      <c r="A6121" s="110" t="s">
        <v>15751</v>
      </c>
      <c r="B6121" s="110" t="s">
        <v>1338</v>
      </c>
      <c r="C6121" s="111" t="s">
        <v>494</v>
      </c>
      <c r="D6121" s="111" t="str">
        <f t="shared" ref="D6121:E6121" si="6119">TRIM(B6121)</f>
        <v>Kentucky</v>
      </c>
      <c r="E6121" s="111" t="str">
        <f t="shared" si="6119"/>
        <v>Louisville</v>
      </c>
    </row>
    <row r="6122" spans="1:5">
      <c r="A6122" s="3" t="s">
        <v>15752</v>
      </c>
      <c r="B6122" s="110" t="s">
        <v>1338</v>
      </c>
      <c r="C6122" s="111" t="s">
        <v>494</v>
      </c>
      <c r="D6122" s="111" t="str">
        <f t="shared" ref="D6122:E6122" si="6120">TRIM(B6122)</f>
        <v>Kentucky</v>
      </c>
      <c r="E6122" s="111" t="str">
        <f t="shared" si="6120"/>
        <v>Louisville</v>
      </c>
    </row>
    <row r="6123" spans="1:5">
      <c r="A6123" s="3" t="s">
        <v>15753</v>
      </c>
      <c r="B6123" s="110" t="s">
        <v>1338</v>
      </c>
      <c r="C6123" s="111" t="s">
        <v>494</v>
      </c>
      <c r="D6123" s="111" t="str">
        <f t="shared" ref="D6123:E6123" si="6121">TRIM(B6123)</f>
        <v>Kentucky</v>
      </c>
      <c r="E6123" s="111" t="str">
        <f t="shared" si="6121"/>
        <v>Louisville</v>
      </c>
    </row>
    <row r="6124" spans="1:5">
      <c r="A6124" s="3" t="s">
        <v>15754</v>
      </c>
      <c r="B6124" s="110" t="s">
        <v>1338</v>
      </c>
      <c r="C6124" s="111" t="s">
        <v>494</v>
      </c>
      <c r="D6124" s="111" t="str">
        <f t="shared" ref="D6124:E6124" si="6122">TRIM(B6124)</f>
        <v>Kentucky</v>
      </c>
      <c r="E6124" s="111" t="str">
        <f t="shared" si="6122"/>
        <v>Louisville</v>
      </c>
    </row>
    <row r="6125" spans="1:5">
      <c r="A6125" s="110" t="s">
        <v>15755</v>
      </c>
      <c r="B6125" s="110" t="s">
        <v>1338</v>
      </c>
      <c r="C6125" s="111" t="s">
        <v>494</v>
      </c>
      <c r="D6125" s="111" t="str">
        <f t="shared" ref="D6125:E6125" si="6123">TRIM(B6125)</f>
        <v>Kentucky</v>
      </c>
      <c r="E6125" s="111" t="str">
        <f t="shared" si="6123"/>
        <v>Louisville</v>
      </c>
    </row>
    <row r="6126" spans="1:5">
      <c r="A6126" s="3" t="s">
        <v>15756</v>
      </c>
      <c r="B6126" s="110" t="s">
        <v>1338</v>
      </c>
      <c r="C6126" s="111" t="s">
        <v>494</v>
      </c>
      <c r="D6126" s="111" t="str">
        <f t="shared" ref="D6126:E6126" si="6124">TRIM(B6126)</f>
        <v>Kentucky</v>
      </c>
      <c r="E6126" s="111" t="str">
        <f t="shared" si="6124"/>
        <v>Louisville</v>
      </c>
    </row>
    <row r="6127" spans="1:5">
      <c r="A6127" s="3" t="s">
        <v>13785</v>
      </c>
      <c r="B6127" s="110" t="s">
        <v>1338</v>
      </c>
      <c r="C6127" s="111" t="s">
        <v>494</v>
      </c>
      <c r="D6127" s="111" t="str">
        <f t="shared" ref="D6127:E6127" si="6125">TRIM(B6127)</f>
        <v>Kentucky</v>
      </c>
      <c r="E6127" s="111" t="str">
        <f t="shared" si="6125"/>
        <v>Louisville</v>
      </c>
    </row>
    <row r="6128" spans="1:5">
      <c r="A6128" s="3" t="s">
        <v>15757</v>
      </c>
      <c r="B6128" s="110" t="s">
        <v>1338</v>
      </c>
      <c r="C6128" s="111" t="s">
        <v>494</v>
      </c>
      <c r="D6128" s="111" t="str">
        <f t="shared" ref="D6128:E6128" si="6126">TRIM(B6128)</f>
        <v>Kentucky</v>
      </c>
      <c r="E6128" s="111" t="str">
        <f t="shared" si="6126"/>
        <v>Louisville</v>
      </c>
    </row>
    <row r="6129" spans="1:5">
      <c r="A6129" s="3" t="s">
        <v>15758</v>
      </c>
      <c r="B6129" s="110" t="s">
        <v>1338</v>
      </c>
      <c r="C6129" s="111" t="s">
        <v>494</v>
      </c>
      <c r="D6129" s="111" t="str">
        <f t="shared" ref="D6129:E6129" si="6127">TRIM(B6129)</f>
        <v>Kentucky</v>
      </c>
      <c r="E6129" s="111" t="str">
        <f t="shared" si="6127"/>
        <v>Louisville</v>
      </c>
    </row>
    <row r="6130" spans="1:5">
      <c r="A6130" s="3" t="s">
        <v>2256</v>
      </c>
      <c r="B6130" s="110" t="s">
        <v>1338</v>
      </c>
      <c r="C6130" s="111" t="s">
        <v>494</v>
      </c>
      <c r="D6130" s="111" t="str">
        <f t="shared" ref="D6130:E6130" si="6128">TRIM(B6130)</f>
        <v>Kentucky</v>
      </c>
      <c r="E6130" s="111" t="str">
        <f t="shared" si="6128"/>
        <v>Louisville</v>
      </c>
    </row>
    <row r="6131" spans="1:5">
      <c r="A6131" s="3" t="s">
        <v>15759</v>
      </c>
      <c r="B6131" s="110" t="s">
        <v>1338</v>
      </c>
      <c r="C6131" s="111" t="s">
        <v>494</v>
      </c>
      <c r="D6131" s="111" t="str">
        <f t="shared" ref="D6131:E6131" si="6129">TRIM(B6131)</f>
        <v>Kentucky</v>
      </c>
      <c r="E6131" s="111" t="str">
        <f t="shared" si="6129"/>
        <v>Louisville</v>
      </c>
    </row>
    <row r="6132" spans="1:5">
      <c r="A6132" s="3" t="s">
        <v>4343</v>
      </c>
      <c r="B6132" s="110" t="s">
        <v>1338</v>
      </c>
      <c r="C6132" s="111" t="s">
        <v>494</v>
      </c>
      <c r="D6132" s="111" t="str">
        <f t="shared" ref="D6132:E6132" si="6130">TRIM(B6132)</f>
        <v>Kentucky</v>
      </c>
      <c r="E6132" s="111" t="str">
        <f t="shared" si="6130"/>
        <v>Louisville</v>
      </c>
    </row>
    <row r="6133" spans="1:5">
      <c r="A6133" s="3" t="s">
        <v>15760</v>
      </c>
      <c r="B6133" s="110" t="s">
        <v>1338</v>
      </c>
      <c r="C6133" s="111" t="s">
        <v>15761</v>
      </c>
      <c r="D6133" s="111" t="str">
        <f t="shared" ref="D6133:E6133" si="6131">TRIM(B6133)</f>
        <v>Kentucky</v>
      </c>
      <c r="E6133" s="111" t="str">
        <f t="shared" si="6131"/>
        <v>Ludlow</v>
      </c>
    </row>
    <row r="6134" spans="1:5">
      <c r="A6134" s="3" t="s">
        <v>15762</v>
      </c>
      <c r="B6134" s="110" t="s">
        <v>1338</v>
      </c>
      <c r="C6134" s="111" t="s">
        <v>15763</v>
      </c>
      <c r="D6134" s="111" t="str">
        <f t="shared" ref="D6134:E6134" si="6132">TRIM(B6134)</f>
        <v>Kentucky</v>
      </c>
      <c r="E6134" s="111" t="str">
        <f t="shared" si="6132"/>
        <v>Madisonville</v>
      </c>
    </row>
    <row r="6135" spans="1:5">
      <c r="A6135" s="3" t="s">
        <v>15764</v>
      </c>
      <c r="B6135" s="110" t="s">
        <v>1338</v>
      </c>
      <c r="C6135" s="111" t="s">
        <v>15763</v>
      </c>
      <c r="D6135" s="111" t="str">
        <f t="shared" ref="D6135:E6135" si="6133">TRIM(B6135)</f>
        <v>Kentucky</v>
      </c>
      <c r="E6135" s="111" t="str">
        <f t="shared" si="6133"/>
        <v>Madisonville</v>
      </c>
    </row>
    <row r="6136" spans="1:5">
      <c r="A6136" s="3" t="s">
        <v>15765</v>
      </c>
      <c r="B6136" s="110" t="s">
        <v>1338</v>
      </c>
      <c r="C6136" s="111" t="s">
        <v>8540</v>
      </c>
      <c r="D6136" s="111" t="str">
        <f t="shared" ref="D6136:E6136" si="6134">TRIM(B6136)</f>
        <v>Kentucky</v>
      </c>
      <c r="E6136" s="111" t="str">
        <f t="shared" si="6134"/>
        <v>Manchester</v>
      </c>
    </row>
    <row r="6137" spans="1:5">
      <c r="A6137" s="3" t="s">
        <v>15766</v>
      </c>
      <c r="B6137" s="110" t="s">
        <v>1338</v>
      </c>
      <c r="C6137" s="111" t="s">
        <v>3995</v>
      </c>
      <c r="D6137" s="111" t="str">
        <f t="shared" ref="D6137:E6137" si="6135">TRIM(B6137)</f>
        <v>Kentucky</v>
      </c>
      <c r="E6137" s="111" t="str">
        <f t="shared" si="6135"/>
        <v>Marion</v>
      </c>
    </row>
    <row r="6138" spans="1:5">
      <c r="A6138" s="3" t="s">
        <v>15767</v>
      </c>
      <c r="B6138" s="110" t="s">
        <v>1338</v>
      </c>
      <c r="C6138" s="111" t="s">
        <v>15768</v>
      </c>
      <c r="D6138" s="111" t="str">
        <f t="shared" ref="D6138:E6138" si="6136">TRIM(B6138)</f>
        <v>Kentucky</v>
      </c>
      <c r="E6138" s="111" t="str">
        <f t="shared" si="6136"/>
        <v>Mayfield</v>
      </c>
    </row>
    <row r="6139" spans="1:5">
      <c r="A6139" s="3" t="s">
        <v>15769</v>
      </c>
      <c r="B6139" s="110" t="s">
        <v>1338</v>
      </c>
      <c r="C6139" s="111" t="s">
        <v>15768</v>
      </c>
      <c r="D6139" s="111" t="str">
        <f t="shared" ref="D6139:E6139" si="6137">TRIM(B6139)</f>
        <v>Kentucky</v>
      </c>
      <c r="E6139" s="111" t="str">
        <f t="shared" si="6137"/>
        <v>Mayfield</v>
      </c>
    </row>
    <row r="6140" spans="1:5">
      <c r="A6140" s="3" t="s">
        <v>15770</v>
      </c>
      <c r="B6140" s="110" t="s">
        <v>1338</v>
      </c>
      <c r="C6140" s="111" t="s">
        <v>10843</v>
      </c>
      <c r="D6140" s="111" t="str">
        <f t="shared" ref="D6140:E6140" si="6138">TRIM(B6140)</f>
        <v>Kentucky</v>
      </c>
      <c r="E6140" s="111" t="str">
        <f t="shared" si="6138"/>
        <v>Maysville</v>
      </c>
    </row>
    <row r="6141" spans="1:5">
      <c r="A6141" s="3" t="s">
        <v>15771</v>
      </c>
      <c r="B6141" s="110" t="s">
        <v>1338</v>
      </c>
      <c r="C6141" s="111" t="s">
        <v>15772</v>
      </c>
      <c r="D6141" s="111" t="str">
        <f t="shared" ref="D6141:E6141" si="6139">TRIM(B6141)</f>
        <v>Kentucky</v>
      </c>
      <c r="E6141" s="111" t="str">
        <f t="shared" si="6139"/>
        <v>Mckee</v>
      </c>
    </row>
    <row r="6142" spans="1:5">
      <c r="A6142" s="3" t="s">
        <v>15773</v>
      </c>
      <c r="B6142" s="110" t="s">
        <v>1338</v>
      </c>
      <c r="C6142" s="111" t="s">
        <v>15774</v>
      </c>
      <c r="D6142" s="111" t="str">
        <f t="shared" ref="D6142:E6142" si="6140">TRIM(B6142)</f>
        <v>Kentucky</v>
      </c>
      <c r="E6142" s="111" t="str">
        <f t="shared" si="6140"/>
        <v>Middlesboro</v>
      </c>
    </row>
    <row r="6143" spans="1:5">
      <c r="A6143" s="3" t="s">
        <v>10902</v>
      </c>
      <c r="B6143" s="110" t="s">
        <v>1338</v>
      </c>
      <c r="C6143" s="111" t="s">
        <v>4040</v>
      </c>
      <c r="D6143" s="111" t="str">
        <f t="shared" ref="D6143:E6143" si="6141">TRIM(B6143)</f>
        <v>Kentucky</v>
      </c>
      <c r="E6143" s="111" t="str">
        <f t="shared" si="6141"/>
        <v>Monticello</v>
      </c>
    </row>
    <row r="6144" spans="1:5">
      <c r="A6144" s="3" t="s">
        <v>15775</v>
      </c>
      <c r="B6144" s="110" t="s">
        <v>1338</v>
      </c>
      <c r="C6144" s="111" t="s">
        <v>15776</v>
      </c>
      <c r="D6144" s="111" t="str">
        <f t="shared" ref="D6144:E6144" si="6142">TRIM(B6144)</f>
        <v>Kentucky</v>
      </c>
      <c r="E6144" s="111" t="str">
        <f t="shared" si="6142"/>
        <v>Morehead</v>
      </c>
    </row>
    <row r="6145" spans="1:5">
      <c r="A6145" s="3" t="s">
        <v>9484</v>
      </c>
      <c r="B6145" s="110" t="s">
        <v>1338</v>
      </c>
      <c r="C6145" s="111" t="s">
        <v>15777</v>
      </c>
      <c r="D6145" s="111" t="str">
        <f t="shared" ref="D6145:E6145" si="6143">TRIM(B6145)</f>
        <v>Kentucky</v>
      </c>
      <c r="E6145" s="111" t="str">
        <f t="shared" si="6143"/>
        <v>Morganfield</v>
      </c>
    </row>
    <row r="6146" spans="1:5">
      <c r="A6146" s="3" t="s">
        <v>15778</v>
      </c>
      <c r="B6146" s="110" t="s">
        <v>1338</v>
      </c>
      <c r="C6146" s="111" t="s">
        <v>5647</v>
      </c>
      <c r="D6146" s="111" t="str">
        <f t="shared" ref="D6146:E6146" si="6144">TRIM(B6146)</f>
        <v>Kentucky</v>
      </c>
      <c r="E6146" s="111" t="str">
        <f t="shared" si="6144"/>
        <v>Morgantown</v>
      </c>
    </row>
    <row r="6147" spans="1:5">
      <c r="A6147" s="3" t="s">
        <v>15779</v>
      </c>
      <c r="B6147" s="110" t="s">
        <v>1338</v>
      </c>
      <c r="C6147" s="111" t="s">
        <v>6798</v>
      </c>
      <c r="D6147" s="111" t="str">
        <f t="shared" ref="D6147:E6147" si="6145">TRIM(B6147)</f>
        <v>Kentucky</v>
      </c>
      <c r="E6147" s="111" t="str">
        <f t="shared" si="6145"/>
        <v>Mount Vernon</v>
      </c>
    </row>
    <row r="6148" spans="1:5">
      <c r="A6148" s="3" t="s">
        <v>15780</v>
      </c>
      <c r="B6148" s="110" t="s">
        <v>1338</v>
      </c>
      <c r="C6148" s="113" t="s">
        <v>15781</v>
      </c>
      <c r="D6148" s="111" t="str">
        <f t="shared" ref="D6148:E6148" si="6146">TRIM(B6148)</f>
        <v>Kentucky</v>
      </c>
      <c r="E6148" s="111" t="str">
        <f t="shared" si="6146"/>
        <v>Mount Washington</v>
      </c>
    </row>
    <row r="6149" spans="1:5">
      <c r="A6149" s="3" t="s">
        <v>11115</v>
      </c>
      <c r="B6149" s="110" t="s">
        <v>1338</v>
      </c>
      <c r="C6149" s="111" t="s">
        <v>15782</v>
      </c>
      <c r="D6149" s="111" t="str">
        <f t="shared" ref="D6149:E6149" si="6147">TRIM(B6149)</f>
        <v>Kentucky</v>
      </c>
      <c r="E6149" s="111" t="str">
        <f t="shared" si="6147"/>
        <v>Mt Sterling</v>
      </c>
    </row>
    <row r="6150" spans="1:5">
      <c r="A6150" s="3" t="s">
        <v>10851</v>
      </c>
      <c r="B6150" s="110" t="s">
        <v>1338</v>
      </c>
      <c r="C6150" s="111" t="s">
        <v>15783</v>
      </c>
      <c r="D6150" s="111" t="str">
        <f t="shared" ref="D6150:E6150" si="6148">TRIM(B6150)</f>
        <v>Kentucky</v>
      </c>
      <c r="E6150" s="111" t="str">
        <f t="shared" si="6148"/>
        <v>Munfordville</v>
      </c>
    </row>
    <row r="6151" spans="1:5">
      <c r="A6151" s="3" t="s">
        <v>15784</v>
      </c>
      <c r="B6151" s="110" t="s">
        <v>1338</v>
      </c>
      <c r="C6151" s="111" t="s">
        <v>13882</v>
      </c>
      <c r="D6151" s="111" t="str">
        <f t="shared" ref="D6151:E6151" si="6149">TRIM(B6151)</f>
        <v>Kentucky</v>
      </c>
      <c r="E6151" s="111" t="str">
        <f t="shared" si="6149"/>
        <v>Murray</v>
      </c>
    </row>
    <row r="6152" spans="1:5">
      <c r="A6152" s="3" t="s">
        <v>15785</v>
      </c>
      <c r="B6152" s="110" t="s">
        <v>1338</v>
      </c>
      <c r="C6152" s="111" t="s">
        <v>13882</v>
      </c>
      <c r="D6152" s="111" t="str">
        <f t="shared" ref="D6152:E6152" si="6150">TRIM(B6152)</f>
        <v>Kentucky</v>
      </c>
      <c r="E6152" s="111" t="str">
        <f t="shared" si="6150"/>
        <v>Murray</v>
      </c>
    </row>
    <row r="6153" spans="1:5">
      <c r="A6153" s="3" t="s">
        <v>11070</v>
      </c>
      <c r="B6153" s="110" t="s">
        <v>1338</v>
      </c>
      <c r="C6153" s="111" t="s">
        <v>8130</v>
      </c>
      <c r="D6153" s="111" t="str">
        <f t="shared" ref="D6153:E6153" si="6151">TRIM(B6153)</f>
        <v>Kentucky</v>
      </c>
      <c r="E6153" s="111" t="str">
        <f t="shared" si="6151"/>
        <v>New Castle</v>
      </c>
    </row>
    <row r="6154" spans="1:5">
      <c r="A6154" s="3" t="s">
        <v>4077</v>
      </c>
      <c r="B6154" s="110" t="s">
        <v>1338</v>
      </c>
      <c r="C6154" s="111" t="s">
        <v>4078</v>
      </c>
      <c r="D6154" s="111" t="str">
        <f t="shared" ref="D6154:E6154" si="6152">TRIM(B6154)</f>
        <v>Kentucky</v>
      </c>
      <c r="E6154" s="111" t="str">
        <f t="shared" si="6152"/>
        <v>Newport</v>
      </c>
    </row>
    <row r="6155" spans="1:5">
      <c r="A6155" s="3" t="s">
        <v>15786</v>
      </c>
      <c r="B6155" s="110" t="s">
        <v>1338</v>
      </c>
      <c r="C6155" s="111" t="s">
        <v>15787</v>
      </c>
      <c r="D6155" s="111" t="str">
        <f t="shared" ref="D6155:E6155" si="6153">TRIM(B6155)</f>
        <v>Kentucky</v>
      </c>
      <c r="E6155" s="111" t="str">
        <f t="shared" si="6153"/>
        <v>Nicholasville</v>
      </c>
    </row>
    <row r="6156" spans="1:5">
      <c r="A6156" s="3" t="s">
        <v>15788</v>
      </c>
      <c r="B6156" s="110" t="s">
        <v>1338</v>
      </c>
      <c r="C6156" s="111" t="s">
        <v>15787</v>
      </c>
      <c r="D6156" s="111" t="str">
        <f t="shared" ref="D6156:E6156" si="6154">TRIM(B6156)</f>
        <v>Kentucky</v>
      </c>
      <c r="E6156" s="111" t="str">
        <f t="shared" si="6154"/>
        <v>Nicholasville</v>
      </c>
    </row>
    <row r="6157" spans="1:5">
      <c r="A6157" s="3" t="s">
        <v>15789</v>
      </c>
      <c r="B6157" s="110" t="s">
        <v>1338</v>
      </c>
      <c r="C6157" s="111" t="s">
        <v>15790</v>
      </c>
      <c r="D6157" s="111" t="str">
        <f t="shared" ref="D6157:E6157" si="6155">TRIM(B6157)</f>
        <v>Kentucky</v>
      </c>
      <c r="E6157" s="111" t="str">
        <f t="shared" si="6155"/>
        <v>Olive Hill</v>
      </c>
    </row>
    <row r="6158" spans="1:5">
      <c r="A6158" s="3" t="s">
        <v>2688</v>
      </c>
      <c r="B6158" s="110" t="s">
        <v>1338</v>
      </c>
      <c r="C6158" s="111" t="s">
        <v>15791</v>
      </c>
      <c r="D6158" s="111" t="str">
        <f t="shared" ref="D6158:E6158" si="6156">TRIM(B6158)</f>
        <v>Kentucky</v>
      </c>
      <c r="E6158" s="111" t="str">
        <f t="shared" si="6156"/>
        <v>Owensboro</v>
      </c>
    </row>
    <row r="6159" spans="1:5">
      <c r="A6159" s="3" t="s">
        <v>15792</v>
      </c>
      <c r="B6159" s="110" t="s">
        <v>1338</v>
      </c>
      <c r="C6159" s="111" t="s">
        <v>15791</v>
      </c>
      <c r="D6159" s="111" t="str">
        <f t="shared" ref="D6159:E6159" si="6157">TRIM(B6159)</f>
        <v>Kentucky</v>
      </c>
      <c r="E6159" s="111" t="str">
        <f t="shared" si="6157"/>
        <v>Owensboro</v>
      </c>
    </row>
    <row r="6160" spans="1:5">
      <c r="A6160" s="3" t="s">
        <v>15793</v>
      </c>
      <c r="B6160" s="110" t="s">
        <v>1338</v>
      </c>
      <c r="C6160" s="111" t="s">
        <v>15791</v>
      </c>
      <c r="D6160" s="111" t="str">
        <f t="shared" ref="D6160:E6160" si="6158">TRIM(B6160)</f>
        <v>Kentucky</v>
      </c>
      <c r="E6160" s="111" t="str">
        <f t="shared" si="6158"/>
        <v>Owensboro</v>
      </c>
    </row>
    <row r="6161" spans="1:5">
      <c r="A6161" s="3" t="s">
        <v>15794</v>
      </c>
      <c r="B6161" s="110" t="s">
        <v>1338</v>
      </c>
      <c r="C6161" s="111" t="s">
        <v>15795</v>
      </c>
      <c r="D6161" s="111" t="str">
        <f t="shared" ref="D6161:E6161" si="6159">TRIM(B6161)</f>
        <v>Kentucky</v>
      </c>
      <c r="E6161" s="111" t="str">
        <f t="shared" si="6159"/>
        <v>Owenton</v>
      </c>
    </row>
    <row r="6162" spans="1:5">
      <c r="A6162" s="3" t="s">
        <v>15796</v>
      </c>
      <c r="B6162" s="110" t="s">
        <v>1338</v>
      </c>
      <c r="C6162" s="111" t="s">
        <v>15797</v>
      </c>
      <c r="D6162" s="111" t="str">
        <f t="shared" ref="D6162:E6162" si="6160">TRIM(B6162)</f>
        <v>Kentucky</v>
      </c>
      <c r="E6162" s="111" t="str">
        <f t="shared" si="6160"/>
        <v>Owingsville</v>
      </c>
    </row>
    <row r="6163" spans="1:5">
      <c r="A6163" s="3" t="s">
        <v>15798</v>
      </c>
      <c r="B6163" s="110" t="s">
        <v>1338</v>
      </c>
      <c r="C6163" s="111" t="s">
        <v>15799</v>
      </c>
      <c r="D6163" s="111" t="str">
        <f t="shared" ref="D6163:E6163" si="6161">TRIM(B6163)</f>
        <v>Kentucky</v>
      </c>
      <c r="E6163" s="111" t="str">
        <f t="shared" si="6161"/>
        <v>Paducah</v>
      </c>
    </row>
    <row r="6164" spans="1:5">
      <c r="A6164" s="3" t="s">
        <v>15800</v>
      </c>
      <c r="B6164" s="110" t="s">
        <v>1338</v>
      </c>
      <c r="C6164" s="111" t="s">
        <v>15799</v>
      </c>
      <c r="D6164" s="111" t="str">
        <f t="shared" ref="D6164:E6164" si="6162">TRIM(B6164)</f>
        <v>Kentucky</v>
      </c>
      <c r="E6164" s="111" t="str">
        <f t="shared" si="6162"/>
        <v>Paducah</v>
      </c>
    </row>
    <row r="6165" spans="1:5">
      <c r="A6165" s="3" t="s">
        <v>15801</v>
      </c>
      <c r="B6165" s="110" t="s">
        <v>1338</v>
      </c>
      <c r="C6165" s="111" t="s">
        <v>15802</v>
      </c>
      <c r="D6165" s="111" t="str">
        <f t="shared" ref="D6165:E6165" si="6163">TRIM(B6165)</f>
        <v>Kentucky</v>
      </c>
      <c r="E6165" s="111" t="str">
        <f t="shared" si="6163"/>
        <v>Paintsville</v>
      </c>
    </row>
    <row r="6166" spans="1:5">
      <c r="A6166" s="3" t="s">
        <v>15803</v>
      </c>
      <c r="B6166" s="110" t="s">
        <v>1338</v>
      </c>
      <c r="C6166" s="111" t="s">
        <v>15802</v>
      </c>
      <c r="D6166" s="111" t="str">
        <f t="shared" ref="D6166:E6166" si="6164">TRIM(B6166)</f>
        <v>Kentucky</v>
      </c>
      <c r="E6166" s="111" t="str">
        <f t="shared" si="6164"/>
        <v>Paintsville</v>
      </c>
    </row>
    <row r="6167" spans="1:5">
      <c r="A6167" s="3" t="s">
        <v>15804</v>
      </c>
      <c r="B6167" s="110" t="s">
        <v>1338</v>
      </c>
      <c r="C6167" s="111" t="s">
        <v>194</v>
      </c>
      <c r="D6167" s="111" t="str">
        <f t="shared" ref="D6167:E6167" si="6165">TRIM(B6167)</f>
        <v>Kentucky</v>
      </c>
      <c r="E6167" s="111" t="str">
        <f t="shared" si="6165"/>
        <v>Paris</v>
      </c>
    </row>
    <row r="6168" spans="1:5">
      <c r="A6168" s="3" t="s">
        <v>4114</v>
      </c>
      <c r="B6168" s="110" t="s">
        <v>1338</v>
      </c>
      <c r="C6168" s="111" t="s">
        <v>194</v>
      </c>
      <c r="D6168" s="111" t="str">
        <f t="shared" ref="D6168:E6168" si="6166">TRIM(B6168)</f>
        <v>Kentucky</v>
      </c>
      <c r="E6168" s="111" t="str">
        <f t="shared" si="6166"/>
        <v>Paris</v>
      </c>
    </row>
    <row r="6169" spans="1:5">
      <c r="A6169" s="3" t="s">
        <v>15805</v>
      </c>
      <c r="B6169" s="110" t="s">
        <v>1338</v>
      </c>
      <c r="C6169" s="111" t="s">
        <v>15806</v>
      </c>
      <c r="D6169" s="111" t="str">
        <f t="shared" ref="D6169:E6169" si="6167">TRIM(B6169)</f>
        <v>Kentucky</v>
      </c>
      <c r="E6169" s="111" t="str">
        <f t="shared" si="6167"/>
        <v>Phelps</v>
      </c>
    </row>
    <row r="6170" spans="1:5">
      <c r="A6170" s="3" t="s">
        <v>15807</v>
      </c>
      <c r="B6170" s="110" t="s">
        <v>1338</v>
      </c>
      <c r="C6170" s="111" t="s">
        <v>15808</v>
      </c>
      <c r="D6170" s="111" t="str">
        <f t="shared" ref="D6170:E6170" si="6168">TRIM(B6170)</f>
        <v>Kentucky</v>
      </c>
      <c r="E6170" s="111" t="str">
        <f t="shared" si="6168"/>
        <v>Pikeville</v>
      </c>
    </row>
    <row r="6171" spans="1:5">
      <c r="A6171" s="3" t="s">
        <v>15809</v>
      </c>
      <c r="B6171" s="110" t="s">
        <v>1338</v>
      </c>
      <c r="C6171" s="111" t="s">
        <v>15808</v>
      </c>
      <c r="D6171" s="111" t="str">
        <f t="shared" ref="D6171:E6171" si="6169">TRIM(B6171)</f>
        <v>Kentucky</v>
      </c>
      <c r="E6171" s="111" t="str">
        <f t="shared" si="6169"/>
        <v>Pikeville</v>
      </c>
    </row>
    <row r="6172" spans="1:5">
      <c r="A6172" s="3" t="s">
        <v>15810</v>
      </c>
      <c r="B6172" s="110" t="s">
        <v>1338</v>
      </c>
      <c r="C6172" s="111" t="s">
        <v>15808</v>
      </c>
      <c r="D6172" s="111" t="str">
        <f t="shared" ref="D6172:E6172" si="6170">TRIM(B6172)</f>
        <v>Kentucky</v>
      </c>
      <c r="E6172" s="111" t="str">
        <f t="shared" si="6170"/>
        <v>Pikeville</v>
      </c>
    </row>
    <row r="6173" spans="1:5">
      <c r="A6173" s="3" t="s">
        <v>15811</v>
      </c>
      <c r="B6173" s="110" t="s">
        <v>1338</v>
      </c>
      <c r="C6173" s="111" t="s">
        <v>15812</v>
      </c>
      <c r="D6173" s="111" t="str">
        <f t="shared" ref="D6173:E6173" si="6171">TRIM(B6173)</f>
        <v>Kentucky</v>
      </c>
      <c r="E6173" s="111" t="str">
        <f t="shared" si="6171"/>
        <v>Pineville</v>
      </c>
    </row>
    <row r="6174" spans="1:5">
      <c r="A6174" s="110" t="s">
        <v>15813</v>
      </c>
      <c r="B6174" s="110" t="s">
        <v>1338</v>
      </c>
      <c r="C6174" s="111" t="s">
        <v>15814</v>
      </c>
      <c r="D6174" s="111" t="str">
        <f t="shared" ref="D6174:E6174" si="6172">TRIM(B6174)</f>
        <v>Kentucky</v>
      </c>
      <c r="E6174" s="111" t="str">
        <f t="shared" si="6172"/>
        <v>Prestonsburg</v>
      </c>
    </row>
    <row r="6175" spans="1:5">
      <c r="A6175" s="3" t="s">
        <v>15815</v>
      </c>
      <c r="B6175" s="110" t="s">
        <v>1338</v>
      </c>
      <c r="C6175" s="111" t="s">
        <v>15814</v>
      </c>
      <c r="D6175" s="111" t="str">
        <f t="shared" ref="D6175:E6175" si="6173">TRIM(B6175)</f>
        <v>Kentucky</v>
      </c>
      <c r="E6175" s="111" t="str">
        <f t="shared" si="6173"/>
        <v>Prestonsburg</v>
      </c>
    </row>
    <row r="6176" spans="1:5">
      <c r="A6176" s="3" t="s">
        <v>15816</v>
      </c>
      <c r="B6176" s="110" t="s">
        <v>1338</v>
      </c>
      <c r="C6176" s="111" t="s">
        <v>6448</v>
      </c>
      <c r="D6176" s="111" t="str">
        <f t="shared" ref="D6176:E6176" si="6174">TRIM(B6176)</f>
        <v>Kentucky</v>
      </c>
      <c r="E6176" s="111" t="str">
        <f t="shared" si="6174"/>
        <v>Princeton</v>
      </c>
    </row>
    <row r="6177" spans="1:5">
      <c r="A6177" s="3" t="s">
        <v>15817</v>
      </c>
      <c r="B6177" s="110" t="s">
        <v>1338</v>
      </c>
      <c r="C6177" s="111" t="s">
        <v>15818</v>
      </c>
      <c r="D6177" s="111" t="str">
        <f t="shared" ref="D6177:E6177" si="6175">TRIM(B6177)</f>
        <v>Kentucky</v>
      </c>
      <c r="E6177" s="111" t="str">
        <f t="shared" si="6175"/>
        <v>Raceland</v>
      </c>
    </row>
    <row r="6178" spans="1:5">
      <c r="A6178" s="3" t="s">
        <v>15819</v>
      </c>
      <c r="B6178" s="110" t="s">
        <v>1338</v>
      </c>
      <c r="C6178" s="111" t="s">
        <v>15820</v>
      </c>
      <c r="D6178" s="111" t="str">
        <f t="shared" ref="D6178:E6178" si="6176">TRIM(B6178)</f>
        <v>Kentucky</v>
      </c>
      <c r="E6178" s="111" t="str">
        <f t="shared" si="6176"/>
        <v>Radcliff</v>
      </c>
    </row>
    <row r="6179" spans="1:5">
      <c r="A6179" s="3" t="s">
        <v>15821</v>
      </c>
      <c r="B6179" s="110" t="s">
        <v>1338</v>
      </c>
      <c r="C6179" s="111" t="s">
        <v>657</v>
      </c>
      <c r="D6179" s="111" t="str">
        <f t="shared" ref="D6179:E6179" si="6177">TRIM(B6179)</f>
        <v>Kentucky</v>
      </c>
      <c r="E6179" s="111" t="str">
        <f t="shared" si="6177"/>
        <v>Richmond</v>
      </c>
    </row>
    <row r="6180" spans="1:5">
      <c r="A6180" s="3" t="s">
        <v>15822</v>
      </c>
      <c r="B6180" s="110" t="s">
        <v>1338</v>
      </c>
      <c r="C6180" s="111" t="s">
        <v>657</v>
      </c>
      <c r="D6180" s="111" t="str">
        <f t="shared" ref="D6180:E6180" si="6178">TRIM(B6180)</f>
        <v>Kentucky</v>
      </c>
      <c r="E6180" s="111" t="str">
        <f t="shared" si="6178"/>
        <v>Richmond</v>
      </c>
    </row>
    <row r="6181" spans="1:5">
      <c r="A6181" s="3" t="s">
        <v>15491</v>
      </c>
      <c r="B6181" s="110" t="s">
        <v>1338</v>
      </c>
      <c r="C6181" s="111" t="s">
        <v>15492</v>
      </c>
      <c r="D6181" s="111" t="str">
        <f t="shared" ref="D6181:E6181" si="6179">TRIM(B6181)</f>
        <v>Kentucky</v>
      </c>
      <c r="E6181" s="111" t="str">
        <f t="shared" si="6179"/>
        <v>Russell</v>
      </c>
    </row>
    <row r="6182" spans="1:5">
      <c r="A6182" s="3" t="s">
        <v>2087</v>
      </c>
      <c r="B6182" s="110" t="s">
        <v>1338</v>
      </c>
      <c r="C6182" s="111" t="s">
        <v>15823</v>
      </c>
      <c r="D6182" s="111" t="str">
        <f t="shared" ref="D6182:E6182" si="6180">TRIM(B6182)</f>
        <v>Kentucky</v>
      </c>
      <c r="E6182" s="111" t="str">
        <f t="shared" si="6180"/>
        <v>Russell Springs</v>
      </c>
    </row>
    <row r="6183" spans="1:5">
      <c r="A6183" s="3" t="s">
        <v>15824</v>
      </c>
      <c r="B6183" s="110" t="s">
        <v>1338</v>
      </c>
      <c r="C6183" s="111" t="s">
        <v>2137</v>
      </c>
      <c r="D6183" s="111" t="str">
        <f t="shared" ref="D6183:E6183" si="6181">TRIM(B6183)</f>
        <v>Kentucky</v>
      </c>
      <c r="E6183" s="111" t="str">
        <f t="shared" si="6181"/>
        <v>Russellville</v>
      </c>
    </row>
    <row r="6184" spans="1:5">
      <c r="A6184" s="3" t="s">
        <v>15825</v>
      </c>
      <c r="B6184" s="110" t="s">
        <v>1338</v>
      </c>
      <c r="C6184" s="111" t="s">
        <v>2137</v>
      </c>
      <c r="D6184" s="111" t="str">
        <f t="shared" ref="D6184:E6184" si="6182">TRIM(B6184)</f>
        <v>Kentucky</v>
      </c>
      <c r="E6184" s="111" t="str">
        <f t="shared" si="6182"/>
        <v>Russellville</v>
      </c>
    </row>
    <row r="6185" spans="1:5">
      <c r="A6185" s="3" t="s">
        <v>15826</v>
      </c>
      <c r="B6185" s="110" t="s">
        <v>1338</v>
      </c>
      <c r="C6185" s="111" t="s">
        <v>15827</v>
      </c>
      <c r="D6185" s="111" t="str">
        <f t="shared" ref="D6185:E6185" si="6183">TRIM(B6185)</f>
        <v>Kentucky</v>
      </c>
      <c r="E6185" s="111" t="str">
        <f t="shared" si="6183"/>
        <v>Salyersville</v>
      </c>
    </row>
    <row r="6186" spans="1:5">
      <c r="A6186" s="3" t="s">
        <v>15828</v>
      </c>
      <c r="B6186" s="110" t="s">
        <v>1338</v>
      </c>
      <c r="C6186" s="111" t="s">
        <v>8658</v>
      </c>
      <c r="D6186" s="111" t="str">
        <f t="shared" ref="D6186:E6186" si="6184">TRIM(B6186)</f>
        <v>Kentucky</v>
      </c>
      <c r="E6186" s="111" t="str">
        <f t="shared" si="6184"/>
        <v>Sandy Hook</v>
      </c>
    </row>
    <row r="6187" spans="1:5">
      <c r="A6187" s="3" t="s">
        <v>15829</v>
      </c>
      <c r="B6187" s="110" t="s">
        <v>1338</v>
      </c>
      <c r="C6187" s="111" t="s">
        <v>15830</v>
      </c>
      <c r="D6187" s="111" t="str">
        <f t="shared" ref="D6187:E6187" si="6185">TRIM(B6187)</f>
        <v>Kentucky</v>
      </c>
      <c r="E6187" s="111" t="str">
        <f t="shared" si="6185"/>
        <v>Scottsville</v>
      </c>
    </row>
    <row r="6188" spans="1:5">
      <c r="A6188" s="3" t="s">
        <v>15831</v>
      </c>
      <c r="B6188" s="110" t="s">
        <v>1338</v>
      </c>
      <c r="C6188" s="111" t="s">
        <v>5599</v>
      </c>
      <c r="D6188" s="111" t="str">
        <f t="shared" ref="D6188:E6188" si="6186">TRIM(B6188)</f>
        <v>Kentucky</v>
      </c>
      <c r="E6188" s="111" t="str">
        <f t="shared" si="6186"/>
        <v>Shelbyville</v>
      </c>
    </row>
    <row r="6189" spans="1:5">
      <c r="A6189" s="3" t="s">
        <v>1646</v>
      </c>
      <c r="B6189" s="110" t="s">
        <v>1338</v>
      </c>
      <c r="C6189" s="111" t="s">
        <v>5599</v>
      </c>
      <c r="D6189" s="111" t="str">
        <f t="shared" ref="D6189:E6189" si="6187">TRIM(B6189)</f>
        <v>Kentucky</v>
      </c>
      <c r="E6189" s="111" t="str">
        <f t="shared" si="6187"/>
        <v>Shelbyville</v>
      </c>
    </row>
    <row r="6190" spans="1:5">
      <c r="A6190" s="3" t="s">
        <v>15832</v>
      </c>
      <c r="B6190" s="110" t="s">
        <v>1338</v>
      </c>
      <c r="C6190" s="111" t="s">
        <v>15833</v>
      </c>
      <c r="D6190" s="111" t="str">
        <f t="shared" ref="D6190:E6190" si="6188">TRIM(B6190)</f>
        <v>Kentucky</v>
      </c>
      <c r="E6190" s="111" t="str">
        <f t="shared" si="6188"/>
        <v>Shepherdsville</v>
      </c>
    </row>
    <row r="6191" spans="1:5">
      <c r="A6191" s="3" t="s">
        <v>15834</v>
      </c>
      <c r="B6191" s="110" t="s">
        <v>1338</v>
      </c>
      <c r="C6191" s="111" t="s">
        <v>15833</v>
      </c>
      <c r="D6191" s="111" t="str">
        <f t="shared" ref="D6191:E6191" si="6189">TRIM(B6191)</f>
        <v>Kentucky</v>
      </c>
      <c r="E6191" s="111" t="str">
        <f t="shared" si="6189"/>
        <v>Shepherdsville</v>
      </c>
    </row>
    <row r="6192" spans="1:5">
      <c r="A6192" s="3" t="s">
        <v>15835</v>
      </c>
      <c r="B6192" s="110" t="s">
        <v>1338</v>
      </c>
      <c r="C6192" s="111" t="s">
        <v>15836</v>
      </c>
      <c r="D6192" s="111" t="str">
        <f t="shared" ref="D6192:E6192" si="6190">TRIM(B6192)</f>
        <v>Kentucky</v>
      </c>
      <c r="E6192" s="111" t="str">
        <f t="shared" si="6190"/>
        <v>Smithland</v>
      </c>
    </row>
    <row r="6193" spans="1:5">
      <c r="A6193" s="3" t="s">
        <v>15837</v>
      </c>
      <c r="B6193" s="110" t="s">
        <v>1338</v>
      </c>
      <c r="C6193" s="111" t="s">
        <v>1068</v>
      </c>
      <c r="D6193" s="111" t="str">
        <f t="shared" ref="D6193:E6193" si="6191">TRIM(B6193)</f>
        <v>Kentucky</v>
      </c>
      <c r="E6193" s="111" t="str">
        <f t="shared" si="6191"/>
        <v>Somerset</v>
      </c>
    </row>
    <row r="6194" spans="1:5">
      <c r="A6194" s="3" t="s">
        <v>15838</v>
      </c>
      <c r="B6194" s="110" t="s">
        <v>1338</v>
      </c>
      <c r="C6194" s="111" t="s">
        <v>1068</v>
      </c>
      <c r="D6194" s="111" t="str">
        <f t="shared" ref="D6194:E6194" si="6192">TRIM(B6194)</f>
        <v>Kentucky</v>
      </c>
      <c r="E6194" s="111" t="str">
        <f t="shared" si="6192"/>
        <v>Somerset</v>
      </c>
    </row>
    <row r="6195" spans="1:5">
      <c r="A6195" s="3" t="s">
        <v>13624</v>
      </c>
      <c r="B6195" s="110" t="s">
        <v>1338</v>
      </c>
      <c r="C6195" s="111" t="s">
        <v>1068</v>
      </c>
      <c r="D6195" s="111" t="str">
        <f t="shared" ref="D6195:E6195" si="6193">TRIM(B6195)</f>
        <v>Kentucky</v>
      </c>
      <c r="E6195" s="111" t="str">
        <f t="shared" si="6193"/>
        <v>Somerset</v>
      </c>
    </row>
    <row r="6196" spans="1:5">
      <c r="A6196" s="3" t="s">
        <v>1620</v>
      </c>
      <c r="B6196" s="110" t="s">
        <v>1338</v>
      </c>
      <c r="C6196" s="111" t="s">
        <v>416</v>
      </c>
      <c r="D6196" s="111" t="str">
        <f t="shared" ref="D6196:E6196" si="6194">TRIM(B6196)</f>
        <v>Kentucky</v>
      </c>
      <c r="E6196" s="111" t="str">
        <f t="shared" si="6194"/>
        <v>Springfield</v>
      </c>
    </row>
    <row r="6197" spans="1:5">
      <c r="A6197" s="3" t="s">
        <v>10963</v>
      </c>
      <c r="B6197" s="110" t="s">
        <v>1338</v>
      </c>
      <c r="C6197" s="111" t="s">
        <v>13842</v>
      </c>
      <c r="D6197" s="111" t="str">
        <f t="shared" ref="D6197:E6197" si="6195">TRIM(B6197)</f>
        <v>Kentucky</v>
      </c>
      <c r="E6197" s="111" t="str">
        <f t="shared" si="6195"/>
        <v>Stanford</v>
      </c>
    </row>
    <row r="6198" spans="1:5">
      <c r="A6198" s="3" t="s">
        <v>15839</v>
      </c>
      <c r="B6198" s="110" t="s">
        <v>1338</v>
      </c>
      <c r="C6198" s="111" t="s">
        <v>15066</v>
      </c>
      <c r="D6198" s="111" t="str">
        <f t="shared" ref="D6198:E6198" si="6196">TRIM(B6198)</f>
        <v>Kentucky</v>
      </c>
      <c r="E6198" s="111" t="str">
        <f t="shared" si="6196"/>
        <v>Stanton</v>
      </c>
    </row>
    <row r="6199" spans="1:5">
      <c r="A6199" s="3" t="s">
        <v>15840</v>
      </c>
      <c r="B6199" s="110" t="s">
        <v>1338</v>
      </c>
      <c r="C6199" s="111" t="s">
        <v>15841</v>
      </c>
      <c r="D6199" s="111" t="str">
        <f t="shared" ref="D6199:E6199" si="6197">TRIM(B6199)</f>
        <v>Kentucky</v>
      </c>
      <c r="E6199" s="111" t="str">
        <f t="shared" si="6197"/>
        <v>Stearns</v>
      </c>
    </row>
    <row r="6200" spans="1:5">
      <c r="A6200" s="3" t="s">
        <v>15842</v>
      </c>
      <c r="B6200" s="110" t="s">
        <v>1338</v>
      </c>
      <c r="C6200" s="111" t="s">
        <v>15843</v>
      </c>
      <c r="D6200" s="111" t="str">
        <f t="shared" ref="D6200:E6200" si="6198">TRIM(B6200)</f>
        <v>Kentucky</v>
      </c>
      <c r="E6200" s="111" t="str">
        <f t="shared" si="6198"/>
        <v>Taylor Mill</v>
      </c>
    </row>
    <row r="6201" spans="1:5">
      <c r="A6201" s="3" t="s">
        <v>15844</v>
      </c>
      <c r="B6201" s="110" t="s">
        <v>1338</v>
      </c>
      <c r="C6201" s="111" t="s">
        <v>15845</v>
      </c>
      <c r="D6201" s="111" t="str">
        <f t="shared" ref="D6201:E6201" si="6199">TRIM(B6201)</f>
        <v>Kentucky</v>
      </c>
      <c r="E6201" s="111" t="str">
        <f t="shared" si="6199"/>
        <v>Taylorsville</v>
      </c>
    </row>
    <row r="6202" spans="1:5">
      <c r="A6202" s="3" t="s">
        <v>15846</v>
      </c>
      <c r="B6202" s="110" t="s">
        <v>1338</v>
      </c>
      <c r="C6202" s="111" t="s">
        <v>15847</v>
      </c>
      <c r="D6202" s="111" t="str">
        <f t="shared" ref="D6202:E6202" si="6200">TRIM(B6202)</f>
        <v>Kentucky</v>
      </c>
      <c r="E6202" s="111" t="str">
        <f t="shared" si="6200"/>
        <v>Tompkinsville</v>
      </c>
    </row>
    <row r="6203" spans="1:5">
      <c r="A6203" s="3" t="s">
        <v>15848</v>
      </c>
      <c r="B6203" s="110" t="s">
        <v>1338</v>
      </c>
      <c r="C6203" s="111" t="s">
        <v>483</v>
      </c>
      <c r="D6203" s="111" t="str">
        <f t="shared" ref="D6203:E6203" si="6201">TRIM(B6203)</f>
        <v>Kentucky</v>
      </c>
      <c r="E6203" s="111" t="str">
        <f t="shared" si="6201"/>
        <v>Union</v>
      </c>
    </row>
    <row r="6204" spans="1:5">
      <c r="A6204" s="3" t="s">
        <v>15849</v>
      </c>
      <c r="B6204" s="110" t="s">
        <v>1338</v>
      </c>
      <c r="C6204" s="111" t="s">
        <v>483</v>
      </c>
      <c r="D6204" s="111" t="str">
        <f t="shared" ref="D6204:E6204" si="6202">TRIM(B6204)</f>
        <v>Kentucky</v>
      </c>
      <c r="E6204" s="111" t="str">
        <f t="shared" si="6202"/>
        <v>Union</v>
      </c>
    </row>
    <row r="6205" spans="1:5">
      <c r="A6205" s="3" t="s">
        <v>15850</v>
      </c>
      <c r="B6205" s="110" t="s">
        <v>1338</v>
      </c>
      <c r="C6205" s="111" t="s">
        <v>15851</v>
      </c>
      <c r="D6205" s="111" t="str">
        <f t="shared" ref="D6205:E6205" si="6203">TRIM(B6205)</f>
        <v>Kentucky</v>
      </c>
      <c r="E6205" s="111" t="str">
        <f t="shared" si="6203"/>
        <v>Vanceburg</v>
      </c>
    </row>
    <row r="6206" spans="1:5">
      <c r="A6206" s="3" t="s">
        <v>15852</v>
      </c>
      <c r="B6206" s="110" t="s">
        <v>1338</v>
      </c>
      <c r="C6206" s="111" t="s">
        <v>14640</v>
      </c>
      <c r="D6206" s="111" t="str">
        <f t="shared" ref="D6206:E6206" si="6204">TRIM(B6206)</f>
        <v>Kentucky</v>
      </c>
      <c r="E6206" s="111" t="str">
        <f t="shared" si="6204"/>
        <v>Versailles</v>
      </c>
    </row>
    <row r="6207" spans="1:5">
      <c r="A6207" s="3" t="s">
        <v>15853</v>
      </c>
      <c r="B6207" s="110" t="s">
        <v>1338</v>
      </c>
      <c r="C6207" s="111" t="s">
        <v>14654</v>
      </c>
      <c r="D6207" s="111" t="str">
        <f t="shared" ref="D6207:E6207" si="6205">TRIM(B6207)</f>
        <v>Kentucky</v>
      </c>
      <c r="E6207" s="111" t="str">
        <f t="shared" si="6205"/>
        <v>Walton</v>
      </c>
    </row>
    <row r="6208" spans="1:5">
      <c r="A6208" s="3" t="s">
        <v>15854</v>
      </c>
      <c r="B6208" s="110" t="s">
        <v>1338</v>
      </c>
      <c r="C6208" s="111" t="s">
        <v>13979</v>
      </c>
      <c r="D6208" s="111" t="str">
        <f t="shared" ref="D6208:E6208" si="6206">TRIM(B6208)</f>
        <v>Kentucky</v>
      </c>
      <c r="E6208" s="111" t="str">
        <f t="shared" si="6206"/>
        <v>Warsaw</v>
      </c>
    </row>
    <row r="6209" spans="1:5">
      <c r="A6209" s="3" t="s">
        <v>11029</v>
      </c>
      <c r="B6209" s="110" t="s">
        <v>1338</v>
      </c>
      <c r="C6209" s="111" t="s">
        <v>15127</v>
      </c>
      <c r="D6209" s="111" t="str">
        <f t="shared" ref="D6209:E6209" si="6207">TRIM(B6209)</f>
        <v>Kentucky</v>
      </c>
      <c r="E6209" s="111" t="str">
        <f t="shared" si="6207"/>
        <v>West Liberty</v>
      </c>
    </row>
    <row r="6210" spans="1:5">
      <c r="A6210" s="3" t="s">
        <v>15855</v>
      </c>
      <c r="B6210" s="110" t="s">
        <v>1338</v>
      </c>
      <c r="C6210" s="111" t="s">
        <v>15856</v>
      </c>
      <c r="D6210" s="111" t="str">
        <f t="shared" ref="D6210:E6210" si="6208">TRIM(B6210)</f>
        <v>Kentucky</v>
      </c>
      <c r="E6210" s="111" t="str">
        <f t="shared" si="6208"/>
        <v>Whitesburg</v>
      </c>
    </row>
    <row r="6211" spans="1:5">
      <c r="A6211" s="3" t="s">
        <v>15857</v>
      </c>
      <c r="B6211" s="110" t="s">
        <v>1338</v>
      </c>
      <c r="C6211" s="111" t="s">
        <v>558</v>
      </c>
      <c r="D6211" s="111" t="str">
        <f t="shared" ref="D6211:E6211" si="6209">TRIM(B6211)</f>
        <v>Kentucky</v>
      </c>
      <c r="E6211" s="111" t="str">
        <f t="shared" si="6209"/>
        <v>Williamsburg</v>
      </c>
    </row>
    <row r="6212" spans="1:5">
      <c r="A6212" s="3" t="s">
        <v>15858</v>
      </c>
      <c r="B6212" s="110" t="s">
        <v>1338</v>
      </c>
      <c r="C6212" s="111" t="s">
        <v>11263</v>
      </c>
      <c r="D6212" s="111" t="str">
        <f t="shared" ref="D6212:E6212" si="6210">TRIM(B6212)</f>
        <v>Kentucky</v>
      </c>
      <c r="E6212" s="111" t="str">
        <f t="shared" si="6210"/>
        <v>Williamstown</v>
      </c>
    </row>
    <row r="6213" spans="1:5">
      <c r="A6213" s="3" t="s">
        <v>15859</v>
      </c>
      <c r="B6213" s="110" t="s">
        <v>1338</v>
      </c>
      <c r="C6213" s="111" t="s">
        <v>14042</v>
      </c>
      <c r="D6213" s="111" t="str">
        <f t="shared" ref="D6213:E6213" si="6211">TRIM(B6213)</f>
        <v>Kentucky</v>
      </c>
      <c r="E6213" s="111" t="str">
        <f t="shared" si="6211"/>
        <v>Winchester</v>
      </c>
    </row>
    <row r="6214" spans="1:5">
      <c r="A6214" s="3" t="s">
        <v>1470</v>
      </c>
      <c r="B6214" s="110" t="s">
        <v>1340</v>
      </c>
      <c r="C6214" s="111" t="s">
        <v>1473</v>
      </c>
      <c r="D6214" s="111" t="str">
        <f t="shared" ref="D6214:E6214" si="6212">TRIM(B6214)</f>
        <v>Louisiana</v>
      </c>
      <c r="E6214" s="111" t="str">
        <f t="shared" si="6212"/>
        <v>Abbeville</v>
      </c>
    </row>
    <row r="6215" spans="1:5">
      <c r="A6215" s="3" t="s">
        <v>4305</v>
      </c>
      <c r="B6215" s="110" t="s">
        <v>1340</v>
      </c>
      <c r="C6215" s="111" t="s">
        <v>182</v>
      </c>
      <c r="D6215" s="111" t="str">
        <f t="shared" ref="D6215:E6215" si="6213">TRIM(B6215)</f>
        <v>Louisiana</v>
      </c>
      <c r="E6215" s="111" t="str">
        <f t="shared" si="6213"/>
        <v>Albany</v>
      </c>
    </row>
    <row r="6216" spans="1:5">
      <c r="A6216" s="3" t="s">
        <v>15860</v>
      </c>
      <c r="B6216" s="110" t="s">
        <v>1340</v>
      </c>
      <c r="C6216" s="111" t="s">
        <v>831</v>
      </c>
      <c r="D6216" s="111" t="str">
        <f t="shared" ref="D6216:E6216" si="6214">TRIM(B6216)</f>
        <v>Louisiana</v>
      </c>
      <c r="E6216" s="111" t="str">
        <f t="shared" si="6214"/>
        <v>Alexandria</v>
      </c>
    </row>
    <row r="6217" spans="1:5">
      <c r="A6217" s="3" t="s">
        <v>8349</v>
      </c>
      <c r="B6217" s="110" t="s">
        <v>1340</v>
      </c>
      <c r="C6217" s="111" t="s">
        <v>831</v>
      </c>
      <c r="D6217" s="111" t="str">
        <f t="shared" ref="D6217:E6217" si="6215">TRIM(B6217)</f>
        <v>Louisiana</v>
      </c>
      <c r="E6217" s="111" t="str">
        <f t="shared" si="6215"/>
        <v>Alexandria</v>
      </c>
    </row>
    <row r="6218" spans="1:5">
      <c r="A6218" s="3" t="s">
        <v>15861</v>
      </c>
      <c r="B6218" s="110" t="s">
        <v>1340</v>
      </c>
      <c r="C6218" s="111" t="s">
        <v>831</v>
      </c>
      <c r="D6218" s="111" t="str">
        <f t="shared" ref="D6218:E6218" si="6216">TRIM(B6218)</f>
        <v>Louisiana</v>
      </c>
      <c r="E6218" s="111" t="str">
        <f t="shared" si="6216"/>
        <v>Alexandria</v>
      </c>
    </row>
    <row r="6219" spans="1:5">
      <c r="A6219" s="3" t="s">
        <v>15862</v>
      </c>
      <c r="B6219" s="110" t="s">
        <v>1340</v>
      </c>
      <c r="C6219" s="111" t="s">
        <v>831</v>
      </c>
      <c r="D6219" s="111" t="str">
        <f t="shared" ref="D6219:E6219" si="6217">TRIM(B6219)</f>
        <v>Louisiana</v>
      </c>
      <c r="E6219" s="111" t="str">
        <f t="shared" si="6217"/>
        <v>Alexandria</v>
      </c>
    </row>
    <row r="6220" spans="1:5">
      <c r="A6220" s="3" t="s">
        <v>15863</v>
      </c>
      <c r="B6220" s="110" t="s">
        <v>1340</v>
      </c>
      <c r="C6220" s="111" t="s">
        <v>10929</v>
      </c>
      <c r="D6220" s="111" t="str">
        <f t="shared" ref="D6220:E6220" si="6218">TRIM(B6220)</f>
        <v>Louisiana</v>
      </c>
      <c r="E6220" s="111" t="str">
        <f t="shared" si="6218"/>
        <v>Amite</v>
      </c>
    </row>
    <row r="6221" spans="1:5">
      <c r="A6221" s="3" t="s">
        <v>15864</v>
      </c>
      <c r="B6221" s="110" t="s">
        <v>1340</v>
      </c>
      <c r="C6221" s="111" t="s">
        <v>15865</v>
      </c>
      <c r="D6221" s="111" t="str">
        <f t="shared" ref="D6221:E6221" si="6219">TRIM(B6221)</f>
        <v>Louisiana</v>
      </c>
      <c r="E6221" s="111" t="str">
        <f t="shared" si="6219"/>
        <v>Anacoco</v>
      </c>
    </row>
    <row r="6222" spans="1:5">
      <c r="A6222" s="3" t="s">
        <v>2934</v>
      </c>
      <c r="B6222" s="110" t="s">
        <v>1340</v>
      </c>
      <c r="C6222" s="111" t="s">
        <v>4375</v>
      </c>
      <c r="D6222" s="111" t="str">
        <f t="shared" ref="D6222:E6222" si="6220">TRIM(B6222)</f>
        <v>Louisiana</v>
      </c>
      <c r="E6222" s="111" t="str">
        <f t="shared" si="6220"/>
        <v>Arcadia</v>
      </c>
    </row>
    <row r="6223" spans="1:5">
      <c r="A6223" s="3" t="s">
        <v>15866</v>
      </c>
      <c r="B6223" s="110" t="s">
        <v>1340</v>
      </c>
      <c r="C6223" s="111" t="s">
        <v>15867</v>
      </c>
      <c r="D6223" s="111" t="str">
        <f t="shared" ref="D6223:E6223" si="6221">TRIM(B6223)</f>
        <v>Louisiana</v>
      </c>
      <c r="E6223" s="111" t="str">
        <f t="shared" si="6221"/>
        <v>Arnaudville</v>
      </c>
    </row>
    <row r="6224" spans="1:5">
      <c r="A6224" s="3" t="s">
        <v>15868</v>
      </c>
      <c r="B6224" s="110" t="s">
        <v>1340</v>
      </c>
      <c r="C6224" s="111" t="s">
        <v>2461</v>
      </c>
      <c r="D6224" s="111" t="str">
        <f t="shared" ref="D6224:E6224" si="6222">TRIM(B6224)</f>
        <v>Louisiana</v>
      </c>
      <c r="E6224" s="111" t="str">
        <f t="shared" si="6222"/>
        <v>Avondale</v>
      </c>
    </row>
    <row r="6225" spans="1:5">
      <c r="A6225" s="3" t="s">
        <v>1961</v>
      </c>
      <c r="B6225" s="110" t="s">
        <v>1340</v>
      </c>
      <c r="C6225" s="111" t="s">
        <v>4415</v>
      </c>
      <c r="D6225" s="111" t="str">
        <f t="shared" ref="D6225:E6225" si="6223">TRIM(B6225)</f>
        <v>Louisiana</v>
      </c>
      <c r="E6225" s="111" t="str">
        <f t="shared" si="6223"/>
        <v>Baker</v>
      </c>
    </row>
    <row r="6226" spans="1:5">
      <c r="A6226" s="3" t="s">
        <v>15869</v>
      </c>
      <c r="B6226" s="110" t="s">
        <v>1340</v>
      </c>
      <c r="C6226" s="111" t="s">
        <v>8950</v>
      </c>
      <c r="D6226" s="111" t="str">
        <f t="shared" ref="D6226:E6226" si="6224">TRIM(B6226)</f>
        <v>Louisiana</v>
      </c>
      <c r="E6226" s="111" t="str">
        <f t="shared" si="6224"/>
        <v>Baldwin</v>
      </c>
    </row>
    <row r="6227" spans="1:5">
      <c r="A6227" s="3" t="s">
        <v>15870</v>
      </c>
      <c r="B6227" s="110" t="s">
        <v>1340</v>
      </c>
      <c r="C6227" s="111" t="s">
        <v>10935</v>
      </c>
      <c r="D6227" s="111" t="str">
        <f t="shared" ref="D6227:E6227" si="6225">TRIM(B6227)</f>
        <v>Louisiana</v>
      </c>
      <c r="E6227" s="111" t="str">
        <f t="shared" si="6225"/>
        <v>Bastrop</v>
      </c>
    </row>
    <row r="6228" spans="1:5">
      <c r="A6228" s="3" t="s">
        <v>15871</v>
      </c>
      <c r="B6228" s="110" t="s">
        <v>1340</v>
      </c>
      <c r="C6228" s="111" t="s">
        <v>523</v>
      </c>
      <c r="D6228" s="111" t="str">
        <f t="shared" ref="D6228:E6228" si="6226">TRIM(B6228)</f>
        <v>Louisiana</v>
      </c>
      <c r="E6228" s="111" t="str">
        <f t="shared" si="6226"/>
        <v>Baton Rouge</v>
      </c>
    </row>
    <row r="6229" spans="1:5">
      <c r="A6229" s="3" t="s">
        <v>15872</v>
      </c>
      <c r="B6229" s="110" t="s">
        <v>1340</v>
      </c>
      <c r="C6229" s="111" t="s">
        <v>523</v>
      </c>
      <c r="D6229" s="111" t="str">
        <f t="shared" ref="D6229:E6229" si="6227">TRIM(B6229)</f>
        <v>Louisiana</v>
      </c>
      <c r="E6229" s="111" t="str">
        <f t="shared" si="6227"/>
        <v>Baton Rouge</v>
      </c>
    </row>
    <row r="6230" spans="1:5">
      <c r="A6230" s="3" t="s">
        <v>15873</v>
      </c>
      <c r="B6230" s="110" t="s">
        <v>1340</v>
      </c>
      <c r="C6230" s="112" t="s">
        <v>523</v>
      </c>
      <c r="D6230" s="111" t="str">
        <f t="shared" ref="D6230:E6230" si="6228">TRIM(B6230)</f>
        <v>Louisiana</v>
      </c>
      <c r="E6230" s="111" t="str">
        <f t="shared" si="6228"/>
        <v>Baton Rouge</v>
      </c>
    </row>
    <row r="6231" spans="1:5">
      <c r="A6231" s="3" t="s">
        <v>15874</v>
      </c>
      <c r="B6231" s="110" t="s">
        <v>1340</v>
      </c>
      <c r="C6231" s="112" t="s">
        <v>523</v>
      </c>
      <c r="D6231" s="111" t="str">
        <f t="shared" ref="D6231:E6231" si="6229">TRIM(B6231)</f>
        <v>Louisiana</v>
      </c>
      <c r="E6231" s="111" t="str">
        <f t="shared" si="6229"/>
        <v>Baton Rouge</v>
      </c>
    </row>
    <row r="6232" spans="1:5">
      <c r="A6232" s="3" t="s">
        <v>15875</v>
      </c>
      <c r="B6232" s="110" t="s">
        <v>1340</v>
      </c>
      <c r="C6232" s="111" t="s">
        <v>523</v>
      </c>
      <c r="D6232" s="111" t="str">
        <f t="shared" ref="D6232:E6232" si="6230">TRIM(B6232)</f>
        <v>Louisiana</v>
      </c>
      <c r="E6232" s="111" t="str">
        <f t="shared" si="6230"/>
        <v>Baton Rouge</v>
      </c>
    </row>
    <row r="6233" spans="1:5">
      <c r="A6233" s="3" t="s">
        <v>1843</v>
      </c>
      <c r="B6233" s="110" t="s">
        <v>1340</v>
      </c>
      <c r="C6233" s="111" t="s">
        <v>523</v>
      </c>
      <c r="D6233" s="111" t="str">
        <f t="shared" ref="D6233:E6233" si="6231">TRIM(B6233)</f>
        <v>Louisiana</v>
      </c>
      <c r="E6233" s="111" t="str">
        <f t="shared" si="6231"/>
        <v>Baton Rouge</v>
      </c>
    </row>
    <row r="6234" spans="1:5">
      <c r="A6234" s="3" t="s">
        <v>15876</v>
      </c>
      <c r="B6234" s="110" t="s">
        <v>1340</v>
      </c>
      <c r="C6234" s="111" t="s">
        <v>523</v>
      </c>
      <c r="D6234" s="111" t="str">
        <f t="shared" ref="D6234:E6234" si="6232">TRIM(B6234)</f>
        <v>Louisiana</v>
      </c>
      <c r="E6234" s="111" t="str">
        <f t="shared" si="6232"/>
        <v>Baton Rouge</v>
      </c>
    </row>
    <row r="6235" spans="1:5">
      <c r="A6235" s="3" t="s">
        <v>15877</v>
      </c>
      <c r="B6235" s="110" t="s">
        <v>1340</v>
      </c>
      <c r="C6235" s="111" t="s">
        <v>523</v>
      </c>
      <c r="D6235" s="111" t="str">
        <f t="shared" ref="D6235:E6235" si="6233">TRIM(B6235)</f>
        <v>Louisiana</v>
      </c>
      <c r="E6235" s="111" t="str">
        <f t="shared" si="6233"/>
        <v>Baton Rouge</v>
      </c>
    </row>
    <row r="6236" spans="1:5">
      <c r="A6236" s="3" t="s">
        <v>15878</v>
      </c>
      <c r="B6236" s="110" t="s">
        <v>1340</v>
      </c>
      <c r="C6236" s="111" t="s">
        <v>523</v>
      </c>
      <c r="D6236" s="111" t="str">
        <f t="shared" ref="D6236:E6236" si="6234">TRIM(B6236)</f>
        <v>Louisiana</v>
      </c>
      <c r="E6236" s="111" t="str">
        <f t="shared" si="6234"/>
        <v>Baton Rouge</v>
      </c>
    </row>
    <row r="6237" spans="1:5">
      <c r="A6237" s="3" t="s">
        <v>1878</v>
      </c>
      <c r="B6237" s="110" t="s">
        <v>1340</v>
      </c>
      <c r="C6237" s="111" t="s">
        <v>523</v>
      </c>
      <c r="D6237" s="111" t="str">
        <f t="shared" ref="D6237:E6237" si="6235">TRIM(B6237)</f>
        <v>Louisiana</v>
      </c>
      <c r="E6237" s="111" t="str">
        <f t="shared" si="6235"/>
        <v>Baton Rouge</v>
      </c>
    </row>
    <row r="6238" spans="1:5">
      <c r="A6238" s="3" t="s">
        <v>15879</v>
      </c>
      <c r="B6238" s="110" t="s">
        <v>1340</v>
      </c>
      <c r="C6238" s="111" t="s">
        <v>523</v>
      </c>
      <c r="D6238" s="111" t="str">
        <f t="shared" ref="D6238:E6238" si="6236">TRIM(B6238)</f>
        <v>Louisiana</v>
      </c>
      <c r="E6238" s="111" t="str">
        <f t="shared" si="6236"/>
        <v>Baton Rouge</v>
      </c>
    </row>
    <row r="6239" spans="1:5">
      <c r="A6239" s="3" t="s">
        <v>15880</v>
      </c>
      <c r="B6239" s="110" t="s">
        <v>1340</v>
      </c>
      <c r="C6239" s="111" t="s">
        <v>523</v>
      </c>
      <c r="D6239" s="111" t="str">
        <f t="shared" ref="D6239:E6239" si="6237">TRIM(B6239)</f>
        <v>Louisiana</v>
      </c>
      <c r="E6239" s="111" t="str">
        <f t="shared" si="6237"/>
        <v>Baton Rouge</v>
      </c>
    </row>
    <row r="6240" spans="1:5">
      <c r="A6240" s="3" t="s">
        <v>15881</v>
      </c>
      <c r="B6240" s="110" t="s">
        <v>1340</v>
      </c>
      <c r="C6240" s="111" t="s">
        <v>523</v>
      </c>
      <c r="D6240" s="111" t="str">
        <f t="shared" ref="D6240:E6240" si="6238">TRIM(B6240)</f>
        <v>Louisiana</v>
      </c>
      <c r="E6240" s="111" t="str">
        <f t="shared" si="6238"/>
        <v>Baton Rouge</v>
      </c>
    </row>
    <row r="6241" spans="1:5">
      <c r="A6241" s="3" t="s">
        <v>15882</v>
      </c>
      <c r="B6241" s="110" t="s">
        <v>1340</v>
      </c>
      <c r="C6241" s="111" t="s">
        <v>523</v>
      </c>
      <c r="D6241" s="111" t="str">
        <f t="shared" ref="D6241:E6241" si="6239">TRIM(B6241)</f>
        <v>Louisiana</v>
      </c>
      <c r="E6241" s="111" t="str">
        <f t="shared" si="6239"/>
        <v>Baton Rouge</v>
      </c>
    </row>
    <row r="6242" spans="1:5">
      <c r="A6242" s="3" t="s">
        <v>15883</v>
      </c>
      <c r="B6242" s="110" t="s">
        <v>1340</v>
      </c>
      <c r="C6242" s="111" t="s">
        <v>523</v>
      </c>
      <c r="D6242" s="111" t="str">
        <f t="shared" ref="D6242:E6242" si="6240">TRIM(B6242)</f>
        <v>Louisiana</v>
      </c>
      <c r="E6242" s="111" t="str">
        <f t="shared" si="6240"/>
        <v>Baton Rouge</v>
      </c>
    </row>
    <row r="6243" spans="1:5">
      <c r="A6243" s="3" t="s">
        <v>15884</v>
      </c>
      <c r="B6243" s="110" t="s">
        <v>1340</v>
      </c>
      <c r="C6243" s="111" t="s">
        <v>523</v>
      </c>
      <c r="D6243" s="111" t="str">
        <f t="shared" ref="D6243:E6243" si="6241">TRIM(B6243)</f>
        <v>Louisiana</v>
      </c>
      <c r="E6243" s="111" t="str">
        <f t="shared" si="6241"/>
        <v>Baton Rouge</v>
      </c>
    </row>
    <row r="6244" spans="1:5">
      <c r="A6244" s="3" t="s">
        <v>4162</v>
      </c>
      <c r="B6244" s="110" t="s">
        <v>1340</v>
      </c>
      <c r="C6244" s="111" t="s">
        <v>523</v>
      </c>
      <c r="D6244" s="111" t="str">
        <f t="shared" ref="D6244:E6244" si="6242">TRIM(B6244)</f>
        <v>Louisiana</v>
      </c>
      <c r="E6244" s="111" t="str">
        <f t="shared" si="6242"/>
        <v>Baton Rouge</v>
      </c>
    </row>
    <row r="6245" spans="1:5">
      <c r="A6245" s="3" t="s">
        <v>15885</v>
      </c>
      <c r="B6245" s="110" t="s">
        <v>1340</v>
      </c>
      <c r="C6245" s="111" t="s">
        <v>15886</v>
      </c>
      <c r="D6245" s="111" t="str">
        <f t="shared" ref="D6245:E6245" si="6243">TRIM(B6245)</f>
        <v>Louisiana</v>
      </c>
      <c r="E6245" s="111" t="str">
        <f t="shared" si="6243"/>
        <v>Belle Chasse</v>
      </c>
    </row>
    <row r="6246" spans="1:5">
      <c r="A6246" s="3" t="s">
        <v>3603</v>
      </c>
      <c r="B6246" s="110" t="s">
        <v>1340</v>
      </c>
      <c r="C6246" s="111" t="s">
        <v>3604</v>
      </c>
      <c r="D6246" s="111" t="str">
        <f t="shared" ref="D6246:E6246" si="6244">TRIM(B6246)</f>
        <v>Louisiana</v>
      </c>
      <c r="E6246" s="111" t="str">
        <f t="shared" si="6244"/>
        <v>Benton</v>
      </c>
    </row>
    <row r="6247" spans="1:5">
      <c r="A6247" s="3" t="s">
        <v>15887</v>
      </c>
      <c r="B6247" s="110" t="s">
        <v>1340</v>
      </c>
      <c r="C6247" s="111" t="s">
        <v>15888</v>
      </c>
      <c r="D6247" s="111" t="str">
        <f t="shared" ref="D6247:E6247" si="6245">TRIM(B6247)</f>
        <v>Louisiana</v>
      </c>
      <c r="E6247" s="111" t="str">
        <f t="shared" si="6245"/>
        <v>Berwick</v>
      </c>
    </row>
    <row r="6248" spans="1:5">
      <c r="A6248" s="3" t="s">
        <v>15889</v>
      </c>
      <c r="B6248" s="110" t="s">
        <v>1340</v>
      </c>
      <c r="C6248" s="111" t="s">
        <v>15890</v>
      </c>
      <c r="D6248" s="111" t="str">
        <f t="shared" ref="D6248:E6248" si="6246">TRIM(B6248)</f>
        <v>Louisiana</v>
      </c>
      <c r="E6248" s="111" t="str">
        <f t="shared" si="6246"/>
        <v>Bogalusa</v>
      </c>
    </row>
    <row r="6249" spans="1:5">
      <c r="A6249" s="3" t="s">
        <v>15891</v>
      </c>
      <c r="B6249" s="110" t="s">
        <v>1340</v>
      </c>
      <c r="C6249" s="111" t="s">
        <v>853</v>
      </c>
      <c r="D6249" s="111" t="str">
        <f t="shared" ref="D6249:E6249" si="6247">TRIM(B6249)</f>
        <v>Louisiana</v>
      </c>
      <c r="E6249" s="111" t="str">
        <f t="shared" si="6247"/>
        <v>Bossier City</v>
      </c>
    </row>
    <row r="6250" spans="1:5">
      <c r="A6250" s="3" t="s">
        <v>15892</v>
      </c>
      <c r="B6250" s="110" t="s">
        <v>1340</v>
      </c>
      <c r="C6250" s="111" t="s">
        <v>853</v>
      </c>
      <c r="D6250" s="111" t="str">
        <f t="shared" ref="D6250:E6250" si="6248">TRIM(B6250)</f>
        <v>Louisiana</v>
      </c>
      <c r="E6250" s="111" t="str">
        <f t="shared" si="6248"/>
        <v>Bossier City</v>
      </c>
    </row>
    <row r="6251" spans="1:5">
      <c r="A6251" s="3" t="s">
        <v>15893</v>
      </c>
      <c r="B6251" s="110" t="s">
        <v>1340</v>
      </c>
      <c r="C6251" s="111" t="s">
        <v>853</v>
      </c>
      <c r="D6251" s="111" t="str">
        <f t="shared" ref="D6251:E6251" si="6249">TRIM(B6251)</f>
        <v>Louisiana</v>
      </c>
      <c r="E6251" s="111" t="str">
        <f t="shared" si="6249"/>
        <v>Bossier City</v>
      </c>
    </row>
    <row r="6252" spans="1:5">
      <c r="A6252" s="3" t="s">
        <v>15894</v>
      </c>
      <c r="B6252" s="110" t="s">
        <v>1340</v>
      </c>
      <c r="C6252" s="111" t="s">
        <v>15895</v>
      </c>
      <c r="D6252" s="111" t="str">
        <f t="shared" ref="D6252:E6252" si="6250">TRIM(B6252)</f>
        <v>Louisiana</v>
      </c>
      <c r="E6252" s="111" t="str">
        <f t="shared" si="6250"/>
        <v>Bourg</v>
      </c>
    </row>
    <row r="6253" spans="1:5">
      <c r="A6253" s="3" t="s">
        <v>15896</v>
      </c>
      <c r="B6253" s="110" t="s">
        <v>1340</v>
      </c>
      <c r="C6253" s="111" t="s">
        <v>15897</v>
      </c>
      <c r="D6253" s="111" t="str">
        <f t="shared" ref="D6253:E6253" si="6251">TRIM(B6253)</f>
        <v>Louisiana</v>
      </c>
      <c r="E6253" s="111" t="str">
        <f t="shared" si="6251"/>
        <v>Boutte</v>
      </c>
    </row>
    <row r="6254" spans="1:5">
      <c r="A6254" s="3" t="s">
        <v>15898</v>
      </c>
      <c r="B6254" s="110" t="s">
        <v>1340</v>
      </c>
      <c r="C6254" s="111" t="s">
        <v>378</v>
      </c>
      <c r="D6254" s="111" t="str">
        <f t="shared" ref="D6254:E6254" si="6252">TRIM(B6254)</f>
        <v>Louisiana</v>
      </c>
      <c r="E6254" s="111" t="str">
        <f t="shared" si="6252"/>
        <v>Breaux Bridge</v>
      </c>
    </row>
    <row r="6255" spans="1:5">
      <c r="A6255" s="3" t="s">
        <v>15899</v>
      </c>
      <c r="B6255" s="110" t="s">
        <v>1340</v>
      </c>
      <c r="C6255" s="111" t="s">
        <v>5121</v>
      </c>
      <c r="D6255" s="111" t="str">
        <f t="shared" ref="D6255:E6255" si="6253">TRIM(B6255)</f>
        <v>Louisiana</v>
      </c>
      <c r="E6255" s="111" t="str">
        <f t="shared" si="6253"/>
        <v>Brusly</v>
      </c>
    </row>
    <row r="6256" spans="1:5">
      <c r="A6256" s="3" t="s">
        <v>15900</v>
      </c>
      <c r="B6256" s="110" t="s">
        <v>1340</v>
      </c>
      <c r="C6256" s="111" t="s">
        <v>15901</v>
      </c>
      <c r="D6256" s="111" t="str">
        <f t="shared" ref="D6256:E6256" si="6254">TRIM(B6256)</f>
        <v>Louisiana</v>
      </c>
      <c r="E6256" s="111" t="str">
        <f t="shared" si="6254"/>
        <v>Bunkie</v>
      </c>
    </row>
    <row r="6257" spans="1:5">
      <c r="A6257" s="3" t="s">
        <v>15902</v>
      </c>
      <c r="B6257" s="110" t="s">
        <v>1340</v>
      </c>
      <c r="C6257" s="111" t="s">
        <v>15903</v>
      </c>
      <c r="D6257" s="111" t="str">
        <f t="shared" ref="D6257:E6257" si="6255">TRIM(B6257)</f>
        <v>Louisiana</v>
      </c>
      <c r="E6257" s="111" t="str">
        <f t="shared" si="6255"/>
        <v>Buras</v>
      </c>
    </row>
    <row r="6258" spans="1:5">
      <c r="A6258" s="3" t="s">
        <v>15904</v>
      </c>
      <c r="B6258" s="110" t="s">
        <v>1340</v>
      </c>
      <c r="C6258" s="112" t="s">
        <v>15905</v>
      </c>
      <c r="D6258" s="111" t="str">
        <f t="shared" ref="D6258:E6258" si="6256">TRIM(B6258)</f>
        <v>Louisiana</v>
      </c>
      <c r="E6258" s="111" t="str">
        <f t="shared" si="6256"/>
        <v>Campti</v>
      </c>
    </row>
    <row r="6259" spans="1:5">
      <c r="A6259" s="3" t="s">
        <v>15906</v>
      </c>
      <c r="B6259" s="110" t="s">
        <v>1340</v>
      </c>
      <c r="C6259" s="111" t="s">
        <v>15648</v>
      </c>
      <c r="D6259" s="111" t="str">
        <f t="shared" ref="D6259:E6259" si="6257">TRIM(B6259)</f>
        <v>Louisiana</v>
      </c>
      <c r="E6259" s="111" t="str">
        <f t="shared" si="6257"/>
        <v>Cecilia</v>
      </c>
    </row>
    <row r="6260" spans="1:5">
      <c r="A6260" s="110" t="s">
        <v>15907</v>
      </c>
      <c r="B6260" s="110" t="s">
        <v>1340</v>
      </c>
      <c r="C6260" s="111" t="s">
        <v>15908</v>
      </c>
      <c r="D6260" s="111" t="str">
        <f t="shared" ref="D6260:E6260" si="6258">TRIM(B6260)</f>
        <v>Louisiana</v>
      </c>
      <c r="E6260" s="111" t="str">
        <f t="shared" si="6258"/>
        <v>Chalmette</v>
      </c>
    </row>
    <row r="6261" spans="1:5">
      <c r="A6261" s="3" t="s">
        <v>15909</v>
      </c>
      <c r="B6261" s="110" t="s">
        <v>1340</v>
      </c>
      <c r="C6261" s="111" t="s">
        <v>15908</v>
      </c>
      <c r="D6261" s="111" t="str">
        <f t="shared" ref="D6261:E6261" si="6259">TRIM(B6261)</f>
        <v>Louisiana</v>
      </c>
      <c r="E6261" s="111" t="str">
        <f t="shared" si="6259"/>
        <v>Chalmette</v>
      </c>
    </row>
    <row r="6262" spans="1:5">
      <c r="A6262" s="3" t="s">
        <v>15910</v>
      </c>
      <c r="B6262" s="110" t="s">
        <v>1340</v>
      </c>
      <c r="C6262" s="111" t="s">
        <v>15911</v>
      </c>
      <c r="D6262" s="111" t="str">
        <f t="shared" ref="D6262:E6262" si="6260">TRIM(B6262)</f>
        <v>Louisiana</v>
      </c>
      <c r="E6262" s="111" t="str">
        <f t="shared" si="6260"/>
        <v>Choudrant</v>
      </c>
    </row>
    <row r="6263" spans="1:5">
      <c r="A6263" s="3" t="s">
        <v>15912</v>
      </c>
      <c r="B6263" s="110" t="s">
        <v>1340</v>
      </c>
      <c r="C6263" s="111" t="s">
        <v>15913</v>
      </c>
      <c r="D6263" s="111" t="str">
        <f t="shared" ref="D6263:E6263" si="6261">TRIM(B6263)</f>
        <v>Louisiana</v>
      </c>
      <c r="E6263" s="111" t="str">
        <f t="shared" si="6261"/>
        <v>Church Point</v>
      </c>
    </row>
    <row r="6264" spans="1:5">
      <c r="A6264" s="3" t="s">
        <v>15914</v>
      </c>
      <c r="B6264" s="110" t="s">
        <v>1340</v>
      </c>
      <c r="C6264" s="111" t="s">
        <v>356</v>
      </c>
      <c r="D6264" s="111" t="str">
        <f t="shared" ref="D6264:E6264" si="6262">TRIM(B6264)</f>
        <v>Louisiana</v>
      </c>
      <c r="E6264" s="111" t="str">
        <f t="shared" si="6262"/>
        <v>Columbia</v>
      </c>
    </row>
    <row r="6265" spans="1:5">
      <c r="A6265" s="3" t="s">
        <v>15915</v>
      </c>
      <c r="B6265" s="110" t="s">
        <v>1340</v>
      </c>
      <c r="C6265" s="111" t="s">
        <v>15916</v>
      </c>
      <c r="D6265" s="111" t="str">
        <f t="shared" ref="D6265:E6265" si="6263">TRIM(B6265)</f>
        <v>Louisiana</v>
      </c>
      <c r="E6265" s="111" t="str">
        <f t="shared" si="6263"/>
        <v>Coushatta</v>
      </c>
    </row>
    <row r="6266" spans="1:5">
      <c r="A6266" s="3" t="s">
        <v>15917</v>
      </c>
      <c r="B6266" s="110" t="s">
        <v>1340</v>
      </c>
      <c r="C6266" s="111" t="s">
        <v>10597</v>
      </c>
      <c r="D6266" s="111" t="str">
        <f t="shared" ref="D6266:E6266" si="6264">TRIM(B6266)</f>
        <v>Louisiana</v>
      </c>
      <c r="E6266" s="111" t="str">
        <f t="shared" si="6264"/>
        <v>Covington</v>
      </c>
    </row>
    <row r="6267" spans="1:5">
      <c r="A6267" s="3" t="s">
        <v>15918</v>
      </c>
      <c r="B6267" s="110" t="s">
        <v>1340</v>
      </c>
      <c r="C6267" s="111" t="s">
        <v>10926</v>
      </c>
      <c r="D6267" s="111" t="str">
        <f t="shared" ref="D6267:E6267" si="6265">TRIM(B6267)</f>
        <v>Louisiana</v>
      </c>
      <c r="E6267" s="111" t="str">
        <f t="shared" si="6265"/>
        <v>Crowley</v>
      </c>
    </row>
    <row r="6268" spans="1:5">
      <c r="A6268" s="3" t="s">
        <v>15919</v>
      </c>
      <c r="B6268" s="110" t="s">
        <v>1340</v>
      </c>
      <c r="C6268" s="111" t="s">
        <v>15920</v>
      </c>
      <c r="D6268" s="111" t="str">
        <f t="shared" ref="D6268:E6268" si="6266">TRIM(B6268)</f>
        <v>Louisiana</v>
      </c>
      <c r="E6268" s="111" t="str">
        <f t="shared" si="6266"/>
        <v>Cutoff</v>
      </c>
    </row>
    <row r="6269" spans="1:5">
      <c r="A6269" s="3" t="s">
        <v>15921</v>
      </c>
      <c r="B6269" s="110" t="s">
        <v>1340</v>
      </c>
      <c r="C6269" s="111" t="s">
        <v>15922</v>
      </c>
      <c r="D6269" s="111" t="str">
        <f t="shared" ref="D6269:E6269" si="6267">TRIM(B6269)</f>
        <v>Louisiana</v>
      </c>
      <c r="E6269" s="111" t="str">
        <f t="shared" si="6267"/>
        <v>Delcambre</v>
      </c>
    </row>
    <row r="6270" spans="1:5">
      <c r="A6270" s="3" t="s">
        <v>4826</v>
      </c>
      <c r="B6270" s="110" t="s">
        <v>1340</v>
      </c>
      <c r="C6270" s="111" t="s">
        <v>4827</v>
      </c>
      <c r="D6270" s="111" t="str">
        <f t="shared" ref="D6270:E6270" si="6268">TRIM(B6270)</f>
        <v>Louisiana</v>
      </c>
      <c r="E6270" s="111" t="str">
        <f t="shared" si="6268"/>
        <v>Delhi</v>
      </c>
    </row>
    <row r="6271" spans="1:5">
      <c r="A6271" s="3" t="s">
        <v>15923</v>
      </c>
      <c r="B6271" s="110" t="s">
        <v>1340</v>
      </c>
      <c r="C6271" s="111" t="s">
        <v>330</v>
      </c>
      <c r="D6271" s="111" t="str">
        <f t="shared" ref="D6271:E6271" si="6269">TRIM(B6271)</f>
        <v>Louisiana</v>
      </c>
      <c r="E6271" s="111" t="str">
        <f t="shared" si="6269"/>
        <v>Denham Springs</v>
      </c>
    </row>
    <row r="6272" spans="1:5">
      <c r="A6272" s="3" t="s">
        <v>15924</v>
      </c>
      <c r="B6272" s="110" t="s">
        <v>1340</v>
      </c>
      <c r="C6272" s="111" t="s">
        <v>15925</v>
      </c>
      <c r="D6272" s="111" t="str">
        <f t="shared" ref="D6272:E6272" si="6270">TRIM(B6272)</f>
        <v>Louisiana</v>
      </c>
      <c r="E6272" s="111" t="str">
        <f t="shared" si="6270"/>
        <v>Dequincy</v>
      </c>
    </row>
    <row r="6273" spans="1:5">
      <c r="A6273" s="3" t="s">
        <v>15926</v>
      </c>
      <c r="B6273" s="110" t="s">
        <v>1340</v>
      </c>
      <c r="C6273" s="111" t="s">
        <v>15927</v>
      </c>
      <c r="D6273" s="111" t="str">
        <f t="shared" ref="D6273:E6273" si="6271">TRIM(B6273)</f>
        <v>Louisiana</v>
      </c>
      <c r="E6273" s="111" t="str">
        <f t="shared" si="6271"/>
        <v>Deridder</v>
      </c>
    </row>
    <row r="6274" spans="1:5">
      <c r="A6274" s="3" t="s">
        <v>15928</v>
      </c>
      <c r="B6274" s="110" t="s">
        <v>1340</v>
      </c>
      <c r="C6274" s="111" t="s">
        <v>15927</v>
      </c>
      <c r="D6274" s="111" t="str">
        <f t="shared" ref="D6274:E6274" si="6272">TRIM(B6274)</f>
        <v>Louisiana</v>
      </c>
      <c r="E6274" s="111" t="str">
        <f t="shared" si="6272"/>
        <v>Deridder</v>
      </c>
    </row>
    <row r="6275" spans="1:5">
      <c r="A6275" s="3" t="s">
        <v>15929</v>
      </c>
      <c r="B6275" s="110" t="s">
        <v>1340</v>
      </c>
      <c r="C6275" s="111" t="s">
        <v>15930</v>
      </c>
      <c r="D6275" s="111" t="str">
        <f t="shared" ref="D6275:E6275" si="6273">TRIM(B6275)</f>
        <v>Louisiana</v>
      </c>
      <c r="E6275" s="111" t="str">
        <f t="shared" si="6273"/>
        <v>Destrehan</v>
      </c>
    </row>
    <row r="6276" spans="1:5">
      <c r="A6276" s="3" t="s">
        <v>15931</v>
      </c>
      <c r="B6276" s="110" t="s">
        <v>1340</v>
      </c>
      <c r="C6276" s="111" t="s">
        <v>15932</v>
      </c>
      <c r="D6276" s="111" t="str">
        <f t="shared" ref="D6276:E6276" si="6274">TRIM(B6276)</f>
        <v>Louisiana</v>
      </c>
      <c r="E6276" s="111" t="str">
        <f t="shared" si="6274"/>
        <v>Donaldsonville</v>
      </c>
    </row>
    <row r="6277" spans="1:5">
      <c r="A6277" s="3" t="s">
        <v>15933</v>
      </c>
      <c r="B6277" s="110" t="s">
        <v>1340</v>
      </c>
      <c r="C6277" s="111" t="s">
        <v>402</v>
      </c>
      <c r="D6277" s="111" t="str">
        <f t="shared" ref="D6277:E6277" si="6275">TRIM(B6277)</f>
        <v>Louisiana</v>
      </c>
      <c r="E6277" s="111" t="str">
        <f t="shared" si="6275"/>
        <v>Dry Prong</v>
      </c>
    </row>
    <row r="6278" spans="1:5">
      <c r="A6278" s="3" t="s">
        <v>15934</v>
      </c>
      <c r="B6278" s="110" t="s">
        <v>1340</v>
      </c>
      <c r="C6278" s="111" t="s">
        <v>15935</v>
      </c>
      <c r="D6278" s="111" t="str">
        <f t="shared" ref="D6278:E6278" si="6276">TRIM(B6278)</f>
        <v>Louisiana</v>
      </c>
      <c r="E6278" s="111" t="str">
        <f t="shared" si="6276"/>
        <v>Edgard</v>
      </c>
    </row>
    <row r="6279" spans="1:5">
      <c r="A6279" s="3" t="s">
        <v>15936</v>
      </c>
      <c r="B6279" s="110" t="s">
        <v>1340</v>
      </c>
      <c r="C6279" s="111" t="s">
        <v>15937</v>
      </c>
      <c r="D6279" s="111" t="str">
        <f t="shared" ref="D6279:E6279" si="6277">TRIM(B6279)</f>
        <v>Louisiana</v>
      </c>
      <c r="E6279" s="111" t="str">
        <f t="shared" si="6277"/>
        <v>Elton</v>
      </c>
    </row>
    <row r="6280" spans="1:5">
      <c r="A6280" s="3" t="s">
        <v>15938</v>
      </c>
      <c r="B6280" s="110" t="s">
        <v>1340</v>
      </c>
      <c r="C6280" s="111" t="s">
        <v>15939</v>
      </c>
      <c r="D6280" s="111" t="str">
        <f t="shared" ref="D6280:E6280" si="6278">TRIM(B6280)</f>
        <v>Louisiana</v>
      </c>
      <c r="E6280" s="111" t="str">
        <f t="shared" si="6278"/>
        <v>Erath</v>
      </c>
    </row>
    <row r="6281" spans="1:5">
      <c r="A6281" s="3" t="s">
        <v>15940</v>
      </c>
      <c r="B6281" s="110" t="s">
        <v>1340</v>
      </c>
      <c r="C6281" s="111" t="s">
        <v>12222</v>
      </c>
      <c r="D6281" s="111" t="str">
        <f t="shared" ref="D6281:E6281" si="6279">TRIM(B6281)</f>
        <v>Louisiana</v>
      </c>
      <c r="E6281" s="111" t="str">
        <f t="shared" si="6279"/>
        <v>Eunice</v>
      </c>
    </row>
    <row r="6282" spans="1:5">
      <c r="A6282" s="110" t="s">
        <v>15941</v>
      </c>
      <c r="B6282" s="110" t="s">
        <v>1340</v>
      </c>
      <c r="C6282" s="111" t="s">
        <v>15942</v>
      </c>
      <c r="D6282" s="111" t="str">
        <f t="shared" ref="D6282:E6282" si="6280">TRIM(B6282)</f>
        <v>Louisiana</v>
      </c>
      <c r="E6282" s="111" t="str">
        <f t="shared" si="6280"/>
        <v>Farmerville</v>
      </c>
    </row>
    <row r="6283" spans="1:5">
      <c r="A6283" s="3" t="s">
        <v>15943</v>
      </c>
      <c r="B6283" s="110" t="s">
        <v>1340</v>
      </c>
      <c r="C6283" s="111" t="s">
        <v>15942</v>
      </c>
      <c r="D6283" s="111" t="str">
        <f t="shared" ref="D6283:E6283" si="6281">TRIM(B6283)</f>
        <v>Louisiana</v>
      </c>
      <c r="E6283" s="111" t="str">
        <f t="shared" si="6281"/>
        <v>Farmerville</v>
      </c>
    </row>
    <row r="6284" spans="1:5">
      <c r="A6284" s="3" t="s">
        <v>15944</v>
      </c>
      <c r="B6284" s="110" t="s">
        <v>1340</v>
      </c>
      <c r="C6284" s="111" t="s">
        <v>15945</v>
      </c>
      <c r="D6284" s="111" t="str">
        <f t="shared" ref="D6284:E6284" si="6282">TRIM(B6284)</f>
        <v>Louisiana</v>
      </c>
      <c r="E6284" s="111" t="str">
        <f t="shared" si="6282"/>
        <v>Ferriday</v>
      </c>
    </row>
    <row r="6285" spans="1:5">
      <c r="A6285" s="3" t="s">
        <v>15946</v>
      </c>
      <c r="B6285" s="110" t="s">
        <v>1340</v>
      </c>
      <c r="C6285" s="111" t="s">
        <v>525</v>
      </c>
      <c r="D6285" s="111" t="str">
        <f t="shared" ref="D6285:E6285" si="6283">TRIM(B6285)</f>
        <v>Louisiana</v>
      </c>
      <c r="E6285" s="111" t="str">
        <f t="shared" si="6283"/>
        <v>Franklin</v>
      </c>
    </row>
    <row r="6286" spans="1:5">
      <c r="A6286" s="3" t="s">
        <v>15947</v>
      </c>
      <c r="B6286" s="110" t="s">
        <v>1340</v>
      </c>
      <c r="C6286" s="111" t="s">
        <v>15948</v>
      </c>
      <c r="D6286" s="111" t="str">
        <f t="shared" ref="D6286:E6286" si="6284">TRIM(B6286)</f>
        <v>Louisiana</v>
      </c>
      <c r="E6286" s="111" t="str">
        <f t="shared" si="6284"/>
        <v>Franklinton</v>
      </c>
    </row>
    <row r="6287" spans="1:5">
      <c r="A6287" s="110" t="s">
        <v>15949</v>
      </c>
      <c r="B6287" s="110" t="s">
        <v>1340</v>
      </c>
      <c r="C6287" s="111" t="s">
        <v>15948</v>
      </c>
      <c r="D6287" s="111" t="str">
        <f t="shared" ref="D6287:E6287" si="6285">TRIM(B6287)</f>
        <v>Louisiana</v>
      </c>
      <c r="E6287" s="111" t="str">
        <f t="shared" si="6285"/>
        <v>Franklinton</v>
      </c>
    </row>
    <row r="6288" spans="1:5">
      <c r="A6288" s="3" t="s">
        <v>15950</v>
      </c>
      <c r="B6288" s="110" t="s">
        <v>1340</v>
      </c>
      <c r="C6288" s="113" t="s">
        <v>15951</v>
      </c>
      <c r="D6288" s="111" t="str">
        <f t="shared" ref="D6288:E6288" si="6286">TRIM(B6288)</f>
        <v>Louisiana</v>
      </c>
      <c r="E6288" s="111" t="str">
        <f t="shared" si="6286"/>
        <v>French Settlement</v>
      </c>
    </row>
    <row r="6289" spans="1:5">
      <c r="A6289" s="3" t="s">
        <v>10842</v>
      </c>
      <c r="B6289" s="110" t="s">
        <v>1340</v>
      </c>
      <c r="C6289" s="111" t="s">
        <v>15952</v>
      </c>
      <c r="D6289" s="111" t="str">
        <f t="shared" ref="D6289:E6289" si="6287">TRIM(B6289)</f>
        <v>Louisiana</v>
      </c>
      <c r="E6289" s="111" t="str">
        <f t="shared" si="6287"/>
        <v>Geismar</v>
      </c>
    </row>
    <row r="6290" spans="1:5">
      <c r="A6290" s="3" t="s">
        <v>15953</v>
      </c>
      <c r="B6290" s="110" t="s">
        <v>1340</v>
      </c>
      <c r="C6290" s="111" t="s">
        <v>5163</v>
      </c>
      <c r="D6290" s="111" t="str">
        <f t="shared" ref="D6290:E6290" si="6288">TRIM(B6290)</f>
        <v>Louisiana</v>
      </c>
      <c r="E6290" s="111" t="str">
        <f t="shared" si="6288"/>
        <v>Gonzales</v>
      </c>
    </row>
    <row r="6291" spans="1:5">
      <c r="A6291" s="3" t="s">
        <v>15954</v>
      </c>
      <c r="B6291" s="110" t="s">
        <v>1340</v>
      </c>
      <c r="C6291" s="111" t="s">
        <v>10819</v>
      </c>
      <c r="D6291" s="111" t="str">
        <f t="shared" ref="D6291:E6291" si="6289">TRIM(B6291)</f>
        <v>Louisiana</v>
      </c>
      <c r="E6291" s="111" t="str">
        <f t="shared" si="6289"/>
        <v>Gray</v>
      </c>
    </row>
    <row r="6292" spans="1:5">
      <c r="A6292" s="3" t="s">
        <v>15955</v>
      </c>
      <c r="B6292" s="110" t="s">
        <v>1340</v>
      </c>
      <c r="C6292" s="111" t="s">
        <v>4983</v>
      </c>
      <c r="D6292" s="111" t="str">
        <f t="shared" ref="D6292:E6292" si="6290">TRIM(B6292)</f>
        <v>Louisiana</v>
      </c>
      <c r="E6292" s="111" t="str">
        <f t="shared" si="6290"/>
        <v>Greensburg</v>
      </c>
    </row>
    <row r="6293" spans="1:5">
      <c r="A6293" s="110" t="s">
        <v>15956</v>
      </c>
      <c r="B6293" s="110" t="s">
        <v>1340</v>
      </c>
      <c r="C6293" s="111" t="s">
        <v>10855</v>
      </c>
      <c r="D6293" s="111" t="str">
        <f t="shared" ref="D6293:E6293" si="6291">TRIM(B6293)</f>
        <v>Louisiana</v>
      </c>
      <c r="E6293" s="111" t="str">
        <f t="shared" si="6291"/>
        <v>Gretna</v>
      </c>
    </row>
    <row r="6294" spans="1:5">
      <c r="A6294" s="3" t="s">
        <v>15957</v>
      </c>
      <c r="B6294" s="110" t="s">
        <v>1340</v>
      </c>
      <c r="C6294" s="111" t="s">
        <v>10855</v>
      </c>
      <c r="D6294" s="111" t="str">
        <f t="shared" ref="D6294:E6294" si="6292">TRIM(B6294)</f>
        <v>Louisiana</v>
      </c>
      <c r="E6294" s="111" t="str">
        <f t="shared" si="6292"/>
        <v>Gretna</v>
      </c>
    </row>
    <row r="6295" spans="1:5">
      <c r="A6295" s="3" t="s">
        <v>15958</v>
      </c>
      <c r="B6295" s="110" t="s">
        <v>1340</v>
      </c>
      <c r="C6295" s="111" t="s">
        <v>15959</v>
      </c>
      <c r="D6295" s="111" t="str">
        <f t="shared" ref="D6295:E6295" si="6293">TRIM(B6295)</f>
        <v>Louisiana</v>
      </c>
      <c r="E6295" s="111" t="str">
        <f t="shared" si="6293"/>
        <v>Gueydan</v>
      </c>
    </row>
    <row r="6296" spans="1:5">
      <c r="A6296" s="3" t="s">
        <v>15960</v>
      </c>
      <c r="B6296" s="110" t="s">
        <v>1340</v>
      </c>
      <c r="C6296" s="111" t="s">
        <v>289</v>
      </c>
      <c r="D6296" s="111" t="str">
        <f t="shared" ref="D6296:E6296" si="6294">TRIM(B6296)</f>
        <v>Louisiana</v>
      </c>
      <c r="E6296" s="111" t="str">
        <f t="shared" si="6294"/>
        <v>Hammond</v>
      </c>
    </row>
    <row r="6297" spans="1:5">
      <c r="A6297" s="110" t="s">
        <v>15961</v>
      </c>
      <c r="B6297" s="110" t="s">
        <v>1340</v>
      </c>
      <c r="C6297" s="111" t="s">
        <v>289</v>
      </c>
      <c r="D6297" s="111" t="str">
        <f t="shared" ref="D6297:E6297" si="6295">TRIM(B6297)</f>
        <v>Louisiana</v>
      </c>
      <c r="E6297" s="111" t="str">
        <f t="shared" si="6295"/>
        <v>Hammond</v>
      </c>
    </row>
    <row r="6298" spans="1:5">
      <c r="A6298" s="3" t="s">
        <v>15962</v>
      </c>
      <c r="B6298" s="110" t="s">
        <v>1340</v>
      </c>
      <c r="C6298" s="111" t="s">
        <v>536</v>
      </c>
      <c r="D6298" s="111" t="str">
        <f t="shared" ref="D6298:E6298" si="6296">TRIM(B6298)</f>
        <v>Louisiana</v>
      </c>
      <c r="E6298" s="111" t="str">
        <f t="shared" si="6296"/>
        <v>Harvey</v>
      </c>
    </row>
    <row r="6299" spans="1:5">
      <c r="A6299" s="3" t="s">
        <v>11923</v>
      </c>
      <c r="B6299" s="110" t="s">
        <v>1340</v>
      </c>
      <c r="C6299" s="111" t="s">
        <v>536</v>
      </c>
      <c r="D6299" s="111" t="str">
        <f t="shared" ref="D6299:E6299" si="6297">TRIM(B6299)</f>
        <v>Louisiana</v>
      </c>
      <c r="E6299" s="111" t="str">
        <f t="shared" si="6297"/>
        <v>Harvey</v>
      </c>
    </row>
    <row r="6300" spans="1:5">
      <c r="A6300" s="3" t="s">
        <v>15963</v>
      </c>
      <c r="B6300" s="110" t="s">
        <v>1340</v>
      </c>
      <c r="C6300" s="111" t="s">
        <v>15964</v>
      </c>
      <c r="D6300" s="111" t="str">
        <f t="shared" ref="D6300:E6300" si="6298">TRIM(B6300)</f>
        <v>Louisiana</v>
      </c>
      <c r="E6300" s="111" t="str">
        <f t="shared" si="6298"/>
        <v>Haughton</v>
      </c>
    </row>
    <row r="6301" spans="1:5">
      <c r="A6301" s="3" t="s">
        <v>15965</v>
      </c>
      <c r="B6301" s="110" t="s">
        <v>1340</v>
      </c>
      <c r="C6301" s="111" t="s">
        <v>10891</v>
      </c>
      <c r="D6301" s="111" t="str">
        <f t="shared" ref="D6301:E6301" si="6299">TRIM(B6301)</f>
        <v>Louisiana</v>
      </c>
      <c r="E6301" s="111" t="str">
        <f t="shared" si="6299"/>
        <v>Haynesville</v>
      </c>
    </row>
    <row r="6302" spans="1:5">
      <c r="A6302" s="3" t="s">
        <v>2355</v>
      </c>
      <c r="B6302" s="110" t="s">
        <v>1340</v>
      </c>
      <c r="C6302" s="111" t="s">
        <v>239</v>
      </c>
      <c r="D6302" s="111" t="str">
        <f t="shared" ref="D6302:E6302" si="6300">TRIM(B6302)</f>
        <v>Louisiana</v>
      </c>
      <c r="E6302" s="111" t="str">
        <f t="shared" si="6300"/>
        <v>Homer</v>
      </c>
    </row>
    <row r="6303" spans="1:5">
      <c r="A6303" s="3" t="s">
        <v>15966</v>
      </c>
      <c r="B6303" s="110" t="s">
        <v>1340</v>
      </c>
      <c r="C6303" s="111" t="s">
        <v>15967</v>
      </c>
      <c r="D6303" s="111" t="str">
        <f t="shared" ref="D6303:E6303" si="6301">TRIM(B6303)</f>
        <v>Louisiana</v>
      </c>
      <c r="E6303" s="111" t="str">
        <f t="shared" si="6301"/>
        <v>Houma</v>
      </c>
    </row>
    <row r="6304" spans="1:5">
      <c r="A6304" s="3" t="s">
        <v>15968</v>
      </c>
      <c r="B6304" s="110" t="s">
        <v>1340</v>
      </c>
      <c r="C6304" s="111" t="s">
        <v>15967</v>
      </c>
      <c r="D6304" s="111" t="str">
        <f t="shared" ref="D6304:E6304" si="6302">TRIM(B6304)</f>
        <v>Louisiana</v>
      </c>
      <c r="E6304" s="111" t="str">
        <f t="shared" si="6302"/>
        <v>Houma</v>
      </c>
    </row>
    <row r="6305" spans="1:5">
      <c r="A6305" s="3" t="s">
        <v>15969</v>
      </c>
      <c r="B6305" s="110" t="s">
        <v>1340</v>
      </c>
      <c r="C6305" s="111" t="s">
        <v>5323</v>
      </c>
      <c r="D6305" s="111" t="str">
        <f t="shared" ref="D6305:E6305" si="6303">TRIM(B6305)</f>
        <v>Louisiana</v>
      </c>
      <c r="E6305" s="111" t="str">
        <f t="shared" si="6303"/>
        <v>Independence</v>
      </c>
    </row>
    <row r="6306" spans="1:5">
      <c r="A6306" s="3" t="s">
        <v>15970</v>
      </c>
      <c r="B6306" s="110" t="s">
        <v>1340</v>
      </c>
      <c r="C6306" s="111" t="s">
        <v>15971</v>
      </c>
      <c r="D6306" s="111" t="str">
        <f t="shared" ref="D6306:E6306" si="6304">TRIM(B6306)</f>
        <v>Louisiana</v>
      </c>
      <c r="E6306" s="111" t="str">
        <f t="shared" si="6304"/>
        <v>Iota</v>
      </c>
    </row>
    <row r="6307" spans="1:5">
      <c r="A6307" s="3" t="s">
        <v>15972</v>
      </c>
      <c r="B6307" s="110" t="s">
        <v>1340</v>
      </c>
      <c r="C6307" s="111" t="s">
        <v>1335</v>
      </c>
      <c r="D6307" s="111" t="str">
        <f t="shared" ref="D6307:E6307" si="6305">TRIM(B6307)</f>
        <v>Louisiana</v>
      </c>
      <c r="E6307" s="111" t="str">
        <f t="shared" si="6305"/>
        <v>Iowa</v>
      </c>
    </row>
    <row r="6308" spans="1:5">
      <c r="A6308" s="3" t="s">
        <v>15973</v>
      </c>
      <c r="B6308" s="110" t="s">
        <v>1340</v>
      </c>
      <c r="C6308" s="111" t="s">
        <v>297</v>
      </c>
      <c r="D6308" s="111" t="str">
        <f t="shared" ref="D6308:E6308" si="6306">TRIM(B6308)</f>
        <v>Louisiana</v>
      </c>
      <c r="E6308" s="111" t="str">
        <f t="shared" si="6306"/>
        <v>Jackson</v>
      </c>
    </row>
    <row r="6309" spans="1:5">
      <c r="A6309" s="3" t="s">
        <v>15974</v>
      </c>
      <c r="B6309" s="110" t="s">
        <v>1340</v>
      </c>
      <c r="C6309" s="111" t="s">
        <v>15975</v>
      </c>
      <c r="D6309" s="111" t="str">
        <f t="shared" ref="D6309:E6309" si="6307">TRIM(B6309)</f>
        <v>Louisiana</v>
      </c>
      <c r="E6309" s="111" t="str">
        <f t="shared" si="6307"/>
        <v>Jeanerette</v>
      </c>
    </row>
    <row r="6310" spans="1:5">
      <c r="A6310" s="110" t="s">
        <v>15976</v>
      </c>
      <c r="B6310" s="110" t="s">
        <v>1340</v>
      </c>
      <c r="C6310" s="111" t="s">
        <v>7891</v>
      </c>
      <c r="D6310" s="111" t="str">
        <f t="shared" ref="D6310:E6310" si="6308">TRIM(B6310)</f>
        <v>Louisiana</v>
      </c>
      <c r="E6310" s="111" t="str">
        <f t="shared" si="6308"/>
        <v>Jefferson</v>
      </c>
    </row>
    <row r="6311" spans="1:5">
      <c r="A6311" s="3" t="s">
        <v>6551</v>
      </c>
      <c r="B6311" s="110" t="s">
        <v>1340</v>
      </c>
      <c r="C6311" s="111" t="s">
        <v>7891</v>
      </c>
      <c r="D6311" s="111" t="str">
        <f t="shared" ref="D6311:E6311" si="6309">TRIM(B6311)</f>
        <v>Louisiana</v>
      </c>
      <c r="E6311" s="111" t="str">
        <f t="shared" si="6309"/>
        <v>Jefferson</v>
      </c>
    </row>
    <row r="6312" spans="1:5">
      <c r="A6312" s="3" t="s">
        <v>15977</v>
      </c>
      <c r="B6312" s="110" t="s">
        <v>1340</v>
      </c>
      <c r="C6312" s="111" t="s">
        <v>15978</v>
      </c>
      <c r="D6312" s="111" t="str">
        <f t="shared" ref="D6312:E6312" si="6310">TRIM(B6312)</f>
        <v>Louisiana</v>
      </c>
      <c r="E6312" s="111" t="str">
        <f t="shared" si="6310"/>
        <v>Jena</v>
      </c>
    </row>
    <row r="6313" spans="1:5">
      <c r="A6313" s="3" t="s">
        <v>15979</v>
      </c>
      <c r="B6313" s="110" t="s">
        <v>1340</v>
      </c>
      <c r="C6313" s="111" t="s">
        <v>15980</v>
      </c>
      <c r="D6313" s="111" t="str">
        <f t="shared" ref="D6313:E6313" si="6311">TRIM(B6313)</f>
        <v>Louisiana</v>
      </c>
      <c r="E6313" s="111" t="str">
        <f t="shared" si="6311"/>
        <v>Jennings</v>
      </c>
    </row>
    <row r="6314" spans="1:5">
      <c r="A6314" s="3" t="s">
        <v>15981</v>
      </c>
      <c r="B6314" s="110" t="s">
        <v>1340</v>
      </c>
      <c r="C6314" s="111" t="s">
        <v>3903</v>
      </c>
      <c r="D6314" s="111" t="str">
        <f t="shared" ref="D6314:E6314" si="6312">TRIM(B6314)</f>
        <v>Louisiana</v>
      </c>
      <c r="E6314" s="111" t="str">
        <f t="shared" si="6312"/>
        <v>Jonesboro</v>
      </c>
    </row>
    <row r="6315" spans="1:5">
      <c r="A6315" s="3" t="s">
        <v>15982</v>
      </c>
      <c r="B6315" s="110" t="s">
        <v>1340</v>
      </c>
      <c r="C6315" s="111" t="s">
        <v>15983</v>
      </c>
      <c r="D6315" s="111" t="str">
        <f t="shared" ref="D6315:E6315" si="6313">TRIM(B6315)</f>
        <v>Louisiana</v>
      </c>
      <c r="E6315" s="111" t="str">
        <f t="shared" si="6313"/>
        <v>Jonesville</v>
      </c>
    </row>
    <row r="6316" spans="1:5">
      <c r="A6316" s="3" t="s">
        <v>15984</v>
      </c>
      <c r="B6316" s="110" t="s">
        <v>1340</v>
      </c>
      <c r="C6316" s="111" t="s">
        <v>15985</v>
      </c>
      <c r="D6316" s="111" t="str">
        <f t="shared" ref="D6316:E6316" si="6314">TRIM(B6316)</f>
        <v>Louisiana</v>
      </c>
      <c r="E6316" s="111" t="str">
        <f t="shared" si="6314"/>
        <v>Kaplan</v>
      </c>
    </row>
    <row r="6317" spans="1:5">
      <c r="A6317" s="3" t="s">
        <v>15986</v>
      </c>
      <c r="B6317" s="110" t="s">
        <v>1340</v>
      </c>
      <c r="C6317" s="111" t="s">
        <v>15987</v>
      </c>
      <c r="D6317" s="111" t="str">
        <f t="shared" ref="D6317:E6317" si="6315">TRIM(B6317)</f>
        <v>Louisiana</v>
      </c>
      <c r="E6317" s="111" t="str">
        <f t="shared" si="6315"/>
        <v>Kenner</v>
      </c>
    </row>
    <row r="6318" spans="1:5">
      <c r="A6318" s="3" t="s">
        <v>15988</v>
      </c>
      <c r="B6318" s="110" t="s">
        <v>1340</v>
      </c>
      <c r="C6318" s="111" t="s">
        <v>15989</v>
      </c>
      <c r="D6318" s="111" t="str">
        <f t="shared" ref="D6318:E6318" si="6316">TRIM(B6318)</f>
        <v>Louisiana</v>
      </c>
      <c r="E6318" s="111" t="str">
        <f t="shared" si="6316"/>
        <v>Kentwood</v>
      </c>
    </row>
    <row r="6319" spans="1:5">
      <c r="A6319" s="3" t="s">
        <v>15990</v>
      </c>
      <c r="B6319" s="110" t="s">
        <v>1340</v>
      </c>
      <c r="C6319" s="111" t="s">
        <v>15989</v>
      </c>
      <c r="D6319" s="111" t="str">
        <f t="shared" ref="D6319:E6319" si="6317">TRIM(B6319)</f>
        <v>Louisiana</v>
      </c>
      <c r="E6319" s="111" t="str">
        <f t="shared" si="6317"/>
        <v>Kentwood</v>
      </c>
    </row>
    <row r="6320" spans="1:5">
      <c r="A6320" s="3" t="s">
        <v>15991</v>
      </c>
      <c r="B6320" s="110" t="s">
        <v>1340</v>
      </c>
      <c r="C6320" s="111" t="s">
        <v>15992</v>
      </c>
      <c r="D6320" s="111" t="str">
        <f t="shared" ref="D6320:E6320" si="6318">TRIM(B6320)</f>
        <v>Louisiana</v>
      </c>
      <c r="E6320" s="111" t="str">
        <f t="shared" si="6318"/>
        <v>Kinder</v>
      </c>
    </row>
    <row r="6321" spans="1:5">
      <c r="A6321" s="3" t="s">
        <v>15993</v>
      </c>
      <c r="B6321" s="110" t="s">
        <v>1340</v>
      </c>
      <c r="C6321" s="111" t="s">
        <v>236</v>
      </c>
      <c r="D6321" s="111" t="str">
        <f t="shared" ref="D6321:E6321" si="6319">TRIM(B6321)</f>
        <v>Louisiana</v>
      </c>
      <c r="E6321" s="111" t="str">
        <f t="shared" si="6319"/>
        <v>Lafayette</v>
      </c>
    </row>
    <row r="6322" spans="1:5">
      <c r="A6322" s="3" t="s">
        <v>15994</v>
      </c>
      <c r="B6322" s="110" t="s">
        <v>1340</v>
      </c>
      <c r="C6322" s="111" t="s">
        <v>236</v>
      </c>
      <c r="D6322" s="111" t="str">
        <f t="shared" ref="D6322:E6322" si="6320">TRIM(B6322)</f>
        <v>Louisiana</v>
      </c>
      <c r="E6322" s="111" t="str">
        <f t="shared" si="6320"/>
        <v>Lafayette</v>
      </c>
    </row>
    <row r="6323" spans="1:5">
      <c r="A6323" s="3" t="s">
        <v>7945</v>
      </c>
      <c r="B6323" s="110" t="s">
        <v>1340</v>
      </c>
      <c r="C6323" s="111" t="s">
        <v>236</v>
      </c>
      <c r="D6323" s="111" t="str">
        <f t="shared" ref="D6323:E6323" si="6321">TRIM(B6323)</f>
        <v>Louisiana</v>
      </c>
      <c r="E6323" s="111" t="str">
        <f t="shared" si="6321"/>
        <v>Lafayette</v>
      </c>
    </row>
    <row r="6324" spans="1:5">
      <c r="A6324" s="110" t="s">
        <v>15995</v>
      </c>
      <c r="B6324" s="110" t="s">
        <v>1340</v>
      </c>
      <c r="C6324" s="111" t="s">
        <v>236</v>
      </c>
      <c r="D6324" s="111" t="str">
        <f t="shared" ref="D6324:E6324" si="6322">TRIM(B6324)</f>
        <v>Louisiana</v>
      </c>
      <c r="E6324" s="111" t="str">
        <f t="shared" si="6322"/>
        <v>Lafayette</v>
      </c>
    </row>
    <row r="6325" spans="1:5">
      <c r="A6325" s="110" t="s">
        <v>15996</v>
      </c>
      <c r="B6325" s="110" t="s">
        <v>1340</v>
      </c>
      <c r="C6325" s="111" t="s">
        <v>236</v>
      </c>
      <c r="D6325" s="111" t="str">
        <f t="shared" ref="D6325:E6325" si="6323">TRIM(B6325)</f>
        <v>Louisiana</v>
      </c>
      <c r="E6325" s="111" t="str">
        <f t="shared" si="6323"/>
        <v>Lafayette</v>
      </c>
    </row>
    <row r="6326" spans="1:5">
      <c r="A6326" s="3" t="s">
        <v>1907</v>
      </c>
      <c r="B6326" s="110" t="s">
        <v>1340</v>
      </c>
      <c r="C6326" s="111" t="s">
        <v>236</v>
      </c>
      <c r="D6326" s="111" t="str">
        <f t="shared" ref="D6326:E6326" si="6324">TRIM(B6326)</f>
        <v>Louisiana</v>
      </c>
      <c r="E6326" s="111" t="str">
        <f t="shared" si="6324"/>
        <v>Lafayette</v>
      </c>
    </row>
    <row r="6327" spans="1:5">
      <c r="A6327" s="3" t="s">
        <v>2026</v>
      </c>
      <c r="B6327" s="110" t="s">
        <v>1340</v>
      </c>
      <c r="C6327" s="111" t="s">
        <v>236</v>
      </c>
      <c r="D6327" s="111" t="str">
        <f t="shared" ref="D6327:E6327" si="6325">TRIM(B6327)</f>
        <v>Louisiana</v>
      </c>
      <c r="E6327" s="111" t="str">
        <f t="shared" si="6325"/>
        <v>Lafayette</v>
      </c>
    </row>
    <row r="6328" spans="1:5">
      <c r="A6328" s="3" t="s">
        <v>15997</v>
      </c>
      <c r="B6328" s="110" t="s">
        <v>1340</v>
      </c>
      <c r="C6328" s="111" t="s">
        <v>236</v>
      </c>
      <c r="D6328" s="111" t="str">
        <f t="shared" ref="D6328:E6328" si="6326">TRIM(B6328)</f>
        <v>Louisiana</v>
      </c>
      <c r="E6328" s="111" t="str">
        <f t="shared" si="6326"/>
        <v>Lafayette</v>
      </c>
    </row>
    <row r="6329" spans="1:5">
      <c r="A6329" s="3" t="s">
        <v>15998</v>
      </c>
      <c r="B6329" s="110" t="s">
        <v>1340</v>
      </c>
      <c r="C6329" s="111" t="s">
        <v>15999</v>
      </c>
      <c r="D6329" s="111" t="str">
        <f t="shared" ref="D6329:E6329" si="6327">TRIM(B6329)</f>
        <v>Louisiana</v>
      </c>
      <c r="E6329" s="111" t="str">
        <f t="shared" si="6327"/>
        <v>Lafitte</v>
      </c>
    </row>
    <row r="6330" spans="1:5">
      <c r="A6330" s="3" t="s">
        <v>16000</v>
      </c>
      <c r="B6330" s="110" t="s">
        <v>1340</v>
      </c>
      <c r="C6330" s="111" t="s">
        <v>16001</v>
      </c>
      <c r="D6330" s="111" t="str">
        <f t="shared" ref="D6330:E6330" si="6328">TRIM(B6330)</f>
        <v>Louisiana</v>
      </c>
      <c r="E6330" s="111" t="str">
        <f t="shared" si="6328"/>
        <v>Lake Arthur</v>
      </c>
    </row>
    <row r="6331" spans="1:5">
      <c r="A6331" s="3" t="s">
        <v>16002</v>
      </c>
      <c r="B6331" s="110" t="s">
        <v>1340</v>
      </c>
      <c r="C6331" s="111" t="s">
        <v>16003</v>
      </c>
      <c r="D6331" s="111" t="str">
        <f t="shared" ref="D6331:E6331" si="6329">TRIM(B6331)</f>
        <v>Louisiana</v>
      </c>
      <c r="E6331" s="111" t="str">
        <f t="shared" si="6329"/>
        <v>Lake Charles</v>
      </c>
    </row>
    <row r="6332" spans="1:5">
      <c r="A6332" s="3" t="s">
        <v>10938</v>
      </c>
      <c r="B6332" s="110" t="s">
        <v>1340</v>
      </c>
      <c r="C6332" s="112" t="s">
        <v>16003</v>
      </c>
      <c r="D6332" s="111" t="str">
        <f t="shared" ref="D6332:E6332" si="6330">TRIM(B6332)</f>
        <v>Louisiana</v>
      </c>
      <c r="E6332" s="111" t="str">
        <f t="shared" si="6330"/>
        <v>Lake Charles</v>
      </c>
    </row>
    <row r="6333" spans="1:5">
      <c r="A6333" s="110" t="s">
        <v>16004</v>
      </c>
      <c r="B6333" s="110" t="s">
        <v>1340</v>
      </c>
      <c r="C6333" s="111" t="s">
        <v>16003</v>
      </c>
      <c r="D6333" s="111" t="str">
        <f t="shared" ref="D6333:E6333" si="6331">TRIM(B6333)</f>
        <v>Louisiana</v>
      </c>
      <c r="E6333" s="111" t="str">
        <f t="shared" si="6331"/>
        <v>Lake Charles</v>
      </c>
    </row>
    <row r="6334" spans="1:5">
      <c r="A6334" s="3" t="s">
        <v>16005</v>
      </c>
      <c r="B6334" s="110" t="s">
        <v>1340</v>
      </c>
      <c r="C6334" s="111" t="s">
        <v>16003</v>
      </c>
      <c r="D6334" s="111" t="str">
        <f t="shared" ref="D6334:E6334" si="6332">TRIM(B6334)</f>
        <v>Louisiana</v>
      </c>
      <c r="E6334" s="111" t="str">
        <f t="shared" si="6332"/>
        <v>Lake Charles</v>
      </c>
    </row>
    <row r="6335" spans="1:5">
      <c r="A6335" s="3" t="s">
        <v>16006</v>
      </c>
      <c r="B6335" s="110" t="s">
        <v>1340</v>
      </c>
      <c r="C6335" s="111" t="s">
        <v>16003</v>
      </c>
      <c r="D6335" s="111" t="str">
        <f t="shared" ref="D6335:E6335" si="6333">TRIM(B6335)</f>
        <v>Louisiana</v>
      </c>
      <c r="E6335" s="111" t="str">
        <f t="shared" si="6333"/>
        <v>Lake Charles</v>
      </c>
    </row>
    <row r="6336" spans="1:5">
      <c r="A6336" s="3" t="s">
        <v>16007</v>
      </c>
      <c r="B6336" s="110" t="s">
        <v>1340</v>
      </c>
      <c r="C6336" s="111" t="s">
        <v>10874</v>
      </c>
      <c r="D6336" s="111" t="str">
        <f t="shared" ref="D6336:E6336" si="6334">TRIM(B6336)</f>
        <v>Louisiana</v>
      </c>
      <c r="E6336" s="111" t="str">
        <f t="shared" si="6334"/>
        <v>Lake Providence</v>
      </c>
    </row>
    <row r="6337" spans="1:5">
      <c r="A6337" s="3" t="s">
        <v>14320</v>
      </c>
      <c r="B6337" s="110" t="s">
        <v>1340</v>
      </c>
      <c r="C6337" s="111" t="s">
        <v>16008</v>
      </c>
      <c r="D6337" s="111" t="str">
        <f t="shared" ref="D6337:E6337" si="6335">TRIM(B6337)</f>
        <v>Louisiana</v>
      </c>
      <c r="E6337" s="111" t="str">
        <f t="shared" si="6335"/>
        <v>Lebeau</v>
      </c>
    </row>
    <row r="6338" spans="1:5">
      <c r="A6338" s="3" t="s">
        <v>16009</v>
      </c>
      <c r="B6338" s="110" t="s">
        <v>1340</v>
      </c>
      <c r="C6338" s="111" t="s">
        <v>16010</v>
      </c>
      <c r="D6338" s="111" t="str">
        <f t="shared" ref="D6338:E6338" si="6336">TRIM(B6338)</f>
        <v>Louisiana</v>
      </c>
      <c r="E6338" s="111" t="str">
        <f t="shared" si="6336"/>
        <v>Lecompte</v>
      </c>
    </row>
    <row r="6339" spans="1:5">
      <c r="A6339" s="3" t="s">
        <v>16011</v>
      </c>
      <c r="B6339" s="110" t="s">
        <v>1340</v>
      </c>
      <c r="C6339" s="111" t="s">
        <v>16012</v>
      </c>
      <c r="D6339" s="111" t="str">
        <f t="shared" ref="D6339:E6339" si="6337">TRIM(B6339)</f>
        <v>Louisiana</v>
      </c>
      <c r="E6339" s="111" t="str">
        <f t="shared" si="6337"/>
        <v>Leesville</v>
      </c>
    </row>
    <row r="6340" spans="1:5">
      <c r="A6340" s="3" t="s">
        <v>16013</v>
      </c>
      <c r="B6340" s="110" t="s">
        <v>1340</v>
      </c>
      <c r="C6340" s="111" t="s">
        <v>16012</v>
      </c>
      <c r="D6340" s="111" t="str">
        <f t="shared" ref="D6340:E6340" si="6338">TRIM(B6340)</f>
        <v>Louisiana</v>
      </c>
      <c r="E6340" s="111" t="str">
        <f t="shared" si="6338"/>
        <v>Leesville</v>
      </c>
    </row>
    <row r="6341" spans="1:5">
      <c r="A6341" s="3" t="s">
        <v>16014</v>
      </c>
      <c r="B6341" s="110" t="s">
        <v>1340</v>
      </c>
      <c r="C6341" s="111" t="s">
        <v>5527</v>
      </c>
      <c r="D6341" s="111" t="str">
        <f t="shared" ref="D6341:E6341" si="6339">TRIM(B6341)</f>
        <v>Louisiana</v>
      </c>
      <c r="E6341" s="111" t="str">
        <f t="shared" si="6339"/>
        <v>Livingston</v>
      </c>
    </row>
    <row r="6342" spans="1:5">
      <c r="A6342" s="3" t="s">
        <v>16015</v>
      </c>
      <c r="B6342" s="110" t="s">
        <v>1340</v>
      </c>
      <c r="C6342" s="111" t="s">
        <v>16016</v>
      </c>
      <c r="D6342" s="111" t="str">
        <f t="shared" ref="D6342:E6342" si="6340">TRIM(B6342)</f>
        <v>Louisiana</v>
      </c>
      <c r="E6342" s="111" t="str">
        <f t="shared" si="6340"/>
        <v>Livonia</v>
      </c>
    </row>
    <row r="6343" spans="1:5">
      <c r="A6343" s="3" t="s">
        <v>16017</v>
      </c>
      <c r="B6343" s="110" t="s">
        <v>1340</v>
      </c>
      <c r="C6343" s="111" t="s">
        <v>16018</v>
      </c>
      <c r="D6343" s="111" t="str">
        <f t="shared" ref="D6343:E6343" si="6341">TRIM(B6343)</f>
        <v>Louisiana</v>
      </c>
      <c r="E6343" s="111" t="str">
        <f t="shared" si="6341"/>
        <v>Longville</v>
      </c>
    </row>
    <row r="6344" spans="1:5">
      <c r="A6344" s="3" t="s">
        <v>16019</v>
      </c>
      <c r="B6344" s="110" t="s">
        <v>1340</v>
      </c>
      <c r="C6344" s="111" t="s">
        <v>16020</v>
      </c>
      <c r="D6344" s="111" t="str">
        <f t="shared" ref="D6344:E6344" si="6342">TRIM(B6344)</f>
        <v>Louisiana</v>
      </c>
      <c r="E6344" s="111" t="str">
        <f t="shared" si="6342"/>
        <v>Loranger</v>
      </c>
    </row>
    <row r="6345" spans="1:5">
      <c r="A6345" s="3" t="s">
        <v>16021</v>
      </c>
      <c r="B6345" s="110" t="s">
        <v>1340</v>
      </c>
      <c r="C6345" s="111" t="s">
        <v>16022</v>
      </c>
      <c r="D6345" s="111" t="str">
        <f t="shared" ref="D6345:E6345" si="6343">TRIM(B6345)</f>
        <v>Louisiana</v>
      </c>
      <c r="E6345" s="111" t="str">
        <f t="shared" si="6343"/>
        <v>Loreauville</v>
      </c>
    </row>
    <row r="6346" spans="1:5">
      <c r="A6346" s="3" t="s">
        <v>16023</v>
      </c>
      <c r="B6346" s="110" t="s">
        <v>1340</v>
      </c>
      <c r="C6346" s="111" t="s">
        <v>16024</v>
      </c>
      <c r="D6346" s="111" t="str">
        <f t="shared" ref="D6346:E6346" si="6344">TRIM(B6346)</f>
        <v>Louisiana</v>
      </c>
      <c r="E6346" s="111" t="str">
        <f t="shared" si="6344"/>
        <v>Lutcher</v>
      </c>
    </row>
    <row r="6347" spans="1:5">
      <c r="A6347" s="3" t="s">
        <v>16025</v>
      </c>
      <c r="B6347" s="110" t="s">
        <v>1340</v>
      </c>
      <c r="C6347" s="111" t="s">
        <v>455</v>
      </c>
      <c r="D6347" s="111" t="str">
        <f t="shared" ref="D6347:E6347" si="6345">TRIM(B6347)</f>
        <v>Louisiana</v>
      </c>
      <c r="E6347" s="111" t="str">
        <f t="shared" si="6345"/>
        <v>Mandeville</v>
      </c>
    </row>
    <row r="6348" spans="1:5">
      <c r="A6348" s="3" t="s">
        <v>16026</v>
      </c>
      <c r="B6348" s="110" t="s">
        <v>1340</v>
      </c>
      <c r="C6348" s="111" t="s">
        <v>455</v>
      </c>
      <c r="D6348" s="111" t="str">
        <f t="shared" ref="D6348:E6348" si="6346">TRIM(B6348)</f>
        <v>Louisiana</v>
      </c>
      <c r="E6348" s="111" t="str">
        <f t="shared" si="6346"/>
        <v>Mandeville</v>
      </c>
    </row>
    <row r="6349" spans="1:5">
      <c r="A6349" s="3" t="s">
        <v>16027</v>
      </c>
      <c r="B6349" s="110" t="s">
        <v>1340</v>
      </c>
      <c r="C6349" s="111" t="s">
        <v>455</v>
      </c>
      <c r="D6349" s="111" t="str">
        <f t="shared" ref="D6349:E6349" si="6347">TRIM(B6349)</f>
        <v>Louisiana</v>
      </c>
      <c r="E6349" s="111" t="str">
        <f t="shared" si="6347"/>
        <v>Mandeville</v>
      </c>
    </row>
    <row r="6350" spans="1:5">
      <c r="A6350" s="3" t="s">
        <v>16028</v>
      </c>
      <c r="B6350" s="110" t="s">
        <v>1340</v>
      </c>
      <c r="C6350" s="111" t="s">
        <v>16029</v>
      </c>
      <c r="D6350" s="111" t="str">
        <f t="shared" ref="D6350:E6350" si="6348">TRIM(B6350)</f>
        <v>Louisiana</v>
      </c>
      <c r="E6350" s="111" t="str">
        <f t="shared" si="6348"/>
        <v>Mangham</v>
      </c>
    </row>
    <row r="6351" spans="1:5">
      <c r="A6351" s="3" t="s">
        <v>3990</v>
      </c>
      <c r="B6351" s="110" t="s">
        <v>1340</v>
      </c>
      <c r="C6351" s="111" t="s">
        <v>2997</v>
      </c>
      <c r="D6351" s="111" t="str">
        <f t="shared" ref="D6351:E6351" si="6349">TRIM(B6351)</f>
        <v>Louisiana</v>
      </c>
      <c r="E6351" s="111" t="str">
        <f t="shared" si="6349"/>
        <v>Mansfield</v>
      </c>
    </row>
    <row r="6352" spans="1:5">
      <c r="A6352" s="3" t="s">
        <v>16030</v>
      </c>
      <c r="B6352" s="110" t="s">
        <v>1340</v>
      </c>
      <c r="C6352" s="111" t="s">
        <v>16031</v>
      </c>
      <c r="D6352" s="111" t="str">
        <f t="shared" ref="D6352:E6352" si="6350">TRIM(B6352)</f>
        <v>Louisiana</v>
      </c>
      <c r="E6352" s="111" t="str">
        <f t="shared" si="6350"/>
        <v>Many</v>
      </c>
    </row>
    <row r="6353" spans="1:5">
      <c r="A6353" s="3" t="s">
        <v>16032</v>
      </c>
      <c r="B6353" s="110" t="s">
        <v>1340</v>
      </c>
      <c r="C6353" s="111" t="s">
        <v>16033</v>
      </c>
      <c r="D6353" s="111" t="str">
        <f t="shared" ref="D6353:E6353" si="6351">TRIM(B6353)</f>
        <v>Louisiana</v>
      </c>
      <c r="E6353" s="111" t="str">
        <f t="shared" si="6351"/>
        <v>Marksville</v>
      </c>
    </row>
    <row r="6354" spans="1:5">
      <c r="A6354" s="3" t="s">
        <v>16034</v>
      </c>
      <c r="B6354" s="110" t="s">
        <v>1340</v>
      </c>
      <c r="C6354" s="111" t="s">
        <v>10859</v>
      </c>
      <c r="D6354" s="111" t="str">
        <f t="shared" ref="D6354:E6354" si="6352">TRIM(B6354)</f>
        <v>Louisiana</v>
      </c>
      <c r="E6354" s="111" t="str">
        <f t="shared" si="6352"/>
        <v>Marrero</v>
      </c>
    </row>
    <row r="6355" spans="1:5">
      <c r="A6355" s="3" t="s">
        <v>16035</v>
      </c>
      <c r="B6355" s="110" t="s">
        <v>1340</v>
      </c>
      <c r="C6355" s="111" t="s">
        <v>10859</v>
      </c>
      <c r="D6355" s="111" t="str">
        <f t="shared" ref="D6355:E6355" si="6353">TRIM(B6355)</f>
        <v>Louisiana</v>
      </c>
      <c r="E6355" s="111" t="str">
        <f t="shared" si="6353"/>
        <v>Marrero</v>
      </c>
    </row>
    <row r="6356" spans="1:5">
      <c r="A6356" s="3" t="s">
        <v>16036</v>
      </c>
      <c r="B6356" s="110" t="s">
        <v>1340</v>
      </c>
      <c r="C6356" s="111" t="s">
        <v>16037</v>
      </c>
      <c r="D6356" s="111" t="str">
        <f t="shared" ref="D6356:E6356" si="6354">TRIM(B6356)</f>
        <v>Louisiana</v>
      </c>
      <c r="E6356" s="111" t="str">
        <f t="shared" si="6354"/>
        <v>Maurice</v>
      </c>
    </row>
    <row r="6357" spans="1:5">
      <c r="A6357" s="3" t="s">
        <v>16038</v>
      </c>
      <c r="B6357" s="110" t="s">
        <v>1340</v>
      </c>
      <c r="C6357" s="111" t="s">
        <v>10865</v>
      </c>
      <c r="D6357" s="111" t="str">
        <f t="shared" ref="D6357:E6357" si="6355">TRIM(B6357)</f>
        <v>Louisiana</v>
      </c>
      <c r="E6357" s="111" t="str">
        <f t="shared" si="6355"/>
        <v>Metairie</v>
      </c>
    </row>
    <row r="6358" spans="1:5">
      <c r="A6358" s="3" t="s">
        <v>16039</v>
      </c>
      <c r="B6358" s="110" t="s">
        <v>1340</v>
      </c>
      <c r="C6358" s="111" t="s">
        <v>10865</v>
      </c>
      <c r="D6358" s="111" t="str">
        <f t="shared" ref="D6358:E6358" si="6356">TRIM(B6358)</f>
        <v>Louisiana</v>
      </c>
      <c r="E6358" s="111" t="str">
        <f t="shared" si="6356"/>
        <v>Metairie</v>
      </c>
    </row>
    <row r="6359" spans="1:5">
      <c r="A6359" s="3" t="s">
        <v>16040</v>
      </c>
      <c r="B6359" s="110" t="s">
        <v>1340</v>
      </c>
      <c r="C6359" s="111" t="s">
        <v>10865</v>
      </c>
      <c r="D6359" s="111" t="str">
        <f t="shared" ref="D6359:E6359" si="6357">TRIM(B6359)</f>
        <v>Louisiana</v>
      </c>
      <c r="E6359" s="111" t="str">
        <f t="shared" si="6357"/>
        <v>Metairie</v>
      </c>
    </row>
    <row r="6360" spans="1:5">
      <c r="A6360" s="3" t="s">
        <v>4139</v>
      </c>
      <c r="B6360" s="110" t="s">
        <v>1340</v>
      </c>
      <c r="C6360" s="111" t="s">
        <v>16041</v>
      </c>
      <c r="D6360" s="111" t="str">
        <f t="shared" ref="D6360:E6360" si="6358">TRIM(B6360)</f>
        <v>Louisiana</v>
      </c>
      <c r="E6360" s="111" t="str">
        <f t="shared" si="6358"/>
        <v>Midland</v>
      </c>
    </row>
    <row r="6361" spans="1:5">
      <c r="A6361" s="3" t="s">
        <v>16042</v>
      </c>
      <c r="B6361" s="110" t="s">
        <v>1340</v>
      </c>
      <c r="C6361" s="111" t="s">
        <v>10898</v>
      </c>
      <c r="D6361" s="111" t="str">
        <f t="shared" ref="D6361:E6361" si="6359">TRIM(B6361)</f>
        <v>Louisiana</v>
      </c>
      <c r="E6361" s="111" t="str">
        <f t="shared" si="6359"/>
        <v>Minden</v>
      </c>
    </row>
    <row r="6362" spans="1:5">
      <c r="A6362" s="3" t="s">
        <v>2074</v>
      </c>
      <c r="B6362" s="110" t="s">
        <v>1340</v>
      </c>
      <c r="C6362" s="111" t="s">
        <v>380</v>
      </c>
      <c r="D6362" s="111" t="str">
        <f t="shared" ref="D6362:E6362" si="6360">TRIM(B6362)</f>
        <v>Louisiana</v>
      </c>
      <c r="E6362" s="111" t="str">
        <f t="shared" si="6360"/>
        <v>Monroe</v>
      </c>
    </row>
    <row r="6363" spans="1:5">
      <c r="A6363" s="3" t="s">
        <v>16043</v>
      </c>
      <c r="B6363" s="110" t="s">
        <v>1340</v>
      </c>
      <c r="C6363" s="111" t="s">
        <v>380</v>
      </c>
      <c r="D6363" s="111" t="str">
        <f t="shared" ref="D6363:E6363" si="6361">TRIM(B6363)</f>
        <v>Louisiana</v>
      </c>
      <c r="E6363" s="111" t="str">
        <f t="shared" si="6361"/>
        <v>Monroe</v>
      </c>
    </row>
    <row r="6364" spans="1:5">
      <c r="A6364" s="3" t="s">
        <v>16044</v>
      </c>
      <c r="B6364" s="110" t="s">
        <v>1340</v>
      </c>
      <c r="C6364" s="111" t="s">
        <v>380</v>
      </c>
      <c r="D6364" s="111" t="str">
        <f t="shared" ref="D6364:E6364" si="6362">TRIM(B6364)</f>
        <v>Louisiana</v>
      </c>
      <c r="E6364" s="111" t="str">
        <f t="shared" si="6362"/>
        <v>Monroe</v>
      </c>
    </row>
    <row r="6365" spans="1:5">
      <c r="A6365" s="3" t="s">
        <v>16045</v>
      </c>
      <c r="B6365" s="110" t="s">
        <v>1340</v>
      </c>
      <c r="C6365" s="111" t="s">
        <v>380</v>
      </c>
      <c r="D6365" s="111" t="str">
        <f t="shared" ref="D6365:E6365" si="6363">TRIM(B6365)</f>
        <v>Louisiana</v>
      </c>
      <c r="E6365" s="111" t="str">
        <f t="shared" si="6363"/>
        <v>Monroe</v>
      </c>
    </row>
    <row r="6366" spans="1:5">
      <c r="A6366" s="3" t="s">
        <v>16046</v>
      </c>
      <c r="B6366" s="110" t="s">
        <v>1340</v>
      </c>
      <c r="C6366" s="111" t="s">
        <v>380</v>
      </c>
      <c r="D6366" s="111" t="str">
        <f t="shared" ref="D6366:E6366" si="6364">TRIM(B6366)</f>
        <v>Louisiana</v>
      </c>
      <c r="E6366" s="111" t="str">
        <f t="shared" si="6364"/>
        <v>Monroe</v>
      </c>
    </row>
    <row r="6367" spans="1:5">
      <c r="A6367" s="3" t="s">
        <v>16047</v>
      </c>
      <c r="B6367" s="110" t="s">
        <v>1340</v>
      </c>
      <c r="C6367" s="111" t="s">
        <v>380</v>
      </c>
      <c r="D6367" s="111" t="str">
        <f t="shared" ref="D6367:E6367" si="6365">TRIM(B6367)</f>
        <v>Louisiana</v>
      </c>
      <c r="E6367" s="111" t="str">
        <f t="shared" si="6365"/>
        <v>Monroe</v>
      </c>
    </row>
    <row r="6368" spans="1:5">
      <c r="A6368" s="3" t="s">
        <v>16048</v>
      </c>
      <c r="B6368" s="110" t="s">
        <v>1340</v>
      </c>
      <c r="C6368" s="111" t="s">
        <v>380</v>
      </c>
      <c r="D6368" s="111" t="str">
        <f t="shared" ref="D6368:E6368" si="6366">TRIM(B6368)</f>
        <v>Louisiana</v>
      </c>
      <c r="E6368" s="111" t="str">
        <f t="shared" si="6366"/>
        <v>Monroe</v>
      </c>
    </row>
    <row r="6369" spans="1:5">
      <c r="A6369" s="3" t="s">
        <v>7088</v>
      </c>
      <c r="B6369" s="110" t="s">
        <v>1340</v>
      </c>
      <c r="C6369" s="111" t="s">
        <v>439</v>
      </c>
      <c r="D6369" s="111" t="str">
        <f t="shared" ref="D6369:E6369" si="6367">TRIM(B6369)</f>
        <v>Louisiana</v>
      </c>
      <c r="E6369" s="111" t="str">
        <f t="shared" si="6367"/>
        <v>Montgomery</v>
      </c>
    </row>
    <row r="6370" spans="1:5">
      <c r="A6370" s="3" t="s">
        <v>16049</v>
      </c>
      <c r="B6370" s="110" t="s">
        <v>1340</v>
      </c>
      <c r="C6370" s="111" t="s">
        <v>16050</v>
      </c>
      <c r="D6370" s="111" t="str">
        <f t="shared" ref="D6370:E6370" si="6368">TRIM(B6370)</f>
        <v>Louisiana</v>
      </c>
      <c r="E6370" s="111" t="str">
        <f t="shared" si="6368"/>
        <v>Moreauville</v>
      </c>
    </row>
    <row r="6371" spans="1:5">
      <c r="A6371" s="3" t="s">
        <v>16051</v>
      </c>
      <c r="B6371" s="110" t="s">
        <v>1340</v>
      </c>
      <c r="C6371" s="111" t="s">
        <v>16052</v>
      </c>
      <c r="D6371" s="111" t="str">
        <f t="shared" ref="D6371:E6371" si="6369">TRIM(B6371)</f>
        <v>Louisiana</v>
      </c>
      <c r="E6371" s="111" t="str">
        <f t="shared" si="6369"/>
        <v>Morgan City</v>
      </c>
    </row>
    <row r="6372" spans="1:5">
      <c r="A6372" s="3" t="s">
        <v>10805</v>
      </c>
      <c r="B6372" s="110" t="s">
        <v>1340</v>
      </c>
      <c r="C6372" s="111" t="s">
        <v>16053</v>
      </c>
      <c r="D6372" s="111" t="str">
        <f t="shared" ref="D6372:E6372" si="6370">TRIM(B6372)</f>
        <v>Louisiana</v>
      </c>
      <c r="E6372" s="111" t="str">
        <f t="shared" si="6370"/>
        <v>Napoleonville</v>
      </c>
    </row>
    <row r="6373" spans="1:5">
      <c r="A6373" s="3" t="s">
        <v>16054</v>
      </c>
      <c r="B6373" s="110" t="s">
        <v>1340</v>
      </c>
      <c r="C6373" s="111" t="s">
        <v>16055</v>
      </c>
      <c r="D6373" s="111" t="str">
        <f t="shared" ref="D6373:E6373" si="6371">TRIM(B6373)</f>
        <v>Louisiana</v>
      </c>
      <c r="E6373" s="111" t="str">
        <f t="shared" si="6371"/>
        <v>Natchitoches</v>
      </c>
    </row>
    <row r="6374" spans="1:5">
      <c r="A6374" s="3" t="s">
        <v>16056</v>
      </c>
      <c r="B6374" s="110" t="s">
        <v>1340</v>
      </c>
      <c r="C6374" s="111" t="s">
        <v>7094</v>
      </c>
      <c r="D6374" s="111" t="str">
        <f t="shared" ref="D6374:E6374" si="6372">TRIM(B6374)</f>
        <v>Louisiana</v>
      </c>
      <c r="E6374" s="111" t="str">
        <f t="shared" si="6372"/>
        <v>New Iberia</v>
      </c>
    </row>
    <row r="6375" spans="1:5">
      <c r="A6375" s="3" t="s">
        <v>16057</v>
      </c>
      <c r="B6375" s="110" t="s">
        <v>1340</v>
      </c>
      <c r="C6375" s="111" t="s">
        <v>7094</v>
      </c>
      <c r="D6375" s="111" t="str">
        <f t="shared" ref="D6375:E6375" si="6373">TRIM(B6375)</f>
        <v>Louisiana</v>
      </c>
      <c r="E6375" s="111" t="str">
        <f t="shared" si="6373"/>
        <v>New Iberia</v>
      </c>
    </row>
    <row r="6376" spans="1:5">
      <c r="A6376" s="3" t="s">
        <v>16058</v>
      </c>
      <c r="B6376" s="110" t="s">
        <v>1340</v>
      </c>
      <c r="C6376" s="111" t="s">
        <v>1279</v>
      </c>
      <c r="D6376" s="111" t="str">
        <f t="shared" ref="D6376:E6376" si="6374">TRIM(B6376)</f>
        <v>Louisiana</v>
      </c>
      <c r="E6376" s="111" t="str">
        <f t="shared" si="6374"/>
        <v>New Orleans</v>
      </c>
    </row>
    <row r="6377" spans="1:5">
      <c r="A6377" s="3" t="s">
        <v>16059</v>
      </c>
      <c r="B6377" s="110" t="s">
        <v>1340</v>
      </c>
      <c r="C6377" s="111" t="s">
        <v>1279</v>
      </c>
      <c r="D6377" s="111" t="str">
        <f t="shared" ref="D6377:E6377" si="6375">TRIM(B6377)</f>
        <v>Louisiana</v>
      </c>
      <c r="E6377" s="111" t="str">
        <f t="shared" si="6375"/>
        <v>New Orleans</v>
      </c>
    </row>
    <row r="6378" spans="1:5">
      <c r="A6378" s="3" t="s">
        <v>3170</v>
      </c>
      <c r="B6378" s="110" t="s">
        <v>1340</v>
      </c>
      <c r="C6378" s="111" t="s">
        <v>1279</v>
      </c>
      <c r="D6378" s="111" t="str">
        <f t="shared" ref="D6378:E6378" si="6376">TRIM(B6378)</f>
        <v>Louisiana</v>
      </c>
      <c r="E6378" s="111" t="str">
        <f t="shared" si="6376"/>
        <v>New Orleans</v>
      </c>
    </row>
    <row r="6379" spans="1:5">
      <c r="A6379" s="3" t="s">
        <v>16060</v>
      </c>
      <c r="B6379" s="110" t="s">
        <v>1340</v>
      </c>
      <c r="C6379" s="111" t="s">
        <v>1279</v>
      </c>
      <c r="D6379" s="111" t="str">
        <f t="shared" ref="D6379:E6379" si="6377">TRIM(B6379)</f>
        <v>Louisiana</v>
      </c>
      <c r="E6379" s="111" t="str">
        <f t="shared" si="6377"/>
        <v>New Orleans</v>
      </c>
    </row>
    <row r="6380" spans="1:5">
      <c r="A6380" s="3" t="s">
        <v>16061</v>
      </c>
      <c r="B6380" s="110" t="s">
        <v>1340</v>
      </c>
      <c r="C6380" s="111" t="s">
        <v>1279</v>
      </c>
      <c r="D6380" s="111" t="str">
        <f t="shared" ref="D6380:E6380" si="6378">TRIM(B6380)</f>
        <v>Louisiana</v>
      </c>
      <c r="E6380" s="111" t="str">
        <f t="shared" si="6378"/>
        <v>New Orleans</v>
      </c>
    </row>
    <row r="6381" spans="1:5">
      <c r="A6381" s="110" t="s">
        <v>16062</v>
      </c>
      <c r="B6381" s="110" t="s">
        <v>1340</v>
      </c>
      <c r="C6381" s="111" t="s">
        <v>1279</v>
      </c>
      <c r="D6381" s="111" t="str">
        <f t="shared" ref="D6381:E6381" si="6379">TRIM(B6381)</f>
        <v>Louisiana</v>
      </c>
      <c r="E6381" s="111" t="str">
        <f t="shared" si="6379"/>
        <v>New Orleans</v>
      </c>
    </row>
    <row r="6382" spans="1:5">
      <c r="A6382" s="3" t="s">
        <v>16063</v>
      </c>
      <c r="B6382" s="110" t="s">
        <v>1340</v>
      </c>
      <c r="C6382" s="111" t="s">
        <v>1279</v>
      </c>
      <c r="D6382" s="111" t="str">
        <f t="shared" ref="D6382:E6382" si="6380">TRIM(B6382)</f>
        <v>Louisiana</v>
      </c>
      <c r="E6382" s="111" t="str">
        <f t="shared" si="6380"/>
        <v>New Orleans</v>
      </c>
    </row>
    <row r="6383" spans="1:5">
      <c r="A6383" s="3" t="s">
        <v>16064</v>
      </c>
      <c r="B6383" s="110" t="s">
        <v>1340</v>
      </c>
      <c r="C6383" s="111" t="s">
        <v>1279</v>
      </c>
      <c r="D6383" s="111" t="str">
        <f t="shared" ref="D6383:E6383" si="6381">TRIM(B6383)</f>
        <v>Louisiana</v>
      </c>
      <c r="E6383" s="111" t="str">
        <f t="shared" si="6381"/>
        <v>New Orleans</v>
      </c>
    </row>
    <row r="6384" spans="1:5">
      <c r="A6384" s="3" t="s">
        <v>5072</v>
      </c>
      <c r="B6384" s="110" t="s">
        <v>1340</v>
      </c>
      <c r="C6384" s="111" t="s">
        <v>1279</v>
      </c>
      <c r="D6384" s="111" t="str">
        <f t="shared" ref="D6384:E6384" si="6382">TRIM(B6384)</f>
        <v>Louisiana</v>
      </c>
      <c r="E6384" s="111" t="str">
        <f t="shared" si="6382"/>
        <v>New Orleans</v>
      </c>
    </row>
    <row r="6385" spans="1:5">
      <c r="A6385" s="3" t="s">
        <v>16065</v>
      </c>
      <c r="B6385" s="110" t="s">
        <v>1340</v>
      </c>
      <c r="C6385" s="111" t="s">
        <v>1279</v>
      </c>
      <c r="D6385" s="111" t="str">
        <f t="shared" ref="D6385:E6385" si="6383">TRIM(B6385)</f>
        <v>Louisiana</v>
      </c>
      <c r="E6385" s="111" t="str">
        <f t="shared" si="6383"/>
        <v>New Orleans</v>
      </c>
    </row>
    <row r="6386" spans="1:5">
      <c r="A6386" s="110" t="s">
        <v>16066</v>
      </c>
      <c r="B6386" s="110" t="s">
        <v>1340</v>
      </c>
      <c r="C6386" s="111" t="s">
        <v>1279</v>
      </c>
      <c r="D6386" s="111" t="str">
        <f t="shared" ref="D6386:E6386" si="6384">TRIM(B6386)</f>
        <v>Louisiana</v>
      </c>
      <c r="E6386" s="111" t="str">
        <f t="shared" si="6384"/>
        <v>New Orleans</v>
      </c>
    </row>
    <row r="6387" spans="1:5">
      <c r="A6387" s="3" t="s">
        <v>16067</v>
      </c>
      <c r="B6387" s="110" t="s">
        <v>1340</v>
      </c>
      <c r="C6387" s="111" t="s">
        <v>1279</v>
      </c>
      <c r="D6387" s="111" t="str">
        <f t="shared" ref="D6387:E6387" si="6385">TRIM(B6387)</f>
        <v>Louisiana</v>
      </c>
      <c r="E6387" s="111" t="str">
        <f t="shared" si="6385"/>
        <v>New Orleans</v>
      </c>
    </row>
    <row r="6388" spans="1:5">
      <c r="A6388" s="110" t="s">
        <v>16068</v>
      </c>
      <c r="B6388" s="110" t="s">
        <v>1340</v>
      </c>
      <c r="C6388" s="111" t="s">
        <v>1279</v>
      </c>
      <c r="D6388" s="111" t="str">
        <f t="shared" ref="D6388:E6388" si="6386">TRIM(B6388)</f>
        <v>Louisiana</v>
      </c>
      <c r="E6388" s="111" t="str">
        <f t="shared" si="6386"/>
        <v>New Orleans</v>
      </c>
    </row>
    <row r="6389" spans="1:5">
      <c r="A6389" s="3" t="s">
        <v>16069</v>
      </c>
      <c r="B6389" s="110" t="s">
        <v>1340</v>
      </c>
      <c r="C6389" s="111" t="s">
        <v>1279</v>
      </c>
      <c r="D6389" s="111" t="str">
        <f t="shared" ref="D6389:E6389" si="6387">TRIM(B6389)</f>
        <v>Louisiana</v>
      </c>
      <c r="E6389" s="111" t="str">
        <f t="shared" si="6387"/>
        <v>New Orleans</v>
      </c>
    </row>
    <row r="6390" spans="1:5">
      <c r="A6390" s="3" t="s">
        <v>16070</v>
      </c>
      <c r="B6390" s="110" t="s">
        <v>1340</v>
      </c>
      <c r="C6390" s="111" t="s">
        <v>1279</v>
      </c>
      <c r="D6390" s="111" t="str">
        <f t="shared" ref="D6390:E6390" si="6388">TRIM(B6390)</f>
        <v>Louisiana</v>
      </c>
      <c r="E6390" s="111" t="str">
        <f t="shared" si="6388"/>
        <v>New Orleans</v>
      </c>
    </row>
    <row r="6391" spans="1:5">
      <c r="A6391" s="3" t="s">
        <v>16071</v>
      </c>
      <c r="B6391" s="110" t="s">
        <v>1340</v>
      </c>
      <c r="C6391" s="111" t="s">
        <v>1279</v>
      </c>
      <c r="D6391" s="111" t="str">
        <f t="shared" ref="D6391:E6391" si="6389">TRIM(B6391)</f>
        <v>Louisiana</v>
      </c>
      <c r="E6391" s="111" t="str">
        <f t="shared" si="6389"/>
        <v>New Orleans</v>
      </c>
    </row>
    <row r="6392" spans="1:5">
      <c r="A6392" s="3" t="s">
        <v>16072</v>
      </c>
      <c r="B6392" s="110" t="s">
        <v>1340</v>
      </c>
      <c r="C6392" s="111" t="s">
        <v>1279</v>
      </c>
      <c r="D6392" s="111" t="str">
        <f t="shared" ref="D6392:E6392" si="6390">TRIM(B6392)</f>
        <v>Louisiana</v>
      </c>
      <c r="E6392" s="111" t="str">
        <f t="shared" si="6390"/>
        <v>New Orleans</v>
      </c>
    </row>
    <row r="6393" spans="1:5">
      <c r="A6393" s="3" t="s">
        <v>16073</v>
      </c>
      <c r="B6393" s="110" t="s">
        <v>1340</v>
      </c>
      <c r="C6393" s="111" t="s">
        <v>1279</v>
      </c>
      <c r="D6393" s="111" t="str">
        <f t="shared" ref="D6393:E6393" si="6391">TRIM(B6393)</f>
        <v>Louisiana</v>
      </c>
      <c r="E6393" s="111" t="str">
        <f t="shared" si="6391"/>
        <v>New Orleans</v>
      </c>
    </row>
    <row r="6394" spans="1:5">
      <c r="A6394" s="3" t="s">
        <v>16074</v>
      </c>
      <c r="B6394" s="110" t="s">
        <v>1340</v>
      </c>
      <c r="C6394" s="111" t="s">
        <v>1279</v>
      </c>
      <c r="D6394" s="111" t="str">
        <f t="shared" ref="D6394:E6394" si="6392">TRIM(B6394)</f>
        <v>Louisiana</v>
      </c>
      <c r="E6394" s="111" t="str">
        <f t="shared" si="6392"/>
        <v>New Orleans</v>
      </c>
    </row>
    <row r="6395" spans="1:5">
      <c r="A6395" s="3" t="s">
        <v>16075</v>
      </c>
      <c r="B6395" s="110" t="s">
        <v>1340</v>
      </c>
      <c r="C6395" s="111" t="s">
        <v>1279</v>
      </c>
      <c r="D6395" s="111" t="str">
        <f t="shared" ref="D6395:E6395" si="6393">TRIM(B6395)</f>
        <v>Louisiana</v>
      </c>
      <c r="E6395" s="111" t="str">
        <f t="shared" si="6393"/>
        <v>New Orleans</v>
      </c>
    </row>
    <row r="6396" spans="1:5">
      <c r="A6396" s="110" t="s">
        <v>16076</v>
      </c>
      <c r="B6396" s="110" t="s">
        <v>1340</v>
      </c>
      <c r="C6396" s="111" t="s">
        <v>1279</v>
      </c>
      <c r="D6396" s="111" t="str">
        <f t="shared" ref="D6396:E6396" si="6394">TRIM(B6396)</f>
        <v>Louisiana</v>
      </c>
      <c r="E6396" s="111" t="str">
        <f t="shared" si="6394"/>
        <v>New Orleans</v>
      </c>
    </row>
    <row r="6397" spans="1:5">
      <c r="A6397" s="3" t="s">
        <v>16077</v>
      </c>
      <c r="B6397" s="110" t="s">
        <v>1340</v>
      </c>
      <c r="C6397" s="111" t="s">
        <v>1279</v>
      </c>
      <c r="D6397" s="111" t="str">
        <f t="shared" ref="D6397:E6397" si="6395">TRIM(B6397)</f>
        <v>Louisiana</v>
      </c>
      <c r="E6397" s="111" t="str">
        <f t="shared" si="6395"/>
        <v>New Orleans</v>
      </c>
    </row>
    <row r="6398" spans="1:5">
      <c r="A6398" s="3" t="s">
        <v>1547</v>
      </c>
      <c r="B6398" s="110" t="s">
        <v>1340</v>
      </c>
      <c r="C6398" s="111" t="s">
        <v>16078</v>
      </c>
      <c r="D6398" s="111" t="str">
        <f t="shared" ref="D6398:E6398" si="6396">TRIM(B6398)</f>
        <v>Louisiana</v>
      </c>
      <c r="E6398" s="111" t="str">
        <f t="shared" si="6396"/>
        <v>Oak Grove</v>
      </c>
    </row>
    <row r="6399" spans="1:5">
      <c r="A6399" s="3" t="s">
        <v>6120</v>
      </c>
      <c r="B6399" s="110" t="s">
        <v>1340</v>
      </c>
      <c r="C6399" s="111" t="s">
        <v>6119</v>
      </c>
      <c r="D6399" s="111" t="str">
        <f t="shared" ref="D6399:E6399" si="6397">TRIM(B6399)</f>
        <v>Louisiana</v>
      </c>
      <c r="E6399" s="111" t="str">
        <f t="shared" si="6397"/>
        <v>Oakdale</v>
      </c>
    </row>
    <row r="6400" spans="1:5">
      <c r="A6400" s="3" t="s">
        <v>16079</v>
      </c>
      <c r="B6400" s="110" t="s">
        <v>1340</v>
      </c>
      <c r="C6400" s="111" t="s">
        <v>15431</v>
      </c>
      <c r="D6400" s="111" t="str">
        <f t="shared" ref="D6400:E6400" si="6398">TRIM(B6400)</f>
        <v>Louisiana</v>
      </c>
      <c r="E6400" s="111" t="str">
        <f t="shared" si="6398"/>
        <v>Oberlin</v>
      </c>
    </row>
    <row r="6401" spans="1:5">
      <c r="A6401" s="3" t="s">
        <v>16080</v>
      </c>
      <c r="B6401" s="110" t="s">
        <v>1340</v>
      </c>
      <c r="C6401" s="111" t="s">
        <v>16081</v>
      </c>
      <c r="D6401" s="111" t="str">
        <f t="shared" ref="D6401:E6401" si="6399">TRIM(B6401)</f>
        <v>Louisiana</v>
      </c>
      <c r="E6401" s="111" t="str">
        <f t="shared" si="6399"/>
        <v>Olla</v>
      </c>
    </row>
    <row r="6402" spans="1:5">
      <c r="A6402" s="3" t="s">
        <v>16082</v>
      </c>
      <c r="B6402" s="110" t="s">
        <v>1340</v>
      </c>
      <c r="C6402" s="111" t="s">
        <v>16083</v>
      </c>
      <c r="D6402" s="111" t="str">
        <f t="shared" ref="D6402:E6402" si="6400">TRIM(B6402)</f>
        <v>Louisiana</v>
      </c>
      <c r="E6402" s="111" t="str">
        <f t="shared" si="6400"/>
        <v>Opelousas</v>
      </c>
    </row>
    <row r="6403" spans="1:5">
      <c r="A6403" s="3" t="s">
        <v>16084</v>
      </c>
      <c r="B6403" s="110" t="s">
        <v>1340</v>
      </c>
      <c r="C6403" s="111" t="s">
        <v>16083</v>
      </c>
      <c r="D6403" s="111" t="str">
        <f t="shared" ref="D6403:E6403" si="6401">TRIM(B6403)</f>
        <v>Louisiana</v>
      </c>
      <c r="E6403" s="111" t="str">
        <f t="shared" si="6401"/>
        <v>Opelousas</v>
      </c>
    </row>
    <row r="6404" spans="1:5">
      <c r="A6404" s="3" t="s">
        <v>15590</v>
      </c>
      <c r="B6404" s="110" t="s">
        <v>1340</v>
      </c>
      <c r="C6404" s="111" t="s">
        <v>16083</v>
      </c>
      <c r="D6404" s="111" t="str">
        <f t="shared" ref="D6404:E6404" si="6402">TRIM(B6404)</f>
        <v>Louisiana</v>
      </c>
      <c r="E6404" s="111" t="str">
        <f t="shared" si="6402"/>
        <v>Opelousas</v>
      </c>
    </row>
    <row r="6405" spans="1:5">
      <c r="A6405" s="3" t="s">
        <v>16085</v>
      </c>
      <c r="B6405" s="110" t="s">
        <v>1340</v>
      </c>
      <c r="C6405" s="111" t="s">
        <v>16083</v>
      </c>
      <c r="D6405" s="111" t="str">
        <f t="shared" ref="D6405:E6405" si="6403">TRIM(B6405)</f>
        <v>Louisiana</v>
      </c>
      <c r="E6405" s="111" t="str">
        <f t="shared" si="6403"/>
        <v>Opelousas</v>
      </c>
    </row>
    <row r="6406" spans="1:5">
      <c r="A6406" s="3" t="s">
        <v>6347</v>
      </c>
      <c r="B6406" s="110" t="s">
        <v>1340</v>
      </c>
      <c r="C6406" s="111" t="s">
        <v>6348</v>
      </c>
      <c r="D6406" s="111" t="str">
        <f t="shared" ref="D6406:E6406" si="6404">TRIM(B6406)</f>
        <v>Louisiana</v>
      </c>
      <c r="E6406" s="111" t="str">
        <f t="shared" si="6404"/>
        <v>Patterson</v>
      </c>
    </row>
    <row r="6407" spans="1:5">
      <c r="A6407" s="3" t="s">
        <v>16086</v>
      </c>
      <c r="B6407" s="110" t="s">
        <v>1340</v>
      </c>
      <c r="C6407" s="111" t="s">
        <v>16087</v>
      </c>
      <c r="D6407" s="111" t="str">
        <f t="shared" ref="D6407:E6407" si="6405">TRIM(B6407)</f>
        <v>Louisiana</v>
      </c>
      <c r="E6407" s="111" t="str">
        <f t="shared" si="6405"/>
        <v>Pearl River</v>
      </c>
    </row>
    <row r="6408" spans="1:5">
      <c r="A6408" s="3" t="s">
        <v>16088</v>
      </c>
      <c r="B6408" s="110" t="s">
        <v>1340</v>
      </c>
      <c r="C6408" s="111" t="s">
        <v>15812</v>
      </c>
      <c r="D6408" s="111" t="str">
        <f t="shared" ref="D6408:E6408" si="6406">TRIM(B6408)</f>
        <v>Louisiana</v>
      </c>
      <c r="E6408" s="111" t="str">
        <f t="shared" si="6406"/>
        <v>Pineville</v>
      </c>
    </row>
    <row r="6409" spans="1:5">
      <c r="A6409" s="3" t="s">
        <v>16089</v>
      </c>
      <c r="B6409" s="110" t="s">
        <v>1340</v>
      </c>
      <c r="C6409" s="111" t="s">
        <v>10950</v>
      </c>
      <c r="D6409" s="111" t="str">
        <f t="shared" ref="D6409:E6409" si="6407">TRIM(B6409)</f>
        <v>Louisiana</v>
      </c>
      <c r="E6409" s="111" t="str">
        <f t="shared" si="6407"/>
        <v>Plaquemine</v>
      </c>
    </row>
    <row r="6410" spans="1:5">
      <c r="A6410" s="3" t="s">
        <v>16090</v>
      </c>
      <c r="B6410" s="110" t="s">
        <v>1340</v>
      </c>
      <c r="C6410" s="111" t="s">
        <v>16091</v>
      </c>
      <c r="D6410" s="111" t="str">
        <f t="shared" ref="D6410:E6410" si="6408">TRIM(B6410)</f>
        <v>Louisiana</v>
      </c>
      <c r="E6410" s="111" t="str">
        <f t="shared" si="6408"/>
        <v>Ponchatoula</v>
      </c>
    </row>
    <row r="6411" spans="1:5">
      <c r="A6411" s="3" t="s">
        <v>16092</v>
      </c>
      <c r="B6411" s="110" t="s">
        <v>1340</v>
      </c>
      <c r="C6411" s="111" t="s">
        <v>1534</v>
      </c>
      <c r="D6411" s="111" t="str">
        <f t="shared" ref="D6411:E6411" si="6409">TRIM(B6411)</f>
        <v>Louisiana</v>
      </c>
      <c r="E6411" s="111" t="str">
        <f t="shared" si="6409"/>
        <v>Port Allen</v>
      </c>
    </row>
    <row r="6412" spans="1:5">
      <c r="A6412" s="3" t="s">
        <v>16093</v>
      </c>
      <c r="B6412" s="110" t="s">
        <v>1340</v>
      </c>
      <c r="C6412" s="111" t="s">
        <v>16094</v>
      </c>
      <c r="D6412" s="111" t="str">
        <f t="shared" ref="D6412:E6412" si="6410">TRIM(B6412)</f>
        <v>Louisiana</v>
      </c>
      <c r="E6412" s="111" t="str">
        <f t="shared" si="6410"/>
        <v>Port Barre</v>
      </c>
    </row>
    <row r="6413" spans="1:5">
      <c r="A6413" s="3" t="s">
        <v>9797</v>
      </c>
      <c r="B6413" s="110" t="s">
        <v>1340</v>
      </c>
      <c r="C6413" s="111" t="s">
        <v>16095</v>
      </c>
      <c r="D6413" s="111" t="str">
        <f t="shared" ref="D6413:E6413" si="6411">TRIM(B6413)</f>
        <v>Louisiana</v>
      </c>
      <c r="E6413" s="111" t="str">
        <f t="shared" si="6411"/>
        <v>Pride</v>
      </c>
    </row>
    <row r="6414" spans="1:5">
      <c r="A6414" s="3" t="s">
        <v>16096</v>
      </c>
      <c r="B6414" s="110" t="s">
        <v>1340</v>
      </c>
      <c r="C6414" s="111" t="s">
        <v>15818</v>
      </c>
      <c r="D6414" s="111" t="str">
        <f t="shared" ref="D6414:E6414" si="6412">TRIM(B6414)</f>
        <v>Louisiana</v>
      </c>
      <c r="E6414" s="111" t="str">
        <f t="shared" si="6412"/>
        <v>Raceland</v>
      </c>
    </row>
    <row r="6415" spans="1:5">
      <c r="A6415" s="3" t="s">
        <v>16097</v>
      </c>
      <c r="B6415" s="110" t="s">
        <v>1340</v>
      </c>
      <c r="C6415" s="111" t="s">
        <v>16098</v>
      </c>
      <c r="D6415" s="111" t="str">
        <f t="shared" ref="D6415:E6415" si="6413">TRIM(B6415)</f>
        <v>Louisiana</v>
      </c>
      <c r="E6415" s="111" t="str">
        <f t="shared" si="6413"/>
        <v>Rayne</v>
      </c>
    </row>
    <row r="6416" spans="1:5">
      <c r="A6416" s="3" t="s">
        <v>16099</v>
      </c>
      <c r="B6416" s="110" t="s">
        <v>1340</v>
      </c>
      <c r="C6416" s="111" t="s">
        <v>10945</v>
      </c>
      <c r="D6416" s="111" t="str">
        <f t="shared" ref="D6416:E6416" si="6414">TRIM(B6416)</f>
        <v>Louisiana</v>
      </c>
      <c r="E6416" s="111" t="str">
        <f t="shared" si="6414"/>
        <v>Reserve</v>
      </c>
    </row>
    <row r="6417" spans="1:5">
      <c r="A6417" s="3" t="s">
        <v>11192</v>
      </c>
      <c r="B6417" s="110" t="s">
        <v>1340</v>
      </c>
      <c r="C6417" s="111" t="s">
        <v>11189</v>
      </c>
      <c r="D6417" s="111" t="str">
        <f t="shared" ref="D6417:E6417" si="6415">TRIM(B6417)</f>
        <v>Louisiana</v>
      </c>
      <c r="E6417" s="111" t="str">
        <f t="shared" si="6415"/>
        <v>Ringgold</v>
      </c>
    </row>
    <row r="6418" spans="1:5">
      <c r="A6418" s="3" t="s">
        <v>16100</v>
      </c>
      <c r="B6418" s="110" t="s">
        <v>1340</v>
      </c>
      <c r="C6418" s="111" t="s">
        <v>16101</v>
      </c>
      <c r="D6418" s="111" t="str">
        <f t="shared" ref="D6418:E6418" si="6416">TRIM(B6418)</f>
        <v>Louisiana</v>
      </c>
      <c r="E6418" s="111" t="str">
        <f t="shared" si="6416"/>
        <v>Rosepine</v>
      </c>
    </row>
    <row r="6419" spans="1:5">
      <c r="A6419" s="3" t="s">
        <v>16102</v>
      </c>
      <c r="B6419" s="110" t="s">
        <v>1340</v>
      </c>
      <c r="C6419" s="112" t="s">
        <v>10880</v>
      </c>
      <c r="D6419" s="111" t="str">
        <f t="shared" ref="D6419:E6419" si="6417">TRIM(B6419)</f>
        <v>Louisiana</v>
      </c>
      <c r="E6419" s="111" t="str">
        <f t="shared" si="6417"/>
        <v>Ruston</v>
      </c>
    </row>
    <row r="6420" spans="1:5">
      <c r="A6420" s="3" t="s">
        <v>16103</v>
      </c>
      <c r="B6420" s="110" t="s">
        <v>1340</v>
      </c>
      <c r="C6420" s="111" t="s">
        <v>10915</v>
      </c>
      <c r="D6420" s="111" t="str">
        <f t="shared" ref="D6420:E6420" si="6418">TRIM(B6420)</f>
        <v>Louisiana</v>
      </c>
      <c r="E6420" s="111" t="str">
        <f t="shared" si="6418"/>
        <v>Shreveport</v>
      </c>
    </row>
    <row r="6421" spans="1:5">
      <c r="A6421" s="3" t="s">
        <v>16104</v>
      </c>
      <c r="B6421" s="110" t="s">
        <v>1340</v>
      </c>
      <c r="C6421" s="111" t="s">
        <v>10915</v>
      </c>
      <c r="D6421" s="111" t="str">
        <f t="shared" ref="D6421:E6421" si="6419">TRIM(B6421)</f>
        <v>Louisiana</v>
      </c>
      <c r="E6421" s="111" t="str">
        <f t="shared" si="6419"/>
        <v>Shreveport</v>
      </c>
    </row>
    <row r="6422" spans="1:5">
      <c r="A6422" s="3" t="s">
        <v>16105</v>
      </c>
      <c r="B6422" s="110" t="s">
        <v>1340</v>
      </c>
      <c r="C6422" s="111" t="s">
        <v>10915</v>
      </c>
      <c r="D6422" s="111" t="str">
        <f t="shared" ref="D6422:E6422" si="6420">TRIM(B6422)</f>
        <v>Louisiana</v>
      </c>
      <c r="E6422" s="111" t="str">
        <f t="shared" si="6420"/>
        <v>Shreveport</v>
      </c>
    </row>
    <row r="6423" spans="1:5">
      <c r="A6423" s="3" t="s">
        <v>16106</v>
      </c>
      <c r="B6423" s="110" t="s">
        <v>1340</v>
      </c>
      <c r="C6423" s="111" t="s">
        <v>10915</v>
      </c>
      <c r="D6423" s="111" t="str">
        <f t="shared" ref="D6423:E6423" si="6421">TRIM(B6423)</f>
        <v>Louisiana</v>
      </c>
      <c r="E6423" s="111" t="str">
        <f t="shared" si="6421"/>
        <v>Shreveport</v>
      </c>
    </row>
    <row r="6424" spans="1:5">
      <c r="A6424" s="3" t="s">
        <v>16107</v>
      </c>
      <c r="B6424" s="110" t="s">
        <v>1340</v>
      </c>
      <c r="C6424" s="112" t="s">
        <v>10915</v>
      </c>
      <c r="D6424" s="111" t="str">
        <f t="shared" ref="D6424:E6424" si="6422">TRIM(B6424)</f>
        <v>Louisiana</v>
      </c>
      <c r="E6424" s="111" t="str">
        <f t="shared" si="6422"/>
        <v>Shreveport</v>
      </c>
    </row>
    <row r="6425" spans="1:5">
      <c r="A6425" s="3" t="s">
        <v>16108</v>
      </c>
      <c r="B6425" s="110" t="s">
        <v>1340</v>
      </c>
      <c r="C6425" s="112" t="s">
        <v>10915</v>
      </c>
      <c r="D6425" s="111" t="str">
        <f t="shared" ref="D6425:E6425" si="6423">TRIM(B6425)</f>
        <v>Louisiana</v>
      </c>
      <c r="E6425" s="111" t="str">
        <f t="shared" si="6423"/>
        <v>Shreveport</v>
      </c>
    </row>
    <row r="6426" spans="1:5">
      <c r="A6426" s="3" t="s">
        <v>16109</v>
      </c>
      <c r="B6426" s="110" t="s">
        <v>1340</v>
      </c>
      <c r="C6426" s="111" t="s">
        <v>10915</v>
      </c>
      <c r="D6426" s="111" t="str">
        <f t="shared" ref="D6426:E6426" si="6424">TRIM(B6426)</f>
        <v>Louisiana</v>
      </c>
      <c r="E6426" s="111" t="str">
        <f t="shared" si="6424"/>
        <v>Shreveport</v>
      </c>
    </row>
    <row r="6427" spans="1:5">
      <c r="A6427" s="3" t="s">
        <v>5341</v>
      </c>
      <c r="B6427" s="110" t="s">
        <v>1340</v>
      </c>
      <c r="C6427" s="111" t="s">
        <v>10915</v>
      </c>
      <c r="D6427" s="111" t="str">
        <f t="shared" ref="D6427:E6427" si="6425">TRIM(B6427)</f>
        <v>Louisiana</v>
      </c>
      <c r="E6427" s="111" t="str">
        <f t="shared" si="6425"/>
        <v>Shreveport</v>
      </c>
    </row>
    <row r="6428" spans="1:5">
      <c r="A6428" s="110" t="s">
        <v>16110</v>
      </c>
      <c r="B6428" s="110" t="s">
        <v>1340</v>
      </c>
      <c r="C6428" s="111" t="s">
        <v>10915</v>
      </c>
      <c r="D6428" s="111" t="str">
        <f t="shared" ref="D6428:E6428" si="6426">TRIM(B6428)</f>
        <v>Louisiana</v>
      </c>
      <c r="E6428" s="111" t="str">
        <f t="shared" si="6426"/>
        <v>Shreveport</v>
      </c>
    </row>
    <row r="6429" spans="1:5">
      <c r="A6429" s="110" t="s">
        <v>16111</v>
      </c>
      <c r="B6429" s="110" t="s">
        <v>1340</v>
      </c>
      <c r="C6429" s="111" t="s">
        <v>10915</v>
      </c>
      <c r="D6429" s="111" t="str">
        <f t="shared" ref="D6429:E6429" si="6427">TRIM(B6429)</f>
        <v>Louisiana</v>
      </c>
      <c r="E6429" s="111" t="str">
        <f t="shared" si="6427"/>
        <v>Shreveport</v>
      </c>
    </row>
    <row r="6430" spans="1:5">
      <c r="A6430" s="3" t="s">
        <v>16112</v>
      </c>
      <c r="B6430" s="110" t="s">
        <v>1340</v>
      </c>
      <c r="C6430" s="111" t="s">
        <v>10915</v>
      </c>
      <c r="D6430" s="111" t="str">
        <f t="shared" ref="D6430:E6430" si="6428">TRIM(B6430)</f>
        <v>Louisiana</v>
      </c>
      <c r="E6430" s="111" t="str">
        <f t="shared" si="6428"/>
        <v>Shreveport</v>
      </c>
    </row>
    <row r="6431" spans="1:5">
      <c r="A6431" s="3" t="s">
        <v>16113</v>
      </c>
      <c r="B6431" s="110" t="s">
        <v>1340</v>
      </c>
      <c r="C6431" s="111" t="s">
        <v>10915</v>
      </c>
      <c r="D6431" s="111" t="str">
        <f t="shared" ref="D6431:E6431" si="6429">TRIM(B6431)</f>
        <v>Louisiana</v>
      </c>
      <c r="E6431" s="111" t="str">
        <f t="shared" si="6429"/>
        <v>Shreveport</v>
      </c>
    </row>
    <row r="6432" spans="1:5">
      <c r="A6432" s="3" t="s">
        <v>16114</v>
      </c>
      <c r="B6432" s="110" t="s">
        <v>1340</v>
      </c>
      <c r="C6432" s="111" t="s">
        <v>15049</v>
      </c>
      <c r="D6432" s="111" t="str">
        <f t="shared" ref="D6432:E6432" si="6430">TRIM(B6432)</f>
        <v>Louisiana</v>
      </c>
      <c r="E6432" s="111" t="str">
        <f t="shared" si="6430"/>
        <v>Sibley</v>
      </c>
    </row>
    <row r="6433" spans="1:5">
      <c r="A6433" s="110" t="s">
        <v>16115</v>
      </c>
      <c r="B6433" s="110" t="s">
        <v>1340</v>
      </c>
      <c r="C6433" s="111" t="s">
        <v>16116</v>
      </c>
      <c r="D6433" s="111" t="str">
        <f t="shared" ref="D6433:E6433" si="6431">TRIM(B6433)</f>
        <v>Louisiana</v>
      </c>
      <c r="E6433" s="111" t="str">
        <f t="shared" si="6431"/>
        <v>Slaughter</v>
      </c>
    </row>
    <row r="6434" spans="1:5">
      <c r="A6434" s="3" t="s">
        <v>16117</v>
      </c>
      <c r="B6434" s="110" t="s">
        <v>1340</v>
      </c>
      <c r="C6434" s="111" t="s">
        <v>16118</v>
      </c>
      <c r="D6434" s="111" t="str">
        <f t="shared" ref="D6434:E6434" si="6432">TRIM(B6434)</f>
        <v>Louisiana</v>
      </c>
      <c r="E6434" s="111" t="str">
        <f t="shared" si="6432"/>
        <v>Slidell</v>
      </c>
    </row>
    <row r="6435" spans="1:5">
      <c r="A6435" s="3" t="s">
        <v>16119</v>
      </c>
      <c r="B6435" s="110" t="s">
        <v>1340</v>
      </c>
      <c r="C6435" s="111" t="s">
        <v>16118</v>
      </c>
      <c r="D6435" s="111" t="str">
        <f t="shared" ref="D6435:E6435" si="6433">TRIM(B6435)</f>
        <v>Louisiana</v>
      </c>
      <c r="E6435" s="111" t="str">
        <f t="shared" si="6433"/>
        <v>Slidell</v>
      </c>
    </row>
    <row r="6436" spans="1:5">
      <c r="A6436" s="3" t="s">
        <v>16120</v>
      </c>
      <c r="B6436" s="110" t="s">
        <v>1340</v>
      </c>
      <c r="C6436" s="111" t="s">
        <v>16118</v>
      </c>
      <c r="D6436" s="111" t="str">
        <f t="shared" ref="D6436:E6436" si="6434">TRIM(B6436)</f>
        <v>Louisiana</v>
      </c>
      <c r="E6436" s="111" t="str">
        <f t="shared" si="6434"/>
        <v>Slidell</v>
      </c>
    </row>
    <row r="6437" spans="1:5">
      <c r="A6437" s="3" t="s">
        <v>13829</v>
      </c>
      <c r="B6437" s="110" t="s">
        <v>1340</v>
      </c>
      <c r="C6437" s="111" t="s">
        <v>416</v>
      </c>
      <c r="D6437" s="111" t="str">
        <f t="shared" ref="D6437:E6437" si="6435">TRIM(B6437)</f>
        <v>Louisiana</v>
      </c>
      <c r="E6437" s="111" t="str">
        <f t="shared" si="6435"/>
        <v>Springfield</v>
      </c>
    </row>
    <row r="6438" spans="1:5">
      <c r="A6438" s="3" t="s">
        <v>16121</v>
      </c>
      <c r="B6438" s="110" t="s">
        <v>1340</v>
      </c>
      <c r="C6438" s="111" t="s">
        <v>16122</v>
      </c>
      <c r="D6438" s="111" t="str">
        <f t="shared" ref="D6438:E6438" si="6436">TRIM(B6438)</f>
        <v>Louisiana</v>
      </c>
      <c r="E6438" s="111" t="str">
        <f t="shared" si="6436"/>
        <v>Springhill</v>
      </c>
    </row>
    <row r="6439" spans="1:5">
      <c r="A6439" s="3" t="s">
        <v>16123</v>
      </c>
      <c r="B6439" s="110" t="s">
        <v>1340</v>
      </c>
      <c r="C6439" s="111" t="s">
        <v>16124</v>
      </c>
      <c r="D6439" s="111" t="str">
        <f t="shared" ref="D6439:E6439" si="6437">TRIM(B6439)</f>
        <v>Louisiana</v>
      </c>
      <c r="E6439" s="111" t="str">
        <f t="shared" si="6437"/>
        <v>St. Amant</v>
      </c>
    </row>
    <row r="6440" spans="1:5">
      <c r="A6440" s="3" t="s">
        <v>16125</v>
      </c>
      <c r="B6440" s="110" t="s">
        <v>1340</v>
      </c>
      <c r="C6440" s="111" t="s">
        <v>16126</v>
      </c>
      <c r="D6440" s="111" t="str">
        <f t="shared" ref="D6440:E6440" si="6438">TRIM(B6440)</f>
        <v>Louisiana</v>
      </c>
      <c r="E6440" s="111" t="str">
        <f t="shared" si="6438"/>
        <v>St. Francisville</v>
      </c>
    </row>
    <row r="6441" spans="1:5">
      <c r="A6441" s="3" t="s">
        <v>16127</v>
      </c>
      <c r="B6441" s="110" t="s">
        <v>1340</v>
      </c>
      <c r="C6441" s="111" t="s">
        <v>16128</v>
      </c>
      <c r="D6441" s="111" t="str">
        <f t="shared" ref="D6441:E6441" si="6439">TRIM(B6441)</f>
        <v>Louisiana</v>
      </c>
      <c r="E6441" s="111" t="str">
        <f t="shared" si="6439"/>
        <v>St. Joseph</v>
      </c>
    </row>
    <row r="6442" spans="1:5">
      <c r="A6442" s="3" t="s">
        <v>16129</v>
      </c>
      <c r="B6442" s="110" t="s">
        <v>1340</v>
      </c>
      <c r="C6442" s="111" t="s">
        <v>16130</v>
      </c>
      <c r="D6442" s="111" t="str">
        <f t="shared" ref="D6442:E6442" si="6440">TRIM(B6442)</f>
        <v>Louisiana</v>
      </c>
      <c r="E6442" s="111" t="str">
        <f t="shared" si="6440"/>
        <v>St. Martinville</v>
      </c>
    </row>
    <row r="6443" spans="1:5">
      <c r="A6443" s="3" t="s">
        <v>16131</v>
      </c>
      <c r="B6443" s="110" t="s">
        <v>1340</v>
      </c>
      <c r="C6443" s="111" t="s">
        <v>16132</v>
      </c>
      <c r="D6443" s="111" t="str">
        <f t="shared" ref="D6443:E6443" si="6441">TRIM(B6443)</f>
        <v>Louisiana</v>
      </c>
      <c r="E6443" s="111" t="str">
        <f t="shared" si="6441"/>
        <v>Stonewall</v>
      </c>
    </row>
    <row r="6444" spans="1:5">
      <c r="A6444" s="3" t="s">
        <v>16133</v>
      </c>
      <c r="B6444" s="110" t="s">
        <v>1340</v>
      </c>
      <c r="C6444" s="111" t="s">
        <v>16134</v>
      </c>
      <c r="D6444" s="111" t="str">
        <f t="shared" ref="D6444:E6444" si="6442">TRIM(B6444)</f>
        <v>Louisiana</v>
      </c>
      <c r="E6444" s="111" t="str">
        <f t="shared" si="6442"/>
        <v>Sulphur</v>
      </c>
    </row>
    <row r="6445" spans="1:5">
      <c r="A6445" s="110" t="s">
        <v>16135</v>
      </c>
      <c r="B6445" s="110" t="s">
        <v>1340</v>
      </c>
      <c r="C6445" s="111" t="s">
        <v>10968</v>
      </c>
      <c r="D6445" s="111" t="str">
        <f t="shared" ref="D6445:E6445" si="6443">TRIM(B6445)</f>
        <v>Louisiana</v>
      </c>
      <c r="E6445" s="111" t="str">
        <f t="shared" si="6443"/>
        <v>Tallulah</v>
      </c>
    </row>
    <row r="6446" spans="1:5">
      <c r="A6446" s="3" t="s">
        <v>6772</v>
      </c>
      <c r="B6446" s="110" t="s">
        <v>1340</v>
      </c>
      <c r="C6446" s="111" t="s">
        <v>10968</v>
      </c>
      <c r="D6446" s="111" t="str">
        <f t="shared" ref="D6446:E6446" si="6444">TRIM(B6446)</f>
        <v>Louisiana</v>
      </c>
      <c r="E6446" s="111" t="str">
        <f t="shared" si="6444"/>
        <v>Tallulah</v>
      </c>
    </row>
    <row r="6447" spans="1:5">
      <c r="A6447" s="3" t="s">
        <v>16136</v>
      </c>
      <c r="B6447" s="110" t="s">
        <v>1340</v>
      </c>
      <c r="C6447" s="111" t="s">
        <v>16137</v>
      </c>
      <c r="D6447" s="111" t="str">
        <f t="shared" ref="D6447:E6447" si="6445">TRIM(B6447)</f>
        <v>Louisiana</v>
      </c>
      <c r="E6447" s="111" t="str">
        <f t="shared" si="6445"/>
        <v>Thibodaux</v>
      </c>
    </row>
    <row r="6448" spans="1:5">
      <c r="A6448" s="3" t="s">
        <v>5196</v>
      </c>
      <c r="B6448" s="110" t="s">
        <v>1340</v>
      </c>
      <c r="C6448" s="111" t="s">
        <v>16138</v>
      </c>
      <c r="D6448" s="111" t="str">
        <f t="shared" ref="D6448:E6448" si="6446">TRIM(B6448)</f>
        <v>Louisiana</v>
      </c>
      <c r="E6448" s="111" t="str">
        <f t="shared" si="6446"/>
        <v>Tioga</v>
      </c>
    </row>
    <row r="6449" spans="1:5">
      <c r="A6449" s="3" t="s">
        <v>16139</v>
      </c>
      <c r="B6449" s="110" t="s">
        <v>1340</v>
      </c>
      <c r="C6449" s="111" t="s">
        <v>16140</v>
      </c>
      <c r="D6449" s="111" t="str">
        <f t="shared" ref="D6449:E6449" si="6447">TRIM(B6449)</f>
        <v>Louisiana</v>
      </c>
      <c r="E6449" s="111" t="str">
        <f t="shared" si="6447"/>
        <v>Vacherie</v>
      </c>
    </row>
    <row r="6450" spans="1:5">
      <c r="A6450" s="3" t="s">
        <v>16141</v>
      </c>
      <c r="B6450" s="110" t="s">
        <v>1340</v>
      </c>
      <c r="C6450" s="111" t="s">
        <v>16142</v>
      </c>
      <c r="D6450" s="111" t="str">
        <f t="shared" ref="D6450:E6450" si="6448">TRIM(B6450)</f>
        <v>Louisiana</v>
      </c>
      <c r="E6450" s="111" t="str">
        <f t="shared" si="6448"/>
        <v>Varnado</v>
      </c>
    </row>
    <row r="6451" spans="1:5">
      <c r="A6451" s="3" t="s">
        <v>16143</v>
      </c>
      <c r="B6451" s="110" t="s">
        <v>1340</v>
      </c>
      <c r="C6451" s="111" t="s">
        <v>10368</v>
      </c>
      <c r="D6451" s="111" t="str">
        <f t="shared" ref="D6451:E6451" si="6449">TRIM(B6451)</f>
        <v>Louisiana</v>
      </c>
      <c r="E6451" s="111" t="str">
        <f t="shared" si="6449"/>
        <v>Vidalia</v>
      </c>
    </row>
    <row r="6452" spans="1:5">
      <c r="A6452" s="3" t="s">
        <v>16144</v>
      </c>
      <c r="B6452" s="110" t="s">
        <v>1340</v>
      </c>
      <c r="C6452" s="111" t="s">
        <v>16145</v>
      </c>
      <c r="D6452" s="111" t="str">
        <f t="shared" ref="D6452:E6452" si="6450">TRIM(B6452)</f>
        <v>Louisiana</v>
      </c>
      <c r="E6452" s="111" t="str">
        <f t="shared" si="6450"/>
        <v>Ville Platte</v>
      </c>
    </row>
    <row r="6453" spans="1:5">
      <c r="A6453" s="3" t="s">
        <v>16146</v>
      </c>
      <c r="B6453" s="110" t="s">
        <v>1340</v>
      </c>
      <c r="C6453" s="111" t="s">
        <v>15106</v>
      </c>
      <c r="D6453" s="111" t="str">
        <f t="shared" ref="D6453:E6453" si="6451">TRIM(B6453)</f>
        <v>Louisiana</v>
      </c>
      <c r="E6453" s="111" t="str">
        <f t="shared" si="6451"/>
        <v>Vinton</v>
      </c>
    </row>
    <row r="6454" spans="1:5">
      <c r="A6454" s="3" t="s">
        <v>16147</v>
      </c>
      <c r="B6454" s="110" t="s">
        <v>1340</v>
      </c>
      <c r="C6454" s="111" t="s">
        <v>16148</v>
      </c>
      <c r="D6454" s="111" t="str">
        <f t="shared" ref="D6454:E6454" si="6452">TRIM(B6454)</f>
        <v>Louisiana</v>
      </c>
      <c r="E6454" s="111" t="str">
        <f t="shared" si="6452"/>
        <v>Vivian</v>
      </c>
    </row>
    <row r="6455" spans="1:5">
      <c r="A6455" s="3" t="s">
        <v>16149</v>
      </c>
      <c r="B6455" s="110" t="s">
        <v>1340</v>
      </c>
      <c r="C6455" s="111" t="s">
        <v>2712</v>
      </c>
      <c r="D6455" s="111" t="str">
        <f t="shared" ref="D6455:E6455" si="6453">TRIM(B6455)</f>
        <v>Louisiana</v>
      </c>
      <c r="E6455" s="111" t="str">
        <f t="shared" si="6453"/>
        <v>Walker</v>
      </c>
    </row>
    <row r="6456" spans="1:5">
      <c r="A6456" s="3" t="s">
        <v>5518</v>
      </c>
      <c r="B6456" s="110" t="s">
        <v>1340</v>
      </c>
      <c r="C6456" s="111" t="s">
        <v>16150</v>
      </c>
      <c r="D6456" s="111" t="str">
        <f t="shared" ref="D6456:E6456" si="6454">TRIM(B6456)</f>
        <v>Louisiana</v>
      </c>
      <c r="E6456" s="111" t="str">
        <f t="shared" si="6454"/>
        <v>Watson</v>
      </c>
    </row>
    <row r="6457" spans="1:5">
      <c r="A6457" s="3" t="s">
        <v>16151</v>
      </c>
      <c r="B6457" s="110" t="s">
        <v>1340</v>
      </c>
      <c r="C6457" s="111" t="s">
        <v>16152</v>
      </c>
      <c r="D6457" s="111" t="str">
        <f t="shared" ref="D6457:E6457" si="6455">TRIM(B6457)</f>
        <v>Louisiana</v>
      </c>
      <c r="E6457" s="111" t="str">
        <f t="shared" si="6455"/>
        <v>Welsh</v>
      </c>
    </row>
    <row r="6458" spans="1:5">
      <c r="A6458" s="3" t="s">
        <v>16153</v>
      </c>
      <c r="B6458" s="110" t="s">
        <v>1340</v>
      </c>
      <c r="C6458" s="111" t="s">
        <v>5710</v>
      </c>
      <c r="D6458" s="111" t="str">
        <f t="shared" ref="D6458:E6458" si="6456">TRIM(B6458)</f>
        <v>Louisiana</v>
      </c>
      <c r="E6458" s="111" t="str">
        <f t="shared" si="6456"/>
        <v>West Monroe</v>
      </c>
    </row>
    <row r="6459" spans="1:5">
      <c r="A6459" s="3" t="s">
        <v>16154</v>
      </c>
      <c r="B6459" s="110" t="s">
        <v>1340</v>
      </c>
      <c r="C6459" s="111" t="s">
        <v>5710</v>
      </c>
      <c r="D6459" s="111" t="str">
        <f t="shared" ref="D6459:E6459" si="6457">TRIM(B6459)</f>
        <v>Louisiana</v>
      </c>
      <c r="E6459" s="111" t="str">
        <f t="shared" si="6457"/>
        <v>West Monroe</v>
      </c>
    </row>
    <row r="6460" spans="1:5">
      <c r="A6460" s="3" t="s">
        <v>7477</v>
      </c>
      <c r="B6460" s="110" t="s">
        <v>1340</v>
      </c>
      <c r="C6460" s="111" t="s">
        <v>16155</v>
      </c>
      <c r="D6460" s="111" t="str">
        <f t="shared" ref="D6460:E6460" si="6458">TRIM(B6460)</f>
        <v>Louisiana</v>
      </c>
      <c r="E6460" s="111" t="str">
        <f t="shared" si="6458"/>
        <v>Westlake</v>
      </c>
    </row>
    <row r="6461" spans="1:5">
      <c r="A6461" s="3" t="s">
        <v>16156</v>
      </c>
      <c r="B6461" s="110" t="s">
        <v>1340</v>
      </c>
      <c r="C6461" s="111" t="s">
        <v>16157</v>
      </c>
      <c r="D6461" s="111" t="str">
        <f t="shared" ref="D6461:E6461" si="6459">TRIM(B6461)</f>
        <v>Louisiana</v>
      </c>
      <c r="E6461" s="111" t="str">
        <f t="shared" si="6459"/>
        <v>White Castle</v>
      </c>
    </row>
    <row r="6462" spans="1:5">
      <c r="A6462" s="3" t="s">
        <v>16158</v>
      </c>
      <c r="B6462" s="110" t="s">
        <v>1340</v>
      </c>
      <c r="C6462" s="111" t="s">
        <v>16159</v>
      </c>
      <c r="D6462" s="111" t="str">
        <f t="shared" ref="D6462:E6462" si="6460">TRIM(B6462)</f>
        <v>Louisiana</v>
      </c>
      <c r="E6462" s="111" t="str">
        <f t="shared" si="6460"/>
        <v>Winnfield</v>
      </c>
    </row>
    <row r="6463" spans="1:5">
      <c r="A6463" s="3" t="s">
        <v>16160</v>
      </c>
      <c r="B6463" s="110" t="s">
        <v>1340</v>
      </c>
      <c r="C6463" s="111" t="s">
        <v>10896</v>
      </c>
      <c r="D6463" s="111" t="str">
        <f t="shared" ref="D6463:E6463" si="6461">TRIM(B6463)</f>
        <v>Louisiana</v>
      </c>
      <c r="E6463" s="111" t="str">
        <f t="shared" si="6461"/>
        <v>Winnsboro</v>
      </c>
    </row>
    <row r="6464" spans="1:5">
      <c r="A6464" s="3" t="s">
        <v>2160</v>
      </c>
      <c r="B6464" s="110" t="s">
        <v>1340</v>
      </c>
      <c r="C6464" s="111" t="s">
        <v>16161</v>
      </c>
      <c r="D6464" s="111" t="str">
        <f t="shared" ref="D6464:E6464" si="6462">TRIM(B6464)</f>
        <v>Louisiana</v>
      </c>
      <c r="E6464" s="111" t="str">
        <f t="shared" si="6462"/>
        <v>Youngsville</v>
      </c>
    </row>
    <row r="6465" spans="1:5">
      <c r="A6465" s="3" t="s">
        <v>16162</v>
      </c>
      <c r="B6465" s="110" t="s">
        <v>1340</v>
      </c>
      <c r="C6465" s="111" t="s">
        <v>7274</v>
      </c>
      <c r="D6465" s="111" t="str">
        <f t="shared" ref="D6465:E6465" si="6463">TRIM(B6465)</f>
        <v>Louisiana</v>
      </c>
      <c r="E6465" s="111" t="str">
        <f t="shared" si="6463"/>
        <v>Zachary</v>
      </c>
    </row>
    <row r="6466" spans="1:5">
      <c r="A6466" s="3" t="s">
        <v>16163</v>
      </c>
      <c r="B6466" s="110" t="s">
        <v>1340</v>
      </c>
      <c r="C6466" s="111" t="s">
        <v>16164</v>
      </c>
      <c r="D6466" s="111" t="str">
        <f t="shared" ref="D6466:E6466" si="6464">TRIM(B6466)</f>
        <v>Louisiana</v>
      </c>
      <c r="E6466" s="111" t="str">
        <f t="shared" si="6464"/>
        <v>Zwolle</v>
      </c>
    </row>
    <row r="6467" spans="1:5">
      <c r="A6467" s="3" t="s">
        <v>16165</v>
      </c>
      <c r="B6467" s="110" t="s">
        <v>1341</v>
      </c>
      <c r="C6467" s="111" t="s">
        <v>211</v>
      </c>
      <c r="D6467" s="111" t="str">
        <f t="shared" ref="D6467:E6467" si="6465">TRIM(B6467)</f>
        <v>Maine</v>
      </c>
      <c r="E6467" s="111" t="str">
        <f t="shared" si="6465"/>
        <v>Auburn</v>
      </c>
    </row>
    <row r="6468" spans="1:5">
      <c r="A6468" s="110" t="s">
        <v>16166</v>
      </c>
      <c r="B6468" s="110" t="s">
        <v>1341</v>
      </c>
      <c r="C6468" s="111" t="s">
        <v>337</v>
      </c>
      <c r="D6468" s="111" t="str">
        <f t="shared" ref="D6468:E6468" si="6466">TRIM(B6468)</f>
        <v>Maine</v>
      </c>
      <c r="E6468" s="111" t="str">
        <f t="shared" si="6466"/>
        <v>Augusta</v>
      </c>
    </row>
    <row r="6469" spans="1:5">
      <c r="A6469" s="3" t="s">
        <v>16167</v>
      </c>
      <c r="B6469" s="110" t="s">
        <v>1341</v>
      </c>
      <c r="C6469" s="111" t="s">
        <v>16168</v>
      </c>
      <c r="D6469" s="111" t="str">
        <f t="shared" ref="D6469:E6469" si="6467">TRIM(B6469)</f>
        <v>Maine</v>
      </c>
      <c r="E6469" s="111" t="str">
        <f t="shared" si="6467"/>
        <v>Baileyville</v>
      </c>
    </row>
    <row r="6470" spans="1:5">
      <c r="A6470" s="3" t="s">
        <v>16169</v>
      </c>
      <c r="B6470" s="110" t="s">
        <v>1341</v>
      </c>
      <c r="C6470" s="111" t="s">
        <v>7717</v>
      </c>
      <c r="D6470" s="111" t="str">
        <f t="shared" ref="D6470:E6470" si="6468">TRIM(B6470)</f>
        <v>Maine</v>
      </c>
      <c r="E6470" s="111" t="str">
        <f t="shared" si="6468"/>
        <v>Bangor</v>
      </c>
    </row>
    <row r="6471" spans="1:5">
      <c r="A6471" s="3" t="s">
        <v>6785</v>
      </c>
      <c r="B6471" s="110" t="s">
        <v>1341</v>
      </c>
      <c r="C6471" s="111" t="s">
        <v>16170</v>
      </c>
      <c r="D6471" s="111" t="str">
        <f t="shared" ref="D6471:E6471" si="6469">TRIM(B6471)</f>
        <v>Maine</v>
      </c>
      <c r="E6471" s="111" t="str">
        <f t="shared" si="6469"/>
        <v>Bath</v>
      </c>
    </row>
    <row r="6472" spans="1:5">
      <c r="A6472" s="3" t="s">
        <v>16171</v>
      </c>
      <c r="B6472" s="110" t="s">
        <v>1341</v>
      </c>
      <c r="C6472" s="111" t="s">
        <v>16172</v>
      </c>
      <c r="D6472" s="111" t="str">
        <f t="shared" ref="D6472:E6472" si="6470">TRIM(B6472)</f>
        <v>Maine</v>
      </c>
      <c r="E6472" s="111" t="str">
        <f t="shared" si="6470"/>
        <v>Belfast</v>
      </c>
    </row>
    <row r="6473" spans="1:5">
      <c r="A6473" s="3" t="s">
        <v>16173</v>
      </c>
      <c r="B6473" s="110" t="s">
        <v>1341</v>
      </c>
      <c r="C6473" s="111" t="s">
        <v>2309</v>
      </c>
      <c r="D6473" s="111" t="str">
        <f t="shared" ref="D6473:E6473" si="6471">TRIM(B6473)</f>
        <v>Maine</v>
      </c>
      <c r="E6473" s="111" t="str">
        <f t="shared" si="6471"/>
        <v>Bethel</v>
      </c>
    </row>
    <row r="6474" spans="1:5">
      <c r="A6474" s="3" t="s">
        <v>16174</v>
      </c>
      <c r="B6474" s="110" t="s">
        <v>1341</v>
      </c>
      <c r="C6474" s="111" t="s">
        <v>16175</v>
      </c>
      <c r="D6474" s="111" t="str">
        <f t="shared" ref="D6474:E6474" si="6472">TRIM(B6474)</f>
        <v>Maine</v>
      </c>
      <c r="E6474" s="111" t="str">
        <f t="shared" si="6472"/>
        <v>Biddeford</v>
      </c>
    </row>
    <row r="6475" spans="1:5">
      <c r="A6475" s="3" t="s">
        <v>16176</v>
      </c>
      <c r="B6475" s="110" t="s">
        <v>1341</v>
      </c>
      <c r="C6475" s="111" t="s">
        <v>16177</v>
      </c>
      <c r="D6475" s="111" t="str">
        <f t="shared" ref="D6475:E6475" si="6473">TRIM(B6475)</f>
        <v>Maine</v>
      </c>
      <c r="E6475" s="111" t="str">
        <f t="shared" si="6473"/>
        <v>Bingham</v>
      </c>
    </row>
    <row r="6476" spans="1:5">
      <c r="A6476" s="3" t="s">
        <v>16178</v>
      </c>
      <c r="B6476" s="110" t="s">
        <v>1341</v>
      </c>
      <c r="C6476" s="111" t="s">
        <v>16179</v>
      </c>
      <c r="D6476" s="111" t="str">
        <f t="shared" ref="D6476:E6476" si="6474">TRIM(B6476)</f>
        <v>Maine</v>
      </c>
      <c r="E6476" s="111" t="str">
        <f t="shared" si="6474"/>
        <v>Boothbay Harbor</v>
      </c>
    </row>
    <row r="6477" spans="1:5">
      <c r="A6477" s="3" t="s">
        <v>16180</v>
      </c>
      <c r="B6477" s="110" t="s">
        <v>1341</v>
      </c>
      <c r="C6477" s="111" t="s">
        <v>16181</v>
      </c>
      <c r="D6477" s="111" t="str">
        <f t="shared" ref="D6477:E6477" si="6475">TRIM(B6477)</f>
        <v>Maine</v>
      </c>
      <c r="E6477" s="111" t="str">
        <f t="shared" si="6475"/>
        <v>Brewer</v>
      </c>
    </row>
    <row r="6478" spans="1:5">
      <c r="A6478" s="3" t="s">
        <v>10466</v>
      </c>
      <c r="B6478" s="110" t="s">
        <v>1341</v>
      </c>
      <c r="C6478" s="111" t="s">
        <v>10467</v>
      </c>
      <c r="D6478" s="111" t="str">
        <f t="shared" ref="D6478:E6478" si="6476">TRIM(B6478)</f>
        <v>Maine</v>
      </c>
      <c r="E6478" s="111" t="str">
        <f t="shared" si="6476"/>
        <v>Brunswick</v>
      </c>
    </row>
    <row r="6479" spans="1:5">
      <c r="A6479" s="3" t="s">
        <v>16182</v>
      </c>
      <c r="B6479" s="110" t="s">
        <v>1341</v>
      </c>
      <c r="C6479" s="111" t="s">
        <v>10467</v>
      </c>
      <c r="D6479" s="111" t="str">
        <f t="shared" ref="D6479:E6479" si="6477">TRIM(B6479)</f>
        <v>Maine</v>
      </c>
      <c r="E6479" s="111" t="str">
        <f t="shared" si="6477"/>
        <v>Brunswick</v>
      </c>
    </row>
    <row r="6480" spans="1:5">
      <c r="A6480" s="3" t="s">
        <v>16183</v>
      </c>
      <c r="B6480" s="110" t="s">
        <v>1341</v>
      </c>
      <c r="C6480" s="111" t="s">
        <v>16184</v>
      </c>
      <c r="D6480" s="111" t="str">
        <f t="shared" ref="D6480:E6480" si="6478">TRIM(B6480)</f>
        <v>Maine</v>
      </c>
      <c r="E6480" s="111" t="str">
        <f t="shared" si="6478"/>
        <v>Buckfield</v>
      </c>
    </row>
    <row r="6481" spans="1:5">
      <c r="A6481" s="3" t="s">
        <v>16185</v>
      </c>
      <c r="B6481" s="110" t="s">
        <v>1341</v>
      </c>
      <c r="C6481" s="111" t="s">
        <v>11025</v>
      </c>
      <c r="D6481" s="111" t="str">
        <f t="shared" ref="D6481:E6481" si="6479">TRIM(B6481)</f>
        <v>Maine</v>
      </c>
      <c r="E6481" s="111" t="str">
        <f t="shared" si="6479"/>
        <v>Bucksport</v>
      </c>
    </row>
    <row r="6482" spans="1:5">
      <c r="A6482" s="3" t="s">
        <v>16186</v>
      </c>
      <c r="B6482" s="110" t="s">
        <v>1341</v>
      </c>
      <c r="C6482" s="111" t="s">
        <v>407</v>
      </c>
      <c r="D6482" s="111" t="str">
        <f t="shared" ref="D6482:E6482" si="6480">TRIM(B6482)</f>
        <v>Maine</v>
      </c>
      <c r="E6482" s="111" t="str">
        <f t="shared" si="6480"/>
        <v>Calais</v>
      </c>
    </row>
    <row r="6483" spans="1:5">
      <c r="A6483" s="3" t="s">
        <v>16187</v>
      </c>
      <c r="B6483" s="110" t="s">
        <v>1341</v>
      </c>
      <c r="C6483" s="111" t="s">
        <v>16188</v>
      </c>
      <c r="D6483" s="111" t="str">
        <f t="shared" ref="D6483:E6483" si="6481">TRIM(B6483)</f>
        <v>Maine</v>
      </c>
      <c r="E6483" s="111" t="str">
        <f t="shared" si="6481"/>
        <v>Cape Elizabeth</v>
      </c>
    </row>
    <row r="6484" spans="1:5">
      <c r="A6484" s="3" t="s">
        <v>16189</v>
      </c>
      <c r="B6484" s="110" t="s">
        <v>1341</v>
      </c>
      <c r="C6484" s="111" t="s">
        <v>1093</v>
      </c>
      <c r="D6484" s="111" t="str">
        <f t="shared" ref="D6484:E6484" si="6482">TRIM(B6484)</f>
        <v>Maine</v>
      </c>
      <c r="E6484" s="111" t="str">
        <f t="shared" si="6482"/>
        <v>Caribou</v>
      </c>
    </row>
    <row r="6485" spans="1:5">
      <c r="A6485" s="3" t="s">
        <v>1843</v>
      </c>
      <c r="B6485" s="110" t="s">
        <v>1341</v>
      </c>
      <c r="C6485" s="111" t="s">
        <v>16190</v>
      </c>
      <c r="D6485" s="111" t="str">
        <f t="shared" ref="D6485:E6485" si="6483">TRIM(B6485)</f>
        <v>Maine</v>
      </c>
      <c r="E6485" s="111" t="str">
        <f t="shared" si="6483"/>
        <v>Corinth</v>
      </c>
    </row>
    <row r="6486" spans="1:5">
      <c r="A6486" s="3" t="s">
        <v>16191</v>
      </c>
      <c r="B6486" s="110" t="s">
        <v>1341</v>
      </c>
      <c r="C6486" s="111" t="s">
        <v>11058</v>
      </c>
      <c r="D6486" s="111" t="str">
        <f t="shared" ref="D6486:E6486" si="6484">TRIM(B6486)</f>
        <v>Maine</v>
      </c>
      <c r="E6486" s="111" t="str">
        <f t="shared" si="6484"/>
        <v>Cumberland</v>
      </c>
    </row>
    <row r="6487" spans="1:5">
      <c r="A6487" s="3" t="s">
        <v>16192</v>
      </c>
      <c r="B6487" s="110" t="s">
        <v>1341</v>
      </c>
      <c r="C6487" s="111" t="s">
        <v>16193</v>
      </c>
      <c r="D6487" s="111" t="str">
        <f t="shared" ref="D6487:E6487" si="6485">TRIM(B6487)</f>
        <v>Maine</v>
      </c>
      <c r="E6487" s="111" t="str">
        <f t="shared" si="6485"/>
        <v>Deer Isle</v>
      </c>
    </row>
    <row r="6488" spans="1:5">
      <c r="A6488" s="3" t="s">
        <v>16194</v>
      </c>
      <c r="B6488" s="110" t="s">
        <v>1341</v>
      </c>
      <c r="C6488" s="111" t="s">
        <v>10669</v>
      </c>
      <c r="D6488" s="111" t="str">
        <f t="shared" ref="D6488:E6488" si="6486">TRIM(B6488)</f>
        <v>Maine</v>
      </c>
      <c r="E6488" s="111" t="str">
        <f t="shared" si="6486"/>
        <v>Dexter</v>
      </c>
    </row>
    <row r="6489" spans="1:5">
      <c r="A6489" s="3" t="s">
        <v>16195</v>
      </c>
      <c r="B6489" s="110" t="s">
        <v>1341</v>
      </c>
      <c r="C6489" s="111" t="s">
        <v>16196</v>
      </c>
      <c r="D6489" s="111" t="str">
        <f t="shared" ref="D6489:E6489" si="6487">TRIM(B6489)</f>
        <v>Maine</v>
      </c>
      <c r="E6489" s="111" t="str">
        <f t="shared" si="6487"/>
        <v>Dixfield</v>
      </c>
    </row>
    <row r="6490" spans="1:5">
      <c r="A6490" s="3" t="s">
        <v>16197</v>
      </c>
      <c r="B6490" s="110" t="s">
        <v>1341</v>
      </c>
      <c r="C6490" s="111" t="s">
        <v>16198</v>
      </c>
      <c r="D6490" s="111" t="str">
        <f t="shared" ref="D6490:E6490" si="6488">TRIM(B6490)</f>
        <v>Maine</v>
      </c>
      <c r="E6490" s="111" t="str">
        <f t="shared" si="6488"/>
        <v>East Millinocket</v>
      </c>
    </row>
    <row r="6491" spans="1:5">
      <c r="A6491" s="3" t="s">
        <v>16199</v>
      </c>
      <c r="B6491" s="110" t="s">
        <v>1341</v>
      </c>
      <c r="C6491" s="111" t="s">
        <v>9761</v>
      </c>
      <c r="D6491" s="111" t="str">
        <f t="shared" ref="D6491:E6491" si="6489">TRIM(B6491)</f>
        <v>Maine</v>
      </c>
      <c r="E6491" s="111" t="str">
        <f t="shared" si="6489"/>
        <v>Easton</v>
      </c>
    </row>
    <row r="6492" spans="1:5">
      <c r="A6492" s="3" t="s">
        <v>16200</v>
      </c>
      <c r="B6492" s="110" t="s">
        <v>1341</v>
      </c>
      <c r="C6492" s="111" t="s">
        <v>16201</v>
      </c>
      <c r="D6492" s="111" t="str">
        <f t="shared" ref="D6492:E6492" si="6490">TRIM(B6492)</f>
        <v>Maine</v>
      </c>
      <c r="E6492" s="111" t="str">
        <f t="shared" si="6490"/>
        <v>Eastport</v>
      </c>
    </row>
    <row r="6493" spans="1:5">
      <c r="A6493" s="3" t="s">
        <v>15259</v>
      </c>
      <c r="B6493" s="110" t="s">
        <v>1341</v>
      </c>
      <c r="C6493" s="111" t="s">
        <v>6832</v>
      </c>
      <c r="D6493" s="111" t="str">
        <f t="shared" ref="D6493:E6493" si="6491">TRIM(B6493)</f>
        <v>Maine</v>
      </c>
      <c r="E6493" s="111" t="str">
        <f t="shared" si="6491"/>
        <v>Ellsworth</v>
      </c>
    </row>
    <row r="6494" spans="1:5">
      <c r="A6494" s="3" t="s">
        <v>15357</v>
      </c>
      <c r="B6494" s="110" t="s">
        <v>1341</v>
      </c>
      <c r="C6494" s="111" t="s">
        <v>303</v>
      </c>
      <c r="D6494" s="111" t="str">
        <f t="shared" ref="D6494:E6494" si="6492">TRIM(B6494)</f>
        <v>Maine</v>
      </c>
      <c r="E6494" s="111" t="str">
        <f t="shared" si="6492"/>
        <v>Fairfield</v>
      </c>
    </row>
    <row r="6495" spans="1:5">
      <c r="A6495" s="3" t="s">
        <v>16202</v>
      </c>
      <c r="B6495" s="110" t="s">
        <v>1341</v>
      </c>
      <c r="C6495" s="111" t="s">
        <v>11286</v>
      </c>
      <c r="D6495" s="111" t="str">
        <f t="shared" ref="D6495:E6495" si="6493">TRIM(B6495)</f>
        <v>Maine</v>
      </c>
      <c r="E6495" s="111" t="str">
        <f t="shared" si="6493"/>
        <v>Falmouth</v>
      </c>
    </row>
    <row r="6496" spans="1:5">
      <c r="A6496" s="3" t="s">
        <v>16203</v>
      </c>
      <c r="B6496" s="110" t="s">
        <v>1341</v>
      </c>
      <c r="C6496" s="111" t="s">
        <v>16204</v>
      </c>
      <c r="D6496" s="111" t="str">
        <f t="shared" ref="D6496:E6496" si="6494">TRIM(B6496)</f>
        <v>Maine</v>
      </c>
      <c r="E6496" s="111" t="str">
        <f t="shared" si="6494"/>
        <v>Farmingdale</v>
      </c>
    </row>
    <row r="6497" spans="1:5">
      <c r="A6497" s="3" t="s">
        <v>16205</v>
      </c>
      <c r="B6497" s="110" t="s">
        <v>1341</v>
      </c>
      <c r="C6497" s="111" t="s">
        <v>3773</v>
      </c>
      <c r="D6497" s="111" t="str">
        <f t="shared" ref="D6497:E6497" si="6495">TRIM(B6497)</f>
        <v>Maine</v>
      </c>
      <c r="E6497" s="111" t="str">
        <f t="shared" si="6495"/>
        <v>Farmington</v>
      </c>
    </row>
    <row r="6498" spans="1:5">
      <c r="A6498" s="3" t="s">
        <v>16206</v>
      </c>
      <c r="B6498" s="110" t="s">
        <v>1341</v>
      </c>
      <c r="C6498" s="111" t="s">
        <v>16207</v>
      </c>
      <c r="D6498" s="111" t="str">
        <f t="shared" ref="D6498:E6498" si="6496">TRIM(B6498)</f>
        <v>Maine</v>
      </c>
      <c r="E6498" s="111" t="str">
        <f t="shared" si="6496"/>
        <v>Fort Fairfield</v>
      </c>
    </row>
    <row r="6499" spans="1:5">
      <c r="A6499" s="3" t="s">
        <v>16208</v>
      </c>
      <c r="B6499" s="110" t="s">
        <v>1341</v>
      </c>
      <c r="C6499" s="111" t="s">
        <v>16209</v>
      </c>
      <c r="D6499" s="111" t="str">
        <f t="shared" ref="D6499:E6499" si="6497">TRIM(B6499)</f>
        <v>Maine</v>
      </c>
      <c r="E6499" s="111" t="str">
        <f t="shared" si="6497"/>
        <v>Fort Kent</v>
      </c>
    </row>
    <row r="6500" spans="1:5">
      <c r="A6500" s="3" t="s">
        <v>12923</v>
      </c>
      <c r="B6500" s="110" t="s">
        <v>1341</v>
      </c>
      <c r="C6500" s="111" t="s">
        <v>9246</v>
      </c>
      <c r="D6500" s="111" t="str">
        <f t="shared" ref="D6500:E6500" si="6498">TRIM(B6500)</f>
        <v>Maine</v>
      </c>
      <c r="E6500" s="111" t="str">
        <f t="shared" si="6498"/>
        <v>Freeport</v>
      </c>
    </row>
    <row r="6501" spans="1:5">
      <c r="A6501" s="3" t="s">
        <v>16210</v>
      </c>
      <c r="B6501" s="110" t="s">
        <v>1341</v>
      </c>
      <c r="C6501" s="111" t="s">
        <v>16211</v>
      </c>
      <c r="D6501" s="111" t="str">
        <f t="shared" ref="D6501:E6501" si="6499">TRIM(B6501)</f>
        <v>Maine</v>
      </c>
      <c r="E6501" s="111" t="str">
        <f t="shared" si="6499"/>
        <v>Gardiner</v>
      </c>
    </row>
    <row r="6502" spans="1:5">
      <c r="A6502" s="3" t="s">
        <v>16212</v>
      </c>
      <c r="B6502" s="110" t="s">
        <v>1341</v>
      </c>
      <c r="C6502" s="111" t="s">
        <v>583</v>
      </c>
      <c r="D6502" s="111" t="str">
        <f t="shared" ref="D6502:E6502" si="6500">TRIM(B6502)</f>
        <v>Maine</v>
      </c>
      <c r="E6502" s="111" t="str">
        <f t="shared" si="6500"/>
        <v>Gorham</v>
      </c>
    </row>
    <row r="6503" spans="1:5">
      <c r="A6503" s="3" t="s">
        <v>16213</v>
      </c>
      <c r="B6503" s="110" t="s">
        <v>1341</v>
      </c>
      <c r="C6503" s="111" t="s">
        <v>10819</v>
      </c>
      <c r="D6503" s="111" t="str">
        <f t="shared" ref="D6503:E6503" si="6501">TRIM(B6503)</f>
        <v>Maine</v>
      </c>
      <c r="E6503" s="111" t="str">
        <f t="shared" si="6501"/>
        <v>Gray</v>
      </c>
    </row>
    <row r="6504" spans="1:5">
      <c r="A6504" s="110" t="s">
        <v>16214</v>
      </c>
      <c r="B6504" s="110" t="s">
        <v>1341</v>
      </c>
      <c r="C6504" s="111" t="s">
        <v>8487</v>
      </c>
      <c r="D6504" s="111" t="str">
        <f t="shared" ref="D6504:E6504" si="6502">TRIM(B6504)</f>
        <v>Maine</v>
      </c>
      <c r="E6504" s="111" t="str">
        <f t="shared" si="6502"/>
        <v>Guilford</v>
      </c>
    </row>
    <row r="6505" spans="1:5">
      <c r="A6505" s="3" t="s">
        <v>16215</v>
      </c>
      <c r="B6505" s="110" t="s">
        <v>1341</v>
      </c>
      <c r="C6505" s="111" t="s">
        <v>2886</v>
      </c>
      <c r="D6505" s="111" t="str">
        <f t="shared" ref="D6505:E6505" si="6503">TRIM(B6505)</f>
        <v>Maine</v>
      </c>
      <c r="E6505" s="111" t="str">
        <f t="shared" si="6503"/>
        <v>Hampden</v>
      </c>
    </row>
    <row r="6506" spans="1:5">
      <c r="A6506" s="3" t="s">
        <v>16216</v>
      </c>
      <c r="B6506" s="110" t="s">
        <v>1341</v>
      </c>
      <c r="C6506" s="111" t="s">
        <v>16217</v>
      </c>
      <c r="D6506" s="111" t="str">
        <f t="shared" ref="D6506:E6506" si="6504">TRIM(B6506)</f>
        <v>Maine</v>
      </c>
      <c r="E6506" s="111" t="str">
        <f t="shared" si="6504"/>
        <v>Harrington</v>
      </c>
    </row>
    <row r="6507" spans="1:5">
      <c r="A6507" s="3" t="s">
        <v>16218</v>
      </c>
      <c r="B6507" s="110" t="s">
        <v>1341</v>
      </c>
      <c r="C6507" s="111" t="s">
        <v>16219</v>
      </c>
      <c r="D6507" s="111" t="str">
        <f t="shared" ref="D6507:E6507" si="6505">TRIM(B6507)</f>
        <v>Maine</v>
      </c>
      <c r="E6507" s="111" t="str">
        <f t="shared" si="6505"/>
        <v>Hermon</v>
      </c>
    </row>
    <row r="6508" spans="1:5">
      <c r="A6508" s="3" t="s">
        <v>16220</v>
      </c>
      <c r="B6508" s="110" t="s">
        <v>1341</v>
      </c>
      <c r="C6508" s="111" t="s">
        <v>13076</v>
      </c>
      <c r="D6508" s="111" t="str">
        <f t="shared" ref="D6508:E6508" si="6506">TRIM(B6508)</f>
        <v>Maine</v>
      </c>
      <c r="E6508" s="111" t="str">
        <f t="shared" si="6506"/>
        <v>Hinckley</v>
      </c>
    </row>
    <row r="6509" spans="1:5">
      <c r="A6509" s="3" t="s">
        <v>16221</v>
      </c>
      <c r="B6509" s="110" t="s">
        <v>1341</v>
      </c>
      <c r="C6509" s="111" t="s">
        <v>8482</v>
      </c>
      <c r="D6509" s="111" t="str">
        <f t="shared" ref="D6509:E6509" si="6507">TRIM(B6509)</f>
        <v>Maine</v>
      </c>
      <c r="E6509" s="111" t="str">
        <f t="shared" si="6507"/>
        <v>Hiram</v>
      </c>
    </row>
    <row r="6510" spans="1:5">
      <c r="A6510" s="3" t="s">
        <v>16222</v>
      </c>
      <c r="B6510" s="110" t="s">
        <v>1341</v>
      </c>
      <c r="C6510" s="111" t="s">
        <v>16223</v>
      </c>
      <c r="D6510" s="111" t="str">
        <f t="shared" ref="D6510:E6510" si="6508">TRIM(B6510)</f>
        <v>Maine</v>
      </c>
      <c r="E6510" s="111" t="str">
        <f t="shared" si="6508"/>
        <v>Hodgdon</v>
      </c>
    </row>
    <row r="6511" spans="1:5">
      <c r="A6511" s="3" t="s">
        <v>16224</v>
      </c>
      <c r="B6511" s="110" t="s">
        <v>1341</v>
      </c>
      <c r="C6511" s="111" t="s">
        <v>16225</v>
      </c>
      <c r="D6511" s="111" t="str">
        <f t="shared" ref="D6511:E6511" si="6509">TRIM(B6511)</f>
        <v>Maine</v>
      </c>
      <c r="E6511" s="111" t="str">
        <f t="shared" si="6509"/>
        <v>Houlton</v>
      </c>
    </row>
    <row r="6512" spans="1:5">
      <c r="A6512" s="3" t="s">
        <v>16226</v>
      </c>
      <c r="B6512" s="110" t="s">
        <v>1341</v>
      </c>
      <c r="C6512" s="111" t="s">
        <v>16227</v>
      </c>
      <c r="D6512" s="111" t="str">
        <f t="shared" ref="D6512:E6512" si="6510">TRIM(B6512)</f>
        <v>Maine</v>
      </c>
      <c r="E6512" s="111" t="str">
        <f t="shared" si="6510"/>
        <v>Howland</v>
      </c>
    </row>
    <row r="6513" spans="1:5">
      <c r="A6513" s="3" t="s">
        <v>16228</v>
      </c>
      <c r="B6513" s="110" t="s">
        <v>1341</v>
      </c>
      <c r="C6513" s="111" t="s">
        <v>9436</v>
      </c>
      <c r="D6513" s="111" t="str">
        <f t="shared" ref="D6513:E6513" si="6511">TRIM(B6513)</f>
        <v>Maine</v>
      </c>
      <c r="E6513" s="111" t="str">
        <f t="shared" si="6511"/>
        <v>Jay</v>
      </c>
    </row>
    <row r="6514" spans="1:5">
      <c r="A6514" s="3" t="s">
        <v>16229</v>
      </c>
      <c r="B6514" s="110" t="s">
        <v>1341</v>
      </c>
      <c r="C6514" s="111" t="s">
        <v>16230</v>
      </c>
      <c r="D6514" s="111" t="str">
        <f t="shared" ref="D6514:E6514" si="6512">TRIM(B6514)</f>
        <v>Maine</v>
      </c>
      <c r="E6514" s="111" t="str">
        <f t="shared" si="6512"/>
        <v>Jonesport</v>
      </c>
    </row>
    <row r="6515" spans="1:5">
      <c r="A6515" s="3" t="s">
        <v>16231</v>
      </c>
      <c r="B6515" s="110" t="s">
        <v>1341</v>
      </c>
      <c r="C6515" s="111" t="s">
        <v>16232</v>
      </c>
      <c r="D6515" s="111" t="str">
        <f t="shared" ref="D6515:E6515" si="6513">TRIM(B6515)</f>
        <v>Maine</v>
      </c>
      <c r="E6515" s="111" t="str">
        <f t="shared" si="6513"/>
        <v>Kennebunk</v>
      </c>
    </row>
    <row r="6516" spans="1:5">
      <c r="A6516" s="3" t="s">
        <v>16233</v>
      </c>
      <c r="B6516" s="110" t="s">
        <v>1341</v>
      </c>
      <c r="C6516" s="111" t="s">
        <v>16234</v>
      </c>
      <c r="D6516" s="111" t="str">
        <f t="shared" ref="D6516:E6516" si="6514">TRIM(B6516)</f>
        <v>Maine</v>
      </c>
      <c r="E6516" s="111" t="str">
        <f t="shared" si="6514"/>
        <v>Kittery</v>
      </c>
    </row>
    <row r="6517" spans="1:5">
      <c r="A6517" s="3" t="s">
        <v>11779</v>
      </c>
      <c r="B6517" s="110" t="s">
        <v>1341</v>
      </c>
      <c r="C6517" s="111" t="s">
        <v>11780</v>
      </c>
      <c r="D6517" s="111" t="str">
        <f t="shared" ref="D6517:E6517" si="6515">TRIM(B6517)</f>
        <v>Maine</v>
      </c>
      <c r="E6517" s="111" t="str">
        <f t="shared" si="6515"/>
        <v>Lewiston</v>
      </c>
    </row>
    <row r="6518" spans="1:5">
      <c r="A6518" s="110" t="s">
        <v>16235</v>
      </c>
      <c r="B6518" s="110" t="s">
        <v>1341</v>
      </c>
      <c r="C6518" s="111" t="s">
        <v>13569</v>
      </c>
      <c r="D6518" s="111" t="str">
        <f t="shared" ref="D6518:E6518" si="6516">TRIM(B6518)</f>
        <v>Maine</v>
      </c>
      <c r="E6518" s="111" t="str">
        <f t="shared" si="6516"/>
        <v>Limestone</v>
      </c>
    </row>
    <row r="6519" spans="1:5">
      <c r="A6519" s="3" t="s">
        <v>16236</v>
      </c>
      <c r="B6519" s="110" t="s">
        <v>1341</v>
      </c>
      <c r="C6519" s="111" t="s">
        <v>1283</v>
      </c>
      <c r="D6519" s="111" t="str">
        <f t="shared" ref="D6519:E6519" si="6517">TRIM(B6519)</f>
        <v>Maine</v>
      </c>
      <c r="E6519" s="111" t="str">
        <f t="shared" si="6517"/>
        <v>Lincoln</v>
      </c>
    </row>
    <row r="6520" spans="1:5">
      <c r="A6520" s="3" t="s">
        <v>14933</v>
      </c>
      <c r="B6520" s="110" t="s">
        <v>1341</v>
      </c>
      <c r="C6520" s="111" t="s">
        <v>16237</v>
      </c>
      <c r="D6520" s="111" t="str">
        <f t="shared" ref="D6520:E6520" si="6518">TRIM(B6520)</f>
        <v>Maine</v>
      </c>
      <c r="E6520" s="111" t="str">
        <f t="shared" si="6518"/>
        <v>Lisbon Falls</v>
      </c>
    </row>
    <row r="6521" spans="1:5">
      <c r="A6521" s="3" t="s">
        <v>16238</v>
      </c>
      <c r="B6521" s="110" t="s">
        <v>1341</v>
      </c>
      <c r="C6521" s="111" t="s">
        <v>16239</v>
      </c>
      <c r="D6521" s="111" t="str">
        <f t="shared" ref="D6521:E6521" si="6519">TRIM(B6521)</f>
        <v>Maine</v>
      </c>
      <c r="E6521" s="111" t="str">
        <f t="shared" si="6519"/>
        <v>Machias</v>
      </c>
    </row>
    <row r="6522" spans="1:5">
      <c r="A6522" s="3" t="s">
        <v>16240</v>
      </c>
      <c r="B6522" s="110" t="s">
        <v>1341</v>
      </c>
      <c r="C6522" s="111" t="s">
        <v>16241</v>
      </c>
      <c r="D6522" s="111" t="str">
        <f t="shared" ref="D6522:E6522" si="6520">TRIM(B6522)</f>
        <v>Maine</v>
      </c>
      <c r="E6522" s="111" t="str">
        <f t="shared" si="6520"/>
        <v>Madawaska</v>
      </c>
    </row>
    <row r="6523" spans="1:5">
      <c r="A6523" s="110" t="s">
        <v>16242</v>
      </c>
      <c r="B6523" s="110" t="s">
        <v>1341</v>
      </c>
      <c r="C6523" s="111" t="s">
        <v>488</v>
      </c>
      <c r="D6523" s="111" t="str">
        <f t="shared" ref="D6523:E6523" si="6521">TRIM(B6523)</f>
        <v>Maine</v>
      </c>
      <c r="E6523" s="111" t="str">
        <f t="shared" si="6521"/>
        <v>Madison</v>
      </c>
    </row>
    <row r="6524" spans="1:5">
      <c r="A6524" s="110" t="s">
        <v>16243</v>
      </c>
      <c r="B6524" s="110" t="s">
        <v>1341</v>
      </c>
      <c r="C6524" s="111" t="s">
        <v>12706</v>
      </c>
      <c r="D6524" s="111" t="str">
        <f t="shared" ref="D6524:E6524" si="6522">TRIM(B6524)</f>
        <v>Maine</v>
      </c>
      <c r="E6524" s="111" t="str">
        <f t="shared" si="6522"/>
        <v>Mars Hill</v>
      </c>
    </row>
    <row r="6525" spans="1:5">
      <c r="A6525" s="3" t="s">
        <v>16244</v>
      </c>
      <c r="B6525" s="110" t="s">
        <v>1341</v>
      </c>
      <c r="C6525" s="111" t="s">
        <v>16245</v>
      </c>
      <c r="D6525" s="111" t="str">
        <f t="shared" ref="D6525:E6525" si="6523">TRIM(B6525)</f>
        <v>Maine</v>
      </c>
      <c r="E6525" s="111" t="str">
        <f t="shared" si="6523"/>
        <v>Millinocket</v>
      </c>
    </row>
    <row r="6526" spans="1:5">
      <c r="A6526" s="3" t="s">
        <v>16246</v>
      </c>
      <c r="B6526" s="110" t="s">
        <v>1341</v>
      </c>
      <c r="C6526" s="111" t="s">
        <v>16247</v>
      </c>
      <c r="D6526" s="111" t="str">
        <f t="shared" ref="D6526:E6526" si="6524">TRIM(B6526)</f>
        <v>Maine</v>
      </c>
      <c r="E6526" s="111" t="str">
        <f t="shared" si="6524"/>
        <v>Milo</v>
      </c>
    </row>
    <row r="6527" spans="1:5">
      <c r="A6527" s="3" t="s">
        <v>16248</v>
      </c>
      <c r="B6527" s="110" t="s">
        <v>1341</v>
      </c>
      <c r="C6527" s="111" t="s">
        <v>13360</v>
      </c>
      <c r="D6527" s="111" t="str">
        <f t="shared" ref="D6527:E6527" si="6525">TRIM(B6527)</f>
        <v>Maine</v>
      </c>
      <c r="E6527" s="111" t="str">
        <f t="shared" si="6525"/>
        <v>Monmouth</v>
      </c>
    </row>
    <row r="6528" spans="1:5">
      <c r="A6528" s="3" t="s">
        <v>16249</v>
      </c>
      <c r="B6528" s="110" t="s">
        <v>1341</v>
      </c>
      <c r="C6528" s="111" t="s">
        <v>16250</v>
      </c>
      <c r="D6528" s="111" t="str">
        <f t="shared" ref="D6528:E6528" si="6526">TRIM(B6528)</f>
        <v>Maine</v>
      </c>
      <c r="E6528" s="111" t="str">
        <f t="shared" si="6526"/>
        <v>Mount Desert</v>
      </c>
    </row>
    <row r="6529" spans="1:5">
      <c r="A6529" s="3" t="s">
        <v>9187</v>
      </c>
      <c r="B6529" s="110" t="s">
        <v>1341</v>
      </c>
      <c r="C6529" s="111" t="s">
        <v>354</v>
      </c>
      <c r="D6529" s="111" t="str">
        <f t="shared" ref="D6529:E6529" si="6527">TRIM(B6529)</f>
        <v>Maine</v>
      </c>
      <c r="E6529" s="111" t="str">
        <f t="shared" si="6527"/>
        <v>Naples</v>
      </c>
    </row>
    <row r="6530" spans="1:5">
      <c r="A6530" s="3" t="s">
        <v>16251</v>
      </c>
      <c r="B6530" s="110" t="s">
        <v>1341</v>
      </c>
      <c r="C6530" s="111" t="s">
        <v>4078</v>
      </c>
      <c r="D6530" s="111" t="str">
        <f t="shared" ref="D6530:E6530" si="6528">TRIM(B6530)</f>
        <v>Maine</v>
      </c>
      <c r="E6530" s="111" t="str">
        <f t="shared" si="6528"/>
        <v>Newport</v>
      </c>
    </row>
    <row r="6531" spans="1:5">
      <c r="A6531" s="3" t="s">
        <v>16252</v>
      </c>
      <c r="B6531" s="110" t="s">
        <v>1341</v>
      </c>
      <c r="C6531" s="111" t="s">
        <v>16253</v>
      </c>
      <c r="D6531" s="111" t="str">
        <f t="shared" ref="D6531:E6531" si="6529">TRIM(B6531)</f>
        <v>Maine</v>
      </c>
      <c r="E6531" s="111" t="str">
        <f t="shared" si="6529"/>
        <v>North Anson</v>
      </c>
    </row>
    <row r="6532" spans="1:5">
      <c r="A6532" s="3" t="s">
        <v>16254</v>
      </c>
      <c r="B6532" s="110" t="s">
        <v>1341</v>
      </c>
      <c r="C6532" s="111" t="s">
        <v>16255</v>
      </c>
      <c r="D6532" s="111" t="str">
        <f t="shared" ref="D6532:E6532" si="6530">TRIM(B6532)</f>
        <v>Maine</v>
      </c>
      <c r="E6532" s="111" t="str">
        <f t="shared" si="6530"/>
        <v>North Berwick</v>
      </c>
    </row>
    <row r="6533" spans="1:5">
      <c r="A6533" s="3" t="s">
        <v>16256</v>
      </c>
      <c r="B6533" s="110" t="s">
        <v>1341</v>
      </c>
      <c r="C6533" s="111" t="s">
        <v>662</v>
      </c>
      <c r="D6533" s="111" t="str">
        <f t="shared" ref="D6533:E6533" si="6531">TRIM(B6533)</f>
        <v>Maine</v>
      </c>
      <c r="E6533" s="111" t="str">
        <f t="shared" si="6531"/>
        <v>Oakland</v>
      </c>
    </row>
    <row r="6534" spans="1:5">
      <c r="A6534" s="3" t="s">
        <v>16257</v>
      </c>
      <c r="B6534" s="110" t="s">
        <v>1341</v>
      </c>
      <c r="C6534" s="113" t="s">
        <v>16258</v>
      </c>
      <c r="D6534" s="111" t="str">
        <f t="shared" ref="D6534:E6534" si="6532">TRIM(B6534)</f>
        <v>Maine</v>
      </c>
      <c r="E6534" s="111" t="str">
        <f t="shared" si="6532"/>
        <v>Old Orchard Beach</v>
      </c>
    </row>
    <row r="6535" spans="1:5">
      <c r="A6535" s="3" t="s">
        <v>16259</v>
      </c>
      <c r="B6535" s="110" t="s">
        <v>1341</v>
      </c>
      <c r="C6535" s="111" t="s">
        <v>16260</v>
      </c>
      <c r="D6535" s="111" t="str">
        <f t="shared" ref="D6535:E6535" si="6533">TRIM(B6535)</f>
        <v>Maine</v>
      </c>
      <c r="E6535" s="111" t="str">
        <f t="shared" si="6533"/>
        <v>Old Town</v>
      </c>
    </row>
    <row r="6536" spans="1:5">
      <c r="A6536" s="3" t="s">
        <v>16261</v>
      </c>
      <c r="B6536" s="110" t="s">
        <v>1341</v>
      </c>
      <c r="C6536" s="111" t="s">
        <v>16262</v>
      </c>
      <c r="D6536" s="111" t="str">
        <f t="shared" ref="D6536:E6536" si="6534">TRIM(B6536)</f>
        <v>Maine</v>
      </c>
      <c r="E6536" s="111" t="str">
        <f t="shared" si="6534"/>
        <v>Orono</v>
      </c>
    </row>
    <row r="6537" spans="1:5">
      <c r="A6537" s="110" t="s">
        <v>16263</v>
      </c>
      <c r="B6537" s="110" t="s">
        <v>1341</v>
      </c>
      <c r="C6537" s="111" t="s">
        <v>194</v>
      </c>
      <c r="D6537" s="111" t="str">
        <f t="shared" ref="D6537:E6537" si="6535">TRIM(B6537)</f>
        <v>Maine</v>
      </c>
      <c r="E6537" s="111" t="str">
        <f t="shared" si="6535"/>
        <v>Paris</v>
      </c>
    </row>
    <row r="6538" spans="1:5">
      <c r="A6538" s="110" t="s">
        <v>16264</v>
      </c>
      <c r="B6538" s="110" t="s">
        <v>1341</v>
      </c>
      <c r="C6538" s="111" t="s">
        <v>16265</v>
      </c>
      <c r="D6538" s="111" t="str">
        <f t="shared" ref="D6538:E6538" si="6536">TRIM(B6538)</f>
        <v>Maine</v>
      </c>
      <c r="E6538" s="111" t="str">
        <f t="shared" si="6536"/>
        <v>Poland</v>
      </c>
    </row>
    <row r="6539" spans="1:5">
      <c r="A6539" s="3" t="s">
        <v>16266</v>
      </c>
      <c r="B6539" s="110" t="s">
        <v>1341</v>
      </c>
      <c r="C6539" s="111" t="s">
        <v>8643</v>
      </c>
      <c r="D6539" s="111" t="str">
        <f t="shared" ref="D6539:E6539" si="6537">TRIM(B6539)</f>
        <v>Maine</v>
      </c>
      <c r="E6539" s="111" t="str">
        <f t="shared" si="6537"/>
        <v>Portland</v>
      </c>
    </row>
    <row r="6540" spans="1:5">
      <c r="A6540" s="3" t="s">
        <v>16267</v>
      </c>
      <c r="B6540" s="110" t="s">
        <v>1341</v>
      </c>
      <c r="C6540" s="112" t="s">
        <v>8643</v>
      </c>
      <c r="D6540" s="111" t="str">
        <f t="shared" ref="D6540:E6540" si="6538">TRIM(B6540)</f>
        <v>Maine</v>
      </c>
      <c r="E6540" s="111" t="str">
        <f t="shared" si="6538"/>
        <v>Portland</v>
      </c>
    </row>
    <row r="6541" spans="1:5">
      <c r="A6541" s="3" t="s">
        <v>16268</v>
      </c>
      <c r="B6541" s="110" t="s">
        <v>1341</v>
      </c>
      <c r="C6541" s="111" t="s">
        <v>8643</v>
      </c>
      <c r="D6541" s="111" t="str">
        <f t="shared" ref="D6541:E6541" si="6539">TRIM(B6541)</f>
        <v>Maine</v>
      </c>
      <c r="E6541" s="111" t="str">
        <f t="shared" si="6539"/>
        <v>Portland</v>
      </c>
    </row>
    <row r="6542" spans="1:5">
      <c r="A6542" s="3" t="s">
        <v>8642</v>
      </c>
      <c r="B6542" s="110" t="s">
        <v>1341</v>
      </c>
      <c r="C6542" s="111" t="s">
        <v>8643</v>
      </c>
      <c r="D6542" s="111" t="str">
        <f t="shared" ref="D6542:E6542" si="6540">TRIM(B6542)</f>
        <v>Maine</v>
      </c>
      <c r="E6542" s="111" t="str">
        <f t="shared" si="6540"/>
        <v>Portland</v>
      </c>
    </row>
    <row r="6543" spans="1:5">
      <c r="A6543" s="3" t="s">
        <v>16269</v>
      </c>
      <c r="B6543" s="110" t="s">
        <v>1341</v>
      </c>
      <c r="C6543" s="111" t="s">
        <v>16270</v>
      </c>
      <c r="D6543" s="111" t="str">
        <f t="shared" ref="D6543:E6543" si="6541">TRIM(B6543)</f>
        <v>Maine</v>
      </c>
      <c r="E6543" s="111" t="str">
        <f t="shared" si="6541"/>
        <v>Presque Isle</v>
      </c>
    </row>
    <row r="6544" spans="1:5">
      <c r="A6544" s="3" t="s">
        <v>16271</v>
      </c>
      <c r="B6544" s="110" t="s">
        <v>1341</v>
      </c>
      <c r="C6544" s="111" t="s">
        <v>16272</v>
      </c>
      <c r="D6544" s="111" t="str">
        <f t="shared" ref="D6544:E6544" si="6542">TRIM(B6544)</f>
        <v>Maine</v>
      </c>
      <c r="E6544" s="111" t="str">
        <f t="shared" si="6542"/>
        <v>Readfield</v>
      </c>
    </row>
    <row r="6545" spans="1:5">
      <c r="A6545" s="3" t="s">
        <v>6534</v>
      </c>
      <c r="B6545" s="110" t="s">
        <v>1341</v>
      </c>
      <c r="C6545" s="111" t="s">
        <v>657</v>
      </c>
      <c r="D6545" s="111" t="str">
        <f t="shared" ref="D6545:E6545" si="6543">TRIM(B6545)</f>
        <v>Maine</v>
      </c>
      <c r="E6545" s="111" t="str">
        <f t="shared" si="6543"/>
        <v>Richmond</v>
      </c>
    </row>
    <row r="6546" spans="1:5">
      <c r="A6546" s="3" t="s">
        <v>6205</v>
      </c>
      <c r="B6546" s="110" t="s">
        <v>1341</v>
      </c>
      <c r="C6546" s="111" t="s">
        <v>11266</v>
      </c>
      <c r="D6546" s="111" t="str">
        <f t="shared" ref="D6546:E6546" si="6544">TRIM(B6546)</f>
        <v>Maine</v>
      </c>
      <c r="E6546" s="111" t="str">
        <f t="shared" si="6544"/>
        <v>Rockland</v>
      </c>
    </row>
    <row r="6547" spans="1:5">
      <c r="A6547" s="110" t="s">
        <v>16273</v>
      </c>
      <c r="B6547" s="110" t="s">
        <v>1341</v>
      </c>
      <c r="C6547" s="111" t="s">
        <v>14577</v>
      </c>
      <c r="D6547" s="111" t="str">
        <f t="shared" ref="D6547:E6547" si="6545">TRIM(B6547)</f>
        <v>Maine</v>
      </c>
      <c r="E6547" s="111" t="str">
        <f t="shared" si="6545"/>
        <v>Rockport</v>
      </c>
    </row>
    <row r="6548" spans="1:5">
      <c r="A6548" s="3" t="s">
        <v>16274</v>
      </c>
      <c r="B6548" s="110" t="s">
        <v>1341</v>
      </c>
      <c r="C6548" s="111" t="s">
        <v>16275</v>
      </c>
      <c r="D6548" s="111" t="str">
        <f t="shared" ref="D6548:E6548" si="6546">TRIM(B6548)</f>
        <v>Maine</v>
      </c>
      <c r="E6548" s="111" t="str">
        <f t="shared" si="6546"/>
        <v>Rumford</v>
      </c>
    </row>
    <row r="6549" spans="1:5">
      <c r="A6549" s="3" t="s">
        <v>16276</v>
      </c>
      <c r="B6549" s="110" t="s">
        <v>1341</v>
      </c>
      <c r="C6549" s="111" t="s">
        <v>16277</v>
      </c>
      <c r="D6549" s="111" t="str">
        <f t="shared" ref="D6549:E6549" si="6547">TRIM(B6549)</f>
        <v>Maine</v>
      </c>
      <c r="E6549" s="111" t="str">
        <f t="shared" si="6547"/>
        <v>Saint Agatha</v>
      </c>
    </row>
    <row r="6550" spans="1:5">
      <c r="A6550" s="3" t="s">
        <v>16278</v>
      </c>
      <c r="B6550" s="110" t="s">
        <v>1341</v>
      </c>
      <c r="C6550" s="111" t="s">
        <v>451</v>
      </c>
      <c r="D6550" s="111" t="str">
        <f t="shared" ref="D6550:E6550" si="6548">TRIM(B6550)</f>
        <v>Maine</v>
      </c>
      <c r="E6550" s="111" t="str">
        <f t="shared" si="6548"/>
        <v>Salem</v>
      </c>
    </row>
    <row r="6551" spans="1:5">
      <c r="A6551" s="3" t="s">
        <v>16279</v>
      </c>
      <c r="B6551" s="110" t="s">
        <v>1341</v>
      </c>
      <c r="C6551" s="111" t="s">
        <v>8231</v>
      </c>
      <c r="D6551" s="111" t="str">
        <f t="shared" ref="D6551:E6551" si="6549">TRIM(B6551)</f>
        <v>Maine</v>
      </c>
      <c r="E6551" s="111" t="str">
        <f t="shared" si="6549"/>
        <v>Sanford</v>
      </c>
    </row>
    <row r="6552" spans="1:5">
      <c r="A6552" s="3" t="s">
        <v>16280</v>
      </c>
      <c r="B6552" s="110" t="s">
        <v>1341</v>
      </c>
      <c r="C6552" s="111" t="s">
        <v>16281</v>
      </c>
      <c r="D6552" s="111" t="str">
        <f t="shared" ref="D6552:E6552" si="6550">TRIM(B6552)</f>
        <v>Maine</v>
      </c>
      <c r="E6552" s="111" t="str">
        <f t="shared" si="6550"/>
        <v>Scarborough</v>
      </c>
    </row>
    <row r="6553" spans="1:5">
      <c r="A6553" s="110" t="s">
        <v>16282</v>
      </c>
      <c r="B6553" s="110" t="s">
        <v>1341</v>
      </c>
      <c r="C6553" s="111" t="s">
        <v>16283</v>
      </c>
      <c r="D6553" s="111" t="str">
        <f t="shared" ref="D6553:E6553" si="6551">TRIM(B6553)</f>
        <v>Maine</v>
      </c>
      <c r="E6553" s="111" t="str">
        <f t="shared" si="6551"/>
        <v>Searsport</v>
      </c>
    </row>
    <row r="6554" spans="1:5">
      <c r="A6554" s="3" t="s">
        <v>16284</v>
      </c>
      <c r="B6554" s="110" t="s">
        <v>1341</v>
      </c>
      <c r="C6554" s="111" t="s">
        <v>16283</v>
      </c>
      <c r="D6554" s="111" t="str">
        <f t="shared" ref="D6554:E6554" si="6552">TRIM(B6554)</f>
        <v>Maine</v>
      </c>
      <c r="E6554" s="111" t="str">
        <f t="shared" si="6552"/>
        <v>Searsport</v>
      </c>
    </row>
    <row r="6555" spans="1:5">
      <c r="A6555" s="3" t="s">
        <v>16285</v>
      </c>
      <c r="B6555" s="110" t="s">
        <v>1341</v>
      </c>
      <c r="C6555" s="111" t="s">
        <v>15051</v>
      </c>
      <c r="D6555" s="111" t="str">
        <f t="shared" ref="D6555:E6555" si="6553">TRIM(B6555)</f>
        <v>Maine</v>
      </c>
      <c r="E6555" s="111" t="str">
        <f t="shared" si="6553"/>
        <v>Sidney</v>
      </c>
    </row>
    <row r="6556" spans="1:5">
      <c r="A6556" s="110" t="s">
        <v>16286</v>
      </c>
      <c r="B6556" s="110" t="s">
        <v>1341</v>
      </c>
      <c r="C6556" s="111" t="s">
        <v>16287</v>
      </c>
      <c r="D6556" s="111" t="str">
        <f t="shared" ref="D6556:E6556" si="6554">TRIM(B6556)</f>
        <v>Maine</v>
      </c>
      <c r="E6556" s="111" t="str">
        <f t="shared" si="6554"/>
        <v>Skowhegan</v>
      </c>
    </row>
    <row r="6557" spans="1:5">
      <c r="A6557" s="3" t="s">
        <v>16288</v>
      </c>
      <c r="B6557" s="110" t="s">
        <v>1341</v>
      </c>
      <c r="C6557" s="112" t="s">
        <v>16287</v>
      </c>
      <c r="D6557" s="111" t="str">
        <f t="shared" ref="D6557:E6557" si="6555">TRIM(B6557)</f>
        <v>Maine</v>
      </c>
      <c r="E6557" s="111" t="str">
        <f t="shared" si="6555"/>
        <v>Skowhegan</v>
      </c>
    </row>
    <row r="6558" spans="1:5">
      <c r="A6558" s="3" t="s">
        <v>16289</v>
      </c>
      <c r="B6558" s="110" t="s">
        <v>1341</v>
      </c>
      <c r="C6558" s="111" t="s">
        <v>10981</v>
      </c>
      <c r="D6558" s="111" t="str">
        <f t="shared" ref="D6558:E6558" si="6556">TRIM(B6558)</f>
        <v>Maine</v>
      </c>
      <c r="E6558" s="111" t="str">
        <f t="shared" si="6556"/>
        <v>South Berwick</v>
      </c>
    </row>
    <row r="6559" spans="1:5">
      <c r="A6559" s="110" t="s">
        <v>16290</v>
      </c>
      <c r="B6559" s="110" t="s">
        <v>1341</v>
      </c>
      <c r="C6559" s="111" t="s">
        <v>6141</v>
      </c>
      <c r="D6559" s="111" t="str">
        <f t="shared" ref="D6559:E6559" si="6557">TRIM(B6559)</f>
        <v>Maine</v>
      </c>
      <c r="E6559" s="111" t="str">
        <f t="shared" si="6557"/>
        <v>South Portland</v>
      </c>
    </row>
    <row r="6560" spans="1:5">
      <c r="A6560" s="3" t="s">
        <v>16291</v>
      </c>
      <c r="B6560" s="110" t="s">
        <v>1341</v>
      </c>
      <c r="C6560" s="111" t="s">
        <v>6141</v>
      </c>
      <c r="D6560" s="111" t="str">
        <f t="shared" ref="D6560:E6560" si="6558">TRIM(B6560)</f>
        <v>Maine</v>
      </c>
      <c r="E6560" s="111" t="str">
        <f t="shared" si="6558"/>
        <v>South Portland</v>
      </c>
    </row>
    <row r="6561" spans="1:5">
      <c r="A6561" s="3" t="s">
        <v>16292</v>
      </c>
      <c r="B6561" s="110" t="s">
        <v>1341</v>
      </c>
      <c r="C6561" s="111" t="s">
        <v>6141</v>
      </c>
      <c r="D6561" s="111" t="str">
        <f t="shared" ref="D6561:E6561" si="6559">TRIM(B6561)</f>
        <v>Maine</v>
      </c>
      <c r="E6561" s="111" t="str">
        <f t="shared" si="6559"/>
        <v>South Portland</v>
      </c>
    </row>
    <row r="6562" spans="1:5">
      <c r="A6562" s="3" t="s">
        <v>16293</v>
      </c>
      <c r="B6562" s="110" t="s">
        <v>1341</v>
      </c>
      <c r="C6562" s="111" t="s">
        <v>16294</v>
      </c>
      <c r="D6562" s="111" t="str">
        <f t="shared" ref="D6562:E6562" si="6560">TRIM(B6562)</f>
        <v>Maine</v>
      </c>
      <c r="E6562" s="111" t="str">
        <f t="shared" si="6560"/>
        <v>Stacyville</v>
      </c>
    </row>
    <row r="6563" spans="1:5">
      <c r="A6563" s="3" t="s">
        <v>16295</v>
      </c>
      <c r="B6563" s="110" t="s">
        <v>1341</v>
      </c>
      <c r="C6563" s="111" t="s">
        <v>16296</v>
      </c>
      <c r="D6563" s="111" t="str">
        <f t="shared" ref="D6563:E6563" si="6561">TRIM(B6563)</f>
        <v>Maine</v>
      </c>
      <c r="E6563" s="111" t="str">
        <f t="shared" si="6561"/>
        <v>Standish</v>
      </c>
    </row>
    <row r="6564" spans="1:5">
      <c r="A6564" s="3" t="s">
        <v>16297</v>
      </c>
      <c r="B6564" s="110" t="s">
        <v>1341</v>
      </c>
      <c r="C6564" s="111" t="s">
        <v>13876</v>
      </c>
      <c r="D6564" s="111" t="str">
        <f t="shared" ref="D6564:E6564" si="6562">TRIM(B6564)</f>
        <v>Maine</v>
      </c>
      <c r="E6564" s="111" t="str">
        <f t="shared" si="6562"/>
        <v>Sullivan</v>
      </c>
    </row>
    <row r="6565" spans="1:5">
      <c r="A6565" s="3" t="s">
        <v>16298</v>
      </c>
      <c r="B6565" s="110" t="s">
        <v>1341</v>
      </c>
      <c r="C6565" s="111" t="s">
        <v>16299</v>
      </c>
      <c r="D6565" s="111" t="str">
        <f t="shared" ref="D6565:E6565" si="6563">TRIM(B6565)</f>
        <v>Maine</v>
      </c>
      <c r="E6565" s="111" t="str">
        <f t="shared" si="6563"/>
        <v>Thorndike</v>
      </c>
    </row>
    <row r="6566" spans="1:5">
      <c r="A6566" s="3" t="s">
        <v>16300</v>
      </c>
      <c r="B6566" s="110" t="s">
        <v>1341</v>
      </c>
      <c r="C6566" s="111" t="s">
        <v>16301</v>
      </c>
      <c r="D6566" s="111" t="str">
        <f t="shared" ref="D6566:E6566" si="6564">TRIM(B6566)</f>
        <v>Maine</v>
      </c>
      <c r="E6566" s="111" t="str">
        <f t="shared" si="6564"/>
        <v>Topsham</v>
      </c>
    </row>
    <row r="6567" spans="1:5">
      <c r="A6567" s="3" t="s">
        <v>16302</v>
      </c>
      <c r="B6567" s="110" t="s">
        <v>1341</v>
      </c>
      <c r="C6567" s="111" t="s">
        <v>16303</v>
      </c>
      <c r="D6567" s="111" t="str">
        <f t="shared" ref="D6567:E6567" si="6565">TRIM(B6567)</f>
        <v>Maine</v>
      </c>
      <c r="E6567" s="111" t="str">
        <f t="shared" si="6565"/>
        <v>Turner</v>
      </c>
    </row>
    <row r="6568" spans="1:5">
      <c r="A6568" s="110" t="s">
        <v>16304</v>
      </c>
      <c r="B6568" s="110" t="s">
        <v>1341</v>
      </c>
      <c r="C6568" s="111" t="s">
        <v>4250</v>
      </c>
      <c r="D6568" s="111" t="str">
        <f t="shared" ref="D6568:E6568" si="6566">TRIM(B6568)</f>
        <v>Maine</v>
      </c>
      <c r="E6568" s="111" t="str">
        <f t="shared" si="6566"/>
        <v>Van Buren</v>
      </c>
    </row>
    <row r="6569" spans="1:5">
      <c r="A6569" s="3" t="s">
        <v>16305</v>
      </c>
      <c r="B6569" s="110" t="s">
        <v>1341</v>
      </c>
      <c r="C6569" s="111" t="s">
        <v>16306</v>
      </c>
      <c r="D6569" s="111" t="str">
        <f t="shared" ref="D6569:E6569" si="6567">TRIM(B6569)</f>
        <v>Maine</v>
      </c>
      <c r="E6569" s="111" t="str">
        <f t="shared" si="6567"/>
        <v>Waldoboro</v>
      </c>
    </row>
    <row r="6570" spans="1:5">
      <c r="A6570" s="3" t="s">
        <v>14232</v>
      </c>
      <c r="B6570" s="110" t="s">
        <v>1341</v>
      </c>
      <c r="C6570" s="111" t="s">
        <v>16307</v>
      </c>
      <c r="D6570" s="111" t="str">
        <f t="shared" ref="D6570:E6570" si="6568">TRIM(B6570)</f>
        <v>Maine</v>
      </c>
      <c r="E6570" s="111" t="str">
        <f t="shared" si="6568"/>
        <v>Wales</v>
      </c>
    </row>
    <row r="6571" spans="1:5">
      <c r="A6571" s="3" t="s">
        <v>16308</v>
      </c>
      <c r="B6571" s="110" t="s">
        <v>1341</v>
      </c>
      <c r="C6571" s="111" t="s">
        <v>13983</v>
      </c>
      <c r="D6571" s="111" t="str">
        <f t="shared" ref="D6571:E6571" si="6569">TRIM(B6571)</f>
        <v>Maine</v>
      </c>
      <c r="E6571" s="111" t="str">
        <f t="shared" si="6569"/>
        <v>Washburn</v>
      </c>
    </row>
    <row r="6572" spans="1:5">
      <c r="A6572" s="3" t="s">
        <v>16309</v>
      </c>
      <c r="B6572" s="110" t="s">
        <v>1341</v>
      </c>
      <c r="C6572" s="111" t="s">
        <v>16310</v>
      </c>
      <c r="D6572" s="111" t="str">
        <f t="shared" ref="D6572:E6572" si="6570">TRIM(B6572)</f>
        <v>Maine</v>
      </c>
      <c r="E6572" s="111" t="str">
        <f t="shared" si="6570"/>
        <v>Waterboro</v>
      </c>
    </row>
    <row r="6573" spans="1:5">
      <c r="A6573" s="3" t="s">
        <v>16311</v>
      </c>
      <c r="B6573" s="110" t="s">
        <v>1341</v>
      </c>
      <c r="C6573" s="111" t="s">
        <v>11028</v>
      </c>
      <c r="D6573" s="111" t="str">
        <f t="shared" ref="D6573:E6573" si="6571">TRIM(B6573)</f>
        <v>Maine</v>
      </c>
      <c r="E6573" s="111" t="str">
        <f t="shared" si="6571"/>
        <v>Waterville</v>
      </c>
    </row>
    <row r="6574" spans="1:5">
      <c r="A6574" s="3" t="s">
        <v>16312</v>
      </c>
      <c r="B6574" s="110" t="s">
        <v>1341</v>
      </c>
      <c r="C6574" s="111" t="s">
        <v>16313</v>
      </c>
      <c r="D6574" s="111" t="str">
        <f t="shared" ref="D6574:E6574" si="6572">TRIM(B6574)</f>
        <v>Maine</v>
      </c>
      <c r="E6574" s="111" t="str">
        <f t="shared" si="6572"/>
        <v>Wells</v>
      </c>
    </row>
    <row r="6575" spans="1:5">
      <c r="A6575" s="3" t="s">
        <v>8749</v>
      </c>
      <c r="B6575" s="110" t="s">
        <v>1341</v>
      </c>
      <c r="C6575" s="111" t="s">
        <v>8750</v>
      </c>
      <c r="D6575" s="111" t="str">
        <f t="shared" ref="D6575:E6575" si="6573">TRIM(B6575)</f>
        <v>Maine</v>
      </c>
      <c r="E6575" s="111" t="str">
        <f t="shared" si="6573"/>
        <v>Westbrook</v>
      </c>
    </row>
    <row r="6576" spans="1:5">
      <c r="A6576" s="3" t="s">
        <v>8762</v>
      </c>
      <c r="B6576" s="110" t="s">
        <v>1341</v>
      </c>
      <c r="C6576" s="111" t="s">
        <v>16314</v>
      </c>
      <c r="D6576" s="111" t="str">
        <f t="shared" ref="D6576:E6576" si="6574">TRIM(B6576)</f>
        <v>Maine</v>
      </c>
      <c r="E6576" s="111" t="str">
        <f t="shared" si="6574"/>
        <v>Windham</v>
      </c>
    </row>
    <row r="6577" spans="1:5">
      <c r="A6577" s="3" t="s">
        <v>3525</v>
      </c>
      <c r="B6577" s="110" t="s">
        <v>1341</v>
      </c>
      <c r="C6577" s="112" t="s">
        <v>3526</v>
      </c>
      <c r="D6577" s="111" t="str">
        <f t="shared" ref="D6577:E6577" si="6575">TRIM(B6577)</f>
        <v>Maine</v>
      </c>
      <c r="E6577" s="111" t="str">
        <f t="shared" si="6575"/>
        <v>Winslow</v>
      </c>
    </row>
    <row r="6578" spans="1:5">
      <c r="A6578" s="3" t="s">
        <v>16315</v>
      </c>
      <c r="B6578" s="110" t="s">
        <v>1341</v>
      </c>
      <c r="C6578" s="111" t="s">
        <v>15140</v>
      </c>
      <c r="D6578" s="111" t="str">
        <f t="shared" ref="D6578:E6578" si="6576">TRIM(B6578)</f>
        <v>Maine</v>
      </c>
      <c r="E6578" s="111" t="str">
        <f t="shared" si="6576"/>
        <v>Winthrop</v>
      </c>
    </row>
    <row r="6579" spans="1:5">
      <c r="A6579" s="3" t="s">
        <v>16316</v>
      </c>
      <c r="B6579" s="110" t="s">
        <v>1341</v>
      </c>
      <c r="C6579" s="111" t="s">
        <v>16317</v>
      </c>
      <c r="D6579" s="111" t="str">
        <f t="shared" ref="D6579:E6579" si="6577">TRIM(B6579)</f>
        <v>Maine</v>
      </c>
      <c r="E6579" s="111" t="str">
        <f t="shared" si="6577"/>
        <v>Wiscasset</v>
      </c>
    </row>
    <row r="6580" spans="1:5">
      <c r="A6580" s="3" t="s">
        <v>16318</v>
      </c>
      <c r="B6580" s="110" t="s">
        <v>1341</v>
      </c>
      <c r="C6580" s="111" t="s">
        <v>11021</v>
      </c>
      <c r="D6580" s="111" t="str">
        <f t="shared" ref="D6580:E6580" si="6578">TRIM(B6580)</f>
        <v>Maine</v>
      </c>
      <c r="E6580" s="111" t="str">
        <f t="shared" si="6578"/>
        <v>Yarmouth</v>
      </c>
    </row>
    <row r="6581" spans="1:5">
      <c r="A6581" s="3" t="s">
        <v>16319</v>
      </c>
      <c r="B6581" s="110" t="s">
        <v>1341</v>
      </c>
      <c r="C6581" s="111" t="s">
        <v>567</v>
      </c>
      <c r="D6581" s="111" t="str">
        <f t="shared" ref="D6581:E6581" si="6579">TRIM(B6581)</f>
        <v>Maine</v>
      </c>
      <c r="E6581" s="111" t="str">
        <f t="shared" si="6579"/>
        <v>York</v>
      </c>
    </row>
    <row r="6582" spans="1:5">
      <c r="A6582" s="3" t="s">
        <v>11581</v>
      </c>
      <c r="B6582" s="110" t="s">
        <v>1342</v>
      </c>
      <c r="C6582" s="112" t="s">
        <v>11582</v>
      </c>
      <c r="D6582" s="111" t="str">
        <f t="shared" ref="D6582:E6582" si="6580">TRIM(B6582)</f>
        <v>Maryland</v>
      </c>
      <c r="E6582" s="111" t="str">
        <f t="shared" si="6580"/>
        <v>Aberdeen</v>
      </c>
    </row>
    <row r="6583" spans="1:5">
      <c r="A6583" s="3" t="s">
        <v>16320</v>
      </c>
      <c r="B6583" s="110" t="s">
        <v>1342</v>
      </c>
      <c r="C6583" s="111" t="s">
        <v>16321</v>
      </c>
      <c r="D6583" s="111" t="str">
        <f t="shared" ref="D6583:E6583" si="6581">TRIM(B6583)</f>
        <v>Maryland</v>
      </c>
      <c r="E6583" s="111" t="str">
        <f t="shared" si="6581"/>
        <v>Accident</v>
      </c>
    </row>
    <row r="6584" spans="1:5">
      <c r="A6584" s="3" t="s">
        <v>16322</v>
      </c>
      <c r="B6584" s="110" t="s">
        <v>1342</v>
      </c>
      <c r="C6584" s="111" t="s">
        <v>11121</v>
      </c>
      <c r="D6584" s="111" t="str">
        <f t="shared" ref="D6584:E6584" si="6582">TRIM(B6584)</f>
        <v>Maryland</v>
      </c>
      <c r="E6584" s="111" t="str">
        <f t="shared" si="6582"/>
        <v>Annapolis</v>
      </c>
    </row>
    <row r="6585" spans="1:5">
      <c r="A6585" s="3" t="s">
        <v>16323</v>
      </c>
      <c r="B6585" s="110" t="s">
        <v>1342</v>
      </c>
      <c r="C6585" s="111" t="s">
        <v>11121</v>
      </c>
      <c r="D6585" s="111" t="str">
        <f t="shared" ref="D6585:E6585" si="6583">TRIM(B6585)</f>
        <v>Maryland</v>
      </c>
      <c r="E6585" s="111" t="str">
        <f t="shared" si="6583"/>
        <v>Annapolis</v>
      </c>
    </row>
    <row r="6586" spans="1:5">
      <c r="A6586" s="3" t="s">
        <v>16324</v>
      </c>
      <c r="B6586" s="110" t="s">
        <v>1342</v>
      </c>
      <c r="C6586" s="111" t="s">
        <v>242</v>
      </c>
      <c r="D6586" s="111" t="str">
        <f t="shared" ref="D6586:E6586" si="6584">TRIM(B6586)</f>
        <v>Maryland</v>
      </c>
      <c r="E6586" s="111" t="str">
        <f t="shared" si="6584"/>
        <v>Baltimore</v>
      </c>
    </row>
    <row r="6587" spans="1:5">
      <c r="A6587" s="110" t="s">
        <v>16325</v>
      </c>
      <c r="B6587" s="110" t="s">
        <v>1342</v>
      </c>
      <c r="C6587" s="111" t="s">
        <v>242</v>
      </c>
      <c r="D6587" s="111" t="str">
        <f t="shared" ref="D6587:E6587" si="6585">TRIM(B6587)</f>
        <v>Maryland</v>
      </c>
      <c r="E6587" s="111" t="str">
        <f t="shared" si="6585"/>
        <v>Baltimore</v>
      </c>
    </row>
    <row r="6588" spans="1:5">
      <c r="A6588" s="110" t="s">
        <v>16326</v>
      </c>
      <c r="B6588" s="110" t="s">
        <v>1342</v>
      </c>
      <c r="C6588" s="111" t="s">
        <v>242</v>
      </c>
      <c r="D6588" s="111" t="str">
        <f t="shared" ref="D6588:E6588" si="6586">TRIM(B6588)</f>
        <v>Maryland</v>
      </c>
      <c r="E6588" s="111" t="str">
        <f t="shared" si="6586"/>
        <v>Baltimore</v>
      </c>
    </row>
    <row r="6589" spans="1:5">
      <c r="A6589" s="110" t="s">
        <v>16327</v>
      </c>
      <c r="B6589" s="110" t="s">
        <v>1342</v>
      </c>
      <c r="C6589" s="111" t="s">
        <v>242</v>
      </c>
      <c r="D6589" s="111" t="str">
        <f t="shared" ref="D6589:E6589" si="6587">TRIM(B6589)</f>
        <v>Maryland</v>
      </c>
      <c r="E6589" s="111" t="str">
        <f t="shared" si="6587"/>
        <v>Baltimore</v>
      </c>
    </row>
    <row r="6590" spans="1:5">
      <c r="A6590" s="110" t="s">
        <v>16328</v>
      </c>
      <c r="B6590" s="110" t="s">
        <v>1342</v>
      </c>
      <c r="C6590" s="111" t="s">
        <v>242</v>
      </c>
      <c r="D6590" s="111" t="str">
        <f t="shared" ref="D6590:E6590" si="6588">TRIM(B6590)</f>
        <v>Maryland</v>
      </c>
      <c r="E6590" s="111" t="str">
        <f t="shared" si="6588"/>
        <v>Baltimore</v>
      </c>
    </row>
    <row r="6591" spans="1:5">
      <c r="A6591" s="110" t="s">
        <v>16329</v>
      </c>
      <c r="B6591" s="110" t="s">
        <v>1342</v>
      </c>
      <c r="C6591" s="111" t="s">
        <v>242</v>
      </c>
      <c r="D6591" s="111" t="str">
        <f t="shared" ref="D6591:E6591" si="6589">TRIM(B6591)</f>
        <v>Maryland</v>
      </c>
      <c r="E6591" s="111" t="str">
        <f t="shared" si="6589"/>
        <v>Baltimore</v>
      </c>
    </row>
    <row r="6592" spans="1:5">
      <c r="A6592" s="110" t="s">
        <v>16330</v>
      </c>
      <c r="B6592" s="110" t="s">
        <v>1342</v>
      </c>
      <c r="C6592" s="111" t="s">
        <v>242</v>
      </c>
      <c r="D6592" s="111" t="str">
        <f t="shared" ref="D6592:E6592" si="6590">TRIM(B6592)</f>
        <v>Maryland</v>
      </c>
      <c r="E6592" s="111" t="str">
        <f t="shared" si="6590"/>
        <v>Baltimore</v>
      </c>
    </row>
    <row r="6593" spans="1:5">
      <c r="A6593" s="3" t="s">
        <v>16331</v>
      </c>
      <c r="B6593" s="110" t="s">
        <v>1342</v>
      </c>
      <c r="C6593" s="111" t="s">
        <v>242</v>
      </c>
      <c r="D6593" s="111" t="str">
        <f t="shared" ref="D6593:E6593" si="6591">TRIM(B6593)</f>
        <v>Maryland</v>
      </c>
      <c r="E6593" s="111" t="str">
        <f t="shared" si="6591"/>
        <v>Baltimore</v>
      </c>
    </row>
    <row r="6594" spans="1:5">
      <c r="A6594" s="3" t="s">
        <v>16332</v>
      </c>
      <c r="B6594" s="110" t="s">
        <v>1342</v>
      </c>
      <c r="C6594" s="111" t="s">
        <v>242</v>
      </c>
      <c r="D6594" s="111" t="str">
        <f t="shared" ref="D6594:E6594" si="6592">TRIM(B6594)</f>
        <v>Maryland</v>
      </c>
      <c r="E6594" s="111" t="str">
        <f t="shared" si="6592"/>
        <v>Baltimore</v>
      </c>
    </row>
    <row r="6595" spans="1:5">
      <c r="A6595" s="3" t="s">
        <v>16333</v>
      </c>
      <c r="B6595" s="110" t="s">
        <v>1342</v>
      </c>
      <c r="C6595" s="112" t="s">
        <v>242</v>
      </c>
      <c r="D6595" s="111" t="str">
        <f t="shared" ref="D6595:E6595" si="6593">TRIM(B6595)</f>
        <v>Maryland</v>
      </c>
      <c r="E6595" s="111" t="str">
        <f t="shared" si="6593"/>
        <v>Baltimore</v>
      </c>
    </row>
    <row r="6596" spans="1:5">
      <c r="A6596" s="3" t="s">
        <v>16334</v>
      </c>
      <c r="B6596" s="110" t="s">
        <v>1342</v>
      </c>
      <c r="C6596" s="111" t="s">
        <v>242</v>
      </c>
      <c r="D6596" s="111" t="str">
        <f t="shared" ref="D6596:E6596" si="6594">TRIM(B6596)</f>
        <v>Maryland</v>
      </c>
      <c r="E6596" s="111" t="str">
        <f t="shared" si="6594"/>
        <v>Baltimore</v>
      </c>
    </row>
    <row r="6597" spans="1:5">
      <c r="A6597" s="3" t="s">
        <v>16335</v>
      </c>
      <c r="B6597" s="110" t="s">
        <v>1342</v>
      </c>
      <c r="C6597" s="111" t="s">
        <v>242</v>
      </c>
      <c r="D6597" s="111" t="str">
        <f t="shared" ref="D6597:E6597" si="6595">TRIM(B6597)</f>
        <v>Maryland</v>
      </c>
      <c r="E6597" s="111" t="str">
        <f t="shared" si="6595"/>
        <v>Baltimore</v>
      </c>
    </row>
    <row r="6598" spans="1:5">
      <c r="A6598" s="3" t="s">
        <v>16336</v>
      </c>
      <c r="B6598" s="110" t="s">
        <v>1342</v>
      </c>
      <c r="C6598" s="111" t="s">
        <v>242</v>
      </c>
      <c r="D6598" s="111" t="str">
        <f t="shared" ref="D6598:E6598" si="6596">TRIM(B6598)</f>
        <v>Maryland</v>
      </c>
      <c r="E6598" s="111" t="str">
        <f t="shared" si="6596"/>
        <v>Baltimore</v>
      </c>
    </row>
    <row r="6599" spans="1:5">
      <c r="A6599" s="110" t="s">
        <v>16337</v>
      </c>
      <c r="B6599" s="110" t="s">
        <v>1342</v>
      </c>
      <c r="C6599" s="111" t="s">
        <v>242</v>
      </c>
      <c r="D6599" s="111" t="str">
        <f t="shared" ref="D6599:E6599" si="6597">TRIM(B6599)</f>
        <v>Maryland</v>
      </c>
      <c r="E6599" s="111" t="str">
        <f t="shared" si="6597"/>
        <v>Baltimore</v>
      </c>
    </row>
    <row r="6600" spans="1:5">
      <c r="A6600" s="3" t="s">
        <v>16338</v>
      </c>
      <c r="B6600" s="110" t="s">
        <v>1342</v>
      </c>
      <c r="C6600" s="111" t="s">
        <v>242</v>
      </c>
      <c r="D6600" s="111" t="str">
        <f t="shared" ref="D6600:E6600" si="6598">TRIM(B6600)</f>
        <v>Maryland</v>
      </c>
      <c r="E6600" s="111" t="str">
        <f t="shared" si="6598"/>
        <v>Baltimore</v>
      </c>
    </row>
    <row r="6601" spans="1:5">
      <c r="A6601" s="3" t="s">
        <v>16339</v>
      </c>
      <c r="B6601" s="110" t="s">
        <v>1342</v>
      </c>
      <c r="C6601" s="111" t="s">
        <v>242</v>
      </c>
      <c r="D6601" s="111" t="str">
        <f t="shared" ref="D6601:E6601" si="6599">TRIM(B6601)</f>
        <v>Maryland</v>
      </c>
      <c r="E6601" s="111" t="str">
        <f t="shared" si="6599"/>
        <v>Baltimore</v>
      </c>
    </row>
    <row r="6602" spans="1:5">
      <c r="A6602" s="3" t="s">
        <v>10782</v>
      </c>
      <c r="B6602" s="110" t="s">
        <v>1342</v>
      </c>
      <c r="C6602" s="111" t="s">
        <v>242</v>
      </c>
      <c r="D6602" s="111" t="str">
        <f t="shared" ref="D6602:E6602" si="6600">TRIM(B6602)</f>
        <v>Maryland</v>
      </c>
      <c r="E6602" s="111" t="str">
        <f t="shared" si="6600"/>
        <v>Baltimore</v>
      </c>
    </row>
    <row r="6603" spans="1:5">
      <c r="A6603" s="3" t="s">
        <v>15735</v>
      </c>
      <c r="B6603" s="110" t="s">
        <v>1342</v>
      </c>
      <c r="C6603" s="111" t="s">
        <v>242</v>
      </c>
      <c r="D6603" s="111" t="str">
        <f t="shared" ref="D6603:E6603" si="6601">TRIM(B6603)</f>
        <v>Maryland</v>
      </c>
      <c r="E6603" s="111" t="str">
        <f t="shared" si="6601"/>
        <v>Baltimore</v>
      </c>
    </row>
    <row r="6604" spans="1:5">
      <c r="A6604" s="3" t="s">
        <v>16340</v>
      </c>
      <c r="B6604" s="110" t="s">
        <v>1342</v>
      </c>
      <c r="C6604" s="111" t="s">
        <v>242</v>
      </c>
      <c r="D6604" s="111" t="str">
        <f t="shared" ref="D6604:E6604" si="6602">TRIM(B6604)</f>
        <v>Maryland</v>
      </c>
      <c r="E6604" s="111" t="str">
        <f t="shared" si="6602"/>
        <v>Baltimore</v>
      </c>
    </row>
    <row r="6605" spans="1:5">
      <c r="A6605" s="110" t="s">
        <v>16341</v>
      </c>
      <c r="B6605" s="110" t="s">
        <v>1342</v>
      </c>
      <c r="C6605" s="111" t="s">
        <v>242</v>
      </c>
      <c r="D6605" s="111" t="str">
        <f t="shared" ref="D6605:E6605" si="6603">TRIM(B6605)</f>
        <v>Maryland</v>
      </c>
      <c r="E6605" s="111" t="str">
        <f t="shared" si="6603"/>
        <v>Baltimore</v>
      </c>
    </row>
    <row r="6606" spans="1:5">
      <c r="A6606" s="3" t="s">
        <v>16342</v>
      </c>
      <c r="B6606" s="110" t="s">
        <v>1342</v>
      </c>
      <c r="C6606" s="111" t="s">
        <v>242</v>
      </c>
      <c r="D6606" s="111" t="str">
        <f t="shared" ref="D6606:E6606" si="6604">TRIM(B6606)</f>
        <v>Maryland</v>
      </c>
      <c r="E6606" s="111" t="str">
        <f t="shared" si="6604"/>
        <v>Baltimore</v>
      </c>
    </row>
    <row r="6607" spans="1:5">
      <c r="A6607" s="3" t="s">
        <v>16343</v>
      </c>
      <c r="B6607" s="110" t="s">
        <v>1342</v>
      </c>
      <c r="C6607" s="111" t="s">
        <v>242</v>
      </c>
      <c r="D6607" s="111" t="str">
        <f t="shared" ref="D6607:E6607" si="6605">TRIM(B6607)</f>
        <v>Maryland</v>
      </c>
      <c r="E6607" s="111" t="str">
        <f t="shared" si="6605"/>
        <v>Baltimore</v>
      </c>
    </row>
    <row r="6608" spans="1:5">
      <c r="A6608" s="3" t="s">
        <v>16344</v>
      </c>
      <c r="B6608" s="110" t="s">
        <v>1342</v>
      </c>
      <c r="C6608" s="111" t="s">
        <v>242</v>
      </c>
      <c r="D6608" s="111" t="str">
        <f t="shared" ref="D6608:E6608" si="6606">TRIM(B6608)</f>
        <v>Maryland</v>
      </c>
      <c r="E6608" s="111" t="str">
        <f t="shared" si="6606"/>
        <v>Baltimore</v>
      </c>
    </row>
    <row r="6609" spans="1:5">
      <c r="A6609" s="3" t="s">
        <v>16345</v>
      </c>
      <c r="B6609" s="110" t="s">
        <v>1342</v>
      </c>
      <c r="C6609" s="111" t="s">
        <v>242</v>
      </c>
      <c r="D6609" s="111" t="str">
        <f t="shared" ref="D6609:E6609" si="6607">TRIM(B6609)</f>
        <v>Maryland</v>
      </c>
      <c r="E6609" s="111" t="str">
        <f t="shared" si="6607"/>
        <v>Baltimore</v>
      </c>
    </row>
    <row r="6610" spans="1:5">
      <c r="A6610" s="3" t="s">
        <v>16346</v>
      </c>
      <c r="B6610" s="110" t="s">
        <v>1342</v>
      </c>
      <c r="C6610" s="111" t="s">
        <v>242</v>
      </c>
      <c r="D6610" s="111" t="str">
        <f t="shared" ref="D6610:E6610" si="6608">TRIM(B6610)</f>
        <v>Maryland</v>
      </c>
      <c r="E6610" s="111" t="str">
        <f t="shared" si="6608"/>
        <v>Baltimore</v>
      </c>
    </row>
    <row r="6611" spans="1:5">
      <c r="A6611" s="3" t="s">
        <v>16347</v>
      </c>
      <c r="B6611" s="110" t="s">
        <v>1342</v>
      </c>
      <c r="C6611" s="111" t="s">
        <v>242</v>
      </c>
      <c r="D6611" s="111" t="str">
        <f t="shared" ref="D6611:E6611" si="6609">TRIM(B6611)</f>
        <v>Maryland</v>
      </c>
      <c r="E6611" s="111" t="str">
        <f t="shared" si="6609"/>
        <v>Baltimore</v>
      </c>
    </row>
    <row r="6612" spans="1:5">
      <c r="A6612" s="3" t="s">
        <v>16348</v>
      </c>
      <c r="B6612" s="110" t="s">
        <v>1342</v>
      </c>
      <c r="C6612" s="111" t="s">
        <v>242</v>
      </c>
      <c r="D6612" s="111" t="str">
        <f t="shared" ref="D6612:E6612" si="6610">TRIM(B6612)</f>
        <v>Maryland</v>
      </c>
      <c r="E6612" s="111" t="str">
        <f t="shared" si="6610"/>
        <v>Baltimore</v>
      </c>
    </row>
    <row r="6613" spans="1:5">
      <c r="A6613" s="3" t="s">
        <v>16349</v>
      </c>
      <c r="B6613" s="110" t="s">
        <v>1342</v>
      </c>
      <c r="C6613" s="111" t="s">
        <v>242</v>
      </c>
      <c r="D6613" s="111" t="str">
        <f t="shared" ref="D6613:E6613" si="6611">TRIM(B6613)</f>
        <v>Maryland</v>
      </c>
      <c r="E6613" s="111" t="str">
        <f t="shared" si="6611"/>
        <v>Baltimore</v>
      </c>
    </row>
    <row r="6614" spans="1:5">
      <c r="A6614" s="3" t="s">
        <v>16350</v>
      </c>
      <c r="B6614" s="110" t="s">
        <v>1342</v>
      </c>
      <c r="C6614" s="111" t="s">
        <v>242</v>
      </c>
      <c r="D6614" s="111" t="str">
        <f t="shared" ref="D6614:E6614" si="6612">TRIM(B6614)</f>
        <v>Maryland</v>
      </c>
      <c r="E6614" s="111" t="str">
        <f t="shared" si="6612"/>
        <v>Baltimore</v>
      </c>
    </row>
    <row r="6615" spans="1:5">
      <c r="A6615" s="3" t="s">
        <v>16351</v>
      </c>
      <c r="B6615" s="110" t="s">
        <v>1342</v>
      </c>
      <c r="C6615" s="111" t="s">
        <v>242</v>
      </c>
      <c r="D6615" s="111" t="str">
        <f t="shared" ref="D6615:E6615" si="6613">TRIM(B6615)</f>
        <v>Maryland</v>
      </c>
      <c r="E6615" s="111" t="str">
        <f t="shared" si="6613"/>
        <v>Baltimore</v>
      </c>
    </row>
    <row r="6616" spans="1:5">
      <c r="A6616" s="3" t="s">
        <v>15737</v>
      </c>
      <c r="B6616" s="110" t="s">
        <v>1342</v>
      </c>
      <c r="C6616" s="111" t="s">
        <v>242</v>
      </c>
      <c r="D6616" s="111" t="str">
        <f t="shared" ref="D6616:E6616" si="6614">TRIM(B6616)</f>
        <v>Maryland</v>
      </c>
      <c r="E6616" s="111" t="str">
        <f t="shared" si="6614"/>
        <v>Baltimore</v>
      </c>
    </row>
    <row r="6617" spans="1:5">
      <c r="A6617" s="3" t="s">
        <v>16352</v>
      </c>
      <c r="B6617" s="110" t="s">
        <v>1342</v>
      </c>
      <c r="C6617" s="111" t="s">
        <v>242</v>
      </c>
      <c r="D6617" s="111" t="str">
        <f t="shared" ref="D6617:E6617" si="6615">TRIM(B6617)</f>
        <v>Maryland</v>
      </c>
      <c r="E6617" s="111" t="str">
        <f t="shared" si="6615"/>
        <v>Baltimore</v>
      </c>
    </row>
    <row r="6618" spans="1:5">
      <c r="A6618" s="3" t="s">
        <v>16353</v>
      </c>
      <c r="B6618" s="110" t="s">
        <v>1342</v>
      </c>
      <c r="C6618" s="111" t="s">
        <v>242</v>
      </c>
      <c r="D6618" s="111" t="str">
        <f t="shared" ref="D6618:E6618" si="6616">TRIM(B6618)</f>
        <v>Maryland</v>
      </c>
      <c r="E6618" s="111" t="str">
        <f t="shared" si="6616"/>
        <v>Baltimore</v>
      </c>
    </row>
    <row r="6619" spans="1:5">
      <c r="A6619" s="3" t="s">
        <v>16354</v>
      </c>
      <c r="B6619" s="110" t="s">
        <v>1342</v>
      </c>
      <c r="C6619" s="111" t="s">
        <v>242</v>
      </c>
      <c r="D6619" s="111" t="str">
        <f t="shared" ref="D6619:E6619" si="6617">TRIM(B6619)</f>
        <v>Maryland</v>
      </c>
      <c r="E6619" s="111" t="str">
        <f t="shared" si="6617"/>
        <v>Baltimore</v>
      </c>
    </row>
    <row r="6620" spans="1:5">
      <c r="A6620" s="3" t="s">
        <v>9520</v>
      </c>
      <c r="B6620" s="110" t="s">
        <v>1342</v>
      </c>
      <c r="C6620" s="111" t="s">
        <v>242</v>
      </c>
      <c r="D6620" s="111" t="str">
        <f t="shared" ref="D6620:E6620" si="6618">TRIM(B6620)</f>
        <v>Maryland</v>
      </c>
      <c r="E6620" s="111" t="str">
        <f t="shared" si="6618"/>
        <v>Baltimore</v>
      </c>
    </row>
    <row r="6621" spans="1:5">
      <c r="A6621" s="110" t="s">
        <v>16355</v>
      </c>
      <c r="B6621" s="110" t="s">
        <v>1342</v>
      </c>
      <c r="C6621" s="111" t="s">
        <v>242</v>
      </c>
      <c r="D6621" s="111" t="str">
        <f t="shared" ref="D6621:E6621" si="6619">TRIM(B6621)</f>
        <v>Maryland</v>
      </c>
      <c r="E6621" s="111" t="str">
        <f t="shared" si="6619"/>
        <v>Baltimore</v>
      </c>
    </row>
    <row r="6622" spans="1:5">
      <c r="A6622" s="110" t="s">
        <v>16356</v>
      </c>
      <c r="B6622" s="110" t="s">
        <v>1342</v>
      </c>
      <c r="C6622" s="111" t="s">
        <v>242</v>
      </c>
      <c r="D6622" s="111" t="str">
        <f t="shared" ref="D6622:E6622" si="6620">TRIM(B6622)</f>
        <v>Maryland</v>
      </c>
      <c r="E6622" s="111" t="str">
        <f t="shared" si="6620"/>
        <v>Baltimore</v>
      </c>
    </row>
    <row r="6623" spans="1:5">
      <c r="A6623" s="3" t="s">
        <v>4343</v>
      </c>
      <c r="B6623" s="110" t="s">
        <v>1342</v>
      </c>
      <c r="C6623" s="111" t="s">
        <v>242</v>
      </c>
      <c r="D6623" s="111" t="str">
        <f t="shared" ref="D6623:E6623" si="6621">TRIM(B6623)</f>
        <v>Maryland</v>
      </c>
      <c r="E6623" s="111" t="str">
        <f t="shared" si="6621"/>
        <v>Baltimore</v>
      </c>
    </row>
    <row r="6624" spans="1:5">
      <c r="A6624" s="3" t="s">
        <v>16357</v>
      </c>
      <c r="B6624" s="110" t="s">
        <v>1342</v>
      </c>
      <c r="C6624" s="111" t="s">
        <v>242</v>
      </c>
      <c r="D6624" s="111" t="str">
        <f t="shared" ref="D6624:E6624" si="6622">TRIM(B6624)</f>
        <v>Maryland</v>
      </c>
      <c r="E6624" s="111" t="str">
        <f t="shared" si="6622"/>
        <v>Baltimore</v>
      </c>
    </row>
    <row r="6625" spans="1:5">
      <c r="A6625" s="3" t="s">
        <v>16358</v>
      </c>
      <c r="B6625" s="110" t="s">
        <v>1342</v>
      </c>
      <c r="C6625" s="111" t="s">
        <v>11117</v>
      </c>
      <c r="D6625" s="111" t="str">
        <f t="shared" ref="D6625:E6625" si="6623">TRIM(B6625)</f>
        <v>Maryland</v>
      </c>
      <c r="E6625" s="111" t="str">
        <f t="shared" si="6623"/>
        <v>Bel Air</v>
      </c>
    </row>
    <row r="6626" spans="1:5">
      <c r="A6626" s="3" t="s">
        <v>16359</v>
      </c>
      <c r="B6626" s="110" t="s">
        <v>1342</v>
      </c>
      <c r="C6626" s="111" t="s">
        <v>11117</v>
      </c>
      <c r="D6626" s="111" t="str">
        <f t="shared" ref="D6626:E6626" si="6624">TRIM(B6626)</f>
        <v>Maryland</v>
      </c>
      <c r="E6626" s="111" t="str">
        <f t="shared" si="6624"/>
        <v>Bel Air</v>
      </c>
    </row>
    <row r="6627" spans="1:5">
      <c r="A6627" s="3" t="s">
        <v>16360</v>
      </c>
      <c r="B6627" s="110" t="s">
        <v>1342</v>
      </c>
      <c r="C6627" s="111" t="s">
        <v>11117</v>
      </c>
      <c r="D6627" s="111" t="str">
        <f t="shared" ref="D6627:E6627" si="6625">TRIM(B6627)</f>
        <v>Maryland</v>
      </c>
      <c r="E6627" s="111" t="str">
        <f t="shared" si="6625"/>
        <v>Bel Air</v>
      </c>
    </row>
    <row r="6628" spans="1:5">
      <c r="A6628" s="3" t="s">
        <v>16361</v>
      </c>
      <c r="B6628" s="110" t="s">
        <v>1342</v>
      </c>
      <c r="C6628" s="111" t="s">
        <v>16362</v>
      </c>
      <c r="D6628" s="111" t="str">
        <f t="shared" ref="D6628:E6628" si="6626">TRIM(B6628)</f>
        <v>Maryland</v>
      </c>
      <c r="E6628" s="111" t="str">
        <f t="shared" si="6626"/>
        <v>Beltsville</v>
      </c>
    </row>
    <row r="6629" spans="1:5">
      <c r="A6629" s="3" t="s">
        <v>16363</v>
      </c>
      <c r="B6629" s="110" t="s">
        <v>1342</v>
      </c>
      <c r="C6629" s="111" t="s">
        <v>8338</v>
      </c>
      <c r="D6629" s="111" t="str">
        <f t="shared" ref="D6629:E6629" si="6627">TRIM(B6629)</f>
        <v>Maryland</v>
      </c>
      <c r="E6629" s="111" t="str">
        <f t="shared" si="6627"/>
        <v>Berlin</v>
      </c>
    </row>
    <row r="6630" spans="1:5">
      <c r="A6630" s="3" t="s">
        <v>16364</v>
      </c>
      <c r="B6630" s="110" t="s">
        <v>1342</v>
      </c>
      <c r="C6630" s="111" t="s">
        <v>11101</v>
      </c>
      <c r="D6630" s="111" t="str">
        <f t="shared" ref="D6630:E6630" si="6628">TRIM(B6630)</f>
        <v>Maryland</v>
      </c>
      <c r="E6630" s="111" t="str">
        <f t="shared" si="6628"/>
        <v>Bethesda</v>
      </c>
    </row>
    <row r="6631" spans="1:5">
      <c r="A6631" s="3" t="s">
        <v>16365</v>
      </c>
      <c r="B6631" s="110" t="s">
        <v>1342</v>
      </c>
      <c r="C6631" s="111" t="s">
        <v>11101</v>
      </c>
      <c r="D6631" s="111" t="str">
        <f t="shared" ref="D6631:E6631" si="6629">TRIM(B6631)</f>
        <v>Maryland</v>
      </c>
      <c r="E6631" s="111" t="str">
        <f t="shared" si="6629"/>
        <v>Bethesda</v>
      </c>
    </row>
    <row r="6632" spans="1:5">
      <c r="A6632" s="3" t="s">
        <v>16366</v>
      </c>
      <c r="B6632" s="110" t="s">
        <v>1342</v>
      </c>
      <c r="C6632" s="111" t="s">
        <v>11101</v>
      </c>
      <c r="D6632" s="111" t="str">
        <f t="shared" ref="D6632:E6632" si="6630">TRIM(B6632)</f>
        <v>Maryland</v>
      </c>
      <c r="E6632" s="111" t="str">
        <f t="shared" si="6630"/>
        <v>Bethesda</v>
      </c>
    </row>
    <row r="6633" spans="1:5">
      <c r="A6633" s="3" t="s">
        <v>16367</v>
      </c>
      <c r="B6633" s="110" t="s">
        <v>1342</v>
      </c>
      <c r="C6633" s="111" t="s">
        <v>11072</v>
      </c>
      <c r="D6633" s="111" t="str">
        <f t="shared" ref="D6633:E6633" si="6631">TRIM(B6633)</f>
        <v>Maryland</v>
      </c>
      <c r="E6633" s="111" t="str">
        <f t="shared" si="6631"/>
        <v>Bladensburg</v>
      </c>
    </row>
    <row r="6634" spans="1:5">
      <c r="A6634" s="3" t="s">
        <v>16368</v>
      </c>
      <c r="B6634" s="110" t="s">
        <v>1342</v>
      </c>
      <c r="C6634" s="111" t="s">
        <v>11072</v>
      </c>
      <c r="D6634" s="111" t="str">
        <f t="shared" ref="D6634:E6634" si="6632">TRIM(B6634)</f>
        <v>Maryland</v>
      </c>
      <c r="E6634" s="111" t="str">
        <f t="shared" si="6632"/>
        <v>Bladensburg</v>
      </c>
    </row>
    <row r="6635" spans="1:5">
      <c r="A6635" s="3" t="s">
        <v>16369</v>
      </c>
      <c r="B6635" s="110" t="s">
        <v>1342</v>
      </c>
      <c r="C6635" s="111" t="s">
        <v>16370</v>
      </c>
      <c r="D6635" s="111" t="str">
        <f t="shared" ref="D6635:E6635" si="6633">TRIM(B6635)</f>
        <v>Maryland</v>
      </c>
      <c r="E6635" s="111" t="str">
        <f t="shared" si="6633"/>
        <v>Boonsboro</v>
      </c>
    </row>
    <row r="6636" spans="1:5">
      <c r="A6636" s="3" t="s">
        <v>2485</v>
      </c>
      <c r="B6636" s="110" t="s">
        <v>1342</v>
      </c>
      <c r="C6636" s="111" t="s">
        <v>2487</v>
      </c>
      <c r="D6636" s="111" t="str">
        <f t="shared" ref="D6636:E6636" si="6634">TRIM(B6636)</f>
        <v>Maryland</v>
      </c>
      <c r="E6636" s="111" t="str">
        <f t="shared" si="6634"/>
        <v>Bowie</v>
      </c>
    </row>
    <row r="6637" spans="1:5">
      <c r="A6637" s="3" t="s">
        <v>16371</v>
      </c>
      <c r="B6637" s="110" t="s">
        <v>1342</v>
      </c>
      <c r="C6637" s="111" t="s">
        <v>16372</v>
      </c>
      <c r="D6637" s="111" t="str">
        <f t="shared" ref="D6637:E6637" si="6635">TRIM(B6637)</f>
        <v>Maryland</v>
      </c>
      <c r="E6637" s="111" t="str">
        <f t="shared" si="6635"/>
        <v>Brandywine</v>
      </c>
    </row>
    <row r="6638" spans="1:5">
      <c r="A6638" s="3" t="s">
        <v>10466</v>
      </c>
      <c r="B6638" s="110" t="s">
        <v>1342</v>
      </c>
      <c r="C6638" s="111" t="s">
        <v>10467</v>
      </c>
      <c r="D6638" s="111" t="str">
        <f t="shared" ref="D6638:E6638" si="6636">TRIM(B6638)</f>
        <v>Maryland</v>
      </c>
      <c r="E6638" s="111" t="str">
        <f t="shared" si="6636"/>
        <v>Brunswick</v>
      </c>
    </row>
    <row r="6639" spans="1:5">
      <c r="A6639" s="3" t="s">
        <v>16373</v>
      </c>
      <c r="B6639" s="110" t="s">
        <v>1342</v>
      </c>
      <c r="C6639" s="111" t="s">
        <v>16374</v>
      </c>
      <c r="D6639" s="111" t="str">
        <f t="shared" ref="D6639:E6639" si="6637">TRIM(B6639)</f>
        <v>Maryland</v>
      </c>
      <c r="E6639" s="111" t="str">
        <f t="shared" si="6637"/>
        <v>Burtonsville</v>
      </c>
    </row>
    <row r="6640" spans="1:5">
      <c r="A6640" s="3" t="s">
        <v>16375</v>
      </c>
      <c r="B6640" s="110" t="s">
        <v>1342</v>
      </c>
      <c r="C6640" s="111" t="s">
        <v>11260</v>
      </c>
      <c r="D6640" s="111" t="str">
        <f t="shared" ref="D6640:E6640" si="6638">TRIM(B6640)</f>
        <v>Maryland</v>
      </c>
      <c r="E6640" s="111" t="str">
        <f t="shared" si="6638"/>
        <v>Cambridge</v>
      </c>
    </row>
    <row r="6641" spans="1:5">
      <c r="A6641" s="3" t="s">
        <v>1843</v>
      </c>
      <c r="B6641" s="110" t="s">
        <v>1342</v>
      </c>
      <c r="C6641" s="111" t="s">
        <v>16376</v>
      </c>
      <c r="D6641" s="111" t="str">
        <f t="shared" ref="D6641:E6641" si="6639">TRIM(B6641)</f>
        <v>Maryland</v>
      </c>
      <c r="E6641" s="111" t="str">
        <f t="shared" si="6639"/>
        <v>Capitol Heights</v>
      </c>
    </row>
    <row r="6642" spans="1:5">
      <c r="A6642" s="3" t="s">
        <v>16377</v>
      </c>
      <c r="B6642" s="110" t="s">
        <v>1342</v>
      </c>
      <c r="C6642" s="111" t="s">
        <v>1619</v>
      </c>
      <c r="D6642" s="111" t="str">
        <f t="shared" ref="D6642:E6642" si="6640">TRIM(B6642)</f>
        <v>Maryland</v>
      </c>
      <c r="E6642" s="111" t="str">
        <f t="shared" si="6640"/>
        <v>Centreville</v>
      </c>
    </row>
    <row r="6643" spans="1:5">
      <c r="A6643" s="3" t="s">
        <v>16378</v>
      </c>
      <c r="B6643" s="110" t="s">
        <v>1342</v>
      </c>
      <c r="C6643" s="113" t="s">
        <v>16379</v>
      </c>
      <c r="D6643" s="111" t="str">
        <f t="shared" ref="D6643:E6643" si="6641">TRIM(B6643)</f>
        <v>Maryland</v>
      </c>
      <c r="E6643" s="111" t="str">
        <f t="shared" si="6641"/>
        <v>Chesapeake City</v>
      </c>
    </row>
    <row r="6644" spans="1:5">
      <c r="A6644" s="3" t="s">
        <v>16380</v>
      </c>
      <c r="B6644" s="110" t="s">
        <v>1342</v>
      </c>
      <c r="C6644" s="111" t="s">
        <v>4697</v>
      </c>
      <c r="D6644" s="111" t="str">
        <f t="shared" ref="D6644:E6644" si="6642">TRIM(B6644)</f>
        <v>Maryland</v>
      </c>
      <c r="E6644" s="111" t="str">
        <f t="shared" si="6642"/>
        <v>Clarksburg</v>
      </c>
    </row>
    <row r="6645" spans="1:5">
      <c r="A6645" s="3" t="s">
        <v>16381</v>
      </c>
      <c r="B6645" s="110" t="s">
        <v>1342</v>
      </c>
      <c r="C6645" s="111" t="s">
        <v>3693</v>
      </c>
      <c r="D6645" s="111" t="str">
        <f t="shared" ref="D6645:E6645" si="6643">TRIM(B6645)</f>
        <v>Maryland</v>
      </c>
      <c r="E6645" s="111" t="str">
        <f t="shared" si="6643"/>
        <v>Clarksville</v>
      </c>
    </row>
    <row r="6646" spans="1:5">
      <c r="A6646" s="3" t="s">
        <v>16382</v>
      </c>
      <c r="B6646" s="110" t="s">
        <v>1342</v>
      </c>
      <c r="C6646" s="111" t="s">
        <v>16383</v>
      </c>
      <c r="D6646" s="111" t="str">
        <f t="shared" ref="D6646:E6646" si="6644">TRIM(B6646)</f>
        <v>Maryland</v>
      </c>
      <c r="E6646" s="111" t="str">
        <f t="shared" si="6644"/>
        <v>Clear Spring</v>
      </c>
    </row>
    <row r="6647" spans="1:5">
      <c r="A6647" s="3" t="s">
        <v>16384</v>
      </c>
      <c r="B6647" s="110" t="s">
        <v>1342</v>
      </c>
      <c r="C6647" s="111" t="s">
        <v>3697</v>
      </c>
      <c r="D6647" s="111" t="str">
        <f t="shared" ref="D6647:E6647" si="6645">TRIM(B6647)</f>
        <v>Maryland</v>
      </c>
      <c r="E6647" s="111" t="str">
        <f t="shared" si="6645"/>
        <v>Clinton</v>
      </c>
    </row>
    <row r="6648" spans="1:5">
      <c r="A6648" s="3" t="s">
        <v>16385</v>
      </c>
      <c r="B6648" s="110" t="s">
        <v>1342</v>
      </c>
      <c r="C6648" s="111" t="s">
        <v>356</v>
      </c>
      <c r="D6648" s="111" t="str">
        <f t="shared" ref="D6648:E6648" si="6646">TRIM(B6648)</f>
        <v>Maryland</v>
      </c>
      <c r="E6648" s="111" t="str">
        <f t="shared" si="6646"/>
        <v>Columbia</v>
      </c>
    </row>
    <row r="6649" spans="1:5">
      <c r="A6649" s="3" t="s">
        <v>14384</v>
      </c>
      <c r="B6649" s="110" t="s">
        <v>1342</v>
      </c>
      <c r="C6649" s="111" t="s">
        <v>356</v>
      </c>
      <c r="D6649" s="111" t="str">
        <f t="shared" ref="D6649:E6649" si="6647">TRIM(B6649)</f>
        <v>Maryland</v>
      </c>
      <c r="E6649" s="111" t="str">
        <f t="shared" si="6647"/>
        <v>Columbia</v>
      </c>
    </row>
    <row r="6650" spans="1:5">
      <c r="A6650" s="3" t="s">
        <v>16386</v>
      </c>
      <c r="B6650" s="110" t="s">
        <v>1342</v>
      </c>
      <c r="C6650" s="111" t="s">
        <v>356</v>
      </c>
      <c r="D6650" s="111" t="str">
        <f t="shared" ref="D6650:E6650" si="6648">TRIM(B6650)</f>
        <v>Maryland</v>
      </c>
      <c r="E6650" s="111" t="str">
        <f t="shared" si="6648"/>
        <v>Columbia</v>
      </c>
    </row>
    <row r="6651" spans="1:5">
      <c r="A6651" s="3" t="s">
        <v>16387</v>
      </c>
      <c r="B6651" s="110" t="s">
        <v>1342</v>
      </c>
      <c r="C6651" s="111" t="s">
        <v>356</v>
      </c>
      <c r="D6651" s="111" t="str">
        <f t="shared" ref="D6651:E6651" si="6649">TRIM(B6651)</f>
        <v>Maryland</v>
      </c>
      <c r="E6651" s="111" t="str">
        <f t="shared" si="6649"/>
        <v>Columbia</v>
      </c>
    </row>
    <row r="6652" spans="1:5">
      <c r="A6652" s="3" t="s">
        <v>16388</v>
      </c>
      <c r="B6652" s="110" t="s">
        <v>1342</v>
      </c>
      <c r="C6652" s="111" t="s">
        <v>356</v>
      </c>
      <c r="D6652" s="111" t="str">
        <f t="shared" ref="D6652:E6652" si="6650">TRIM(B6652)</f>
        <v>Maryland</v>
      </c>
      <c r="E6652" s="111" t="str">
        <f t="shared" si="6650"/>
        <v>Columbia</v>
      </c>
    </row>
    <row r="6653" spans="1:5">
      <c r="A6653" s="3" t="s">
        <v>16389</v>
      </c>
      <c r="B6653" s="110" t="s">
        <v>1342</v>
      </c>
      <c r="C6653" s="111" t="s">
        <v>16390</v>
      </c>
      <c r="D6653" s="111" t="str">
        <f t="shared" ref="D6653:E6653" si="6651">TRIM(B6653)</f>
        <v>Maryland</v>
      </c>
      <c r="E6653" s="111" t="str">
        <f t="shared" si="6651"/>
        <v>Crisfield</v>
      </c>
    </row>
    <row r="6654" spans="1:5">
      <c r="A6654" s="3" t="s">
        <v>16391</v>
      </c>
      <c r="B6654" s="110" t="s">
        <v>1342</v>
      </c>
      <c r="C6654" s="111" t="s">
        <v>11058</v>
      </c>
      <c r="D6654" s="111" t="str">
        <f t="shared" ref="D6654:E6654" si="6652">TRIM(B6654)</f>
        <v>Maryland</v>
      </c>
      <c r="E6654" s="111" t="str">
        <f t="shared" si="6652"/>
        <v>Cumberland</v>
      </c>
    </row>
    <row r="6655" spans="1:5">
      <c r="A6655" s="3" t="s">
        <v>16392</v>
      </c>
      <c r="B6655" s="110" t="s">
        <v>1342</v>
      </c>
      <c r="C6655" s="111" t="s">
        <v>11058</v>
      </c>
      <c r="D6655" s="111" t="str">
        <f t="shared" ref="D6655:E6655" si="6653">TRIM(B6655)</f>
        <v>Maryland</v>
      </c>
      <c r="E6655" s="111" t="str">
        <f t="shared" si="6653"/>
        <v>Cumberland</v>
      </c>
    </row>
    <row r="6656" spans="1:5">
      <c r="A6656" s="3" t="s">
        <v>16393</v>
      </c>
      <c r="B6656" s="110" t="s">
        <v>1342</v>
      </c>
      <c r="C6656" s="111" t="s">
        <v>10386</v>
      </c>
      <c r="D6656" s="111" t="str">
        <f t="shared" ref="D6656:E6656" si="6654">TRIM(B6656)</f>
        <v>Maryland</v>
      </c>
      <c r="E6656" s="111" t="str">
        <f t="shared" si="6654"/>
        <v>Damascus</v>
      </c>
    </row>
    <row r="6657" spans="1:5">
      <c r="A6657" s="3" t="s">
        <v>16394</v>
      </c>
      <c r="B6657" s="110" t="s">
        <v>1342</v>
      </c>
      <c r="C6657" s="111" t="s">
        <v>9761</v>
      </c>
      <c r="D6657" s="111" t="str">
        <f t="shared" ref="D6657:E6657" si="6655">TRIM(B6657)</f>
        <v>Maryland</v>
      </c>
      <c r="E6657" s="111" t="str">
        <f t="shared" si="6655"/>
        <v>Easton</v>
      </c>
    </row>
    <row r="6658" spans="1:5">
      <c r="A6658" s="3" t="s">
        <v>16395</v>
      </c>
      <c r="B6658" s="110" t="s">
        <v>1342</v>
      </c>
      <c r="C6658" s="111" t="s">
        <v>7869</v>
      </c>
      <c r="D6658" s="111" t="str">
        <f t="shared" ref="D6658:E6658" si="6656">TRIM(B6658)</f>
        <v>Maryland</v>
      </c>
      <c r="E6658" s="111" t="str">
        <f t="shared" si="6656"/>
        <v>Edgewater</v>
      </c>
    </row>
    <row r="6659" spans="1:5">
      <c r="A6659" s="3" t="s">
        <v>7466</v>
      </c>
      <c r="B6659" s="110" t="s">
        <v>1342</v>
      </c>
      <c r="C6659" s="111" t="s">
        <v>253</v>
      </c>
      <c r="D6659" s="111" t="str">
        <f t="shared" ref="D6659:E6659" si="6657">TRIM(B6659)</f>
        <v>Maryland</v>
      </c>
      <c r="E6659" s="111" t="str">
        <f t="shared" si="6657"/>
        <v>Edgewood</v>
      </c>
    </row>
    <row r="6660" spans="1:5">
      <c r="A6660" s="3" t="s">
        <v>16396</v>
      </c>
      <c r="B6660" s="110" t="s">
        <v>1342</v>
      </c>
      <c r="C6660" s="111" t="s">
        <v>15674</v>
      </c>
      <c r="D6660" s="111" t="str">
        <f t="shared" ref="D6660:E6660" si="6658">TRIM(B6660)</f>
        <v>Maryland</v>
      </c>
      <c r="E6660" s="111" t="str">
        <f t="shared" si="6658"/>
        <v>Elkton</v>
      </c>
    </row>
    <row r="6661" spans="1:5">
      <c r="A6661" s="3" t="s">
        <v>2905</v>
      </c>
      <c r="B6661" s="110" t="s">
        <v>1342</v>
      </c>
      <c r="C6661" s="111" t="s">
        <v>11089</v>
      </c>
      <c r="D6661" s="111" t="str">
        <f t="shared" ref="D6661:E6661" si="6659">TRIM(B6661)</f>
        <v>Maryland</v>
      </c>
      <c r="E6661" s="111" t="str">
        <f t="shared" si="6659"/>
        <v>Ellicott City</v>
      </c>
    </row>
    <row r="6662" spans="1:5">
      <c r="A6662" s="3" t="s">
        <v>11017</v>
      </c>
      <c r="B6662" s="110" t="s">
        <v>1342</v>
      </c>
      <c r="C6662" s="111" t="s">
        <v>11089</v>
      </c>
      <c r="D6662" s="111" t="str">
        <f t="shared" ref="D6662:E6662" si="6660">TRIM(B6662)</f>
        <v>Maryland</v>
      </c>
      <c r="E6662" s="111" t="str">
        <f t="shared" si="6660"/>
        <v>Ellicott City</v>
      </c>
    </row>
    <row r="6663" spans="1:5">
      <c r="A6663" s="3" t="s">
        <v>16397</v>
      </c>
      <c r="B6663" s="110" t="s">
        <v>1342</v>
      </c>
      <c r="C6663" s="111" t="s">
        <v>11089</v>
      </c>
      <c r="D6663" s="111" t="str">
        <f t="shared" ref="D6663:E6663" si="6661">TRIM(B6663)</f>
        <v>Maryland</v>
      </c>
      <c r="E6663" s="111" t="str">
        <f t="shared" si="6661"/>
        <v>Ellicott City</v>
      </c>
    </row>
    <row r="6664" spans="1:5">
      <c r="A6664" s="3" t="s">
        <v>16398</v>
      </c>
      <c r="B6664" s="110" t="s">
        <v>1342</v>
      </c>
      <c r="C6664" s="111" t="s">
        <v>16399</v>
      </c>
      <c r="D6664" s="111" t="str">
        <f t="shared" ref="D6664:E6664" si="6662">TRIM(B6664)</f>
        <v>Maryland</v>
      </c>
      <c r="E6664" s="111" t="str">
        <f t="shared" si="6662"/>
        <v>Fallston</v>
      </c>
    </row>
    <row r="6665" spans="1:5">
      <c r="A6665" s="3" t="s">
        <v>16400</v>
      </c>
      <c r="B6665" s="110" t="s">
        <v>1342</v>
      </c>
      <c r="C6665" s="111" t="s">
        <v>16401</v>
      </c>
      <c r="D6665" s="111" t="str">
        <f t="shared" ref="D6665:E6665" si="6663">TRIM(B6665)</f>
        <v>Maryland</v>
      </c>
      <c r="E6665" s="111" t="str">
        <f t="shared" si="6663"/>
        <v>Federalsburg</v>
      </c>
    </row>
    <row r="6666" spans="1:5">
      <c r="A6666" s="3" t="s">
        <v>16402</v>
      </c>
      <c r="B6666" s="110" t="s">
        <v>1342</v>
      </c>
      <c r="C6666" s="111" t="s">
        <v>5048</v>
      </c>
      <c r="D6666" s="111" t="str">
        <f t="shared" ref="D6666:E6666" si="6664">TRIM(B6666)</f>
        <v>Maryland</v>
      </c>
      <c r="E6666" s="111" t="str">
        <f t="shared" si="6664"/>
        <v>Forestville</v>
      </c>
    </row>
    <row r="6667" spans="1:5">
      <c r="A6667" s="3" t="s">
        <v>16403</v>
      </c>
      <c r="B6667" s="110" t="s">
        <v>1342</v>
      </c>
      <c r="C6667" s="111" t="s">
        <v>13062</v>
      </c>
      <c r="D6667" s="111" t="str">
        <f t="shared" ref="D6667:E6667" si="6665">TRIM(B6667)</f>
        <v>Maryland</v>
      </c>
      <c r="E6667" s="111" t="str">
        <f t="shared" si="6665"/>
        <v>Fort Washington</v>
      </c>
    </row>
    <row r="6668" spans="1:5">
      <c r="A6668" s="3" t="s">
        <v>16404</v>
      </c>
      <c r="B6668" s="110" t="s">
        <v>1342</v>
      </c>
      <c r="C6668" s="111" t="s">
        <v>7921</v>
      </c>
      <c r="D6668" s="111" t="str">
        <f t="shared" ref="D6668:E6668" si="6666">TRIM(B6668)</f>
        <v>Maryland</v>
      </c>
      <c r="E6668" s="111" t="str">
        <f t="shared" si="6666"/>
        <v>Frederick</v>
      </c>
    </row>
    <row r="6669" spans="1:5">
      <c r="A6669" s="3" t="s">
        <v>16405</v>
      </c>
      <c r="B6669" s="110" t="s">
        <v>1342</v>
      </c>
      <c r="C6669" s="111" t="s">
        <v>7921</v>
      </c>
      <c r="D6669" s="111" t="str">
        <f t="shared" ref="D6669:E6669" si="6667">TRIM(B6669)</f>
        <v>Maryland</v>
      </c>
      <c r="E6669" s="111" t="str">
        <f t="shared" si="6667"/>
        <v>Frederick</v>
      </c>
    </row>
    <row r="6670" spans="1:5">
      <c r="A6670" s="3" t="s">
        <v>16406</v>
      </c>
      <c r="B6670" s="110" t="s">
        <v>1342</v>
      </c>
      <c r="C6670" s="111" t="s">
        <v>7921</v>
      </c>
      <c r="D6670" s="111" t="str">
        <f t="shared" ref="D6670:E6670" si="6668">TRIM(B6670)</f>
        <v>Maryland</v>
      </c>
      <c r="E6670" s="111" t="str">
        <f t="shared" si="6668"/>
        <v>Frederick</v>
      </c>
    </row>
    <row r="6671" spans="1:5">
      <c r="A6671" s="3" t="s">
        <v>16407</v>
      </c>
      <c r="B6671" s="110" t="s">
        <v>1342</v>
      </c>
      <c r="C6671" s="111" t="s">
        <v>7921</v>
      </c>
      <c r="D6671" s="111" t="str">
        <f t="shared" ref="D6671:E6671" si="6669">TRIM(B6671)</f>
        <v>Maryland</v>
      </c>
      <c r="E6671" s="111" t="str">
        <f t="shared" si="6669"/>
        <v>Frederick</v>
      </c>
    </row>
    <row r="6672" spans="1:5">
      <c r="A6672" s="3" t="s">
        <v>2734</v>
      </c>
      <c r="B6672" s="110" t="s">
        <v>1342</v>
      </c>
      <c r="C6672" s="111" t="s">
        <v>16408</v>
      </c>
      <c r="D6672" s="111" t="str">
        <f t="shared" ref="D6672:E6672" si="6670">TRIM(B6672)</f>
        <v>Maryland</v>
      </c>
      <c r="E6672" s="111" t="str">
        <f t="shared" si="6670"/>
        <v>Frostburg</v>
      </c>
    </row>
    <row r="6673" spans="1:5">
      <c r="A6673" s="3" t="s">
        <v>15396</v>
      </c>
      <c r="B6673" s="110" t="s">
        <v>1342</v>
      </c>
      <c r="C6673" s="111" t="s">
        <v>16409</v>
      </c>
      <c r="D6673" s="111" t="str">
        <f t="shared" ref="D6673:E6673" si="6671">TRIM(B6673)</f>
        <v>Maryland</v>
      </c>
      <c r="E6673" s="111" t="str">
        <f t="shared" si="6671"/>
        <v>Ft Meade</v>
      </c>
    </row>
    <row r="6674" spans="1:5">
      <c r="A6674" s="3" t="s">
        <v>16410</v>
      </c>
      <c r="B6674" s="110" t="s">
        <v>1342</v>
      </c>
      <c r="C6674" s="111" t="s">
        <v>12926</v>
      </c>
      <c r="D6674" s="111" t="str">
        <f t="shared" ref="D6674:E6674" si="6672">TRIM(B6674)</f>
        <v>Maryland</v>
      </c>
      <c r="E6674" s="111" t="str">
        <f t="shared" si="6672"/>
        <v>Fulton</v>
      </c>
    </row>
    <row r="6675" spans="1:5">
      <c r="A6675" s="3" t="s">
        <v>16411</v>
      </c>
      <c r="B6675" s="110" t="s">
        <v>1342</v>
      </c>
      <c r="C6675" s="111" t="s">
        <v>11051</v>
      </c>
      <c r="D6675" s="111" t="str">
        <f t="shared" ref="D6675:E6675" si="6673">TRIM(B6675)</f>
        <v>Maryland</v>
      </c>
      <c r="E6675" s="111" t="str">
        <f t="shared" si="6673"/>
        <v>Gaithersburg</v>
      </c>
    </row>
    <row r="6676" spans="1:5">
      <c r="A6676" s="3" t="s">
        <v>16412</v>
      </c>
      <c r="B6676" s="110" t="s">
        <v>1342</v>
      </c>
      <c r="C6676" s="111" t="s">
        <v>11051</v>
      </c>
      <c r="D6676" s="111" t="str">
        <f t="shared" ref="D6676:E6676" si="6674">TRIM(B6676)</f>
        <v>Maryland</v>
      </c>
      <c r="E6676" s="111" t="str">
        <f t="shared" si="6674"/>
        <v>Gaithersburg</v>
      </c>
    </row>
    <row r="6677" spans="1:5">
      <c r="A6677" s="3" t="s">
        <v>16413</v>
      </c>
      <c r="B6677" s="110" t="s">
        <v>1342</v>
      </c>
      <c r="C6677" s="111" t="s">
        <v>11051</v>
      </c>
      <c r="D6677" s="111" t="str">
        <f t="shared" ref="D6677:E6677" si="6675">TRIM(B6677)</f>
        <v>Maryland</v>
      </c>
      <c r="E6677" s="111" t="str">
        <f t="shared" si="6675"/>
        <v>Gaithersburg</v>
      </c>
    </row>
    <row r="6678" spans="1:5">
      <c r="A6678" s="3" t="s">
        <v>16414</v>
      </c>
      <c r="B6678" s="110" t="s">
        <v>1342</v>
      </c>
      <c r="C6678" s="111" t="s">
        <v>16415</v>
      </c>
      <c r="D6678" s="111" t="str">
        <f t="shared" ref="D6678:E6678" si="6676">TRIM(B6678)</f>
        <v>Maryland</v>
      </c>
      <c r="E6678" s="111" t="str">
        <f t="shared" si="6676"/>
        <v>Gambrills</v>
      </c>
    </row>
    <row r="6679" spans="1:5">
      <c r="A6679" s="3" t="s">
        <v>15590</v>
      </c>
      <c r="B6679" s="110" t="s">
        <v>1342</v>
      </c>
      <c r="C6679" s="111" t="s">
        <v>1157</v>
      </c>
      <c r="D6679" s="111" t="str">
        <f t="shared" ref="D6679:E6679" si="6677">TRIM(B6679)</f>
        <v>Maryland</v>
      </c>
      <c r="E6679" s="111" t="str">
        <f t="shared" si="6677"/>
        <v>Germantown</v>
      </c>
    </row>
    <row r="6680" spans="1:5">
      <c r="A6680" s="3" t="s">
        <v>16416</v>
      </c>
      <c r="B6680" s="110" t="s">
        <v>1342</v>
      </c>
      <c r="C6680" s="111" t="s">
        <v>1157</v>
      </c>
      <c r="D6680" s="111" t="str">
        <f t="shared" ref="D6680:E6680" si="6678">TRIM(B6680)</f>
        <v>Maryland</v>
      </c>
      <c r="E6680" s="111" t="str">
        <f t="shared" si="6678"/>
        <v>Germantown</v>
      </c>
    </row>
    <row r="6681" spans="1:5">
      <c r="A6681" s="3" t="s">
        <v>16417</v>
      </c>
      <c r="B6681" s="110" t="s">
        <v>1342</v>
      </c>
      <c r="C6681" s="111" t="s">
        <v>16418</v>
      </c>
      <c r="D6681" s="111" t="str">
        <f t="shared" ref="D6681:E6681" si="6679">TRIM(B6681)</f>
        <v>Maryland</v>
      </c>
      <c r="E6681" s="111" t="str">
        <f t="shared" si="6679"/>
        <v>Glen Burnie</v>
      </c>
    </row>
    <row r="6682" spans="1:5">
      <c r="A6682" s="3" t="s">
        <v>16419</v>
      </c>
      <c r="B6682" s="110" t="s">
        <v>1342</v>
      </c>
      <c r="C6682" s="111" t="s">
        <v>16418</v>
      </c>
      <c r="D6682" s="111" t="str">
        <f t="shared" ref="D6682:E6682" si="6680">TRIM(B6682)</f>
        <v>Maryland</v>
      </c>
      <c r="E6682" s="111" t="str">
        <f t="shared" si="6680"/>
        <v>Glen Burnie</v>
      </c>
    </row>
    <row r="6683" spans="1:5">
      <c r="A6683" s="3" t="s">
        <v>16420</v>
      </c>
      <c r="B6683" s="110" t="s">
        <v>1342</v>
      </c>
      <c r="C6683" s="111" t="s">
        <v>16421</v>
      </c>
      <c r="D6683" s="111" t="str">
        <f t="shared" ref="D6683:E6683" si="6681">TRIM(B6683)</f>
        <v>Maryland</v>
      </c>
      <c r="E6683" s="111" t="str">
        <f t="shared" si="6681"/>
        <v>Glenelg</v>
      </c>
    </row>
    <row r="6684" spans="1:5">
      <c r="A6684" s="3" t="s">
        <v>16422</v>
      </c>
      <c r="B6684" s="110" t="s">
        <v>1342</v>
      </c>
      <c r="C6684" s="111" t="s">
        <v>16423</v>
      </c>
      <c r="D6684" s="111" t="str">
        <f t="shared" ref="D6684:E6684" si="6682">TRIM(B6684)</f>
        <v>Maryland</v>
      </c>
      <c r="E6684" s="111" t="str">
        <f t="shared" si="6682"/>
        <v>Great Mills</v>
      </c>
    </row>
    <row r="6685" spans="1:5">
      <c r="A6685" s="3" t="s">
        <v>4879</v>
      </c>
      <c r="B6685" s="110" t="s">
        <v>1342</v>
      </c>
      <c r="C6685" s="111" t="s">
        <v>16424</v>
      </c>
      <c r="D6685" s="111" t="str">
        <f t="shared" ref="D6685:E6685" si="6683">TRIM(B6685)</f>
        <v>Maryland</v>
      </c>
      <c r="E6685" s="111" t="str">
        <f t="shared" si="6683"/>
        <v>Greenbelt</v>
      </c>
    </row>
    <row r="6686" spans="1:5">
      <c r="A6686" s="110" t="s">
        <v>16425</v>
      </c>
      <c r="B6686" s="110" t="s">
        <v>1342</v>
      </c>
      <c r="C6686" s="111" t="s">
        <v>11093</v>
      </c>
      <c r="D6686" s="111" t="str">
        <f t="shared" ref="D6686:E6686" si="6684">TRIM(B6686)</f>
        <v>Maryland</v>
      </c>
      <c r="E6686" s="111" t="str">
        <f t="shared" si="6684"/>
        <v>Hagerstown</v>
      </c>
    </row>
    <row r="6687" spans="1:5">
      <c r="A6687" s="3" t="s">
        <v>16426</v>
      </c>
      <c r="B6687" s="110" t="s">
        <v>1342</v>
      </c>
      <c r="C6687" s="111" t="s">
        <v>11093</v>
      </c>
      <c r="D6687" s="111" t="str">
        <f t="shared" ref="D6687:E6687" si="6685">TRIM(B6687)</f>
        <v>Maryland</v>
      </c>
      <c r="E6687" s="111" t="str">
        <f t="shared" si="6685"/>
        <v>Hagerstown</v>
      </c>
    </row>
    <row r="6688" spans="1:5">
      <c r="A6688" s="3" t="s">
        <v>16427</v>
      </c>
      <c r="B6688" s="110" t="s">
        <v>1342</v>
      </c>
      <c r="C6688" s="111" t="s">
        <v>11093</v>
      </c>
      <c r="D6688" s="111" t="str">
        <f t="shared" ref="D6688:E6688" si="6686">TRIM(B6688)</f>
        <v>Maryland</v>
      </c>
      <c r="E6688" s="111" t="str">
        <f t="shared" si="6686"/>
        <v>Hagerstown</v>
      </c>
    </row>
    <row r="6689" spans="1:5">
      <c r="A6689" s="3" t="s">
        <v>16428</v>
      </c>
      <c r="B6689" s="110" t="s">
        <v>1342</v>
      </c>
      <c r="C6689" s="111" t="s">
        <v>16429</v>
      </c>
      <c r="D6689" s="111" t="str">
        <f t="shared" ref="D6689:E6689" si="6687">TRIM(B6689)</f>
        <v>Maryland</v>
      </c>
      <c r="E6689" s="111" t="str">
        <f t="shared" si="6687"/>
        <v>Hancock</v>
      </c>
    </row>
    <row r="6690" spans="1:5">
      <c r="A6690" s="110" t="s">
        <v>16430</v>
      </c>
      <c r="B6690" s="110" t="s">
        <v>1342</v>
      </c>
      <c r="C6690" s="111" t="s">
        <v>13019</v>
      </c>
      <c r="D6690" s="111" t="str">
        <f t="shared" ref="D6690:E6690" si="6688">TRIM(B6690)</f>
        <v>Maryland</v>
      </c>
      <c r="E6690" s="111" t="str">
        <f t="shared" si="6688"/>
        <v>Hanover</v>
      </c>
    </row>
    <row r="6691" spans="1:5">
      <c r="A6691" s="3" t="s">
        <v>15757</v>
      </c>
      <c r="B6691" s="110" t="s">
        <v>1342</v>
      </c>
      <c r="C6691" s="111" t="s">
        <v>16431</v>
      </c>
      <c r="D6691" s="111" t="str">
        <f t="shared" ref="D6691:E6691" si="6689">TRIM(B6691)</f>
        <v>Maryland</v>
      </c>
      <c r="E6691" s="111" t="str">
        <f t="shared" si="6689"/>
        <v>Harwood</v>
      </c>
    </row>
    <row r="6692" spans="1:5">
      <c r="A6692" s="3" t="s">
        <v>16432</v>
      </c>
      <c r="B6692" s="110" t="s">
        <v>1342</v>
      </c>
      <c r="C6692" s="111" t="s">
        <v>16433</v>
      </c>
      <c r="D6692" s="111" t="str">
        <f t="shared" ref="D6692:E6692" si="6690">TRIM(B6692)</f>
        <v>Maryland</v>
      </c>
      <c r="E6692" s="111" t="str">
        <f t="shared" si="6690"/>
        <v>Havre De Grace</v>
      </c>
    </row>
    <row r="6693" spans="1:5">
      <c r="A6693" s="3" t="s">
        <v>16434</v>
      </c>
      <c r="B6693" s="110" t="s">
        <v>1342</v>
      </c>
      <c r="C6693" s="111" t="s">
        <v>11202</v>
      </c>
      <c r="D6693" s="111" t="str">
        <f t="shared" ref="D6693:E6693" si="6691">TRIM(B6693)</f>
        <v>Maryland</v>
      </c>
      <c r="E6693" s="111" t="str">
        <f t="shared" si="6691"/>
        <v>Huntingtown</v>
      </c>
    </row>
    <row r="6694" spans="1:5">
      <c r="A6694" s="3" t="s">
        <v>16435</v>
      </c>
      <c r="B6694" s="110" t="s">
        <v>1342</v>
      </c>
      <c r="C6694" s="111" t="s">
        <v>16436</v>
      </c>
      <c r="D6694" s="111" t="str">
        <f t="shared" ref="D6694:E6694" si="6692">TRIM(B6694)</f>
        <v>Maryland</v>
      </c>
      <c r="E6694" s="111" t="str">
        <f t="shared" si="6692"/>
        <v>Hurlock</v>
      </c>
    </row>
    <row r="6695" spans="1:5">
      <c r="A6695" s="3" t="s">
        <v>13546</v>
      </c>
      <c r="B6695" s="110" t="s">
        <v>1342</v>
      </c>
      <c r="C6695" s="111" t="s">
        <v>591</v>
      </c>
      <c r="D6695" s="111" t="str">
        <f t="shared" ref="D6695:E6695" si="6693">TRIM(B6695)</f>
        <v>Maryland</v>
      </c>
      <c r="E6695" s="111" t="str">
        <f t="shared" si="6693"/>
        <v>Hyattsville</v>
      </c>
    </row>
    <row r="6696" spans="1:5">
      <c r="A6696" s="3" t="s">
        <v>6120</v>
      </c>
      <c r="B6696" s="110" t="s">
        <v>1342</v>
      </c>
      <c r="C6696" s="111" t="s">
        <v>11077</v>
      </c>
      <c r="D6696" s="111" t="str">
        <f t="shared" ref="D6696:E6696" si="6694">TRIM(B6696)</f>
        <v>Maryland</v>
      </c>
      <c r="E6696" s="111" t="str">
        <f t="shared" si="6694"/>
        <v>Ijamsville</v>
      </c>
    </row>
    <row r="6697" spans="1:5">
      <c r="A6697" s="3" t="s">
        <v>13935</v>
      </c>
      <c r="B6697" s="110" t="s">
        <v>1342</v>
      </c>
      <c r="C6697" s="111" t="s">
        <v>11077</v>
      </c>
      <c r="D6697" s="111" t="str">
        <f t="shared" ref="D6697:E6697" si="6695">TRIM(B6697)</f>
        <v>Maryland</v>
      </c>
      <c r="E6697" s="111" t="str">
        <f t="shared" si="6695"/>
        <v>Ijamsville</v>
      </c>
    </row>
    <row r="6698" spans="1:5">
      <c r="A6698" s="3" t="s">
        <v>16437</v>
      </c>
      <c r="B6698" s="110" t="s">
        <v>1342</v>
      </c>
      <c r="C6698" s="111" t="s">
        <v>16438</v>
      </c>
      <c r="D6698" s="111" t="str">
        <f t="shared" ref="D6698:E6698" si="6696">TRIM(B6698)</f>
        <v>Maryland</v>
      </c>
      <c r="E6698" s="111" t="str">
        <f t="shared" si="6696"/>
        <v>Indian Head</v>
      </c>
    </row>
    <row r="6699" spans="1:5">
      <c r="A6699" s="3" t="s">
        <v>16439</v>
      </c>
      <c r="B6699" s="110" t="s">
        <v>1342</v>
      </c>
      <c r="C6699" s="111" t="s">
        <v>11190</v>
      </c>
      <c r="D6699" s="111" t="str">
        <f t="shared" ref="D6699:E6699" si="6697">TRIM(B6699)</f>
        <v>Maryland</v>
      </c>
      <c r="E6699" s="111" t="str">
        <f t="shared" si="6697"/>
        <v>Joppa</v>
      </c>
    </row>
    <row r="6700" spans="1:5">
      <c r="A6700" s="3" t="s">
        <v>16440</v>
      </c>
      <c r="B6700" s="110" t="s">
        <v>1342</v>
      </c>
      <c r="C6700" s="111" t="s">
        <v>11043</v>
      </c>
      <c r="D6700" s="111" t="str">
        <f t="shared" ref="D6700:E6700" si="6698">TRIM(B6700)</f>
        <v>Maryland</v>
      </c>
      <c r="E6700" s="111" t="str">
        <f t="shared" si="6698"/>
        <v>Kensington</v>
      </c>
    </row>
    <row r="6701" spans="1:5">
      <c r="A6701" s="3" t="s">
        <v>16441</v>
      </c>
      <c r="B6701" s="110" t="s">
        <v>1342</v>
      </c>
      <c r="C6701" s="111" t="s">
        <v>16442</v>
      </c>
      <c r="D6701" s="111" t="str">
        <f t="shared" ref="D6701:E6701" si="6699">TRIM(B6701)</f>
        <v>Maryland</v>
      </c>
      <c r="E6701" s="111" t="str">
        <f t="shared" si="6699"/>
        <v>La Plata</v>
      </c>
    </row>
    <row r="6702" spans="1:5">
      <c r="A6702" s="3" t="s">
        <v>16443</v>
      </c>
      <c r="B6702" s="110" t="s">
        <v>1342</v>
      </c>
      <c r="C6702" s="111" t="s">
        <v>16444</v>
      </c>
      <c r="D6702" s="111" t="str">
        <f t="shared" ref="D6702:E6702" si="6700">TRIM(B6702)</f>
        <v>Maryland</v>
      </c>
      <c r="E6702" s="111" t="str">
        <f t="shared" si="6700"/>
        <v>Landover</v>
      </c>
    </row>
    <row r="6703" spans="1:5">
      <c r="A6703" s="3" t="s">
        <v>16445</v>
      </c>
      <c r="B6703" s="110" t="s">
        <v>1342</v>
      </c>
      <c r="C6703" s="111" t="s">
        <v>16446</v>
      </c>
      <c r="D6703" s="111" t="str">
        <f t="shared" ref="D6703:E6703" si="6701">TRIM(B6703)</f>
        <v>Maryland</v>
      </c>
      <c r="E6703" s="111" t="str">
        <f t="shared" si="6701"/>
        <v>Lanham</v>
      </c>
    </row>
    <row r="6704" spans="1:5">
      <c r="A6704" s="3" t="s">
        <v>16447</v>
      </c>
      <c r="B6704" s="110" t="s">
        <v>1342</v>
      </c>
      <c r="C6704" s="111" t="s">
        <v>9531</v>
      </c>
      <c r="D6704" s="111" t="str">
        <f t="shared" ref="D6704:E6704" si="6702">TRIM(B6704)</f>
        <v>Maryland</v>
      </c>
      <c r="E6704" s="111" t="str">
        <f t="shared" si="6702"/>
        <v>Largo</v>
      </c>
    </row>
    <row r="6705" spans="1:5">
      <c r="A6705" s="3" t="s">
        <v>16448</v>
      </c>
      <c r="B6705" s="110" t="s">
        <v>1342</v>
      </c>
      <c r="C6705" s="111" t="s">
        <v>8825</v>
      </c>
      <c r="D6705" s="111" t="str">
        <f t="shared" ref="D6705:E6705" si="6703">TRIM(B6705)</f>
        <v>Maryland</v>
      </c>
      <c r="E6705" s="111" t="str">
        <f t="shared" si="6703"/>
        <v>Laurel</v>
      </c>
    </row>
    <row r="6706" spans="1:5">
      <c r="A6706" s="3" t="s">
        <v>16449</v>
      </c>
      <c r="B6706" s="110" t="s">
        <v>1342</v>
      </c>
      <c r="C6706" s="111" t="s">
        <v>11125</v>
      </c>
      <c r="D6706" s="111" t="str">
        <f t="shared" ref="D6706:E6706" si="6704">TRIM(B6706)</f>
        <v>Maryland</v>
      </c>
      <c r="E6706" s="111" t="str">
        <f t="shared" si="6704"/>
        <v>Leonardtown</v>
      </c>
    </row>
    <row r="6707" spans="1:5">
      <c r="A6707" s="3" t="s">
        <v>16450</v>
      </c>
      <c r="B6707" s="110" t="s">
        <v>1342</v>
      </c>
      <c r="C6707" s="111" t="s">
        <v>16451</v>
      </c>
      <c r="D6707" s="111" t="str">
        <f t="shared" ref="D6707:E6707" si="6705">TRIM(B6707)</f>
        <v>Maryland</v>
      </c>
      <c r="E6707" s="111" t="str">
        <f t="shared" si="6705"/>
        <v>Lusby</v>
      </c>
    </row>
    <row r="6708" spans="1:5">
      <c r="A6708" s="3" t="s">
        <v>16452</v>
      </c>
      <c r="B6708" s="110" t="s">
        <v>1342</v>
      </c>
      <c r="C6708" s="111" t="s">
        <v>8540</v>
      </c>
      <c r="D6708" s="111" t="str">
        <f t="shared" ref="D6708:E6708" si="6706">TRIM(B6708)</f>
        <v>Maryland</v>
      </c>
      <c r="E6708" s="111" t="str">
        <f t="shared" si="6706"/>
        <v>Manchester</v>
      </c>
    </row>
    <row r="6709" spans="1:5">
      <c r="A6709" s="3" t="s">
        <v>16453</v>
      </c>
      <c r="B6709" s="110" t="s">
        <v>1342</v>
      </c>
      <c r="C6709" s="111" t="s">
        <v>16454</v>
      </c>
      <c r="D6709" s="111" t="str">
        <f t="shared" ref="D6709:E6709" si="6707">TRIM(B6709)</f>
        <v>Maryland</v>
      </c>
      <c r="E6709" s="111" t="str">
        <f t="shared" si="6707"/>
        <v>Mardela Springs</v>
      </c>
    </row>
    <row r="6710" spans="1:5">
      <c r="A6710" s="3" t="s">
        <v>16455</v>
      </c>
      <c r="B6710" s="110" t="s">
        <v>1342</v>
      </c>
      <c r="C6710" s="111" t="s">
        <v>16456</v>
      </c>
      <c r="D6710" s="111" t="str">
        <f t="shared" ref="D6710:E6710" si="6708">TRIM(B6710)</f>
        <v>Maryland</v>
      </c>
      <c r="E6710" s="111" t="str">
        <f t="shared" si="6708"/>
        <v>Marriottsville</v>
      </c>
    </row>
    <row r="6711" spans="1:5">
      <c r="A6711" s="3" t="s">
        <v>5945</v>
      </c>
      <c r="B6711" s="110" t="s">
        <v>1342</v>
      </c>
      <c r="C6711" s="111" t="s">
        <v>500</v>
      </c>
      <c r="D6711" s="111" t="str">
        <f t="shared" ref="D6711:E6711" si="6709">TRIM(B6711)</f>
        <v>Maryland</v>
      </c>
      <c r="E6711" s="111" t="str">
        <f t="shared" si="6709"/>
        <v>Middletown</v>
      </c>
    </row>
    <row r="6712" spans="1:5">
      <c r="A6712" s="3" t="s">
        <v>16457</v>
      </c>
      <c r="B6712" s="110" t="s">
        <v>1342</v>
      </c>
      <c r="C6712" s="111" t="s">
        <v>16458</v>
      </c>
      <c r="D6712" s="111" t="str">
        <f t="shared" ref="D6712:E6712" si="6710">TRIM(B6712)</f>
        <v>Maryland</v>
      </c>
      <c r="E6712" s="111" t="str">
        <f t="shared" si="6710"/>
        <v>Millersville</v>
      </c>
    </row>
    <row r="6713" spans="1:5">
      <c r="A6713" s="3" t="s">
        <v>16459</v>
      </c>
      <c r="B6713" s="110" t="s">
        <v>1342</v>
      </c>
      <c r="C6713" s="111" t="s">
        <v>16460</v>
      </c>
      <c r="D6713" s="111" t="str">
        <f t="shared" ref="D6713:E6713" si="6711">TRIM(B6713)</f>
        <v>Maryland</v>
      </c>
      <c r="E6713" s="111" t="str">
        <f t="shared" si="6711"/>
        <v>Morganza</v>
      </c>
    </row>
    <row r="6714" spans="1:5">
      <c r="A6714" s="3" t="s">
        <v>15162</v>
      </c>
      <c r="B6714" s="110" t="s">
        <v>1342</v>
      </c>
      <c r="C6714" s="111" t="s">
        <v>11212</v>
      </c>
      <c r="D6714" s="111" t="str">
        <f t="shared" ref="D6714:E6714" si="6712">TRIM(B6714)</f>
        <v>Maryland</v>
      </c>
      <c r="E6714" s="111" t="str">
        <f t="shared" si="6712"/>
        <v>North East</v>
      </c>
    </row>
    <row r="6715" spans="1:5">
      <c r="A6715" s="3" t="s">
        <v>14571</v>
      </c>
      <c r="B6715" s="110" t="s">
        <v>1342</v>
      </c>
      <c r="C6715" s="111" t="s">
        <v>11212</v>
      </c>
      <c r="D6715" s="111" t="str">
        <f t="shared" ref="D6715:E6715" si="6713">TRIM(B6715)</f>
        <v>Maryland</v>
      </c>
      <c r="E6715" s="111" t="str">
        <f t="shared" si="6713"/>
        <v>North East</v>
      </c>
    </row>
    <row r="6716" spans="1:5">
      <c r="A6716" s="3" t="s">
        <v>16461</v>
      </c>
      <c r="B6716" s="110" t="s">
        <v>1342</v>
      </c>
      <c r="C6716" s="111" t="s">
        <v>662</v>
      </c>
      <c r="D6716" s="111" t="str">
        <f t="shared" ref="D6716:E6716" si="6714">TRIM(B6716)</f>
        <v>Maryland</v>
      </c>
      <c r="E6716" s="111" t="str">
        <f t="shared" si="6714"/>
        <v>Oakland</v>
      </c>
    </row>
    <row r="6717" spans="1:5">
      <c r="A6717" s="3" t="s">
        <v>16462</v>
      </c>
      <c r="B6717" s="110" t="s">
        <v>1342</v>
      </c>
      <c r="C6717" s="111" t="s">
        <v>16463</v>
      </c>
      <c r="D6717" s="111" t="str">
        <f t="shared" ref="D6717:E6717" si="6715">TRIM(B6717)</f>
        <v>Maryland</v>
      </c>
      <c r="E6717" s="111" t="str">
        <f t="shared" si="6715"/>
        <v>Owings</v>
      </c>
    </row>
    <row r="6718" spans="1:5">
      <c r="A6718" s="3" t="s">
        <v>16464</v>
      </c>
      <c r="B6718" s="110" t="s">
        <v>1342</v>
      </c>
      <c r="C6718" s="111" t="s">
        <v>11114</v>
      </c>
      <c r="D6718" s="111" t="str">
        <f t="shared" ref="D6718:E6718" si="6716">TRIM(B6718)</f>
        <v>Maryland</v>
      </c>
      <c r="E6718" s="111" t="str">
        <f t="shared" si="6716"/>
        <v>Owings Mills</v>
      </c>
    </row>
    <row r="6719" spans="1:5">
      <c r="A6719" s="3" t="s">
        <v>16465</v>
      </c>
      <c r="B6719" s="110" t="s">
        <v>1342</v>
      </c>
      <c r="C6719" s="111" t="s">
        <v>11114</v>
      </c>
      <c r="D6719" s="111" t="str">
        <f t="shared" ref="D6719:E6719" si="6717">TRIM(B6719)</f>
        <v>Maryland</v>
      </c>
      <c r="E6719" s="111" t="str">
        <f t="shared" si="6717"/>
        <v>Owings Mills</v>
      </c>
    </row>
    <row r="6720" spans="1:5">
      <c r="A6720" s="3" t="s">
        <v>16466</v>
      </c>
      <c r="B6720" s="110" t="s">
        <v>1342</v>
      </c>
      <c r="C6720" s="111" t="s">
        <v>2850</v>
      </c>
      <c r="D6720" s="111" t="str">
        <f t="shared" ref="D6720:E6720" si="6718">TRIM(B6720)</f>
        <v>Maryland</v>
      </c>
      <c r="E6720" s="111" t="str">
        <f t="shared" si="6718"/>
        <v>Oxon Hill</v>
      </c>
    </row>
    <row r="6721" spans="1:5">
      <c r="A6721" s="3" t="s">
        <v>16467</v>
      </c>
      <c r="B6721" s="110" t="s">
        <v>1342</v>
      </c>
      <c r="C6721" s="111" t="s">
        <v>2850</v>
      </c>
      <c r="D6721" s="111" t="str">
        <f t="shared" ref="D6721:E6721" si="6719">TRIM(B6721)</f>
        <v>Maryland</v>
      </c>
      <c r="E6721" s="111" t="str">
        <f t="shared" si="6719"/>
        <v>Oxon Hill</v>
      </c>
    </row>
    <row r="6722" spans="1:5">
      <c r="A6722" s="3" t="s">
        <v>16468</v>
      </c>
      <c r="B6722" s="110" t="s">
        <v>1342</v>
      </c>
      <c r="C6722" s="111" t="s">
        <v>16469</v>
      </c>
      <c r="D6722" s="111" t="str">
        <f t="shared" ref="D6722:E6722" si="6720">TRIM(B6722)</f>
        <v>Maryland</v>
      </c>
      <c r="E6722" s="111" t="str">
        <f t="shared" si="6720"/>
        <v>Parkton</v>
      </c>
    </row>
    <row r="6723" spans="1:5">
      <c r="A6723" s="3" t="s">
        <v>16335</v>
      </c>
      <c r="B6723" s="110" t="s">
        <v>1342</v>
      </c>
      <c r="C6723" s="111" t="s">
        <v>486</v>
      </c>
      <c r="D6723" s="111" t="str">
        <f t="shared" ref="D6723:E6723" si="6721">TRIM(B6723)</f>
        <v>Maryland</v>
      </c>
      <c r="E6723" s="111" t="str">
        <f t="shared" si="6721"/>
        <v>Pasadena</v>
      </c>
    </row>
    <row r="6724" spans="1:5">
      <c r="A6724" s="3" t="s">
        <v>9797</v>
      </c>
      <c r="B6724" s="110" t="s">
        <v>1342</v>
      </c>
      <c r="C6724" s="111" t="s">
        <v>486</v>
      </c>
      <c r="D6724" s="111" t="str">
        <f t="shared" ref="D6724:E6724" si="6722">TRIM(B6724)</f>
        <v>Maryland</v>
      </c>
      <c r="E6724" s="111" t="str">
        <f t="shared" si="6722"/>
        <v>Pasadena</v>
      </c>
    </row>
    <row r="6725" spans="1:5">
      <c r="A6725" s="3" t="s">
        <v>4124</v>
      </c>
      <c r="B6725" s="110" t="s">
        <v>1342</v>
      </c>
      <c r="C6725" s="111" t="s">
        <v>4125</v>
      </c>
      <c r="D6725" s="111" t="str">
        <f t="shared" ref="D6725:E6725" si="6723">TRIM(B6725)</f>
        <v>Maryland</v>
      </c>
      <c r="E6725" s="111" t="str">
        <f t="shared" si="6723"/>
        <v>Perryville</v>
      </c>
    </row>
    <row r="6726" spans="1:5">
      <c r="A6726" s="3" t="s">
        <v>16470</v>
      </c>
      <c r="B6726" s="110" t="s">
        <v>1342</v>
      </c>
      <c r="C6726" s="111" t="s">
        <v>16471</v>
      </c>
      <c r="D6726" s="111" t="str">
        <f t="shared" ref="D6726:E6726" si="6724">TRIM(B6726)</f>
        <v>Maryland</v>
      </c>
      <c r="E6726" s="111" t="str">
        <f t="shared" si="6724"/>
        <v>Pocomoke City</v>
      </c>
    </row>
    <row r="6727" spans="1:5">
      <c r="A6727" s="3" t="s">
        <v>16472</v>
      </c>
      <c r="B6727" s="110" t="s">
        <v>1342</v>
      </c>
      <c r="C6727" s="111" t="s">
        <v>9793</v>
      </c>
      <c r="D6727" s="111" t="str">
        <f t="shared" ref="D6727:E6727" si="6725">TRIM(B6727)</f>
        <v>Maryland</v>
      </c>
      <c r="E6727" s="111" t="str">
        <f t="shared" si="6725"/>
        <v>Pomfret</v>
      </c>
    </row>
    <row r="6728" spans="1:5">
      <c r="A6728" s="3" t="s">
        <v>16473</v>
      </c>
      <c r="B6728" s="110" t="s">
        <v>1342</v>
      </c>
      <c r="C6728" s="111" t="s">
        <v>16474</v>
      </c>
      <c r="D6728" s="111" t="str">
        <f t="shared" ref="D6728:E6728" si="6726">TRIM(B6728)</f>
        <v>Maryland</v>
      </c>
      <c r="E6728" s="111" t="str">
        <f t="shared" si="6726"/>
        <v>Poolesville</v>
      </c>
    </row>
    <row r="6729" spans="1:5">
      <c r="A6729" s="3" t="s">
        <v>16475</v>
      </c>
      <c r="B6729" s="110" t="s">
        <v>1342</v>
      </c>
      <c r="C6729" s="111" t="s">
        <v>11060</v>
      </c>
      <c r="D6729" s="111" t="str">
        <f t="shared" ref="D6729:E6729" si="6727">TRIM(B6729)</f>
        <v>Maryland</v>
      </c>
      <c r="E6729" s="111" t="str">
        <f t="shared" si="6727"/>
        <v>Potomac</v>
      </c>
    </row>
    <row r="6730" spans="1:5">
      <c r="A6730" s="3" t="s">
        <v>16476</v>
      </c>
      <c r="B6730" s="110" t="s">
        <v>1342</v>
      </c>
      <c r="C6730" s="111" t="s">
        <v>16477</v>
      </c>
      <c r="D6730" s="111" t="str">
        <f t="shared" ref="D6730:E6730" si="6728">TRIM(B6730)</f>
        <v>Maryland</v>
      </c>
      <c r="E6730" s="111" t="str">
        <f t="shared" si="6728"/>
        <v>Prince Frederick</v>
      </c>
    </row>
    <row r="6731" spans="1:5">
      <c r="A6731" s="3" t="s">
        <v>16478</v>
      </c>
      <c r="B6731" s="110" t="s">
        <v>1342</v>
      </c>
      <c r="C6731" s="111" t="s">
        <v>258</v>
      </c>
      <c r="D6731" s="111" t="str">
        <f t="shared" ref="D6731:E6731" si="6729">TRIM(B6731)</f>
        <v>Maryland</v>
      </c>
      <c r="E6731" s="111" t="str">
        <f t="shared" si="6729"/>
        <v>Princess Anne</v>
      </c>
    </row>
    <row r="6732" spans="1:5">
      <c r="A6732" s="3" t="s">
        <v>16479</v>
      </c>
      <c r="B6732" s="110" t="s">
        <v>1342</v>
      </c>
      <c r="C6732" s="111" t="s">
        <v>16480</v>
      </c>
      <c r="D6732" s="111" t="str">
        <f t="shared" ref="D6732:E6732" si="6730">TRIM(B6732)</f>
        <v>Maryland</v>
      </c>
      <c r="E6732" s="111" t="str">
        <f t="shared" si="6730"/>
        <v>Pylesville</v>
      </c>
    </row>
    <row r="6733" spans="1:5">
      <c r="A6733" s="3" t="s">
        <v>16481</v>
      </c>
      <c r="B6733" s="110" t="s">
        <v>1342</v>
      </c>
      <c r="C6733" s="111" t="s">
        <v>16482</v>
      </c>
      <c r="D6733" s="111" t="str">
        <f t="shared" ref="D6733:E6733" si="6731">TRIM(B6733)</f>
        <v>Maryland</v>
      </c>
      <c r="E6733" s="111" t="str">
        <f t="shared" si="6731"/>
        <v>Randallstown</v>
      </c>
    </row>
    <row r="6734" spans="1:5">
      <c r="A6734" s="3" t="s">
        <v>4937</v>
      </c>
      <c r="B6734" s="110" t="s">
        <v>1342</v>
      </c>
      <c r="C6734" s="111" t="s">
        <v>16483</v>
      </c>
      <c r="D6734" s="111" t="str">
        <f t="shared" ref="D6734:E6734" si="6732">TRIM(B6734)</f>
        <v>Maryland</v>
      </c>
      <c r="E6734" s="111" t="str">
        <f t="shared" si="6732"/>
        <v>Reisterstown</v>
      </c>
    </row>
    <row r="6735" spans="1:5">
      <c r="A6735" s="3" t="s">
        <v>16484</v>
      </c>
      <c r="B6735" s="110" t="s">
        <v>1342</v>
      </c>
      <c r="C6735" s="111" t="s">
        <v>16485</v>
      </c>
      <c r="D6735" s="111" t="str">
        <f t="shared" ref="D6735:E6735" si="6733">TRIM(B6735)</f>
        <v>Maryland</v>
      </c>
      <c r="E6735" s="111" t="str">
        <f t="shared" si="6733"/>
        <v>Ridgely</v>
      </c>
    </row>
    <row r="6736" spans="1:5">
      <c r="A6736" s="3" t="s">
        <v>16486</v>
      </c>
      <c r="B6736" s="110" t="s">
        <v>1342</v>
      </c>
      <c r="C6736" s="111" t="s">
        <v>6553</v>
      </c>
      <c r="D6736" s="111" t="str">
        <f t="shared" ref="D6736:E6736" si="6734">TRIM(B6736)</f>
        <v>Maryland</v>
      </c>
      <c r="E6736" s="111" t="str">
        <f t="shared" si="6734"/>
        <v>Riverdale</v>
      </c>
    </row>
    <row r="6737" spans="1:5">
      <c r="A6737" s="3" t="s">
        <v>16487</v>
      </c>
      <c r="B6737" s="110" t="s">
        <v>1342</v>
      </c>
      <c r="C6737" s="111" t="s">
        <v>6553</v>
      </c>
      <c r="D6737" s="111" t="str">
        <f t="shared" ref="D6737:E6737" si="6735">TRIM(B6737)</f>
        <v>Maryland</v>
      </c>
      <c r="E6737" s="111" t="str">
        <f t="shared" si="6735"/>
        <v>Riverdale</v>
      </c>
    </row>
    <row r="6738" spans="1:5">
      <c r="A6738" s="3" t="s">
        <v>16488</v>
      </c>
      <c r="B6738" s="110" t="s">
        <v>1342</v>
      </c>
      <c r="C6738" s="111" t="s">
        <v>14579</v>
      </c>
      <c r="D6738" s="111" t="str">
        <f t="shared" ref="D6738:E6738" si="6736">TRIM(B6738)</f>
        <v>Maryland</v>
      </c>
      <c r="E6738" s="111" t="str">
        <f t="shared" si="6736"/>
        <v>Rockville</v>
      </c>
    </row>
    <row r="6739" spans="1:5">
      <c r="A6739" s="3" t="s">
        <v>16489</v>
      </c>
      <c r="B6739" s="110" t="s">
        <v>1342</v>
      </c>
      <c r="C6739" s="111" t="s">
        <v>14579</v>
      </c>
      <c r="D6739" s="111" t="str">
        <f t="shared" ref="D6739:E6739" si="6737">TRIM(B6739)</f>
        <v>Maryland</v>
      </c>
      <c r="E6739" s="111" t="str">
        <f t="shared" si="6737"/>
        <v>Rockville</v>
      </c>
    </row>
    <row r="6740" spans="1:5">
      <c r="A6740" s="3" t="s">
        <v>8713</v>
      </c>
      <c r="B6740" s="110" t="s">
        <v>1342</v>
      </c>
      <c r="C6740" s="111" t="s">
        <v>14579</v>
      </c>
      <c r="D6740" s="111" t="str">
        <f t="shared" ref="D6740:E6740" si="6738">TRIM(B6740)</f>
        <v>Maryland</v>
      </c>
      <c r="E6740" s="111" t="str">
        <f t="shared" si="6738"/>
        <v>Rockville</v>
      </c>
    </row>
    <row r="6741" spans="1:5">
      <c r="A6741" s="3" t="s">
        <v>16490</v>
      </c>
      <c r="B6741" s="110" t="s">
        <v>1342</v>
      </c>
      <c r="C6741" s="111" t="s">
        <v>14579</v>
      </c>
      <c r="D6741" s="111" t="str">
        <f t="shared" ref="D6741:E6741" si="6739">TRIM(B6741)</f>
        <v>Maryland</v>
      </c>
      <c r="E6741" s="111" t="str">
        <f t="shared" si="6739"/>
        <v>Rockville</v>
      </c>
    </row>
    <row r="6742" spans="1:5">
      <c r="A6742" s="3" t="s">
        <v>16491</v>
      </c>
      <c r="B6742" s="110" t="s">
        <v>1342</v>
      </c>
      <c r="C6742" s="111" t="s">
        <v>422</v>
      </c>
      <c r="D6742" s="111" t="str">
        <f t="shared" ref="D6742:E6742" si="6740">TRIM(B6742)</f>
        <v>Maryland</v>
      </c>
      <c r="E6742" s="111" t="str">
        <f t="shared" si="6740"/>
        <v>Salisbury</v>
      </c>
    </row>
    <row r="6743" spans="1:5">
      <c r="A6743" s="3" t="s">
        <v>16492</v>
      </c>
      <c r="B6743" s="110" t="s">
        <v>1342</v>
      </c>
      <c r="C6743" s="111" t="s">
        <v>422</v>
      </c>
      <c r="D6743" s="111" t="str">
        <f t="shared" ref="D6743:E6743" si="6741">TRIM(B6743)</f>
        <v>Maryland</v>
      </c>
      <c r="E6743" s="111" t="str">
        <f t="shared" si="6741"/>
        <v>Salisbury</v>
      </c>
    </row>
    <row r="6744" spans="1:5">
      <c r="A6744" s="3" t="s">
        <v>16493</v>
      </c>
      <c r="B6744" s="110" t="s">
        <v>1342</v>
      </c>
      <c r="C6744" s="111" t="s">
        <v>422</v>
      </c>
      <c r="D6744" s="111" t="str">
        <f t="shared" ref="D6744:E6744" si="6742">TRIM(B6744)</f>
        <v>Maryland</v>
      </c>
      <c r="E6744" s="111" t="str">
        <f t="shared" si="6742"/>
        <v>Salisbury</v>
      </c>
    </row>
    <row r="6745" spans="1:5">
      <c r="A6745" s="3" t="s">
        <v>16494</v>
      </c>
      <c r="B6745" s="110" t="s">
        <v>1342</v>
      </c>
      <c r="C6745" s="111" t="s">
        <v>11156</v>
      </c>
      <c r="D6745" s="111" t="str">
        <f t="shared" ref="D6745:E6745" si="6743">TRIM(B6745)</f>
        <v>Maryland</v>
      </c>
      <c r="E6745" s="111" t="str">
        <f t="shared" si="6743"/>
        <v>Sandy Spring</v>
      </c>
    </row>
    <row r="6746" spans="1:5">
      <c r="A6746" s="3" t="s">
        <v>16495</v>
      </c>
      <c r="B6746" s="110" t="s">
        <v>1342</v>
      </c>
      <c r="C6746" s="111" t="s">
        <v>16496</v>
      </c>
      <c r="D6746" s="111" t="str">
        <f t="shared" ref="D6746:E6746" si="6744">TRIM(B6746)</f>
        <v>Maryland</v>
      </c>
      <c r="E6746" s="111" t="str">
        <f t="shared" si="6744"/>
        <v>Severna Park</v>
      </c>
    </row>
    <row r="6747" spans="1:5">
      <c r="A6747" s="3" t="s">
        <v>16497</v>
      </c>
      <c r="B6747" s="110" t="s">
        <v>1342</v>
      </c>
      <c r="C6747" s="111" t="s">
        <v>11054</v>
      </c>
      <c r="D6747" s="111" t="str">
        <f t="shared" ref="D6747:E6747" si="6745">TRIM(B6747)</f>
        <v>Maryland</v>
      </c>
      <c r="E6747" s="111" t="str">
        <f t="shared" si="6745"/>
        <v>Silver Spring</v>
      </c>
    </row>
    <row r="6748" spans="1:5">
      <c r="A6748" s="3" t="s">
        <v>5072</v>
      </c>
      <c r="B6748" s="110" t="s">
        <v>1342</v>
      </c>
      <c r="C6748" s="111" t="s">
        <v>11054</v>
      </c>
      <c r="D6748" s="111" t="str">
        <f t="shared" ref="D6748:E6748" si="6746">TRIM(B6748)</f>
        <v>Maryland</v>
      </c>
      <c r="E6748" s="111" t="str">
        <f t="shared" si="6746"/>
        <v>Silver Spring</v>
      </c>
    </row>
    <row r="6749" spans="1:5">
      <c r="A6749" s="3" t="s">
        <v>16498</v>
      </c>
      <c r="B6749" s="110" t="s">
        <v>1342</v>
      </c>
      <c r="C6749" s="111" t="s">
        <v>11054</v>
      </c>
      <c r="D6749" s="111" t="str">
        <f t="shared" ref="D6749:E6749" si="6747">TRIM(B6749)</f>
        <v>Maryland</v>
      </c>
      <c r="E6749" s="111" t="str">
        <f t="shared" si="6747"/>
        <v>Silver Spring</v>
      </c>
    </row>
    <row r="6750" spans="1:5">
      <c r="A6750" s="3" t="s">
        <v>5341</v>
      </c>
      <c r="B6750" s="110" t="s">
        <v>1342</v>
      </c>
      <c r="C6750" s="111" t="s">
        <v>11054</v>
      </c>
      <c r="D6750" s="111" t="str">
        <f t="shared" ref="D6750:E6750" si="6748">TRIM(B6750)</f>
        <v>Maryland</v>
      </c>
      <c r="E6750" s="111" t="str">
        <f t="shared" si="6748"/>
        <v>Silver Spring</v>
      </c>
    </row>
    <row r="6751" spans="1:5">
      <c r="A6751" s="3" t="s">
        <v>16499</v>
      </c>
      <c r="B6751" s="110" t="s">
        <v>1342</v>
      </c>
      <c r="C6751" s="111" t="s">
        <v>11054</v>
      </c>
      <c r="D6751" s="111" t="str">
        <f t="shared" ref="D6751:E6751" si="6749">TRIM(B6751)</f>
        <v>Maryland</v>
      </c>
      <c r="E6751" s="111" t="str">
        <f t="shared" si="6749"/>
        <v>Silver Spring</v>
      </c>
    </row>
    <row r="6752" spans="1:5">
      <c r="A6752" s="3" t="s">
        <v>16500</v>
      </c>
      <c r="B6752" s="110" t="s">
        <v>1342</v>
      </c>
      <c r="C6752" s="111" t="s">
        <v>11054</v>
      </c>
      <c r="D6752" s="111" t="str">
        <f t="shared" ref="D6752:E6752" si="6750">TRIM(B6752)</f>
        <v>Maryland</v>
      </c>
      <c r="E6752" s="111" t="str">
        <f t="shared" si="6750"/>
        <v>Silver Spring</v>
      </c>
    </row>
    <row r="6753" spans="1:5">
      <c r="A6753" s="3" t="s">
        <v>16501</v>
      </c>
      <c r="B6753" s="110" t="s">
        <v>1342</v>
      </c>
      <c r="C6753" s="111" t="s">
        <v>16502</v>
      </c>
      <c r="D6753" s="111" t="str">
        <f t="shared" ref="D6753:E6753" si="6751">TRIM(B6753)</f>
        <v>Maryland</v>
      </c>
      <c r="E6753" s="111" t="str">
        <f t="shared" si="6751"/>
        <v>Smithsburg</v>
      </c>
    </row>
    <row r="6754" spans="1:5">
      <c r="A6754" s="3" t="s">
        <v>16503</v>
      </c>
      <c r="B6754" s="110" t="s">
        <v>1342</v>
      </c>
      <c r="C6754" s="111" t="s">
        <v>16504</v>
      </c>
      <c r="D6754" s="111" t="str">
        <f t="shared" ref="D6754:E6754" si="6752">TRIM(B6754)</f>
        <v>Maryland</v>
      </c>
      <c r="E6754" s="111" t="str">
        <f t="shared" si="6752"/>
        <v>Snow Hill</v>
      </c>
    </row>
    <row r="6755" spans="1:5">
      <c r="A6755" s="3" t="s">
        <v>16505</v>
      </c>
      <c r="B6755" s="110" t="s">
        <v>1342</v>
      </c>
      <c r="C6755" s="111" t="s">
        <v>16506</v>
      </c>
      <c r="D6755" s="111" t="str">
        <f t="shared" ref="D6755:E6755" si="6753">TRIM(B6755)</f>
        <v>Maryland</v>
      </c>
      <c r="E6755" s="111" t="str">
        <f t="shared" si="6753"/>
        <v>Sparrows Point</v>
      </c>
    </row>
    <row r="6756" spans="1:5">
      <c r="A6756" s="3" t="s">
        <v>16507</v>
      </c>
      <c r="B6756" s="110" t="s">
        <v>1342</v>
      </c>
      <c r="C6756" s="111" t="s">
        <v>4207</v>
      </c>
      <c r="D6756" s="111" t="str">
        <f t="shared" ref="D6756:E6756" si="6754">TRIM(B6756)</f>
        <v>Maryland</v>
      </c>
      <c r="E6756" s="111" t="str">
        <f t="shared" si="6754"/>
        <v>Springdale</v>
      </c>
    </row>
    <row r="6757" spans="1:5">
      <c r="A6757" s="3" t="s">
        <v>16508</v>
      </c>
      <c r="B6757" s="110" t="s">
        <v>1342</v>
      </c>
      <c r="C6757" s="111" t="s">
        <v>16509</v>
      </c>
      <c r="D6757" s="111" t="str">
        <f t="shared" ref="D6757:E6757" si="6755">TRIM(B6757)</f>
        <v>Maryland</v>
      </c>
      <c r="E6757" s="111" t="str">
        <f t="shared" si="6755"/>
        <v>St Michaels</v>
      </c>
    </row>
    <row r="6758" spans="1:5">
      <c r="A6758" s="3" t="s">
        <v>16510</v>
      </c>
      <c r="B6758" s="110" t="s">
        <v>1342</v>
      </c>
      <c r="C6758" s="111" t="s">
        <v>16511</v>
      </c>
      <c r="D6758" s="111" t="str">
        <f t="shared" ref="D6758:E6758" si="6756">TRIM(B6758)</f>
        <v>Maryland</v>
      </c>
      <c r="E6758" s="111" t="str">
        <f t="shared" si="6756"/>
        <v>Stevensville</v>
      </c>
    </row>
    <row r="6759" spans="1:5">
      <c r="A6759" s="3" t="s">
        <v>7017</v>
      </c>
      <c r="B6759" s="110" t="s">
        <v>1342</v>
      </c>
      <c r="C6759" s="111" t="s">
        <v>16512</v>
      </c>
      <c r="D6759" s="111" t="str">
        <f t="shared" ref="D6759:E6759" si="6757">TRIM(B6759)</f>
        <v>Maryland</v>
      </c>
      <c r="E6759" s="111" t="str">
        <f t="shared" si="6757"/>
        <v>Sykesville</v>
      </c>
    </row>
    <row r="6760" spans="1:5">
      <c r="A6760" s="3" t="s">
        <v>2745</v>
      </c>
      <c r="B6760" s="110" t="s">
        <v>1342</v>
      </c>
      <c r="C6760" s="111" t="s">
        <v>16512</v>
      </c>
      <c r="D6760" s="111" t="str">
        <f t="shared" ref="D6760:E6760" si="6758">TRIM(B6760)</f>
        <v>Maryland</v>
      </c>
      <c r="E6760" s="111" t="str">
        <f t="shared" si="6758"/>
        <v>Sykesville</v>
      </c>
    </row>
    <row r="6761" spans="1:5">
      <c r="A6761" s="3" t="s">
        <v>16513</v>
      </c>
      <c r="B6761" s="110" t="s">
        <v>1342</v>
      </c>
      <c r="C6761" s="111" t="s">
        <v>16512</v>
      </c>
      <c r="D6761" s="111" t="str">
        <f t="shared" ref="D6761:E6761" si="6759">TRIM(B6761)</f>
        <v>Maryland</v>
      </c>
      <c r="E6761" s="111" t="str">
        <f t="shared" si="6759"/>
        <v>Sykesville</v>
      </c>
    </row>
    <row r="6762" spans="1:5">
      <c r="A6762" s="3" t="s">
        <v>16514</v>
      </c>
      <c r="B6762" s="110" t="s">
        <v>1342</v>
      </c>
      <c r="C6762" s="111" t="s">
        <v>16515</v>
      </c>
      <c r="D6762" s="111" t="str">
        <f t="shared" ref="D6762:E6762" si="6760">TRIM(B6762)</f>
        <v>Maryland</v>
      </c>
      <c r="E6762" s="111" t="str">
        <f t="shared" si="6760"/>
        <v>Temple Hills</v>
      </c>
    </row>
    <row r="6763" spans="1:5">
      <c r="A6763" s="3" t="s">
        <v>16516</v>
      </c>
      <c r="B6763" s="110" t="s">
        <v>1342</v>
      </c>
      <c r="C6763" s="111" t="s">
        <v>16517</v>
      </c>
      <c r="D6763" s="111" t="str">
        <f t="shared" ref="D6763:E6763" si="6761">TRIM(B6763)</f>
        <v>Maryland</v>
      </c>
      <c r="E6763" s="111" t="str">
        <f t="shared" si="6761"/>
        <v>Thurmont</v>
      </c>
    </row>
    <row r="6764" spans="1:5">
      <c r="A6764" s="3" t="s">
        <v>16518</v>
      </c>
      <c r="B6764" s="110" t="s">
        <v>1342</v>
      </c>
      <c r="C6764" s="111" t="s">
        <v>16519</v>
      </c>
      <c r="D6764" s="111" t="str">
        <f t="shared" ref="D6764:E6764" si="6762">TRIM(B6764)</f>
        <v>Maryland</v>
      </c>
      <c r="E6764" s="111" t="str">
        <f t="shared" si="6762"/>
        <v>Timonium</v>
      </c>
    </row>
    <row r="6765" spans="1:5">
      <c r="A6765" s="3" t="s">
        <v>16520</v>
      </c>
      <c r="B6765" s="110" t="s">
        <v>1342</v>
      </c>
      <c r="C6765" s="111" t="s">
        <v>11067</v>
      </c>
      <c r="D6765" s="111" t="str">
        <f t="shared" ref="D6765:E6765" si="6763">TRIM(B6765)</f>
        <v>Maryland</v>
      </c>
      <c r="E6765" s="111" t="str">
        <f t="shared" si="6763"/>
        <v>Towson</v>
      </c>
    </row>
    <row r="6766" spans="1:5">
      <c r="A6766" s="3" t="s">
        <v>16521</v>
      </c>
      <c r="B6766" s="110" t="s">
        <v>1342</v>
      </c>
      <c r="C6766" s="111" t="s">
        <v>16522</v>
      </c>
      <c r="D6766" s="111" t="str">
        <f t="shared" ref="D6766:E6766" si="6764">TRIM(B6766)</f>
        <v>Maryland</v>
      </c>
      <c r="E6766" s="111" t="str">
        <f t="shared" si="6764"/>
        <v>Union Bridge</v>
      </c>
    </row>
    <row r="6767" spans="1:5">
      <c r="A6767" s="3" t="s">
        <v>16523</v>
      </c>
      <c r="B6767" s="110" t="s">
        <v>1342</v>
      </c>
      <c r="C6767" s="111" t="s">
        <v>1300</v>
      </c>
      <c r="D6767" s="111" t="str">
        <f t="shared" ref="D6767:E6767" si="6765">TRIM(B6767)</f>
        <v>Maryland</v>
      </c>
      <c r="E6767" s="111" t="str">
        <f t="shared" si="6765"/>
        <v>Upper Marlboro</v>
      </c>
    </row>
    <row r="6768" spans="1:5">
      <c r="A6768" s="3" t="s">
        <v>15735</v>
      </c>
      <c r="B6768" s="110" t="s">
        <v>1342</v>
      </c>
      <c r="C6768" s="111" t="s">
        <v>1300</v>
      </c>
      <c r="D6768" s="111" t="str">
        <f t="shared" ref="D6768:E6768" si="6766">TRIM(B6768)</f>
        <v>Maryland</v>
      </c>
      <c r="E6768" s="111" t="str">
        <f t="shared" si="6766"/>
        <v>Upper Marlboro</v>
      </c>
    </row>
    <row r="6769" spans="1:5">
      <c r="A6769" s="3" t="s">
        <v>16524</v>
      </c>
      <c r="B6769" s="110" t="s">
        <v>1342</v>
      </c>
      <c r="C6769" s="111" t="s">
        <v>1300</v>
      </c>
      <c r="D6769" s="111" t="str">
        <f t="shared" ref="D6769:E6769" si="6767">TRIM(B6769)</f>
        <v>Maryland</v>
      </c>
      <c r="E6769" s="111" t="str">
        <f t="shared" si="6767"/>
        <v>Upper Marlboro</v>
      </c>
    </row>
    <row r="6770" spans="1:5">
      <c r="A6770" s="3" t="s">
        <v>9530</v>
      </c>
      <c r="B6770" s="110" t="s">
        <v>1342</v>
      </c>
      <c r="C6770" s="111" t="s">
        <v>1300</v>
      </c>
      <c r="D6770" s="111" t="str">
        <f t="shared" ref="D6770:E6770" si="6768">TRIM(B6770)</f>
        <v>Maryland</v>
      </c>
      <c r="E6770" s="111" t="str">
        <f t="shared" si="6768"/>
        <v>Upper Marlboro</v>
      </c>
    </row>
    <row r="6771" spans="1:5">
      <c r="A6771" s="3" t="s">
        <v>16525</v>
      </c>
      <c r="B6771" s="110" t="s">
        <v>1342</v>
      </c>
      <c r="C6771" s="111" t="s">
        <v>16526</v>
      </c>
      <c r="D6771" s="111" t="str">
        <f t="shared" ref="D6771:E6771" si="6769">TRIM(B6771)</f>
        <v>Maryland</v>
      </c>
      <c r="E6771" s="111" t="str">
        <f t="shared" si="6769"/>
        <v>Waldorf</v>
      </c>
    </row>
    <row r="6772" spans="1:5">
      <c r="A6772" s="3" t="s">
        <v>16527</v>
      </c>
      <c r="B6772" s="110" t="s">
        <v>1342</v>
      </c>
      <c r="C6772" s="111" t="s">
        <v>16526</v>
      </c>
      <c r="D6772" s="111" t="str">
        <f t="shared" ref="D6772:E6772" si="6770">TRIM(B6772)</f>
        <v>Maryland</v>
      </c>
      <c r="E6772" s="111" t="str">
        <f t="shared" si="6770"/>
        <v>Waldorf</v>
      </c>
    </row>
    <row r="6773" spans="1:5">
      <c r="A6773" s="3" t="s">
        <v>16528</v>
      </c>
      <c r="B6773" s="110" t="s">
        <v>1342</v>
      </c>
      <c r="C6773" s="111" t="s">
        <v>16526</v>
      </c>
      <c r="D6773" s="111" t="str">
        <f t="shared" ref="D6773:E6773" si="6771">TRIM(B6773)</f>
        <v>Maryland</v>
      </c>
      <c r="E6773" s="111" t="str">
        <f t="shared" si="6771"/>
        <v>Waldorf</v>
      </c>
    </row>
    <row r="6774" spans="1:5">
      <c r="A6774" s="3" t="s">
        <v>7477</v>
      </c>
      <c r="B6774" s="110" t="s">
        <v>1342</v>
      </c>
      <c r="C6774" s="111" t="s">
        <v>16526</v>
      </c>
      <c r="D6774" s="111" t="str">
        <f t="shared" ref="D6774:E6774" si="6772">TRIM(B6774)</f>
        <v>Maryland</v>
      </c>
      <c r="E6774" s="111" t="str">
        <f t="shared" si="6772"/>
        <v>Waldorf</v>
      </c>
    </row>
    <row r="6775" spans="1:5">
      <c r="A6775" s="3" t="s">
        <v>16529</v>
      </c>
      <c r="B6775" s="110" t="s">
        <v>1342</v>
      </c>
      <c r="C6775" s="111" t="s">
        <v>16530</v>
      </c>
      <c r="D6775" s="111" t="str">
        <f t="shared" ref="D6775:E6775" si="6773">TRIM(B6775)</f>
        <v>Maryland</v>
      </c>
      <c r="E6775" s="111" t="str">
        <f t="shared" si="6773"/>
        <v>Walkersville</v>
      </c>
    </row>
    <row r="6776" spans="1:5">
      <c r="A6776" s="3" t="s">
        <v>7482</v>
      </c>
      <c r="B6776" s="110" t="s">
        <v>1342</v>
      </c>
      <c r="C6776" s="111" t="s">
        <v>7481</v>
      </c>
      <c r="D6776" s="111" t="str">
        <f t="shared" ref="D6776:E6776" si="6774">TRIM(B6776)</f>
        <v>Maryland</v>
      </c>
      <c r="E6776" s="111" t="str">
        <f t="shared" si="6774"/>
        <v>Westminster</v>
      </c>
    </row>
    <row r="6777" spans="1:5">
      <c r="A6777" s="3" t="s">
        <v>16531</v>
      </c>
      <c r="B6777" s="110" t="s">
        <v>1342</v>
      </c>
      <c r="C6777" s="111" t="s">
        <v>7481</v>
      </c>
      <c r="D6777" s="111" t="str">
        <f t="shared" ref="D6777:E6777" si="6775">TRIM(B6777)</f>
        <v>Maryland</v>
      </c>
      <c r="E6777" s="111" t="str">
        <f t="shared" si="6775"/>
        <v>Westminster</v>
      </c>
    </row>
    <row r="6778" spans="1:5">
      <c r="A6778" s="3" t="s">
        <v>16532</v>
      </c>
      <c r="B6778" s="110" t="s">
        <v>1342</v>
      </c>
      <c r="C6778" s="111" t="s">
        <v>13211</v>
      </c>
      <c r="D6778" s="111" t="str">
        <f t="shared" ref="D6778:E6778" si="6776">TRIM(B6778)</f>
        <v>Maryland</v>
      </c>
      <c r="E6778" s="111" t="str">
        <f t="shared" si="6776"/>
        <v>Williamsport</v>
      </c>
    </row>
    <row r="6779" spans="1:5">
      <c r="A6779" s="3" t="s">
        <v>16533</v>
      </c>
      <c r="B6779" s="110" t="s">
        <v>1342</v>
      </c>
      <c r="C6779" s="111" t="s">
        <v>16534</v>
      </c>
      <c r="D6779" s="111" t="str">
        <f t="shared" ref="D6779:E6779" si="6777">TRIM(B6779)</f>
        <v>Maryland</v>
      </c>
      <c r="E6779" s="111" t="str">
        <f t="shared" si="6777"/>
        <v>Worton</v>
      </c>
    </row>
    <row r="6780" spans="1:5">
      <c r="A6780" s="3" t="s">
        <v>16535</v>
      </c>
      <c r="B6780" s="110" t="s">
        <v>1343</v>
      </c>
      <c r="C6780" s="111" t="s">
        <v>16536</v>
      </c>
      <c r="D6780" s="111" t="str">
        <f t="shared" ref="D6780:E6780" si="6778">TRIM(B6780)</f>
        <v>Massachusetts</v>
      </c>
      <c r="E6780" s="111" t="str">
        <f t="shared" si="6778"/>
        <v>Abington</v>
      </c>
    </row>
    <row r="6781" spans="1:5">
      <c r="A6781" s="3" t="s">
        <v>16537</v>
      </c>
      <c r="B6781" s="110" t="s">
        <v>1343</v>
      </c>
      <c r="C6781" s="111" t="s">
        <v>4287</v>
      </c>
      <c r="D6781" s="111" t="str">
        <f t="shared" ref="D6781:E6781" si="6779">TRIM(B6781)</f>
        <v>Massachusetts</v>
      </c>
      <c r="E6781" s="111" t="str">
        <f t="shared" si="6779"/>
        <v>Acton</v>
      </c>
    </row>
    <row r="6782" spans="1:5">
      <c r="A6782" s="110" t="s">
        <v>16538</v>
      </c>
      <c r="B6782" s="110" t="s">
        <v>1343</v>
      </c>
      <c r="C6782" s="111" t="s">
        <v>16539</v>
      </c>
      <c r="D6782" s="111" t="str">
        <f t="shared" ref="D6782:E6782" si="6780">TRIM(B6782)</f>
        <v>Massachusetts</v>
      </c>
      <c r="E6782" s="111" t="str">
        <f t="shared" si="6780"/>
        <v>Adams</v>
      </c>
    </row>
    <row r="6783" spans="1:5">
      <c r="A6783" s="3" t="s">
        <v>16540</v>
      </c>
      <c r="B6783" s="110" t="s">
        <v>1343</v>
      </c>
      <c r="C6783" s="111" t="s">
        <v>16541</v>
      </c>
      <c r="D6783" s="111" t="str">
        <f t="shared" ref="D6783:E6783" si="6781">TRIM(B6783)</f>
        <v>Massachusetts</v>
      </c>
      <c r="E6783" s="111" t="str">
        <f t="shared" si="6781"/>
        <v>Agawam</v>
      </c>
    </row>
    <row r="6784" spans="1:5">
      <c r="A6784" s="3" t="s">
        <v>16542</v>
      </c>
      <c r="B6784" s="110" t="s">
        <v>1343</v>
      </c>
      <c r="C6784" s="111" t="s">
        <v>16543</v>
      </c>
      <c r="D6784" s="111" t="str">
        <f t="shared" ref="D6784:E6784" si="6782">TRIM(B6784)</f>
        <v>Massachusetts</v>
      </c>
      <c r="E6784" s="111" t="str">
        <f t="shared" si="6782"/>
        <v>Amesbury</v>
      </c>
    </row>
    <row r="6785" spans="1:5">
      <c r="A6785" s="3" t="s">
        <v>16544</v>
      </c>
      <c r="B6785" s="110" t="s">
        <v>1343</v>
      </c>
      <c r="C6785" s="111" t="s">
        <v>16543</v>
      </c>
      <c r="D6785" s="111" t="str">
        <f t="shared" ref="D6785:E6785" si="6783">TRIM(B6785)</f>
        <v>Massachusetts</v>
      </c>
      <c r="E6785" s="111" t="str">
        <f t="shared" si="6783"/>
        <v>Amesbury</v>
      </c>
    </row>
    <row r="6786" spans="1:5">
      <c r="A6786" s="3" t="s">
        <v>16545</v>
      </c>
      <c r="B6786" s="110" t="s">
        <v>1343</v>
      </c>
      <c r="C6786" s="111" t="s">
        <v>16546</v>
      </c>
      <c r="D6786" s="111" t="str">
        <f t="shared" ref="D6786:E6786" si="6784">TRIM(B6786)</f>
        <v>Massachusetts</v>
      </c>
      <c r="E6786" s="111" t="str">
        <f t="shared" si="6784"/>
        <v>Amherst</v>
      </c>
    </row>
    <row r="6787" spans="1:5">
      <c r="A6787" s="3" t="s">
        <v>15155</v>
      </c>
      <c r="B6787" s="110" t="s">
        <v>1343</v>
      </c>
      <c r="C6787" s="111" t="s">
        <v>1096</v>
      </c>
      <c r="D6787" s="111" t="str">
        <f t="shared" ref="D6787:E6787" si="6785">TRIM(B6787)</f>
        <v>Massachusetts</v>
      </c>
      <c r="E6787" s="111" t="str">
        <f t="shared" si="6785"/>
        <v>Andover</v>
      </c>
    </row>
    <row r="6788" spans="1:5">
      <c r="A6788" s="3" t="s">
        <v>6555</v>
      </c>
      <c r="B6788" s="110" t="s">
        <v>1343</v>
      </c>
      <c r="C6788" s="111" t="s">
        <v>1048</v>
      </c>
      <c r="D6788" s="111" t="str">
        <f t="shared" ref="D6788:E6788" si="6786">TRIM(B6788)</f>
        <v>Massachusetts</v>
      </c>
      <c r="E6788" s="111" t="str">
        <f t="shared" si="6786"/>
        <v>Arlington</v>
      </c>
    </row>
    <row r="6789" spans="1:5">
      <c r="A6789" s="3" t="s">
        <v>16547</v>
      </c>
      <c r="B6789" s="110" t="s">
        <v>1343</v>
      </c>
      <c r="C6789" s="111" t="s">
        <v>16548</v>
      </c>
      <c r="D6789" s="111" t="str">
        <f t="shared" ref="D6789:E6789" si="6787">TRIM(B6789)</f>
        <v>Massachusetts</v>
      </c>
      <c r="E6789" s="111" t="str">
        <f t="shared" si="6787"/>
        <v>Ashburnham</v>
      </c>
    </row>
    <row r="6790" spans="1:5">
      <c r="A6790" s="3" t="s">
        <v>15164</v>
      </c>
      <c r="B6790" s="110" t="s">
        <v>1343</v>
      </c>
      <c r="C6790" s="111" t="s">
        <v>10817</v>
      </c>
      <c r="D6790" s="111" t="str">
        <f t="shared" ref="D6790:E6790" si="6788">TRIM(B6790)</f>
        <v>Massachusetts</v>
      </c>
      <c r="E6790" s="111" t="str">
        <f t="shared" si="6788"/>
        <v>Ashland</v>
      </c>
    </row>
    <row r="6791" spans="1:5">
      <c r="A6791" s="3" t="s">
        <v>16549</v>
      </c>
      <c r="B6791" s="110" t="s">
        <v>1343</v>
      </c>
      <c r="C6791" s="111" t="s">
        <v>16550</v>
      </c>
      <c r="D6791" s="111" t="str">
        <f t="shared" ref="D6791:E6791" si="6789">TRIM(B6791)</f>
        <v>Massachusetts</v>
      </c>
      <c r="E6791" s="111" t="str">
        <f t="shared" si="6789"/>
        <v>Athol</v>
      </c>
    </row>
    <row r="6792" spans="1:5">
      <c r="A6792" s="3" t="s">
        <v>16551</v>
      </c>
      <c r="B6792" s="110" t="s">
        <v>1343</v>
      </c>
      <c r="C6792" s="111" t="s">
        <v>11243</v>
      </c>
      <c r="D6792" s="111" t="str">
        <f t="shared" ref="D6792:E6792" si="6790">TRIM(B6792)</f>
        <v>Massachusetts</v>
      </c>
      <c r="E6792" s="111" t="str">
        <f t="shared" si="6790"/>
        <v>Attleboro</v>
      </c>
    </row>
    <row r="6793" spans="1:5">
      <c r="A6793" s="3" t="s">
        <v>16552</v>
      </c>
      <c r="B6793" s="110" t="s">
        <v>1343</v>
      </c>
      <c r="C6793" s="111" t="s">
        <v>211</v>
      </c>
      <c r="D6793" s="111" t="str">
        <f t="shared" ref="D6793:E6793" si="6791">TRIM(B6793)</f>
        <v>Massachusetts</v>
      </c>
      <c r="E6793" s="111" t="str">
        <f t="shared" si="6791"/>
        <v>Auburn</v>
      </c>
    </row>
    <row r="6794" spans="1:5">
      <c r="A6794" s="3" t="s">
        <v>16553</v>
      </c>
      <c r="B6794" s="110" t="s">
        <v>1343</v>
      </c>
      <c r="C6794" s="111" t="s">
        <v>8331</v>
      </c>
      <c r="D6794" s="111" t="str">
        <f t="shared" ref="D6794:E6794" si="6792">TRIM(B6794)</f>
        <v>Massachusetts</v>
      </c>
      <c r="E6794" s="111" t="str">
        <f t="shared" si="6792"/>
        <v>Avon</v>
      </c>
    </row>
    <row r="6795" spans="1:5">
      <c r="A6795" s="3" t="s">
        <v>16554</v>
      </c>
      <c r="B6795" s="110" t="s">
        <v>1343</v>
      </c>
      <c r="C6795" s="111" t="s">
        <v>16555</v>
      </c>
      <c r="D6795" s="111" t="str">
        <f t="shared" ref="D6795:E6795" si="6793">TRIM(B6795)</f>
        <v>Massachusetts</v>
      </c>
      <c r="E6795" s="111" t="str">
        <f t="shared" si="6793"/>
        <v>Ayer</v>
      </c>
    </row>
    <row r="6796" spans="1:5">
      <c r="A6796" s="3" t="s">
        <v>16556</v>
      </c>
      <c r="B6796" s="110" t="s">
        <v>1343</v>
      </c>
      <c r="C6796" s="111" t="s">
        <v>16557</v>
      </c>
      <c r="D6796" s="111" t="str">
        <f t="shared" ref="D6796:E6796" si="6794">TRIM(B6796)</f>
        <v>Massachusetts</v>
      </c>
      <c r="E6796" s="111" t="str">
        <f t="shared" si="6794"/>
        <v>Baldwinville</v>
      </c>
    </row>
    <row r="6797" spans="1:5">
      <c r="A6797" s="3" t="s">
        <v>16558</v>
      </c>
      <c r="B6797" s="110" t="s">
        <v>1343</v>
      </c>
      <c r="C6797" s="111" t="s">
        <v>16559</v>
      </c>
      <c r="D6797" s="111" t="str">
        <f t="shared" ref="D6797:E6797" si="6795">TRIM(B6797)</f>
        <v>Massachusetts</v>
      </c>
      <c r="E6797" s="111" t="str">
        <f t="shared" si="6795"/>
        <v>Barre</v>
      </c>
    </row>
    <row r="6798" spans="1:5">
      <c r="A6798" s="3" t="s">
        <v>14712</v>
      </c>
      <c r="B6798" s="110" t="s">
        <v>1343</v>
      </c>
      <c r="C6798" s="111" t="s">
        <v>14119</v>
      </c>
      <c r="D6798" s="111" t="str">
        <f t="shared" ref="D6798:E6798" si="6796">TRIM(B6798)</f>
        <v>Massachusetts</v>
      </c>
      <c r="E6798" s="111" t="str">
        <f t="shared" si="6796"/>
        <v>Bedford</v>
      </c>
    </row>
    <row r="6799" spans="1:5">
      <c r="A6799" s="3" t="s">
        <v>16560</v>
      </c>
      <c r="B6799" s="110" t="s">
        <v>1343</v>
      </c>
      <c r="C6799" s="111" t="s">
        <v>16561</v>
      </c>
      <c r="D6799" s="111" t="str">
        <f t="shared" ref="D6799:E6799" si="6797">TRIM(B6799)</f>
        <v>Massachusetts</v>
      </c>
      <c r="E6799" s="111" t="str">
        <f t="shared" si="6797"/>
        <v>Belchertown</v>
      </c>
    </row>
    <row r="6800" spans="1:5">
      <c r="A6800" s="3" t="s">
        <v>16562</v>
      </c>
      <c r="B6800" s="110" t="s">
        <v>1343</v>
      </c>
      <c r="C6800" s="111" t="s">
        <v>14153</v>
      </c>
      <c r="D6800" s="111" t="str">
        <f t="shared" ref="D6800:E6800" si="6798">TRIM(B6800)</f>
        <v>Massachusetts</v>
      </c>
      <c r="E6800" s="111" t="str">
        <f t="shared" si="6798"/>
        <v>Bellingham</v>
      </c>
    </row>
    <row r="6801" spans="1:5">
      <c r="A6801" s="3" t="s">
        <v>16563</v>
      </c>
      <c r="B6801" s="110" t="s">
        <v>1343</v>
      </c>
      <c r="C6801" s="111" t="s">
        <v>4471</v>
      </c>
      <c r="D6801" s="111" t="str">
        <f t="shared" ref="D6801:E6801" si="6799">TRIM(B6801)</f>
        <v>Massachusetts</v>
      </c>
      <c r="E6801" s="111" t="str">
        <f t="shared" si="6799"/>
        <v>Belmont</v>
      </c>
    </row>
    <row r="6802" spans="1:5">
      <c r="A6802" s="3" t="s">
        <v>16564</v>
      </c>
      <c r="B6802" s="110" t="s">
        <v>1343</v>
      </c>
      <c r="C6802" s="111" t="s">
        <v>7494</v>
      </c>
      <c r="D6802" s="111" t="str">
        <f t="shared" ref="D6802:E6802" si="6800">TRIM(B6802)</f>
        <v>Massachusetts</v>
      </c>
      <c r="E6802" s="111" t="str">
        <f t="shared" si="6800"/>
        <v>Beverly</v>
      </c>
    </row>
    <row r="6803" spans="1:5">
      <c r="A6803" s="3" t="s">
        <v>16565</v>
      </c>
      <c r="B6803" s="110" t="s">
        <v>1343</v>
      </c>
      <c r="C6803" s="111" t="s">
        <v>16566</v>
      </c>
      <c r="D6803" s="111" t="str">
        <f t="shared" ref="D6803:E6803" si="6801">TRIM(B6803)</f>
        <v>Massachusetts</v>
      </c>
      <c r="E6803" s="111" t="str">
        <f t="shared" si="6801"/>
        <v>Billerica</v>
      </c>
    </row>
    <row r="6804" spans="1:5">
      <c r="A6804" s="3" t="s">
        <v>16567</v>
      </c>
      <c r="B6804" s="110" t="s">
        <v>1343</v>
      </c>
      <c r="C6804" s="111" t="s">
        <v>16568</v>
      </c>
      <c r="D6804" s="111" t="str">
        <f t="shared" ref="D6804:E6804" si="6802">TRIM(B6804)</f>
        <v>Massachusetts</v>
      </c>
      <c r="E6804" s="111" t="str">
        <f t="shared" si="6802"/>
        <v>Blackstone</v>
      </c>
    </row>
    <row r="6805" spans="1:5">
      <c r="A6805" s="110" t="s">
        <v>16569</v>
      </c>
      <c r="B6805" s="110" t="s">
        <v>1343</v>
      </c>
      <c r="C6805" s="111" t="s">
        <v>8350</v>
      </c>
      <c r="D6805" s="111" t="str">
        <f t="shared" ref="D6805:E6805" si="6803">TRIM(B6805)</f>
        <v>Massachusetts</v>
      </c>
      <c r="E6805" s="111" t="str">
        <f t="shared" si="6803"/>
        <v>Bolton</v>
      </c>
    </row>
    <row r="6806" spans="1:5">
      <c r="A6806" s="110" t="s">
        <v>16570</v>
      </c>
      <c r="B6806" s="110" t="s">
        <v>1343</v>
      </c>
      <c r="C6806" s="111" t="s">
        <v>222</v>
      </c>
      <c r="D6806" s="111" t="str">
        <f t="shared" ref="D6806:E6806" si="6804">TRIM(B6806)</f>
        <v>Massachusetts</v>
      </c>
      <c r="E6806" s="111" t="str">
        <f t="shared" si="6804"/>
        <v>Boston</v>
      </c>
    </row>
    <row r="6807" spans="1:5">
      <c r="A6807" s="110" t="s">
        <v>16571</v>
      </c>
      <c r="B6807" s="110" t="s">
        <v>1343</v>
      </c>
      <c r="C6807" s="111" t="s">
        <v>222</v>
      </c>
      <c r="D6807" s="111" t="str">
        <f t="shared" ref="D6807:E6807" si="6805">TRIM(B6807)</f>
        <v>Massachusetts</v>
      </c>
      <c r="E6807" s="111" t="str">
        <f t="shared" si="6805"/>
        <v>Boston</v>
      </c>
    </row>
    <row r="6808" spans="1:5">
      <c r="A6808" s="3" t="s">
        <v>16572</v>
      </c>
      <c r="B6808" s="110" t="s">
        <v>1343</v>
      </c>
      <c r="C6808" s="111" t="s">
        <v>222</v>
      </c>
      <c r="D6808" s="111" t="str">
        <f t="shared" ref="D6808:E6808" si="6806">TRIM(B6808)</f>
        <v>Massachusetts</v>
      </c>
      <c r="E6808" s="111" t="str">
        <f t="shared" si="6806"/>
        <v>Boston</v>
      </c>
    </row>
    <row r="6809" spans="1:5">
      <c r="A6809" s="3" t="s">
        <v>16573</v>
      </c>
      <c r="B6809" s="110" t="s">
        <v>1343</v>
      </c>
      <c r="C6809" s="111" t="s">
        <v>222</v>
      </c>
      <c r="D6809" s="111" t="str">
        <f t="shared" ref="D6809:E6809" si="6807">TRIM(B6809)</f>
        <v>Massachusetts</v>
      </c>
      <c r="E6809" s="111" t="str">
        <f t="shared" si="6807"/>
        <v>Boston</v>
      </c>
    </row>
    <row r="6810" spans="1:5">
      <c r="A6810" s="110" t="s">
        <v>16574</v>
      </c>
      <c r="B6810" s="110" t="s">
        <v>1343</v>
      </c>
      <c r="C6810" s="111" t="s">
        <v>222</v>
      </c>
      <c r="D6810" s="111" t="str">
        <f t="shared" ref="D6810:E6810" si="6808">TRIM(B6810)</f>
        <v>Massachusetts</v>
      </c>
      <c r="E6810" s="111" t="str">
        <f t="shared" si="6808"/>
        <v>Boston</v>
      </c>
    </row>
    <row r="6811" spans="1:5">
      <c r="A6811" s="110" t="s">
        <v>16575</v>
      </c>
      <c r="B6811" s="110" t="s">
        <v>1343</v>
      </c>
      <c r="C6811" s="111" t="s">
        <v>222</v>
      </c>
      <c r="D6811" s="111" t="str">
        <f t="shared" ref="D6811:E6811" si="6809">TRIM(B6811)</f>
        <v>Massachusetts</v>
      </c>
      <c r="E6811" s="111" t="str">
        <f t="shared" si="6809"/>
        <v>Boston</v>
      </c>
    </row>
    <row r="6812" spans="1:5">
      <c r="A6812" s="3" t="s">
        <v>16576</v>
      </c>
      <c r="B6812" s="110" t="s">
        <v>1343</v>
      </c>
      <c r="C6812" s="111" t="s">
        <v>16577</v>
      </c>
      <c r="D6812" s="111" t="str">
        <f t="shared" ref="D6812:E6812" si="6810">TRIM(B6812)</f>
        <v>Massachusetts</v>
      </c>
      <c r="E6812" s="111" t="str">
        <f t="shared" si="6810"/>
        <v>Bourne</v>
      </c>
    </row>
    <row r="6813" spans="1:5">
      <c r="A6813" s="3" t="s">
        <v>16578</v>
      </c>
      <c r="B6813" s="110" t="s">
        <v>1343</v>
      </c>
      <c r="C6813" s="111" t="s">
        <v>16579</v>
      </c>
      <c r="D6813" s="111" t="str">
        <f t="shared" ref="D6813:E6813" si="6811">TRIM(B6813)</f>
        <v>Massachusetts</v>
      </c>
      <c r="E6813" s="111" t="str">
        <f t="shared" si="6811"/>
        <v>Boxford</v>
      </c>
    </row>
    <row r="6814" spans="1:5">
      <c r="A6814" s="3" t="s">
        <v>16580</v>
      </c>
      <c r="B6814" s="110" t="s">
        <v>1343</v>
      </c>
      <c r="C6814" s="111" t="s">
        <v>16581</v>
      </c>
      <c r="D6814" s="111" t="str">
        <f t="shared" ref="D6814:E6814" si="6812">TRIM(B6814)</f>
        <v>Massachusetts</v>
      </c>
      <c r="E6814" s="111" t="str">
        <f t="shared" si="6812"/>
        <v>Boylston</v>
      </c>
    </row>
    <row r="6815" spans="1:5">
      <c r="A6815" s="3" t="s">
        <v>16582</v>
      </c>
      <c r="B6815" s="110" t="s">
        <v>1343</v>
      </c>
      <c r="C6815" s="111" t="s">
        <v>11228</v>
      </c>
      <c r="D6815" s="111" t="str">
        <f t="shared" ref="D6815:E6815" si="6813">TRIM(B6815)</f>
        <v>Massachusetts</v>
      </c>
      <c r="E6815" s="111" t="str">
        <f t="shared" si="6813"/>
        <v>Braintree</v>
      </c>
    </row>
    <row r="6816" spans="1:5">
      <c r="A6816" s="110" t="s">
        <v>16583</v>
      </c>
      <c r="B6816" s="110" t="s">
        <v>1343</v>
      </c>
      <c r="C6816" s="111" t="s">
        <v>16584</v>
      </c>
      <c r="D6816" s="111" t="str">
        <f t="shared" ref="D6816:E6816" si="6814">TRIM(B6816)</f>
        <v>Massachusetts</v>
      </c>
      <c r="E6816" s="111" t="str">
        <f t="shared" si="6814"/>
        <v>Bridgewater</v>
      </c>
    </row>
    <row r="6817" spans="1:5">
      <c r="A6817" s="3" t="s">
        <v>16585</v>
      </c>
      <c r="B6817" s="110" t="s">
        <v>1343</v>
      </c>
      <c r="C6817" s="111" t="s">
        <v>7645</v>
      </c>
      <c r="D6817" s="111" t="str">
        <f t="shared" ref="D6817:E6817" si="6815">TRIM(B6817)</f>
        <v>Massachusetts</v>
      </c>
      <c r="E6817" s="111" t="str">
        <f t="shared" si="6815"/>
        <v>Brighton</v>
      </c>
    </row>
    <row r="6818" spans="1:5">
      <c r="A6818" s="3" t="s">
        <v>7648</v>
      </c>
      <c r="B6818" s="110" t="s">
        <v>1343</v>
      </c>
      <c r="C6818" s="111" t="s">
        <v>7645</v>
      </c>
      <c r="D6818" s="111" t="str">
        <f t="shared" ref="D6818:E6818" si="6816">TRIM(B6818)</f>
        <v>Massachusetts</v>
      </c>
      <c r="E6818" s="111" t="str">
        <f t="shared" si="6816"/>
        <v>Brighton</v>
      </c>
    </row>
    <row r="6819" spans="1:5">
      <c r="A6819" s="110" t="s">
        <v>16586</v>
      </c>
      <c r="B6819" s="110" t="s">
        <v>1343</v>
      </c>
      <c r="C6819" s="111" t="s">
        <v>7645</v>
      </c>
      <c r="D6819" s="111" t="str">
        <f t="shared" ref="D6819:E6819" si="6817">TRIM(B6819)</f>
        <v>Massachusetts</v>
      </c>
      <c r="E6819" s="111" t="str">
        <f t="shared" si="6817"/>
        <v>Brighton</v>
      </c>
    </row>
    <row r="6820" spans="1:5">
      <c r="A6820" s="3" t="s">
        <v>16587</v>
      </c>
      <c r="B6820" s="110" t="s">
        <v>1343</v>
      </c>
      <c r="C6820" s="111" t="s">
        <v>7555</v>
      </c>
      <c r="D6820" s="111" t="str">
        <f t="shared" ref="D6820:E6820" si="6818">TRIM(B6820)</f>
        <v>Massachusetts</v>
      </c>
      <c r="E6820" s="111" t="str">
        <f t="shared" si="6818"/>
        <v>Brockton</v>
      </c>
    </row>
    <row r="6821" spans="1:5">
      <c r="A6821" s="3" t="s">
        <v>16588</v>
      </c>
      <c r="B6821" s="110" t="s">
        <v>1343</v>
      </c>
      <c r="C6821" s="111" t="s">
        <v>7555</v>
      </c>
      <c r="D6821" s="111" t="str">
        <f t="shared" ref="D6821:E6821" si="6819">TRIM(B6821)</f>
        <v>Massachusetts</v>
      </c>
      <c r="E6821" s="111" t="str">
        <f t="shared" si="6819"/>
        <v>Brockton</v>
      </c>
    </row>
    <row r="6822" spans="1:5">
      <c r="A6822" s="3" t="s">
        <v>16589</v>
      </c>
      <c r="B6822" s="110" t="s">
        <v>1343</v>
      </c>
      <c r="C6822" s="111" t="s">
        <v>16590</v>
      </c>
      <c r="D6822" s="111" t="str">
        <f t="shared" ref="D6822:E6822" si="6820">TRIM(B6822)</f>
        <v>Massachusetts</v>
      </c>
      <c r="E6822" s="111" t="str">
        <f t="shared" si="6820"/>
        <v>Brookline</v>
      </c>
    </row>
    <row r="6823" spans="1:5">
      <c r="A6823" s="3" t="s">
        <v>16591</v>
      </c>
      <c r="B6823" s="110" t="s">
        <v>1343</v>
      </c>
      <c r="C6823" s="111" t="s">
        <v>481</v>
      </c>
      <c r="D6823" s="111" t="str">
        <f t="shared" ref="D6823:E6823" si="6821">TRIM(B6823)</f>
        <v>Massachusetts</v>
      </c>
      <c r="E6823" s="111" t="str">
        <f t="shared" si="6821"/>
        <v>Byfield</v>
      </c>
    </row>
    <row r="6824" spans="1:5">
      <c r="A6824" s="110" t="s">
        <v>16592</v>
      </c>
      <c r="B6824" s="110" t="s">
        <v>1343</v>
      </c>
      <c r="C6824" s="111" t="s">
        <v>11260</v>
      </c>
      <c r="D6824" s="111" t="str">
        <f t="shared" ref="D6824:E6824" si="6822">TRIM(B6824)</f>
        <v>Massachusetts</v>
      </c>
      <c r="E6824" s="111" t="str">
        <f t="shared" si="6822"/>
        <v>Cambridge</v>
      </c>
    </row>
    <row r="6825" spans="1:5">
      <c r="A6825" s="110" t="s">
        <v>16593</v>
      </c>
      <c r="B6825" s="110" t="s">
        <v>1343</v>
      </c>
      <c r="C6825" s="111" t="s">
        <v>11260</v>
      </c>
      <c r="D6825" s="111" t="str">
        <f t="shared" ref="D6825:E6825" si="6823">TRIM(B6825)</f>
        <v>Massachusetts</v>
      </c>
      <c r="E6825" s="111" t="str">
        <f t="shared" si="6823"/>
        <v>Cambridge</v>
      </c>
    </row>
    <row r="6826" spans="1:5">
      <c r="A6826" s="3" t="s">
        <v>8378</v>
      </c>
      <c r="B6826" s="110" t="s">
        <v>1343</v>
      </c>
      <c r="C6826" s="111" t="s">
        <v>1205</v>
      </c>
      <c r="D6826" s="111" t="str">
        <f t="shared" ref="D6826:E6826" si="6824">TRIM(B6826)</f>
        <v>Massachusetts</v>
      </c>
      <c r="E6826" s="111" t="str">
        <f t="shared" si="6824"/>
        <v>Canton</v>
      </c>
    </row>
    <row r="6827" spans="1:5">
      <c r="A6827" s="3" t="s">
        <v>16594</v>
      </c>
      <c r="B6827" s="110" t="s">
        <v>1343</v>
      </c>
      <c r="C6827" s="111" t="s">
        <v>16595</v>
      </c>
      <c r="D6827" s="111" t="str">
        <f t="shared" ref="D6827:E6827" si="6825">TRIM(B6827)</f>
        <v>Massachusetts</v>
      </c>
      <c r="E6827" s="111" t="str">
        <f t="shared" si="6825"/>
        <v>Carver</v>
      </c>
    </row>
    <row r="6828" spans="1:5">
      <c r="A6828" s="3" t="s">
        <v>16596</v>
      </c>
      <c r="B6828" s="110" t="s">
        <v>1343</v>
      </c>
      <c r="C6828" s="111" t="s">
        <v>14199</v>
      </c>
      <c r="D6828" s="111" t="str">
        <f t="shared" ref="D6828:E6828" si="6826">TRIM(B6828)</f>
        <v>Massachusetts</v>
      </c>
      <c r="E6828" s="111" t="str">
        <f t="shared" si="6826"/>
        <v>Charlestown</v>
      </c>
    </row>
    <row r="6829" spans="1:5">
      <c r="A6829" s="3" t="s">
        <v>1622</v>
      </c>
      <c r="B6829" s="110" t="s">
        <v>1343</v>
      </c>
      <c r="C6829" s="111" t="s">
        <v>1624</v>
      </c>
      <c r="D6829" s="111" t="str">
        <f t="shared" ref="D6829:E6829" si="6827">TRIM(B6829)</f>
        <v>Massachusetts</v>
      </c>
      <c r="E6829" s="111" t="str">
        <f t="shared" si="6827"/>
        <v>Chelsea</v>
      </c>
    </row>
    <row r="6830" spans="1:5">
      <c r="A6830" s="3" t="s">
        <v>16597</v>
      </c>
      <c r="B6830" s="110" t="s">
        <v>1343</v>
      </c>
      <c r="C6830" s="111" t="s">
        <v>1624</v>
      </c>
      <c r="D6830" s="111" t="str">
        <f t="shared" ref="D6830:E6830" si="6828">TRIM(B6830)</f>
        <v>Massachusetts</v>
      </c>
      <c r="E6830" s="111" t="str">
        <f t="shared" si="6828"/>
        <v>Chelsea</v>
      </c>
    </row>
    <row r="6831" spans="1:5">
      <c r="A6831" s="3" t="s">
        <v>16598</v>
      </c>
      <c r="B6831" s="110" t="s">
        <v>1343</v>
      </c>
      <c r="C6831" s="111" t="s">
        <v>8389</v>
      </c>
      <c r="D6831" s="111" t="str">
        <f t="shared" ref="D6831:E6831" si="6829">TRIM(B6831)</f>
        <v>Massachusetts</v>
      </c>
      <c r="E6831" s="111" t="str">
        <f t="shared" si="6829"/>
        <v>Cheshire</v>
      </c>
    </row>
    <row r="6832" spans="1:5">
      <c r="A6832" s="3" t="s">
        <v>16599</v>
      </c>
      <c r="B6832" s="110" t="s">
        <v>1343</v>
      </c>
      <c r="C6832" s="111" t="s">
        <v>7356</v>
      </c>
      <c r="D6832" s="111" t="str">
        <f t="shared" ref="D6832:E6832" si="6830">TRIM(B6832)</f>
        <v>Massachusetts</v>
      </c>
      <c r="E6832" s="111" t="str">
        <f t="shared" si="6830"/>
        <v>Chicopee</v>
      </c>
    </row>
    <row r="6833" spans="1:5">
      <c r="A6833" s="3" t="s">
        <v>16600</v>
      </c>
      <c r="B6833" s="110" t="s">
        <v>1343</v>
      </c>
      <c r="C6833" s="111" t="s">
        <v>7356</v>
      </c>
      <c r="D6833" s="111" t="str">
        <f t="shared" ref="D6833:E6833" si="6831">TRIM(B6833)</f>
        <v>Massachusetts</v>
      </c>
      <c r="E6833" s="111" t="str">
        <f t="shared" si="6831"/>
        <v>Chicopee</v>
      </c>
    </row>
    <row r="6834" spans="1:5">
      <c r="A6834" s="110" t="s">
        <v>16601</v>
      </c>
      <c r="B6834" s="110" t="s">
        <v>1343</v>
      </c>
      <c r="C6834" s="111" t="s">
        <v>7356</v>
      </c>
      <c r="D6834" s="111" t="str">
        <f t="shared" ref="D6834:E6834" si="6832">TRIM(B6834)</f>
        <v>Massachusetts</v>
      </c>
      <c r="E6834" s="111" t="str">
        <f t="shared" si="6832"/>
        <v>Chicopee</v>
      </c>
    </row>
    <row r="6835" spans="1:5">
      <c r="A6835" s="3" t="s">
        <v>16602</v>
      </c>
      <c r="B6835" s="110" t="s">
        <v>1343</v>
      </c>
      <c r="C6835" s="111" t="s">
        <v>3697</v>
      </c>
      <c r="D6835" s="111" t="str">
        <f t="shared" ref="D6835:E6835" si="6833">TRIM(B6835)</f>
        <v>Massachusetts</v>
      </c>
      <c r="E6835" s="111" t="str">
        <f t="shared" si="6833"/>
        <v>Clinton</v>
      </c>
    </row>
    <row r="6836" spans="1:5">
      <c r="A6836" s="3" t="s">
        <v>16603</v>
      </c>
      <c r="B6836" s="110" t="s">
        <v>1343</v>
      </c>
      <c r="C6836" s="111" t="s">
        <v>16604</v>
      </c>
      <c r="D6836" s="111" t="str">
        <f t="shared" ref="D6836:E6836" si="6834">TRIM(B6836)</f>
        <v>Massachusetts</v>
      </c>
      <c r="E6836" s="111" t="str">
        <f t="shared" si="6834"/>
        <v>Cohasset</v>
      </c>
    </row>
    <row r="6837" spans="1:5">
      <c r="A6837" s="3" t="s">
        <v>16605</v>
      </c>
      <c r="B6837" s="110" t="s">
        <v>1343</v>
      </c>
      <c r="C6837" s="111" t="s">
        <v>286</v>
      </c>
      <c r="D6837" s="111" t="str">
        <f t="shared" ref="D6837:E6837" si="6835">TRIM(B6837)</f>
        <v>Massachusetts</v>
      </c>
      <c r="E6837" s="111" t="str">
        <f t="shared" si="6835"/>
        <v>Concord</v>
      </c>
    </row>
    <row r="6838" spans="1:5">
      <c r="A6838" s="3" t="s">
        <v>16606</v>
      </c>
      <c r="B6838" s="110" t="s">
        <v>1343</v>
      </c>
      <c r="C6838" s="111" t="s">
        <v>365</v>
      </c>
      <c r="D6838" s="111" t="str">
        <f t="shared" ref="D6838:E6838" si="6836">TRIM(B6838)</f>
        <v>Massachusetts</v>
      </c>
      <c r="E6838" s="111" t="str">
        <f t="shared" si="6836"/>
        <v>Dalton</v>
      </c>
    </row>
    <row r="6839" spans="1:5">
      <c r="A6839" s="3" t="s">
        <v>16607</v>
      </c>
      <c r="B6839" s="110" t="s">
        <v>1343</v>
      </c>
      <c r="C6839" s="111" t="s">
        <v>11355</v>
      </c>
      <c r="D6839" s="111" t="str">
        <f t="shared" ref="D6839:E6839" si="6837">TRIM(B6839)</f>
        <v>Massachusetts</v>
      </c>
      <c r="E6839" s="111" t="str">
        <f t="shared" si="6837"/>
        <v>Danvers</v>
      </c>
    </row>
    <row r="6840" spans="1:5">
      <c r="A6840" s="3" t="s">
        <v>16608</v>
      </c>
      <c r="B6840" s="110" t="s">
        <v>1343</v>
      </c>
      <c r="C6840" s="111" t="s">
        <v>16609</v>
      </c>
      <c r="D6840" s="111" t="str">
        <f t="shared" ref="D6840:E6840" si="6838">TRIM(B6840)</f>
        <v>Massachusetts</v>
      </c>
      <c r="E6840" s="111" t="str">
        <f t="shared" si="6838"/>
        <v>Dartmouth</v>
      </c>
    </row>
    <row r="6841" spans="1:5">
      <c r="A6841" s="3" t="s">
        <v>16610</v>
      </c>
      <c r="B6841" s="110" t="s">
        <v>1343</v>
      </c>
      <c r="C6841" s="111" t="s">
        <v>11317</v>
      </c>
      <c r="D6841" s="111" t="str">
        <f t="shared" ref="D6841:E6841" si="6839">TRIM(B6841)</f>
        <v>Massachusetts</v>
      </c>
      <c r="E6841" s="111" t="str">
        <f t="shared" si="6839"/>
        <v>Dedham</v>
      </c>
    </row>
    <row r="6842" spans="1:5">
      <c r="A6842" s="110" t="s">
        <v>16611</v>
      </c>
      <c r="B6842" s="110" t="s">
        <v>1343</v>
      </c>
      <c r="C6842" s="111" t="s">
        <v>16612</v>
      </c>
      <c r="D6842" s="111" t="str">
        <f t="shared" ref="D6842:E6842" si="6840">TRIM(B6842)</f>
        <v>Massachusetts</v>
      </c>
      <c r="E6842" s="111" t="str">
        <f t="shared" si="6840"/>
        <v>Devens</v>
      </c>
    </row>
    <row r="6843" spans="1:5">
      <c r="A6843" s="110" t="s">
        <v>16613</v>
      </c>
      <c r="B6843" s="110" t="s">
        <v>1343</v>
      </c>
      <c r="C6843" s="111" t="s">
        <v>11249</v>
      </c>
      <c r="D6843" s="111" t="str">
        <f t="shared" ref="D6843:E6843" si="6841">TRIM(B6843)</f>
        <v>Massachusetts</v>
      </c>
      <c r="E6843" s="111" t="str">
        <f t="shared" si="6841"/>
        <v>Dorchester</v>
      </c>
    </row>
    <row r="6844" spans="1:5">
      <c r="A6844" s="3" t="s">
        <v>16614</v>
      </c>
      <c r="B6844" s="110" t="s">
        <v>1343</v>
      </c>
      <c r="C6844" s="111" t="s">
        <v>11249</v>
      </c>
      <c r="D6844" s="111" t="str">
        <f t="shared" ref="D6844:E6844" si="6842">TRIM(B6844)</f>
        <v>Massachusetts</v>
      </c>
      <c r="E6844" s="111" t="str">
        <f t="shared" si="6842"/>
        <v>Dorchester</v>
      </c>
    </row>
    <row r="6845" spans="1:5">
      <c r="A6845" s="3" t="s">
        <v>16615</v>
      </c>
      <c r="B6845" s="110" t="s">
        <v>1343</v>
      </c>
      <c r="C6845" s="111" t="s">
        <v>11249</v>
      </c>
      <c r="D6845" s="111" t="str">
        <f t="shared" ref="D6845:E6845" si="6843">TRIM(B6845)</f>
        <v>Massachusetts</v>
      </c>
      <c r="E6845" s="111" t="str">
        <f t="shared" si="6843"/>
        <v>Dorchester</v>
      </c>
    </row>
    <row r="6846" spans="1:5">
      <c r="A6846" s="3" t="s">
        <v>16616</v>
      </c>
      <c r="B6846" s="110" t="s">
        <v>1343</v>
      </c>
      <c r="C6846" s="111" t="s">
        <v>11249</v>
      </c>
      <c r="D6846" s="111" t="str">
        <f t="shared" ref="D6846:E6846" si="6844">TRIM(B6846)</f>
        <v>Massachusetts</v>
      </c>
      <c r="E6846" s="111" t="str">
        <f t="shared" si="6844"/>
        <v>Dorchester</v>
      </c>
    </row>
    <row r="6847" spans="1:5">
      <c r="A6847" s="3" t="s">
        <v>16617</v>
      </c>
      <c r="B6847" s="110" t="s">
        <v>1343</v>
      </c>
      <c r="C6847" s="111" t="s">
        <v>11249</v>
      </c>
      <c r="D6847" s="111" t="str">
        <f t="shared" ref="D6847:E6847" si="6845">TRIM(B6847)</f>
        <v>Massachusetts</v>
      </c>
      <c r="E6847" s="111" t="str">
        <f t="shared" si="6845"/>
        <v>Dorchester</v>
      </c>
    </row>
    <row r="6848" spans="1:5">
      <c r="A6848" s="3" t="s">
        <v>16618</v>
      </c>
      <c r="B6848" s="110" t="s">
        <v>1343</v>
      </c>
      <c r="C6848" s="111" t="s">
        <v>11249</v>
      </c>
      <c r="D6848" s="111" t="str">
        <f t="shared" ref="D6848:E6848" si="6846">TRIM(B6848)</f>
        <v>Massachusetts</v>
      </c>
      <c r="E6848" s="111" t="str">
        <f t="shared" si="6846"/>
        <v>Dorchester</v>
      </c>
    </row>
    <row r="6849" spans="1:5">
      <c r="A6849" s="3" t="s">
        <v>1707</v>
      </c>
      <c r="B6849" s="110" t="s">
        <v>1343</v>
      </c>
      <c r="C6849" s="111" t="s">
        <v>1708</v>
      </c>
      <c r="D6849" s="111" t="str">
        <f t="shared" ref="D6849:E6849" si="6847">TRIM(B6849)</f>
        <v>Massachusetts</v>
      </c>
      <c r="E6849" s="111" t="str">
        <f t="shared" si="6847"/>
        <v>Douglas</v>
      </c>
    </row>
    <row r="6850" spans="1:5">
      <c r="A6850" s="3" t="s">
        <v>16619</v>
      </c>
      <c r="B6850" s="110" t="s">
        <v>1343</v>
      </c>
      <c r="C6850" s="111" t="s">
        <v>3744</v>
      </c>
      <c r="D6850" s="111" t="str">
        <f t="shared" ref="D6850:E6850" si="6848">TRIM(B6850)</f>
        <v>Massachusetts</v>
      </c>
      <c r="E6850" s="111" t="str">
        <f t="shared" si="6848"/>
        <v>Dover</v>
      </c>
    </row>
    <row r="6851" spans="1:5">
      <c r="A6851" s="3" t="s">
        <v>16620</v>
      </c>
      <c r="B6851" s="110" t="s">
        <v>1343</v>
      </c>
      <c r="C6851" s="111" t="s">
        <v>16621</v>
      </c>
      <c r="D6851" s="111" t="str">
        <f t="shared" ref="D6851:E6851" si="6849">TRIM(B6851)</f>
        <v>Massachusetts</v>
      </c>
      <c r="E6851" s="111" t="str">
        <f t="shared" si="6849"/>
        <v>Dracut</v>
      </c>
    </row>
    <row r="6852" spans="1:5">
      <c r="A6852" s="3" t="s">
        <v>16622</v>
      </c>
      <c r="B6852" s="110" t="s">
        <v>1343</v>
      </c>
      <c r="C6852" s="111" t="s">
        <v>16623</v>
      </c>
      <c r="D6852" s="111" t="str">
        <f t="shared" ref="D6852:E6852" si="6850">TRIM(B6852)</f>
        <v>Massachusetts</v>
      </c>
      <c r="E6852" s="111" t="str">
        <f t="shared" si="6850"/>
        <v>Dudley</v>
      </c>
    </row>
    <row r="6853" spans="1:5">
      <c r="A6853" s="3" t="s">
        <v>16624</v>
      </c>
      <c r="B6853" s="110" t="s">
        <v>1343</v>
      </c>
      <c r="C6853" s="111" t="s">
        <v>16625</v>
      </c>
      <c r="D6853" s="111" t="str">
        <f t="shared" ref="D6853:E6853" si="6851">TRIM(B6853)</f>
        <v>Massachusetts</v>
      </c>
      <c r="E6853" s="111" t="str">
        <f t="shared" si="6851"/>
        <v>Duxbury</v>
      </c>
    </row>
    <row r="6854" spans="1:5">
      <c r="A6854" s="3" t="s">
        <v>16626</v>
      </c>
      <c r="B6854" s="110" t="s">
        <v>1343</v>
      </c>
      <c r="C6854" s="111" t="s">
        <v>16627</v>
      </c>
      <c r="D6854" s="111" t="str">
        <f t="shared" ref="D6854:E6854" si="6852">TRIM(B6854)</f>
        <v>Massachusetts</v>
      </c>
      <c r="E6854" s="111" t="str">
        <f t="shared" si="6852"/>
        <v>East Boston</v>
      </c>
    </row>
    <row r="6855" spans="1:5">
      <c r="A6855" s="3" t="s">
        <v>16628</v>
      </c>
      <c r="B6855" s="110" t="s">
        <v>1343</v>
      </c>
      <c r="C6855" s="111" t="s">
        <v>16627</v>
      </c>
      <c r="D6855" s="111" t="str">
        <f t="shared" ref="D6855:E6855" si="6853">TRIM(B6855)</f>
        <v>Massachusetts</v>
      </c>
      <c r="E6855" s="111" t="str">
        <f t="shared" si="6853"/>
        <v>East Boston</v>
      </c>
    </row>
    <row r="6856" spans="1:5">
      <c r="A6856" s="3" t="s">
        <v>16629</v>
      </c>
      <c r="B6856" s="110" t="s">
        <v>1343</v>
      </c>
      <c r="C6856" s="113" t="s">
        <v>16630</v>
      </c>
      <c r="D6856" s="111" t="str">
        <f t="shared" ref="D6856:E6856" si="6854">TRIM(B6856)</f>
        <v>Massachusetts</v>
      </c>
      <c r="E6856" s="111" t="str">
        <f t="shared" si="6854"/>
        <v>East Bridgewater</v>
      </c>
    </row>
    <row r="6857" spans="1:5">
      <c r="A6857" s="3" t="s">
        <v>16631</v>
      </c>
      <c r="B6857" s="110" t="s">
        <v>1343</v>
      </c>
      <c r="C6857" s="113" t="s">
        <v>16632</v>
      </c>
      <c r="D6857" s="111" t="str">
        <f t="shared" ref="D6857:E6857" si="6855">TRIM(B6857)</f>
        <v>Massachusetts</v>
      </c>
      <c r="E6857" s="111" t="str">
        <f t="shared" si="6855"/>
        <v>East Longmeadow</v>
      </c>
    </row>
    <row r="6858" spans="1:5">
      <c r="A6858" s="3" t="s">
        <v>16633</v>
      </c>
      <c r="B6858" s="110" t="s">
        <v>1343</v>
      </c>
      <c r="C6858" s="111" t="s">
        <v>16634</v>
      </c>
      <c r="D6858" s="111" t="str">
        <f t="shared" ref="D6858:E6858" si="6856">TRIM(B6858)</f>
        <v>Massachusetts</v>
      </c>
      <c r="E6858" s="111" t="str">
        <f t="shared" si="6856"/>
        <v>East Sandwich</v>
      </c>
    </row>
    <row r="6859" spans="1:5">
      <c r="A6859" s="3" t="s">
        <v>16635</v>
      </c>
      <c r="B6859" s="110" t="s">
        <v>1343</v>
      </c>
      <c r="C6859" s="111" t="s">
        <v>11398</v>
      </c>
      <c r="D6859" s="111" t="str">
        <f t="shared" ref="D6859:E6859" si="6857">TRIM(B6859)</f>
        <v>Massachusetts</v>
      </c>
      <c r="E6859" s="111" t="str">
        <f t="shared" si="6857"/>
        <v>Easthampton</v>
      </c>
    </row>
    <row r="6860" spans="1:5">
      <c r="A6860" s="3" t="s">
        <v>16636</v>
      </c>
      <c r="B6860" s="110" t="s">
        <v>1343</v>
      </c>
      <c r="C6860" s="111" t="s">
        <v>11340</v>
      </c>
      <c r="D6860" s="111" t="str">
        <f t="shared" ref="D6860:E6860" si="6858">TRIM(B6860)</f>
        <v>Massachusetts</v>
      </c>
      <c r="E6860" s="111" t="str">
        <f t="shared" si="6858"/>
        <v>Everett</v>
      </c>
    </row>
    <row r="6861" spans="1:5">
      <c r="A6861" s="3" t="s">
        <v>16637</v>
      </c>
      <c r="B6861" s="110" t="s">
        <v>1343</v>
      </c>
      <c r="C6861" s="111" t="s">
        <v>16638</v>
      </c>
      <c r="D6861" s="111" t="str">
        <f t="shared" ref="D6861:E6861" si="6859">TRIM(B6861)</f>
        <v>Massachusetts</v>
      </c>
      <c r="E6861" s="111" t="str">
        <f t="shared" si="6859"/>
        <v>Fairhaven</v>
      </c>
    </row>
    <row r="6862" spans="1:5">
      <c r="A6862" s="3" t="s">
        <v>16639</v>
      </c>
      <c r="B6862" s="110" t="s">
        <v>1343</v>
      </c>
      <c r="C6862" s="111" t="s">
        <v>11241</v>
      </c>
      <c r="D6862" s="111" t="str">
        <f t="shared" ref="D6862:E6862" si="6860">TRIM(B6862)</f>
        <v>Massachusetts</v>
      </c>
      <c r="E6862" s="111" t="str">
        <f t="shared" si="6860"/>
        <v>Fall River</v>
      </c>
    </row>
    <row r="6863" spans="1:5">
      <c r="A6863" s="3" t="s">
        <v>16202</v>
      </c>
      <c r="B6863" s="110" t="s">
        <v>1343</v>
      </c>
      <c r="C6863" s="111" t="s">
        <v>11286</v>
      </c>
      <c r="D6863" s="111" t="str">
        <f t="shared" ref="D6863:E6863" si="6861">TRIM(B6863)</f>
        <v>Massachusetts</v>
      </c>
      <c r="E6863" s="111" t="str">
        <f t="shared" si="6861"/>
        <v>Falmouth</v>
      </c>
    </row>
    <row r="6864" spans="1:5">
      <c r="A6864" s="3" t="s">
        <v>16640</v>
      </c>
      <c r="B6864" s="110" t="s">
        <v>1343</v>
      </c>
      <c r="C6864" s="111" t="s">
        <v>16641</v>
      </c>
      <c r="D6864" s="111" t="str">
        <f t="shared" ref="D6864:E6864" si="6862">TRIM(B6864)</f>
        <v>Massachusetts</v>
      </c>
      <c r="E6864" s="111" t="str">
        <f t="shared" si="6862"/>
        <v>Fiskdale</v>
      </c>
    </row>
    <row r="6865" spans="1:5">
      <c r="A6865" s="3" t="s">
        <v>16642</v>
      </c>
      <c r="B6865" s="110" t="s">
        <v>1343</v>
      </c>
      <c r="C6865" s="111" t="s">
        <v>11328</v>
      </c>
      <c r="D6865" s="111" t="str">
        <f t="shared" ref="D6865:E6865" si="6863">TRIM(B6865)</f>
        <v>Massachusetts</v>
      </c>
      <c r="E6865" s="111" t="str">
        <f t="shared" si="6863"/>
        <v>Fitchburg</v>
      </c>
    </row>
    <row r="6866" spans="1:5">
      <c r="A6866" s="3" t="s">
        <v>16643</v>
      </c>
      <c r="B6866" s="110" t="s">
        <v>1343</v>
      </c>
      <c r="C6866" s="111" t="s">
        <v>11328</v>
      </c>
      <c r="D6866" s="111" t="str">
        <f t="shared" ref="D6866:E6866" si="6864">TRIM(B6866)</f>
        <v>Massachusetts</v>
      </c>
      <c r="E6866" s="111" t="str">
        <f t="shared" si="6864"/>
        <v>Fitchburg</v>
      </c>
    </row>
    <row r="6867" spans="1:5">
      <c r="A6867" s="110" t="s">
        <v>16644</v>
      </c>
      <c r="B6867" s="110" t="s">
        <v>1343</v>
      </c>
      <c r="C6867" s="111" t="s">
        <v>11328</v>
      </c>
      <c r="D6867" s="111" t="str">
        <f t="shared" ref="D6867:E6867" si="6865">TRIM(B6867)</f>
        <v>Massachusetts</v>
      </c>
      <c r="E6867" s="111" t="str">
        <f t="shared" si="6865"/>
        <v>Fitchburg</v>
      </c>
    </row>
    <row r="6868" spans="1:5">
      <c r="A6868" s="3" t="s">
        <v>16645</v>
      </c>
      <c r="B6868" s="110" t="s">
        <v>1343</v>
      </c>
      <c r="C6868" s="111" t="s">
        <v>16646</v>
      </c>
      <c r="D6868" s="111" t="str">
        <f t="shared" ref="D6868:E6868" si="6866">TRIM(B6868)</f>
        <v>Massachusetts</v>
      </c>
      <c r="E6868" s="111" t="str">
        <f t="shared" si="6866"/>
        <v>Foxborough</v>
      </c>
    </row>
    <row r="6869" spans="1:5">
      <c r="A6869" s="3" t="s">
        <v>16647</v>
      </c>
      <c r="B6869" s="110" t="s">
        <v>1343</v>
      </c>
      <c r="C6869" s="111" t="s">
        <v>11302</v>
      </c>
      <c r="D6869" s="111" t="str">
        <f t="shared" ref="D6869:E6869" si="6867">TRIM(B6869)</f>
        <v>Massachusetts</v>
      </c>
      <c r="E6869" s="111" t="str">
        <f t="shared" si="6867"/>
        <v>Framingham</v>
      </c>
    </row>
    <row r="6870" spans="1:5">
      <c r="A6870" s="3" t="s">
        <v>4937</v>
      </c>
      <c r="B6870" s="110" t="s">
        <v>1343</v>
      </c>
      <c r="C6870" s="111" t="s">
        <v>525</v>
      </c>
      <c r="D6870" s="111" t="str">
        <f t="shared" ref="D6870:E6870" si="6868">TRIM(B6870)</f>
        <v>Massachusetts</v>
      </c>
      <c r="E6870" s="111" t="str">
        <f t="shared" si="6868"/>
        <v>Franklin</v>
      </c>
    </row>
    <row r="6871" spans="1:5">
      <c r="A6871" s="3" t="s">
        <v>16648</v>
      </c>
      <c r="B6871" s="110" t="s">
        <v>1343</v>
      </c>
      <c r="C6871" s="111" t="s">
        <v>12945</v>
      </c>
      <c r="D6871" s="111" t="str">
        <f t="shared" ref="D6871:E6871" si="6869">TRIM(B6871)</f>
        <v>Massachusetts</v>
      </c>
      <c r="E6871" s="111" t="str">
        <f t="shared" si="6869"/>
        <v>Gardner</v>
      </c>
    </row>
    <row r="6872" spans="1:5">
      <c r="A6872" s="110" t="s">
        <v>16649</v>
      </c>
      <c r="B6872" s="110" t="s">
        <v>1343</v>
      </c>
      <c r="C6872" s="111" t="s">
        <v>12945</v>
      </c>
      <c r="D6872" s="111" t="str">
        <f t="shared" ref="D6872:E6872" si="6870">TRIM(B6872)</f>
        <v>Massachusetts</v>
      </c>
      <c r="E6872" s="111" t="str">
        <f t="shared" si="6870"/>
        <v>Gardner</v>
      </c>
    </row>
    <row r="6873" spans="1:5">
      <c r="A6873" s="110" t="s">
        <v>16650</v>
      </c>
      <c r="B6873" s="110" t="s">
        <v>1343</v>
      </c>
      <c r="C6873" s="111" t="s">
        <v>12945</v>
      </c>
      <c r="D6873" s="111" t="str">
        <f t="shared" ref="D6873:E6873" si="6871">TRIM(B6873)</f>
        <v>Massachusetts</v>
      </c>
      <c r="E6873" s="111" t="str">
        <f t="shared" si="6871"/>
        <v>Gardner</v>
      </c>
    </row>
    <row r="6874" spans="1:5">
      <c r="A6874" s="3" t="s">
        <v>16651</v>
      </c>
      <c r="B6874" s="110" t="s">
        <v>1343</v>
      </c>
      <c r="C6874" s="111" t="s">
        <v>8818</v>
      </c>
      <c r="D6874" s="111" t="str">
        <f t="shared" ref="D6874:E6874" si="6872">TRIM(B6874)</f>
        <v>Massachusetts</v>
      </c>
      <c r="E6874" s="111" t="str">
        <f t="shared" si="6872"/>
        <v>Georgetown</v>
      </c>
    </row>
    <row r="6875" spans="1:5">
      <c r="A6875" s="3" t="s">
        <v>16652</v>
      </c>
      <c r="B6875" s="110" t="s">
        <v>1343</v>
      </c>
      <c r="C6875" s="111" t="s">
        <v>16653</v>
      </c>
      <c r="D6875" s="111" t="str">
        <f t="shared" ref="D6875:E6875" si="6873">TRIM(B6875)</f>
        <v>Massachusetts</v>
      </c>
      <c r="E6875" s="111" t="str">
        <f t="shared" si="6873"/>
        <v>Gloucester</v>
      </c>
    </row>
    <row r="6876" spans="1:5">
      <c r="A6876" s="3" t="s">
        <v>16654</v>
      </c>
      <c r="B6876" s="110" t="s">
        <v>1343</v>
      </c>
      <c r="C6876" s="111" t="s">
        <v>16655</v>
      </c>
      <c r="D6876" s="111" t="str">
        <f t="shared" ref="D6876:E6876" si="6874">TRIM(B6876)</f>
        <v>Massachusetts</v>
      </c>
      <c r="E6876" s="111" t="str">
        <f t="shared" si="6874"/>
        <v>Grafton</v>
      </c>
    </row>
    <row r="6877" spans="1:5">
      <c r="A6877" s="3" t="s">
        <v>16656</v>
      </c>
      <c r="B6877" s="110" t="s">
        <v>1343</v>
      </c>
      <c r="C6877" s="111" t="s">
        <v>7939</v>
      </c>
      <c r="D6877" s="111" t="str">
        <f t="shared" ref="D6877:E6877" si="6875">TRIM(B6877)</f>
        <v>Massachusetts</v>
      </c>
      <c r="E6877" s="111" t="str">
        <f t="shared" si="6875"/>
        <v>Granby</v>
      </c>
    </row>
    <row r="6878" spans="1:5">
      <c r="A6878" s="3" t="s">
        <v>16657</v>
      </c>
      <c r="B6878" s="110" t="s">
        <v>1343</v>
      </c>
      <c r="C6878" s="111" t="s">
        <v>16658</v>
      </c>
      <c r="D6878" s="111" t="str">
        <f t="shared" ref="D6878:E6878" si="6876">TRIM(B6878)</f>
        <v>Massachusetts</v>
      </c>
      <c r="E6878" s="111" t="str">
        <f t="shared" si="6876"/>
        <v>Great Barrington</v>
      </c>
    </row>
    <row r="6879" spans="1:5">
      <c r="A6879" s="110" t="s">
        <v>16659</v>
      </c>
      <c r="B6879" s="110" t="s">
        <v>1343</v>
      </c>
      <c r="C6879" s="111" t="s">
        <v>5188</v>
      </c>
      <c r="D6879" s="111" t="str">
        <f t="shared" ref="D6879:E6879" si="6877">TRIM(B6879)</f>
        <v>Massachusetts</v>
      </c>
      <c r="E6879" s="111" t="str">
        <f t="shared" si="6877"/>
        <v>Greenfield</v>
      </c>
    </row>
    <row r="6880" spans="1:5">
      <c r="A6880" s="3" t="s">
        <v>5187</v>
      </c>
      <c r="B6880" s="110" t="s">
        <v>1343</v>
      </c>
      <c r="C6880" s="111" t="s">
        <v>5188</v>
      </c>
      <c r="D6880" s="111" t="str">
        <f t="shared" ref="D6880:E6880" si="6878">TRIM(B6880)</f>
        <v>Massachusetts</v>
      </c>
      <c r="E6880" s="111" t="str">
        <f t="shared" si="6878"/>
        <v>Greenfield</v>
      </c>
    </row>
    <row r="6881" spans="1:5">
      <c r="A6881" s="110" t="s">
        <v>16660</v>
      </c>
      <c r="B6881" s="110" t="s">
        <v>1343</v>
      </c>
      <c r="C6881" s="111" t="s">
        <v>8481</v>
      </c>
      <c r="D6881" s="111" t="str">
        <f t="shared" ref="D6881:E6881" si="6879">TRIM(B6881)</f>
        <v>Massachusetts</v>
      </c>
      <c r="E6881" s="111" t="str">
        <f t="shared" si="6879"/>
        <v>Groton</v>
      </c>
    </row>
    <row r="6882" spans="1:5">
      <c r="A6882" s="3" t="s">
        <v>16661</v>
      </c>
      <c r="B6882" s="110" t="s">
        <v>1343</v>
      </c>
      <c r="C6882" s="111" t="s">
        <v>16662</v>
      </c>
      <c r="D6882" s="111" t="str">
        <f t="shared" ref="D6882:E6882" si="6880">TRIM(B6882)</f>
        <v>Massachusetts</v>
      </c>
      <c r="E6882" s="111" t="str">
        <f t="shared" si="6880"/>
        <v>Hadley</v>
      </c>
    </row>
    <row r="6883" spans="1:5">
      <c r="A6883" s="3" t="s">
        <v>15296</v>
      </c>
      <c r="B6883" s="110" t="s">
        <v>1343</v>
      </c>
      <c r="C6883" s="111" t="s">
        <v>13019</v>
      </c>
      <c r="D6883" s="111" t="str">
        <f t="shared" ref="D6883:E6883" si="6881">TRIM(B6883)</f>
        <v>Massachusetts</v>
      </c>
      <c r="E6883" s="111" t="str">
        <f t="shared" si="6881"/>
        <v>Hanover</v>
      </c>
    </row>
    <row r="6884" spans="1:5">
      <c r="A6884" s="110" t="s">
        <v>16663</v>
      </c>
      <c r="B6884" s="110" t="s">
        <v>1343</v>
      </c>
      <c r="C6884" s="111" t="s">
        <v>13032</v>
      </c>
      <c r="D6884" s="111" t="str">
        <f t="shared" ref="D6884:E6884" si="6882">TRIM(B6884)</f>
        <v>Massachusetts</v>
      </c>
      <c r="E6884" s="111" t="str">
        <f t="shared" si="6882"/>
        <v>Harvard</v>
      </c>
    </row>
    <row r="6885" spans="1:5">
      <c r="A6885" s="3" t="s">
        <v>16664</v>
      </c>
      <c r="B6885" s="110" t="s">
        <v>1343</v>
      </c>
      <c r="C6885" s="111" t="s">
        <v>16665</v>
      </c>
      <c r="D6885" s="111" t="str">
        <f t="shared" ref="D6885:E6885" si="6883">TRIM(B6885)</f>
        <v>Massachusetts</v>
      </c>
      <c r="E6885" s="111" t="str">
        <f t="shared" si="6883"/>
        <v>Harwich</v>
      </c>
    </row>
    <row r="6886" spans="1:5">
      <c r="A6886" s="3" t="s">
        <v>16666</v>
      </c>
      <c r="B6886" s="110" t="s">
        <v>1343</v>
      </c>
      <c r="C6886" s="111" t="s">
        <v>16667</v>
      </c>
      <c r="D6886" s="111" t="str">
        <f t="shared" ref="D6886:E6886" si="6884">TRIM(B6886)</f>
        <v>Massachusetts</v>
      </c>
      <c r="E6886" s="111" t="str">
        <f t="shared" si="6884"/>
        <v>Hatfield</v>
      </c>
    </row>
    <row r="6887" spans="1:5">
      <c r="A6887" s="110" t="s">
        <v>16668</v>
      </c>
      <c r="B6887" s="110" t="s">
        <v>1343</v>
      </c>
      <c r="C6887" s="111" t="s">
        <v>16669</v>
      </c>
      <c r="D6887" s="111" t="str">
        <f t="shared" ref="D6887:E6887" si="6885">TRIM(B6887)</f>
        <v>Massachusetts</v>
      </c>
      <c r="E6887" s="111" t="str">
        <f t="shared" si="6885"/>
        <v>Haverhill</v>
      </c>
    </row>
    <row r="6888" spans="1:5">
      <c r="A6888" s="3" t="s">
        <v>16670</v>
      </c>
      <c r="B6888" s="110" t="s">
        <v>1343</v>
      </c>
      <c r="C6888" s="111" t="s">
        <v>16669</v>
      </c>
      <c r="D6888" s="111" t="str">
        <f t="shared" ref="D6888:E6888" si="6886">TRIM(B6888)</f>
        <v>Massachusetts</v>
      </c>
      <c r="E6888" s="111" t="str">
        <f t="shared" si="6886"/>
        <v>Haverhill</v>
      </c>
    </row>
    <row r="6889" spans="1:5">
      <c r="A6889" s="3" t="s">
        <v>16671</v>
      </c>
      <c r="B6889" s="110" t="s">
        <v>1343</v>
      </c>
      <c r="C6889" s="111" t="s">
        <v>11324</v>
      </c>
      <c r="D6889" s="111" t="str">
        <f t="shared" ref="D6889:E6889" si="6887">TRIM(B6889)</f>
        <v>Massachusetts</v>
      </c>
      <c r="E6889" s="111" t="str">
        <f t="shared" si="6887"/>
        <v>Hingham</v>
      </c>
    </row>
    <row r="6890" spans="1:5">
      <c r="A6890" s="3" t="s">
        <v>16672</v>
      </c>
      <c r="B6890" s="110" t="s">
        <v>1343</v>
      </c>
      <c r="C6890" s="111" t="s">
        <v>2762</v>
      </c>
      <c r="D6890" s="111" t="str">
        <f t="shared" ref="D6890:E6890" si="6888">TRIM(B6890)</f>
        <v>Massachusetts</v>
      </c>
      <c r="E6890" s="111" t="str">
        <f t="shared" si="6888"/>
        <v>Holbrook</v>
      </c>
    </row>
    <row r="6891" spans="1:5">
      <c r="A6891" s="3" t="s">
        <v>16673</v>
      </c>
      <c r="B6891" s="110" t="s">
        <v>1343</v>
      </c>
      <c r="C6891" s="111" t="s">
        <v>524</v>
      </c>
      <c r="D6891" s="111" t="str">
        <f t="shared" ref="D6891:E6891" si="6889">TRIM(B6891)</f>
        <v>Massachusetts</v>
      </c>
      <c r="E6891" s="111" t="str">
        <f t="shared" si="6889"/>
        <v>Holden</v>
      </c>
    </row>
    <row r="6892" spans="1:5">
      <c r="A6892" s="3" t="s">
        <v>16674</v>
      </c>
      <c r="B6892" s="110" t="s">
        <v>1343</v>
      </c>
      <c r="C6892" s="111" t="s">
        <v>16675</v>
      </c>
      <c r="D6892" s="111" t="str">
        <f t="shared" ref="D6892:E6892" si="6890">TRIM(B6892)</f>
        <v>Massachusetts</v>
      </c>
      <c r="E6892" s="111" t="str">
        <f t="shared" si="6890"/>
        <v>Holliston</v>
      </c>
    </row>
    <row r="6893" spans="1:5">
      <c r="A6893" s="110" t="s">
        <v>16676</v>
      </c>
      <c r="B6893" s="110" t="s">
        <v>1343</v>
      </c>
      <c r="C6893" s="111" t="s">
        <v>7984</v>
      </c>
      <c r="D6893" s="111" t="str">
        <f t="shared" ref="D6893:E6893" si="6891">TRIM(B6893)</f>
        <v>Massachusetts</v>
      </c>
      <c r="E6893" s="111" t="str">
        <f t="shared" si="6891"/>
        <v>Holyoke</v>
      </c>
    </row>
    <row r="6894" spans="1:5">
      <c r="A6894" s="3" t="s">
        <v>16677</v>
      </c>
      <c r="B6894" s="110" t="s">
        <v>1343</v>
      </c>
      <c r="C6894" s="111" t="s">
        <v>7984</v>
      </c>
      <c r="D6894" s="111" t="str">
        <f t="shared" ref="D6894:E6894" si="6892">TRIM(B6894)</f>
        <v>Massachusetts</v>
      </c>
      <c r="E6894" s="111" t="str">
        <f t="shared" si="6892"/>
        <v>Holyoke</v>
      </c>
    </row>
    <row r="6895" spans="1:5">
      <c r="A6895" s="110" t="s">
        <v>16678</v>
      </c>
      <c r="B6895" s="110" t="s">
        <v>1343</v>
      </c>
      <c r="C6895" s="111" t="s">
        <v>7984</v>
      </c>
      <c r="D6895" s="111" t="str">
        <f t="shared" ref="D6895:E6895" si="6893">TRIM(B6895)</f>
        <v>Massachusetts</v>
      </c>
      <c r="E6895" s="111" t="str">
        <f t="shared" si="6893"/>
        <v>Holyoke</v>
      </c>
    </row>
    <row r="6896" spans="1:5">
      <c r="A6896" s="3" t="s">
        <v>16679</v>
      </c>
      <c r="B6896" s="110" t="s">
        <v>1343</v>
      </c>
      <c r="C6896" s="111" t="s">
        <v>6743</v>
      </c>
      <c r="D6896" s="111" t="str">
        <f t="shared" ref="D6896:E6896" si="6894">TRIM(B6896)</f>
        <v>Massachusetts</v>
      </c>
      <c r="E6896" s="111" t="str">
        <f t="shared" si="6894"/>
        <v>Hopedale</v>
      </c>
    </row>
    <row r="6897" spans="1:5">
      <c r="A6897" s="3" t="s">
        <v>16680</v>
      </c>
      <c r="B6897" s="110" t="s">
        <v>1343</v>
      </c>
      <c r="C6897" s="111" t="s">
        <v>16681</v>
      </c>
      <c r="D6897" s="111" t="str">
        <f t="shared" ref="D6897:E6897" si="6895">TRIM(B6897)</f>
        <v>Massachusetts</v>
      </c>
      <c r="E6897" s="111" t="str">
        <f t="shared" si="6895"/>
        <v>Hopkinton</v>
      </c>
    </row>
    <row r="6898" spans="1:5">
      <c r="A6898" s="3" t="s">
        <v>9374</v>
      </c>
      <c r="B6898" s="110" t="s">
        <v>1343</v>
      </c>
      <c r="C6898" s="111" t="s">
        <v>886</v>
      </c>
      <c r="D6898" s="111" t="str">
        <f t="shared" ref="D6898:E6898" si="6896">TRIM(B6898)</f>
        <v>Massachusetts</v>
      </c>
      <c r="E6898" s="111" t="str">
        <f t="shared" si="6896"/>
        <v>Hudson</v>
      </c>
    </row>
    <row r="6899" spans="1:5">
      <c r="A6899" s="3" t="s">
        <v>16682</v>
      </c>
      <c r="B6899" s="110" t="s">
        <v>1343</v>
      </c>
      <c r="C6899" s="111" t="s">
        <v>14876</v>
      </c>
      <c r="D6899" s="111" t="str">
        <f t="shared" ref="D6899:E6899" si="6897">TRIM(B6899)</f>
        <v>Massachusetts</v>
      </c>
      <c r="E6899" s="111" t="str">
        <f t="shared" si="6897"/>
        <v>Hull</v>
      </c>
    </row>
    <row r="6900" spans="1:5">
      <c r="A6900" s="3" t="s">
        <v>16683</v>
      </c>
      <c r="B6900" s="110" t="s">
        <v>1343</v>
      </c>
      <c r="C6900" s="111" t="s">
        <v>1053</v>
      </c>
      <c r="D6900" s="111" t="str">
        <f t="shared" ref="D6900:E6900" si="6898">TRIM(B6900)</f>
        <v>Massachusetts</v>
      </c>
      <c r="E6900" s="111" t="str">
        <f t="shared" si="6898"/>
        <v>Huntington</v>
      </c>
    </row>
    <row r="6901" spans="1:5">
      <c r="A6901" s="3" t="s">
        <v>16684</v>
      </c>
      <c r="B6901" s="110" t="s">
        <v>1343</v>
      </c>
      <c r="C6901" s="111" t="s">
        <v>16685</v>
      </c>
      <c r="D6901" s="111" t="str">
        <f t="shared" ref="D6901:E6901" si="6899">TRIM(B6901)</f>
        <v>Massachusetts</v>
      </c>
      <c r="E6901" s="111" t="str">
        <f t="shared" si="6899"/>
        <v>Hyannis</v>
      </c>
    </row>
    <row r="6902" spans="1:5">
      <c r="A6902" s="110" t="s">
        <v>16686</v>
      </c>
      <c r="B6902" s="110" t="s">
        <v>1343</v>
      </c>
      <c r="C6902" s="111" t="s">
        <v>16685</v>
      </c>
      <c r="D6902" s="111" t="str">
        <f t="shared" ref="D6902:E6902" si="6900">TRIM(B6902)</f>
        <v>Massachusetts</v>
      </c>
      <c r="E6902" s="111" t="str">
        <f t="shared" si="6900"/>
        <v>Hyannis</v>
      </c>
    </row>
    <row r="6903" spans="1:5">
      <c r="A6903" s="3" t="s">
        <v>16687</v>
      </c>
      <c r="B6903" s="110" t="s">
        <v>1343</v>
      </c>
      <c r="C6903" s="111" t="s">
        <v>16688</v>
      </c>
      <c r="D6903" s="111" t="str">
        <f t="shared" ref="D6903:E6903" si="6901">TRIM(B6903)</f>
        <v>Massachusetts</v>
      </c>
      <c r="E6903" s="111" t="str">
        <f t="shared" si="6901"/>
        <v>Hyde Park</v>
      </c>
    </row>
    <row r="6904" spans="1:5">
      <c r="A6904" s="3" t="s">
        <v>16689</v>
      </c>
      <c r="B6904" s="110" t="s">
        <v>1343</v>
      </c>
      <c r="C6904" s="111" t="s">
        <v>16688</v>
      </c>
      <c r="D6904" s="111" t="str">
        <f t="shared" ref="D6904:E6904" si="6902">TRIM(B6904)</f>
        <v>Massachusetts</v>
      </c>
      <c r="E6904" s="111" t="str">
        <f t="shared" si="6902"/>
        <v>Hyde Park</v>
      </c>
    </row>
    <row r="6905" spans="1:5">
      <c r="A6905" s="110" t="s">
        <v>16690</v>
      </c>
      <c r="B6905" s="110" t="s">
        <v>1343</v>
      </c>
      <c r="C6905" s="111" t="s">
        <v>16688</v>
      </c>
      <c r="D6905" s="111" t="str">
        <f t="shared" ref="D6905:E6905" si="6903">TRIM(B6905)</f>
        <v>Massachusetts</v>
      </c>
      <c r="E6905" s="111" t="str">
        <f t="shared" si="6903"/>
        <v>Hyde Park</v>
      </c>
    </row>
    <row r="6906" spans="1:5">
      <c r="A6906" s="3" t="s">
        <v>16691</v>
      </c>
      <c r="B6906" s="110" t="s">
        <v>1343</v>
      </c>
      <c r="C6906" s="111" t="s">
        <v>16692</v>
      </c>
      <c r="D6906" s="111" t="str">
        <f t="shared" ref="D6906:E6906" si="6904">TRIM(B6906)</f>
        <v>Massachusetts</v>
      </c>
      <c r="E6906" s="111" t="str">
        <f t="shared" si="6904"/>
        <v>Ipswich</v>
      </c>
    </row>
    <row r="6907" spans="1:5">
      <c r="A6907" s="3" t="s">
        <v>16693</v>
      </c>
      <c r="B6907" s="110" t="s">
        <v>1343</v>
      </c>
      <c r="C6907" s="111" t="s">
        <v>11307</v>
      </c>
      <c r="D6907" s="111" t="str">
        <f t="shared" ref="D6907:E6907" si="6905">TRIM(B6907)</f>
        <v>Massachusetts</v>
      </c>
      <c r="E6907" s="111" t="str">
        <f t="shared" si="6905"/>
        <v>Jamaica Plain</v>
      </c>
    </row>
    <row r="6908" spans="1:5">
      <c r="A6908" s="3" t="s">
        <v>16694</v>
      </c>
      <c r="B6908" s="110" t="s">
        <v>1343</v>
      </c>
      <c r="C6908" s="111" t="s">
        <v>11307</v>
      </c>
      <c r="D6908" s="111" t="str">
        <f t="shared" ref="D6908:E6908" si="6906">TRIM(B6908)</f>
        <v>Massachusetts</v>
      </c>
      <c r="E6908" s="111" t="str">
        <f t="shared" si="6906"/>
        <v>Jamaica Plain</v>
      </c>
    </row>
    <row r="6909" spans="1:5">
      <c r="A6909" s="3" t="s">
        <v>16695</v>
      </c>
      <c r="B6909" s="110" t="s">
        <v>1343</v>
      </c>
      <c r="C6909" s="111" t="s">
        <v>3917</v>
      </c>
      <c r="D6909" s="111" t="str">
        <f t="shared" ref="D6909:E6909" si="6907">TRIM(B6909)</f>
        <v>Massachusetts</v>
      </c>
      <c r="E6909" s="111" t="str">
        <f t="shared" si="6907"/>
        <v>Kingston</v>
      </c>
    </row>
    <row r="6910" spans="1:5">
      <c r="A6910" s="3" t="s">
        <v>16696</v>
      </c>
      <c r="B6910" s="110" t="s">
        <v>1343</v>
      </c>
      <c r="C6910" s="111" t="s">
        <v>9818</v>
      </c>
      <c r="D6910" s="111" t="str">
        <f t="shared" ref="D6910:E6910" si="6908">TRIM(B6910)</f>
        <v>Massachusetts</v>
      </c>
      <c r="E6910" s="111" t="str">
        <f t="shared" si="6908"/>
        <v>Lakeville</v>
      </c>
    </row>
    <row r="6911" spans="1:5">
      <c r="A6911" s="3" t="s">
        <v>16697</v>
      </c>
      <c r="B6911" s="110" t="s">
        <v>1343</v>
      </c>
      <c r="C6911" s="111" t="s">
        <v>5267</v>
      </c>
      <c r="D6911" s="111" t="str">
        <f t="shared" ref="D6911:E6911" si="6909">TRIM(B6911)</f>
        <v>Massachusetts</v>
      </c>
      <c r="E6911" s="111" t="str">
        <f t="shared" si="6909"/>
        <v>Lawrence</v>
      </c>
    </row>
    <row r="6912" spans="1:5">
      <c r="A6912" s="3" t="s">
        <v>15357</v>
      </c>
      <c r="B6912" s="110" t="s">
        <v>1343</v>
      </c>
      <c r="C6912" s="111" t="s">
        <v>5267</v>
      </c>
      <c r="D6912" s="111" t="str">
        <f t="shared" ref="D6912:E6912" si="6910">TRIM(B6912)</f>
        <v>Massachusetts</v>
      </c>
      <c r="E6912" s="111" t="str">
        <f t="shared" si="6910"/>
        <v>Lawrence</v>
      </c>
    </row>
    <row r="6913" spans="1:5">
      <c r="A6913" s="3" t="s">
        <v>16698</v>
      </c>
      <c r="B6913" s="110" t="s">
        <v>1343</v>
      </c>
      <c r="C6913" s="111" t="s">
        <v>5267</v>
      </c>
      <c r="D6913" s="111" t="str">
        <f t="shared" ref="D6913:E6913" si="6911">TRIM(B6913)</f>
        <v>Massachusetts</v>
      </c>
      <c r="E6913" s="111" t="str">
        <f t="shared" si="6911"/>
        <v>Lawrence</v>
      </c>
    </row>
    <row r="6914" spans="1:5">
      <c r="A6914" s="3" t="s">
        <v>16699</v>
      </c>
      <c r="B6914" s="110" t="s">
        <v>1343</v>
      </c>
      <c r="C6914" s="112" t="s">
        <v>11014</v>
      </c>
      <c r="D6914" s="111" t="str">
        <f t="shared" ref="D6914:E6914" si="6912">TRIM(B6914)</f>
        <v>Massachusetts</v>
      </c>
      <c r="E6914" s="111" t="str">
        <f t="shared" si="6912"/>
        <v>Lee</v>
      </c>
    </row>
    <row r="6915" spans="1:5">
      <c r="A6915" s="3" t="s">
        <v>16700</v>
      </c>
      <c r="B6915" s="110" t="s">
        <v>1343</v>
      </c>
      <c r="C6915" s="111" t="s">
        <v>16701</v>
      </c>
      <c r="D6915" s="111" t="str">
        <f t="shared" ref="D6915:E6915" si="6913">TRIM(B6915)</f>
        <v>Massachusetts</v>
      </c>
      <c r="E6915" s="111" t="str">
        <f t="shared" si="6913"/>
        <v>Leicester</v>
      </c>
    </row>
    <row r="6916" spans="1:5">
      <c r="A6916" s="3" t="s">
        <v>16702</v>
      </c>
      <c r="B6916" s="110" t="s">
        <v>1343</v>
      </c>
      <c r="C6916" s="111" t="s">
        <v>14926</v>
      </c>
      <c r="D6916" s="111" t="str">
        <f t="shared" ref="D6916:E6916" si="6914">TRIM(B6916)</f>
        <v>Massachusetts</v>
      </c>
      <c r="E6916" s="111" t="str">
        <f t="shared" si="6914"/>
        <v>Lenox</v>
      </c>
    </row>
    <row r="6917" spans="1:5">
      <c r="A6917" s="110" t="s">
        <v>16703</v>
      </c>
      <c r="B6917" s="110" t="s">
        <v>1343</v>
      </c>
      <c r="C6917" s="111" t="s">
        <v>16704</v>
      </c>
      <c r="D6917" s="111" t="str">
        <f t="shared" ref="D6917:E6917" si="6915">TRIM(B6917)</f>
        <v>Massachusetts</v>
      </c>
      <c r="E6917" s="111" t="str">
        <f t="shared" si="6915"/>
        <v>Leominster</v>
      </c>
    </row>
    <row r="6918" spans="1:5">
      <c r="A6918" s="3" t="s">
        <v>16705</v>
      </c>
      <c r="B6918" s="110" t="s">
        <v>1343</v>
      </c>
      <c r="C6918" s="111" t="s">
        <v>16704</v>
      </c>
      <c r="D6918" s="111" t="str">
        <f t="shared" ref="D6918:E6918" si="6916">TRIM(B6918)</f>
        <v>Massachusetts</v>
      </c>
      <c r="E6918" s="111" t="str">
        <f t="shared" si="6916"/>
        <v>Leominster</v>
      </c>
    </row>
    <row r="6919" spans="1:5">
      <c r="A6919" s="3" t="s">
        <v>13208</v>
      </c>
      <c r="B6919" s="110" t="s">
        <v>1343</v>
      </c>
      <c r="C6919" s="112" t="s">
        <v>506</v>
      </c>
      <c r="D6919" s="111" t="str">
        <f t="shared" ref="D6919:E6919" si="6917">TRIM(B6919)</f>
        <v>Massachusetts</v>
      </c>
      <c r="E6919" s="111" t="str">
        <f t="shared" si="6917"/>
        <v>Lexington</v>
      </c>
    </row>
    <row r="6920" spans="1:5">
      <c r="A6920" s="3" t="s">
        <v>8073</v>
      </c>
      <c r="B6920" s="110" t="s">
        <v>1343</v>
      </c>
      <c r="C6920" s="111" t="s">
        <v>8066</v>
      </c>
      <c r="D6920" s="111" t="str">
        <f t="shared" ref="D6920:E6920" si="6918">TRIM(B6920)</f>
        <v>Massachusetts</v>
      </c>
      <c r="E6920" s="111" t="str">
        <f t="shared" si="6918"/>
        <v>Littleton</v>
      </c>
    </row>
    <row r="6921" spans="1:5">
      <c r="A6921" s="3" t="s">
        <v>16706</v>
      </c>
      <c r="B6921" s="110" t="s">
        <v>1343</v>
      </c>
      <c r="C6921" s="111" t="s">
        <v>16707</v>
      </c>
      <c r="D6921" s="111" t="str">
        <f t="shared" ref="D6921:E6921" si="6919">TRIM(B6921)</f>
        <v>Massachusetts</v>
      </c>
      <c r="E6921" s="111" t="str">
        <f t="shared" si="6919"/>
        <v>Longmeadow</v>
      </c>
    </row>
    <row r="6922" spans="1:5">
      <c r="A6922" s="110" t="s">
        <v>16708</v>
      </c>
      <c r="B6922" s="110" t="s">
        <v>1343</v>
      </c>
      <c r="C6922" s="111" t="s">
        <v>1569</v>
      </c>
      <c r="D6922" s="111" t="str">
        <f t="shared" ref="D6922:E6922" si="6920">TRIM(B6922)</f>
        <v>Massachusetts</v>
      </c>
      <c r="E6922" s="111" t="str">
        <f t="shared" si="6920"/>
        <v>Lowell</v>
      </c>
    </row>
    <row r="6923" spans="1:5">
      <c r="A6923" s="3" t="s">
        <v>6860</v>
      </c>
      <c r="B6923" s="110" t="s">
        <v>1343</v>
      </c>
      <c r="C6923" s="111" t="s">
        <v>1569</v>
      </c>
      <c r="D6923" s="111" t="str">
        <f t="shared" ref="D6923:E6923" si="6921">TRIM(B6923)</f>
        <v>Massachusetts</v>
      </c>
      <c r="E6923" s="111" t="str">
        <f t="shared" si="6921"/>
        <v>Lowell</v>
      </c>
    </row>
    <row r="6924" spans="1:5">
      <c r="A6924" s="3" t="s">
        <v>16709</v>
      </c>
      <c r="B6924" s="110" t="s">
        <v>1343</v>
      </c>
      <c r="C6924" s="111" t="s">
        <v>1569</v>
      </c>
      <c r="D6924" s="111" t="str">
        <f t="shared" ref="D6924:E6924" si="6922">TRIM(B6924)</f>
        <v>Massachusetts</v>
      </c>
      <c r="E6924" s="111" t="str">
        <f t="shared" si="6922"/>
        <v>Lowell</v>
      </c>
    </row>
    <row r="6925" spans="1:5">
      <c r="A6925" s="3" t="s">
        <v>16710</v>
      </c>
      <c r="B6925" s="110" t="s">
        <v>1343</v>
      </c>
      <c r="C6925" s="111" t="s">
        <v>1569</v>
      </c>
      <c r="D6925" s="111" t="str">
        <f t="shared" ref="D6925:E6925" si="6923">TRIM(B6925)</f>
        <v>Massachusetts</v>
      </c>
      <c r="E6925" s="111" t="str">
        <f t="shared" si="6923"/>
        <v>Lowell</v>
      </c>
    </row>
    <row r="6926" spans="1:5">
      <c r="A6926" s="3" t="s">
        <v>16711</v>
      </c>
      <c r="B6926" s="110" t="s">
        <v>1343</v>
      </c>
      <c r="C6926" s="111" t="s">
        <v>15761</v>
      </c>
      <c r="D6926" s="111" t="str">
        <f t="shared" ref="D6926:E6926" si="6924">TRIM(B6926)</f>
        <v>Massachusetts</v>
      </c>
      <c r="E6926" s="111" t="str">
        <f t="shared" si="6924"/>
        <v>Ludlow</v>
      </c>
    </row>
    <row r="6927" spans="1:5">
      <c r="A6927" s="3" t="s">
        <v>16712</v>
      </c>
      <c r="B6927" s="110" t="s">
        <v>1343</v>
      </c>
      <c r="C6927" s="111" t="s">
        <v>16713</v>
      </c>
      <c r="D6927" s="111" t="str">
        <f t="shared" ref="D6927:E6927" si="6925">TRIM(B6927)</f>
        <v>Massachusetts</v>
      </c>
      <c r="E6927" s="111" t="str">
        <f t="shared" si="6925"/>
        <v>Lunenburg</v>
      </c>
    </row>
    <row r="6928" spans="1:5">
      <c r="A6928" s="3" t="s">
        <v>16714</v>
      </c>
      <c r="B6928" s="110" t="s">
        <v>1343</v>
      </c>
      <c r="C6928" s="111" t="s">
        <v>1939</v>
      </c>
      <c r="D6928" s="111" t="str">
        <f t="shared" ref="D6928:E6928" si="6926">TRIM(B6928)</f>
        <v>Massachusetts</v>
      </c>
      <c r="E6928" s="111" t="str">
        <f t="shared" si="6926"/>
        <v>Lynn</v>
      </c>
    </row>
    <row r="6929" spans="1:5">
      <c r="A6929" s="3" t="s">
        <v>16715</v>
      </c>
      <c r="B6929" s="110" t="s">
        <v>1343</v>
      </c>
      <c r="C6929" s="111" t="s">
        <v>1939</v>
      </c>
      <c r="D6929" s="111" t="str">
        <f t="shared" ref="D6929:E6929" si="6927">TRIM(B6929)</f>
        <v>Massachusetts</v>
      </c>
      <c r="E6929" s="111" t="str">
        <f t="shared" si="6927"/>
        <v>Lynn</v>
      </c>
    </row>
    <row r="6930" spans="1:5">
      <c r="A6930" s="3" t="s">
        <v>16716</v>
      </c>
      <c r="B6930" s="110" t="s">
        <v>1343</v>
      </c>
      <c r="C6930" s="111" t="s">
        <v>1939</v>
      </c>
      <c r="D6930" s="111" t="str">
        <f t="shared" ref="D6930:E6930" si="6928">TRIM(B6930)</f>
        <v>Massachusetts</v>
      </c>
      <c r="E6930" s="111" t="str">
        <f t="shared" si="6928"/>
        <v>Lynn</v>
      </c>
    </row>
    <row r="6931" spans="1:5">
      <c r="A6931" s="3" t="s">
        <v>16717</v>
      </c>
      <c r="B6931" s="110" t="s">
        <v>1343</v>
      </c>
      <c r="C6931" s="111" t="s">
        <v>16718</v>
      </c>
      <c r="D6931" s="111" t="str">
        <f t="shared" ref="D6931:E6931" si="6929">TRIM(B6931)</f>
        <v>Massachusetts</v>
      </c>
      <c r="E6931" s="111" t="str">
        <f t="shared" si="6929"/>
        <v>Lynnfield</v>
      </c>
    </row>
    <row r="6932" spans="1:5">
      <c r="A6932" s="3" t="s">
        <v>16719</v>
      </c>
      <c r="B6932" s="110" t="s">
        <v>1343</v>
      </c>
      <c r="C6932" s="111" t="s">
        <v>16720</v>
      </c>
      <c r="D6932" s="111" t="str">
        <f t="shared" ref="D6932:E6932" si="6930">TRIM(B6932)</f>
        <v>Massachusetts</v>
      </c>
      <c r="E6932" s="111" t="str">
        <f t="shared" si="6930"/>
        <v>Malden</v>
      </c>
    </row>
    <row r="6933" spans="1:5">
      <c r="A6933" s="3" t="s">
        <v>16721</v>
      </c>
      <c r="B6933" s="110" t="s">
        <v>1343</v>
      </c>
      <c r="C6933" s="111" t="s">
        <v>8540</v>
      </c>
      <c r="D6933" s="111" t="str">
        <f t="shared" ref="D6933:E6933" si="6931">TRIM(B6933)</f>
        <v>Massachusetts</v>
      </c>
      <c r="E6933" s="111" t="str">
        <f t="shared" si="6931"/>
        <v>Manchester</v>
      </c>
    </row>
    <row r="6934" spans="1:5">
      <c r="A6934" s="3" t="s">
        <v>3990</v>
      </c>
      <c r="B6934" s="110" t="s">
        <v>1343</v>
      </c>
      <c r="C6934" s="111" t="s">
        <v>2997</v>
      </c>
      <c r="D6934" s="111" t="str">
        <f t="shared" ref="D6934:E6934" si="6932">TRIM(B6934)</f>
        <v>Massachusetts</v>
      </c>
      <c r="E6934" s="111" t="str">
        <f t="shared" si="6932"/>
        <v>Mansfield</v>
      </c>
    </row>
    <row r="6935" spans="1:5">
      <c r="A6935" s="3" t="s">
        <v>16722</v>
      </c>
      <c r="B6935" s="110" t="s">
        <v>1343</v>
      </c>
      <c r="C6935" s="111" t="s">
        <v>16723</v>
      </c>
      <c r="D6935" s="111" t="str">
        <f t="shared" ref="D6935:E6935" si="6933">TRIM(B6935)</f>
        <v>Massachusetts</v>
      </c>
      <c r="E6935" s="111" t="str">
        <f t="shared" si="6933"/>
        <v>Marblehead</v>
      </c>
    </row>
    <row r="6936" spans="1:5">
      <c r="A6936" s="3" t="s">
        <v>16724</v>
      </c>
      <c r="B6936" s="110" t="s">
        <v>1343</v>
      </c>
      <c r="C6936" s="111" t="s">
        <v>16725</v>
      </c>
      <c r="D6936" s="111" t="str">
        <f t="shared" ref="D6936:E6936" si="6934">TRIM(B6936)</f>
        <v>Massachusetts</v>
      </c>
      <c r="E6936" s="111" t="str">
        <f t="shared" si="6934"/>
        <v>Marlborough</v>
      </c>
    </row>
    <row r="6937" spans="1:5">
      <c r="A6937" s="3" t="s">
        <v>16726</v>
      </c>
      <c r="B6937" s="110" t="s">
        <v>1343</v>
      </c>
      <c r="C6937" s="111" t="s">
        <v>16725</v>
      </c>
      <c r="D6937" s="111" t="str">
        <f t="shared" ref="D6937:E6937" si="6935">TRIM(B6937)</f>
        <v>Massachusetts</v>
      </c>
      <c r="E6937" s="111" t="str">
        <f t="shared" si="6935"/>
        <v>Marlborough</v>
      </c>
    </row>
    <row r="6938" spans="1:5">
      <c r="A6938" s="3" t="s">
        <v>16727</v>
      </c>
      <c r="B6938" s="110" t="s">
        <v>1343</v>
      </c>
      <c r="C6938" s="111" t="s">
        <v>16728</v>
      </c>
      <c r="D6938" s="111" t="str">
        <f t="shared" ref="D6938:E6938" si="6936">TRIM(B6938)</f>
        <v>Massachusetts</v>
      </c>
      <c r="E6938" s="111" t="str">
        <f t="shared" si="6936"/>
        <v>Marshfield</v>
      </c>
    </row>
    <row r="6939" spans="1:5">
      <c r="A6939" s="3" t="s">
        <v>16729</v>
      </c>
      <c r="B6939" s="110" t="s">
        <v>1343</v>
      </c>
      <c r="C6939" s="111" t="s">
        <v>16730</v>
      </c>
      <c r="D6939" s="111" t="str">
        <f t="shared" ref="D6939:E6939" si="6937">TRIM(B6939)</f>
        <v>Massachusetts</v>
      </c>
      <c r="E6939" s="111" t="str">
        <f t="shared" si="6937"/>
        <v>Mashpee</v>
      </c>
    </row>
    <row r="6940" spans="1:5">
      <c r="A6940" s="3" t="s">
        <v>16731</v>
      </c>
      <c r="B6940" s="110" t="s">
        <v>1343</v>
      </c>
      <c r="C6940" s="111" t="s">
        <v>16732</v>
      </c>
      <c r="D6940" s="111" t="str">
        <f t="shared" ref="D6940:E6940" si="6938">TRIM(B6940)</f>
        <v>Massachusetts</v>
      </c>
      <c r="E6940" s="111" t="str">
        <f t="shared" si="6938"/>
        <v>Mattapoisett</v>
      </c>
    </row>
    <row r="6941" spans="1:5">
      <c r="A6941" s="3" t="s">
        <v>4016</v>
      </c>
      <c r="B6941" s="110" t="s">
        <v>1343</v>
      </c>
      <c r="C6941" s="111" t="s">
        <v>4017</v>
      </c>
      <c r="D6941" s="111" t="str">
        <f t="shared" ref="D6941:E6941" si="6939">TRIM(B6941)</f>
        <v>Massachusetts</v>
      </c>
      <c r="E6941" s="111" t="str">
        <f t="shared" si="6939"/>
        <v>Maynard</v>
      </c>
    </row>
    <row r="6942" spans="1:5">
      <c r="A6942" s="3" t="s">
        <v>16733</v>
      </c>
      <c r="B6942" s="110" t="s">
        <v>1343</v>
      </c>
      <c r="C6942" s="111" t="s">
        <v>11310</v>
      </c>
      <c r="D6942" s="111" t="str">
        <f t="shared" ref="D6942:E6942" si="6940">TRIM(B6942)</f>
        <v>Massachusetts</v>
      </c>
      <c r="E6942" s="111" t="str">
        <f t="shared" si="6940"/>
        <v>Medfield</v>
      </c>
    </row>
    <row r="6943" spans="1:5">
      <c r="A6943" s="110" t="s">
        <v>16734</v>
      </c>
      <c r="B6943" s="110" t="s">
        <v>1343</v>
      </c>
      <c r="C6943" s="111" t="s">
        <v>549</v>
      </c>
      <c r="D6943" s="111" t="str">
        <f t="shared" ref="D6943:E6943" si="6941">TRIM(B6943)</f>
        <v>Massachusetts</v>
      </c>
      <c r="E6943" s="111" t="str">
        <f t="shared" si="6941"/>
        <v>Medford</v>
      </c>
    </row>
    <row r="6944" spans="1:5">
      <c r="A6944" s="3" t="s">
        <v>16735</v>
      </c>
      <c r="B6944" s="110" t="s">
        <v>1343</v>
      </c>
      <c r="C6944" s="111" t="s">
        <v>549</v>
      </c>
      <c r="D6944" s="111" t="str">
        <f t="shared" ref="D6944:E6944" si="6942">TRIM(B6944)</f>
        <v>Massachusetts</v>
      </c>
      <c r="E6944" s="111" t="str">
        <f t="shared" si="6942"/>
        <v>Medford</v>
      </c>
    </row>
    <row r="6945" spans="1:5">
      <c r="A6945" s="3" t="s">
        <v>16736</v>
      </c>
      <c r="B6945" s="110" t="s">
        <v>1343</v>
      </c>
      <c r="C6945" s="111" t="s">
        <v>16737</v>
      </c>
      <c r="D6945" s="111" t="str">
        <f t="shared" ref="D6945:E6945" si="6943">TRIM(B6945)</f>
        <v>Massachusetts</v>
      </c>
      <c r="E6945" s="111" t="str">
        <f t="shared" si="6943"/>
        <v>Medway</v>
      </c>
    </row>
    <row r="6946" spans="1:5">
      <c r="A6946" s="3" t="s">
        <v>16738</v>
      </c>
      <c r="B6946" s="110" t="s">
        <v>1343</v>
      </c>
      <c r="C6946" s="111" t="s">
        <v>8874</v>
      </c>
      <c r="D6946" s="111" t="str">
        <f t="shared" ref="D6946:E6946" si="6944">TRIM(B6946)</f>
        <v>Massachusetts</v>
      </c>
      <c r="E6946" s="111" t="str">
        <f t="shared" si="6944"/>
        <v>Melrose</v>
      </c>
    </row>
    <row r="6947" spans="1:5">
      <c r="A6947" s="3" t="s">
        <v>16739</v>
      </c>
      <c r="B6947" s="110" t="s">
        <v>1343</v>
      </c>
      <c r="C6947" s="111" t="s">
        <v>16740</v>
      </c>
      <c r="D6947" s="111" t="str">
        <f t="shared" ref="D6947:E6947" si="6945">TRIM(B6947)</f>
        <v>Massachusetts</v>
      </c>
      <c r="E6947" s="111" t="str">
        <f t="shared" si="6945"/>
        <v>Methuen</v>
      </c>
    </row>
    <row r="6948" spans="1:5">
      <c r="A6948" s="3" t="s">
        <v>16741</v>
      </c>
      <c r="B6948" s="110" t="s">
        <v>1343</v>
      </c>
      <c r="C6948" s="111" t="s">
        <v>16742</v>
      </c>
      <c r="D6948" s="111" t="str">
        <f t="shared" ref="D6948:E6948" si="6946">TRIM(B6948)</f>
        <v>Massachusetts</v>
      </c>
      <c r="E6948" s="111" t="str">
        <f t="shared" si="6946"/>
        <v>Middleborough</v>
      </c>
    </row>
    <row r="6949" spans="1:5">
      <c r="A6949" s="3" t="s">
        <v>16743</v>
      </c>
      <c r="B6949" s="110" t="s">
        <v>1343</v>
      </c>
      <c r="C6949" s="111" t="s">
        <v>8552</v>
      </c>
      <c r="D6949" s="111" t="str">
        <f t="shared" ref="D6949:E6949" si="6947">TRIM(B6949)</f>
        <v>Massachusetts</v>
      </c>
      <c r="E6949" s="111" t="str">
        <f t="shared" si="6947"/>
        <v>Milford</v>
      </c>
    </row>
    <row r="6950" spans="1:5">
      <c r="A6950" s="3" t="s">
        <v>16744</v>
      </c>
      <c r="B6950" s="110" t="s">
        <v>1343</v>
      </c>
      <c r="C6950" s="111" t="s">
        <v>16745</v>
      </c>
      <c r="D6950" s="111" t="str">
        <f t="shared" ref="D6950:E6950" si="6948">TRIM(B6950)</f>
        <v>Massachusetts</v>
      </c>
      <c r="E6950" s="111" t="str">
        <f t="shared" si="6948"/>
        <v>Millbury</v>
      </c>
    </row>
    <row r="6951" spans="1:5">
      <c r="A6951" s="3" t="s">
        <v>16746</v>
      </c>
      <c r="B6951" s="110" t="s">
        <v>1343</v>
      </c>
      <c r="C6951" s="111" t="s">
        <v>16747</v>
      </c>
      <c r="D6951" s="111" t="str">
        <f t="shared" ref="D6951:E6951" si="6949">TRIM(B6951)</f>
        <v>Massachusetts</v>
      </c>
      <c r="E6951" s="111" t="str">
        <f t="shared" si="6949"/>
        <v>Millis</v>
      </c>
    </row>
    <row r="6952" spans="1:5">
      <c r="A6952" s="3" t="s">
        <v>9727</v>
      </c>
      <c r="B6952" s="110" t="s">
        <v>1343</v>
      </c>
      <c r="C6952" s="111" t="s">
        <v>503</v>
      </c>
      <c r="D6952" s="111" t="str">
        <f t="shared" ref="D6952:E6952" si="6950">TRIM(B6952)</f>
        <v>Massachusetts</v>
      </c>
      <c r="E6952" s="111" t="str">
        <f t="shared" si="6950"/>
        <v>Milton</v>
      </c>
    </row>
    <row r="6953" spans="1:5">
      <c r="A6953" s="3" t="s">
        <v>16748</v>
      </c>
      <c r="B6953" s="110" t="s">
        <v>1343</v>
      </c>
      <c r="C6953" s="111" t="s">
        <v>16749</v>
      </c>
      <c r="D6953" s="111" t="str">
        <f t="shared" ref="D6953:E6953" si="6951">TRIM(B6953)</f>
        <v>Massachusetts</v>
      </c>
      <c r="E6953" s="111" t="str">
        <f t="shared" si="6951"/>
        <v>Monson</v>
      </c>
    </row>
    <row r="6954" spans="1:5">
      <c r="A6954" s="3" t="s">
        <v>16750</v>
      </c>
      <c r="B6954" s="110" t="s">
        <v>1343</v>
      </c>
      <c r="C6954" s="111" t="s">
        <v>16751</v>
      </c>
      <c r="D6954" s="111" t="str">
        <f t="shared" ref="D6954:E6954" si="6952">TRIM(B6954)</f>
        <v>Massachusetts</v>
      </c>
      <c r="E6954" s="111" t="str">
        <f t="shared" si="6952"/>
        <v>Montague</v>
      </c>
    </row>
    <row r="6955" spans="1:5">
      <c r="A6955" s="3" t="s">
        <v>16752</v>
      </c>
      <c r="B6955" s="110" t="s">
        <v>1343</v>
      </c>
      <c r="C6955" s="111" t="s">
        <v>16753</v>
      </c>
      <c r="D6955" s="111" t="str">
        <f t="shared" ref="D6955:E6955" si="6953">TRIM(B6955)</f>
        <v>Massachusetts</v>
      </c>
      <c r="E6955" s="111" t="str">
        <f t="shared" si="6953"/>
        <v>Nantucket</v>
      </c>
    </row>
    <row r="6956" spans="1:5">
      <c r="A6956" s="3" t="s">
        <v>16754</v>
      </c>
      <c r="B6956" s="110" t="s">
        <v>1343</v>
      </c>
      <c r="C6956" s="111" t="s">
        <v>16755</v>
      </c>
      <c r="D6956" s="111" t="str">
        <f t="shared" ref="D6956:E6956" si="6954">TRIM(B6956)</f>
        <v>Massachusetts</v>
      </c>
      <c r="E6956" s="111" t="str">
        <f t="shared" si="6954"/>
        <v>Natick</v>
      </c>
    </row>
    <row r="6957" spans="1:5">
      <c r="A6957" s="3" t="s">
        <v>16756</v>
      </c>
      <c r="B6957" s="110" t="s">
        <v>1343</v>
      </c>
      <c r="C6957" s="111" t="s">
        <v>7815</v>
      </c>
      <c r="D6957" s="111" t="str">
        <f t="shared" ref="D6957:E6957" si="6955">TRIM(B6957)</f>
        <v>Massachusetts</v>
      </c>
      <c r="E6957" s="111" t="str">
        <f t="shared" si="6955"/>
        <v>Needham</v>
      </c>
    </row>
    <row r="6958" spans="1:5">
      <c r="A6958" s="110" t="s">
        <v>16757</v>
      </c>
      <c r="B6958" s="110" t="s">
        <v>1343</v>
      </c>
      <c r="C6958" s="111" t="s">
        <v>16758</v>
      </c>
      <c r="D6958" s="111" t="str">
        <f t="shared" ref="D6958:E6958" si="6956">TRIM(B6958)</f>
        <v>Massachusetts</v>
      </c>
      <c r="E6958" s="111" t="str">
        <f t="shared" si="6956"/>
        <v>New Bedford</v>
      </c>
    </row>
    <row r="6959" spans="1:5">
      <c r="A6959" s="110" t="s">
        <v>16759</v>
      </c>
      <c r="B6959" s="110" t="s">
        <v>1343</v>
      </c>
      <c r="C6959" s="111" t="s">
        <v>16758</v>
      </c>
      <c r="D6959" s="111" t="str">
        <f t="shared" ref="D6959:E6959" si="6957">TRIM(B6959)</f>
        <v>Massachusetts</v>
      </c>
      <c r="E6959" s="111" t="str">
        <f t="shared" si="6957"/>
        <v>New Bedford</v>
      </c>
    </row>
    <row r="6960" spans="1:5">
      <c r="A6960" s="3" t="s">
        <v>16760</v>
      </c>
      <c r="B6960" s="110" t="s">
        <v>1343</v>
      </c>
      <c r="C6960" s="111" t="s">
        <v>16758</v>
      </c>
      <c r="D6960" s="111" t="str">
        <f t="shared" ref="D6960:E6960" si="6958">TRIM(B6960)</f>
        <v>Massachusetts</v>
      </c>
      <c r="E6960" s="111" t="str">
        <f t="shared" si="6958"/>
        <v>New Bedford</v>
      </c>
    </row>
    <row r="6961" spans="1:5">
      <c r="A6961" s="3" t="s">
        <v>16761</v>
      </c>
      <c r="B6961" s="110" t="s">
        <v>1343</v>
      </c>
      <c r="C6961" s="111" t="s">
        <v>16758</v>
      </c>
      <c r="D6961" s="111" t="str">
        <f t="shared" ref="D6961:E6961" si="6959">TRIM(B6961)</f>
        <v>Massachusetts</v>
      </c>
      <c r="E6961" s="111" t="str">
        <f t="shared" si="6959"/>
        <v>New Bedford</v>
      </c>
    </row>
    <row r="6962" spans="1:5">
      <c r="A6962" s="3" t="s">
        <v>16762</v>
      </c>
      <c r="B6962" s="110" t="s">
        <v>1343</v>
      </c>
      <c r="C6962" s="111" t="s">
        <v>16763</v>
      </c>
      <c r="D6962" s="111" t="str">
        <f t="shared" ref="D6962:E6962" si="6960">TRIM(B6962)</f>
        <v>Massachusetts</v>
      </c>
      <c r="E6962" s="111" t="str">
        <f t="shared" si="6960"/>
        <v>Newburyport</v>
      </c>
    </row>
    <row r="6963" spans="1:5">
      <c r="A6963" s="3" t="s">
        <v>16764</v>
      </c>
      <c r="B6963" s="110" t="s">
        <v>1343</v>
      </c>
      <c r="C6963" s="111" t="s">
        <v>16765</v>
      </c>
      <c r="D6963" s="111" t="str">
        <f t="shared" ref="D6963:E6963" si="6961">TRIM(B6963)</f>
        <v>Massachusetts</v>
      </c>
      <c r="E6963" s="111" t="str">
        <f t="shared" si="6961"/>
        <v>Newton Centre</v>
      </c>
    </row>
    <row r="6964" spans="1:5">
      <c r="A6964" s="3" t="s">
        <v>16766</v>
      </c>
      <c r="B6964" s="110" t="s">
        <v>1343</v>
      </c>
      <c r="C6964" s="111" t="s">
        <v>16767</v>
      </c>
      <c r="D6964" s="111" t="str">
        <f t="shared" ref="D6964:E6964" si="6962">TRIM(B6964)</f>
        <v>Massachusetts</v>
      </c>
      <c r="E6964" s="111" t="str">
        <f t="shared" si="6962"/>
        <v>Newtonville</v>
      </c>
    </row>
    <row r="6965" spans="1:5">
      <c r="A6965" s="3" t="s">
        <v>16768</v>
      </c>
      <c r="B6965" s="110" t="s">
        <v>1343</v>
      </c>
      <c r="C6965" s="111" t="s">
        <v>16769</v>
      </c>
      <c r="D6965" s="111" t="str">
        <f t="shared" ref="D6965:E6965" si="6963">TRIM(B6965)</f>
        <v>Massachusetts</v>
      </c>
      <c r="E6965" s="111" t="str">
        <f t="shared" si="6963"/>
        <v>North Adams</v>
      </c>
    </row>
    <row r="6966" spans="1:5">
      <c r="A6966" s="3" t="s">
        <v>16770</v>
      </c>
      <c r="B6966" s="110" t="s">
        <v>1343</v>
      </c>
      <c r="C6966" s="111" t="s">
        <v>11256</v>
      </c>
      <c r="D6966" s="111" t="str">
        <f t="shared" ref="D6966:E6966" si="6964">TRIM(B6966)</f>
        <v>Massachusetts</v>
      </c>
      <c r="E6966" s="111" t="str">
        <f t="shared" si="6964"/>
        <v>North Andover</v>
      </c>
    </row>
    <row r="6967" spans="1:5">
      <c r="A6967" s="3" t="s">
        <v>16771</v>
      </c>
      <c r="B6967" s="110" t="s">
        <v>1343</v>
      </c>
      <c r="C6967" s="113" t="s">
        <v>16772</v>
      </c>
      <c r="D6967" s="111" t="str">
        <f t="shared" ref="D6967:E6967" si="6965">TRIM(B6967)</f>
        <v>Massachusetts</v>
      </c>
      <c r="E6967" s="111" t="str">
        <f t="shared" si="6965"/>
        <v>North Attleborough</v>
      </c>
    </row>
    <row r="6968" spans="1:5">
      <c r="A6968" s="3" t="s">
        <v>16773</v>
      </c>
      <c r="B6968" s="110" t="s">
        <v>1343</v>
      </c>
      <c r="C6968" s="111" t="s">
        <v>16774</v>
      </c>
      <c r="D6968" s="111" t="str">
        <f t="shared" ref="D6968:E6968" si="6966">TRIM(B6968)</f>
        <v>Massachusetts</v>
      </c>
      <c r="E6968" s="111" t="str">
        <f t="shared" si="6966"/>
        <v>North Brookfield</v>
      </c>
    </row>
    <row r="6969" spans="1:5">
      <c r="A6969" s="3" t="s">
        <v>16775</v>
      </c>
      <c r="B6969" s="110" t="s">
        <v>1343</v>
      </c>
      <c r="C6969" s="113" t="s">
        <v>16776</v>
      </c>
      <c r="D6969" s="111" t="str">
        <f t="shared" ref="D6969:E6969" si="6967">TRIM(B6969)</f>
        <v>Massachusetts</v>
      </c>
      <c r="E6969" s="111" t="str">
        <f t="shared" si="6967"/>
        <v>North Chelmsford</v>
      </c>
    </row>
    <row r="6970" spans="1:5">
      <c r="A6970" s="3" t="s">
        <v>16777</v>
      </c>
      <c r="B6970" s="110" t="s">
        <v>1343</v>
      </c>
      <c r="C6970" s="111" t="s">
        <v>16778</v>
      </c>
      <c r="D6970" s="111" t="str">
        <f t="shared" ref="D6970:E6970" si="6968">TRIM(B6970)</f>
        <v>Massachusetts</v>
      </c>
      <c r="E6970" s="111" t="str">
        <f t="shared" si="6968"/>
        <v>North Dighton</v>
      </c>
    </row>
    <row r="6971" spans="1:5">
      <c r="A6971" s="3" t="s">
        <v>16779</v>
      </c>
      <c r="B6971" s="110" t="s">
        <v>1343</v>
      </c>
      <c r="C6971" s="111" t="s">
        <v>16780</v>
      </c>
      <c r="D6971" s="111" t="str">
        <f t="shared" ref="D6971:E6971" si="6969">TRIM(B6971)</f>
        <v>Massachusetts</v>
      </c>
      <c r="E6971" s="111" t="str">
        <f t="shared" si="6969"/>
        <v>North Eastham</v>
      </c>
    </row>
    <row r="6972" spans="1:5">
      <c r="A6972" s="3" t="s">
        <v>16781</v>
      </c>
      <c r="B6972" s="110" t="s">
        <v>1343</v>
      </c>
      <c r="C6972" s="111" t="s">
        <v>16782</v>
      </c>
      <c r="D6972" s="111" t="str">
        <f t="shared" ref="D6972:E6972" si="6970">TRIM(B6972)</f>
        <v>Massachusetts</v>
      </c>
      <c r="E6972" s="111" t="str">
        <f t="shared" si="6970"/>
        <v>North Easton</v>
      </c>
    </row>
    <row r="6973" spans="1:5">
      <c r="A6973" s="3" t="s">
        <v>16783</v>
      </c>
      <c r="B6973" s="110" t="s">
        <v>1343</v>
      </c>
      <c r="C6973" s="111" t="s">
        <v>16784</v>
      </c>
      <c r="D6973" s="111" t="str">
        <f t="shared" ref="D6973:E6973" si="6971">TRIM(B6973)</f>
        <v>Massachusetts</v>
      </c>
      <c r="E6973" s="111" t="str">
        <f t="shared" si="6971"/>
        <v>North Reading</v>
      </c>
    </row>
    <row r="6974" spans="1:5">
      <c r="A6974" s="3" t="s">
        <v>16785</v>
      </c>
      <c r="B6974" s="110" t="s">
        <v>1343</v>
      </c>
      <c r="C6974" s="111" t="s">
        <v>16786</v>
      </c>
      <c r="D6974" s="111" t="str">
        <f t="shared" ref="D6974:E6974" si="6972">TRIM(B6974)</f>
        <v>Massachusetts</v>
      </c>
      <c r="E6974" s="111" t="str">
        <f t="shared" si="6972"/>
        <v>Northampton</v>
      </c>
    </row>
    <row r="6975" spans="1:5">
      <c r="A6975" s="3" t="s">
        <v>16787</v>
      </c>
      <c r="B6975" s="110" t="s">
        <v>1343</v>
      </c>
      <c r="C6975" s="111" t="s">
        <v>16788</v>
      </c>
      <c r="D6975" s="111" t="str">
        <f t="shared" ref="D6975:E6975" si="6973">TRIM(B6975)</f>
        <v>Massachusetts</v>
      </c>
      <c r="E6975" s="111" t="str">
        <f t="shared" si="6973"/>
        <v>Northborough</v>
      </c>
    </row>
    <row r="6976" spans="1:5">
      <c r="A6976" s="110" t="s">
        <v>16789</v>
      </c>
      <c r="B6976" s="110" t="s">
        <v>1343</v>
      </c>
      <c r="C6976" s="111" t="s">
        <v>296</v>
      </c>
      <c r="D6976" s="111" t="str">
        <f t="shared" ref="D6976:E6976" si="6974">TRIM(B6976)</f>
        <v>Massachusetts</v>
      </c>
      <c r="E6976" s="111" t="str">
        <f t="shared" si="6974"/>
        <v>Northfield</v>
      </c>
    </row>
    <row r="6977" spans="1:5">
      <c r="A6977" s="3" t="s">
        <v>15426</v>
      </c>
      <c r="B6977" s="110" t="s">
        <v>1343</v>
      </c>
      <c r="C6977" s="111" t="s">
        <v>15427</v>
      </c>
      <c r="D6977" s="111" t="str">
        <f t="shared" ref="D6977:E6977" si="6975">TRIM(B6977)</f>
        <v>Massachusetts</v>
      </c>
      <c r="E6977" s="111" t="str">
        <f t="shared" si="6975"/>
        <v>Norton</v>
      </c>
    </row>
    <row r="6978" spans="1:5">
      <c r="A6978" s="3" t="s">
        <v>14547</v>
      </c>
      <c r="B6978" s="110" t="s">
        <v>1343</v>
      </c>
      <c r="C6978" s="111" t="s">
        <v>16790</v>
      </c>
      <c r="D6978" s="111" t="str">
        <f t="shared" ref="D6978:E6978" si="6976">TRIM(B6978)</f>
        <v>Massachusetts</v>
      </c>
      <c r="E6978" s="111" t="str">
        <f t="shared" si="6976"/>
        <v>Norwell</v>
      </c>
    </row>
    <row r="6979" spans="1:5">
      <c r="A6979" s="3" t="s">
        <v>16791</v>
      </c>
      <c r="B6979" s="110" t="s">
        <v>1343</v>
      </c>
      <c r="C6979" s="111" t="s">
        <v>16792</v>
      </c>
      <c r="D6979" s="111" t="str">
        <f t="shared" ref="D6979:E6979" si="6977">TRIM(B6979)</f>
        <v>Massachusetts</v>
      </c>
      <c r="E6979" s="111" t="str">
        <f t="shared" si="6977"/>
        <v>Norwood</v>
      </c>
    </row>
    <row r="6980" spans="1:5">
      <c r="A6980" s="3" t="s">
        <v>16793</v>
      </c>
      <c r="B6980" s="110" t="s">
        <v>1343</v>
      </c>
      <c r="C6980" s="111" t="s">
        <v>16794</v>
      </c>
      <c r="D6980" s="111" t="str">
        <f t="shared" ref="D6980:E6980" si="6978">TRIM(B6980)</f>
        <v>Massachusetts</v>
      </c>
      <c r="E6980" s="111" t="str">
        <f t="shared" si="6978"/>
        <v>Oak Bluffs</v>
      </c>
    </row>
    <row r="6981" spans="1:5">
      <c r="A6981" s="110" t="s">
        <v>16795</v>
      </c>
      <c r="B6981" s="110" t="s">
        <v>1343</v>
      </c>
      <c r="C6981" s="111" t="s">
        <v>6230</v>
      </c>
      <c r="D6981" s="111" t="str">
        <f t="shared" ref="D6981:E6981" si="6979">TRIM(B6981)</f>
        <v>Massachusetts</v>
      </c>
      <c r="E6981" s="111" t="str">
        <f t="shared" si="6979"/>
        <v>Orange</v>
      </c>
    </row>
    <row r="6982" spans="1:5">
      <c r="A6982" s="3" t="s">
        <v>2072</v>
      </c>
      <c r="B6982" s="110" t="s">
        <v>1343</v>
      </c>
      <c r="C6982" s="111" t="s">
        <v>279</v>
      </c>
      <c r="D6982" s="111" t="str">
        <f t="shared" ref="D6982:E6982" si="6980">TRIM(B6982)</f>
        <v>Massachusetts</v>
      </c>
      <c r="E6982" s="111" t="str">
        <f t="shared" si="6980"/>
        <v>Oxford</v>
      </c>
    </row>
    <row r="6983" spans="1:5">
      <c r="A6983" s="3" t="s">
        <v>2405</v>
      </c>
      <c r="B6983" s="110" t="s">
        <v>1343</v>
      </c>
      <c r="C6983" s="111" t="s">
        <v>2400</v>
      </c>
      <c r="D6983" s="111" t="str">
        <f t="shared" ref="D6983:E6983" si="6981">TRIM(B6983)</f>
        <v>Massachusetts</v>
      </c>
      <c r="E6983" s="111" t="str">
        <f t="shared" si="6981"/>
        <v>Palmer</v>
      </c>
    </row>
    <row r="6984" spans="1:5">
      <c r="A6984" s="3" t="s">
        <v>16796</v>
      </c>
      <c r="B6984" s="110" t="s">
        <v>1343</v>
      </c>
      <c r="C6984" s="111" t="s">
        <v>11246</v>
      </c>
      <c r="D6984" s="111" t="str">
        <f t="shared" ref="D6984:E6984" si="6982">TRIM(B6984)</f>
        <v>Massachusetts</v>
      </c>
      <c r="E6984" s="111" t="str">
        <f t="shared" si="6982"/>
        <v>Peabody</v>
      </c>
    </row>
    <row r="6985" spans="1:5">
      <c r="A6985" s="3" t="s">
        <v>16797</v>
      </c>
      <c r="B6985" s="110" t="s">
        <v>1343</v>
      </c>
      <c r="C6985" s="112" t="s">
        <v>11161</v>
      </c>
      <c r="D6985" s="111" t="str">
        <f t="shared" ref="D6985:E6985" si="6983">TRIM(B6985)</f>
        <v>Massachusetts</v>
      </c>
      <c r="E6985" s="111" t="str">
        <f t="shared" si="6983"/>
        <v>Pembroke</v>
      </c>
    </row>
    <row r="6986" spans="1:5">
      <c r="A6986" s="3" t="s">
        <v>13630</v>
      </c>
      <c r="B6986" s="110" t="s">
        <v>1343</v>
      </c>
      <c r="C6986" s="111" t="s">
        <v>11019</v>
      </c>
      <c r="D6986" s="111" t="str">
        <f t="shared" ref="D6986:E6986" si="6984">TRIM(B6986)</f>
        <v>Massachusetts</v>
      </c>
      <c r="E6986" s="111" t="str">
        <f t="shared" si="6984"/>
        <v>Pittsfield</v>
      </c>
    </row>
    <row r="6987" spans="1:5">
      <c r="A6987" s="3" t="s">
        <v>16798</v>
      </c>
      <c r="B6987" s="110" t="s">
        <v>1343</v>
      </c>
      <c r="C6987" s="111" t="s">
        <v>11019</v>
      </c>
      <c r="D6987" s="111" t="str">
        <f t="shared" ref="D6987:E6987" si="6985">TRIM(B6987)</f>
        <v>Massachusetts</v>
      </c>
      <c r="E6987" s="111" t="str">
        <f t="shared" si="6985"/>
        <v>Pittsfield</v>
      </c>
    </row>
    <row r="6988" spans="1:5">
      <c r="A6988" s="3" t="s">
        <v>16799</v>
      </c>
      <c r="B6988" s="110" t="s">
        <v>1343</v>
      </c>
      <c r="C6988" s="111" t="s">
        <v>11518</v>
      </c>
      <c r="D6988" s="111" t="str">
        <f t="shared" ref="D6988:E6988" si="6986">TRIM(B6988)</f>
        <v>Massachusetts</v>
      </c>
      <c r="E6988" s="111" t="str">
        <f t="shared" si="6986"/>
        <v>Plymouth</v>
      </c>
    </row>
    <row r="6989" spans="1:5">
      <c r="A6989" s="3" t="s">
        <v>16800</v>
      </c>
      <c r="B6989" s="110" t="s">
        <v>1343</v>
      </c>
      <c r="C6989" s="111" t="s">
        <v>11518</v>
      </c>
      <c r="D6989" s="111" t="str">
        <f t="shared" ref="D6989:E6989" si="6987">TRIM(B6989)</f>
        <v>Massachusetts</v>
      </c>
      <c r="E6989" s="111" t="str">
        <f t="shared" si="6987"/>
        <v>Plymouth</v>
      </c>
    </row>
    <row r="6990" spans="1:5">
      <c r="A6990" s="3" t="s">
        <v>16801</v>
      </c>
      <c r="B6990" s="110" t="s">
        <v>1343</v>
      </c>
      <c r="C6990" s="111" t="s">
        <v>11518</v>
      </c>
      <c r="D6990" s="111" t="str">
        <f t="shared" ref="D6990:E6990" si="6988">TRIM(B6990)</f>
        <v>Massachusetts</v>
      </c>
      <c r="E6990" s="111" t="str">
        <f t="shared" si="6988"/>
        <v>Plymouth</v>
      </c>
    </row>
    <row r="6991" spans="1:5">
      <c r="A6991" s="110" t="s">
        <v>16802</v>
      </c>
      <c r="B6991" s="110" t="s">
        <v>1343</v>
      </c>
      <c r="C6991" s="111" t="s">
        <v>11518</v>
      </c>
      <c r="D6991" s="111" t="str">
        <f t="shared" ref="D6991:E6991" si="6989">TRIM(B6991)</f>
        <v>Massachusetts</v>
      </c>
      <c r="E6991" s="111" t="str">
        <f t="shared" si="6989"/>
        <v>Plymouth</v>
      </c>
    </row>
    <row r="6992" spans="1:5">
      <c r="A6992" s="3" t="s">
        <v>16803</v>
      </c>
      <c r="B6992" s="110" t="s">
        <v>1343</v>
      </c>
      <c r="C6992" s="111" t="s">
        <v>6455</v>
      </c>
      <c r="D6992" s="111" t="str">
        <f t="shared" ref="D6992:E6992" si="6990">TRIM(B6992)</f>
        <v>Massachusetts</v>
      </c>
      <c r="E6992" s="111" t="str">
        <f t="shared" si="6990"/>
        <v>Quincy</v>
      </c>
    </row>
    <row r="6993" spans="1:5">
      <c r="A6993" s="3" t="s">
        <v>16804</v>
      </c>
      <c r="B6993" s="110" t="s">
        <v>1343</v>
      </c>
      <c r="C6993" s="111" t="s">
        <v>6455</v>
      </c>
      <c r="D6993" s="111" t="str">
        <f t="shared" ref="D6993:E6993" si="6991">TRIM(B6993)</f>
        <v>Massachusetts</v>
      </c>
      <c r="E6993" s="111" t="str">
        <f t="shared" si="6991"/>
        <v>Quincy</v>
      </c>
    </row>
    <row r="6994" spans="1:5">
      <c r="A6994" s="3" t="s">
        <v>16805</v>
      </c>
      <c r="B6994" s="110" t="s">
        <v>1343</v>
      </c>
      <c r="C6994" s="111" t="s">
        <v>15476</v>
      </c>
      <c r="D6994" s="111" t="str">
        <f t="shared" ref="D6994:E6994" si="6992">TRIM(B6994)</f>
        <v>Massachusetts</v>
      </c>
      <c r="E6994" s="111" t="str">
        <f t="shared" si="6992"/>
        <v>Randolph</v>
      </c>
    </row>
    <row r="6995" spans="1:5">
      <c r="A6995" s="3" t="s">
        <v>16806</v>
      </c>
      <c r="B6995" s="110" t="s">
        <v>1343</v>
      </c>
      <c r="C6995" s="111" t="s">
        <v>769</v>
      </c>
      <c r="D6995" s="111" t="str">
        <f t="shared" ref="D6995:E6995" si="6993">TRIM(B6995)</f>
        <v>Massachusetts</v>
      </c>
      <c r="E6995" s="111" t="str">
        <f t="shared" si="6993"/>
        <v>Reading</v>
      </c>
    </row>
    <row r="6996" spans="1:5">
      <c r="A6996" s="3" t="s">
        <v>16807</v>
      </c>
      <c r="B6996" s="110" t="s">
        <v>1343</v>
      </c>
      <c r="C6996" s="111" t="s">
        <v>16808</v>
      </c>
      <c r="D6996" s="111" t="str">
        <f t="shared" ref="D6996:E6996" si="6994">TRIM(B6996)</f>
        <v>Massachusetts</v>
      </c>
      <c r="E6996" s="111" t="str">
        <f t="shared" si="6994"/>
        <v>Revere</v>
      </c>
    </row>
    <row r="6997" spans="1:5">
      <c r="A6997" s="110" t="s">
        <v>16809</v>
      </c>
      <c r="B6997" s="110" t="s">
        <v>1343</v>
      </c>
      <c r="C6997" s="111" t="s">
        <v>16808</v>
      </c>
      <c r="D6997" s="111" t="str">
        <f t="shared" ref="D6997:E6997" si="6995">TRIM(B6997)</f>
        <v>Massachusetts</v>
      </c>
      <c r="E6997" s="111" t="str">
        <f t="shared" si="6995"/>
        <v>Revere</v>
      </c>
    </row>
    <row r="6998" spans="1:5">
      <c r="A6998" s="3" t="s">
        <v>16810</v>
      </c>
      <c r="B6998" s="110" t="s">
        <v>1343</v>
      </c>
      <c r="C6998" s="112" t="s">
        <v>11266</v>
      </c>
      <c r="D6998" s="111" t="str">
        <f t="shared" ref="D6998:E6998" si="6996">TRIM(B6998)</f>
        <v>Massachusetts</v>
      </c>
      <c r="E6998" s="111" t="str">
        <f t="shared" si="6996"/>
        <v>Rockland</v>
      </c>
    </row>
    <row r="6999" spans="1:5">
      <c r="A6999" s="3" t="s">
        <v>16811</v>
      </c>
      <c r="B6999" s="110" t="s">
        <v>1343</v>
      </c>
      <c r="C6999" s="111" t="s">
        <v>14577</v>
      </c>
      <c r="D6999" s="111" t="str">
        <f t="shared" ref="D6999:E6999" si="6997">TRIM(B6999)</f>
        <v>Massachusetts</v>
      </c>
      <c r="E6999" s="111" t="str">
        <f t="shared" si="6997"/>
        <v>Rockport</v>
      </c>
    </row>
    <row r="7000" spans="1:5">
      <c r="A7000" s="3" t="s">
        <v>16812</v>
      </c>
      <c r="B7000" s="110" t="s">
        <v>1343</v>
      </c>
      <c r="C7000" s="111" t="s">
        <v>16813</v>
      </c>
      <c r="D7000" s="111" t="str">
        <f t="shared" ref="D7000:E7000" si="6998">TRIM(B7000)</f>
        <v>Massachusetts</v>
      </c>
      <c r="E7000" s="111" t="str">
        <f t="shared" si="6998"/>
        <v>Roxbury</v>
      </c>
    </row>
    <row r="7001" spans="1:5">
      <c r="A7001" s="110" t="s">
        <v>16814</v>
      </c>
      <c r="B7001" s="110" t="s">
        <v>1343</v>
      </c>
      <c r="C7001" s="111" t="s">
        <v>16813</v>
      </c>
      <c r="D7001" s="111" t="str">
        <f t="shared" ref="D7001:E7001" si="6999">TRIM(B7001)</f>
        <v>Massachusetts</v>
      </c>
      <c r="E7001" s="111" t="str">
        <f t="shared" si="6999"/>
        <v>Roxbury</v>
      </c>
    </row>
    <row r="7002" spans="1:5">
      <c r="A7002" s="110" t="s">
        <v>16815</v>
      </c>
      <c r="B7002" s="110" t="s">
        <v>1343</v>
      </c>
      <c r="C7002" s="111" t="s">
        <v>16813</v>
      </c>
      <c r="D7002" s="111" t="str">
        <f t="shared" ref="D7002:E7002" si="7000">TRIM(B7002)</f>
        <v>Massachusetts</v>
      </c>
      <c r="E7002" s="111" t="str">
        <f t="shared" si="7000"/>
        <v>Roxbury</v>
      </c>
    </row>
    <row r="7003" spans="1:5">
      <c r="A7003" s="110" t="s">
        <v>11444</v>
      </c>
      <c r="B7003" s="110" t="s">
        <v>1343</v>
      </c>
      <c r="C7003" s="111" t="s">
        <v>16813</v>
      </c>
      <c r="D7003" s="111" t="str">
        <f t="shared" ref="D7003:E7003" si="7001">TRIM(B7003)</f>
        <v>Massachusetts</v>
      </c>
      <c r="E7003" s="111" t="str">
        <f t="shared" si="7001"/>
        <v>Roxbury</v>
      </c>
    </row>
    <row r="7004" spans="1:5">
      <c r="A7004" s="3" t="s">
        <v>16816</v>
      </c>
      <c r="B7004" s="110" t="s">
        <v>1343</v>
      </c>
      <c r="C7004" s="111" t="s">
        <v>16813</v>
      </c>
      <c r="D7004" s="111" t="str">
        <f t="shared" ref="D7004:E7004" si="7002">TRIM(B7004)</f>
        <v>Massachusetts</v>
      </c>
      <c r="E7004" s="111" t="str">
        <f t="shared" si="7002"/>
        <v>Roxbury</v>
      </c>
    </row>
    <row r="7005" spans="1:5">
      <c r="A7005" s="110" t="s">
        <v>16817</v>
      </c>
      <c r="B7005" s="110" t="s">
        <v>1343</v>
      </c>
      <c r="C7005" s="111" t="s">
        <v>16813</v>
      </c>
      <c r="D7005" s="111" t="str">
        <f t="shared" ref="D7005:E7005" si="7003">TRIM(B7005)</f>
        <v>Massachusetts</v>
      </c>
      <c r="E7005" s="111" t="str">
        <f t="shared" si="7003"/>
        <v>Roxbury</v>
      </c>
    </row>
    <row r="7006" spans="1:5">
      <c r="A7006" s="110" t="s">
        <v>16818</v>
      </c>
      <c r="B7006" s="110" t="s">
        <v>1343</v>
      </c>
      <c r="C7006" s="111" t="s">
        <v>16813</v>
      </c>
      <c r="D7006" s="111" t="str">
        <f t="shared" ref="D7006:E7006" si="7004">TRIM(B7006)</f>
        <v>Massachusetts</v>
      </c>
      <c r="E7006" s="111" t="str">
        <f t="shared" si="7004"/>
        <v>Roxbury</v>
      </c>
    </row>
    <row r="7007" spans="1:5">
      <c r="A7007" s="110" t="s">
        <v>16819</v>
      </c>
      <c r="B7007" s="110" t="s">
        <v>1343</v>
      </c>
      <c r="C7007" s="111" t="s">
        <v>451</v>
      </c>
      <c r="D7007" s="111" t="str">
        <f t="shared" ref="D7007:E7007" si="7005">TRIM(B7007)</f>
        <v>Massachusetts</v>
      </c>
      <c r="E7007" s="111" t="str">
        <f t="shared" si="7005"/>
        <v>Salem</v>
      </c>
    </row>
    <row r="7008" spans="1:5">
      <c r="A7008" s="3" t="s">
        <v>16820</v>
      </c>
      <c r="B7008" s="110" t="s">
        <v>1343</v>
      </c>
      <c r="C7008" s="111" t="s">
        <v>451</v>
      </c>
      <c r="D7008" s="111" t="str">
        <f t="shared" ref="D7008:E7008" si="7006">TRIM(B7008)</f>
        <v>Massachusetts</v>
      </c>
      <c r="E7008" s="111" t="str">
        <f t="shared" si="7006"/>
        <v>Salem</v>
      </c>
    </row>
    <row r="7009" spans="1:5">
      <c r="A7009" s="3" t="s">
        <v>4178</v>
      </c>
      <c r="B7009" s="110" t="s">
        <v>1343</v>
      </c>
      <c r="C7009" s="111" t="s">
        <v>451</v>
      </c>
      <c r="D7009" s="111" t="str">
        <f t="shared" ref="D7009:E7009" si="7007">TRIM(B7009)</f>
        <v>Massachusetts</v>
      </c>
      <c r="E7009" s="111" t="str">
        <f t="shared" si="7007"/>
        <v>Salem</v>
      </c>
    </row>
    <row r="7010" spans="1:5">
      <c r="A7010" s="3" t="s">
        <v>16821</v>
      </c>
      <c r="B7010" s="110" t="s">
        <v>1343</v>
      </c>
      <c r="C7010" s="111" t="s">
        <v>451</v>
      </c>
      <c r="D7010" s="111" t="str">
        <f t="shared" ref="D7010:E7010" si="7008">TRIM(B7010)</f>
        <v>Massachusetts</v>
      </c>
      <c r="E7010" s="111" t="str">
        <f t="shared" si="7008"/>
        <v>Salem</v>
      </c>
    </row>
    <row r="7011" spans="1:5">
      <c r="A7011" s="110" t="s">
        <v>16822</v>
      </c>
      <c r="B7011" s="110" t="s">
        <v>1343</v>
      </c>
      <c r="C7011" s="111" t="s">
        <v>6069</v>
      </c>
      <c r="D7011" s="111" t="str">
        <f t="shared" ref="D7011:E7011" si="7009">TRIM(B7011)</f>
        <v>Massachusetts</v>
      </c>
      <c r="E7011" s="111" t="str">
        <f t="shared" si="7009"/>
        <v>Saugus</v>
      </c>
    </row>
    <row r="7012" spans="1:5">
      <c r="A7012" s="3" t="s">
        <v>7108</v>
      </c>
      <c r="B7012" s="110" t="s">
        <v>1343</v>
      </c>
      <c r="C7012" s="111" t="s">
        <v>6069</v>
      </c>
      <c r="D7012" s="111" t="str">
        <f t="shared" ref="D7012:E7012" si="7010">TRIM(B7012)</f>
        <v>Massachusetts</v>
      </c>
      <c r="E7012" s="111" t="str">
        <f t="shared" si="7010"/>
        <v>Saugus</v>
      </c>
    </row>
    <row r="7013" spans="1:5">
      <c r="A7013" s="3" t="s">
        <v>16823</v>
      </c>
      <c r="B7013" s="110" t="s">
        <v>1343</v>
      </c>
      <c r="C7013" s="111" t="s">
        <v>6084</v>
      </c>
      <c r="D7013" s="111" t="str">
        <f t="shared" ref="D7013:E7013" si="7011">TRIM(B7013)</f>
        <v>Massachusetts</v>
      </c>
      <c r="E7013" s="111" t="str">
        <f t="shared" si="7011"/>
        <v>Scituate</v>
      </c>
    </row>
    <row r="7014" spans="1:5">
      <c r="A7014" s="3" t="s">
        <v>16824</v>
      </c>
      <c r="B7014" s="110" t="s">
        <v>1343</v>
      </c>
      <c r="C7014" s="111" t="s">
        <v>16825</v>
      </c>
      <c r="D7014" s="111" t="str">
        <f t="shared" ref="D7014:E7014" si="7012">TRIM(B7014)</f>
        <v>Massachusetts</v>
      </c>
      <c r="E7014" s="111" t="str">
        <f t="shared" si="7012"/>
        <v>Seekonk</v>
      </c>
    </row>
    <row r="7015" spans="1:5">
      <c r="A7015" s="3" t="s">
        <v>16826</v>
      </c>
      <c r="B7015" s="110" t="s">
        <v>1343</v>
      </c>
      <c r="C7015" s="111" t="s">
        <v>428</v>
      </c>
      <c r="D7015" s="111" t="str">
        <f t="shared" ref="D7015:E7015" si="7013">TRIM(B7015)</f>
        <v>Massachusetts</v>
      </c>
      <c r="E7015" s="111" t="str">
        <f t="shared" si="7013"/>
        <v>Sharon</v>
      </c>
    </row>
    <row r="7016" spans="1:5">
      <c r="A7016" s="110" t="s">
        <v>16827</v>
      </c>
      <c r="B7016" s="110" t="s">
        <v>1343</v>
      </c>
      <c r="C7016" s="111" t="s">
        <v>2166</v>
      </c>
      <c r="D7016" s="111" t="str">
        <f t="shared" ref="D7016:E7016" si="7014">TRIM(B7016)</f>
        <v>Massachusetts</v>
      </c>
      <c r="E7016" s="111" t="str">
        <f t="shared" si="7014"/>
        <v>Sheffield</v>
      </c>
    </row>
    <row r="7017" spans="1:5">
      <c r="A7017" s="3" t="s">
        <v>16828</v>
      </c>
      <c r="B7017" s="110" t="s">
        <v>1343</v>
      </c>
      <c r="C7017" s="111" t="s">
        <v>16829</v>
      </c>
      <c r="D7017" s="111" t="str">
        <f t="shared" ref="D7017:E7017" si="7015">TRIM(B7017)</f>
        <v>Massachusetts</v>
      </c>
      <c r="E7017" s="111" t="str">
        <f t="shared" si="7015"/>
        <v>Shelburne Falls</v>
      </c>
    </row>
    <row r="7018" spans="1:5">
      <c r="A7018" s="3" t="s">
        <v>16830</v>
      </c>
      <c r="B7018" s="110" t="s">
        <v>1343</v>
      </c>
      <c r="C7018" s="111" t="s">
        <v>1184</v>
      </c>
      <c r="D7018" s="111" t="str">
        <f t="shared" ref="D7018:E7018" si="7016">TRIM(B7018)</f>
        <v>Massachusetts</v>
      </c>
      <c r="E7018" s="111" t="str">
        <f t="shared" si="7016"/>
        <v>Shrewsbury</v>
      </c>
    </row>
    <row r="7019" spans="1:5">
      <c r="A7019" s="3" t="s">
        <v>16831</v>
      </c>
      <c r="B7019" s="110" t="s">
        <v>1343</v>
      </c>
      <c r="C7019" s="111" t="s">
        <v>1068</v>
      </c>
      <c r="D7019" s="111" t="str">
        <f t="shared" ref="D7019:E7019" si="7017">TRIM(B7019)</f>
        <v>Massachusetts</v>
      </c>
      <c r="E7019" s="111" t="str">
        <f t="shared" si="7017"/>
        <v>Somerset</v>
      </c>
    </row>
    <row r="7020" spans="1:5">
      <c r="A7020" s="3" t="s">
        <v>16832</v>
      </c>
      <c r="B7020" s="110" t="s">
        <v>1343</v>
      </c>
      <c r="C7020" s="111" t="s">
        <v>2178</v>
      </c>
      <c r="D7020" s="111" t="str">
        <f t="shared" ref="D7020:E7020" si="7018">TRIM(B7020)</f>
        <v>Massachusetts</v>
      </c>
      <c r="E7020" s="111" t="str">
        <f t="shared" si="7018"/>
        <v>Somerville</v>
      </c>
    </row>
    <row r="7021" spans="1:5">
      <c r="A7021" s="3" t="s">
        <v>11541</v>
      </c>
      <c r="B7021" s="110" t="s">
        <v>1343</v>
      </c>
      <c r="C7021" s="111" t="s">
        <v>16833</v>
      </c>
      <c r="D7021" s="111" t="str">
        <f t="shared" ref="D7021:E7021" si="7019">TRIM(B7021)</f>
        <v>Massachusetts</v>
      </c>
      <c r="E7021" s="111" t="str">
        <f t="shared" si="7019"/>
        <v>South Boston</v>
      </c>
    </row>
    <row r="7022" spans="1:5">
      <c r="A7022" s="110" t="s">
        <v>16834</v>
      </c>
      <c r="B7022" s="110" t="s">
        <v>1343</v>
      </c>
      <c r="C7022" s="111" t="s">
        <v>16835</v>
      </c>
      <c r="D7022" s="111" t="str">
        <f t="shared" ref="D7022:E7022" si="7020">TRIM(B7022)</f>
        <v>Massachusetts</v>
      </c>
      <c r="E7022" s="111" t="str">
        <f t="shared" si="7020"/>
        <v>South Deerfield</v>
      </c>
    </row>
    <row r="7023" spans="1:5">
      <c r="A7023" s="110" t="s">
        <v>16836</v>
      </c>
      <c r="B7023" s="110" t="s">
        <v>1343</v>
      </c>
      <c r="C7023" s="111" t="s">
        <v>16837</v>
      </c>
      <c r="D7023" s="111" t="str">
        <f t="shared" ref="D7023:E7023" si="7021">TRIM(B7023)</f>
        <v>Massachusetts</v>
      </c>
      <c r="E7023" s="111" t="str">
        <f t="shared" si="7021"/>
        <v>South Hadley</v>
      </c>
    </row>
    <row r="7024" spans="1:5">
      <c r="A7024" s="3" t="s">
        <v>16838</v>
      </c>
      <c r="B7024" s="110" t="s">
        <v>1343</v>
      </c>
      <c r="C7024" s="111" t="s">
        <v>16837</v>
      </c>
      <c r="D7024" s="111" t="str">
        <f t="shared" ref="D7024:E7024" si="7022">TRIM(B7024)</f>
        <v>Massachusetts</v>
      </c>
      <c r="E7024" s="111" t="str">
        <f t="shared" si="7022"/>
        <v>South Hadley</v>
      </c>
    </row>
    <row r="7025" spans="1:5">
      <c r="A7025" s="3" t="s">
        <v>16839</v>
      </c>
      <c r="B7025" s="110" t="s">
        <v>1343</v>
      </c>
      <c r="C7025" s="111" t="s">
        <v>11334</v>
      </c>
      <c r="D7025" s="111" t="str">
        <f t="shared" ref="D7025:E7025" si="7023">TRIM(B7025)</f>
        <v>Massachusetts</v>
      </c>
      <c r="E7025" s="111" t="str">
        <f t="shared" si="7023"/>
        <v>South Hamilton</v>
      </c>
    </row>
    <row r="7026" spans="1:5">
      <c r="A7026" s="3" t="s">
        <v>16840</v>
      </c>
      <c r="B7026" s="110" t="s">
        <v>1343</v>
      </c>
      <c r="C7026" s="111" t="s">
        <v>16841</v>
      </c>
      <c r="D7026" s="111" t="str">
        <f t="shared" ref="D7026:E7026" si="7024">TRIM(B7026)</f>
        <v>Massachusetts</v>
      </c>
      <c r="E7026" s="111" t="str">
        <f t="shared" si="7024"/>
        <v>South Yarmouth</v>
      </c>
    </row>
    <row r="7027" spans="1:5">
      <c r="A7027" s="3" t="s">
        <v>16842</v>
      </c>
      <c r="B7027" s="110" t="s">
        <v>1343</v>
      </c>
      <c r="C7027" s="111" t="s">
        <v>16843</v>
      </c>
      <c r="D7027" s="111" t="str">
        <f t="shared" ref="D7027:E7027" si="7025">TRIM(B7027)</f>
        <v>Massachusetts</v>
      </c>
      <c r="E7027" s="111" t="str">
        <f t="shared" si="7025"/>
        <v>Southbridge</v>
      </c>
    </row>
    <row r="7028" spans="1:5">
      <c r="A7028" s="110" t="s">
        <v>16844</v>
      </c>
      <c r="B7028" s="110" t="s">
        <v>1343</v>
      </c>
      <c r="C7028" s="111" t="s">
        <v>16845</v>
      </c>
      <c r="D7028" s="111" t="str">
        <f t="shared" ref="D7028:E7028" si="7026">TRIM(B7028)</f>
        <v>Massachusetts</v>
      </c>
      <c r="E7028" s="111" t="str">
        <f t="shared" si="7026"/>
        <v>Southwick</v>
      </c>
    </row>
    <row r="7029" spans="1:5">
      <c r="A7029" s="3" t="s">
        <v>16846</v>
      </c>
      <c r="B7029" s="110" t="s">
        <v>1343</v>
      </c>
      <c r="C7029" s="111" t="s">
        <v>14606</v>
      </c>
      <c r="D7029" s="111" t="str">
        <f t="shared" ref="D7029:E7029" si="7027">TRIM(B7029)</f>
        <v>Massachusetts</v>
      </c>
      <c r="E7029" s="111" t="str">
        <f t="shared" si="7027"/>
        <v>Spencer</v>
      </c>
    </row>
    <row r="7030" spans="1:5">
      <c r="A7030" s="3" t="s">
        <v>16847</v>
      </c>
      <c r="B7030" s="110" t="s">
        <v>1343</v>
      </c>
      <c r="C7030" s="111" t="s">
        <v>416</v>
      </c>
      <c r="D7030" s="111" t="str">
        <f t="shared" ref="D7030:E7030" si="7028">TRIM(B7030)</f>
        <v>Massachusetts</v>
      </c>
      <c r="E7030" s="111" t="str">
        <f t="shared" si="7028"/>
        <v>Springfield</v>
      </c>
    </row>
    <row r="7031" spans="1:5">
      <c r="A7031" s="110" t="s">
        <v>16848</v>
      </c>
      <c r="B7031" s="110" t="s">
        <v>1343</v>
      </c>
      <c r="C7031" s="111" t="s">
        <v>416</v>
      </c>
      <c r="D7031" s="111" t="str">
        <f t="shared" ref="D7031:E7031" si="7029">TRIM(B7031)</f>
        <v>Massachusetts</v>
      </c>
      <c r="E7031" s="111" t="str">
        <f t="shared" si="7029"/>
        <v>Springfield</v>
      </c>
    </row>
    <row r="7032" spans="1:5">
      <c r="A7032" s="3" t="s">
        <v>16849</v>
      </c>
      <c r="B7032" s="110" t="s">
        <v>1343</v>
      </c>
      <c r="C7032" s="111" t="s">
        <v>416</v>
      </c>
      <c r="D7032" s="111" t="str">
        <f t="shared" ref="D7032:E7032" si="7030">TRIM(B7032)</f>
        <v>Massachusetts</v>
      </c>
      <c r="E7032" s="111" t="str">
        <f t="shared" si="7030"/>
        <v>Springfield</v>
      </c>
    </row>
    <row r="7033" spans="1:5">
      <c r="A7033" s="110" t="s">
        <v>16850</v>
      </c>
      <c r="B7033" s="110" t="s">
        <v>1343</v>
      </c>
      <c r="C7033" s="111" t="s">
        <v>416</v>
      </c>
      <c r="D7033" s="111" t="str">
        <f t="shared" ref="D7033:E7033" si="7031">TRIM(B7033)</f>
        <v>Massachusetts</v>
      </c>
      <c r="E7033" s="111" t="str">
        <f t="shared" si="7031"/>
        <v>Springfield</v>
      </c>
    </row>
    <row r="7034" spans="1:5">
      <c r="A7034" s="3" t="s">
        <v>16851</v>
      </c>
      <c r="B7034" s="110" t="s">
        <v>1343</v>
      </c>
      <c r="C7034" s="111" t="s">
        <v>416</v>
      </c>
      <c r="D7034" s="111" t="str">
        <f t="shared" ref="D7034:E7034" si="7032">TRIM(B7034)</f>
        <v>Massachusetts</v>
      </c>
      <c r="E7034" s="111" t="str">
        <f t="shared" si="7032"/>
        <v>Springfield</v>
      </c>
    </row>
    <row r="7035" spans="1:5">
      <c r="A7035" s="3" t="s">
        <v>16852</v>
      </c>
      <c r="B7035" s="110" t="s">
        <v>1343</v>
      </c>
      <c r="C7035" s="111" t="s">
        <v>416</v>
      </c>
      <c r="D7035" s="111" t="str">
        <f t="shared" ref="D7035:E7035" si="7033">TRIM(B7035)</f>
        <v>Massachusetts</v>
      </c>
      <c r="E7035" s="111" t="str">
        <f t="shared" si="7033"/>
        <v>Springfield</v>
      </c>
    </row>
    <row r="7036" spans="1:5">
      <c r="A7036" s="3" t="s">
        <v>16853</v>
      </c>
      <c r="B7036" s="110" t="s">
        <v>1343</v>
      </c>
      <c r="C7036" s="111" t="s">
        <v>416</v>
      </c>
      <c r="D7036" s="111" t="str">
        <f t="shared" ref="D7036:E7036" si="7034">TRIM(B7036)</f>
        <v>Massachusetts</v>
      </c>
      <c r="E7036" s="111" t="str">
        <f t="shared" si="7034"/>
        <v>Springfield</v>
      </c>
    </row>
    <row r="7037" spans="1:5">
      <c r="A7037" s="3" t="s">
        <v>13829</v>
      </c>
      <c r="B7037" s="110" t="s">
        <v>1343</v>
      </c>
      <c r="C7037" s="111" t="s">
        <v>416</v>
      </c>
      <c r="D7037" s="111" t="str">
        <f t="shared" ref="D7037:E7037" si="7035">TRIM(B7037)</f>
        <v>Massachusetts</v>
      </c>
      <c r="E7037" s="111" t="str">
        <f t="shared" si="7035"/>
        <v>Springfield</v>
      </c>
    </row>
    <row r="7038" spans="1:5">
      <c r="A7038" s="3" t="s">
        <v>16854</v>
      </c>
      <c r="B7038" s="110" t="s">
        <v>1343</v>
      </c>
      <c r="C7038" s="111" t="s">
        <v>416</v>
      </c>
      <c r="D7038" s="111" t="str">
        <f t="shared" ref="D7038:E7038" si="7036">TRIM(B7038)</f>
        <v>Massachusetts</v>
      </c>
      <c r="E7038" s="111" t="str">
        <f t="shared" si="7036"/>
        <v>Springfield</v>
      </c>
    </row>
    <row r="7039" spans="1:5">
      <c r="A7039" s="3" t="s">
        <v>16855</v>
      </c>
      <c r="B7039" s="110" t="s">
        <v>1343</v>
      </c>
      <c r="C7039" s="111" t="s">
        <v>416</v>
      </c>
      <c r="D7039" s="111" t="str">
        <f t="shared" ref="D7039:E7039" si="7037">TRIM(B7039)</f>
        <v>Massachusetts</v>
      </c>
      <c r="E7039" s="111" t="str">
        <f t="shared" si="7037"/>
        <v>Springfield</v>
      </c>
    </row>
    <row r="7040" spans="1:5">
      <c r="A7040" s="110" t="s">
        <v>16856</v>
      </c>
      <c r="B7040" s="110" t="s">
        <v>1343</v>
      </c>
      <c r="C7040" s="111" t="s">
        <v>416</v>
      </c>
      <c r="D7040" s="111" t="str">
        <f t="shared" ref="D7040:E7040" si="7038">TRIM(B7040)</f>
        <v>Massachusetts</v>
      </c>
      <c r="E7040" s="111" t="str">
        <f t="shared" si="7038"/>
        <v>Springfield</v>
      </c>
    </row>
    <row r="7041" spans="1:5">
      <c r="A7041" s="3" t="s">
        <v>16857</v>
      </c>
      <c r="B7041" s="110" t="s">
        <v>1343</v>
      </c>
      <c r="C7041" s="111" t="s">
        <v>11294</v>
      </c>
      <c r="D7041" s="111" t="str">
        <f t="shared" ref="D7041:E7041" si="7039">TRIM(B7041)</f>
        <v>Massachusetts</v>
      </c>
      <c r="E7041" s="111" t="str">
        <f t="shared" si="7039"/>
        <v>Stoneham</v>
      </c>
    </row>
    <row r="7042" spans="1:5">
      <c r="A7042" s="3" t="s">
        <v>16858</v>
      </c>
      <c r="B7042" s="110" t="s">
        <v>1343</v>
      </c>
      <c r="C7042" s="111" t="s">
        <v>7581</v>
      </c>
      <c r="D7042" s="111" t="str">
        <f t="shared" ref="D7042:E7042" si="7040">TRIM(B7042)</f>
        <v>Massachusetts</v>
      </c>
      <c r="E7042" s="111" t="str">
        <f t="shared" si="7040"/>
        <v>Stoughton</v>
      </c>
    </row>
    <row r="7043" spans="1:5">
      <c r="A7043" s="3" t="s">
        <v>16859</v>
      </c>
      <c r="B7043" s="110" t="s">
        <v>1343</v>
      </c>
      <c r="C7043" s="111" t="s">
        <v>16860</v>
      </c>
      <c r="D7043" s="111" t="str">
        <f t="shared" ref="D7043:E7043" si="7041">TRIM(B7043)</f>
        <v>Massachusetts</v>
      </c>
      <c r="E7043" s="111" t="str">
        <f t="shared" si="7041"/>
        <v>Sudbury</v>
      </c>
    </row>
    <row r="7044" spans="1:5">
      <c r="A7044" s="3" t="s">
        <v>16861</v>
      </c>
      <c r="B7044" s="110" t="s">
        <v>1343</v>
      </c>
      <c r="C7044" s="111" t="s">
        <v>3097</v>
      </c>
      <c r="D7044" s="111" t="str">
        <f t="shared" ref="D7044:E7044" si="7042">TRIM(B7044)</f>
        <v>Massachusetts</v>
      </c>
      <c r="E7044" s="111" t="str">
        <f t="shared" si="7042"/>
        <v>Sutton</v>
      </c>
    </row>
    <row r="7045" spans="1:5">
      <c r="A7045" s="3" t="s">
        <v>16862</v>
      </c>
      <c r="B7045" s="110" t="s">
        <v>1343</v>
      </c>
      <c r="C7045" s="111" t="s">
        <v>16863</v>
      </c>
      <c r="D7045" s="111" t="str">
        <f t="shared" ref="D7045:E7045" si="7043">TRIM(B7045)</f>
        <v>Massachusetts</v>
      </c>
      <c r="E7045" s="111" t="str">
        <f t="shared" si="7043"/>
        <v>Swampscott</v>
      </c>
    </row>
    <row r="7046" spans="1:5">
      <c r="A7046" s="3" t="s">
        <v>16864</v>
      </c>
      <c r="B7046" s="110" t="s">
        <v>1343</v>
      </c>
      <c r="C7046" s="111" t="s">
        <v>16865</v>
      </c>
      <c r="D7046" s="111" t="str">
        <f t="shared" ref="D7046:E7046" si="7044">TRIM(B7046)</f>
        <v>Massachusetts</v>
      </c>
      <c r="E7046" s="111" t="str">
        <f t="shared" si="7044"/>
        <v>Swansea</v>
      </c>
    </row>
    <row r="7047" spans="1:5">
      <c r="A7047" s="3" t="s">
        <v>16866</v>
      </c>
      <c r="B7047" s="110" t="s">
        <v>1343</v>
      </c>
      <c r="C7047" s="111" t="s">
        <v>11283</v>
      </c>
      <c r="D7047" s="111" t="str">
        <f t="shared" ref="D7047:E7047" si="7045">TRIM(B7047)</f>
        <v>Massachusetts</v>
      </c>
      <c r="E7047" s="111" t="str">
        <f t="shared" si="7045"/>
        <v>Taunton</v>
      </c>
    </row>
    <row r="7048" spans="1:5">
      <c r="A7048" s="3" t="s">
        <v>16867</v>
      </c>
      <c r="B7048" s="110" t="s">
        <v>1343</v>
      </c>
      <c r="C7048" s="111" t="s">
        <v>16868</v>
      </c>
      <c r="D7048" s="111" t="str">
        <f t="shared" ref="D7048:E7048" si="7046">TRIM(B7048)</f>
        <v>Massachusetts</v>
      </c>
      <c r="E7048" s="111" t="str">
        <f t="shared" si="7046"/>
        <v>Tewksbury</v>
      </c>
    </row>
    <row r="7049" spans="1:5">
      <c r="A7049" s="110" t="s">
        <v>16869</v>
      </c>
      <c r="B7049" s="110" t="s">
        <v>1343</v>
      </c>
      <c r="C7049" s="111" t="s">
        <v>16870</v>
      </c>
      <c r="D7049" s="111" t="str">
        <f t="shared" ref="D7049:E7049" si="7047">TRIM(B7049)</f>
        <v>Massachusetts</v>
      </c>
      <c r="E7049" s="111" t="str">
        <f t="shared" si="7047"/>
        <v>Townsend</v>
      </c>
    </row>
    <row r="7050" spans="1:5">
      <c r="A7050" s="3" t="s">
        <v>16871</v>
      </c>
      <c r="B7050" s="110" t="s">
        <v>1343</v>
      </c>
      <c r="C7050" s="111" t="s">
        <v>11225</v>
      </c>
      <c r="D7050" s="111" t="str">
        <f t="shared" ref="D7050:E7050" si="7048">TRIM(B7050)</f>
        <v>Massachusetts</v>
      </c>
      <c r="E7050" s="111" t="str">
        <f t="shared" si="7048"/>
        <v>Tyngsboro</v>
      </c>
    </row>
    <row r="7051" spans="1:5">
      <c r="A7051" s="3" t="s">
        <v>16872</v>
      </c>
      <c r="B7051" s="110" t="s">
        <v>1343</v>
      </c>
      <c r="C7051" s="111" t="s">
        <v>16873</v>
      </c>
      <c r="D7051" s="111" t="str">
        <f t="shared" ref="D7051:E7051" si="7049">TRIM(B7051)</f>
        <v>Massachusetts</v>
      </c>
      <c r="E7051" s="111" t="str">
        <f t="shared" si="7049"/>
        <v>Tyngsborough</v>
      </c>
    </row>
    <row r="7052" spans="1:5">
      <c r="A7052" s="3" t="s">
        <v>16874</v>
      </c>
      <c r="B7052" s="110" t="s">
        <v>1343</v>
      </c>
      <c r="C7052" s="111" t="s">
        <v>16875</v>
      </c>
      <c r="D7052" s="111" t="str">
        <f t="shared" ref="D7052:E7052" si="7050">TRIM(B7052)</f>
        <v>Massachusetts</v>
      </c>
      <c r="E7052" s="111" t="str">
        <f t="shared" si="7050"/>
        <v>Upton</v>
      </c>
    </row>
    <row r="7053" spans="1:5">
      <c r="A7053" s="3" t="s">
        <v>16876</v>
      </c>
      <c r="B7053" s="110" t="s">
        <v>1343</v>
      </c>
      <c r="C7053" s="111" t="s">
        <v>16877</v>
      </c>
      <c r="D7053" s="111" t="str">
        <f t="shared" ref="D7053:E7053" si="7051">TRIM(B7053)</f>
        <v>Massachusetts</v>
      </c>
      <c r="E7053" s="111" t="str">
        <f t="shared" si="7051"/>
        <v>Uxbridge</v>
      </c>
    </row>
    <row r="7054" spans="1:5">
      <c r="A7054" s="3" t="s">
        <v>16878</v>
      </c>
      <c r="B7054" s="110" t="s">
        <v>1343</v>
      </c>
      <c r="C7054" s="111" t="s">
        <v>14096</v>
      </c>
      <c r="D7054" s="111" t="str">
        <f t="shared" ref="D7054:E7054" si="7052">TRIM(B7054)</f>
        <v>Massachusetts</v>
      </c>
      <c r="E7054" s="111" t="str">
        <f t="shared" si="7052"/>
        <v>Wakefield</v>
      </c>
    </row>
    <row r="7055" spans="1:5">
      <c r="A7055" s="3" t="s">
        <v>16879</v>
      </c>
      <c r="B7055" s="110" t="s">
        <v>1343</v>
      </c>
      <c r="C7055" s="111" t="s">
        <v>16880</v>
      </c>
      <c r="D7055" s="111" t="str">
        <f t="shared" ref="D7055:E7055" si="7053">TRIM(B7055)</f>
        <v>Massachusetts</v>
      </c>
      <c r="E7055" s="111" t="str">
        <f t="shared" si="7053"/>
        <v>Walpole</v>
      </c>
    </row>
    <row r="7056" spans="1:5">
      <c r="A7056" s="3" t="s">
        <v>16881</v>
      </c>
      <c r="B7056" s="110" t="s">
        <v>1343</v>
      </c>
      <c r="C7056" s="111" t="s">
        <v>11276</v>
      </c>
      <c r="D7056" s="111" t="str">
        <f t="shared" ref="D7056:E7056" si="7054">TRIM(B7056)</f>
        <v>Massachusetts</v>
      </c>
      <c r="E7056" s="111" t="str">
        <f t="shared" si="7054"/>
        <v>Waltham</v>
      </c>
    </row>
    <row r="7057" spans="1:5">
      <c r="A7057" s="3" t="s">
        <v>16882</v>
      </c>
      <c r="B7057" s="110" t="s">
        <v>1343</v>
      </c>
      <c r="C7057" s="111" t="s">
        <v>16883</v>
      </c>
      <c r="D7057" s="111" t="str">
        <f t="shared" ref="D7057:E7057" si="7055">TRIM(B7057)</f>
        <v>Massachusetts</v>
      </c>
      <c r="E7057" s="111" t="str">
        <f t="shared" si="7055"/>
        <v>Ware</v>
      </c>
    </row>
    <row r="7058" spans="1:5">
      <c r="A7058" s="110" t="s">
        <v>16884</v>
      </c>
      <c r="B7058" s="110" t="s">
        <v>1343</v>
      </c>
      <c r="C7058" s="111" t="s">
        <v>16885</v>
      </c>
      <c r="D7058" s="111" t="str">
        <f t="shared" ref="D7058:E7058" si="7056">TRIM(B7058)</f>
        <v>Massachusetts</v>
      </c>
      <c r="E7058" s="111" t="str">
        <f t="shared" si="7056"/>
        <v>Wareham</v>
      </c>
    </row>
    <row r="7059" spans="1:5">
      <c r="A7059" s="3" t="s">
        <v>16886</v>
      </c>
      <c r="B7059" s="110" t="s">
        <v>1343</v>
      </c>
      <c r="C7059" s="111" t="s">
        <v>16885</v>
      </c>
      <c r="D7059" s="111" t="str">
        <f t="shared" ref="D7059:E7059" si="7057">TRIM(B7059)</f>
        <v>Massachusetts</v>
      </c>
      <c r="E7059" s="111" t="str">
        <f t="shared" si="7057"/>
        <v>Wareham</v>
      </c>
    </row>
    <row r="7060" spans="1:5">
      <c r="A7060" s="3" t="s">
        <v>16887</v>
      </c>
      <c r="B7060" s="110" t="s">
        <v>1343</v>
      </c>
      <c r="C7060" s="111" t="s">
        <v>4265</v>
      </c>
      <c r="D7060" s="111" t="str">
        <f t="shared" ref="D7060:E7060" si="7058">TRIM(B7060)</f>
        <v>Massachusetts</v>
      </c>
      <c r="E7060" s="111" t="str">
        <f t="shared" si="7058"/>
        <v>Warren</v>
      </c>
    </row>
    <row r="7061" spans="1:5">
      <c r="A7061" s="3" t="s">
        <v>8736</v>
      </c>
      <c r="B7061" s="110" t="s">
        <v>1343</v>
      </c>
      <c r="C7061" s="111" t="s">
        <v>8737</v>
      </c>
      <c r="D7061" s="111" t="str">
        <f t="shared" ref="D7061:E7061" si="7059">TRIM(B7061)</f>
        <v>Massachusetts</v>
      </c>
      <c r="E7061" s="111" t="str">
        <f t="shared" si="7059"/>
        <v>Watertown</v>
      </c>
    </row>
    <row r="7062" spans="1:5">
      <c r="A7062" s="3" t="s">
        <v>16888</v>
      </c>
      <c r="B7062" s="110" t="s">
        <v>1343</v>
      </c>
      <c r="C7062" s="111" t="s">
        <v>15114</v>
      </c>
      <c r="D7062" s="111" t="str">
        <f t="shared" ref="D7062:E7062" si="7060">TRIM(B7062)</f>
        <v>Massachusetts</v>
      </c>
      <c r="E7062" s="111" t="str">
        <f t="shared" si="7060"/>
        <v>Wayland</v>
      </c>
    </row>
    <row r="7063" spans="1:5">
      <c r="A7063" s="3" t="s">
        <v>2290</v>
      </c>
      <c r="B7063" s="110" t="s">
        <v>1343</v>
      </c>
      <c r="C7063" s="111" t="s">
        <v>12392</v>
      </c>
      <c r="D7063" s="111" t="str">
        <f t="shared" ref="D7063:E7063" si="7061">TRIM(B7063)</f>
        <v>Massachusetts</v>
      </c>
      <c r="E7063" s="111" t="str">
        <f t="shared" si="7061"/>
        <v>Webster</v>
      </c>
    </row>
    <row r="7064" spans="1:5">
      <c r="A7064" s="3" t="s">
        <v>16889</v>
      </c>
      <c r="B7064" s="110" t="s">
        <v>1343</v>
      </c>
      <c r="C7064" s="111" t="s">
        <v>16890</v>
      </c>
      <c r="D7064" s="111" t="str">
        <f t="shared" ref="D7064:E7064" si="7062">TRIM(B7064)</f>
        <v>Massachusetts</v>
      </c>
      <c r="E7064" s="111" t="str">
        <f t="shared" si="7062"/>
        <v>Wellesley</v>
      </c>
    </row>
    <row r="7065" spans="1:5">
      <c r="A7065" s="3" t="s">
        <v>16891</v>
      </c>
      <c r="B7065" s="110" t="s">
        <v>1343</v>
      </c>
      <c r="C7065" s="111" t="s">
        <v>16892</v>
      </c>
      <c r="D7065" s="111" t="str">
        <f t="shared" ref="D7065:E7065" si="7063">TRIM(B7065)</f>
        <v>Massachusetts</v>
      </c>
      <c r="E7065" s="111" t="str">
        <f t="shared" si="7063"/>
        <v>West Boylston</v>
      </c>
    </row>
    <row r="7066" spans="1:5">
      <c r="A7066" s="110" t="s">
        <v>16893</v>
      </c>
      <c r="B7066" s="110" t="s">
        <v>1343</v>
      </c>
      <c r="C7066" s="113" t="s">
        <v>16894</v>
      </c>
      <c r="D7066" s="111" t="str">
        <f t="shared" ref="D7066:E7066" si="7064">TRIM(B7066)</f>
        <v>Massachusetts</v>
      </c>
      <c r="E7066" s="111" t="str">
        <f t="shared" si="7064"/>
        <v>West Bridgewater</v>
      </c>
    </row>
    <row r="7067" spans="1:5">
      <c r="A7067" s="3" t="s">
        <v>16895</v>
      </c>
      <c r="B7067" s="110" t="s">
        <v>1343</v>
      </c>
      <c r="C7067" s="111" t="s">
        <v>16896</v>
      </c>
      <c r="D7067" s="111" t="str">
        <f t="shared" ref="D7067:E7067" si="7065">TRIM(B7067)</f>
        <v>Massachusetts</v>
      </c>
      <c r="E7067" s="111" t="str">
        <f t="shared" si="7065"/>
        <v>West Newbury</v>
      </c>
    </row>
    <row r="7068" spans="1:5">
      <c r="A7068" s="3" t="s">
        <v>16897</v>
      </c>
      <c r="B7068" s="110" t="s">
        <v>1343</v>
      </c>
      <c r="C7068" s="111" t="s">
        <v>16898</v>
      </c>
      <c r="D7068" s="111" t="str">
        <f t="shared" ref="D7068:E7068" si="7066">TRIM(B7068)</f>
        <v>Massachusetts</v>
      </c>
      <c r="E7068" s="111" t="str">
        <f t="shared" si="7066"/>
        <v>West Roxbury</v>
      </c>
    </row>
    <row r="7069" spans="1:5">
      <c r="A7069" s="3" t="s">
        <v>16899</v>
      </c>
      <c r="B7069" s="110" t="s">
        <v>1343</v>
      </c>
      <c r="C7069" s="111" t="s">
        <v>16898</v>
      </c>
      <c r="D7069" s="111" t="str">
        <f t="shared" ref="D7069:E7069" si="7067">TRIM(B7069)</f>
        <v>Massachusetts</v>
      </c>
      <c r="E7069" s="111" t="str">
        <f t="shared" si="7067"/>
        <v>West Roxbury</v>
      </c>
    </row>
    <row r="7070" spans="1:5">
      <c r="A7070" s="3" t="s">
        <v>16900</v>
      </c>
      <c r="B7070" s="110" t="s">
        <v>1343</v>
      </c>
      <c r="C7070" s="111" t="s">
        <v>16901</v>
      </c>
      <c r="D7070" s="111" t="str">
        <f t="shared" ref="D7070:E7070" si="7068">TRIM(B7070)</f>
        <v>Massachusetts</v>
      </c>
      <c r="E7070" s="111" t="str">
        <f t="shared" si="7068"/>
        <v>West Springfield</v>
      </c>
    </row>
    <row r="7071" spans="1:5">
      <c r="A7071" s="3" t="s">
        <v>16902</v>
      </c>
      <c r="B7071" s="110" t="s">
        <v>1343</v>
      </c>
      <c r="C7071" s="111" t="s">
        <v>16903</v>
      </c>
      <c r="D7071" s="111" t="str">
        <f t="shared" ref="D7071:E7071" si="7069">TRIM(B7071)</f>
        <v>Massachusetts</v>
      </c>
      <c r="E7071" s="111" t="str">
        <f t="shared" si="7069"/>
        <v>Westborough</v>
      </c>
    </row>
    <row r="7072" spans="1:5">
      <c r="A7072" s="3" t="s">
        <v>14662</v>
      </c>
      <c r="B7072" s="110" t="s">
        <v>1343</v>
      </c>
      <c r="C7072" s="111" t="s">
        <v>6783</v>
      </c>
      <c r="D7072" s="111" t="str">
        <f t="shared" ref="D7072:E7072" si="7070">TRIM(B7072)</f>
        <v>Massachusetts</v>
      </c>
      <c r="E7072" s="111" t="str">
        <f t="shared" si="7070"/>
        <v>Westfield</v>
      </c>
    </row>
    <row r="7073" spans="1:5">
      <c r="A7073" s="3" t="s">
        <v>16904</v>
      </c>
      <c r="B7073" s="110" t="s">
        <v>1343</v>
      </c>
      <c r="C7073" s="111" t="s">
        <v>16905</v>
      </c>
      <c r="D7073" s="111" t="str">
        <f t="shared" ref="D7073:E7073" si="7071">TRIM(B7073)</f>
        <v>Massachusetts</v>
      </c>
      <c r="E7073" s="111" t="str">
        <f t="shared" si="7071"/>
        <v>Westford</v>
      </c>
    </row>
    <row r="7074" spans="1:5">
      <c r="A7074" s="3" t="s">
        <v>16906</v>
      </c>
      <c r="B7074" s="110" t="s">
        <v>1343</v>
      </c>
      <c r="C7074" s="111" t="s">
        <v>16907</v>
      </c>
      <c r="D7074" s="111" t="str">
        <f t="shared" ref="D7074:E7074" si="7072">TRIM(B7074)</f>
        <v>Massachusetts</v>
      </c>
      <c r="E7074" s="111" t="str">
        <f t="shared" si="7072"/>
        <v>Westhampton</v>
      </c>
    </row>
    <row r="7075" spans="1:5">
      <c r="A7075" s="3" t="s">
        <v>8752</v>
      </c>
      <c r="B7075" s="110" t="s">
        <v>1343</v>
      </c>
      <c r="C7075" s="111" t="s">
        <v>8298</v>
      </c>
      <c r="D7075" s="111" t="str">
        <f t="shared" ref="D7075:E7075" si="7073">TRIM(B7075)</f>
        <v>Massachusetts</v>
      </c>
      <c r="E7075" s="111" t="str">
        <f t="shared" si="7073"/>
        <v>Weston</v>
      </c>
    </row>
    <row r="7076" spans="1:5">
      <c r="A7076" s="3" t="s">
        <v>16908</v>
      </c>
      <c r="B7076" s="110" t="s">
        <v>1343</v>
      </c>
      <c r="C7076" s="111" t="s">
        <v>8755</v>
      </c>
      <c r="D7076" s="111" t="str">
        <f t="shared" ref="D7076:E7076" si="7074">TRIM(B7076)</f>
        <v>Massachusetts</v>
      </c>
      <c r="E7076" s="111" t="str">
        <f t="shared" si="7074"/>
        <v>Westport</v>
      </c>
    </row>
    <row r="7077" spans="1:5">
      <c r="A7077" s="3" t="s">
        <v>2860</v>
      </c>
      <c r="B7077" s="110" t="s">
        <v>1343</v>
      </c>
      <c r="C7077" s="111" t="s">
        <v>6626</v>
      </c>
      <c r="D7077" s="111" t="str">
        <f t="shared" ref="D7077:E7077" si="7075">TRIM(B7077)</f>
        <v>Massachusetts</v>
      </c>
      <c r="E7077" s="111" t="str">
        <f t="shared" si="7075"/>
        <v>Westwood</v>
      </c>
    </row>
    <row r="7078" spans="1:5">
      <c r="A7078" s="3" t="s">
        <v>16909</v>
      </c>
      <c r="B7078" s="110" t="s">
        <v>1343</v>
      </c>
      <c r="C7078" s="111" t="s">
        <v>16910</v>
      </c>
      <c r="D7078" s="111" t="str">
        <f t="shared" ref="D7078:E7078" si="7076">TRIM(B7078)</f>
        <v>Massachusetts</v>
      </c>
      <c r="E7078" s="111" t="str">
        <f t="shared" si="7076"/>
        <v>Weymouth</v>
      </c>
    </row>
    <row r="7079" spans="1:5">
      <c r="A7079" s="3" t="s">
        <v>16911</v>
      </c>
      <c r="B7079" s="110" t="s">
        <v>1343</v>
      </c>
      <c r="C7079" s="111" t="s">
        <v>16912</v>
      </c>
      <c r="D7079" s="111" t="str">
        <f t="shared" ref="D7079:E7079" si="7077">TRIM(B7079)</f>
        <v>Massachusetts</v>
      </c>
      <c r="E7079" s="111" t="str">
        <f t="shared" si="7077"/>
        <v>Whitinsville</v>
      </c>
    </row>
    <row r="7080" spans="1:5">
      <c r="A7080" s="110" t="s">
        <v>16913</v>
      </c>
      <c r="B7080" s="110" t="s">
        <v>1343</v>
      </c>
      <c r="C7080" s="111" t="s">
        <v>16914</v>
      </c>
      <c r="D7080" s="111" t="str">
        <f t="shared" ref="D7080:E7080" si="7078">TRIM(B7080)</f>
        <v>Massachusetts</v>
      </c>
      <c r="E7080" s="111" t="str">
        <f t="shared" si="7078"/>
        <v>Whitman</v>
      </c>
    </row>
    <row r="7081" spans="1:5">
      <c r="A7081" s="3" t="s">
        <v>16915</v>
      </c>
      <c r="B7081" s="110" t="s">
        <v>1343</v>
      </c>
      <c r="C7081" s="111" t="s">
        <v>11408</v>
      </c>
      <c r="D7081" s="111" t="str">
        <f t="shared" ref="D7081:E7081" si="7079">TRIM(B7081)</f>
        <v>Massachusetts</v>
      </c>
      <c r="E7081" s="111" t="str">
        <f t="shared" si="7079"/>
        <v>Wilbraham</v>
      </c>
    </row>
    <row r="7082" spans="1:5">
      <c r="A7082" s="3" t="s">
        <v>16916</v>
      </c>
      <c r="B7082" s="110" t="s">
        <v>1343</v>
      </c>
      <c r="C7082" s="111" t="s">
        <v>11263</v>
      </c>
      <c r="D7082" s="111" t="str">
        <f t="shared" ref="D7082:E7082" si="7080">TRIM(B7082)</f>
        <v>Massachusetts</v>
      </c>
      <c r="E7082" s="111" t="str">
        <f t="shared" si="7080"/>
        <v>Williamstown</v>
      </c>
    </row>
    <row r="7083" spans="1:5">
      <c r="A7083" s="3" t="s">
        <v>14037</v>
      </c>
      <c r="B7083" s="110" t="s">
        <v>1343</v>
      </c>
      <c r="C7083" s="111" t="s">
        <v>272</v>
      </c>
      <c r="D7083" s="111" t="str">
        <f t="shared" ref="D7083:E7083" si="7081">TRIM(B7083)</f>
        <v>Massachusetts</v>
      </c>
      <c r="E7083" s="111" t="str">
        <f t="shared" si="7081"/>
        <v>Wilmington</v>
      </c>
    </row>
    <row r="7084" spans="1:5">
      <c r="A7084" s="3" t="s">
        <v>16917</v>
      </c>
      <c r="B7084" s="110" t="s">
        <v>1343</v>
      </c>
      <c r="C7084" s="111" t="s">
        <v>16918</v>
      </c>
      <c r="D7084" s="111" t="str">
        <f t="shared" ref="D7084:E7084" si="7082">TRIM(B7084)</f>
        <v>Massachusetts</v>
      </c>
      <c r="E7084" s="111" t="str">
        <f t="shared" si="7082"/>
        <v>Winchendon</v>
      </c>
    </row>
    <row r="7085" spans="1:5">
      <c r="A7085" s="3" t="s">
        <v>14041</v>
      </c>
      <c r="B7085" s="110" t="s">
        <v>1343</v>
      </c>
      <c r="C7085" s="111" t="s">
        <v>14042</v>
      </c>
      <c r="D7085" s="111" t="str">
        <f t="shared" ref="D7085:E7085" si="7083">TRIM(B7085)</f>
        <v>Massachusetts</v>
      </c>
      <c r="E7085" s="111" t="str">
        <f t="shared" si="7083"/>
        <v>Winchester</v>
      </c>
    </row>
    <row r="7086" spans="1:5">
      <c r="A7086" s="3" t="s">
        <v>16315</v>
      </c>
      <c r="B7086" s="110" t="s">
        <v>1343</v>
      </c>
      <c r="C7086" s="111" t="s">
        <v>15140</v>
      </c>
      <c r="D7086" s="111" t="str">
        <f t="shared" ref="D7086:E7086" si="7084">TRIM(B7086)</f>
        <v>Massachusetts</v>
      </c>
      <c r="E7086" s="111" t="str">
        <f t="shared" si="7084"/>
        <v>Winthrop</v>
      </c>
    </row>
    <row r="7087" spans="1:5">
      <c r="A7087" s="3" t="s">
        <v>16919</v>
      </c>
      <c r="B7087" s="110" t="s">
        <v>1343</v>
      </c>
      <c r="C7087" s="111" t="s">
        <v>16920</v>
      </c>
      <c r="D7087" s="111" t="str">
        <f t="shared" ref="D7087:E7087" si="7085">TRIM(B7087)</f>
        <v>Massachusetts</v>
      </c>
      <c r="E7087" s="111" t="str">
        <f t="shared" si="7085"/>
        <v>Woburn</v>
      </c>
    </row>
    <row r="7088" spans="1:5">
      <c r="A7088" s="3" t="s">
        <v>16921</v>
      </c>
      <c r="B7088" s="110" t="s">
        <v>1343</v>
      </c>
      <c r="C7088" s="111" t="s">
        <v>358</v>
      </c>
      <c r="D7088" s="111" t="str">
        <f t="shared" ref="D7088:E7088" si="7086">TRIM(B7088)</f>
        <v>Massachusetts</v>
      </c>
      <c r="E7088" s="111" t="str">
        <f t="shared" si="7086"/>
        <v>Worcester</v>
      </c>
    </row>
    <row r="7089" spans="1:5">
      <c r="A7089" s="3" t="s">
        <v>16922</v>
      </c>
      <c r="B7089" s="110" t="s">
        <v>1343</v>
      </c>
      <c r="C7089" s="111" t="s">
        <v>358</v>
      </c>
      <c r="D7089" s="111" t="str">
        <f t="shared" ref="D7089:E7089" si="7087">TRIM(B7089)</f>
        <v>Massachusetts</v>
      </c>
      <c r="E7089" s="111" t="str">
        <f t="shared" si="7087"/>
        <v>Worcester</v>
      </c>
    </row>
    <row r="7090" spans="1:5">
      <c r="A7090" s="3" t="s">
        <v>16923</v>
      </c>
      <c r="B7090" s="110" t="s">
        <v>1343</v>
      </c>
      <c r="C7090" s="111" t="s">
        <v>358</v>
      </c>
      <c r="D7090" s="111" t="str">
        <f t="shared" ref="D7090:E7090" si="7088">TRIM(B7090)</f>
        <v>Massachusetts</v>
      </c>
      <c r="E7090" s="111" t="str">
        <f t="shared" si="7088"/>
        <v>Worcester</v>
      </c>
    </row>
    <row r="7091" spans="1:5">
      <c r="A7091" s="3" t="s">
        <v>16924</v>
      </c>
      <c r="B7091" s="110" t="s">
        <v>1343</v>
      </c>
      <c r="C7091" s="111" t="s">
        <v>358</v>
      </c>
      <c r="D7091" s="111" t="str">
        <f t="shared" ref="D7091:E7091" si="7089">TRIM(B7091)</f>
        <v>Massachusetts</v>
      </c>
      <c r="E7091" s="111" t="str">
        <f t="shared" si="7089"/>
        <v>Worcester</v>
      </c>
    </row>
    <row r="7092" spans="1:5">
      <c r="A7092" s="3" t="s">
        <v>3069</v>
      </c>
      <c r="B7092" s="110" t="s">
        <v>1343</v>
      </c>
      <c r="C7092" s="111" t="s">
        <v>358</v>
      </c>
      <c r="D7092" s="111" t="str">
        <f t="shared" ref="D7092:E7092" si="7090">TRIM(B7092)</f>
        <v>Massachusetts</v>
      </c>
      <c r="E7092" s="111" t="str">
        <f t="shared" si="7090"/>
        <v>Worcester</v>
      </c>
    </row>
    <row r="7093" spans="1:5">
      <c r="A7093" s="3" t="s">
        <v>16925</v>
      </c>
      <c r="B7093" s="110" t="s">
        <v>1343</v>
      </c>
      <c r="C7093" s="111" t="s">
        <v>358</v>
      </c>
      <c r="D7093" s="111" t="str">
        <f t="shared" ref="D7093:E7093" si="7091">TRIM(B7093)</f>
        <v>Massachusetts</v>
      </c>
      <c r="E7093" s="111" t="str">
        <f t="shared" si="7091"/>
        <v>Worcester</v>
      </c>
    </row>
    <row r="7094" spans="1:5">
      <c r="A7094" s="110" t="s">
        <v>16926</v>
      </c>
      <c r="B7094" s="110" t="s">
        <v>1343</v>
      </c>
      <c r="C7094" s="111" t="s">
        <v>358</v>
      </c>
      <c r="D7094" s="111" t="str">
        <f t="shared" ref="D7094:E7094" si="7092">TRIM(B7094)</f>
        <v>Massachusetts</v>
      </c>
      <c r="E7094" s="111" t="str">
        <f t="shared" si="7092"/>
        <v>Worcester</v>
      </c>
    </row>
    <row r="7095" spans="1:5">
      <c r="A7095" s="3" t="s">
        <v>16927</v>
      </c>
      <c r="B7095" s="110" t="s">
        <v>1343</v>
      </c>
      <c r="C7095" s="111" t="s">
        <v>16928</v>
      </c>
      <c r="D7095" s="111" t="str">
        <f t="shared" ref="D7095:E7095" si="7093">TRIM(B7095)</f>
        <v>Massachusetts</v>
      </c>
      <c r="E7095" s="111" t="str">
        <f t="shared" si="7093"/>
        <v>Wrentham</v>
      </c>
    </row>
    <row r="7096" spans="1:5">
      <c r="A7096" s="3" t="s">
        <v>8899</v>
      </c>
      <c r="B7096" s="110" t="s">
        <v>1344</v>
      </c>
      <c r="C7096" s="111" t="s">
        <v>16929</v>
      </c>
      <c r="D7096" s="111" t="str">
        <f t="shared" ref="D7096:E7096" si="7094">TRIM(B7096)</f>
        <v>Michigan</v>
      </c>
      <c r="E7096" s="111" t="str">
        <f t="shared" si="7094"/>
        <v>Ada</v>
      </c>
    </row>
    <row r="7097" spans="1:5">
      <c r="A7097" s="3" t="s">
        <v>1477</v>
      </c>
      <c r="B7097" s="110" t="s">
        <v>1344</v>
      </c>
      <c r="C7097" s="111" t="s">
        <v>1478</v>
      </c>
      <c r="D7097" s="111" t="str">
        <f t="shared" ref="D7097:E7097" si="7095">TRIM(B7097)</f>
        <v>Michigan</v>
      </c>
      <c r="E7097" s="111" t="str">
        <f t="shared" si="7095"/>
        <v>Addison</v>
      </c>
    </row>
    <row r="7098" spans="1:5">
      <c r="A7098" s="3" t="s">
        <v>16930</v>
      </c>
      <c r="B7098" s="110" t="s">
        <v>1344</v>
      </c>
      <c r="C7098" s="111" t="s">
        <v>16931</v>
      </c>
      <c r="D7098" s="111" t="str">
        <f t="shared" ref="D7098:E7098" si="7096">TRIM(B7098)</f>
        <v>Michigan</v>
      </c>
      <c r="E7098" s="111" t="str">
        <f t="shared" si="7096"/>
        <v>Adrian</v>
      </c>
    </row>
    <row r="7099" spans="1:5">
      <c r="A7099" s="3" t="s">
        <v>16932</v>
      </c>
      <c r="B7099" s="110" t="s">
        <v>1344</v>
      </c>
      <c r="C7099" s="111" t="s">
        <v>16931</v>
      </c>
      <c r="D7099" s="111" t="str">
        <f t="shared" ref="D7099:E7099" si="7097">TRIM(B7099)</f>
        <v>Michigan</v>
      </c>
      <c r="E7099" s="111" t="str">
        <f t="shared" si="7097"/>
        <v>Adrian</v>
      </c>
    </row>
    <row r="7100" spans="1:5">
      <c r="A7100" s="3" t="s">
        <v>6772</v>
      </c>
      <c r="B7100" s="110" t="s">
        <v>1344</v>
      </c>
      <c r="C7100" s="111" t="s">
        <v>16931</v>
      </c>
      <c r="D7100" s="111" t="str">
        <f t="shared" ref="D7100:E7100" si="7098">TRIM(B7100)</f>
        <v>Michigan</v>
      </c>
      <c r="E7100" s="111" t="str">
        <f t="shared" si="7098"/>
        <v>Adrian</v>
      </c>
    </row>
    <row r="7101" spans="1:5">
      <c r="A7101" s="3" t="s">
        <v>16933</v>
      </c>
      <c r="B7101" s="110" t="s">
        <v>1344</v>
      </c>
      <c r="C7101" s="111" t="s">
        <v>16934</v>
      </c>
      <c r="D7101" s="111" t="str">
        <f t="shared" ref="D7101:E7101" si="7099">TRIM(B7101)</f>
        <v>Michigan</v>
      </c>
      <c r="E7101" s="111" t="str">
        <f t="shared" si="7099"/>
        <v>Allegan</v>
      </c>
    </row>
    <row r="7102" spans="1:5">
      <c r="A7102" s="3" t="s">
        <v>13818</v>
      </c>
      <c r="B7102" s="110" t="s">
        <v>1344</v>
      </c>
      <c r="C7102" s="111" t="s">
        <v>16934</v>
      </c>
      <c r="D7102" s="111" t="str">
        <f t="shared" ref="D7102:E7102" si="7100">TRIM(B7102)</f>
        <v>Michigan</v>
      </c>
      <c r="E7102" s="111" t="str">
        <f t="shared" si="7100"/>
        <v>Allegan</v>
      </c>
    </row>
    <row r="7103" spans="1:5">
      <c r="A7103" s="3" t="s">
        <v>16935</v>
      </c>
      <c r="B7103" s="110" t="s">
        <v>1344</v>
      </c>
      <c r="C7103" s="111" t="s">
        <v>16934</v>
      </c>
      <c r="D7103" s="111" t="str">
        <f t="shared" ref="D7103:E7103" si="7101">TRIM(B7103)</f>
        <v>Michigan</v>
      </c>
      <c r="E7103" s="111" t="str">
        <f t="shared" si="7101"/>
        <v>Allegan</v>
      </c>
    </row>
    <row r="7104" spans="1:5">
      <c r="A7104" s="3" t="s">
        <v>16936</v>
      </c>
      <c r="B7104" s="110" t="s">
        <v>1344</v>
      </c>
      <c r="C7104" s="111" t="s">
        <v>11427</v>
      </c>
      <c r="D7104" s="111" t="str">
        <f t="shared" ref="D7104:E7104" si="7102">TRIM(B7104)</f>
        <v>Michigan</v>
      </c>
      <c r="E7104" s="111" t="str">
        <f t="shared" si="7102"/>
        <v>Allen Park</v>
      </c>
    </row>
    <row r="7105" spans="1:5">
      <c r="A7105" s="3" t="s">
        <v>16937</v>
      </c>
      <c r="B7105" s="110" t="s">
        <v>1344</v>
      </c>
      <c r="C7105" s="111" t="s">
        <v>16938</v>
      </c>
      <c r="D7105" s="111" t="str">
        <f t="shared" ref="D7105:E7105" si="7103">TRIM(B7105)</f>
        <v>Michigan</v>
      </c>
      <c r="E7105" s="111" t="str">
        <f t="shared" si="7103"/>
        <v>Allendale</v>
      </c>
    </row>
    <row r="7106" spans="1:5">
      <c r="A7106" s="3" t="s">
        <v>16939</v>
      </c>
      <c r="B7106" s="110" t="s">
        <v>1344</v>
      </c>
      <c r="C7106" s="111" t="s">
        <v>3551</v>
      </c>
      <c r="D7106" s="111" t="str">
        <f t="shared" ref="D7106:E7106" si="7104">TRIM(B7106)</f>
        <v>Michigan</v>
      </c>
      <c r="E7106" s="111" t="str">
        <f t="shared" si="7104"/>
        <v>Alma</v>
      </c>
    </row>
    <row r="7107" spans="1:5">
      <c r="A7107" s="3" t="s">
        <v>16940</v>
      </c>
      <c r="B7107" s="110" t="s">
        <v>1344</v>
      </c>
      <c r="C7107" s="111" t="s">
        <v>16941</v>
      </c>
      <c r="D7107" s="111" t="str">
        <f t="shared" ref="D7107:E7107" si="7105">TRIM(B7107)</f>
        <v>Michigan</v>
      </c>
      <c r="E7107" s="111" t="str">
        <f t="shared" si="7105"/>
        <v>Almont</v>
      </c>
    </row>
    <row r="7108" spans="1:5">
      <c r="A7108" s="3" t="s">
        <v>3552</v>
      </c>
      <c r="B7108" s="110" t="s">
        <v>1344</v>
      </c>
      <c r="C7108" s="111" t="s">
        <v>3553</v>
      </c>
      <c r="D7108" s="111" t="str">
        <f t="shared" ref="D7108:E7108" si="7106">TRIM(B7108)</f>
        <v>Michigan</v>
      </c>
      <c r="E7108" s="111" t="str">
        <f t="shared" si="7106"/>
        <v>Alpena</v>
      </c>
    </row>
    <row r="7109" spans="1:5">
      <c r="A7109" s="3" t="s">
        <v>16942</v>
      </c>
      <c r="B7109" s="110" t="s">
        <v>1344</v>
      </c>
      <c r="C7109" s="111" t="s">
        <v>347</v>
      </c>
      <c r="D7109" s="111" t="str">
        <f t="shared" ref="D7109:E7109" si="7107">TRIM(B7109)</f>
        <v>Michigan</v>
      </c>
      <c r="E7109" s="111" t="str">
        <f t="shared" si="7107"/>
        <v>Ann Arbor</v>
      </c>
    </row>
    <row r="7110" spans="1:5">
      <c r="A7110" s="3" t="s">
        <v>6941</v>
      </c>
      <c r="B7110" s="110" t="s">
        <v>1344</v>
      </c>
      <c r="C7110" s="111" t="s">
        <v>347</v>
      </c>
      <c r="D7110" s="111" t="str">
        <f t="shared" ref="D7110:E7110" si="7108">TRIM(B7110)</f>
        <v>Michigan</v>
      </c>
      <c r="E7110" s="111" t="str">
        <f t="shared" si="7108"/>
        <v>Ann Arbor</v>
      </c>
    </row>
    <row r="7111" spans="1:5">
      <c r="A7111" s="3" t="s">
        <v>2853</v>
      </c>
      <c r="B7111" s="110" t="s">
        <v>1344</v>
      </c>
      <c r="C7111" s="111" t="s">
        <v>347</v>
      </c>
      <c r="D7111" s="111" t="str">
        <f t="shared" ref="D7111:E7111" si="7109">TRIM(B7111)</f>
        <v>Michigan</v>
      </c>
      <c r="E7111" s="111" t="str">
        <f t="shared" si="7109"/>
        <v>Ann Arbor</v>
      </c>
    </row>
    <row r="7112" spans="1:5">
      <c r="A7112" s="110" t="s">
        <v>16943</v>
      </c>
      <c r="B7112" s="110" t="s">
        <v>1344</v>
      </c>
      <c r="C7112" s="111" t="s">
        <v>347</v>
      </c>
      <c r="D7112" s="111" t="str">
        <f t="shared" ref="D7112:E7112" si="7110">TRIM(B7112)</f>
        <v>Michigan</v>
      </c>
      <c r="E7112" s="111" t="str">
        <f t="shared" si="7110"/>
        <v>Ann Arbor</v>
      </c>
    </row>
    <row r="7113" spans="1:5">
      <c r="A7113" s="3" t="s">
        <v>16944</v>
      </c>
      <c r="B7113" s="110" t="s">
        <v>1344</v>
      </c>
      <c r="C7113" s="111" t="s">
        <v>16945</v>
      </c>
      <c r="D7113" s="111" t="str">
        <f t="shared" ref="D7113:E7113" si="7111">TRIM(B7113)</f>
        <v>Michigan</v>
      </c>
      <c r="E7113" s="111" t="str">
        <f t="shared" si="7111"/>
        <v>Armada</v>
      </c>
    </row>
    <row r="7114" spans="1:5">
      <c r="A7114" s="3" t="s">
        <v>16946</v>
      </c>
      <c r="B7114" s="110" t="s">
        <v>1344</v>
      </c>
      <c r="C7114" s="111" t="s">
        <v>16945</v>
      </c>
      <c r="D7114" s="111" t="str">
        <f t="shared" ref="D7114:E7114" si="7112">TRIM(B7114)</f>
        <v>Michigan</v>
      </c>
      <c r="E7114" s="111" t="str">
        <f t="shared" si="7112"/>
        <v>Armada</v>
      </c>
    </row>
    <row r="7115" spans="1:5">
      <c r="A7115" s="3" t="s">
        <v>16947</v>
      </c>
      <c r="B7115" s="110" t="s">
        <v>1344</v>
      </c>
      <c r="C7115" s="111" t="s">
        <v>16948</v>
      </c>
      <c r="D7115" s="111" t="str">
        <f t="shared" ref="D7115:E7115" si="7113">TRIM(B7115)</f>
        <v>Michigan</v>
      </c>
      <c r="E7115" s="111" t="str">
        <f t="shared" si="7113"/>
        <v>Ashley</v>
      </c>
    </row>
    <row r="7116" spans="1:5">
      <c r="A7116" s="3" t="s">
        <v>16949</v>
      </c>
      <c r="B7116" s="110" t="s">
        <v>1344</v>
      </c>
      <c r="C7116" s="111" t="s">
        <v>327</v>
      </c>
      <c r="D7116" s="111" t="str">
        <f t="shared" ref="D7116:E7116" si="7114">TRIM(B7116)</f>
        <v>Michigan</v>
      </c>
      <c r="E7116" s="111" t="str">
        <f t="shared" si="7114"/>
        <v>Athens</v>
      </c>
    </row>
    <row r="7117" spans="1:5">
      <c r="A7117" s="3" t="s">
        <v>16950</v>
      </c>
      <c r="B7117" s="110" t="s">
        <v>1344</v>
      </c>
      <c r="C7117" s="111" t="s">
        <v>16951</v>
      </c>
      <c r="D7117" s="111" t="str">
        <f t="shared" ref="D7117:E7117" si="7115">TRIM(B7117)</f>
        <v>Michigan</v>
      </c>
      <c r="E7117" s="111" t="str">
        <f t="shared" si="7115"/>
        <v>Au Gres</v>
      </c>
    </row>
    <row r="7118" spans="1:5">
      <c r="A7118" s="3" t="s">
        <v>16952</v>
      </c>
      <c r="B7118" s="110" t="s">
        <v>1344</v>
      </c>
      <c r="C7118" s="111" t="s">
        <v>211</v>
      </c>
      <c r="D7118" s="111" t="str">
        <f t="shared" ref="D7118:E7118" si="7116">TRIM(B7118)</f>
        <v>Michigan</v>
      </c>
      <c r="E7118" s="111" t="str">
        <f t="shared" si="7116"/>
        <v>Auburn</v>
      </c>
    </row>
    <row r="7119" spans="1:5">
      <c r="A7119" s="3" t="s">
        <v>16953</v>
      </c>
      <c r="B7119" s="110" t="s">
        <v>1344</v>
      </c>
      <c r="C7119" s="111" t="s">
        <v>16954</v>
      </c>
      <c r="D7119" s="111" t="str">
        <f t="shared" ref="D7119:E7119" si="7117">TRIM(B7119)</f>
        <v>Michigan</v>
      </c>
      <c r="E7119" s="111" t="str">
        <f t="shared" si="7117"/>
        <v>Auburn Hills</v>
      </c>
    </row>
    <row r="7120" spans="1:5">
      <c r="A7120" s="3" t="s">
        <v>16955</v>
      </c>
      <c r="B7120" s="110" t="s">
        <v>1344</v>
      </c>
      <c r="C7120" s="111" t="s">
        <v>16956</v>
      </c>
      <c r="D7120" s="111" t="str">
        <f t="shared" ref="D7120:E7120" si="7118">TRIM(B7120)</f>
        <v>Michigan</v>
      </c>
      <c r="E7120" s="111" t="str">
        <f t="shared" si="7118"/>
        <v>Bad Axe</v>
      </c>
    </row>
    <row r="7121" spans="1:5">
      <c r="A7121" s="3" t="s">
        <v>16957</v>
      </c>
      <c r="B7121" s="110" t="s">
        <v>1344</v>
      </c>
      <c r="C7121" s="111" t="s">
        <v>8950</v>
      </c>
      <c r="D7121" s="111" t="str">
        <f t="shared" ref="D7121:E7121" si="7119">TRIM(B7121)</f>
        <v>Michigan</v>
      </c>
      <c r="E7121" s="111" t="str">
        <f t="shared" si="7119"/>
        <v>Baldwin</v>
      </c>
    </row>
    <row r="7122" spans="1:5">
      <c r="A7122" s="3" t="s">
        <v>16169</v>
      </c>
      <c r="B7122" s="110" t="s">
        <v>1344</v>
      </c>
      <c r="C7122" s="111" t="s">
        <v>7717</v>
      </c>
      <c r="D7122" s="111" t="str">
        <f t="shared" ref="D7122:E7122" si="7120">TRIM(B7122)</f>
        <v>Michigan</v>
      </c>
      <c r="E7122" s="111" t="str">
        <f t="shared" si="7120"/>
        <v>Bangor</v>
      </c>
    </row>
    <row r="7123" spans="1:5">
      <c r="A7123" s="3" t="s">
        <v>16958</v>
      </c>
      <c r="B7123" s="110" t="s">
        <v>1344</v>
      </c>
      <c r="C7123" s="111" t="s">
        <v>16170</v>
      </c>
      <c r="D7123" s="111" t="str">
        <f t="shared" ref="D7123:E7123" si="7121">TRIM(B7123)</f>
        <v>Michigan</v>
      </c>
      <c r="E7123" s="111" t="str">
        <f t="shared" si="7121"/>
        <v>Bath</v>
      </c>
    </row>
    <row r="7124" spans="1:5">
      <c r="A7124" s="3" t="s">
        <v>16959</v>
      </c>
      <c r="B7124" s="110" t="s">
        <v>1344</v>
      </c>
      <c r="C7124" s="111" t="s">
        <v>16960</v>
      </c>
      <c r="D7124" s="111" t="str">
        <f t="shared" ref="D7124:E7124" si="7122">TRIM(B7124)</f>
        <v>Michigan</v>
      </c>
      <c r="E7124" s="111" t="str">
        <f t="shared" si="7122"/>
        <v>Battle Creek</v>
      </c>
    </row>
    <row r="7125" spans="1:5">
      <c r="A7125" s="3" t="s">
        <v>16961</v>
      </c>
      <c r="B7125" s="110" t="s">
        <v>1344</v>
      </c>
      <c r="C7125" s="111" t="s">
        <v>16960</v>
      </c>
      <c r="D7125" s="111" t="str">
        <f t="shared" ref="D7125:E7125" si="7123">TRIM(B7125)</f>
        <v>Michigan</v>
      </c>
      <c r="E7125" s="111" t="str">
        <f t="shared" si="7123"/>
        <v>Battle Creek</v>
      </c>
    </row>
    <row r="7126" spans="1:5">
      <c r="A7126" s="3" t="s">
        <v>16962</v>
      </c>
      <c r="B7126" s="110" t="s">
        <v>1344</v>
      </c>
      <c r="C7126" s="111" t="s">
        <v>16960</v>
      </c>
      <c r="D7126" s="111" t="str">
        <f t="shared" ref="D7126:E7126" si="7124">TRIM(B7126)</f>
        <v>Michigan</v>
      </c>
      <c r="E7126" s="111" t="str">
        <f t="shared" si="7124"/>
        <v>Battle Creek</v>
      </c>
    </row>
    <row r="7127" spans="1:5">
      <c r="A7127" s="3" t="s">
        <v>16963</v>
      </c>
      <c r="B7127" s="110" t="s">
        <v>1344</v>
      </c>
      <c r="C7127" s="111" t="s">
        <v>16960</v>
      </c>
      <c r="D7127" s="111" t="str">
        <f t="shared" ref="D7127:E7127" si="7125">TRIM(B7127)</f>
        <v>Michigan</v>
      </c>
      <c r="E7127" s="111" t="str">
        <f t="shared" si="7125"/>
        <v>Battle Creek</v>
      </c>
    </row>
    <row r="7128" spans="1:5">
      <c r="A7128" s="3" t="s">
        <v>16964</v>
      </c>
      <c r="B7128" s="110" t="s">
        <v>1344</v>
      </c>
      <c r="C7128" s="111" t="s">
        <v>16960</v>
      </c>
      <c r="D7128" s="111" t="str">
        <f t="shared" ref="D7128:E7128" si="7126">TRIM(B7128)</f>
        <v>Michigan</v>
      </c>
      <c r="E7128" s="111" t="str">
        <f t="shared" si="7126"/>
        <v>Battle Creek</v>
      </c>
    </row>
    <row r="7129" spans="1:5">
      <c r="A7129" s="3" t="s">
        <v>16965</v>
      </c>
      <c r="B7129" s="110" t="s">
        <v>1344</v>
      </c>
      <c r="C7129" s="111" t="s">
        <v>11418</v>
      </c>
      <c r="D7129" s="111" t="str">
        <f t="shared" ref="D7129:E7129" si="7127">TRIM(B7129)</f>
        <v>Michigan</v>
      </c>
      <c r="E7129" s="111" t="str">
        <f t="shared" si="7127"/>
        <v>Bay City</v>
      </c>
    </row>
    <row r="7130" spans="1:5">
      <c r="A7130" s="3" t="s">
        <v>14651</v>
      </c>
      <c r="B7130" s="110" t="s">
        <v>1344</v>
      </c>
      <c r="C7130" s="111" t="s">
        <v>11418</v>
      </c>
      <c r="D7130" s="111" t="str">
        <f t="shared" ref="D7130:E7130" si="7128">TRIM(B7130)</f>
        <v>Michigan</v>
      </c>
      <c r="E7130" s="111" t="str">
        <f t="shared" si="7128"/>
        <v>Bay City</v>
      </c>
    </row>
    <row r="7131" spans="1:5">
      <c r="A7131" s="3" t="s">
        <v>11817</v>
      </c>
      <c r="B7131" s="110" t="s">
        <v>1344</v>
      </c>
      <c r="C7131" s="111" t="s">
        <v>16966</v>
      </c>
      <c r="D7131" s="111" t="str">
        <f t="shared" ref="D7131:E7131" si="7129">TRIM(B7131)</f>
        <v>Michigan</v>
      </c>
      <c r="E7131" s="111" t="str">
        <f t="shared" si="7129"/>
        <v>Bear Lake</v>
      </c>
    </row>
    <row r="7132" spans="1:5">
      <c r="A7132" s="3" t="s">
        <v>16967</v>
      </c>
      <c r="B7132" s="110" t="s">
        <v>1344</v>
      </c>
      <c r="C7132" s="111" t="s">
        <v>16968</v>
      </c>
      <c r="D7132" s="111" t="str">
        <f t="shared" ref="D7132:E7132" si="7130">TRIM(B7132)</f>
        <v>Michigan</v>
      </c>
      <c r="E7132" s="111" t="str">
        <f t="shared" si="7130"/>
        <v>Beaverton</v>
      </c>
    </row>
    <row r="7133" spans="1:5">
      <c r="A7133" s="3" t="s">
        <v>16969</v>
      </c>
      <c r="B7133" s="110" t="s">
        <v>1344</v>
      </c>
      <c r="C7133" s="112" t="s">
        <v>16970</v>
      </c>
      <c r="D7133" s="111" t="str">
        <f t="shared" ref="D7133:E7133" si="7131">TRIM(B7133)</f>
        <v>Michigan</v>
      </c>
      <c r="E7133" s="111" t="str">
        <f t="shared" si="7131"/>
        <v>Belding</v>
      </c>
    </row>
    <row r="7134" spans="1:5">
      <c r="A7134" s="3" t="s">
        <v>16971</v>
      </c>
      <c r="B7134" s="110" t="s">
        <v>1344</v>
      </c>
      <c r="C7134" s="111" t="s">
        <v>4281</v>
      </c>
      <c r="D7134" s="111" t="str">
        <f t="shared" ref="D7134:E7134" si="7132">TRIM(B7134)</f>
        <v>Michigan</v>
      </c>
      <c r="E7134" s="111" t="str">
        <f t="shared" si="7132"/>
        <v>Bellaire</v>
      </c>
    </row>
    <row r="7135" spans="1:5">
      <c r="A7135" s="3" t="s">
        <v>16972</v>
      </c>
      <c r="B7135" s="110" t="s">
        <v>1344</v>
      </c>
      <c r="C7135" s="111" t="s">
        <v>10569</v>
      </c>
      <c r="D7135" s="111" t="str">
        <f t="shared" ref="D7135:E7135" si="7133">TRIM(B7135)</f>
        <v>Michigan</v>
      </c>
      <c r="E7135" s="111" t="str">
        <f t="shared" si="7133"/>
        <v>Belleville</v>
      </c>
    </row>
    <row r="7136" spans="1:5">
      <c r="A7136" s="3" t="s">
        <v>16973</v>
      </c>
      <c r="B7136" s="110" t="s">
        <v>1344</v>
      </c>
      <c r="C7136" s="111" t="s">
        <v>14159</v>
      </c>
      <c r="D7136" s="111" t="str">
        <f t="shared" ref="D7136:E7136" si="7134">TRIM(B7136)</f>
        <v>Michigan</v>
      </c>
      <c r="E7136" s="111" t="str">
        <f t="shared" si="7134"/>
        <v>Bellevue</v>
      </c>
    </row>
    <row r="7137" spans="1:5">
      <c r="A7137" s="3" t="s">
        <v>16974</v>
      </c>
      <c r="B7137" s="110" t="s">
        <v>1344</v>
      </c>
      <c r="C7137" s="111" t="s">
        <v>2648</v>
      </c>
      <c r="D7137" s="111" t="str">
        <f t="shared" ref="D7137:E7137" si="7135">TRIM(B7137)</f>
        <v>Michigan</v>
      </c>
      <c r="E7137" s="111" t="str">
        <f t="shared" si="7135"/>
        <v>Benton Harbor</v>
      </c>
    </row>
    <row r="7138" spans="1:5">
      <c r="A7138" s="3" t="s">
        <v>16975</v>
      </c>
      <c r="B7138" s="110" t="s">
        <v>1344</v>
      </c>
      <c r="C7138" s="111" t="s">
        <v>2648</v>
      </c>
      <c r="D7138" s="111" t="str">
        <f t="shared" ref="D7138:E7138" si="7136">TRIM(B7138)</f>
        <v>Michigan</v>
      </c>
      <c r="E7138" s="111" t="str">
        <f t="shared" si="7136"/>
        <v>Benton Harbor</v>
      </c>
    </row>
    <row r="7139" spans="1:5">
      <c r="A7139" s="3" t="s">
        <v>16976</v>
      </c>
      <c r="B7139" s="110" t="s">
        <v>1344</v>
      </c>
      <c r="C7139" s="111" t="s">
        <v>16977</v>
      </c>
      <c r="D7139" s="111" t="str">
        <f t="shared" ref="D7139:E7139" si="7137">TRIM(B7139)</f>
        <v>Michigan</v>
      </c>
      <c r="E7139" s="111" t="str">
        <f t="shared" si="7137"/>
        <v>Benzonia</v>
      </c>
    </row>
    <row r="7140" spans="1:5">
      <c r="A7140" s="3" t="s">
        <v>16978</v>
      </c>
      <c r="B7140" s="110" t="s">
        <v>1344</v>
      </c>
      <c r="C7140" s="111" t="s">
        <v>16979</v>
      </c>
      <c r="D7140" s="111" t="str">
        <f t="shared" ref="D7140:E7140" si="7138">TRIM(B7140)</f>
        <v>Michigan</v>
      </c>
      <c r="E7140" s="111" t="str">
        <f t="shared" si="7138"/>
        <v>Berkley</v>
      </c>
    </row>
    <row r="7141" spans="1:5">
      <c r="A7141" s="3" t="s">
        <v>16980</v>
      </c>
      <c r="B7141" s="110" t="s">
        <v>1344</v>
      </c>
      <c r="C7141" s="111" t="s">
        <v>11421</v>
      </c>
      <c r="D7141" s="111" t="str">
        <f t="shared" ref="D7141:E7141" si="7139">TRIM(B7141)</f>
        <v>Michigan</v>
      </c>
      <c r="E7141" s="111" t="str">
        <f t="shared" si="7139"/>
        <v>Berrien Springs</v>
      </c>
    </row>
    <row r="7142" spans="1:5">
      <c r="A7142" s="3" t="s">
        <v>16981</v>
      </c>
      <c r="B7142" s="110" t="s">
        <v>1344</v>
      </c>
      <c r="C7142" s="111" t="s">
        <v>1545</v>
      </c>
      <c r="D7142" s="111" t="str">
        <f t="shared" ref="D7142:E7142" si="7140">TRIM(B7142)</f>
        <v>Michigan</v>
      </c>
      <c r="E7142" s="111" t="str">
        <f t="shared" si="7140"/>
        <v>Bessemer</v>
      </c>
    </row>
    <row r="7143" spans="1:5">
      <c r="A7143" s="3" t="s">
        <v>16982</v>
      </c>
      <c r="B7143" s="110" t="s">
        <v>1344</v>
      </c>
      <c r="C7143" s="111" t="s">
        <v>3492</v>
      </c>
      <c r="D7143" s="111" t="str">
        <f t="shared" ref="D7143:E7143" si="7141">TRIM(B7143)</f>
        <v>Michigan</v>
      </c>
      <c r="E7143" s="111" t="str">
        <f t="shared" si="7141"/>
        <v>Beverly Hills</v>
      </c>
    </row>
    <row r="7144" spans="1:5">
      <c r="A7144" s="3" t="s">
        <v>16983</v>
      </c>
      <c r="B7144" s="110" t="s">
        <v>1344</v>
      </c>
      <c r="C7144" s="111" t="s">
        <v>16984</v>
      </c>
      <c r="D7144" s="111" t="str">
        <f t="shared" ref="D7144:E7144" si="7142">TRIM(B7144)</f>
        <v>Michigan</v>
      </c>
      <c r="E7144" s="111" t="str">
        <f t="shared" si="7142"/>
        <v>Big Rapids</v>
      </c>
    </row>
    <row r="7145" spans="1:5">
      <c r="A7145" s="3" t="s">
        <v>16985</v>
      </c>
      <c r="B7145" s="110" t="s">
        <v>1344</v>
      </c>
      <c r="C7145" s="111" t="s">
        <v>16984</v>
      </c>
      <c r="D7145" s="111" t="str">
        <f t="shared" ref="D7145:E7145" si="7143">TRIM(B7145)</f>
        <v>Michigan</v>
      </c>
      <c r="E7145" s="111" t="str">
        <f t="shared" si="7143"/>
        <v>Big Rapids</v>
      </c>
    </row>
    <row r="7146" spans="1:5">
      <c r="A7146" s="3" t="s">
        <v>16986</v>
      </c>
      <c r="B7146" s="110" t="s">
        <v>1344</v>
      </c>
      <c r="C7146" s="111" t="s">
        <v>16987</v>
      </c>
      <c r="D7146" s="111" t="str">
        <f t="shared" ref="D7146:E7146" si="7144">TRIM(B7146)</f>
        <v>Michigan</v>
      </c>
      <c r="E7146" s="111" t="str">
        <f t="shared" si="7144"/>
        <v>Birch Run</v>
      </c>
    </row>
    <row r="7147" spans="1:5">
      <c r="A7147" s="3" t="s">
        <v>16988</v>
      </c>
      <c r="B7147" s="110" t="s">
        <v>1344</v>
      </c>
      <c r="C7147" s="111" t="s">
        <v>16987</v>
      </c>
      <c r="D7147" s="111" t="str">
        <f t="shared" ref="D7147:E7147" si="7145">TRIM(B7147)</f>
        <v>Michigan</v>
      </c>
      <c r="E7147" s="111" t="str">
        <f t="shared" si="7145"/>
        <v>Birch Run</v>
      </c>
    </row>
    <row r="7148" spans="1:5">
      <c r="A7148" s="3" t="s">
        <v>16989</v>
      </c>
      <c r="B7148" s="110" t="s">
        <v>1344</v>
      </c>
      <c r="C7148" s="111" t="s">
        <v>612</v>
      </c>
      <c r="D7148" s="111" t="str">
        <f t="shared" ref="D7148:E7148" si="7146">TRIM(B7148)</f>
        <v>Michigan</v>
      </c>
      <c r="E7148" s="111" t="str">
        <f t="shared" si="7146"/>
        <v>Birmingham</v>
      </c>
    </row>
    <row r="7149" spans="1:5">
      <c r="A7149" s="3" t="s">
        <v>16990</v>
      </c>
      <c r="B7149" s="110" t="s">
        <v>1344</v>
      </c>
      <c r="C7149" s="111" t="s">
        <v>16991</v>
      </c>
      <c r="D7149" s="111" t="str">
        <f t="shared" ref="D7149:E7149" si="7147">TRIM(B7149)</f>
        <v>Michigan</v>
      </c>
      <c r="E7149" s="111" t="str">
        <f t="shared" si="7147"/>
        <v>Blanchard</v>
      </c>
    </row>
    <row r="7150" spans="1:5">
      <c r="A7150" s="3" t="s">
        <v>16992</v>
      </c>
      <c r="B7150" s="110" t="s">
        <v>1344</v>
      </c>
      <c r="C7150" s="111" t="s">
        <v>16993</v>
      </c>
      <c r="D7150" s="111" t="str">
        <f t="shared" ref="D7150:E7150" si="7148">TRIM(B7150)</f>
        <v>Michigan</v>
      </c>
      <c r="E7150" s="111" t="str">
        <f t="shared" si="7148"/>
        <v>Blissfield</v>
      </c>
    </row>
    <row r="7151" spans="1:5">
      <c r="A7151" s="3" t="s">
        <v>16994</v>
      </c>
      <c r="B7151" s="110" t="s">
        <v>1344</v>
      </c>
      <c r="C7151" s="111" t="s">
        <v>11424</v>
      </c>
      <c r="D7151" s="111" t="str">
        <f t="shared" ref="D7151:E7151" si="7149">TRIM(B7151)</f>
        <v>Michigan</v>
      </c>
      <c r="E7151" s="111" t="str">
        <f t="shared" si="7149"/>
        <v>Bloomfield Hills</v>
      </c>
    </row>
    <row r="7152" spans="1:5">
      <c r="A7152" s="3" t="s">
        <v>16995</v>
      </c>
      <c r="B7152" s="110" t="s">
        <v>1344</v>
      </c>
      <c r="C7152" s="113" t="s">
        <v>11415</v>
      </c>
      <c r="D7152" s="111" t="str">
        <f t="shared" ref="D7152:E7152" si="7150">TRIM(B7152)</f>
        <v>Michigan</v>
      </c>
      <c r="E7152" s="111" t="str">
        <f t="shared" si="7150"/>
        <v>Bloomfield Township</v>
      </c>
    </row>
    <row r="7153" spans="1:5">
      <c r="A7153" s="3" t="s">
        <v>16996</v>
      </c>
      <c r="B7153" s="110" t="s">
        <v>1344</v>
      </c>
      <c r="C7153" s="111" t="s">
        <v>10440</v>
      </c>
      <c r="D7153" s="111" t="str">
        <f t="shared" ref="D7153:E7153" si="7151">TRIM(B7153)</f>
        <v>Michigan</v>
      </c>
      <c r="E7153" s="111" t="str">
        <f t="shared" si="7151"/>
        <v>Bloomingdale</v>
      </c>
    </row>
    <row r="7154" spans="1:5">
      <c r="A7154" s="3" t="s">
        <v>16997</v>
      </c>
      <c r="B7154" s="110" t="s">
        <v>1344</v>
      </c>
      <c r="C7154" s="111" t="s">
        <v>16998</v>
      </c>
      <c r="D7154" s="111" t="str">
        <f t="shared" ref="D7154:E7154" si="7152">TRIM(B7154)</f>
        <v>Michigan</v>
      </c>
      <c r="E7154" s="111" t="str">
        <f t="shared" si="7152"/>
        <v>Boyne City</v>
      </c>
    </row>
    <row r="7155" spans="1:5">
      <c r="A7155" s="3" t="s">
        <v>16999</v>
      </c>
      <c r="B7155" s="110" t="s">
        <v>1344</v>
      </c>
      <c r="C7155" s="111" t="s">
        <v>17000</v>
      </c>
      <c r="D7155" s="111" t="str">
        <f t="shared" ref="D7155:E7155" si="7153">TRIM(B7155)</f>
        <v>Michigan</v>
      </c>
      <c r="E7155" s="111" t="str">
        <f t="shared" si="7153"/>
        <v>Breckenridge</v>
      </c>
    </row>
    <row r="7156" spans="1:5">
      <c r="A7156" s="3" t="s">
        <v>17001</v>
      </c>
      <c r="B7156" s="110" t="s">
        <v>1344</v>
      </c>
      <c r="C7156" s="111" t="s">
        <v>17002</v>
      </c>
      <c r="D7156" s="111" t="str">
        <f t="shared" ref="D7156:E7156" si="7154">TRIM(B7156)</f>
        <v>Michigan</v>
      </c>
      <c r="E7156" s="111" t="str">
        <f t="shared" si="7154"/>
        <v>Brethren</v>
      </c>
    </row>
    <row r="7157" spans="1:5">
      <c r="A7157" s="3" t="s">
        <v>17003</v>
      </c>
      <c r="B7157" s="110" t="s">
        <v>1344</v>
      </c>
      <c r="C7157" s="111" t="s">
        <v>3478</v>
      </c>
      <c r="D7157" s="111" t="str">
        <f t="shared" ref="D7157:E7157" si="7155">TRIM(B7157)</f>
        <v>Michigan</v>
      </c>
      <c r="E7157" s="111" t="str">
        <f t="shared" si="7155"/>
        <v>Bridgeport</v>
      </c>
    </row>
    <row r="7158" spans="1:5">
      <c r="A7158" s="3" t="s">
        <v>17004</v>
      </c>
      <c r="B7158" s="110" t="s">
        <v>1344</v>
      </c>
      <c r="C7158" s="111" t="s">
        <v>17005</v>
      </c>
      <c r="D7158" s="111" t="str">
        <f t="shared" ref="D7158:E7158" si="7156">TRIM(B7158)</f>
        <v>Michigan</v>
      </c>
      <c r="E7158" s="111" t="str">
        <f t="shared" si="7156"/>
        <v>Bridgman</v>
      </c>
    </row>
    <row r="7159" spans="1:5">
      <c r="A7159" s="3" t="s">
        <v>7648</v>
      </c>
      <c r="B7159" s="110" t="s">
        <v>1344</v>
      </c>
      <c r="C7159" s="111" t="s">
        <v>7645</v>
      </c>
      <c r="D7159" s="111" t="str">
        <f t="shared" ref="D7159:E7159" si="7157">TRIM(B7159)</f>
        <v>Michigan</v>
      </c>
      <c r="E7159" s="111" t="str">
        <f t="shared" si="7157"/>
        <v>Brighton</v>
      </c>
    </row>
    <row r="7160" spans="1:5">
      <c r="A7160" s="3" t="s">
        <v>17006</v>
      </c>
      <c r="B7160" s="110" t="s">
        <v>1344</v>
      </c>
      <c r="C7160" s="111" t="s">
        <v>7645</v>
      </c>
      <c r="D7160" s="111" t="str">
        <f t="shared" ref="D7160:E7160" si="7158">TRIM(B7160)</f>
        <v>Michigan</v>
      </c>
      <c r="E7160" s="111" t="str">
        <f t="shared" si="7158"/>
        <v>Brighton</v>
      </c>
    </row>
    <row r="7161" spans="1:5">
      <c r="A7161" s="3" t="s">
        <v>17007</v>
      </c>
      <c r="B7161" s="110" t="s">
        <v>1344</v>
      </c>
      <c r="C7161" s="111" t="s">
        <v>7645</v>
      </c>
      <c r="D7161" s="111" t="str">
        <f t="shared" ref="D7161:E7161" si="7159">TRIM(B7161)</f>
        <v>Michigan</v>
      </c>
      <c r="E7161" s="111" t="str">
        <f t="shared" si="7159"/>
        <v>Brighton</v>
      </c>
    </row>
    <row r="7162" spans="1:5">
      <c r="A7162" s="3" t="s">
        <v>17008</v>
      </c>
      <c r="B7162" s="110" t="s">
        <v>1344</v>
      </c>
      <c r="C7162" s="111" t="s">
        <v>9013</v>
      </c>
      <c r="D7162" s="111" t="str">
        <f t="shared" ref="D7162:E7162" si="7160">TRIM(B7162)</f>
        <v>Michigan</v>
      </c>
      <c r="E7162" s="111" t="str">
        <f t="shared" si="7160"/>
        <v>Bronson</v>
      </c>
    </row>
    <row r="7163" spans="1:5">
      <c r="A7163" s="3" t="s">
        <v>17009</v>
      </c>
      <c r="B7163" s="110" t="s">
        <v>1344</v>
      </c>
      <c r="C7163" s="111" t="s">
        <v>326</v>
      </c>
      <c r="D7163" s="111" t="str">
        <f t="shared" ref="D7163:E7163" si="7161">TRIM(B7163)</f>
        <v>Michigan</v>
      </c>
      <c r="E7163" s="111" t="str">
        <f t="shared" si="7161"/>
        <v>Brooklyn</v>
      </c>
    </row>
    <row r="7164" spans="1:5">
      <c r="A7164" s="3" t="s">
        <v>17010</v>
      </c>
      <c r="B7164" s="110" t="s">
        <v>1344</v>
      </c>
      <c r="C7164" s="111" t="s">
        <v>17011</v>
      </c>
      <c r="D7164" s="111" t="str">
        <f t="shared" ref="D7164:E7164" si="7162">TRIM(B7164)</f>
        <v>Michigan</v>
      </c>
      <c r="E7164" s="111" t="str">
        <f t="shared" si="7162"/>
        <v>Brown City</v>
      </c>
    </row>
    <row r="7165" spans="1:5">
      <c r="A7165" s="3" t="s">
        <v>4701</v>
      </c>
      <c r="B7165" s="110" t="s">
        <v>1344</v>
      </c>
      <c r="C7165" s="111" t="s">
        <v>17012</v>
      </c>
      <c r="D7165" s="111" t="str">
        <f t="shared" ref="D7165:E7165" si="7163">TRIM(B7165)</f>
        <v>Michigan</v>
      </c>
      <c r="E7165" s="111" t="str">
        <f t="shared" si="7163"/>
        <v>Buchanan</v>
      </c>
    </row>
    <row r="7166" spans="1:5">
      <c r="A7166" s="3" t="s">
        <v>17013</v>
      </c>
      <c r="B7166" s="110" t="s">
        <v>1344</v>
      </c>
      <c r="C7166" s="111" t="s">
        <v>17014</v>
      </c>
      <c r="D7166" s="111" t="str">
        <f t="shared" ref="D7166:E7166" si="7164">TRIM(B7166)</f>
        <v>Michigan</v>
      </c>
      <c r="E7166" s="111" t="str">
        <f t="shared" si="7164"/>
        <v>Burr Oak</v>
      </c>
    </row>
    <row r="7167" spans="1:5">
      <c r="A7167" s="3" t="s">
        <v>17015</v>
      </c>
      <c r="B7167" s="110" t="s">
        <v>1344</v>
      </c>
      <c r="C7167" s="111" t="s">
        <v>11495</v>
      </c>
      <c r="D7167" s="111" t="str">
        <f t="shared" ref="D7167:E7167" si="7165">TRIM(B7167)</f>
        <v>Michigan</v>
      </c>
      <c r="E7167" s="111" t="str">
        <f t="shared" si="7165"/>
        <v>Burton</v>
      </c>
    </row>
    <row r="7168" spans="1:5">
      <c r="A7168" s="3" t="s">
        <v>17016</v>
      </c>
      <c r="B7168" s="110" t="s">
        <v>1344</v>
      </c>
      <c r="C7168" s="111" t="s">
        <v>11495</v>
      </c>
      <c r="D7168" s="111" t="str">
        <f t="shared" ref="D7168:E7168" si="7166">TRIM(B7168)</f>
        <v>Michigan</v>
      </c>
      <c r="E7168" s="111" t="str">
        <f t="shared" si="7166"/>
        <v>Burton</v>
      </c>
    </row>
    <row r="7169" spans="1:5">
      <c r="A7169" s="3" t="s">
        <v>17017</v>
      </c>
      <c r="B7169" s="110" t="s">
        <v>1344</v>
      </c>
      <c r="C7169" s="111" t="s">
        <v>11495</v>
      </c>
      <c r="D7169" s="111" t="str">
        <f t="shared" ref="D7169:E7169" si="7167">TRIM(B7169)</f>
        <v>Michigan</v>
      </c>
      <c r="E7169" s="111" t="str">
        <f t="shared" si="7167"/>
        <v>Burton</v>
      </c>
    </row>
    <row r="7170" spans="1:5">
      <c r="A7170" s="3" t="s">
        <v>17018</v>
      </c>
      <c r="B7170" s="110" t="s">
        <v>1344</v>
      </c>
      <c r="C7170" s="111" t="s">
        <v>11495</v>
      </c>
      <c r="D7170" s="111" t="str">
        <f t="shared" ref="D7170:E7170" si="7168">TRIM(B7170)</f>
        <v>Michigan</v>
      </c>
      <c r="E7170" s="111" t="str">
        <f t="shared" si="7168"/>
        <v>Burton</v>
      </c>
    </row>
    <row r="7171" spans="1:5">
      <c r="A7171" s="3" t="s">
        <v>17019</v>
      </c>
      <c r="B7171" s="110" t="s">
        <v>1344</v>
      </c>
      <c r="C7171" s="111" t="s">
        <v>12142</v>
      </c>
      <c r="D7171" s="111" t="str">
        <f t="shared" ref="D7171:E7171" si="7169">TRIM(B7171)</f>
        <v>Michigan</v>
      </c>
      <c r="E7171" s="111" t="str">
        <f t="shared" si="7169"/>
        <v>Byron</v>
      </c>
    </row>
    <row r="7172" spans="1:5">
      <c r="A7172" s="3" t="s">
        <v>17020</v>
      </c>
      <c r="B7172" s="110" t="s">
        <v>1344</v>
      </c>
      <c r="C7172" s="111" t="s">
        <v>17021</v>
      </c>
      <c r="D7172" s="111" t="str">
        <f t="shared" ref="D7172:E7172" si="7170">TRIM(B7172)</f>
        <v>Michigan</v>
      </c>
      <c r="E7172" s="111" t="str">
        <f t="shared" si="7170"/>
        <v>Byron Center</v>
      </c>
    </row>
    <row r="7173" spans="1:5">
      <c r="A7173" s="3" t="s">
        <v>17022</v>
      </c>
      <c r="B7173" s="110" t="s">
        <v>1344</v>
      </c>
      <c r="C7173" s="111" t="s">
        <v>17023</v>
      </c>
      <c r="D7173" s="111" t="str">
        <f t="shared" ref="D7173:E7173" si="7171">TRIM(B7173)</f>
        <v>Michigan</v>
      </c>
      <c r="E7173" s="111" t="str">
        <f t="shared" si="7171"/>
        <v>Cadillac</v>
      </c>
    </row>
    <row r="7174" spans="1:5">
      <c r="A7174" s="3" t="s">
        <v>17024</v>
      </c>
      <c r="B7174" s="110" t="s">
        <v>1344</v>
      </c>
      <c r="C7174" s="111" t="s">
        <v>2063</v>
      </c>
      <c r="D7174" s="111" t="str">
        <f t="shared" ref="D7174:E7174" si="7172">TRIM(B7174)</f>
        <v>Michigan</v>
      </c>
      <c r="E7174" s="111" t="str">
        <f t="shared" si="7172"/>
        <v>Caledonia</v>
      </c>
    </row>
    <row r="7175" spans="1:5">
      <c r="A7175" s="3" t="s">
        <v>17025</v>
      </c>
      <c r="B7175" s="110" t="s">
        <v>1344</v>
      </c>
      <c r="C7175" s="111" t="s">
        <v>17026</v>
      </c>
      <c r="D7175" s="111" t="str">
        <f t="shared" ref="D7175:E7175" si="7173">TRIM(B7175)</f>
        <v>Michigan</v>
      </c>
      <c r="E7175" s="111" t="str">
        <f t="shared" si="7173"/>
        <v>Calumet</v>
      </c>
    </row>
    <row r="7176" spans="1:5">
      <c r="A7176" s="3" t="s">
        <v>17027</v>
      </c>
      <c r="B7176" s="110" t="s">
        <v>1344</v>
      </c>
      <c r="C7176" s="111" t="s">
        <v>773</v>
      </c>
      <c r="D7176" s="111" t="str">
        <f t="shared" ref="D7176:E7176" si="7174">TRIM(B7176)</f>
        <v>Michigan</v>
      </c>
      <c r="E7176" s="111" t="str">
        <f t="shared" si="7174"/>
        <v>Camden</v>
      </c>
    </row>
    <row r="7177" spans="1:5">
      <c r="A7177" s="3" t="s">
        <v>8378</v>
      </c>
      <c r="B7177" s="110" t="s">
        <v>1344</v>
      </c>
      <c r="C7177" s="111" t="s">
        <v>1205</v>
      </c>
      <c r="D7177" s="111" t="str">
        <f t="shared" ref="D7177:E7177" si="7175">TRIM(B7177)</f>
        <v>Michigan</v>
      </c>
      <c r="E7177" s="111" t="str">
        <f t="shared" si="7175"/>
        <v>Canton</v>
      </c>
    </row>
    <row r="7178" spans="1:5">
      <c r="A7178" s="3" t="s">
        <v>17028</v>
      </c>
      <c r="B7178" s="110" t="s">
        <v>1344</v>
      </c>
      <c r="C7178" s="111" t="s">
        <v>1205</v>
      </c>
      <c r="D7178" s="111" t="str">
        <f t="shared" ref="D7178:E7178" si="7176">TRIM(B7178)</f>
        <v>Michigan</v>
      </c>
      <c r="E7178" s="111" t="str">
        <f t="shared" si="7176"/>
        <v>Canton</v>
      </c>
    </row>
    <row r="7179" spans="1:5">
      <c r="A7179" s="3" t="s">
        <v>14558</v>
      </c>
      <c r="B7179" s="110" t="s">
        <v>1344</v>
      </c>
      <c r="C7179" s="111" t="s">
        <v>1205</v>
      </c>
      <c r="D7179" s="111" t="str">
        <f t="shared" ref="D7179:E7179" si="7177">TRIM(B7179)</f>
        <v>Michigan</v>
      </c>
      <c r="E7179" s="111" t="str">
        <f t="shared" si="7177"/>
        <v>Canton</v>
      </c>
    </row>
    <row r="7180" spans="1:5">
      <c r="A7180" s="3" t="s">
        <v>4178</v>
      </c>
      <c r="B7180" s="110" t="s">
        <v>1344</v>
      </c>
      <c r="C7180" s="111" t="s">
        <v>1205</v>
      </c>
      <c r="D7180" s="111" t="str">
        <f t="shared" ref="D7180:E7180" si="7178">TRIM(B7180)</f>
        <v>Michigan</v>
      </c>
      <c r="E7180" s="111" t="str">
        <f t="shared" si="7178"/>
        <v>Canton</v>
      </c>
    </row>
    <row r="7181" spans="1:5">
      <c r="A7181" s="3" t="s">
        <v>17029</v>
      </c>
      <c r="B7181" s="110" t="s">
        <v>1344</v>
      </c>
      <c r="C7181" s="111" t="s">
        <v>17030</v>
      </c>
      <c r="D7181" s="111" t="str">
        <f t="shared" ref="D7181:E7181" si="7179">TRIM(B7181)</f>
        <v>Michigan</v>
      </c>
      <c r="E7181" s="111" t="str">
        <f t="shared" si="7179"/>
        <v>Capac</v>
      </c>
    </row>
    <row r="7182" spans="1:5">
      <c r="A7182" s="110" t="s">
        <v>17031</v>
      </c>
      <c r="B7182" s="110" t="s">
        <v>1344</v>
      </c>
      <c r="C7182" s="111" t="s">
        <v>17032</v>
      </c>
      <c r="D7182" s="111" t="str">
        <f t="shared" ref="D7182:E7182" si="7180">TRIM(B7182)</f>
        <v>Michigan</v>
      </c>
      <c r="E7182" s="111" t="str">
        <f t="shared" si="7180"/>
        <v>Carleton</v>
      </c>
    </row>
    <row r="7183" spans="1:5">
      <c r="A7183" s="3" t="s">
        <v>17033</v>
      </c>
      <c r="B7183" s="110" t="s">
        <v>1344</v>
      </c>
      <c r="C7183" s="111" t="s">
        <v>17032</v>
      </c>
      <c r="D7183" s="111" t="str">
        <f t="shared" ref="D7183:E7183" si="7181">TRIM(B7183)</f>
        <v>Michigan</v>
      </c>
      <c r="E7183" s="111" t="str">
        <f t="shared" si="7181"/>
        <v>Carleton</v>
      </c>
    </row>
    <row r="7184" spans="1:5">
      <c r="A7184" s="3" t="s">
        <v>17034</v>
      </c>
      <c r="B7184" s="110" t="s">
        <v>1344</v>
      </c>
      <c r="C7184" s="111" t="s">
        <v>17035</v>
      </c>
      <c r="D7184" s="111" t="str">
        <f t="shared" ref="D7184:E7184" si="7182">TRIM(B7184)</f>
        <v>Michigan</v>
      </c>
      <c r="E7184" s="111" t="str">
        <f t="shared" si="7182"/>
        <v>Caro</v>
      </c>
    </row>
    <row r="7185" spans="1:5">
      <c r="A7185" s="3" t="s">
        <v>17036</v>
      </c>
      <c r="B7185" s="110" t="s">
        <v>1344</v>
      </c>
      <c r="C7185" s="111" t="s">
        <v>11446</v>
      </c>
      <c r="D7185" s="111" t="str">
        <f t="shared" ref="D7185:E7185" si="7183">TRIM(B7185)</f>
        <v>Michigan</v>
      </c>
      <c r="E7185" s="111" t="str">
        <f t="shared" si="7183"/>
        <v>Carson City</v>
      </c>
    </row>
    <row r="7186" spans="1:5">
      <c r="A7186" s="3" t="s">
        <v>17037</v>
      </c>
      <c r="B7186" s="110" t="s">
        <v>1344</v>
      </c>
      <c r="C7186" s="111" t="s">
        <v>17038</v>
      </c>
      <c r="D7186" s="111" t="str">
        <f t="shared" ref="D7186:E7186" si="7184">TRIM(B7186)</f>
        <v>Michigan</v>
      </c>
      <c r="E7186" s="111" t="str">
        <f t="shared" si="7184"/>
        <v>Carsonville</v>
      </c>
    </row>
    <row r="7187" spans="1:5">
      <c r="A7187" s="3" t="s">
        <v>17039</v>
      </c>
      <c r="B7187" s="110" t="s">
        <v>1344</v>
      </c>
      <c r="C7187" s="111" t="s">
        <v>17040</v>
      </c>
      <c r="D7187" s="111" t="str">
        <f t="shared" ref="D7187:E7187" si="7185">TRIM(B7187)</f>
        <v>Michigan</v>
      </c>
      <c r="E7187" s="111" t="str">
        <f t="shared" si="7185"/>
        <v>Cass City</v>
      </c>
    </row>
    <row r="7188" spans="1:5">
      <c r="A7188" s="3" t="s">
        <v>17041</v>
      </c>
      <c r="B7188" s="110" t="s">
        <v>1344</v>
      </c>
      <c r="C7188" s="111" t="s">
        <v>17042</v>
      </c>
      <c r="D7188" s="111" t="str">
        <f t="shared" ref="D7188:E7188" si="7186">TRIM(B7188)</f>
        <v>Michigan</v>
      </c>
      <c r="E7188" s="111" t="str">
        <f t="shared" si="7186"/>
        <v>Cassopolis</v>
      </c>
    </row>
    <row r="7189" spans="1:5">
      <c r="A7189" s="3" t="s">
        <v>17043</v>
      </c>
      <c r="B7189" s="110" t="s">
        <v>1344</v>
      </c>
      <c r="C7189" s="111" t="s">
        <v>17044</v>
      </c>
      <c r="D7189" s="111" t="str">
        <f t="shared" ref="D7189:E7189" si="7187">TRIM(B7189)</f>
        <v>Michigan</v>
      </c>
      <c r="E7189" s="111" t="str">
        <f t="shared" si="7187"/>
        <v>Cedar Springs</v>
      </c>
    </row>
    <row r="7190" spans="1:5">
      <c r="A7190" s="3" t="s">
        <v>17045</v>
      </c>
      <c r="B7190" s="110" t="s">
        <v>1344</v>
      </c>
      <c r="C7190" s="111" t="s">
        <v>17046</v>
      </c>
      <c r="D7190" s="111" t="str">
        <f t="shared" ref="D7190:E7190" si="7188">TRIM(B7190)</f>
        <v>Michigan</v>
      </c>
      <c r="E7190" s="111" t="str">
        <f t="shared" si="7188"/>
        <v>Center Line</v>
      </c>
    </row>
    <row r="7191" spans="1:5">
      <c r="A7191" s="3" t="s">
        <v>17047</v>
      </c>
      <c r="B7191" s="110" t="s">
        <v>1344</v>
      </c>
      <c r="C7191" s="111" t="s">
        <v>17046</v>
      </c>
      <c r="D7191" s="111" t="str">
        <f t="shared" ref="D7191:E7191" si="7189">TRIM(B7191)</f>
        <v>Michigan</v>
      </c>
      <c r="E7191" s="111" t="str">
        <f t="shared" si="7189"/>
        <v>Center Line</v>
      </c>
    </row>
    <row r="7192" spans="1:5">
      <c r="A7192" s="3" t="s">
        <v>17048</v>
      </c>
      <c r="B7192" s="110" t="s">
        <v>1344</v>
      </c>
      <c r="C7192" s="111" t="s">
        <v>1619</v>
      </c>
      <c r="D7192" s="111" t="str">
        <f t="shared" ref="D7192:E7192" si="7190">TRIM(B7192)</f>
        <v>Michigan</v>
      </c>
      <c r="E7192" s="111" t="str">
        <f t="shared" si="7190"/>
        <v>Centreville</v>
      </c>
    </row>
    <row r="7193" spans="1:5">
      <c r="A7193" s="3" t="s">
        <v>17049</v>
      </c>
      <c r="B7193" s="110" t="s">
        <v>1344</v>
      </c>
      <c r="C7193" s="111" t="s">
        <v>8493</v>
      </c>
      <c r="D7193" s="111" t="str">
        <f t="shared" ref="D7193:E7193" si="7191">TRIM(B7193)</f>
        <v>Michigan</v>
      </c>
      <c r="E7193" s="111" t="str">
        <f t="shared" si="7191"/>
        <v>Charlevoix</v>
      </c>
    </row>
    <row r="7194" spans="1:5">
      <c r="A7194" s="110" t="s">
        <v>17050</v>
      </c>
      <c r="B7194" s="110" t="s">
        <v>1344</v>
      </c>
      <c r="C7194" s="111" t="s">
        <v>283</v>
      </c>
      <c r="D7194" s="111" t="str">
        <f t="shared" ref="D7194:E7194" si="7192">TRIM(B7194)</f>
        <v>Michigan</v>
      </c>
      <c r="E7194" s="111" t="str">
        <f t="shared" si="7192"/>
        <v>Charlotte</v>
      </c>
    </row>
    <row r="7195" spans="1:5">
      <c r="A7195" s="3" t="s">
        <v>17051</v>
      </c>
      <c r="B7195" s="110" t="s">
        <v>1344</v>
      </c>
      <c r="C7195" s="111" t="s">
        <v>283</v>
      </c>
      <c r="D7195" s="111" t="str">
        <f t="shared" ref="D7195:E7195" si="7193">TRIM(B7195)</f>
        <v>Michigan</v>
      </c>
      <c r="E7195" s="111" t="str">
        <f t="shared" si="7193"/>
        <v>Charlotte</v>
      </c>
    </row>
    <row r="7196" spans="1:5">
      <c r="A7196" s="3" t="s">
        <v>17052</v>
      </c>
      <c r="B7196" s="110" t="s">
        <v>1344</v>
      </c>
      <c r="C7196" s="111" t="s">
        <v>17053</v>
      </c>
      <c r="D7196" s="111" t="str">
        <f t="shared" ref="D7196:E7196" si="7194">TRIM(B7196)</f>
        <v>Michigan</v>
      </c>
      <c r="E7196" s="111" t="str">
        <f t="shared" si="7194"/>
        <v>Cheboygan</v>
      </c>
    </row>
    <row r="7197" spans="1:5">
      <c r="A7197" s="3" t="s">
        <v>1622</v>
      </c>
      <c r="B7197" s="110" t="s">
        <v>1344</v>
      </c>
      <c r="C7197" s="111" t="s">
        <v>1624</v>
      </c>
      <c r="D7197" s="111" t="str">
        <f t="shared" ref="D7197:E7197" si="7195">TRIM(B7197)</f>
        <v>Michigan</v>
      </c>
      <c r="E7197" s="111" t="str">
        <f t="shared" si="7195"/>
        <v>Chelsea</v>
      </c>
    </row>
    <row r="7198" spans="1:5">
      <c r="A7198" s="3" t="s">
        <v>17054</v>
      </c>
      <c r="B7198" s="110" t="s">
        <v>1344</v>
      </c>
      <c r="C7198" s="111" t="s">
        <v>17055</v>
      </c>
      <c r="D7198" s="111" t="str">
        <f t="shared" ref="D7198:E7198" si="7196">TRIM(B7198)</f>
        <v>Michigan</v>
      </c>
      <c r="E7198" s="111" t="str">
        <f t="shared" si="7196"/>
        <v>Chesaning</v>
      </c>
    </row>
    <row r="7199" spans="1:5">
      <c r="A7199" s="3" t="s">
        <v>17056</v>
      </c>
      <c r="B7199" s="110" t="s">
        <v>1344</v>
      </c>
      <c r="C7199" s="111" t="s">
        <v>17057</v>
      </c>
      <c r="D7199" s="111" t="str">
        <f t="shared" ref="D7199:E7199" si="7197">TRIM(B7199)</f>
        <v>Michigan</v>
      </c>
      <c r="E7199" s="111" t="str">
        <f t="shared" si="7197"/>
        <v>Clare</v>
      </c>
    </row>
    <row r="7200" spans="1:5">
      <c r="A7200" s="3" t="s">
        <v>10536</v>
      </c>
      <c r="B7200" s="110" t="s">
        <v>1344</v>
      </c>
      <c r="C7200" s="111" t="s">
        <v>1285</v>
      </c>
      <c r="D7200" s="111" t="str">
        <f t="shared" ref="D7200:E7200" si="7198">TRIM(B7200)</f>
        <v>Michigan</v>
      </c>
      <c r="E7200" s="111" t="str">
        <f t="shared" si="7198"/>
        <v>Clarkston</v>
      </c>
    </row>
    <row r="7201" spans="1:5">
      <c r="A7201" s="3" t="s">
        <v>17058</v>
      </c>
      <c r="B7201" s="110" t="s">
        <v>1344</v>
      </c>
      <c r="C7201" s="111" t="s">
        <v>17059</v>
      </c>
      <c r="D7201" s="111" t="str">
        <f t="shared" ref="D7201:E7201" si="7199">TRIM(B7201)</f>
        <v>Michigan</v>
      </c>
      <c r="E7201" s="111" t="str">
        <f t="shared" si="7199"/>
        <v>Clawson</v>
      </c>
    </row>
    <row r="7202" spans="1:5">
      <c r="A7202" s="3" t="s">
        <v>17060</v>
      </c>
      <c r="B7202" s="110" t="s">
        <v>1344</v>
      </c>
      <c r="C7202" s="111" t="s">
        <v>17061</v>
      </c>
      <c r="D7202" s="111" t="str">
        <f t="shared" ref="D7202:E7202" si="7200">TRIM(B7202)</f>
        <v>Michigan</v>
      </c>
      <c r="E7202" s="111" t="str">
        <f t="shared" si="7200"/>
        <v>Clay</v>
      </c>
    </row>
    <row r="7203" spans="1:5">
      <c r="A7203" s="110" t="s">
        <v>17062</v>
      </c>
      <c r="B7203" s="110" t="s">
        <v>1344</v>
      </c>
      <c r="C7203" s="111" t="s">
        <v>17061</v>
      </c>
      <c r="D7203" s="111" t="str">
        <f t="shared" ref="D7203:E7203" si="7201">TRIM(B7203)</f>
        <v>Michigan</v>
      </c>
      <c r="E7203" s="111" t="str">
        <f t="shared" si="7201"/>
        <v>Clay</v>
      </c>
    </row>
    <row r="7204" spans="1:5">
      <c r="A7204" s="3" t="s">
        <v>17063</v>
      </c>
      <c r="B7204" s="110" t="s">
        <v>1344</v>
      </c>
      <c r="C7204" s="111" t="s">
        <v>17064</v>
      </c>
      <c r="D7204" s="111" t="str">
        <f t="shared" ref="D7204:E7204" si="7202">TRIM(B7204)</f>
        <v>Michigan</v>
      </c>
      <c r="E7204" s="111" t="str">
        <f t="shared" si="7202"/>
        <v>Climax</v>
      </c>
    </row>
    <row r="7205" spans="1:5">
      <c r="A7205" s="3" t="s">
        <v>3695</v>
      </c>
      <c r="B7205" s="110" t="s">
        <v>1344</v>
      </c>
      <c r="C7205" s="111" t="s">
        <v>3697</v>
      </c>
      <c r="D7205" s="111" t="str">
        <f t="shared" ref="D7205:E7205" si="7203">TRIM(B7205)</f>
        <v>Michigan</v>
      </c>
      <c r="E7205" s="111" t="str">
        <f t="shared" si="7203"/>
        <v>Clinton</v>
      </c>
    </row>
    <row r="7206" spans="1:5">
      <c r="A7206" s="3" t="s">
        <v>17065</v>
      </c>
      <c r="B7206" s="110" t="s">
        <v>1344</v>
      </c>
      <c r="C7206" s="111" t="s">
        <v>17066</v>
      </c>
      <c r="D7206" s="111" t="str">
        <f t="shared" ref="D7206:E7206" si="7204">TRIM(B7206)</f>
        <v>Michigan</v>
      </c>
      <c r="E7206" s="111" t="str">
        <f t="shared" si="7204"/>
        <v>Clinton Township</v>
      </c>
    </row>
    <row r="7207" spans="1:5">
      <c r="A7207" s="3" t="s">
        <v>17067</v>
      </c>
      <c r="B7207" s="110" t="s">
        <v>1344</v>
      </c>
      <c r="C7207" s="111" t="s">
        <v>17068</v>
      </c>
      <c r="D7207" s="111" t="str">
        <f t="shared" ref="D7207:E7207" si="7205">TRIM(B7207)</f>
        <v>Michigan</v>
      </c>
      <c r="E7207" s="111" t="str">
        <f t="shared" si="7205"/>
        <v>Clinton Twp</v>
      </c>
    </row>
    <row r="7208" spans="1:5">
      <c r="A7208" s="3" t="s">
        <v>17069</v>
      </c>
      <c r="B7208" s="110" t="s">
        <v>1344</v>
      </c>
      <c r="C7208" s="111" t="s">
        <v>17068</v>
      </c>
      <c r="D7208" s="111" t="str">
        <f t="shared" ref="D7208:E7208" si="7206">TRIM(B7208)</f>
        <v>Michigan</v>
      </c>
      <c r="E7208" s="111" t="str">
        <f t="shared" si="7206"/>
        <v>Clinton Twp</v>
      </c>
    </row>
    <row r="7209" spans="1:5">
      <c r="A7209" s="3" t="s">
        <v>17070</v>
      </c>
      <c r="B7209" s="110" t="s">
        <v>1344</v>
      </c>
      <c r="C7209" s="111" t="s">
        <v>17071</v>
      </c>
      <c r="D7209" s="111" t="str">
        <f t="shared" ref="D7209:E7209" si="7207">TRIM(B7209)</f>
        <v>Michigan</v>
      </c>
      <c r="E7209" s="111" t="str">
        <f t="shared" si="7207"/>
        <v>Clio</v>
      </c>
    </row>
    <row r="7210" spans="1:5">
      <c r="A7210" s="3" t="s">
        <v>17072</v>
      </c>
      <c r="B7210" s="110" t="s">
        <v>1344</v>
      </c>
      <c r="C7210" s="111" t="s">
        <v>15231</v>
      </c>
      <c r="D7210" s="111" t="str">
        <f t="shared" ref="D7210:E7210" si="7208">TRIM(B7210)</f>
        <v>Michigan</v>
      </c>
      <c r="E7210" s="111" t="str">
        <f t="shared" si="7208"/>
        <v>Coldwater</v>
      </c>
    </row>
    <row r="7211" spans="1:5">
      <c r="A7211" s="3" t="s">
        <v>17073</v>
      </c>
      <c r="B7211" s="110" t="s">
        <v>1344</v>
      </c>
      <c r="C7211" s="111" t="s">
        <v>17074</v>
      </c>
      <c r="D7211" s="111" t="str">
        <f t="shared" ref="D7211:E7211" si="7209">TRIM(B7211)</f>
        <v>Michigan</v>
      </c>
      <c r="E7211" s="111" t="str">
        <f t="shared" si="7209"/>
        <v>Coleman</v>
      </c>
    </row>
    <row r="7212" spans="1:5">
      <c r="A7212" s="3" t="s">
        <v>17075</v>
      </c>
      <c r="B7212" s="110" t="s">
        <v>1344</v>
      </c>
      <c r="C7212" s="111" t="s">
        <v>17076</v>
      </c>
      <c r="D7212" s="111" t="str">
        <f t="shared" ref="D7212:E7212" si="7210">TRIM(B7212)</f>
        <v>Michigan</v>
      </c>
      <c r="E7212" s="111" t="str">
        <f t="shared" si="7210"/>
        <v>Coloma</v>
      </c>
    </row>
    <row r="7213" spans="1:5">
      <c r="A7213" s="3" t="s">
        <v>17077</v>
      </c>
      <c r="B7213" s="110" t="s">
        <v>1344</v>
      </c>
      <c r="C7213" s="111" t="s">
        <v>17078</v>
      </c>
      <c r="D7213" s="111" t="str">
        <f t="shared" ref="D7213:E7213" si="7211">TRIM(B7213)</f>
        <v>Michigan</v>
      </c>
      <c r="E7213" s="111" t="str">
        <f t="shared" si="7211"/>
        <v>Colon</v>
      </c>
    </row>
    <row r="7214" spans="1:5">
      <c r="A7214" s="3" t="s">
        <v>17079</v>
      </c>
      <c r="B7214" s="110" t="s">
        <v>1344</v>
      </c>
      <c r="C7214" s="113" t="s">
        <v>17080</v>
      </c>
      <c r="D7214" s="111" t="str">
        <f t="shared" ref="D7214:E7214" si="7212">TRIM(B7214)</f>
        <v>Michigan</v>
      </c>
      <c r="E7214" s="111" t="str">
        <f t="shared" si="7212"/>
        <v>Commerce Township</v>
      </c>
    </row>
    <row r="7215" spans="1:5">
      <c r="A7215" s="3" t="s">
        <v>17081</v>
      </c>
      <c r="B7215" s="110" t="s">
        <v>1344</v>
      </c>
      <c r="C7215" s="113" t="s">
        <v>17080</v>
      </c>
      <c r="D7215" s="111" t="str">
        <f t="shared" ref="D7215:E7215" si="7213">TRIM(B7215)</f>
        <v>Michigan</v>
      </c>
      <c r="E7215" s="111" t="str">
        <f t="shared" si="7213"/>
        <v>Commerce Township</v>
      </c>
    </row>
    <row r="7216" spans="1:5">
      <c r="A7216" s="3" t="s">
        <v>17082</v>
      </c>
      <c r="B7216" s="110" t="s">
        <v>1344</v>
      </c>
      <c r="C7216" s="111" t="s">
        <v>17083</v>
      </c>
      <c r="D7216" s="111" t="str">
        <f t="shared" ref="D7216:E7216" si="7214">TRIM(B7216)</f>
        <v>Michigan</v>
      </c>
      <c r="E7216" s="111" t="str">
        <f t="shared" si="7214"/>
        <v>Commerce Twp</v>
      </c>
    </row>
    <row r="7217" spans="1:5">
      <c r="A7217" s="3" t="s">
        <v>17084</v>
      </c>
      <c r="B7217" s="110" t="s">
        <v>1344</v>
      </c>
      <c r="C7217" s="111" t="s">
        <v>17085</v>
      </c>
      <c r="D7217" s="111" t="str">
        <f t="shared" ref="D7217:E7217" si="7215">TRIM(B7217)</f>
        <v>Michigan</v>
      </c>
      <c r="E7217" s="111" t="str">
        <f t="shared" si="7215"/>
        <v>Comstock Park</v>
      </c>
    </row>
    <row r="7218" spans="1:5">
      <c r="A7218" s="3" t="s">
        <v>3702</v>
      </c>
      <c r="B7218" s="110" t="s">
        <v>1344</v>
      </c>
      <c r="C7218" s="111" t="s">
        <v>286</v>
      </c>
      <c r="D7218" s="111" t="str">
        <f t="shared" ref="D7218:E7218" si="7216">TRIM(B7218)</f>
        <v>Michigan</v>
      </c>
      <c r="E7218" s="111" t="str">
        <f t="shared" si="7216"/>
        <v>Concord</v>
      </c>
    </row>
    <row r="7219" spans="1:5">
      <c r="A7219" s="3" t="s">
        <v>17086</v>
      </c>
      <c r="B7219" s="110" t="s">
        <v>1344</v>
      </c>
      <c r="C7219" s="111" t="s">
        <v>17087</v>
      </c>
      <c r="D7219" s="111" t="str">
        <f t="shared" ref="D7219:E7219" si="7217">TRIM(B7219)</f>
        <v>Michigan</v>
      </c>
      <c r="E7219" s="111" t="str">
        <f t="shared" si="7217"/>
        <v>Constantine</v>
      </c>
    </row>
    <row r="7220" spans="1:5">
      <c r="A7220" s="3" t="s">
        <v>17088</v>
      </c>
      <c r="B7220" s="110" t="s">
        <v>1344</v>
      </c>
      <c r="C7220" s="111" t="s">
        <v>17089</v>
      </c>
      <c r="D7220" s="111" t="str">
        <f t="shared" ref="D7220:E7220" si="7218">TRIM(B7220)</f>
        <v>Michigan</v>
      </c>
      <c r="E7220" s="111" t="str">
        <f t="shared" si="7218"/>
        <v>Coopersville</v>
      </c>
    </row>
    <row r="7221" spans="1:5">
      <c r="A7221" s="3" t="s">
        <v>17090</v>
      </c>
      <c r="B7221" s="110" t="s">
        <v>1344</v>
      </c>
      <c r="C7221" s="111" t="s">
        <v>17091</v>
      </c>
      <c r="D7221" s="111" t="str">
        <f t="shared" ref="D7221:E7221" si="7219">TRIM(B7221)</f>
        <v>Michigan</v>
      </c>
      <c r="E7221" s="111" t="str">
        <f t="shared" si="7219"/>
        <v>Corunna</v>
      </c>
    </row>
    <row r="7222" spans="1:5">
      <c r="A7222" s="3" t="s">
        <v>17092</v>
      </c>
      <c r="B7222" s="110" t="s">
        <v>1344</v>
      </c>
      <c r="C7222" s="111" t="s">
        <v>17093</v>
      </c>
      <c r="D7222" s="111" t="str">
        <f t="shared" ref="D7222:E7222" si="7220">TRIM(B7222)</f>
        <v>Michigan</v>
      </c>
      <c r="E7222" s="111" t="str">
        <f t="shared" si="7220"/>
        <v>Covert</v>
      </c>
    </row>
    <row r="7223" spans="1:5">
      <c r="A7223" s="3" t="s">
        <v>17094</v>
      </c>
      <c r="B7223" s="110" t="s">
        <v>1344</v>
      </c>
      <c r="C7223" s="111" t="s">
        <v>17095</v>
      </c>
      <c r="D7223" s="111" t="str">
        <f t="shared" ref="D7223:E7223" si="7221">TRIM(B7223)</f>
        <v>Michigan</v>
      </c>
      <c r="E7223" s="111" t="str">
        <f t="shared" si="7221"/>
        <v>Croswell</v>
      </c>
    </row>
    <row r="7224" spans="1:5">
      <c r="A7224" s="3" t="s">
        <v>17096</v>
      </c>
      <c r="B7224" s="110" t="s">
        <v>1344</v>
      </c>
      <c r="C7224" s="111" t="s">
        <v>17097</v>
      </c>
      <c r="D7224" s="111" t="str">
        <f t="shared" ref="D7224:E7224" si="7222">TRIM(B7224)</f>
        <v>Michigan</v>
      </c>
      <c r="E7224" s="111" t="str">
        <f t="shared" si="7222"/>
        <v>Custer</v>
      </c>
    </row>
    <row r="7225" spans="1:5">
      <c r="A7225" s="3" t="s">
        <v>17098</v>
      </c>
      <c r="B7225" s="110" t="s">
        <v>1344</v>
      </c>
      <c r="C7225" s="111" t="s">
        <v>17099</v>
      </c>
      <c r="D7225" s="111" t="str">
        <f t="shared" ref="D7225:E7225" si="7223">TRIM(B7225)</f>
        <v>Michigan</v>
      </c>
      <c r="E7225" s="111" t="str">
        <f t="shared" si="7223"/>
        <v>Dansville</v>
      </c>
    </row>
    <row r="7226" spans="1:5">
      <c r="A7226" s="3" t="s">
        <v>17100</v>
      </c>
      <c r="B7226" s="110" t="s">
        <v>1344</v>
      </c>
      <c r="C7226" s="111" t="s">
        <v>17101</v>
      </c>
      <c r="D7226" s="111" t="str">
        <f t="shared" ref="D7226:E7226" si="7224">TRIM(B7226)</f>
        <v>Michigan</v>
      </c>
      <c r="E7226" s="111" t="str">
        <f t="shared" si="7224"/>
        <v>Davison</v>
      </c>
    </row>
    <row r="7227" spans="1:5">
      <c r="A7227" s="3" t="s">
        <v>17102</v>
      </c>
      <c r="B7227" s="110" t="s">
        <v>1344</v>
      </c>
      <c r="C7227" s="111" t="s">
        <v>11444</v>
      </c>
      <c r="D7227" s="111" t="str">
        <f t="shared" ref="D7227:E7227" si="7225">TRIM(B7227)</f>
        <v>Michigan</v>
      </c>
      <c r="E7227" s="111" t="str">
        <f t="shared" si="7225"/>
        <v>Dearborn</v>
      </c>
    </row>
    <row r="7228" spans="1:5">
      <c r="A7228" s="3" t="s">
        <v>17103</v>
      </c>
      <c r="B7228" s="110" t="s">
        <v>1344</v>
      </c>
      <c r="C7228" s="111" t="s">
        <v>11444</v>
      </c>
      <c r="D7228" s="111" t="str">
        <f t="shared" ref="D7228:E7228" si="7226">TRIM(B7228)</f>
        <v>Michigan</v>
      </c>
      <c r="E7228" s="111" t="str">
        <f t="shared" si="7226"/>
        <v>Dearborn</v>
      </c>
    </row>
    <row r="7229" spans="1:5">
      <c r="A7229" s="3" t="s">
        <v>17104</v>
      </c>
      <c r="B7229" s="110" t="s">
        <v>1344</v>
      </c>
      <c r="C7229" s="111" t="s">
        <v>11444</v>
      </c>
      <c r="D7229" s="111" t="str">
        <f t="shared" ref="D7229:E7229" si="7227">TRIM(B7229)</f>
        <v>Michigan</v>
      </c>
      <c r="E7229" s="111" t="str">
        <f t="shared" si="7227"/>
        <v>Dearborn</v>
      </c>
    </row>
    <row r="7230" spans="1:5">
      <c r="A7230" s="3" t="s">
        <v>17105</v>
      </c>
      <c r="B7230" s="110" t="s">
        <v>1344</v>
      </c>
      <c r="C7230" s="111" t="s">
        <v>11444</v>
      </c>
      <c r="D7230" s="111" t="str">
        <f t="shared" ref="D7230:E7230" si="7228">TRIM(B7230)</f>
        <v>Michigan</v>
      </c>
      <c r="E7230" s="111" t="str">
        <f t="shared" si="7228"/>
        <v>Dearborn</v>
      </c>
    </row>
    <row r="7231" spans="1:5">
      <c r="A7231" s="110" t="s">
        <v>17106</v>
      </c>
      <c r="B7231" s="110" t="s">
        <v>1344</v>
      </c>
      <c r="C7231" s="111" t="s">
        <v>11444</v>
      </c>
      <c r="D7231" s="111" t="str">
        <f t="shared" ref="D7231:E7231" si="7229">TRIM(B7231)</f>
        <v>Michigan</v>
      </c>
      <c r="E7231" s="111" t="str">
        <f t="shared" si="7229"/>
        <v>Dearborn</v>
      </c>
    </row>
    <row r="7232" spans="1:5">
      <c r="A7232" s="110" t="s">
        <v>17107</v>
      </c>
      <c r="B7232" s="110" t="s">
        <v>1344</v>
      </c>
      <c r="C7232" s="111" t="s">
        <v>11444</v>
      </c>
      <c r="D7232" s="111" t="str">
        <f t="shared" ref="D7232:E7232" si="7230">TRIM(B7232)</f>
        <v>Michigan</v>
      </c>
      <c r="E7232" s="111" t="str">
        <f t="shared" si="7230"/>
        <v>Dearborn</v>
      </c>
    </row>
    <row r="7233" spans="1:5">
      <c r="A7233" s="3" t="s">
        <v>17108</v>
      </c>
      <c r="B7233" s="110" t="s">
        <v>1344</v>
      </c>
      <c r="C7233" s="111" t="s">
        <v>11444</v>
      </c>
      <c r="D7233" s="111" t="str">
        <f t="shared" ref="D7233:E7233" si="7231">TRIM(B7233)</f>
        <v>Michigan</v>
      </c>
      <c r="E7233" s="111" t="str">
        <f t="shared" si="7231"/>
        <v>Dearborn</v>
      </c>
    </row>
    <row r="7234" spans="1:5">
      <c r="A7234" s="3" t="s">
        <v>16322</v>
      </c>
      <c r="B7234" s="110" t="s">
        <v>1344</v>
      </c>
      <c r="C7234" s="113" t="s">
        <v>11433</v>
      </c>
      <c r="D7234" s="111" t="str">
        <f t="shared" ref="D7234:E7234" si="7232">TRIM(B7234)</f>
        <v>Michigan</v>
      </c>
      <c r="E7234" s="111" t="str">
        <f t="shared" si="7232"/>
        <v>Dearborn Heights</v>
      </c>
    </row>
    <row r="7235" spans="1:5">
      <c r="A7235" s="3" t="s">
        <v>14771</v>
      </c>
      <c r="B7235" s="110" t="s">
        <v>1344</v>
      </c>
      <c r="C7235" s="113" t="s">
        <v>11433</v>
      </c>
      <c r="D7235" s="111" t="str">
        <f t="shared" ref="D7235:E7235" si="7233">TRIM(B7235)</f>
        <v>Michigan</v>
      </c>
      <c r="E7235" s="111" t="str">
        <f t="shared" si="7233"/>
        <v>Dearborn Heights</v>
      </c>
    </row>
    <row r="7236" spans="1:5">
      <c r="A7236" s="3" t="s">
        <v>17109</v>
      </c>
      <c r="B7236" s="110" t="s">
        <v>1344</v>
      </c>
      <c r="C7236" s="113" t="s">
        <v>11433</v>
      </c>
      <c r="D7236" s="111" t="str">
        <f t="shared" ref="D7236:E7236" si="7234">TRIM(B7236)</f>
        <v>Michigan</v>
      </c>
      <c r="E7236" s="111" t="str">
        <f t="shared" si="7234"/>
        <v>Dearborn Heights</v>
      </c>
    </row>
    <row r="7237" spans="1:5">
      <c r="A7237" s="3" t="s">
        <v>17110</v>
      </c>
      <c r="B7237" s="110" t="s">
        <v>1344</v>
      </c>
      <c r="C7237" s="111" t="s">
        <v>1686</v>
      </c>
      <c r="D7237" s="111" t="str">
        <f t="shared" ref="D7237:E7237" si="7235">TRIM(B7237)</f>
        <v>Michigan</v>
      </c>
      <c r="E7237" s="111" t="str">
        <f t="shared" si="7235"/>
        <v>Decatur</v>
      </c>
    </row>
    <row r="7238" spans="1:5">
      <c r="A7238" s="3" t="s">
        <v>17111</v>
      </c>
      <c r="B7238" s="110" t="s">
        <v>1344</v>
      </c>
      <c r="C7238" s="111" t="s">
        <v>17112</v>
      </c>
      <c r="D7238" s="111" t="str">
        <f t="shared" ref="D7238:E7238" si="7236">TRIM(B7238)</f>
        <v>Michigan</v>
      </c>
      <c r="E7238" s="111" t="str">
        <f t="shared" si="7236"/>
        <v>Deckerville</v>
      </c>
    </row>
    <row r="7239" spans="1:5">
      <c r="A7239" s="3" t="s">
        <v>17113</v>
      </c>
      <c r="B7239" s="110" t="s">
        <v>1344</v>
      </c>
      <c r="C7239" s="111" t="s">
        <v>17114</v>
      </c>
      <c r="D7239" s="111" t="str">
        <f t="shared" ref="D7239:E7239" si="7237">TRIM(B7239)</f>
        <v>Michigan</v>
      </c>
      <c r="E7239" s="111" t="str">
        <f t="shared" si="7237"/>
        <v>Delton</v>
      </c>
    </row>
    <row r="7240" spans="1:5">
      <c r="A7240" s="3" t="s">
        <v>17115</v>
      </c>
      <c r="B7240" s="110" t="s">
        <v>1344</v>
      </c>
      <c r="C7240" s="111" t="s">
        <v>17114</v>
      </c>
      <c r="D7240" s="111" t="str">
        <f t="shared" ref="D7240:E7240" si="7238">TRIM(B7240)</f>
        <v>Michigan</v>
      </c>
      <c r="E7240" s="111" t="str">
        <f t="shared" si="7238"/>
        <v>Delton</v>
      </c>
    </row>
    <row r="7241" spans="1:5">
      <c r="A7241" s="3" t="s">
        <v>17116</v>
      </c>
      <c r="B7241" s="110" t="s">
        <v>1344</v>
      </c>
      <c r="C7241" s="111" t="s">
        <v>17117</v>
      </c>
      <c r="D7241" s="111" t="str">
        <f t="shared" ref="D7241:E7241" si="7239">TRIM(B7241)</f>
        <v>Michigan</v>
      </c>
      <c r="E7241" s="111" t="str">
        <f t="shared" si="7239"/>
        <v>Detour Village</v>
      </c>
    </row>
    <row r="7242" spans="1:5">
      <c r="A7242" s="3" t="s">
        <v>17118</v>
      </c>
      <c r="B7242" s="110" t="s">
        <v>1344</v>
      </c>
      <c r="C7242" s="111" t="s">
        <v>24</v>
      </c>
      <c r="D7242" s="111" t="str">
        <f t="shared" ref="D7242:E7242" si="7240">TRIM(B7242)</f>
        <v>Michigan</v>
      </c>
      <c r="E7242" s="111" t="str">
        <f t="shared" si="7240"/>
        <v>Detroit</v>
      </c>
    </row>
    <row r="7243" spans="1:5">
      <c r="A7243" s="3" t="s">
        <v>17119</v>
      </c>
      <c r="B7243" s="110" t="s">
        <v>1344</v>
      </c>
      <c r="C7243" s="111" t="s">
        <v>24</v>
      </c>
      <c r="D7243" s="111" t="str">
        <f t="shared" ref="D7243:E7243" si="7241">TRIM(B7243)</f>
        <v>Michigan</v>
      </c>
      <c r="E7243" s="111" t="str">
        <f t="shared" si="7241"/>
        <v>Detroit</v>
      </c>
    </row>
    <row r="7244" spans="1:5">
      <c r="A7244" s="3" t="s">
        <v>17120</v>
      </c>
      <c r="B7244" s="110" t="s">
        <v>1344</v>
      </c>
      <c r="C7244" s="111" t="s">
        <v>24</v>
      </c>
      <c r="D7244" s="111" t="str">
        <f t="shared" ref="D7244:E7244" si="7242">TRIM(B7244)</f>
        <v>Michigan</v>
      </c>
      <c r="E7244" s="111" t="str">
        <f t="shared" si="7242"/>
        <v>Detroit</v>
      </c>
    </row>
    <row r="7245" spans="1:5">
      <c r="A7245" s="3" t="s">
        <v>1843</v>
      </c>
      <c r="B7245" s="110" t="s">
        <v>1344</v>
      </c>
      <c r="C7245" s="111" t="s">
        <v>24</v>
      </c>
      <c r="D7245" s="111" t="str">
        <f t="shared" ref="D7245:E7245" si="7243">TRIM(B7245)</f>
        <v>Michigan</v>
      </c>
      <c r="E7245" s="111" t="str">
        <f t="shared" si="7243"/>
        <v>Detroit</v>
      </c>
    </row>
    <row r="7246" spans="1:5">
      <c r="A7246" s="3" t="s">
        <v>2801</v>
      </c>
      <c r="B7246" s="110" t="s">
        <v>1344</v>
      </c>
      <c r="C7246" s="111" t="s">
        <v>24</v>
      </c>
      <c r="D7246" s="111" t="str">
        <f t="shared" ref="D7246:E7246" si="7244">TRIM(B7246)</f>
        <v>Michigan</v>
      </c>
      <c r="E7246" s="111" t="str">
        <f t="shared" si="7244"/>
        <v>Detroit</v>
      </c>
    </row>
    <row r="7247" spans="1:5">
      <c r="A7247" s="3" t="s">
        <v>17121</v>
      </c>
      <c r="B7247" s="110" t="s">
        <v>1344</v>
      </c>
      <c r="C7247" s="111" t="s">
        <v>24</v>
      </c>
      <c r="D7247" s="111" t="str">
        <f t="shared" ref="D7247:E7247" si="7245">TRIM(B7247)</f>
        <v>Michigan</v>
      </c>
      <c r="E7247" s="111" t="str">
        <f t="shared" si="7245"/>
        <v>Detroit</v>
      </c>
    </row>
    <row r="7248" spans="1:5">
      <c r="A7248" s="3" t="s">
        <v>17122</v>
      </c>
      <c r="B7248" s="110" t="s">
        <v>1344</v>
      </c>
      <c r="C7248" s="111" t="s">
        <v>24</v>
      </c>
      <c r="D7248" s="111" t="str">
        <f t="shared" ref="D7248:E7248" si="7246">TRIM(B7248)</f>
        <v>Michigan</v>
      </c>
      <c r="E7248" s="111" t="str">
        <f t="shared" si="7246"/>
        <v>Detroit</v>
      </c>
    </row>
    <row r="7249" spans="1:5">
      <c r="A7249" s="3" t="s">
        <v>17123</v>
      </c>
      <c r="B7249" s="110" t="s">
        <v>1344</v>
      </c>
      <c r="C7249" s="111" t="s">
        <v>24</v>
      </c>
      <c r="D7249" s="111" t="str">
        <f t="shared" ref="D7249:E7249" si="7247">TRIM(B7249)</f>
        <v>Michigan</v>
      </c>
      <c r="E7249" s="111" t="str">
        <f t="shared" si="7247"/>
        <v>Detroit</v>
      </c>
    </row>
    <row r="7250" spans="1:5">
      <c r="A7250" s="110" t="s">
        <v>17124</v>
      </c>
      <c r="B7250" s="110" t="s">
        <v>1344</v>
      </c>
      <c r="C7250" s="111" t="s">
        <v>24</v>
      </c>
      <c r="D7250" s="111" t="str">
        <f t="shared" ref="D7250:E7250" si="7248">TRIM(B7250)</f>
        <v>Michigan</v>
      </c>
      <c r="E7250" s="111" t="str">
        <f t="shared" si="7248"/>
        <v>Detroit</v>
      </c>
    </row>
    <row r="7251" spans="1:5">
      <c r="A7251" s="3" t="s">
        <v>17125</v>
      </c>
      <c r="B7251" s="110" t="s">
        <v>1344</v>
      </c>
      <c r="C7251" s="112" t="s">
        <v>24</v>
      </c>
      <c r="D7251" s="111" t="str">
        <f t="shared" ref="D7251:E7251" si="7249">TRIM(B7251)</f>
        <v>Michigan</v>
      </c>
      <c r="E7251" s="111" t="str">
        <f t="shared" si="7249"/>
        <v>Detroit</v>
      </c>
    </row>
    <row r="7252" spans="1:5">
      <c r="A7252" s="3" t="s">
        <v>17126</v>
      </c>
      <c r="B7252" s="110" t="s">
        <v>1344</v>
      </c>
      <c r="C7252" s="111" t="s">
        <v>24</v>
      </c>
      <c r="D7252" s="111" t="str">
        <f t="shared" ref="D7252:E7252" si="7250">TRIM(B7252)</f>
        <v>Michigan</v>
      </c>
      <c r="E7252" s="111" t="str">
        <f t="shared" si="7250"/>
        <v>Detroit</v>
      </c>
    </row>
    <row r="7253" spans="1:5">
      <c r="A7253" s="3" t="s">
        <v>17127</v>
      </c>
      <c r="B7253" s="110" t="s">
        <v>1344</v>
      </c>
      <c r="C7253" s="111" t="s">
        <v>24</v>
      </c>
      <c r="D7253" s="111" t="str">
        <f t="shared" ref="D7253:E7253" si="7251">TRIM(B7253)</f>
        <v>Michigan</v>
      </c>
      <c r="E7253" s="111" t="str">
        <f t="shared" si="7251"/>
        <v>Detroit</v>
      </c>
    </row>
    <row r="7254" spans="1:5">
      <c r="A7254" s="3" t="s">
        <v>17128</v>
      </c>
      <c r="B7254" s="110" t="s">
        <v>1344</v>
      </c>
      <c r="C7254" s="111" t="s">
        <v>24</v>
      </c>
      <c r="D7254" s="111" t="str">
        <f t="shared" ref="D7254:E7254" si="7252">TRIM(B7254)</f>
        <v>Michigan</v>
      </c>
      <c r="E7254" s="111" t="str">
        <f t="shared" si="7252"/>
        <v>Detroit</v>
      </c>
    </row>
    <row r="7255" spans="1:5">
      <c r="A7255" s="3" t="s">
        <v>17129</v>
      </c>
      <c r="B7255" s="110" t="s">
        <v>1344</v>
      </c>
      <c r="C7255" s="111" t="s">
        <v>24</v>
      </c>
      <c r="D7255" s="111" t="str">
        <f t="shared" ref="D7255:E7255" si="7253">TRIM(B7255)</f>
        <v>Michigan</v>
      </c>
      <c r="E7255" s="111" t="str">
        <f t="shared" si="7253"/>
        <v>Detroit</v>
      </c>
    </row>
    <row r="7256" spans="1:5">
      <c r="A7256" s="3" t="s">
        <v>17130</v>
      </c>
      <c r="B7256" s="110" t="s">
        <v>1344</v>
      </c>
      <c r="C7256" s="111" t="s">
        <v>24</v>
      </c>
      <c r="D7256" s="111" t="str">
        <f t="shared" ref="D7256:E7256" si="7254">TRIM(B7256)</f>
        <v>Michigan</v>
      </c>
      <c r="E7256" s="111" t="str">
        <f t="shared" si="7254"/>
        <v>Detroit</v>
      </c>
    </row>
    <row r="7257" spans="1:5">
      <c r="A7257" s="3" t="s">
        <v>17131</v>
      </c>
      <c r="B7257" s="110" t="s">
        <v>1344</v>
      </c>
      <c r="C7257" s="111" t="s">
        <v>24</v>
      </c>
      <c r="D7257" s="111" t="str">
        <f t="shared" ref="D7257:E7257" si="7255">TRIM(B7257)</f>
        <v>Michigan</v>
      </c>
      <c r="E7257" s="111" t="str">
        <f t="shared" si="7255"/>
        <v>Detroit</v>
      </c>
    </row>
    <row r="7258" spans="1:5">
      <c r="A7258" s="110" t="s">
        <v>17132</v>
      </c>
      <c r="B7258" s="110" t="s">
        <v>1344</v>
      </c>
      <c r="C7258" s="111" t="s">
        <v>24</v>
      </c>
      <c r="D7258" s="111" t="str">
        <f t="shared" ref="D7258:E7258" si="7256">TRIM(B7258)</f>
        <v>Michigan</v>
      </c>
      <c r="E7258" s="111" t="str">
        <f t="shared" si="7256"/>
        <v>Detroit</v>
      </c>
    </row>
    <row r="7259" spans="1:5">
      <c r="A7259" s="3" t="s">
        <v>17133</v>
      </c>
      <c r="B7259" s="110" t="s">
        <v>1344</v>
      </c>
      <c r="C7259" s="111" t="s">
        <v>24</v>
      </c>
      <c r="D7259" s="111" t="str">
        <f t="shared" ref="D7259:E7259" si="7257">TRIM(B7259)</f>
        <v>Michigan</v>
      </c>
      <c r="E7259" s="111" t="str">
        <f t="shared" si="7257"/>
        <v>Detroit</v>
      </c>
    </row>
    <row r="7260" spans="1:5">
      <c r="A7260" s="3" t="s">
        <v>17134</v>
      </c>
      <c r="B7260" s="110" t="s">
        <v>1344</v>
      </c>
      <c r="C7260" s="111" t="s">
        <v>24</v>
      </c>
      <c r="D7260" s="111" t="str">
        <f t="shared" ref="D7260:E7260" si="7258">TRIM(B7260)</f>
        <v>Michigan</v>
      </c>
      <c r="E7260" s="111" t="str">
        <f t="shared" si="7258"/>
        <v>Detroit</v>
      </c>
    </row>
    <row r="7261" spans="1:5">
      <c r="A7261" s="110" t="s">
        <v>17135</v>
      </c>
      <c r="B7261" s="110" t="s">
        <v>1344</v>
      </c>
      <c r="C7261" s="111" t="s">
        <v>24</v>
      </c>
      <c r="D7261" s="111" t="str">
        <f t="shared" ref="D7261:E7261" si="7259">TRIM(B7261)</f>
        <v>Michigan</v>
      </c>
      <c r="E7261" s="111" t="str">
        <f t="shared" si="7259"/>
        <v>Detroit</v>
      </c>
    </row>
    <row r="7262" spans="1:5">
      <c r="A7262" s="3" t="s">
        <v>17136</v>
      </c>
      <c r="B7262" s="110" t="s">
        <v>1344</v>
      </c>
      <c r="C7262" s="111" t="s">
        <v>24</v>
      </c>
      <c r="D7262" s="111" t="str">
        <f t="shared" ref="D7262:E7262" si="7260">TRIM(B7262)</f>
        <v>Michigan</v>
      </c>
      <c r="E7262" s="111" t="str">
        <f t="shared" si="7260"/>
        <v>Detroit</v>
      </c>
    </row>
    <row r="7263" spans="1:5">
      <c r="A7263" s="3" t="s">
        <v>17137</v>
      </c>
      <c r="B7263" s="110" t="s">
        <v>1344</v>
      </c>
      <c r="C7263" s="111" t="s">
        <v>24</v>
      </c>
      <c r="D7263" s="111" t="str">
        <f t="shared" ref="D7263:E7263" si="7261">TRIM(B7263)</f>
        <v>Michigan</v>
      </c>
      <c r="E7263" s="111" t="str">
        <f t="shared" si="7261"/>
        <v>Detroit</v>
      </c>
    </row>
    <row r="7264" spans="1:5">
      <c r="A7264" s="3" t="s">
        <v>17138</v>
      </c>
      <c r="B7264" s="110" t="s">
        <v>1344</v>
      </c>
      <c r="C7264" s="111" t="s">
        <v>24</v>
      </c>
      <c r="D7264" s="111" t="str">
        <f t="shared" ref="D7264:E7264" si="7262">TRIM(B7264)</f>
        <v>Michigan</v>
      </c>
      <c r="E7264" s="111" t="str">
        <f t="shared" si="7262"/>
        <v>Detroit</v>
      </c>
    </row>
    <row r="7265" spans="1:5">
      <c r="A7265" s="3" t="s">
        <v>17139</v>
      </c>
      <c r="B7265" s="110" t="s">
        <v>1344</v>
      </c>
      <c r="C7265" s="111" t="s">
        <v>24</v>
      </c>
      <c r="D7265" s="111" t="str">
        <f t="shared" ref="D7265:E7265" si="7263">TRIM(B7265)</f>
        <v>Michigan</v>
      </c>
      <c r="E7265" s="111" t="str">
        <f t="shared" si="7263"/>
        <v>Detroit</v>
      </c>
    </row>
    <row r="7266" spans="1:5">
      <c r="A7266" s="3" t="s">
        <v>17140</v>
      </c>
      <c r="B7266" s="110" t="s">
        <v>1344</v>
      </c>
      <c r="C7266" s="111" t="s">
        <v>24</v>
      </c>
      <c r="D7266" s="111" t="str">
        <f t="shared" ref="D7266:E7266" si="7264">TRIM(B7266)</f>
        <v>Michigan</v>
      </c>
      <c r="E7266" s="111" t="str">
        <f t="shared" si="7264"/>
        <v>Detroit</v>
      </c>
    </row>
    <row r="7267" spans="1:5">
      <c r="A7267" s="3" t="s">
        <v>17141</v>
      </c>
      <c r="B7267" s="110" t="s">
        <v>1344</v>
      </c>
      <c r="C7267" s="111" t="s">
        <v>24</v>
      </c>
      <c r="D7267" s="111" t="str">
        <f t="shared" ref="D7267:E7267" si="7265">TRIM(B7267)</f>
        <v>Michigan</v>
      </c>
      <c r="E7267" s="111" t="str">
        <f t="shared" si="7265"/>
        <v>Detroit</v>
      </c>
    </row>
    <row r="7268" spans="1:5">
      <c r="A7268" s="3" t="s">
        <v>17142</v>
      </c>
      <c r="B7268" s="110" t="s">
        <v>1344</v>
      </c>
      <c r="C7268" s="111" t="s">
        <v>24</v>
      </c>
      <c r="D7268" s="111" t="str">
        <f t="shared" ref="D7268:E7268" si="7266">TRIM(B7268)</f>
        <v>Michigan</v>
      </c>
      <c r="E7268" s="111" t="str">
        <f t="shared" si="7266"/>
        <v>Detroit</v>
      </c>
    </row>
    <row r="7269" spans="1:5">
      <c r="A7269" s="3" t="s">
        <v>17143</v>
      </c>
      <c r="B7269" s="110" t="s">
        <v>1344</v>
      </c>
      <c r="C7269" s="111" t="s">
        <v>24</v>
      </c>
      <c r="D7269" s="111" t="str">
        <f t="shared" ref="D7269:E7269" si="7267">TRIM(B7269)</f>
        <v>Michigan</v>
      </c>
      <c r="E7269" s="111" t="str">
        <f t="shared" si="7267"/>
        <v>Detroit</v>
      </c>
    </row>
    <row r="7270" spans="1:5">
      <c r="A7270" s="3" t="s">
        <v>17144</v>
      </c>
      <c r="B7270" s="110" t="s">
        <v>1344</v>
      </c>
      <c r="C7270" s="111" t="s">
        <v>24</v>
      </c>
      <c r="D7270" s="111" t="str">
        <f t="shared" ref="D7270:E7270" si="7268">TRIM(B7270)</f>
        <v>Michigan</v>
      </c>
      <c r="E7270" s="111" t="str">
        <f t="shared" si="7268"/>
        <v>Detroit</v>
      </c>
    </row>
    <row r="7271" spans="1:5">
      <c r="A7271" s="3" t="s">
        <v>17145</v>
      </c>
      <c r="B7271" s="110" t="s">
        <v>1344</v>
      </c>
      <c r="C7271" s="111" t="s">
        <v>24</v>
      </c>
      <c r="D7271" s="111" t="str">
        <f t="shared" ref="D7271:E7271" si="7269">TRIM(B7271)</f>
        <v>Michigan</v>
      </c>
      <c r="E7271" s="111" t="str">
        <f t="shared" si="7269"/>
        <v>Detroit</v>
      </c>
    </row>
    <row r="7272" spans="1:5">
      <c r="A7272" s="3" t="s">
        <v>17146</v>
      </c>
      <c r="B7272" s="110" t="s">
        <v>1344</v>
      </c>
      <c r="C7272" s="111" t="s">
        <v>24</v>
      </c>
      <c r="D7272" s="111" t="str">
        <f t="shared" ref="D7272:E7272" si="7270">TRIM(B7272)</f>
        <v>Michigan</v>
      </c>
      <c r="E7272" s="111" t="str">
        <f t="shared" si="7270"/>
        <v>Detroit</v>
      </c>
    </row>
    <row r="7273" spans="1:5">
      <c r="A7273" s="3" t="s">
        <v>11810</v>
      </c>
      <c r="B7273" s="110" t="s">
        <v>1344</v>
      </c>
      <c r="C7273" s="111" t="s">
        <v>24</v>
      </c>
      <c r="D7273" s="111" t="str">
        <f t="shared" ref="D7273:E7273" si="7271">TRIM(B7273)</f>
        <v>Michigan</v>
      </c>
      <c r="E7273" s="111" t="str">
        <f t="shared" si="7271"/>
        <v>Detroit</v>
      </c>
    </row>
    <row r="7274" spans="1:5">
      <c r="A7274" s="3" t="s">
        <v>10150</v>
      </c>
      <c r="B7274" s="110" t="s">
        <v>1344</v>
      </c>
      <c r="C7274" s="111" t="s">
        <v>24</v>
      </c>
      <c r="D7274" s="111" t="str">
        <f t="shared" ref="D7274:E7274" si="7272">TRIM(B7274)</f>
        <v>Michigan</v>
      </c>
      <c r="E7274" s="111" t="str">
        <f t="shared" si="7272"/>
        <v>Detroit</v>
      </c>
    </row>
    <row r="7275" spans="1:5">
      <c r="A7275" s="3" t="s">
        <v>17147</v>
      </c>
      <c r="B7275" s="110" t="s">
        <v>1344</v>
      </c>
      <c r="C7275" s="111" t="s">
        <v>24</v>
      </c>
      <c r="D7275" s="111" t="str">
        <f t="shared" ref="D7275:E7275" si="7273">TRIM(B7275)</f>
        <v>Michigan</v>
      </c>
      <c r="E7275" s="111" t="str">
        <f t="shared" si="7273"/>
        <v>Detroit</v>
      </c>
    </row>
    <row r="7276" spans="1:5">
      <c r="A7276" s="3" t="s">
        <v>17148</v>
      </c>
      <c r="B7276" s="110" t="s">
        <v>1344</v>
      </c>
      <c r="C7276" s="111" t="s">
        <v>24</v>
      </c>
      <c r="D7276" s="111" t="str">
        <f t="shared" ref="D7276:E7276" si="7274">TRIM(B7276)</f>
        <v>Michigan</v>
      </c>
      <c r="E7276" s="111" t="str">
        <f t="shared" si="7274"/>
        <v>Detroit</v>
      </c>
    </row>
    <row r="7277" spans="1:5">
      <c r="A7277" s="110" t="s">
        <v>17149</v>
      </c>
      <c r="B7277" s="110" t="s">
        <v>1344</v>
      </c>
      <c r="C7277" s="111" t="s">
        <v>24</v>
      </c>
      <c r="D7277" s="111" t="str">
        <f t="shared" ref="D7277:E7277" si="7275">TRIM(B7277)</f>
        <v>Michigan</v>
      </c>
      <c r="E7277" s="111" t="str">
        <f t="shared" si="7275"/>
        <v>Detroit</v>
      </c>
    </row>
    <row r="7278" spans="1:5">
      <c r="A7278" s="3" t="s">
        <v>17150</v>
      </c>
      <c r="B7278" s="110" t="s">
        <v>1344</v>
      </c>
      <c r="C7278" s="111" t="s">
        <v>24</v>
      </c>
      <c r="D7278" s="111" t="str">
        <f t="shared" ref="D7278:E7278" si="7276">TRIM(B7278)</f>
        <v>Michigan</v>
      </c>
      <c r="E7278" s="111" t="str">
        <f t="shared" si="7276"/>
        <v>Detroit</v>
      </c>
    </row>
    <row r="7279" spans="1:5">
      <c r="A7279" s="3" t="s">
        <v>3735</v>
      </c>
      <c r="B7279" s="110" t="s">
        <v>1344</v>
      </c>
      <c r="C7279" s="111" t="s">
        <v>3736</v>
      </c>
      <c r="D7279" s="111" t="str">
        <f t="shared" ref="D7279:E7279" si="7277">TRIM(B7279)</f>
        <v>Michigan</v>
      </c>
      <c r="E7279" s="111" t="str">
        <f t="shared" si="7277"/>
        <v>Dewitt</v>
      </c>
    </row>
    <row r="7280" spans="1:5">
      <c r="A7280" s="3" t="s">
        <v>15246</v>
      </c>
      <c r="B7280" s="110" t="s">
        <v>1344</v>
      </c>
      <c r="C7280" s="111" t="s">
        <v>10669</v>
      </c>
      <c r="D7280" s="111" t="str">
        <f t="shared" ref="D7280:E7280" si="7278">TRIM(B7280)</f>
        <v>Michigan</v>
      </c>
      <c r="E7280" s="111" t="str">
        <f t="shared" si="7278"/>
        <v>Dexter</v>
      </c>
    </row>
    <row r="7281" spans="1:5">
      <c r="A7281" s="3" t="s">
        <v>14909</v>
      </c>
      <c r="B7281" s="110" t="s">
        <v>1344</v>
      </c>
      <c r="C7281" s="111" t="s">
        <v>17151</v>
      </c>
      <c r="D7281" s="111" t="str">
        <f t="shared" ref="D7281:E7281" si="7279">TRIM(B7281)</f>
        <v>Michigan</v>
      </c>
      <c r="E7281" s="111" t="str">
        <f t="shared" si="7279"/>
        <v>Dowagiac</v>
      </c>
    </row>
    <row r="7282" spans="1:5">
      <c r="A7282" s="3" t="s">
        <v>17152</v>
      </c>
      <c r="B7282" s="110" t="s">
        <v>1344</v>
      </c>
      <c r="C7282" s="111" t="s">
        <v>17153</v>
      </c>
      <c r="D7282" s="111" t="str">
        <f t="shared" ref="D7282:E7282" si="7280">TRIM(B7282)</f>
        <v>Michigan</v>
      </c>
      <c r="E7282" s="111" t="str">
        <f t="shared" si="7280"/>
        <v>Dryden</v>
      </c>
    </row>
    <row r="7283" spans="1:5">
      <c r="A7283" s="3" t="s">
        <v>17154</v>
      </c>
      <c r="B7283" s="110" t="s">
        <v>1344</v>
      </c>
      <c r="C7283" s="111" t="s">
        <v>487</v>
      </c>
      <c r="D7283" s="111" t="str">
        <f t="shared" ref="D7283:E7283" si="7281">TRIM(B7283)</f>
        <v>Michigan</v>
      </c>
      <c r="E7283" s="111" t="str">
        <f t="shared" si="7281"/>
        <v>Dundee</v>
      </c>
    </row>
    <row r="7284" spans="1:5">
      <c r="A7284" s="3" t="s">
        <v>17155</v>
      </c>
      <c r="B7284" s="110" t="s">
        <v>1344</v>
      </c>
      <c r="C7284" s="111" t="s">
        <v>12802</v>
      </c>
      <c r="D7284" s="111" t="str">
        <f t="shared" ref="D7284:E7284" si="7282">TRIM(B7284)</f>
        <v>Michigan</v>
      </c>
      <c r="E7284" s="111" t="str">
        <f t="shared" si="7282"/>
        <v>Durand</v>
      </c>
    </row>
    <row r="7285" spans="1:5">
      <c r="A7285" s="3" t="s">
        <v>17156</v>
      </c>
      <c r="B7285" s="110" t="s">
        <v>1344</v>
      </c>
      <c r="C7285" s="111" t="s">
        <v>17157</v>
      </c>
      <c r="D7285" s="111" t="str">
        <f t="shared" ref="D7285:E7285" si="7283">TRIM(B7285)</f>
        <v>Michigan</v>
      </c>
      <c r="E7285" s="111" t="str">
        <f t="shared" si="7283"/>
        <v>East Jordan</v>
      </c>
    </row>
    <row r="7286" spans="1:5">
      <c r="A7286" s="3" t="s">
        <v>17158</v>
      </c>
      <c r="B7286" s="110" t="s">
        <v>1344</v>
      </c>
      <c r="C7286" s="111" t="s">
        <v>360</v>
      </c>
      <c r="D7286" s="111" t="str">
        <f t="shared" ref="D7286:E7286" si="7284">TRIM(B7286)</f>
        <v>Michigan</v>
      </c>
      <c r="E7286" s="111" t="str">
        <f t="shared" si="7284"/>
        <v>East Lansing</v>
      </c>
    </row>
    <row r="7287" spans="1:5">
      <c r="A7287" s="3" t="s">
        <v>17159</v>
      </c>
      <c r="B7287" s="110" t="s">
        <v>1344</v>
      </c>
      <c r="C7287" s="111" t="s">
        <v>360</v>
      </c>
      <c r="D7287" s="111" t="str">
        <f t="shared" ref="D7287:E7287" si="7285">TRIM(B7287)</f>
        <v>Michigan</v>
      </c>
      <c r="E7287" s="111" t="str">
        <f t="shared" si="7285"/>
        <v>East Lansing</v>
      </c>
    </row>
    <row r="7288" spans="1:5">
      <c r="A7288" s="110" t="s">
        <v>17160</v>
      </c>
      <c r="B7288" s="110" t="s">
        <v>1344</v>
      </c>
      <c r="C7288" s="111" t="s">
        <v>17161</v>
      </c>
      <c r="D7288" s="111" t="str">
        <f t="shared" ref="D7288:E7288" si="7286">TRIM(B7288)</f>
        <v>Michigan</v>
      </c>
      <c r="E7288" s="111" t="str">
        <f t="shared" si="7286"/>
        <v>Eastpointe</v>
      </c>
    </row>
    <row r="7289" spans="1:5">
      <c r="A7289" s="3" t="s">
        <v>3413</v>
      </c>
      <c r="B7289" s="110" t="s">
        <v>1344</v>
      </c>
      <c r="C7289" s="111" t="s">
        <v>17161</v>
      </c>
      <c r="D7289" s="111" t="str">
        <f t="shared" ref="D7289:E7289" si="7287">TRIM(B7289)</f>
        <v>Michigan</v>
      </c>
      <c r="E7289" s="111" t="str">
        <f t="shared" si="7287"/>
        <v>Eastpointe</v>
      </c>
    </row>
    <row r="7290" spans="1:5">
      <c r="A7290" s="3" t="s">
        <v>17162</v>
      </c>
      <c r="B7290" s="110" t="s">
        <v>1344</v>
      </c>
      <c r="C7290" s="111" t="s">
        <v>17163</v>
      </c>
      <c r="D7290" s="111" t="str">
        <f t="shared" ref="D7290:E7290" si="7288">TRIM(B7290)</f>
        <v>Michigan</v>
      </c>
      <c r="E7290" s="111" t="str">
        <f t="shared" si="7288"/>
        <v>Eaton Rapids</v>
      </c>
    </row>
    <row r="7291" spans="1:5">
      <c r="A7291" s="3" t="s">
        <v>17164</v>
      </c>
      <c r="B7291" s="110" t="s">
        <v>1344</v>
      </c>
      <c r="C7291" s="111" t="s">
        <v>14271</v>
      </c>
      <c r="D7291" s="111" t="str">
        <f t="shared" ref="D7291:E7291" si="7289">TRIM(B7291)</f>
        <v>Michigan</v>
      </c>
      <c r="E7291" s="111" t="str">
        <f t="shared" si="7289"/>
        <v>Eau Claire</v>
      </c>
    </row>
    <row r="7292" spans="1:5">
      <c r="A7292" s="3" t="s">
        <v>17165</v>
      </c>
      <c r="B7292" s="110" t="s">
        <v>1344</v>
      </c>
      <c r="C7292" s="111" t="s">
        <v>17166</v>
      </c>
      <c r="D7292" s="111" t="str">
        <f t="shared" ref="D7292:E7292" si="7290">TRIM(B7292)</f>
        <v>Michigan</v>
      </c>
      <c r="E7292" s="111" t="str">
        <f t="shared" si="7290"/>
        <v>Ecorse</v>
      </c>
    </row>
    <row r="7293" spans="1:5">
      <c r="A7293" s="3" t="s">
        <v>17167</v>
      </c>
      <c r="B7293" s="110" t="s">
        <v>1344</v>
      </c>
      <c r="C7293" s="111" t="s">
        <v>17166</v>
      </c>
      <c r="D7293" s="111" t="str">
        <f t="shared" ref="D7293:E7293" si="7291">TRIM(B7293)</f>
        <v>Michigan</v>
      </c>
      <c r="E7293" s="111" t="str">
        <f t="shared" si="7291"/>
        <v>Ecorse</v>
      </c>
    </row>
    <row r="7294" spans="1:5">
      <c r="A7294" s="3" t="s">
        <v>17168</v>
      </c>
      <c r="B7294" s="110" t="s">
        <v>1344</v>
      </c>
      <c r="C7294" s="111" t="s">
        <v>17169</v>
      </c>
      <c r="D7294" s="111" t="str">
        <f t="shared" ref="D7294:E7294" si="7292">TRIM(B7294)</f>
        <v>Michigan</v>
      </c>
      <c r="E7294" s="111" t="str">
        <f t="shared" si="7292"/>
        <v>Edwardsburg</v>
      </c>
    </row>
    <row r="7295" spans="1:5">
      <c r="A7295" s="3" t="s">
        <v>17170</v>
      </c>
      <c r="B7295" s="110" t="s">
        <v>1344</v>
      </c>
      <c r="C7295" s="111" t="s">
        <v>17171</v>
      </c>
      <c r="D7295" s="111" t="str">
        <f t="shared" ref="D7295:E7295" si="7293">TRIM(B7295)</f>
        <v>Michigan</v>
      </c>
      <c r="E7295" s="111" t="str">
        <f t="shared" si="7293"/>
        <v>Elk Rapids</v>
      </c>
    </row>
    <row r="7296" spans="1:5">
      <c r="A7296" s="3" t="s">
        <v>17172</v>
      </c>
      <c r="B7296" s="110" t="s">
        <v>1344</v>
      </c>
      <c r="C7296" s="111" t="s">
        <v>17173</v>
      </c>
      <c r="D7296" s="111" t="str">
        <f t="shared" ref="D7296:E7296" si="7294">TRIM(B7296)</f>
        <v>Michigan</v>
      </c>
      <c r="E7296" s="111" t="str">
        <f t="shared" si="7294"/>
        <v>Elsie</v>
      </c>
    </row>
    <row r="7297" spans="1:5">
      <c r="A7297" s="3" t="s">
        <v>17174</v>
      </c>
      <c r="B7297" s="110" t="s">
        <v>1344</v>
      </c>
      <c r="C7297" s="111" t="s">
        <v>1160</v>
      </c>
      <c r="D7297" s="111" t="str">
        <f t="shared" ref="D7297:E7297" si="7295">TRIM(B7297)</f>
        <v>Michigan</v>
      </c>
      <c r="E7297" s="111" t="str">
        <f t="shared" si="7295"/>
        <v>Erie</v>
      </c>
    </row>
    <row r="7298" spans="1:5">
      <c r="A7298" s="3" t="s">
        <v>17175</v>
      </c>
      <c r="B7298" s="110" t="s">
        <v>1344</v>
      </c>
      <c r="C7298" s="111" t="s">
        <v>17176</v>
      </c>
      <c r="D7298" s="111" t="str">
        <f t="shared" ref="D7298:E7298" si="7296">TRIM(B7298)</f>
        <v>Michigan</v>
      </c>
      <c r="E7298" s="111" t="str">
        <f t="shared" si="7296"/>
        <v>Escanaba</v>
      </c>
    </row>
    <row r="7299" spans="1:5">
      <c r="A7299" s="3" t="s">
        <v>17177</v>
      </c>
      <c r="B7299" s="110" t="s">
        <v>1344</v>
      </c>
      <c r="C7299" s="111" t="s">
        <v>17178</v>
      </c>
      <c r="D7299" s="111" t="str">
        <f t="shared" ref="D7299:E7299" si="7297">TRIM(B7299)</f>
        <v>Michigan</v>
      </c>
      <c r="E7299" s="111" t="str">
        <f t="shared" si="7297"/>
        <v>Essexville</v>
      </c>
    </row>
    <row r="7300" spans="1:5">
      <c r="A7300" s="3" t="s">
        <v>17179</v>
      </c>
      <c r="B7300" s="110" t="s">
        <v>1344</v>
      </c>
      <c r="C7300" s="111" t="s">
        <v>17180</v>
      </c>
      <c r="D7300" s="111" t="str">
        <f t="shared" ref="D7300:E7300" si="7298">TRIM(B7300)</f>
        <v>Michigan</v>
      </c>
      <c r="E7300" s="111" t="str">
        <f t="shared" si="7298"/>
        <v>Evart</v>
      </c>
    </row>
    <row r="7301" spans="1:5">
      <c r="A7301" s="3" t="s">
        <v>17181</v>
      </c>
      <c r="B7301" s="110" t="s">
        <v>1344</v>
      </c>
      <c r="C7301" s="111" t="s">
        <v>17182</v>
      </c>
      <c r="D7301" s="111" t="str">
        <f t="shared" ref="D7301:E7301" si="7299">TRIM(B7301)</f>
        <v>Michigan</v>
      </c>
      <c r="E7301" s="111" t="str">
        <f t="shared" si="7299"/>
        <v>Fairgrove</v>
      </c>
    </row>
    <row r="7302" spans="1:5">
      <c r="A7302" s="3" t="s">
        <v>8466</v>
      </c>
      <c r="B7302" s="110" t="s">
        <v>1344</v>
      </c>
      <c r="C7302" s="111" t="s">
        <v>3773</v>
      </c>
      <c r="D7302" s="111" t="str">
        <f t="shared" ref="D7302:E7302" si="7300">TRIM(B7302)</f>
        <v>Michigan</v>
      </c>
      <c r="E7302" s="111" t="str">
        <f t="shared" si="7300"/>
        <v>Farmington</v>
      </c>
    </row>
    <row r="7303" spans="1:5">
      <c r="A7303" s="3" t="s">
        <v>3848</v>
      </c>
      <c r="B7303" s="110" t="s">
        <v>1344</v>
      </c>
      <c r="C7303" s="111" t="s">
        <v>11466</v>
      </c>
      <c r="D7303" s="111" t="str">
        <f t="shared" ref="D7303:E7303" si="7301">TRIM(B7303)</f>
        <v>Michigan</v>
      </c>
      <c r="E7303" s="111" t="str">
        <f t="shared" si="7301"/>
        <v>Farmington Hills</v>
      </c>
    </row>
    <row r="7304" spans="1:5">
      <c r="A7304" s="3" t="s">
        <v>17183</v>
      </c>
      <c r="B7304" s="110" t="s">
        <v>1344</v>
      </c>
      <c r="C7304" s="111" t="s">
        <v>11466</v>
      </c>
      <c r="D7304" s="111" t="str">
        <f t="shared" ref="D7304:E7304" si="7302">TRIM(B7304)</f>
        <v>Michigan</v>
      </c>
      <c r="E7304" s="111" t="str">
        <f t="shared" si="7302"/>
        <v>Farmington Hills</v>
      </c>
    </row>
    <row r="7305" spans="1:5">
      <c r="A7305" s="110" t="s">
        <v>17184</v>
      </c>
      <c r="B7305" s="110" t="s">
        <v>1344</v>
      </c>
      <c r="C7305" s="111" t="s">
        <v>11466</v>
      </c>
      <c r="D7305" s="111" t="str">
        <f t="shared" ref="D7305:E7305" si="7303">TRIM(B7305)</f>
        <v>Michigan</v>
      </c>
      <c r="E7305" s="111" t="str">
        <f t="shared" si="7303"/>
        <v>Farmington Hills</v>
      </c>
    </row>
    <row r="7306" spans="1:5">
      <c r="A7306" s="3" t="s">
        <v>17185</v>
      </c>
      <c r="B7306" s="110" t="s">
        <v>1344</v>
      </c>
      <c r="C7306" s="111" t="s">
        <v>17186</v>
      </c>
      <c r="D7306" s="111" t="str">
        <f t="shared" ref="D7306:E7306" si="7304">TRIM(B7306)</f>
        <v>Michigan</v>
      </c>
      <c r="E7306" s="111" t="str">
        <f t="shared" si="7304"/>
        <v>Farwell</v>
      </c>
    </row>
    <row r="7307" spans="1:5">
      <c r="A7307" s="3" t="s">
        <v>17187</v>
      </c>
      <c r="B7307" s="110" t="s">
        <v>1344</v>
      </c>
      <c r="C7307" s="111" t="s">
        <v>17188</v>
      </c>
      <c r="D7307" s="111" t="str">
        <f t="shared" ref="D7307:E7307" si="7305">TRIM(B7307)</f>
        <v>Michigan</v>
      </c>
      <c r="E7307" s="111" t="str">
        <f t="shared" si="7305"/>
        <v>Fennville</v>
      </c>
    </row>
    <row r="7308" spans="1:5">
      <c r="A7308" s="3" t="s">
        <v>17189</v>
      </c>
      <c r="B7308" s="110" t="s">
        <v>1344</v>
      </c>
      <c r="C7308" s="111" t="s">
        <v>17190</v>
      </c>
      <c r="D7308" s="111" t="str">
        <f t="shared" ref="D7308:E7308" si="7306">TRIM(B7308)</f>
        <v>Michigan</v>
      </c>
      <c r="E7308" s="111" t="str">
        <f t="shared" si="7306"/>
        <v>Fenton</v>
      </c>
    </row>
    <row r="7309" spans="1:5">
      <c r="A7309" s="3" t="s">
        <v>5020</v>
      </c>
      <c r="B7309" s="110" t="s">
        <v>1344</v>
      </c>
      <c r="C7309" s="111" t="s">
        <v>5021</v>
      </c>
      <c r="D7309" s="111" t="str">
        <f t="shared" ref="D7309:E7309" si="7307">TRIM(B7309)</f>
        <v>Michigan</v>
      </c>
      <c r="E7309" s="111" t="str">
        <f t="shared" si="7307"/>
        <v>Ferndale</v>
      </c>
    </row>
    <row r="7310" spans="1:5">
      <c r="A7310" s="3" t="s">
        <v>3364</v>
      </c>
      <c r="B7310" s="110" t="s">
        <v>1344</v>
      </c>
      <c r="C7310" s="111" t="s">
        <v>5021</v>
      </c>
      <c r="D7310" s="111" t="str">
        <f t="shared" ref="D7310:E7310" si="7308">TRIM(B7310)</f>
        <v>Michigan</v>
      </c>
      <c r="E7310" s="111" t="str">
        <f t="shared" si="7308"/>
        <v>Ferndale</v>
      </c>
    </row>
    <row r="7311" spans="1:5">
      <c r="A7311" s="3" t="s">
        <v>17191</v>
      </c>
      <c r="B7311" s="110" t="s">
        <v>1344</v>
      </c>
      <c r="C7311" s="111" t="s">
        <v>17192</v>
      </c>
      <c r="D7311" s="111" t="str">
        <f t="shared" ref="D7311:E7311" si="7309">TRIM(B7311)</f>
        <v>Michigan</v>
      </c>
      <c r="E7311" s="111" t="str">
        <f t="shared" si="7309"/>
        <v>Fife Lake</v>
      </c>
    </row>
    <row r="7312" spans="1:5">
      <c r="A7312" s="3" t="s">
        <v>17193</v>
      </c>
      <c r="B7312" s="110" t="s">
        <v>1344</v>
      </c>
      <c r="C7312" s="111" t="s">
        <v>17194</v>
      </c>
      <c r="D7312" s="111" t="str">
        <f t="shared" ref="D7312:E7312" si="7310">TRIM(B7312)</f>
        <v>Michigan</v>
      </c>
      <c r="E7312" s="111" t="str">
        <f t="shared" si="7310"/>
        <v>Flat Rock</v>
      </c>
    </row>
    <row r="7313" spans="1:5">
      <c r="A7313" s="3" t="s">
        <v>17195</v>
      </c>
      <c r="B7313" s="110" t="s">
        <v>1344</v>
      </c>
      <c r="C7313" s="111" t="s">
        <v>17194</v>
      </c>
      <c r="D7313" s="111" t="str">
        <f t="shared" ref="D7313:E7313" si="7311">TRIM(B7313)</f>
        <v>Michigan</v>
      </c>
      <c r="E7313" s="111" t="str">
        <f t="shared" si="7311"/>
        <v>Flat Rock</v>
      </c>
    </row>
    <row r="7314" spans="1:5">
      <c r="A7314" s="3" t="s">
        <v>17196</v>
      </c>
      <c r="B7314" s="110" t="s">
        <v>1344</v>
      </c>
      <c r="C7314" s="111" t="s">
        <v>17194</v>
      </c>
      <c r="D7314" s="111" t="str">
        <f t="shared" ref="D7314:E7314" si="7312">TRIM(B7314)</f>
        <v>Michigan</v>
      </c>
      <c r="E7314" s="111" t="str">
        <f t="shared" si="7312"/>
        <v>Flat Rock</v>
      </c>
    </row>
    <row r="7315" spans="1:5">
      <c r="A7315" s="3" t="s">
        <v>12045</v>
      </c>
      <c r="B7315" s="110" t="s">
        <v>1344</v>
      </c>
      <c r="C7315" s="111" t="s">
        <v>17197</v>
      </c>
      <c r="D7315" s="111" t="str">
        <f t="shared" ref="D7315:E7315" si="7313">TRIM(B7315)</f>
        <v>Michigan</v>
      </c>
      <c r="E7315" s="111" t="str">
        <f t="shared" si="7313"/>
        <v>Flint</v>
      </c>
    </row>
    <row r="7316" spans="1:5">
      <c r="A7316" s="3" t="s">
        <v>17198</v>
      </c>
      <c r="B7316" s="110" t="s">
        <v>1344</v>
      </c>
      <c r="C7316" s="111" t="s">
        <v>17197</v>
      </c>
      <c r="D7316" s="111" t="str">
        <f t="shared" ref="D7316:E7316" si="7314">TRIM(B7316)</f>
        <v>Michigan</v>
      </c>
      <c r="E7316" s="111" t="str">
        <f t="shared" si="7314"/>
        <v>Flint</v>
      </c>
    </row>
    <row r="7317" spans="1:5">
      <c r="A7317" s="3" t="s">
        <v>17199</v>
      </c>
      <c r="B7317" s="110" t="s">
        <v>1344</v>
      </c>
      <c r="C7317" s="111" t="s">
        <v>17197</v>
      </c>
      <c r="D7317" s="111" t="str">
        <f t="shared" ref="D7317:E7317" si="7315">TRIM(B7317)</f>
        <v>Michigan</v>
      </c>
      <c r="E7317" s="111" t="str">
        <f t="shared" si="7315"/>
        <v>Flint</v>
      </c>
    </row>
    <row r="7318" spans="1:5">
      <c r="A7318" s="110" t="s">
        <v>17200</v>
      </c>
      <c r="B7318" s="110" t="s">
        <v>1344</v>
      </c>
      <c r="C7318" s="111" t="s">
        <v>17197</v>
      </c>
      <c r="D7318" s="111" t="str">
        <f t="shared" ref="D7318:E7318" si="7316">TRIM(B7318)</f>
        <v>Michigan</v>
      </c>
      <c r="E7318" s="111" t="str">
        <f t="shared" si="7316"/>
        <v>Flint</v>
      </c>
    </row>
    <row r="7319" spans="1:5">
      <c r="A7319" s="3" t="s">
        <v>17201</v>
      </c>
      <c r="B7319" s="110" t="s">
        <v>1344</v>
      </c>
      <c r="C7319" s="111" t="s">
        <v>17197</v>
      </c>
      <c r="D7319" s="111" t="str">
        <f t="shared" ref="D7319:E7319" si="7317">TRIM(B7319)</f>
        <v>Michigan</v>
      </c>
      <c r="E7319" s="111" t="str">
        <f t="shared" si="7317"/>
        <v>Flint</v>
      </c>
    </row>
    <row r="7320" spans="1:5">
      <c r="A7320" s="3" t="s">
        <v>17202</v>
      </c>
      <c r="B7320" s="110" t="s">
        <v>1344</v>
      </c>
      <c r="C7320" s="111" t="s">
        <v>17197</v>
      </c>
      <c r="D7320" s="111" t="str">
        <f t="shared" ref="D7320:E7320" si="7318">TRIM(B7320)</f>
        <v>Michigan</v>
      </c>
      <c r="E7320" s="111" t="str">
        <f t="shared" si="7318"/>
        <v>Flint</v>
      </c>
    </row>
    <row r="7321" spans="1:5">
      <c r="A7321" s="3" t="s">
        <v>17203</v>
      </c>
      <c r="B7321" s="110" t="s">
        <v>1344</v>
      </c>
      <c r="C7321" s="111" t="s">
        <v>17197</v>
      </c>
      <c r="D7321" s="111" t="str">
        <f t="shared" ref="D7321:E7321" si="7319">TRIM(B7321)</f>
        <v>Michigan</v>
      </c>
      <c r="E7321" s="111" t="str">
        <f t="shared" si="7319"/>
        <v>Flint</v>
      </c>
    </row>
    <row r="7322" spans="1:5">
      <c r="A7322" s="3" t="s">
        <v>17204</v>
      </c>
      <c r="B7322" s="110" t="s">
        <v>1344</v>
      </c>
      <c r="C7322" s="111" t="s">
        <v>17197</v>
      </c>
      <c r="D7322" s="111" t="str">
        <f t="shared" ref="D7322:E7322" si="7320">TRIM(B7322)</f>
        <v>Michigan</v>
      </c>
      <c r="E7322" s="111" t="str">
        <f t="shared" si="7320"/>
        <v>Flint</v>
      </c>
    </row>
    <row r="7323" spans="1:5">
      <c r="A7323" s="3" t="s">
        <v>17205</v>
      </c>
      <c r="B7323" s="110" t="s">
        <v>1344</v>
      </c>
      <c r="C7323" s="111" t="s">
        <v>318</v>
      </c>
      <c r="D7323" s="111" t="str">
        <f t="shared" ref="D7323:E7323" si="7321">TRIM(B7323)</f>
        <v>Michigan</v>
      </c>
      <c r="E7323" s="111" t="str">
        <f t="shared" si="7321"/>
        <v>Flushing</v>
      </c>
    </row>
    <row r="7324" spans="1:5">
      <c r="A7324" s="3" t="s">
        <v>5061</v>
      </c>
      <c r="B7324" s="110" t="s">
        <v>1344</v>
      </c>
      <c r="C7324" s="111" t="s">
        <v>5062</v>
      </c>
      <c r="D7324" s="111" t="str">
        <f t="shared" ref="D7324:E7324" si="7322">TRIM(B7324)</f>
        <v>Michigan</v>
      </c>
      <c r="E7324" s="111" t="str">
        <f t="shared" si="7322"/>
        <v>Fowler</v>
      </c>
    </row>
    <row r="7325" spans="1:5">
      <c r="A7325" s="3" t="s">
        <v>17206</v>
      </c>
      <c r="B7325" s="110" t="s">
        <v>1344</v>
      </c>
      <c r="C7325" s="111" t="s">
        <v>17207</v>
      </c>
      <c r="D7325" s="111" t="str">
        <f t="shared" ref="D7325:E7325" si="7323">TRIM(B7325)</f>
        <v>Michigan</v>
      </c>
      <c r="E7325" s="111" t="str">
        <f t="shared" si="7323"/>
        <v>Fowlerville</v>
      </c>
    </row>
    <row r="7326" spans="1:5">
      <c r="A7326" s="3" t="s">
        <v>17208</v>
      </c>
      <c r="B7326" s="110" t="s">
        <v>1344</v>
      </c>
      <c r="C7326" s="111" t="s">
        <v>7499</v>
      </c>
      <c r="D7326" s="111" t="str">
        <f t="shared" ref="D7326:E7326" si="7324">TRIM(B7326)</f>
        <v>Michigan</v>
      </c>
      <c r="E7326" s="111" t="str">
        <f t="shared" si="7324"/>
        <v>Frankenmuth</v>
      </c>
    </row>
    <row r="7327" spans="1:5">
      <c r="A7327" s="3" t="s">
        <v>14344</v>
      </c>
      <c r="B7327" s="110" t="s">
        <v>1344</v>
      </c>
      <c r="C7327" s="111" t="s">
        <v>12913</v>
      </c>
      <c r="D7327" s="111" t="str">
        <f t="shared" ref="D7327:E7327" si="7325">TRIM(B7327)</f>
        <v>Michigan</v>
      </c>
      <c r="E7327" s="111" t="str">
        <f t="shared" si="7325"/>
        <v>Frankfort</v>
      </c>
    </row>
    <row r="7328" spans="1:5">
      <c r="A7328" s="3" t="s">
        <v>17209</v>
      </c>
      <c r="B7328" s="110" t="s">
        <v>1344</v>
      </c>
      <c r="C7328" s="111" t="s">
        <v>17210</v>
      </c>
      <c r="D7328" s="111" t="str">
        <f t="shared" ref="D7328:E7328" si="7326">TRIM(B7328)</f>
        <v>Michigan</v>
      </c>
      <c r="E7328" s="111" t="str">
        <f t="shared" si="7326"/>
        <v>Fraser</v>
      </c>
    </row>
    <row r="7329" spans="1:5">
      <c r="A7329" s="3" t="s">
        <v>17211</v>
      </c>
      <c r="B7329" s="110" t="s">
        <v>1344</v>
      </c>
      <c r="C7329" s="111" t="s">
        <v>17210</v>
      </c>
      <c r="D7329" s="111" t="str">
        <f t="shared" ref="D7329:E7329" si="7327">TRIM(B7329)</f>
        <v>Michigan</v>
      </c>
      <c r="E7329" s="111" t="str">
        <f t="shared" si="7327"/>
        <v>Fraser</v>
      </c>
    </row>
    <row r="7330" spans="1:5">
      <c r="A7330" s="3" t="s">
        <v>17212</v>
      </c>
      <c r="B7330" s="110" t="s">
        <v>1344</v>
      </c>
      <c r="C7330" s="111" t="s">
        <v>17213</v>
      </c>
      <c r="D7330" s="111" t="str">
        <f t="shared" ref="D7330:E7330" si="7328">TRIM(B7330)</f>
        <v>Michigan</v>
      </c>
      <c r="E7330" s="111" t="str">
        <f t="shared" si="7328"/>
        <v>Freeland</v>
      </c>
    </row>
    <row r="7331" spans="1:5">
      <c r="A7331" s="3" t="s">
        <v>6162</v>
      </c>
      <c r="B7331" s="110" t="s">
        <v>1344</v>
      </c>
      <c r="C7331" s="111" t="s">
        <v>496</v>
      </c>
      <c r="D7331" s="111" t="str">
        <f t="shared" ref="D7331:E7331" si="7329">TRIM(B7331)</f>
        <v>Michigan</v>
      </c>
      <c r="E7331" s="111" t="str">
        <f t="shared" si="7329"/>
        <v>Fremont</v>
      </c>
    </row>
    <row r="7332" spans="1:5">
      <c r="A7332" s="3" t="s">
        <v>17214</v>
      </c>
      <c r="B7332" s="110" t="s">
        <v>1344</v>
      </c>
      <c r="C7332" s="111" t="s">
        <v>17215</v>
      </c>
      <c r="D7332" s="111" t="str">
        <f t="shared" ref="D7332:E7332" si="7330">TRIM(B7332)</f>
        <v>Michigan</v>
      </c>
      <c r="E7332" s="111" t="str">
        <f t="shared" si="7330"/>
        <v>Fruitport</v>
      </c>
    </row>
    <row r="7333" spans="1:5">
      <c r="A7333" s="3" t="s">
        <v>17216</v>
      </c>
      <c r="B7333" s="110" t="s">
        <v>1344</v>
      </c>
      <c r="C7333" s="111" t="s">
        <v>17215</v>
      </c>
      <c r="D7333" s="111" t="str">
        <f t="shared" ref="D7333:E7333" si="7331">TRIM(B7333)</f>
        <v>Michigan</v>
      </c>
      <c r="E7333" s="111" t="str">
        <f t="shared" si="7331"/>
        <v>Fruitport</v>
      </c>
    </row>
    <row r="7334" spans="1:5">
      <c r="A7334" s="3" t="s">
        <v>17217</v>
      </c>
      <c r="B7334" s="110" t="s">
        <v>1344</v>
      </c>
      <c r="C7334" s="111" t="s">
        <v>5636</v>
      </c>
      <c r="D7334" s="111" t="str">
        <f t="shared" ref="D7334:E7334" si="7332">TRIM(B7334)</f>
        <v>Michigan</v>
      </c>
      <c r="E7334" s="111" t="str">
        <f t="shared" si="7332"/>
        <v>Galesburg</v>
      </c>
    </row>
    <row r="7335" spans="1:5">
      <c r="A7335" s="3" t="s">
        <v>11094</v>
      </c>
      <c r="B7335" s="110" t="s">
        <v>1344</v>
      </c>
      <c r="C7335" s="111" t="s">
        <v>15272</v>
      </c>
      <c r="D7335" s="111" t="str">
        <f t="shared" ref="D7335:E7335" si="7333">TRIM(B7335)</f>
        <v>Michigan</v>
      </c>
      <c r="E7335" s="111" t="str">
        <f t="shared" si="7333"/>
        <v>Garden City</v>
      </c>
    </row>
    <row r="7336" spans="1:5">
      <c r="A7336" s="3" t="s">
        <v>15271</v>
      </c>
      <c r="B7336" s="110" t="s">
        <v>1344</v>
      </c>
      <c r="C7336" s="111" t="s">
        <v>15272</v>
      </c>
      <c r="D7336" s="111" t="str">
        <f t="shared" ref="D7336:E7336" si="7334">TRIM(B7336)</f>
        <v>Michigan</v>
      </c>
      <c r="E7336" s="111" t="str">
        <f t="shared" si="7334"/>
        <v>Garden City</v>
      </c>
    </row>
    <row r="7337" spans="1:5">
      <c r="A7337" s="3" t="s">
        <v>17218</v>
      </c>
      <c r="B7337" s="110" t="s">
        <v>1344</v>
      </c>
      <c r="C7337" s="111" t="s">
        <v>11485</v>
      </c>
      <c r="D7337" s="111" t="str">
        <f t="shared" ref="D7337:E7337" si="7335">TRIM(B7337)</f>
        <v>Michigan</v>
      </c>
      <c r="E7337" s="111" t="str">
        <f t="shared" si="7335"/>
        <v>Gaylord</v>
      </c>
    </row>
    <row r="7338" spans="1:5">
      <c r="A7338" s="3" t="s">
        <v>17219</v>
      </c>
      <c r="B7338" s="110" t="s">
        <v>1344</v>
      </c>
      <c r="C7338" s="111" t="s">
        <v>17220</v>
      </c>
      <c r="D7338" s="111" t="str">
        <f t="shared" ref="D7338:E7338" si="7336">TRIM(B7338)</f>
        <v>Michigan</v>
      </c>
      <c r="E7338" s="111" t="str">
        <f t="shared" si="7336"/>
        <v>Genesee</v>
      </c>
    </row>
    <row r="7339" spans="1:5">
      <c r="A7339" s="3" t="s">
        <v>17221</v>
      </c>
      <c r="B7339" s="110" t="s">
        <v>1344</v>
      </c>
      <c r="C7339" s="111" t="s">
        <v>12055</v>
      </c>
      <c r="D7339" s="111" t="str">
        <f t="shared" ref="D7339:E7339" si="7337">TRIM(B7339)</f>
        <v>Michigan</v>
      </c>
      <c r="E7339" s="111" t="str">
        <f t="shared" si="7337"/>
        <v>Gladstone</v>
      </c>
    </row>
    <row r="7340" spans="1:5">
      <c r="A7340" s="3" t="s">
        <v>17222</v>
      </c>
      <c r="B7340" s="110" t="s">
        <v>1344</v>
      </c>
      <c r="C7340" s="111" t="s">
        <v>17223</v>
      </c>
      <c r="D7340" s="111" t="str">
        <f t="shared" ref="D7340:E7340" si="7338">TRIM(B7340)</f>
        <v>Michigan</v>
      </c>
      <c r="E7340" s="111" t="str">
        <f t="shared" si="7338"/>
        <v>Gladwin</v>
      </c>
    </row>
    <row r="7341" spans="1:5">
      <c r="A7341" s="3" t="s">
        <v>17224</v>
      </c>
      <c r="B7341" s="110" t="s">
        <v>1344</v>
      </c>
      <c r="C7341" s="111" t="s">
        <v>17225</v>
      </c>
      <c r="D7341" s="111" t="str">
        <f t="shared" ref="D7341:E7341" si="7339">TRIM(B7341)</f>
        <v>Michigan</v>
      </c>
      <c r="E7341" s="111" t="str">
        <f t="shared" si="7339"/>
        <v>Gobles</v>
      </c>
    </row>
    <row r="7342" spans="1:5">
      <c r="A7342" s="110" t="s">
        <v>17226</v>
      </c>
      <c r="B7342" s="110" t="s">
        <v>1344</v>
      </c>
      <c r="C7342" s="111" t="s">
        <v>17225</v>
      </c>
      <c r="D7342" s="111" t="str">
        <f t="shared" ref="D7342:E7342" si="7340">TRIM(B7342)</f>
        <v>Michigan</v>
      </c>
      <c r="E7342" s="111" t="str">
        <f t="shared" si="7340"/>
        <v>Gobles</v>
      </c>
    </row>
    <row r="7343" spans="1:5">
      <c r="A7343" s="3" t="s">
        <v>17227</v>
      </c>
      <c r="B7343" s="110" t="s">
        <v>1344</v>
      </c>
      <c r="C7343" s="111" t="s">
        <v>7033</v>
      </c>
      <c r="D7343" s="111" t="str">
        <f t="shared" ref="D7343:E7343" si="7341">TRIM(B7343)</f>
        <v>Michigan</v>
      </c>
      <c r="E7343" s="111" t="str">
        <f t="shared" si="7341"/>
        <v>Goodrich</v>
      </c>
    </row>
    <row r="7344" spans="1:5">
      <c r="A7344" s="3" t="s">
        <v>17228</v>
      </c>
      <c r="B7344" s="110" t="s">
        <v>1344</v>
      </c>
      <c r="C7344" s="111" t="s">
        <v>1174</v>
      </c>
      <c r="D7344" s="111" t="str">
        <f t="shared" ref="D7344:E7344" si="7342">TRIM(B7344)</f>
        <v>Michigan</v>
      </c>
      <c r="E7344" s="111" t="str">
        <f t="shared" si="7342"/>
        <v>Grand Blanc</v>
      </c>
    </row>
    <row r="7345" spans="1:5">
      <c r="A7345" s="3" t="s">
        <v>17229</v>
      </c>
      <c r="B7345" s="110" t="s">
        <v>1344</v>
      </c>
      <c r="C7345" s="111" t="s">
        <v>17230</v>
      </c>
      <c r="D7345" s="111" t="str">
        <f t="shared" ref="D7345:E7345" si="7343">TRIM(B7345)</f>
        <v>Michigan</v>
      </c>
      <c r="E7345" s="111" t="str">
        <f t="shared" si="7343"/>
        <v>Grand Haven</v>
      </c>
    </row>
    <row r="7346" spans="1:5">
      <c r="A7346" s="3" t="s">
        <v>17231</v>
      </c>
      <c r="B7346" s="110" t="s">
        <v>1344</v>
      </c>
      <c r="C7346" s="111" t="s">
        <v>17232</v>
      </c>
      <c r="D7346" s="111" t="str">
        <f t="shared" ref="D7346:E7346" si="7344">TRIM(B7346)</f>
        <v>Michigan</v>
      </c>
      <c r="E7346" s="111" t="str">
        <f t="shared" si="7344"/>
        <v>Grand Ledge</v>
      </c>
    </row>
    <row r="7347" spans="1:5">
      <c r="A7347" s="3" t="s">
        <v>17233</v>
      </c>
      <c r="B7347" s="110" t="s">
        <v>1344</v>
      </c>
      <c r="C7347" s="111" t="s">
        <v>11472</v>
      </c>
      <c r="D7347" s="111" t="str">
        <f t="shared" ref="D7347:E7347" si="7345">TRIM(B7347)</f>
        <v>Michigan</v>
      </c>
      <c r="E7347" s="111" t="str">
        <f t="shared" si="7345"/>
        <v>Grand Rapids</v>
      </c>
    </row>
    <row r="7348" spans="1:5">
      <c r="A7348" s="3" t="s">
        <v>1843</v>
      </c>
      <c r="B7348" s="110" t="s">
        <v>1344</v>
      </c>
      <c r="C7348" s="111" t="s">
        <v>11472</v>
      </c>
      <c r="D7348" s="111" t="str">
        <f t="shared" ref="D7348:E7348" si="7346">TRIM(B7348)</f>
        <v>Michigan</v>
      </c>
      <c r="E7348" s="111" t="str">
        <f t="shared" si="7346"/>
        <v>Grand Rapids</v>
      </c>
    </row>
    <row r="7349" spans="1:5">
      <c r="A7349" s="3" t="s">
        <v>17234</v>
      </c>
      <c r="B7349" s="110" t="s">
        <v>1344</v>
      </c>
      <c r="C7349" s="111" t="s">
        <v>11472</v>
      </c>
      <c r="D7349" s="111" t="str">
        <f t="shared" ref="D7349:E7349" si="7347">TRIM(B7349)</f>
        <v>Michigan</v>
      </c>
      <c r="E7349" s="111" t="str">
        <f t="shared" si="7347"/>
        <v>Grand Rapids</v>
      </c>
    </row>
    <row r="7350" spans="1:5">
      <c r="A7350" s="3" t="s">
        <v>17235</v>
      </c>
      <c r="B7350" s="110" t="s">
        <v>1344</v>
      </c>
      <c r="C7350" s="111" t="s">
        <v>11472</v>
      </c>
      <c r="D7350" s="111" t="str">
        <f t="shared" ref="D7350:E7350" si="7348">TRIM(B7350)</f>
        <v>Michigan</v>
      </c>
      <c r="E7350" s="111" t="str">
        <f t="shared" si="7348"/>
        <v>Grand Rapids</v>
      </c>
    </row>
    <row r="7351" spans="1:5">
      <c r="A7351" s="3" t="s">
        <v>17236</v>
      </c>
      <c r="B7351" s="110" t="s">
        <v>1344</v>
      </c>
      <c r="C7351" s="111" t="s">
        <v>11472</v>
      </c>
      <c r="D7351" s="111" t="str">
        <f t="shared" ref="D7351:E7351" si="7349">TRIM(B7351)</f>
        <v>Michigan</v>
      </c>
      <c r="E7351" s="111" t="str">
        <f t="shared" si="7349"/>
        <v>Grand Rapids</v>
      </c>
    </row>
    <row r="7352" spans="1:5">
      <c r="A7352" s="3" t="s">
        <v>17237</v>
      </c>
      <c r="B7352" s="110" t="s">
        <v>1344</v>
      </c>
      <c r="C7352" s="111" t="s">
        <v>11472</v>
      </c>
      <c r="D7352" s="111" t="str">
        <f t="shared" ref="D7352:E7352" si="7350">TRIM(B7352)</f>
        <v>Michigan</v>
      </c>
      <c r="E7352" s="111" t="str">
        <f t="shared" si="7350"/>
        <v>Grand Rapids</v>
      </c>
    </row>
    <row r="7353" spans="1:5">
      <c r="A7353" s="3" t="s">
        <v>17238</v>
      </c>
      <c r="B7353" s="110" t="s">
        <v>1344</v>
      </c>
      <c r="C7353" s="111" t="s">
        <v>11472</v>
      </c>
      <c r="D7353" s="111" t="str">
        <f t="shared" ref="D7353:E7353" si="7351">TRIM(B7353)</f>
        <v>Michigan</v>
      </c>
      <c r="E7353" s="111" t="str">
        <f t="shared" si="7351"/>
        <v>Grand Rapids</v>
      </c>
    </row>
    <row r="7354" spans="1:5">
      <c r="A7354" s="3" t="s">
        <v>17239</v>
      </c>
      <c r="B7354" s="110" t="s">
        <v>1344</v>
      </c>
      <c r="C7354" s="111" t="s">
        <v>11472</v>
      </c>
      <c r="D7354" s="111" t="str">
        <f t="shared" ref="D7354:E7354" si="7352">TRIM(B7354)</f>
        <v>Michigan</v>
      </c>
      <c r="E7354" s="111" t="str">
        <f t="shared" si="7352"/>
        <v>Grand Rapids</v>
      </c>
    </row>
    <row r="7355" spans="1:5">
      <c r="A7355" s="3" t="s">
        <v>17240</v>
      </c>
      <c r="B7355" s="110" t="s">
        <v>1344</v>
      </c>
      <c r="C7355" s="111" t="s">
        <v>11472</v>
      </c>
      <c r="D7355" s="111" t="str">
        <f t="shared" ref="D7355:E7355" si="7353">TRIM(B7355)</f>
        <v>Michigan</v>
      </c>
      <c r="E7355" s="111" t="str">
        <f t="shared" si="7353"/>
        <v>Grand Rapids</v>
      </c>
    </row>
    <row r="7356" spans="1:5">
      <c r="A7356" s="3" t="s">
        <v>17241</v>
      </c>
      <c r="B7356" s="110" t="s">
        <v>1344</v>
      </c>
      <c r="C7356" s="111" t="s">
        <v>11472</v>
      </c>
      <c r="D7356" s="111" t="str">
        <f t="shared" ref="D7356:E7356" si="7354">TRIM(B7356)</f>
        <v>Michigan</v>
      </c>
      <c r="E7356" s="111" t="str">
        <f t="shared" si="7354"/>
        <v>Grand Rapids</v>
      </c>
    </row>
    <row r="7357" spans="1:5">
      <c r="A7357" s="3" t="s">
        <v>17242</v>
      </c>
      <c r="B7357" s="110" t="s">
        <v>1344</v>
      </c>
      <c r="C7357" s="111" t="s">
        <v>11472</v>
      </c>
      <c r="D7357" s="111" t="str">
        <f t="shared" ref="D7357:E7357" si="7355">TRIM(B7357)</f>
        <v>Michigan</v>
      </c>
      <c r="E7357" s="111" t="str">
        <f t="shared" si="7355"/>
        <v>Grand Rapids</v>
      </c>
    </row>
    <row r="7358" spans="1:5">
      <c r="A7358" s="3" t="s">
        <v>17243</v>
      </c>
      <c r="B7358" s="110" t="s">
        <v>1344</v>
      </c>
      <c r="C7358" s="111" t="s">
        <v>11472</v>
      </c>
      <c r="D7358" s="111" t="str">
        <f t="shared" ref="D7358:E7358" si="7356">TRIM(B7358)</f>
        <v>Michigan</v>
      </c>
      <c r="E7358" s="111" t="str">
        <f t="shared" si="7356"/>
        <v>Grand Rapids</v>
      </c>
    </row>
    <row r="7359" spans="1:5">
      <c r="A7359" s="3" t="s">
        <v>17244</v>
      </c>
      <c r="B7359" s="110" t="s">
        <v>1344</v>
      </c>
      <c r="C7359" s="111" t="s">
        <v>11472</v>
      </c>
      <c r="D7359" s="111" t="str">
        <f t="shared" ref="D7359:E7359" si="7357">TRIM(B7359)</f>
        <v>Michigan</v>
      </c>
      <c r="E7359" s="111" t="str">
        <f t="shared" si="7357"/>
        <v>Grand Rapids</v>
      </c>
    </row>
    <row r="7360" spans="1:5">
      <c r="A7360" s="110" t="s">
        <v>17245</v>
      </c>
      <c r="B7360" s="110" t="s">
        <v>1344</v>
      </c>
      <c r="C7360" s="112" t="s">
        <v>11472</v>
      </c>
      <c r="D7360" s="111" t="str">
        <f t="shared" ref="D7360:E7360" si="7358">TRIM(B7360)</f>
        <v>Michigan</v>
      </c>
      <c r="E7360" s="111" t="str">
        <f t="shared" si="7358"/>
        <v>Grand Rapids</v>
      </c>
    </row>
    <row r="7361" spans="1:5">
      <c r="A7361" s="3" t="s">
        <v>17246</v>
      </c>
      <c r="B7361" s="110" t="s">
        <v>1344</v>
      </c>
      <c r="C7361" s="111" t="s">
        <v>11472</v>
      </c>
      <c r="D7361" s="111" t="str">
        <f t="shared" ref="D7361:E7361" si="7359">TRIM(B7361)</f>
        <v>Michigan</v>
      </c>
      <c r="E7361" s="111" t="str">
        <f t="shared" si="7359"/>
        <v>Grand Rapids</v>
      </c>
    </row>
    <row r="7362" spans="1:5">
      <c r="A7362" s="3" t="s">
        <v>16462</v>
      </c>
      <c r="B7362" s="110" t="s">
        <v>1344</v>
      </c>
      <c r="C7362" s="111" t="s">
        <v>11472</v>
      </c>
      <c r="D7362" s="111" t="str">
        <f t="shared" ref="D7362:E7362" si="7360">TRIM(B7362)</f>
        <v>Michigan</v>
      </c>
      <c r="E7362" s="111" t="str">
        <f t="shared" si="7360"/>
        <v>Grand Rapids</v>
      </c>
    </row>
    <row r="7363" spans="1:5">
      <c r="A7363" s="3" t="s">
        <v>1700</v>
      </c>
      <c r="B7363" s="110" t="s">
        <v>1344</v>
      </c>
      <c r="C7363" s="111" t="s">
        <v>11472</v>
      </c>
      <c r="D7363" s="111" t="str">
        <f t="shared" ref="D7363:E7363" si="7361">TRIM(B7363)</f>
        <v>Michigan</v>
      </c>
      <c r="E7363" s="111" t="str">
        <f t="shared" si="7361"/>
        <v>Grand Rapids</v>
      </c>
    </row>
    <row r="7364" spans="1:5">
      <c r="A7364" s="3" t="s">
        <v>17247</v>
      </c>
      <c r="B7364" s="110" t="s">
        <v>1344</v>
      </c>
      <c r="C7364" s="111" t="s">
        <v>11472</v>
      </c>
      <c r="D7364" s="111" t="str">
        <f t="shared" ref="D7364:E7364" si="7362">TRIM(B7364)</f>
        <v>Michigan</v>
      </c>
      <c r="E7364" s="111" t="str">
        <f t="shared" si="7362"/>
        <v>Grand Rapids</v>
      </c>
    </row>
    <row r="7365" spans="1:5">
      <c r="A7365" s="3" t="s">
        <v>14909</v>
      </c>
      <c r="B7365" s="110" t="s">
        <v>1344</v>
      </c>
      <c r="C7365" s="111" t="s">
        <v>11472</v>
      </c>
      <c r="D7365" s="111" t="str">
        <f t="shared" ref="D7365:E7365" si="7363">TRIM(B7365)</f>
        <v>Michigan</v>
      </c>
      <c r="E7365" s="111" t="str">
        <f t="shared" si="7363"/>
        <v>Grand Rapids</v>
      </c>
    </row>
    <row r="7366" spans="1:5">
      <c r="A7366" s="3" t="s">
        <v>17248</v>
      </c>
      <c r="B7366" s="110" t="s">
        <v>1344</v>
      </c>
      <c r="C7366" s="111" t="s">
        <v>11472</v>
      </c>
      <c r="D7366" s="111" t="str">
        <f t="shared" ref="D7366:E7366" si="7364">TRIM(B7366)</f>
        <v>Michigan</v>
      </c>
      <c r="E7366" s="111" t="str">
        <f t="shared" si="7364"/>
        <v>Grand Rapids</v>
      </c>
    </row>
    <row r="7367" spans="1:5">
      <c r="A7367" s="3" t="s">
        <v>17249</v>
      </c>
      <c r="B7367" s="110" t="s">
        <v>1344</v>
      </c>
      <c r="C7367" s="111" t="s">
        <v>17250</v>
      </c>
      <c r="D7367" s="111" t="str">
        <f t="shared" ref="D7367:E7367" si="7365">TRIM(B7367)</f>
        <v>Michigan</v>
      </c>
      <c r="E7367" s="111" t="str">
        <f t="shared" si="7365"/>
        <v>Grandville</v>
      </c>
    </row>
    <row r="7368" spans="1:5">
      <c r="A7368" s="3" t="s">
        <v>17251</v>
      </c>
      <c r="B7368" s="110" t="s">
        <v>1344</v>
      </c>
      <c r="C7368" s="111" t="s">
        <v>17252</v>
      </c>
      <c r="D7368" s="111" t="str">
        <f t="shared" ref="D7368:E7368" si="7366">TRIM(B7368)</f>
        <v>Michigan</v>
      </c>
      <c r="E7368" s="111" t="str">
        <f t="shared" si="7366"/>
        <v>Grass Lake</v>
      </c>
    </row>
    <row r="7369" spans="1:5">
      <c r="A7369" s="3" t="s">
        <v>17253</v>
      </c>
      <c r="B7369" s="110" t="s">
        <v>1344</v>
      </c>
      <c r="C7369" s="111" t="s">
        <v>17254</v>
      </c>
      <c r="D7369" s="111" t="str">
        <f t="shared" ref="D7369:E7369" si="7367">TRIM(B7369)</f>
        <v>Michigan</v>
      </c>
      <c r="E7369" s="111" t="str">
        <f t="shared" si="7367"/>
        <v>Grayling</v>
      </c>
    </row>
    <row r="7370" spans="1:5">
      <c r="A7370" s="110" t="s">
        <v>17255</v>
      </c>
      <c r="B7370" s="110" t="s">
        <v>1344</v>
      </c>
      <c r="C7370" s="111" t="s">
        <v>17254</v>
      </c>
      <c r="D7370" s="111" t="str">
        <f t="shared" ref="D7370:E7370" si="7368">TRIM(B7370)</f>
        <v>Michigan</v>
      </c>
      <c r="E7370" s="111" t="str">
        <f t="shared" si="7368"/>
        <v>Grayling</v>
      </c>
    </row>
    <row r="7371" spans="1:5">
      <c r="A7371" s="3" t="s">
        <v>17256</v>
      </c>
      <c r="B7371" s="110" t="s">
        <v>1344</v>
      </c>
      <c r="C7371" s="111" t="s">
        <v>1804</v>
      </c>
      <c r="D7371" s="111" t="str">
        <f t="shared" ref="D7371:E7371" si="7369">TRIM(B7371)</f>
        <v>Michigan</v>
      </c>
      <c r="E7371" s="111" t="str">
        <f t="shared" si="7369"/>
        <v>Greenville</v>
      </c>
    </row>
    <row r="7372" spans="1:5">
      <c r="A7372" s="3" t="s">
        <v>17257</v>
      </c>
      <c r="B7372" s="110" t="s">
        <v>1344</v>
      </c>
      <c r="C7372" s="111" t="s">
        <v>1804</v>
      </c>
      <c r="D7372" s="111" t="str">
        <f t="shared" ref="D7372:E7372" si="7370">TRIM(B7372)</f>
        <v>Michigan</v>
      </c>
      <c r="E7372" s="111" t="str">
        <f t="shared" si="7370"/>
        <v>Greenville</v>
      </c>
    </row>
    <row r="7373" spans="1:5">
      <c r="A7373" s="3" t="s">
        <v>17258</v>
      </c>
      <c r="B7373" s="110" t="s">
        <v>1344</v>
      </c>
      <c r="C7373" s="111" t="s">
        <v>17259</v>
      </c>
      <c r="D7373" s="111" t="str">
        <f t="shared" ref="D7373:E7373" si="7371">TRIM(B7373)</f>
        <v>Michigan</v>
      </c>
      <c r="E7373" s="111" t="str">
        <f t="shared" si="7371"/>
        <v>Grosse Ile</v>
      </c>
    </row>
    <row r="7374" spans="1:5">
      <c r="A7374" s="3" t="s">
        <v>17260</v>
      </c>
      <c r="B7374" s="110" t="s">
        <v>1344</v>
      </c>
      <c r="C7374" s="113" t="s">
        <v>17261</v>
      </c>
      <c r="D7374" s="111" t="str">
        <f t="shared" ref="D7374:E7374" si="7372">TRIM(B7374)</f>
        <v>Michigan</v>
      </c>
      <c r="E7374" s="111" t="str">
        <f t="shared" si="7372"/>
        <v>Grosse Pointe Farms</v>
      </c>
    </row>
    <row r="7375" spans="1:5">
      <c r="A7375" s="3" t="s">
        <v>17262</v>
      </c>
      <c r="B7375" s="110" t="s">
        <v>1344</v>
      </c>
      <c r="C7375" s="113" t="s">
        <v>17263</v>
      </c>
      <c r="D7375" s="111" t="str">
        <f t="shared" ref="D7375:E7375" si="7373">TRIM(B7375)</f>
        <v>Michigan</v>
      </c>
      <c r="E7375" s="111" t="str">
        <f t="shared" si="7373"/>
        <v>Grosse Pointe Woods</v>
      </c>
    </row>
    <row r="7376" spans="1:5">
      <c r="A7376" s="3" t="s">
        <v>17264</v>
      </c>
      <c r="B7376" s="110" t="s">
        <v>1344</v>
      </c>
      <c r="C7376" s="111" t="s">
        <v>17265</v>
      </c>
      <c r="D7376" s="111" t="str">
        <f t="shared" ref="D7376:E7376" si="7374">TRIM(B7376)</f>
        <v>Michigan</v>
      </c>
      <c r="E7376" s="111" t="str">
        <f t="shared" si="7374"/>
        <v>Gwinn</v>
      </c>
    </row>
    <row r="7377" spans="1:5">
      <c r="A7377" s="3" t="s">
        <v>17266</v>
      </c>
      <c r="B7377" s="110" t="s">
        <v>1344</v>
      </c>
      <c r="C7377" s="111" t="s">
        <v>17267</v>
      </c>
      <c r="D7377" s="111" t="str">
        <f t="shared" ref="D7377:E7377" si="7375">TRIM(B7377)</f>
        <v>Michigan</v>
      </c>
      <c r="E7377" s="111" t="str">
        <f t="shared" si="7375"/>
        <v>Hale</v>
      </c>
    </row>
    <row r="7378" spans="1:5">
      <c r="A7378" s="3" t="s">
        <v>17268</v>
      </c>
      <c r="B7378" s="110" t="s">
        <v>1344</v>
      </c>
      <c r="C7378" s="111" t="s">
        <v>6636</v>
      </c>
      <c r="D7378" s="111" t="str">
        <f t="shared" ref="D7378:E7378" si="7376">TRIM(B7378)</f>
        <v>Michigan</v>
      </c>
      <c r="E7378" s="111" t="str">
        <f t="shared" si="7376"/>
        <v>Hamtramck</v>
      </c>
    </row>
    <row r="7379" spans="1:5">
      <c r="A7379" s="3" t="s">
        <v>17269</v>
      </c>
      <c r="B7379" s="110" t="s">
        <v>1344</v>
      </c>
      <c r="C7379" s="111" t="s">
        <v>6636</v>
      </c>
      <c r="D7379" s="111" t="str">
        <f t="shared" ref="D7379:E7379" si="7377">TRIM(B7379)</f>
        <v>Michigan</v>
      </c>
      <c r="E7379" s="111" t="str">
        <f t="shared" si="7377"/>
        <v>Hamtramck</v>
      </c>
    </row>
    <row r="7380" spans="1:5">
      <c r="A7380" s="3" t="s">
        <v>17270</v>
      </c>
      <c r="B7380" s="110" t="s">
        <v>1344</v>
      </c>
      <c r="C7380" s="111" t="s">
        <v>16429</v>
      </c>
      <c r="D7380" s="111" t="str">
        <f t="shared" ref="D7380:E7380" si="7378">TRIM(B7380)</f>
        <v>Michigan</v>
      </c>
      <c r="E7380" s="111" t="str">
        <f t="shared" si="7378"/>
        <v>Hancock</v>
      </c>
    </row>
    <row r="7381" spans="1:5">
      <c r="A7381" s="3" t="s">
        <v>17271</v>
      </c>
      <c r="B7381" s="110" t="s">
        <v>1344</v>
      </c>
      <c r="C7381" s="111" t="s">
        <v>17272</v>
      </c>
      <c r="D7381" s="111" t="str">
        <f t="shared" ref="D7381:E7381" si="7379">TRIM(B7381)</f>
        <v>Michigan</v>
      </c>
      <c r="E7381" s="111" t="str">
        <f t="shared" si="7379"/>
        <v>Harbor Beach</v>
      </c>
    </row>
    <row r="7382" spans="1:5">
      <c r="A7382" s="3" t="s">
        <v>17273</v>
      </c>
      <c r="B7382" s="110" t="s">
        <v>1344</v>
      </c>
      <c r="C7382" s="111" t="s">
        <v>17274</v>
      </c>
      <c r="D7382" s="111" t="str">
        <f t="shared" ref="D7382:E7382" si="7380">TRIM(B7382)</f>
        <v>Michigan</v>
      </c>
      <c r="E7382" s="111" t="str">
        <f t="shared" si="7380"/>
        <v>Harbor Spgs</v>
      </c>
    </row>
    <row r="7383" spans="1:5">
      <c r="A7383" s="3" t="s">
        <v>17275</v>
      </c>
      <c r="B7383" s="110" t="s">
        <v>1344</v>
      </c>
      <c r="C7383" s="111" t="s">
        <v>17276</v>
      </c>
      <c r="D7383" s="111" t="str">
        <f t="shared" ref="D7383:E7383" si="7381">TRIM(B7383)</f>
        <v>Michigan</v>
      </c>
      <c r="E7383" s="111" t="str">
        <f t="shared" si="7381"/>
        <v>Harper Woods</v>
      </c>
    </row>
    <row r="7384" spans="1:5">
      <c r="A7384" s="3" t="s">
        <v>17277</v>
      </c>
      <c r="B7384" s="110" t="s">
        <v>1344</v>
      </c>
      <c r="C7384" s="111" t="s">
        <v>17276</v>
      </c>
      <c r="D7384" s="111" t="str">
        <f t="shared" ref="D7384:E7384" si="7382">TRIM(B7384)</f>
        <v>Michigan</v>
      </c>
      <c r="E7384" s="111" t="str">
        <f t="shared" si="7382"/>
        <v>Harper Woods</v>
      </c>
    </row>
    <row r="7385" spans="1:5">
      <c r="A7385" s="3" t="s">
        <v>17278</v>
      </c>
      <c r="B7385" s="110" t="s">
        <v>1344</v>
      </c>
      <c r="C7385" s="111" t="s">
        <v>17279</v>
      </c>
      <c r="D7385" s="111" t="str">
        <f t="shared" ref="D7385:E7385" si="7383">TRIM(B7385)</f>
        <v>Michigan</v>
      </c>
      <c r="E7385" s="111" t="str">
        <f t="shared" si="7383"/>
        <v>Harris</v>
      </c>
    </row>
    <row r="7386" spans="1:5">
      <c r="A7386" s="3" t="s">
        <v>17280</v>
      </c>
      <c r="B7386" s="110" t="s">
        <v>1344</v>
      </c>
      <c r="C7386" s="111" t="s">
        <v>3849</v>
      </c>
      <c r="D7386" s="111" t="str">
        <f t="shared" ref="D7386:E7386" si="7384">TRIM(B7386)</f>
        <v>Michigan</v>
      </c>
      <c r="E7386" s="111" t="str">
        <f t="shared" si="7384"/>
        <v>Harrison</v>
      </c>
    </row>
    <row r="7387" spans="1:5">
      <c r="A7387" s="3" t="s">
        <v>17281</v>
      </c>
      <c r="B7387" s="110" t="s">
        <v>1344</v>
      </c>
      <c r="C7387" s="113" t="s">
        <v>17282</v>
      </c>
      <c r="D7387" s="111" t="str">
        <f t="shared" ref="D7387:E7387" si="7385">TRIM(B7387)</f>
        <v>Michigan</v>
      </c>
      <c r="E7387" s="111" t="str">
        <f t="shared" si="7385"/>
        <v>Harrison Township</v>
      </c>
    </row>
    <row r="7388" spans="1:5">
      <c r="A7388" s="3" t="s">
        <v>17283</v>
      </c>
      <c r="B7388" s="110" t="s">
        <v>1344</v>
      </c>
      <c r="C7388" s="111" t="s">
        <v>17284</v>
      </c>
      <c r="D7388" s="111" t="str">
        <f t="shared" ref="D7388:E7388" si="7386">TRIM(B7388)</f>
        <v>Michigan</v>
      </c>
      <c r="E7388" s="111" t="str">
        <f t="shared" si="7386"/>
        <v>Hart</v>
      </c>
    </row>
    <row r="7389" spans="1:5">
      <c r="A7389" s="3" t="s">
        <v>17285</v>
      </c>
      <c r="B7389" s="110" t="s">
        <v>1344</v>
      </c>
      <c r="C7389" s="111" t="s">
        <v>1832</v>
      </c>
      <c r="D7389" s="111" t="str">
        <f t="shared" ref="D7389:E7389" si="7387">TRIM(B7389)</f>
        <v>Michigan</v>
      </c>
      <c r="E7389" s="111" t="str">
        <f t="shared" si="7387"/>
        <v>Hartford</v>
      </c>
    </row>
    <row r="7390" spans="1:5">
      <c r="A7390" s="3" t="s">
        <v>17286</v>
      </c>
      <c r="B7390" s="110" t="s">
        <v>1344</v>
      </c>
      <c r="C7390" s="111" t="s">
        <v>14307</v>
      </c>
      <c r="D7390" s="111" t="str">
        <f t="shared" ref="D7390:E7390" si="7388">TRIM(B7390)</f>
        <v>Michigan</v>
      </c>
      <c r="E7390" s="111" t="str">
        <f t="shared" si="7388"/>
        <v>Hartland</v>
      </c>
    </row>
    <row r="7391" spans="1:5">
      <c r="A7391" s="3" t="s">
        <v>17287</v>
      </c>
      <c r="B7391" s="110" t="s">
        <v>1344</v>
      </c>
      <c r="C7391" s="111" t="s">
        <v>17288</v>
      </c>
      <c r="D7391" s="111" t="str">
        <f t="shared" ref="D7391:E7391" si="7389">TRIM(B7391)</f>
        <v>Michigan</v>
      </c>
      <c r="E7391" s="111" t="str">
        <f t="shared" si="7389"/>
        <v>Haslett</v>
      </c>
    </row>
    <row r="7392" spans="1:5">
      <c r="A7392" s="3" t="s">
        <v>17289</v>
      </c>
      <c r="B7392" s="110" t="s">
        <v>1344</v>
      </c>
      <c r="C7392" s="111" t="s">
        <v>5100</v>
      </c>
      <c r="D7392" s="111" t="str">
        <f t="shared" ref="D7392:E7392" si="7390">TRIM(B7392)</f>
        <v>Michigan</v>
      </c>
      <c r="E7392" s="111" t="str">
        <f t="shared" si="7390"/>
        <v>Hastings</v>
      </c>
    </row>
    <row r="7393" spans="1:5">
      <c r="A7393" s="3" t="s">
        <v>17290</v>
      </c>
      <c r="B7393" s="110" t="s">
        <v>1344</v>
      </c>
      <c r="C7393" s="111" t="s">
        <v>17291</v>
      </c>
      <c r="D7393" s="111" t="str">
        <f t="shared" ref="D7393:E7393" si="7391">TRIM(B7393)</f>
        <v>Michigan</v>
      </c>
      <c r="E7393" s="111" t="str">
        <f t="shared" si="7391"/>
        <v>Hazel Park</v>
      </c>
    </row>
    <row r="7394" spans="1:5">
      <c r="A7394" s="3" t="s">
        <v>17292</v>
      </c>
      <c r="B7394" s="110" t="s">
        <v>1344</v>
      </c>
      <c r="C7394" s="111" t="s">
        <v>6613</v>
      </c>
      <c r="D7394" s="111" t="str">
        <f t="shared" ref="D7394:E7394" si="7392">TRIM(B7394)</f>
        <v>Michigan</v>
      </c>
      <c r="E7394" s="111" t="str">
        <f t="shared" si="7392"/>
        <v>Hemlock</v>
      </c>
    </row>
    <row r="7395" spans="1:5">
      <c r="A7395" s="110" t="s">
        <v>17293</v>
      </c>
      <c r="B7395" s="110" t="s">
        <v>1344</v>
      </c>
      <c r="C7395" s="111" t="s">
        <v>3199</v>
      </c>
      <c r="D7395" s="111" t="str">
        <f t="shared" ref="D7395:E7395" si="7393">TRIM(B7395)</f>
        <v>Michigan</v>
      </c>
      <c r="E7395" s="111" t="str">
        <f t="shared" si="7393"/>
        <v>Hesperia</v>
      </c>
    </row>
    <row r="7396" spans="1:5">
      <c r="A7396" s="3" t="s">
        <v>5274</v>
      </c>
      <c r="B7396" s="110" t="s">
        <v>1344</v>
      </c>
      <c r="C7396" s="111" t="s">
        <v>3199</v>
      </c>
      <c r="D7396" s="111" t="str">
        <f t="shared" ref="D7396:E7396" si="7394">TRIM(B7396)</f>
        <v>Michigan</v>
      </c>
      <c r="E7396" s="111" t="str">
        <f t="shared" si="7394"/>
        <v>Hesperia</v>
      </c>
    </row>
    <row r="7397" spans="1:5">
      <c r="A7397" s="3" t="s">
        <v>16743</v>
      </c>
      <c r="B7397" s="110" t="s">
        <v>1344</v>
      </c>
      <c r="C7397" s="111" t="s">
        <v>234</v>
      </c>
      <c r="D7397" s="111" t="str">
        <f t="shared" ref="D7397:E7397" si="7395">TRIM(B7397)</f>
        <v>Michigan</v>
      </c>
      <c r="E7397" s="111" t="str">
        <f t="shared" si="7395"/>
        <v>Highland</v>
      </c>
    </row>
    <row r="7398" spans="1:5">
      <c r="A7398" s="3" t="s">
        <v>17294</v>
      </c>
      <c r="B7398" s="110" t="s">
        <v>1344</v>
      </c>
      <c r="C7398" s="111" t="s">
        <v>17295</v>
      </c>
      <c r="D7398" s="111" t="str">
        <f t="shared" ref="D7398:E7398" si="7396">TRIM(B7398)</f>
        <v>Michigan</v>
      </c>
      <c r="E7398" s="111" t="str">
        <f t="shared" si="7396"/>
        <v>Hillman</v>
      </c>
    </row>
    <row r="7399" spans="1:5">
      <c r="A7399" s="3" t="s">
        <v>6992</v>
      </c>
      <c r="B7399" s="110" t="s">
        <v>1344</v>
      </c>
      <c r="C7399" s="111" t="s">
        <v>11457</v>
      </c>
      <c r="D7399" s="111" t="str">
        <f t="shared" ref="D7399:E7399" si="7397">TRIM(B7399)</f>
        <v>Michigan</v>
      </c>
      <c r="E7399" s="111" t="str">
        <f t="shared" si="7397"/>
        <v>Hillsdale</v>
      </c>
    </row>
    <row r="7400" spans="1:5">
      <c r="A7400" s="110" t="s">
        <v>17296</v>
      </c>
      <c r="B7400" s="110" t="s">
        <v>1344</v>
      </c>
      <c r="C7400" s="111" t="s">
        <v>11457</v>
      </c>
      <c r="D7400" s="111" t="str">
        <f t="shared" ref="D7400:E7400" si="7398">TRIM(B7400)</f>
        <v>Michigan</v>
      </c>
      <c r="E7400" s="111" t="str">
        <f t="shared" si="7398"/>
        <v>Hillsdale</v>
      </c>
    </row>
    <row r="7401" spans="1:5">
      <c r="A7401" s="3" t="s">
        <v>17297</v>
      </c>
      <c r="B7401" s="110" t="s">
        <v>1344</v>
      </c>
      <c r="C7401" s="111" t="s">
        <v>11430</v>
      </c>
      <c r="D7401" s="111" t="str">
        <f t="shared" ref="D7401:E7401" si="7399">TRIM(B7401)</f>
        <v>Michigan</v>
      </c>
      <c r="E7401" s="111" t="str">
        <f t="shared" si="7399"/>
        <v>Holland</v>
      </c>
    </row>
    <row r="7402" spans="1:5">
      <c r="A7402" s="3" t="s">
        <v>17298</v>
      </c>
      <c r="B7402" s="110" t="s">
        <v>1344</v>
      </c>
      <c r="C7402" s="111" t="s">
        <v>11430</v>
      </c>
      <c r="D7402" s="111" t="str">
        <f t="shared" ref="D7402:E7402" si="7400">TRIM(B7402)</f>
        <v>Michigan</v>
      </c>
      <c r="E7402" s="111" t="str">
        <f t="shared" si="7400"/>
        <v>Holland</v>
      </c>
    </row>
    <row r="7403" spans="1:5">
      <c r="A7403" s="3" t="s">
        <v>17299</v>
      </c>
      <c r="B7403" s="110" t="s">
        <v>1344</v>
      </c>
      <c r="C7403" s="111" t="s">
        <v>11430</v>
      </c>
      <c r="D7403" s="111" t="str">
        <f t="shared" ref="D7403:E7403" si="7401">TRIM(B7403)</f>
        <v>Michigan</v>
      </c>
      <c r="E7403" s="111" t="str">
        <f t="shared" si="7401"/>
        <v>Holland</v>
      </c>
    </row>
    <row r="7404" spans="1:5">
      <c r="A7404" s="3" t="s">
        <v>7981</v>
      </c>
      <c r="B7404" s="110" t="s">
        <v>1344</v>
      </c>
      <c r="C7404" s="111" t="s">
        <v>7982</v>
      </c>
      <c r="D7404" s="111" t="str">
        <f t="shared" ref="D7404:E7404" si="7402">TRIM(B7404)</f>
        <v>Michigan</v>
      </c>
      <c r="E7404" s="111" t="str">
        <f t="shared" si="7402"/>
        <v>Holly</v>
      </c>
    </row>
    <row r="7405" spans="1:5">
      <c r="A7405" s="3" t="s">
        <v>17300</v>
      </c>
      <c r="B7405" s="110" t="s">
        <v>1344</v>
      </c>
      <c r="C7405" s="111" t="s">
        <v>11463</v>
      </c>
      <c r="D7405" s="111" t="str">
        <f t="shared" ref="D7405:E7405" si="7403">TRIM(B7405)</f>
        <v>Michigan</v>
      </c>
      <c r="E7405" s="111" t="str">
        <f t="shared" si="7403"/>
        <v>Holt</v>
      </c>
    </row>
    <row r="7406" spans="1:5">
      <c r="A7406" s="3" t="s">
        <v>15315</v>
      </c>
      <c r="B7406" s="110" t="s">
        <v>1344</v>
      </c>
      <c r="C7406" s="111" t="s">
        <v>15316</v>
      </c>
      <c r="D7406" s="111" t="str">
        <f t="shared" ref="D7406:E7406" si="7404">TRIM(B7406)</f>
        <v>Michigan</v>
      </c>
      <c r="E7406" s="111" t="str">
        <f t="shared" si="7404"/>
        <v>Holton</v>
      </c>
    </row>
    <row r="7407" spans="1:5">
      <c r="A7407" s="3" t="s">
        <v>17301</v>
      </c>
      <c r="B7407" s="110" t="s">
        <v>1344</v>
      </c>
      <c r="C7407" s="111" t="s">
        <v>239</v>
      </c>
      <c r="D7407" s="111" t="str">
        <f t="shared" ref="D7407:E7407" si="7405">TRIM(B7407)</f>
        <v>Michigan</v>
      </c>
      <c r="E7407" s="111" t="str">
        <f t="shared" si="7405"/>
        <v>Homer</v>
      </c>
    </row>
    <row r="7408" spans="1:5">
      <c r="A7408" s="3" t="s">
        <v>17302</v>
      </c>
      <c r="B7408" s="110" t="s">
        <v>1344</v>
      </c>
      <c r="C7408" s="111" t="s">
        <v>1217</v>
      </c>
      <c r="D7408" s="111" t="str">
        <f t="shared" ref="D7408:E7408" si="7406">TRIM(B7408)</f>
        <v>Michigan</v>
      </c>
      <c r="E7408" s="111" t="str">
        <f t="shared" si="7406"/>
        <v>Hopkins</v>
      </c>
    </row>
    <row r="7409" spans="1:5">
      <c r="A7409" s="3" t="s">
        <v>17303</v>
      </c>
      <c r="B7409" s="110" t="s">
        <v>1344</v>
      </c>
      <c r="C7409" s="111" t="s">
        <v>15319</v>
      </c>
      <c r="D7409" s="111" t="str">
        <f t="shared" ref="D7409:E7409" si="7407">TRIM(B7409)</f>
        <v>Michigan</v>
      </c>
      <c r="E7409" s="111" t="str">
        <f t="shared" si="7407"/>
        <v>Horton</v>
      </c>
    </row>
    <row r="7410" spans="1:5">
      <c r="A7410" s="3" t="s">
        <v>17304</v>
      </c>
      <c r="B7410" s="110" t="s">
        <v>1344</v>
      </c>
      <c r="C7410" s="111" t="s">
        <v>12380</v>
      </c>
      <c r="D7410" s="111" t="str">
        <f t="shared" ref="D7410:E7410" si="7408">TRIM(B7410)</f>
        <v>Michigan</v>
      </c>
      <c r="E7410" s="111" t="str">
        <f t="shared" si="7408"/>
        <v>Houghton</v>
      </c>
    </row>
    <row r="7411" spans="1:5">
      <c r="A7411" s="3" t="s">
        <v>17305</v>
      </c>
      <c r="B7411" s="110" t="s">
        <v>1344</v>
      </c>
      <c r="C7411" s="111" t="s">
        <v>325</v>
      </c>
      <c r="D7411" s="111" t="str">
        <f t="shared" ref="D7411:E7411" si="7409">TRIM(B7411)</f>
        <v>Michigan</v>
      </c>
      <c r="E7411" s="111" t="str">
        <f t="shared" si="7409"/>
        <v>Houghton Lake</v>
      </c>
    </row>
    <row r="7412" spans="1:5">
      <c r="A7412" s="3" t="s">
        <v>17306</v>
      </c>
      <c r="B7412" s="110" t="s">
        <v>1344</v>
      </c>
      <c r="C7412" s="111" t="s">
        <v>4775</v>
      </c>
      <c r="D7412" s="111" t="str">
        <f t="shared" ref="D7412:E7412" si="7410">TRIM(B7412)</f>
        <v>Michigan</v>
      </c>
      <c r="E7412" s="111" t="str">
        <f t="shared" si="7410"/>
        <v>Howell</v>
      </c>
    </row>
    <row r="7413" spans="1:5">
      <c r="A7413" s="3" t="s">
        <v>17307</v>
      </c>
      <c r="B7413" s="110" t="s">
        <v>1344</v>
      </c>
      <c r="C7413" s="111" t="s">
        <v>886</v>
      </c>
      <c r="D7413" s="111" t="str">
        <f t="shared" ref="D7413:E7413" si="7411">TRIM(B7413)</f>
        <v>Michigan</v>
      </c>
      <c r="E7413" s="111" t="str">
        <f t="shared" si="7411"/>
        <v>Hudson</v>
      </c>
    </row>
    <row r="7414" spans="1:5">
      <c r="A7414" s="3" t="s">
        <v>17308</v>
      </c>
      <c r="B7414" s="110" t="s">
        <v>1344</v>
      </c>
      <c r="C7414" s="111" t="s">
        <v>1197</v>
      </c>
      <c r="D7414" s="111" t="str">
        <f t="shared" ref="D7414:E7414" si="7412">TRIM(B7414)</f>
        <v>Michigan</v>
      </c>
      <c r="E7414" s="111" t="str">
        <f t="shared" si="7412"/>
        <v>Hudsonville</v>
      </c>
    </row>
    <row r="7415" spans="1:5">
      <c r="A7415" s="3" t="s">
        <v>17309</v>
      </c>
      <c r="B7415" s="110" t="s">
        <v>1344</v>
      </c>
      <c r="C7415" s="111" t="s">
        <v>17310</v>
      </c>
      <c r="D7415" s="111" t="str">
        <f t="shared" ref="D7415:E7415" si="7413">TRIM(B7415)</f>
        <v>Michigan</v>
      </c>
      <c r="E7415" s="111" t="str">
        <f t="shared" si="7413"/>
        <v>Ida</v>
      </c>
    </row>
    <row r="7416" spans="1:5">
      <c r="A7416" s="3" t="s">
        <v>17311</v>
      </c>
      <c r="B7416" s="110" t="s">
        <v>1344</v>
      </c>
      <c r="C7416" s="111" t="s">
        <v>17312</v>
      </c>
      <c r="D7416" s="111" t="str">
        <f t="shared" ref="D7416:E7416" si="7414">TRIM(B7416)</f>
        <v>Michigan</v>
      </c>
      <c r="E7416" s="111" t="str">
        <f t="shared" si="7414"/>
        <v>Imlay City</v>
      </c>
    </row>
    <row r="7417" spans="1:5">
      <c r="A7417" s="110" t="s">
        <v>17313</v>
      </c>
      <c r="B7417" s="110" t="s">
        <v>1344</v>
      </c>
      <c r="C7417" s="111" t="s">
        <v>17314</v>
      </c>
      <c r="D7417" s="111" t="str">
        <f t="shared" ref="D7417:E7417" si="7415">TRIM(B7417)</f>
        <v>Michigan</v>
      </c>
      <c r="E7417" s="111" t="str">
        <f t="shared" si="7415"/>
        <v>Indian River</v>
      </c>
    </row>
    <row r="7418" spans="1:5">
      <c r="A7418" s="3" t="s">
        <v>17315</v>
      </c>
      <c r="B7418" s="110" t="s">
        <v>1344</v>
      </c>
      <c r="C7418" s="111" t="s">
        <v>17316</v>
      </c>
      <c r="D7418" s="111" t="str">
        <f t="shared" ref="D7418:E7418" si="7416">TRIM(B7418)</f>
        <v>Michigan</v>
      </c>
      <c r="E7418" s="111" t="str">
        <f t="shared" si="7416"/>
        <v>Inkster</v>
      </c>
    </row>
    <row r="7419" spans="1:5">
      <c r="A7419" s="3" t="s">
        <v>17317</v>
      </c>
      <c r="B7419" s="110" t="s">
        <v>1344</v>
      </c>
      <c r="C7419" s="111" t="s">
        <v>17318</v>
      </c>
      <c r="D7419" s="111" t="str">
        <f t="shared" ref="D7419:E7419" si="7417">TRIM(B7419)</f>
        <v>Michigan</v>
      </c>
      <c r="E7419" s="111" t="str">
        <f t="shared" si="7417"/>
        <v>Ira</v>
      </c>
    </row>
    <row r="7420" spans="1:5">
      <c r="A7420" s="3" t="s">
        <v>17319</v>
      </c>
      <c r="B7420" s="110" t="s">
        <v>1344</v>
      </c>
      <c r="C7420" s="111" t="s">
        <v>17320</v>
      </c>
      <c r="D7420" s="111" t="str">
        <f t="shared" ref="D7420:E7420" si="7418">TRIM(B7420)</f>
        <v>Michigan</v>
      </c>
      <c r="E7420" s="111" t="str">
        <f t="shared" si="7418"/>
        <v>Iron Mountain</v>
      </c>
    </row>
    <row r="7421" spans="1:5">
      <c r="A7421" s="3" t="s">
        <v>17321</v>
      </c>
      <c r="B7421" s="110" t="s">
        <v>1344</v>
      </c>
      <c r="C7421" s="111" t="s">
        <v>17322</v>
      </c>
      <c r="D7421" s="111" t="str">
        <f t="shared" ref="D7421:E7421" si="7419">TRIM(B7421)</f>
        <v>Michigan</v>
      </c>
      <c r="E7421" s="111" t="str">
        <f t="shared" si="7419"/>
        <v>Iron River</v>
      </c>
    </row>
    <row r="7422" spans="1:5">
      <c r="A7422" s="3" t="s">
        <v>17323</v>
      </c>
      <c r="B7422" s="110" t="s">
        <v>1344</v>
      </c>
      <c r="C7422" s="111" t="s">
        <v>17324</v>
      </c>
      <c r="D7422" s="111" t="str">
        <f t="shared" ref="D7422:E7422" si="7420">TRIM(B7422)</f>
        <v>Michigan</v>
      </c>
      <c r="E7422" s="111" t="str">
        <f t="shared" si="7420"/>
        <v>Ishpeming</v>
      </c>
    </row>
    <row r="7423" spans="1:5">
      <c r="A7423" s="3" t="s">
        <v>2860</v>
      </c>
      <c r="B7423" s="110" t="s">
        <v>1344</v>
      </c>
      <c r="C7423" s="111" t="s">
        <v>17324</v>
      </c>
      <c r="D7423" s="111" t="str">
        <f t="shared" ref="D7423:E7423" si="7421">TRIM(B7423)</f>
        <v>Michigan</v>
      </c>
      <c r="E7423" s="111" t="str">
        <f t="shared" si="7421"/>
        <v>Ishpeming</v>
      </c>
    </row>
    <row r="7424" spans="1:5">
      <c r="A7424" s="3" t="s">
        <v>17325</v>
      </c>
      <c r="B7424" s="110" t="s">
        <v>1344</v>
      </c>
      <c r="C7424" s="111" t="s">
        <v>12309</v>
      </c>
      <c r="D7424" s="111" t="str">
        <f t="shared" ref="D7424:E7424" si="7422">TRIM(B7424)</f>
        <v>Michigan</v>
      </c>
      <c r="E7424" s="111" t="str">
        <f t="shared" si="7422"/>
        <v>Ithaca</v>
      </c>
    </row>
    <row r="7425" spans="1:5">
      <c r="A7425" s="110" t="s">
        <v>17326</v>
      </c>
      <c r="B7425" s="110" t="s">
        <v>1344</v>
      </c>
      <c r="C7425" s="111" t="s">
        <v>297</v>
      </c>
      <c r="D7425" s="111" t="str">
        <f t="shared" ref="D7425:E7425" si="7423">TRIM(B7425)</f>
        <v>Michigan</v>
      </c>
      <c r="E7425" s="111" t="str">
        <f t="shared" si="7423"/>
        <v>Jackson</v>
      </c>
    </row>
    <row r="7426" spans="1:5">
      <c r="A7426" s="3" t="s">
        <v>1890</v>
      </c>
      <c r="B7426" s="110" t="s">
        <v>1344</v>
      </c>
      <c r="C7426" s="111" t="s">
        <v>297</v>
      </c>
      <c r="D7426" s="111" t="str">
        <f t="shared" ref="D7426:E7426" si="7424">TRIM(B7426)</f>
        <v>Michigan</v>
      </c>
      <c r="E7426" s="111" t="str">
        <f t="shared" si="7424"/>
        <v>Jackson</v>
      </c>
    </row>
    <row r="7427" spans="1:5">
      <c r="A7427" s="110" t="s">
        <v>17327</v>
      </c>
      <c r="B7427" s="110" t="s">
        <v>1344</v>
      </c>
      <c r="C7427" s="111" t="s">
        <v>297</v>
      </c>
      <c r="D7427" s="111" t="str">
        <f t="shared" ref="D7427:E7427" si="7425">TRIM(B7427)</f>
        <v>Michigan</v>
      </c>
      <c r="E7427" s="111" t="str">
        <f t="shared" si="7425"/>
        <v>Jackson</v>
      </c>
    </row>
    <row r="7428" spans="1:5">
      <c r="A7428" s="3" t="s">
        <v>15590</v>
      </c>
      <c r="B7428" s="110" t="s">
        <v>1344</v>
      </c>
      <c r="C7428" s="111" t="s">
        <v>297</v>
      </c>
      <c r="D7428" s="111" t="str">
        <f t="shared" ref="D7428:E7428" si="7426">TRIM(B7428)</f>
        <v>Michigan</v>
      </c>
      <c r="E7428" s="111" t="str">
        <f t="shared" si="7426"/>
        <v>Jackson</v>
      </c>
    </row>
    <row r="7429" spans="1:5">
      <c r="A7429" s="3" t="s">
        <v>17328</v>
      </c>
      <c r="B7429" s="110" t="s">
        <v>1344</v>
      </c>
      <c r="C7429" s="111" t="s">
        <v>297</v>
      </c>
      <c r="D7429" s="111" t="str">
        <f t="shared" ref="D7429:E7429" si="7427">TRIM(B7429)</f>
        <v>Michigan</v>
      </c>
      <c r="E7429" s="111" t="str">
        <f t="shared" si="7427"/>
        <v>Jackson</v>
      </c>
    </row>
    <row r="7430" spans="1:5">
      <c r="A7430" s="3" t="s">
        <v>17329</v>
      </c>
      <c r="B7430" s="110" t="s">
        <v>1344</v>
      </c>
      <c r="C7430" s="111" t="s">
        <v>17330</v>
      </c>
      <c r="D7430" s="111" t="str">
        <f t="shared" ref="D7430:E7430" si="7428">TRIM(B7430)</f>
        <v>Michigan</v>
      </c>
      <c r="E7430" s="111" t="str">
        <f t="shared" si="7428"/>
        <v>Jenison</v>
      </c>
    </row>
    <row r="7431" spans="1:5">
      <c r="A7431" s="3" t="s">
        <v>17331</v>
      </c>
      <c r="B7431" s="110" t="s">
        <v>1344</v>
      </c>
      <c r="C7431" s="111" t="s">
        <v>17332</v>
      </c>
      <c r="D7431" s="111" t="str">
        <f t="shared" ref="D7431:E7431" si="7429">TRIM(B7431)</f>
        <v>Michigan</v>
      </c>
      <c r="E7431" s="111" t="str">
        <f t="shared" si="7429"/>
        <v>Johannesburg</v>
      </c>
    </row>
    <row r="7432" spans="1:5">
      <c r="A7432" s="3" t="s">
        <v>17333</v>
      </c>
      <c r="B7432" s="110" t="s">
        <v>1344</v>
      </c>
      <c r="C7432" s="111" t="s">
        <v>15983</v>
      </c>
      <c r="D7432" s="111" t="str">
        <f t="shared" ref="D7432:E7432" si="7430">TRIM(B7432)</f>
        <v>Michigan</v>
      </c>
      <c r="E7432" s="111" t="str">
        <f t="shared" si="7430"/>
        <v>Jonesville</v>
      </c>
    </row>
    <row r="7433" spans="1:5">
      <c r="A7433" s="3" t="s">
        <v>17334</v>
      </c>
      <c r="B7433" s="110" t="s">
        <v>1344</v>
      </c>
      <c r="C7433" s="111" t="s">
        <v>17335</v>
      </c>
      <c r="D7433" s="111" t="str">
        <f t="shared" ref="D7433:E7433" si="7431">TRIM(B7433)</f>
        <v>Michigan</v>
      </c>
      <c r="E7433" s="111" t="str">
        <f t="shared" si="7431"/>
        <v>Kalamazoo</v>
      </c>
    </row>
    <row r="7434" spans="1:5">
      <c r="A7434" s="110" t="s">
        <v>17336</v>
      </c>
      <c r="B7434" s="110" t="s">
        <v>1344</v>
      </c>
      <c r="C7434" s="111" t="s">
        <v>17335</v>
      </c>
      <c r="D7434" s="111" t="str">
        <f t="shared" ref="D7434:E7434" si="7432">TRIM(B7434)</f>
        <v>Michigan</v>
      </c>
      <c r="E7434" s="111" t="str">
        <f t="shared" si="7432"/>
        <v>Kalamazoo</v>
      </c>
    </row>
    <row r="7435" spans="1:5">
      <c r="A7435" s="3" t="s">
        <v>17337</v>
      </c>
      <c r="B7435" s="110" t="s">
        <v>1344</v>
      </c>
      <c r="C7435" s="111" t="s">
        <v>17335</v>
      </c>
      <c r="D7435" s="111" t="str">
        <f t="shared" ref="D7435:E7435" si="7433">TRIM(B7435)</f>
        <v>Michigan</v>
      </c>
      <c r="E7435" s="111" t="str">
        <f t="shared" si="7433"/>
        <v>Kalamazoo</v>
      </c>
    </row>
    <row r="7436" spans="1:5">
      <c r="A7436" s="3" t="s">
        <v>17338</v>
      </c>
      <c r="B7436" s="110" t="s">
        <v>1344</v>
      </c>
      <c r="C7436" s="111" t="s">
        <v>17335</v>
      </c>
      <c r="D7436" s="111" t="str">
        <f t="shared" ref="D7436:E7436" si="7434">TRIM(B7436)</f>
        <v>Michigan</v>
      </c>
      <c r="E7436" s="111" t="str">
        <f t="shared" si="7434"/>
        <v>Kalamazoo</v>
      </c>
    </row>
    <row r="7437" spans="1:5">
      <c r="A7437" s="3" t="s">
        <v>17339</v>
      </c>
      <c r="B7437" s="110" t="s">
        <v>1344</v>
      </c>
      <c r="C7437" s="111" t="s">
        <v>17335</v>
      </c>
      <c r="D7437" s="111" t="str">
        <f t="shared" ref="D7437:E7437" si="7435">TRIM(B7437)</f>
        <v>Michigan</v>
      </c>
      <c r="E7437" s="111" t="str">
        <f t="shared" si="7435"/>
        <v>Kalamazoo</v>
      </c>
    </row>
    <row r="7438" spans="1:5">
      <c r="A7438" s="3" t="s">
        <v>17340</v>
      </c>
      <c r="B7438" s="110" t="s">
        <v>1344</v>
      </c>
      <c r="C7438" s="111" t="s">
        <v>17335</v>
      </c>
      <c r="D7438" s="111" t="str">
        <f t="shared" ref="D7438:E7438" si="7436">TRIM(B7438)</f>
        <v>Michigan</v>
      </c>
      <c r="E7438" s="111" t="str">
        <f t="shared" si="7436"/>
        <v>Kalamazoo</v>
      </c>
    </row>
    <row r="7439" spans="1:5">
      <c r="A7439" s="3" t="s">
        <v>17341</v>
      </c>
      <c r="B7439" s="110" t="s">
        <v>1344</v>
      </c>
      <c r="C7439" s="111" t="s">
        <v>17335</v>
      </c>
      <c r="D7439" s="111" t="str">
        <f t="shared" ref="D7439:E7439" si="7437">TRIM(B7439)</f>
        <v>Michigan</v>
      </c>
      <c r="E7439" s="111" t="str">
        <f t="shared" si="7437"/>
        <v>Kalamazoo</v>
      </c>
    </row>
    <row r="7440" spans="1:5">
      <c r="A7440" s="3" t="s">
        <v>17342</v>
      </c>
      <c r="B7440" s="110" t="s">
        <v>1344</v>
      </c>
      <c r="C7440" s="111" t="s">
        <v>17343</v>
      </c>
      <c r="D7440" s="111" t="str">
        <f t="shared" ref="D7440:E7440" si="7438">TRIM(B7440)</f>
        <v>Michigan</v>
      </c>
      <c r="E7440" s="111" t="str">
        <f t="shared" si="7438"/>
        <v>Kalkaska</v>
      </c>
    </row>
    <row r="7441" spans="1:5">
      <c r="A7441" s="3" t="s">
        <v>17344</v>
      </c>
      <c r="B7441" s="110" t="s">
        <v>1344</v>
      </c>
      <c r="C7441" s="111" t="s">
        <v>17345</v>
      </c>
      <c r="D7441" s="111" t="str">
        <f t="shared" ref="D7441:E7441" si="7439">TRIM(B7441)</f>
        <v>Michigan</v>
      </c>
      <c r="E7441" s="111" t="str">
        <f t="shared" si="7439"/>
        <v>Kent City</v>
      </c>
    </row>
    <row r="7442" spans="1:5">
      <c r="A7442" s="3" t="s">
        <v>17346</v>
      </c>
      <c r="B7442" s="110" t="s">
        <v>1344</v>
      </c>
      <c r="C7442" s="111" t="s">
        <v>17345</v>
      </c>
      <c r="D7442" s="111" t="str">
        <f t="shared" ref="D7442:E7442" si="7440">TRIM(B7442)</f>
        <v>Michigan</v>
      </c>
      <c r="E7442" s="111" t="str">
        <f t="shared" si="7440"/>
        <v>Kent City</v>
      </c>
    </row>
    <row r="7443" spans="1:5">
      <c r="A7443" s="3" t="s">
        <v>17347</v>
      </c>
      <c r="B7443" s="110" t="s">
        <v>1344</v>
      </c>
      <c r="C7443" s="111" t="s">
        <v>17348</v>
      </c>
      <c r="D7443" s="111" t="str">
        <f t="shared" ref="D7443:E7443" si="7441">TRIM(B7443)</f>
        <v>Michigan</v>
      </c>
      <c r="E7443" s="111" t="str">
        <f t="shared" si="7441"/>
        <v>Kingsford</v>
      </c>
    </row>
    <row r="7444" spans="1:5">
      <c r="A7444" s="3" t="s">
        <v>17349</v>
      </c>
      <c r="B7444" s="110" t="s">
        <v>1344</v>
      </c>
      <c r="C7444" s="111" t="s">
        <v>14907</v>
      </c>
      <c r="D7444" s="111" t="str">
        <f t="shared" ref="D7444:E7444" si="7442">TRIM(B7444)</f>
        <v>Michigan</v>
      </c>
      <c r="E7444" s="111" t="str">
        <f t="shared" si="7442"/>
        <v>Kingsley</v>
      </c>
    </row>
    <row r="7445" spans="1:5">
      <c r="A7445" s="3" t="s">
        <v>3916</v>
      </c>
      <c r="B7445" s="110" t="s">
        <v>1344</v>
      </c>
      <c r="C7445" s="111" t="s">
        <v>3917</v>
      </c>
      <c r="D7445" s="111" t="str">
        <f t="shared" ref="D7445:E7445" si="7443">TRIM(B7445)</f>
        <v>Michigan</v>
      </c>
      <c r="E7445" s="111" t="str">
        <f t="shared" si="7443"/>
        <v>Kingston</v>
      </c>
    </row>
    <row r="7446" spans="1:5">
      <c r="A7446" s="3" t="s">
        <v>17350</v>
      </c>
      <c r="B7446" s="110" t="s">
        <v>1344</v>
      </c>
      <c r="C7446" s="111" t="s">
        <v>17351</v>
      </c>
      <c r="D7446" s="111" t="str">
        <f t="shared" ref="D7446:E7446" si="7444">TRIM(B7446)</f>
        <v>Michigan</v>
      </c>
      <c r="E7446" s="111" t="str">
        <f t="shared" si="7444"/>
        <v>Laingsburg</v>
      </c>
    </row>
    <row r="7447" spans="1:5">
      <c r="A7447" s="3" t="s">
        <v>11656</v>
      </c>
      <c r="B7447" s="110" t="s">
        <v>1344</v>
      </c>
      <c r="C7447" s="111" t="s">
        <v>3922</v>
      </c>
      <c r="D7447" s="111" t="str">
        <f t="shared" ref="D7447:E7447" si="7445">TRIM(B7447)</f>
        <v>Michigan</v>
      </c>
      <c r="E7447" s="111" t="str">
        <f t="shared" si="7445"/>
        <v>Lake City</v>
      </c>
    </row>
    <row r="7448" spans="1:5">
      <c r="A7448" s="3" t="s">
        <v>5451</v>
      </c>
      <c r="B7448" s="110" t="s">
        <v>1344</v>
      </c>
      <c r="C7448" s="111" t="s">
        <v>17352</v>
      </c>
      <c r="D7448" s="111" t="str">
        <f t="shared" ref="D7448:E7448" si="7446">TRIM(B7448)</f>
        <v>Michigan</v>
      </c>
      <c r="E7448" s="111" t="str">
        <f t="shared" si="7446"/>
        <v>Lake Odessa</v>
      </c>
    </row>
    <row r="7449" spans="1:5">
      <c r="A7449" s="3" t="s">
        <v>17353</v>
      </c>
      <c r="B7449" s="110" t="s">
        <v>1344</v>
      </c>
      <c r="C7449" s="111" t="s">
        <v>17354</v>
      </c>
      <c r="D7449" s="111" t="str">
        <f t="shared" ref="D7449:E7449" si="7447">TRIM(B7449)</f>
        <v>Michigan</v>
      </c>
      <c r="E7449" s="111" t="str">
        <f t="shared" si="7447"/>
        <v>Lake Orion</v>
      </c>
    </row>
    <row r="7450" spans="1:5">
      <c r="A7450" s="110" t="s">
        <v>17355</v>
      </c>
      <c r="B7450" s="110" t="s">
        <v>1344</v>
      </c>
      <c r="C7450" s="111" t="s">
        <v>1009</v>
      </c>
      <c r="D7450" s="111" t="str">
        <f t="shared" ref="D7450:E7450" si="7448">TRIM(B7450)</f>
        <v>Michigan</v>
      </c>
      <c r="E7450" s="111" t="str">
        <f t="shared" si="7448"/>
        <v>Lakeland</v>
      </c>
    </row>
    <row r="7451" spans="1:5">
      <c r="A7451" s="3" t="s">
        <v>16963</v>
      </c>
      <c r="B7451" s="110" t="s">
        <v>1344</v>
      </c>
      <c r="C7451" s="111" t="s">
        <v>17356</v>
      </c>
      <c r="D7451" s="111" t="str">
        <f t="shared" ref="D7451:E7451" si="7449">TRIM(B7451)</f>
        <v>Michigan</v>
      </c>
      <c r="E7451" s="111" t="str">
        <f t="shared" si="7449"/>
        <v>Lakeview</v>
      </c>
    </row>
    <row r="7452" spans="1:5">
      <c r="A7452" s="3" t="s">
        <v>8899</v>
      </c>
      <c r="B7452" s="110" t="s">
        <v>1344</v>
      </c>
      <c r="C7452" s="111" t="s">
        <v>10544</v>
      </c>
      <c r="D7452" s="111" t="str">
        <f t="shared" ref="D7452:E7452" si="7450">TRIM(B7452)</f>
        <v>Michigan</v>
      </c>
      <c r="E7452" s="111" t="str">
        <f t="shared" si="7450"/>
        <v>Lansing</v>
      </c>
    </row>
    <row r="7453" spans="1:5">
      <c r="A7453" s="3" t="s">
        <v>16636</v>
      </c>
      <c r="B7453" s="110" t="s">
        <v>1344</v>
      </c>
      <c r="C7453" s="111" t="s">
        <v>10544</v>
      </c>
      <c r="D7453" s="111" t="str">
        <f t="shared" ref="D7453:E7453" si="7451">TRIM(B7453)</f>
        <v>Michigan</v>
      </c>
      <c r="E7453" s="111" t="str">
        <f t="shared" si="7451"/>
        <v>Lansing</v>
      </c>
    </row>
    <row r="7454" spans="1:5">
      <c r="A7454" s="3" t="s">
        <v>17357</v>
      </c>
      <c r="B7454" s="110" t="s">
        <v>1344</v>
      </c>
      <c r="C7454" s="111" t="s">
        <v>10544</v>
      </c>
      <c r="D7454" s="111" t="str">
        <f t="shared" ref="D7454:E7454" si="7452">TRIM(B7454)</f>
        <v>Michigan</v>
      </c>
      <c r="E7454" s="111" t="str">
        <f t="shared" si="7452"/>
        <v>Lansing</v>
      </c>
    </row>
    <row r="7455" spans="1:5">
      <c r="A7455" s="3" t="s">
        <v>17358</v>
      </c>
      <c r="B7455" s="110" t="s">
        <v>1344</v>
      </c>
      <c r="C7455" s="111" t="s">
        <v>10544</v>
      </c>
      <c r="D7455" s="111" t="str">
        <f t="shared" ref="D7455:E7455" si="7453">TRIM(B7455)</f>
        <v>Michigan</v>
      </c>
      <c r="E7455" s="111" t="str">
        <f t="shared" si="7453"/>
        <v>Lansing</v>
      </c>
    </row>
    <row r="7456" spans="1:5">
      <c r="A7456" s="3" t="s">
        <v>17359</v>
      </c>
      <c r="B7456" s="110" t="s">
        <v>1344</v>
      </c>
      <c r="C7456" s="111" t="s">
        <v>17360</v>
      </c>
      <c r="D7456" s="111" t="str">
        <f t="shared" ref="D7456:E7456" si="7454">TRIM(B7456)</f>
        <v>Michigan</v>
      </c>
      <c r="E7456" s="111" t="str">
        <f t="shared" si="7454"/>
        <v>Lapeer</v>
      </c>
    </row>
    <row r="7457" spans="1:5">
      <c r="A7457" s="3" t="s">
        <v>17361</v>
      </c>
      <c r="B7457" s="110" t="s">
        <v>1344</v>
      </c>
      <c r="C7457" s="111" t="s">
        <v>17362</v>
      </c>
      <c r="D7457" s="111" t="str">
        <f t="shared" ref="D7457:E7457" si="7455">TRIM(B7457)</f>
        <v>Michigan</v>
      </c>
      <c r="E7457" s="111" t="str">
        <f t="shared" si="7455"/>
        <v>Lathrup Village</v>
      </c>
    </row>
    <row r="7458" spans="1:5">
      <c r="A7458" s="3" t="s">
        <v>17363</v>
      </c>
      <c r="B7458" s="110" t="s">
        <v>1344</v>
      </c>
      <c r="C7458" s="111" t="s">
        <v>5267</v>
      </c>
      <c r="D7458" s="111" t="str">
        <f t="shared" ref="D7458:E7458" si="7456">TRIM(B7458)</f>
        <v>Michigan</v>
      </c>
      <c r="E7458" s="111" t="str">
        <f t="shared" si="7456"/>
        <v>Lawrence</v>
      </c>
    </row>
    <row r="7459" spans="1:5">
      <c r="A7459" s="3" t="s">
        <v>17364</v>
      </c>
      <c r="B7459" s="110" t="s">
        <v>1344</v>
      </c>
      <c r="C7459" s="111" t="s">
        <v>2925</v>
      </c>
      <c r="D7459" s="111" t="str">
        <f t="shared" ref="D7459:E7459" si="7457">TRIM(B7459)</f>
        <v>Michigan</v>
      </c>
      <c r="E7459" s="111" t="str">
        <f t="shared" si="7457"/>
        <v>Lawton</v>
      </c>
    </row>
    <row r="7460" spans="1:5">
      <c r="A7460" s="3" t="s">
        <v>17365</v>
      </c>
      <c r="B7460" s="110" t="s">
        <v>1344</v>
      </c>
      <c r="C7460" s="111" t="s">
        <v>15366</v>
      </c>
      <c r="D7460" s="111" t="str">
        <f t="shared" ref="D7460:E7460" si="7458">TRIM(B7460)</f>
        <v>Michigan</v>
      </c>
      <c r="E7460" s="111" t="str">
        <f t="shared" si="7458"/>
        <v>Leroy</v>
      </c>
    </row>
    <row r="7461" spans="1:5">
      <c r="A7461" s="3" t="s">
        <v>17366</v>
      </c>
      <c r="B7461" s="110" t="s">
        <v>1344</v>
      </c>
      <c r="C7461" s="111" t="s">
        <v>17367</v>
      </c>
      <c r="D7461" s="111" t="str">
        <f t="shared" ref="D7461:E7461" si="7459">TRIM(B7461)</f>
        <v>Michigan</v>
      </c>
      <c r="E7461" s="111" t="str">
        <f t="shared" si="7459"/>
        <v>Leslie</v>
      </c>
    </row>
    <row r="7462" spans="1:5">
      <c r="A7462" s="3" t="s">
        <v>17368</v>
      </c>
      <c r="B7462" s="110" t="s">
        <v>1344</v>
      </c>
      <c r="C7462" s="111" t="s">
        <v>1283</v>
      </c>
      <c r="D7462" s="111" t="str">
        <f t="shared" ref="D7462:E7462" si="7460">TRIM(B7462)</f>
        <v>Michigan</v>
      </c>
      <c r="E7462" s="111" t="str">
        <f t="shared" si="7460"/>
        <v>Lincoln</v>
      </c>
    </row>
    <row r="7463" spans="1:5">
      <c r="A7463" s="3" t="s">
        <v>12396</v>
      </c>
      <c r="B7463" s="110" t="s">
        <v>1344</v>
      </c>
      <c r="C7463" s="111" t="s">
        <v>17369</v>
      </c>
      <c r="D7463" s="111" t="str">
        <f t="shared" ref="D7463:E7463" si="7461">TRIM(B7463)</f>
        <v>Michigan</v>
      </c>
      <c r="E7463" s="111" t="str">
        <f t="shared" si="7461"/>
        <v>Lincoln Park</v>
      </c>
    </row>
    <row r="7464" spans="1:5">
      <c r="A7464" s="3" t="s">
        <v>17370</v>
      </c>
      <c r="B7464" s="110" t="s">
        <v>1344</v>
      </c>
      <c r="C7464" s="111" t="s">
        <v>298</v>
      </c>
      <c r="D7464" s="111" t="str">
        <f t="shared" ref="D7464:E7464" si="7462">TRIM(B7464)</f>
        <v>Michigan</v>
      </c>
      <c r="E7464" s="111" t="str">
        <f t="shared" si="7462"/>
        <v>Linden</v>
      </c>
    </row>
    <row r="7465" spans="1:5">
      <c r="A7465" s="3" t="s">
        <v>1926</v>
      </c>
      <c r="B7465" s="110" t="s">
        <v>1344</v>
      </c>
      <c r="C7465" s="111" t="s">
        <v>298</v>
      </c>
      <c r="D7465" s="111" t="str">
        <f t="shared" ref="D7465:E7465" si="7463">TRIM(B7465)</f>
        <v>Michigan</v>
      </c>
      <c r="E7465" s="111" t="str">
        <f t="shared" si="7463"/>
        <v>Linden</v>
      </c>
    </row>
    <row r="7466" spans="1:5">
      <c r="A7466" s="3" t="s">
        <v>8529</v>
      </c>
      <c r="B7466" s="110" t="s">
        <v>1344</v>
      </c>
      <c r="C7466" s="111" t="s">
        <v>8531</v>
      </c>
      <c r="D7466" s="111" t="str">
        <f t="shared" ref="D7466:E7466" si="7464">TRIM(B7466)</f>
        <v>Michigan</v>
      </c>
      <c r="E7466" s="111" t="str">
        <f t="shared" si="7464"/>
        <v>Litchfield</v>
      </c>
    </row>
    <row r="7467" spans="1:5">
      <c r="A7467" s="3" t="s">
        <v>17371</v>
      </c>
      <c r="B7467" s="110" t="s">
        <v>1344</v>
      </c>
      <c r="C7467" s="111" t="s">
        <v>16016</v>
      </c>
      <c r="D7467" s="111" t="str">
        <f t="shared" ref="D7467:E7467" si="7465">TRIM(B7467)</f>
        <v>Michigan</v>
      </c>
      <c r="E7467" s="111" t="str">
        <f t="shared" si="7465"/>
        <v>Livonia</v>
      </c>
    </row>
    <row r="7468" spans="1:5">
      <c r="A7468" s="3" t="s">
        <v>17372</v>
      </c>
      <c r="B7468" s="110" t="s">
        <v>1344</v>
      </c>
      <c r="C7468" s="111" t="s">
        <v>16016</v>
      </c>
      <c r="D7468" s="111" t="str">
        <f t="shared" ref="D7468:E7468" si="7466">TRIM(B7468)</f>
        <v>Michigan</v>
      </c>
      <c r="E7468" s="111" t="str">
        <f t="shared" si="7466"/>
        <v>Livonia</v>
      </c>
    </row>
    <row r="7469" spans="1:5">
      <c r="A7469" s="3" t="s">
        <v>4937</v>
      </c>
      <c r="B7469" s="110" t="s">
        <v>1344</v>
      </c>
      <c r="C7469" s="111" t="s">
        <v>16016</v>
      </c>
      <c r="D7469" s="111" t="str">
        <f t="shared" ref="D7469:E7469" si="7467">TRIM(B7469)</f>
        <v>Michigan</v>
      </c>
      <c r="E7469" s="111" t="str">
        <f t="shared" si="7467"/>
        <v>Livonia</v>
      </c>
    </row>
    <row r="7470" spans="1:5">
      <c r="A7470" s="3" t="s">
        <v>17373</v>
      </c>
      <c r="B7470" s="110" t="s">
        <v>1344</v>
      </c>
      <c r="C7470" s="111" t="s">
        <v>16016</v>
      </c>
      <c r="D7470" s="111" t="str">
        <f t="shared" ref="D7470:E7470" si="7468">TRIM(B7470)</f>
        <v>Michigan</v>
      </c>
      <c r="E7470" s="111" t="str">
        <f t="shared" si="7468"/>
        <v>Livonia</v>
      </c>
    </row>
    <row r="7471" spans="1:5">
      <c r="A7471" s="3" t="s">
        <v>14476</v>
      </c>
      <c r="B7471" s="110" t="s">
        <v>1344</v>
      </c>
      <c r="C7471" s="111" t="s">
        <v>1569</v>
      </c>
      <c r="D7471" s="111" t="str">
        <f t="shared" ref="D7471:E7471" si="7469">TRIM(B7471)</f>
        <v>Michigan</v>
      </c>
      <c r="E7471" s="111" t="str">
        <f t="shared" si="7469"/>
        <v>Lowell</v>
      </c>
    </row>
    <row r="7472" spans="1:5">
      <c r="A7472" s="3" t="s">
        <v>17374</v>
      </c>
      <c r="B7472" s="110" t="s">
        <v>1344</v>
      </c>
      <c r="C7472" s="111" t="s">
        <v>17375</v>
      </c>
      <c r="D7472" s="111" t="str">
        <f t="shared" ref="D7472:E7472" si="7470">TRIM(B7472)</f>
        <v>Michigan</v>
      </c>
      <c r="E7472" s="111" t="str">
        <f t="shared" si="7470"/>
        <v>Ludington</v>
      </c>
    </row>
    <row r="7473" spans="1:5">
      <c r="A7473" s="3" t="s">
        <v>17376</v>
      </c>
      <c r="B7473" s="110" t="s">
        <v>1344</v>
      </c>
      <c r="C7473" s="111" t="s">
        <v>17375</v>
      </c>
      <c r="D7473" s="111" t="str">
        <f t="shared" ref="D7473:E7473" si="7471">TRIM(B7473)</f>
        <v>Michigan</v>
      </c>
      <c r="E7473" s="111" t="str">
        <f t="shared" si="7471"/>
        <v>Ludington</v>
      </c>
    </row>
    <row r="7474" spans="1:5">
      <c r="A7474" s="3" t="s">
        <v>17377</v>
      </c>
      <c r="B7474" s="110" t="s">
        <v>1344</v>
      </c>
      <c r="C7474" s="111" t="s">
        <v>13249</v>
      </c>
      <c r="D7474" s="111" t="str">
        <f t="shared" ref="D7474:E7474" si="7472">TRIM(B7474)</f>
        <v>Michigan</v>
      </c>
      <c r="E7474" s="111" t="str">
        <f t="shared" si="7472"/>
        <v>Macomb</v>
      </c>
    </row>
    <row r="7475" spans="1:5">
      <c r="A7475" s="3" t="s">
        <v>17378</v>
      </c>
      <c r="B7475" s="110" t="s">
        <v>1344</v>
      </c>
      <c r="C7475" s="111" t="s">
        <v>13249</v>
      </c>
      <c r="D7475" s="111" t="str">
        <f t="shared" ref="D7475:E7475" si="7473">TRIM(B7475)</f>
        <v>Michigan</v>
      </c>
      <c r="E7475" s="111" t="str">
        <f t="shared" si="7473"/>
        <v>Macomb</v>
      </c>
    </row>
    <row r="7476" spans="1:5">
      <c r="A7476" s="3" t="s">
        <v>17379</v>
      </c>
      <c r="B7476" s="110" t="s">
        <v>1344</v>
      </c>
      <c r="C7476" s="111" t="s">
        <v>17380</v>
      </c>
      <c r="D7476" s="111" t="str">
        <f t="shared" ref="D7476:E7476" si="7474">TRIM(B7476)</f>
        <v>Michigan</v>
      </c>
      <c r="E7476" s="111" t="str">
        <f t="shared" si="7474"/>
        <v>Madison Heights</v>
      </c>
    </row>
    <row r="7477" spans="1:5">
      <c r="A7477" s="3" t="s">
        <v>6772</v>
      </c>
      <c r="B7477" s="110" t="s">
        <v>1344</v>
      </c>
      <c r="C7477" s="111" t="s">
        <v>17380</v>
      </c>
      <c r="D7477" s="111" t="str">
        <f t="shared" ref="D7477:E7477" si="7475">TRIM(B7477)</f>
        <v>Michigan</v>
      </c>
      <c r="E7477" s="111" t="str">
        <f t="shared" si="7475"/>
        <v>Madison Heights</v>
      </c>
    </row>
    <row r="7478" spans="1:5">
      <c r="A7478" s="3" t="s">
        <v>17381</v>
      </c>
      <c r="B7478" s="110" t="s">
        <v>1344</v>
      </c>
      <c r="C7478" s="111" t="s">
        <v>8540</v>
      </c>
      <c r="D7478" s="111" t="str">
        <f t="shared" ref="D7478:E7478" si="7476">TRIM(B7478)</f>
        <v>Michigan</v>
      </c>
      <c r="E7478" s="111" t="str">
        <f t="shared" si="7476"/>
        <v>Manchester</v>
      </c>
    </row>
    <row r="7479" spans="1:5">
      <c r="A7479" s="3" t="s">
        <v>17382</v>
      </c>
      <c r="B7479" s="110" t="s">
        <v>1344</v>
      </c>
      <c r="C7479" s="111" t="s">
        <v>17383</v>
      </c>
      <c r="D7479" s="111" t="str">
        <f t="shared" ref="D7479:E7479" si="7477">TRIM(B7479)</f>
        <v>Michigan</v>
      </c>
      <c r="E7479" s="111" t="str">
        <f t="shared" si="7477"/>
        <v>Manistee</v>
      </c>
    </row>
    <row r="7480" spans="1:5">
      <c r="A7480" s="3" t="s">
        <v>17384</v>
      </c>
      <c r="B7480" s="110" t="s">
        <v>1344</v>
      </c>
      <c r="C7480" s="111" t="s">
        <v>17385</v>
      </c>
      <c r="D7480" s="111" t="str">
        <f t="shared" ref="D7480:E7480" si="7478">TRIM(B7480)</f>
        <v>Michigan</v>
      </c>
      <c r="E7480" s="111" t="str">
        <f t="shared" si="7478"/>
        <v>Manistique</v>
      </c>
    </row>
    <row r="7481" spans="1:5">
      <c r="A7481" s="3" t="s">
        <v>17386</v>
      </c>
      <c r="B7481" s="110" t="s">
        <v>1344</v>
      </c>
      <c r="C7481" s="111" t="s">
        <v>17387</v>
      </c>
      <c r="D7481" s="111" t="str">
        <f t="shared" ref="D7481:E7481" si="7479">TRIM(B7481)</f>
        <v>Michigan</v>
      </c>
      <c r="E7481" s="111" t="str">
        <f t="shared" si="7479"/>
        <v>Manton</v>
      </c>
    </row>
    <row r="7482" spans="1:5">
      <c r="A7482" s="3" t="s">
        <v>17388</v>
      </c>
      <c r="B7482" s="110" t="s">
        <v>1344</v>
      </c>
      <c r="C7482" s="111" t="s">
        <v>17389</v>
      </c>
      <c r="D7482" s="111" t="str">
        <f t="shared" ref="D7482:E7482" si="7480">TRIM(B7482)</f>
        <v>Michigan</v>
      </c>
      <c r="E7482" s="111" t="str">
        <f t="shared" si="7480"/>
        <v>Marcellus</v>
      </c>
    </row>
    <row r="7483" spans="1:5">
      <c r="A7483" s="3" t="s">
        <v>17390</v>
      </c>
      <c r="B7483" s="110" t="s">
        <v>1344</v>
      </c>
      <c r="C7483" s="111" t="s">
        <v>17391</v>
      </c>
      <c r="D7483" s="111" t="str">
        <f t="shared" ref="D7483:E7483" si="7481">TRIM(B7483)</f>
        <v>Michigan</v>
      </c>
      <c r="E7483" s="111" t="str">
        <f t="shared" si="7481"/>
        <v>Marine City</v>
      </c>
    </row>
    <row r="7484" spans="1:5">
      <c r="A7484" s="3" t="s">
        <v>3993</v>
      </c>
      <c r="B7484" s="110" t="s">
        <v>1344</v>
      </c>
      <c r="C7484" s="111" t="s">
        <v>3995</v>
      </c>
      <c r="D7484" s="111" t="str">
        <f t="shared" ref="D7484:E7484" si="7482">TRIM(B7484)</f>
        <v>Michigan</v>
      </c>
      <c r="E7484" s="111" t="str">
        <f t="shared" si="7482"/>
        <v>Marion</v>
      </c>
    </row>
    <row r="7485" spans="1:5">
      <c r="A7485" s="3" t="s">
        <v>17392</v>
      </c>
      <c r="B7485" s="110" t="s">
        <v>1344</v>
      </c>
      <c r="C7485" s="111" t="s">
        <v>17393</v>
      </c>
      <c r="D7485" s="111" t="str">
        <f t="shared" ref="D7485:E7485" si="7483">TRIM(B7485)</f>
        <v>Michigan</v>
      </c>
      <c r="E7485" s="111" t="str">
        <f t="shared" si="7483"/>
        <v>Marlette</v>
      </c>
    </row>
    <row r="7486" spans="1:5">
      <c r="A7486" s="3" t="s">
        <v>17394</v>
      </c>
      <c r="B7486" s="110" t="s">
        <v>1344</v>
      </c>
      <c r="C7486" s="111" t="s">
        <v>17395</v>
      </c>
      <c r="D7486" s="111" t="str">
        <f t="shared" ref="D7486:E7486" si="7484">TRIM(B7486)</f>
        <v>Michigan</v>
      </c>
      <c r="E7486" s="111" t="str">
        <f t="shared" si="7484"/>
        <v>Marquette</v>
      </c>
    </row>
    <row r="7487" spans="1:5">
      <c r="A7487" s="3" t="s">
        <v>4004</v>
      </c>
      <c r="B7487" s="110" t="s">
        <v>1344</v>
      </c>
      <c r="C7487" s="111" t="s">
        <v>1258</v>
      </c>
      <c r="D7487" s="111" t="str">
        <f t="shared" ref="D7487:E7487" si="7485">TRIM(B7487)</f>
        <v>Michigan</v>
      </c>
      <c r="E7487" s="111" t="str">
        <f t="shared" si="7485"/>
        <v>Marshall</v>
      </c>
    </row>
    <row r="7488" spans="1:5">
      <c r="A7488" s="3" t="s">
        <v>17396</v>
      </c>
      <c r="B7488" s="110" t="s">
        <v>1344</v>
      </c>
      <c r="C7488" s="111" t="s">
        <v>17397</v>
      </c>
      <c r="D7488" s="111" t="str">
        <f t="shared" ref="D7488:E7488" si="7486">TRIM(B7488)</f>
        <v>Michigan</v>
      </c>
      <c r="E7488" s="111" t="str">
        <f t="shared" si="7486"/>
        <v>Martin</v>
      </c>
    </row>
    <row r="7489" spans="1:5">
      <c r="A7489" s="3" t="s">
        <v>5902</v>
      </c>
      <c r="B7489" s="110" t="s">
        <v>1344</v>
      </c>
      <c r="C7489" s="111" t="s">
        <v>305</v>
      </c>
      <c r="D7489" s="111" t="str">
        <f t="shared" ref="D7489:E7489" si="7487">TRIM(B7489)</f>
        <v>Michigan</v>
      </c>
      <c r="E7489" s="111" t="str">
        <f t="shared" si="7487"/>
        <v>Marysville</v>
      </c>
    </row>
    <row r="7490" spans="1:5">
      <c r="A7490" s="3" t="s">
        <v>17398</v>
      </c>
      <c r="B7490" s="110" t="s">
        <v>1344</v>
      </c>
      <c r="C7490" s="111" t="s">
        <v>12792</v>
      </c>
      <c r="D7490" s="111" t="str">
        <f t="shared" ref="D7490:E7490" si="7488">TRIM(B7490)</f>
        <v>Michigan</v>
      </c>
      <c r="E7490" s="111" t="str">
        <f t="shared" si="7488"/>
        <v>Mason</v>
      </c>
    </row>
    <row r="7491" spans="1:5">
      <c r="A7491" s="110" t="s">
        <v>17399</v>
      </c>
      <c r="B7491" s="110" t="s">
        <v>1344</v>
      </c>
      <c r="C7491" s="111" t="s">
        <v>12792</v>
      </c>
      <c r="D7491" s="111" t="str">
        <f t="shared" ref="D7491:E7491" si="7489">TRIM(B7491)</f>
        <v>Michigan</v>
      </c>
      <c r="E7491" s="111" t="str">
        <f t="shared" si="7489"/>
        <v>Mason</v>
      </c>
    </row>
    <row r="7492" spans="1:5">
      <c r="A7492" s="3" t="s">
        <v>17400</v>
      </c>
      <c r="B7492" s="110" t="s">
        <v>1344</v>
      </c>
      <c r="C7492" s="111" t="s">
        <v>17401</v>
      </c>
      <c r="D7492" s="111" t="str">
        <f t="shared" ref="D7492:E7492" si="7490">TRIM(B7492)</f>
        <v>Michigan</v>
      </c>
      <c r="E7492" s="111" t="str">
        <f t="shared" si="7490"/>
        <v>Mattawan</v>
      </c>
    </row>
    <row r="7493" spans="1:5">
      <c r="A7493" s="3" t="s">
        <v>17402</v>
      </c>
      <c r="B7493" s="110" t="s">
        <v>1344</v>
      </c>
      <c r="C7493" s="111" t="s">
        <v>17403</v>
      </c>
      <c r="D7493" s="111" t="str">
        <f t="shared" ref="D7493:E7493" si="7491">TRIM(B7493)</f>
        <v>Michigan</v>
      </c>
      <c r="E7493" s="111" t="str">
        <f t="shared" si="7491"/>
        <v>Mayville</v>
      </c>
    </row>
    <row r="7494" spans="1:5">
      <c r="A7494" s="3" t="s">
        <v>17404</v>
      </c>
      <c r="B7494" s="110" t="s">
        <v>1344</v>
      </c>
      <c r="C7494" s="111" t="s">
        <v>17405</v>
      </c>
      <c r="D7494" s="111" t="str">
        <f t="shared" ref="D7494:E7494" si="7492">TRIM(B7494)</f>
        <v>Michigan</v>
      </c>
      <c r="E7494" s="111" t="str">
        <f t="shared" si="7492"/>
        <v>Melvindale</v>
      </c>
    </row>
    <row r="7495" spans="1:5">
      <c r="A7495" s="3" t="s">
        <v>17406</v>
      </c>
      <c r="B7495" s="110" t="s">
        <v>1344</v>
      </c>
      <c r="C7495" s="111" t="s">
        <v>17405</v>
      </c>
      <c r="D7495" s="111" t="str">
        <f t="shared" ref="D7495:E7495" si="7493">TRIM(B7495)</f>
        <v>Michigan</v>
      </c>
      <c r="E7495" s="111" t="str">
        <f t="shared" si="7493"/>
        <v>Melvindale</v>
      </c>
    </row>
    <row r="7496" spans="1:5">
      <c r="A7496" s="3" t="s">
        <v>17407</v>
      </c>
      <c r="B7496" s="110" t="s">
        <v>1344</v>
      </c>
      <c r="C7496" s="111" t="s">
        <v>257</v>
      </c>
      <c r="D7496" s="111" t="str">
        <f t="shared" ref="D7496:E7496" si="7494">TRIM(B7496)</f>
        <v>Michigan</v>
      </c>
      <c r="E7496" s="111" t="str">
        <f t="shared" si="7494"/>
        <v>Memphis</v>
      </c>
    </row>
    <row r="7497" spans="1:5">
      <c r="A7497" s="3" t="s">
        <v>17408</v>
      </c>
      <c r="B7497" s="110" t="s">
        <v>1344</v>
      </c>
      <c r="C7497" s="111" t="s">
        <v>302</v>
      </c>
      <c r="D7497" s="111" t="str">
        <f t="shared" ref="D7497:E7497" si="7495">TRIM(B7497)</f>
        <v>Michigan</v>
      </c>
      <c r="E7497" s="111" t="str">
        <f t="shared" si="7495"/>
        <v>Mendon</v>
      </c>
    </row>
    <row r="7498" spans="1:5">
      <c r="A7498" s="3" t="s">
        <v>17409</v>
      </c>
      <c r="B7498" s="110" t="s">
        <v>1344</v>
      </c>
      <c r="C7498" s="111" t="s">
        <v>17410</v>
      </c>
      <c r="D7498" s="111" t="str">
        <f t="shared" ref="D7498:E7498" si="7496">TRIM(B7498)</f>
        <v>Michigan</v>
      </c>
      <c r="E7498" s="111" t="str">
        <f t="shared" si="7496"/>
        <v>Menominee</v>
      </c>
    </row>
    <row r="7499" spans="1:5">
      <c r="A7499" s="3" t="s">
        <v>17411</v>
      </c>
      <c r="B7499" s="110" t="s">
        <v>1344</v>
      </c>
      <c r="C7499" s="111" t="s">
        <v>474</v>
      </c>
      <c r="D7499" s="111" t="str">
        <f t="shared" ref="D7499:E7499" si="7497">TRIM(B7499)</f>
        <v>Michigan</v>
      </c>
      <c r="E7499" s="111" t="str">
        <f t="shared" si="7497"/>
        <v>Merrill</v>
      </c>
    </row>
    <row r="7500" spans="1:5">
      <c r="A7500" s="3" t="s">
        <v>17412</v>
      </c>
      <c r="B7500" s="110" t="s">
        <v>1344</v>
      </c>
      <c r="C7500" s="111" t="s">
        <v>17413</v>
      </c>
      <c r="D7500" s="111" t="str">
        <f t="shared" ref="D7500:E7500" si="7498">TRIM(B7500)</f>
        <v>Michigan</v>
      </c>
      <c r="E7500" s="111" t="str">
        <f t="shared" si="7498"/>
        <v>Mesick</v>
      </c>
    </row>
    <row r="7501" spans="1:5">
      <c r="A7501" s="3" t="s">
        <v>17414</v>
      </c>
      <c r="B7501" s="110" t="s">
        <v>1344</v>
      </c>
      <c r="C7501" s="111" t="s">
        <v>17415</v>
      </c>
      <c r="D7501" s="111" t="str">
        <f t="shared" ref="D7501:E7501" si="7499">TRIM(B7501)</f>
        <v>Michigan</v>
      </c>
      <c r="E7501" s="111" t="str">
        <f t="shared" si="7499"/>
        <v>Michigan Center</v>
      </c>
    </row>
    <row r="7502" spans="1:5">
      <c r="A7502" s="3" t="s">
        <v>12925</v>
      </c>
      <c r="B7502" s="110" t="s">
        <v>1344</v>
      </c>
      <c r="C7502" s="111" t="s">
        <v>11814</v>
      </c>
      <c r="D7502" s="111" t="str">
        <f t="shared" ref="D7502:E7502" si="7500">TRIM(B7502)</f>
        <v>Michigan</v>
      </c>
      <c r="E7502" s="111" t="str">
        <f t="shared" si="7500"/>
        <v>Middleton</v>
      </c>
    </row>
    <row r="7503" spans="1:5">
      <c r="A7503" s="3" t="s">
        <v>17416</v>
      </c>
      <c r="B7503" s="110" t="s">
        <v>1344</v>
      </c>
      <c r="C7503" s="111" t="s">
        <v>17417</v>
      </c>
      <c r="D7503" s="111" t="str">
        <f t="shared" ref="D7503:E7503" si="7501">TRIM(B7503)</f>
        <v>Michigan</v>
      </c>
      <c r="E7503" s="111" t="str">
        <f t="shared" si="7501"/>
        <v>Middleville</v>
      </c>
    </row>
    <row r="7504" spans="1:5">
      <c r="A7504" s="3" t="s">
        <v>17418</v>
      </c>
      <c r="B7504" s="110" t="s">
        <v>1344</v>
      </c>
      <c r="C7504" s="111" t="s">
        <v>16041</v>
      </c>
      <c r="D7504" s="111" t="str">
        <f t="shared" ref="D7504:E7504" si="7502">TRIM(B7504)</f>
        <v>Michigan</v>
      </c>
      <c r="E7504" s="111" t="str">
        <f t="shared" si="7502"/>
        <v>Midland</v>
      </c>
    </row>
    <row r="7505" spans="1:5">
      <c r="A7505" s="3" t="s">
        <v>17419</v>
      </c>
      <c r="B7505" s="110" t="s">
        <v>1344</v>
      </c>
      <c r="C7505" s="111" t="s">
        <v>16041</v>
      </c>
      <c r="D7505" s="111" t="str">
        <f t="shared" ref="D7505:E7505" si="7503">TRIM(B7505)</f>
        <v>Michigan</v>
      </c>
      <c r="E7505" s="111" t="str">
        <f t="shared" si="7503"/>
        <v>Midland</v>
      </c>
    </row>
    <row r="7506" spans="1:5">
      <c r="A7506" s="3" t="s">
        <v>4139</v>
      </c>
      <c r="B7506" s="110" t="s">
        <v>1344</v>
      </c>
      <c r="C7506" s="111" t="s">
        <v>16041</v>
      </c>
      <c r="D7506" s="111" t="str">
        <f t="shared" ref="D7506:E7506" si="7504">TRIM(B7506)</f>
        <v>Michigan</v>
      </c>
      <c r="E7506" s="111" t="str">
        <f t="shared" si="7504"/>
        <v>Midland</v>
      </c>
    </row>
    <row r="7507" spans="1:5">
      <c r="A7507" s="3" t="s">
        <v>17420</v>
      </c>
      <c r="B7507" s="110" t="s">
        <v>1344</v>
      </c>
      <c r="C7507" s="111" t="s">
        <v>16041</v>
      </c>
      <c r="D7507" s="111" t="str">
        <f t="shared" ref="D7507:E7507" si="7505">TRIM(B7507)</f>
        <v>Michigan</v>
      </c>
      <c r="E7507" s="111" t="str">
        <f t="shared" si="7505"/>
        <v>Midland</v>
      </c>
    </row>
    <row r="7508" spans="1:5">
      <c r="A7508" s="3" t="s">
        <v>14492</v>
      </c>
      <c r="B7508" s="110" t="s">
        <v>1344</v>
      </c>
      <c r="C7508" s="111" t="s">
        <v>14493</v>
      </c>
      <c r="D7508" s="111" t="str">
        <f t="shared" ref="D7508:E7508" si="7506">TRIM(B7508)</f>
        <v>Michigan</v>
      </c>
      <c r="E7508" s="111" t="str">
        <f t="shared" si="7506"/>
        <v>Milan</v>
      </c>
    </row>
    <row r="7509" spans="1:5">
      <c r="A7509" s="3" t="s">
        <v>17421</v>
      </c>
      <c r="B7509" s="110" t="s">
        <v>1344</v>
      </c>
      <c r="C7509" s="111" t="s">
        <v>13588</v>
      </c>
      <c r="D7509" s="111" t="str">
        <f t="shared" ref="D7509:E7509" si="7507">TRIM(B7509)</f>
        <v>Michigan</v>
      </c>
      <c r="E7509" s="111" t="str">
        <f t="shared" si="7507"/>
        <v>Millington</v>
      </c>
    </row>
    <row r="7510" spans="1:5">
      <c r="A7510" s="3" t="s">
        <v>17422</v>
      </c>
      <c r="B7510" s="110" t="s">
        <v>1344</v>
      </c>
      <c r="C7510" s="111" t="s">
        <v>17423</v>
      </c>
      <c r="D7510" s="111" t="str">
        <f t="shared" ref="D7510:E7510" si="7508">TRIM(B7510)</f>
        <v>Michigan</v>
      </c>
      <c r="E7510" s="111" t="str">
        <f t="shared" si="7508"/>
        <v>Mio</v>
      </c>
    </row>
    <row r="7511" spans="1:5">
      <c r="A7511" s="110" t="s">
        <v>17424</v>
      </c>
      <c r="B7511" s="110" t="s">
        <v>1344</v>
      </c>
      <c r="C7511" s="111" t="s">
        <v>380</v>
      </c>
      <c r="D7511" s="111" t="str">
        <f t="shared" ref="D7511:E7511" si="7509">TRIM(B7511)</f>
        <v>Michigan</v>
      </c>
      <c r="E7511" s="111" t="str">
        <f t="shared" si="7509"/>
        <v>Monroe</v>
      </c>
    </row>
    <row r="7512" spans="1:5">
      <c r="A7512" s="110" t="s">
        <v>17425</v>
      </c>
      <c r="B7512" s="110" t="s">
        <v>1344</v>
      </c>
      <c r="C7512" s="111" t="s">
        <v>380</v>
      </c>
      <c r="D7512" s="111" t="str">
        <f t="shared" ref="D7512:E7512" si="7510">TRIM(B7512)</f>
        <v>Michigan</v>
      </c>
      <c r="E7512" s="111" t="str">
        <f t="shared" si="7510"/>
        <v>Monroe</v>
      </c>
    </row>
    <row r="7513" spans="1:5">
      <c r="A7513" s="3" t="s">
        <v>10298</v>
      </c>
      <c r="B7513" s="110" t="s">
        <v>1344</v>
      </c>
      <c r="C7513" s="111" t="s">
        <v>380</v>
      </c>
      <c r="D7513" s="111" t="str">
        <f t="shared" ref="D7513:E7513" si="7511">TRIM(B7513)</f>
        <v>Michigan</v>
      </c>
      <c r="E7513" s="111" t="str">
        <f t="shared" si="7511"/>
        <v>Monroe</v>
      </c>
    </row>
    <row r="7514" spans="1:5">
      <c r="A7514" s="3" t="s">
        <v>17426</v>
      </c>
      <c r="B7514" s="110" t="s">
        <v>1344</v>
      </c>
      <c r="C7514" s="111" t="s">
        <v>16751</v>
      </c>
      <c r="D7514" s="111" t="str">
        <f t="shared" ref="D7514:E7514" si="7512">TRIM(B7514)</f>
        <v>Michigan</v>
      </c>
      <c r="E7514" s="111" t="str">
        <f t="shared" si="7512"/>
        <v>Montague</v>
      </c>
    </row>
    <row r="7515" spans="1:5">
      <c r="A7515" s="3" t="s">
        <v>17427</v>
      </c>
      <c r="B7515" s="110" t="s">
        <v>1344</v>
      </c>
      <c r="C7515" s="111" t="s">
        <v>8117</v>
      </c>
      <c r="D7515" s="111" t="str">
        <f t="shared" ref="D7515:E7515" si="7513">TRIM(B7515)</f>
        <v>Michigan</v>
      </c>
      <c r="E7515" s="111" t="str">
        <f t="shared" si="7513"/>
        <v>Montrose</v>
      </c>
    </row>
    <row r="7516" spans="1:5">
      <c r="A7516" s="3" t="s">
        <v>17428</v>
      </c>
      <c r="B7516" s="110" t="s">
        <v>1344</v>
      </c>
      <c r="C7516" s="111" t="s">
        <v>2867</v>
      </c>
      <c r="D7516" s="111" t="str">
        <f t="shared" ref="D7516:E7516" si="7514">TRIM(B7516)</f>
        <v>Michigan</v>
      </c>
      <c r="E7516" s="111" t="str">
        <f t="shared" si="7514"/>
        <v>Morenci</v>
      </c>
    </row>
    <row r="7517" spans="1:5">
      <c r="A7517" s="3" t="s">
        <v>17429</v>
      </c>
      <c r="B7517" s="110" t="s">
        <v>1344</v>
      </c>
      <c r="C7517" s="111" t="s">
        <v>17430</v>
      </c>
      <c r="D7517" s="111" t="str">
        <f t="shared" ref="D7517:E7517" si="7515">TRIM(B7517)</f>
        <v>Michigan</v>
      </c>
      <c r="E7517" s="111" t="str">
        <f t="shared" si="7515"/>
        <v>Morley</v>
      </c>
    </row>
    <row r="7518" spans="1:5">
      <c r="A7518" s="3" t="s">
        <v>17431</v>
      </c>
      <c r="B7518" s="110" t="s">
        <v>1344</v>
      </c>
      <c r="C7518" s="111" t="s">
        <v>17432</v>
      </c>
      <c r="D7518" s="111" t="str">
        <f t="shared" ref="D7518:E7518" si="7516">TRIM(B7518)</f>
        <v>Michigan</v>
      </c>
      <c r="E7518" s="111" t="str">
        <f t="shared" si="7516"/>
        <v>Morrice</v>
      </c>
    </row>
    <row r="7519" spans="1:5">
      <c r="A7519" s="3" t="s">
        <v>17433</v>
      </c>
      <c r="B7519" s="110" t="s">
        <v>1344</v>
      </c>
      <c r="C7519" s="111" t="s">
        <v>17434</v>
      </c>
      <c r="D7519" s="111" t="str">
        <f t="shared" ref="D7519:E7519" si="7517">TRIM(B7519)</f>
        <v>Michigan</v>
      </c>
      <c r="E7519" s="111" t="str">
        <f t="shared" si="7517"/>
        <v>Mount Clemens</v>
      </c>
    </row>
    <row r="7520" spans="1:5">
      <c r="A7520" s="3" t="s">
        <v>17435</v>
      </c>
      <c r="B7520" s="110" t="s">
        <v>1344</v>
      </c>
      <c r="C7520" s="111" t="s">
        <v>17436</v>
      </c>
      <c r="D7520" s="111" t="str">
        <f t="shared" ref="D7520:E7520" si="7518">TRIM(B7520)</f>
        <v>Michigan</v>
      </c>
      <c r="E7520" s="111" t="str">
        <f t="shared" si="7518"/>
        <v>Mount Morris</v>
      </c>
    </row>
    <row r="7521" spans="1:5">
      <c r="A7521" s="3" t="s">
        <v>17437</v>
      </c>
      <c r="B7521" s="110" t="s">
        <v>1344</v>
      </c>
      <c r="C7521" s="111" t="s">
        <v>398</v>
      </c>
      <c r="D7521" s="111" t="str">
        <f t="shared" ref="D7521:E7521" si="7519">TRIM(B7521)</f>
        <v>Michigan</v>
      </c>
      <c r="E7521" s="111" t="str">
        <f t="shared" si="7519"/>
        <v>Mount Pleasant</v>
      </c>
    </row>
    <row r="7522" spans="1:5">
      <c r="A7522" s="110" t="s">
        <v>17438</v>
      </c>
      <c r="B7522" s="110" t="s">
        <v>1344</v>
      </c>
      <c r="C7522" s="111" t="s">
        <v>398</v>
      </c>
      <c r="D7522" s="111" t="str">
        <f t="shared" ref="D7522:E7522" si="7520">TRIM(B7522)</f>
        <v>Michigan</v>
      </c>
      <c r="E7522" s="111" t="str">
        <f t="shared" si="7520"/>
        <v>Mount Pleasant</v>
      </c>
    </row>
    <row r="7523" spans="1:5">
      <c r="A7523" s="3" t="s">
        <v>17439</v>
      </c>
      <c r="B7523" s="110" t="s">
        <v>1344</v>
      </c>
      <c r="C7523" s="111" t="s">
        <v>398</v>
      </c>
      <c r="D7523" s="111" t="str">
        <f t="shared" ref="D7523:E7523" si="7521">TRIM(B7523)</f>
        <v>Michigan</v>
      </c>
      <c r="E7523" s="111" t="str">
        <f t="shared" si="7521"/>
        <v>Mount Pleasant</v>
      </c>
    </row>
    <row r="7524" spans="1:5">
      <c r="A7524" s="110" t="s">
        <v>17440</v>
      </c>
      <c r="B7524" s="110" t="s">
        <v>1344</v>
      </c>
      <c r="C7524" s="111" t="s">
        <v>398</v>
      </c>
      <c r="D7524" s="111" t="str">
        <f t="shared" ref="D7524:E7524" si="7522">TRIM(B7524)</f>
        <v>Michigan</v>
      </c>
      <c r="E7524" s="111" t="str">
        <f t="shared" si="7522"/>
        <v>Mount Pleasant</v>
      </c>
    </row>
    <row r="7525" spans="1:5">
      <c r="A7525" s="3" t="s">
        <v>17441</v>
      </c>
      <c r="B7525" s="110" t="s">
        <v>1344</v>
      </c>
      <c r="C7525" s="111" t="s">
        <v>17442</v>
      </c>
      <c r="D7525" s="111" t="str">
        <f t="shared" ref="D7525:E7525" si="7523">TRIM(B7525)</f>
        <v>Michigan</v>
      </c>
      <c r="E7525" s="111" t="str">
        <f t="shared" si="7523"/>
        <v>Munising</v>
      </c>
    </row>
    <row r="7526" spans="1:5">
      <c r="A7526" s="3" t="s">
        <v>17443</v>
      </c>
      <c r="B7526" s="110" t="s">
        <v>1344</v>
      </c>
      <c r="C7526" s="111" t="s">
        <v>2361</v>
      </c>
      <c r="D7526" s="111" t="str">
        <f t="shared" ref="D7526:E7526" si="7524">TRIM(B7526)</f>
        <v>Michigan</v>
      </c>
      <c r="E7526" s="111" t="str">
        <f t="shared" si="7524"/>
        <v>Muskegon</v>
      </c>
    </row>
    <row r="7527" spans="1:5">
      <c r="A7527" s="3" t="s">
        <v>17444</v>
      </c>
      <c r="B7527" s="110" t="s">
        <v>1344</v>
      </c>
      <c r="C7527" s="111" t="s">
        <v>2361</v>
      </c>
      <c r="D7527" s="111" t="str">
        <f t="shared" ref="D7527:E7527" si="7525">TRIM(B7527)</f>
        <v>Michigan</v>
      </c>
      <c r="E7527" s="111" t="str">
        <f t="shared" si="7525"/>
        <v>Muskegon</v>
      </c>
    </row>
    <row r="7528" spans="1:5">
      <c r="A7528" s="3" t="s">
        <v>17445</v>
      </c>
      <c r="B7528" s="110" t="s">
        <v>1344</v>
      </c>
      <c r="C7528" s="111" t="s">
        <v>2361</v>
      </c>
      <c r="D7528" s="111" t="str">
        <f t="shared" ref="D7528:E7528" si="7526">TRIM(B7528)</f>
        <v>Michigan</v>
      </c>
      <c r="E7528" s="111" t="str">
        <f t="shared" si="7526"/>
        <v>Muskegon</v>
      </c>
    </row>
    <row r="7529" spans="1:5">
      <c r="A7529" s="3" t="s">
        <v>17446</v>
      </c>
      <c r="B7529" s="110" t="s">
        <v>1344</v>
      </c>
      <c r="C7529" s="111" t="s">
        <v>2361</v>
      </c>
      <c r="D7529" s="111" t="str">
        <f t="shared" ref="D7529:E7529" si="7527">TRIM(B7529)</f>
        <v>Michigan</v>
      </c>
      <c r="E7529" s="111" t="str">
        <f t="shared" si="7527"/>
        <v>Muskegon</v>
      </c>
    </row>
    <row r="7530" spans="1:5">
      <c r="A7530" s="3" t="s">
        <v>17447</v>
      </c>
      <c r="B7530" s="110" t="s">
        <v>1344</v>
      </c>
      <c r="C7530" s="111" t="s">
        <v>2361</v>
      </c>
      <c r="D7530" s="111" t="str">
        <f t="shared" ref="D7530:E7530" si="7528">TRIM(B7530)</f>
        <v>Michigan</v>
      </c>
      <c r="E7530" s="111" t="str">
        <f t="shared" si="7528"/>
        <v>Muskegon</v>
      </c>
    </row>
    <row r="7531" spans="1:5">
      <c r="A7531" s="110" t="s">
        <v>17448</v>
      </c>
      <c r="B7531" s="110" t="s">
        <v>1344</v>
      </c>
      <c r="C7531" s="111" t="s">
        <v>2361</v>
      </c>
      <c r="D7531" s="111" t="str">
        <f t="shared" ref="D7531:E7531" si="7529">TRIM(B7531)</f>
        <v>Michigan</v>
      </c>
      <c r="E7531" s="111" t="str">
        <f t="shared" si="7529"/>
        <v>Muskegon</v>
      </c>
    </row>
    <row r="7532" spans="1:5">
      <c r="A7532" s="3" t="s">
        <v>17449</v>
      </c>
      <c r="B7532" s="110" t="s">
        <v>1344</v>
      </c>
      <c r="C7532" s="111" t="s">
        <v>2361</v>
      </c>
      <c r="D7532" s="111" t="str">
        <f t="shared" ref="D7532:E7532" si="7530">TRIM(B7532)</f>
        <v>Michigan</v>
      </c>
      <c r="E7532" s="111" t="str">
        <f t="shared" si="7530"/>
        <v>Muskegon</v>
      </c>
    </row>
    <row r="7533" spans="1:5">
      <c r="A7533" s="3" t="s">
        <v>17450</v>
      </c>
      <c r="B7533" s="110" t="s">
        <v>1344</v>
      </c>
      <c r="C7533" s="111" t="s">
        <v>2361</v>
      </c>
      <c r="D7533" s="111" t="str">
        <f t="shared" ref="D7533:E7533" si="7531">TRIM(B7533)</f>
        <v>Michigan</v>
      </c>
      <c r="E7533" s="111" t="str">
        <f t="shared" si="7531"/>
        <v>Muskegon</v>
      </c>
    </row>
    <row r="7534" spans="1:5">
      <c r="A7534" s="3" t="s">
        <v>17451</v>
      </c>
      <c r="B7534" s="110" t="s">
        <v>1344</v>
      </c>
      <c r="C7534" s="111" t="s">
        <v>17452</v>
      </c>
      <c r="D7534" s="111" t="str">
        <f t="shared" ref="D7534:E7534" si="7532">TRIM(B7534)</f>
        <v>Michigan</v>
      </c>
      <c r="E7534" s="111" t="str">
        <f t="shared" si="7532"/>
        <v>Napoleon</v>
      </c>
    </row>
    <row r="7535" spans="1:5">
      <c r="A7535" s="3" t="s">
        <v>17453</v>
      </c>
      <c r="B7535" s="110" t="s">
        <v>1344</v>
      </c>
      <c r="C7535" s="111" t="s">
        <v>17454</v>
      </c>
      <c r="D7535" s="111" t="str">
        <f t="shared" ref="D7535:E7535" si="7533">TRIM(B7535)</f>
        <v>Michigan</v>
      </c>
      <c r="E7535" s="111" t="str">
        <f t="shared" si="7533"/>
        <v>Negaunee</v>
      </c>
    </row>
    <row r="7536" spans="1:5">
      <c r="A7536" s="3" t="s">
        <v>16942</v>
      </c>
      <c r="B7536" s="110" t="s">
        <v>1344</v>
      </c>
      <c r="C7536" s="111" t="s">
        <v>17455</v>
      </c>
      <c r="D7536" s="111" t="str">
        <f t="shared" ref="D7536:E7536" si="7534">TRIM(B7536)</f>
        <v>Michigan</v>
      </c>
      <c r="E7536" s="111" t="str">
        <f t="shared" si="7534"/>
        <v>New Boston</v>
      </c>
    </row>
    <row r="7537" spans="1:5">
      <c r="A7537" s="3" t="s">
        <v>17456</v>
      </c>
      <c r="B7537" s="110" t="s">
        <v>1344</v>
      </c>
      <c r="C7537" s="111" t="s">
        <v>17457</v>
      </c>
      <c r="D7537" s="111" t="str">
        <f t="shared" ref="D7537:E7537" si="7535">TRIM(B7537)</f>
        <v>Michigan</v>
      </c>
      <c r="E7537" s="111" t="str">
        <f t="shared" si="7535"/>
        <v>New Buffalo</v>
      </c>
    </row>
    <row r="7538" spans="1:5">
      <c r="A7538" s="3" t="s">
        <v>14528</v>
      </c>
      <c r="B7538" s="110" t="s">
        <v>1344</v>
      </c>
      <c r="C7538" s="111" t="s">
        <v>6967</v>
      </c>
      <c r="D7538" s="111" t="str">
        <f t="shared" ref="D7538:E7538" si="7536">TRIM(B7538)</f>
        <v>Michigan</v>
      </c>
      <c r="E7538" s="111" t="str">
        <f t="shared" si="7536"/>
        <v>New Haven</v>
      </c>
    </row>
    <row r="7539" spans="1:5">
      <c r="A7539" s="3" t="s">
        <v>17458</v>
      </c>
      <c r="B7539" s="110" t="s">
        <v>1344</v>
      </c>
      <c r="C7539" s="111" t="s">
        <v>17459</v>
      </c>
      <c r="D7539" s="111" t="str">
        <f t="shared" ref="D7539:E7539" si="7537">TRIM(B7539)</f>
        <v>Michigan</v>
      </c>
      <c r="E7539" s="111" t="str">
        <f t="shared" si="7537"/>
        <v>New Lothrop</v>
      </c>
    </row>
    <row r="7540" spans="1:5">
      <c r="A7540" s="3" t="s">
        <v>17460</v>
      </c>
      <c r="B7540" s="110" t="s">
        <v>1344</v>
      </c>
      <c r="C7540" s="111" t="s">
        <v>17461</v>
      </c>
      <c r="D7540" s="111" t="str">
        <f t="shared" ref="D7540:E7540" si="7538">TRIM(B7540)</f>
        <v>Michigan</v>
      </c>
      <c r="E7540" s="111" t="str">
        <f t="shared" si="7538"/>
        <v>Newaygo</v>
      </c>
    </row>
    <row r="7541" spans="1:5">
      <c r="A7541" s="3" t="s">
        <v>4802</v>
      </c>
      <c r="B7541" s="110" t="s">
        <v>1344</v>
      </c>
      <c r="C7541" s="111" t="s">
        <v>4078</v>
      </c>
      <c r="D7541" s="111" t="str">
        <f t="shared" ref="D7541:E7541" si="7539">TRIM(B7541)</f>
        <v>Michigan</v>
      </c>
      <c r="E7541" s="111" t="str">
        <f t="shared" si="7539"/>
        <v>Newport</v>
      </c>
    </row>
    <row r="7542" spans="1:5">
      <c r="A7542" s="3" t="s">
        <v>17462</v>
      </c>
      <c r="B7542" s="110" t="s">
        <v>1344</v>
      </c>
      <c r="C7542" s="111" t="s">
        <v>10592</v>
      </c>
      <c r="D7542" s="111" t="str">
        <f t="shared" ref="D7542:E7542" si="7540">TRIM(B7542)</f>
        <v>Michigan</v>
      </c>
      <c r="E7542" s="111" t="str">
        <f t="shared" si="7540"/>
        <v>Niles</v>
      </c>
    </row>
    <row r="7543" spans="1:5">
      <c r="A7543" s="3" t="s">
        <v>17463</v>
      </c>
      <c r="B7543" s="110" t="s">
        <v>1344</v>
      </c>
      <c r="C7543" s="111" t="s">
        <v>10592</v>
      </c>
      <c r="D7543" s="111" t="str">
        <f t="shared" ref="D7543:E7543" si="7541">TRIM(B7543)</f>
        <v>Michigan</v>
      </c>
      <c r="E7543" s="111" t="str">
        <f t="shared" si="7541"/>
        <v>Niles</v>
      </c>
    </row>
    <row r="7544" spans="1:5">
      <c r="A7544" s="3" t="s">
        <v>17464</v>
      </c>
      <c r="B7544" s="110" t="s">
        <v>1344</v>
      </c>
      <c r="C7544" s="111" t="s">
        <v>16769</v>
      </c>
      <c r="D7544" s="111" t="str">
        <f t="shared" ref="D7544:E7544" si="7542">TRIM(B7544)</f>
        <v>Michigan</v>
      </c>
      <c r="E7544" s="111" t="str">
        <f t="shared" si="7542"/>
        <v>North Adams</v>
      </c>
    </row>
    <row r="7545" spans="1:5">
      <c r="A7545" s="3" t="s">
        <v>17465</v>
      </c>
      <c r="B7545" s="110" t="s">
        <v>1344</v>
      </c>
      <c r="C7545" s="111" t="s">
        <v>17466</v>
      </c>
      <c r="D7545" s="111" t="str">
        <f t="shared" ref="D7545:E7545" si="7543">TRIM(B7545)</f>
        <v>Michigan</v>
      </c>
      <c r="E7545" s="111" t="str">
        <f t="shared" si="7543"/>
        <v>North Branch</v>
      </c>
    </row>
    <row r="7546" spans="1:5">
      <c r="A7546" s="3" t="s">
        <v>17467</v>
      </c>
      <c r="B7546" s="110" t="s">
        <v>1344</v>
      </c>
      <c r="C7546" s="111" t="s">
        <v>17468</v>
      </c>
      <c r="D7546" s="111" t="str">
        <f t="shared" ref="D7546:E7546" si="7544">TRIM(B7546)</f>
        <v>Michigan</v>
      </c>
      <c r="E7546" s="111" t="str">
        <f t="shared" si="7544"/>
        <v>Northville</v>
      </c>
    </row>
    <row r="7547" spans="1:5">
      <c r="A7547" s="3" t="s">
        <v>17469</v>
      </c>
      <c r="B7547" s="110" t="s">
        <v>1344</v>
      </c>
      <c r="C7547" s="111" t="s">
        <v>17470</v>
      </c>
      <c r="D7547" s="111" t="str">
        <f t="shared" ref="D7547:E7547" si="7545">TRIM(B7547)</f>
        <v>Michigan</v>
      </c>
      <c r="E7547" s="111" t="str">
        <f t="shared" si="7545"/>
        <v>Norway</v>
      </c>
    </row>
    <row r="7548" spans="1:5">
      <c r="A7548" s="3" t="s">
        <v>17471</v>
      </c>
      <c r="B7548" s="110" t="s">
        <v>1344</v>
      </c>
      <c r="C7548" s="111" t="s">
        <v>17472</v>
      </c>
      <c r="D7548" s="111" t="str">
        <f t="shared" ref="D7548:E7548" si="7546">TRIM(B7548)</f>
        <v>Michigan</v>
      </c>
      <c r="E7548" s="111" t="str">
        <f t="shared" si="7546"/>
        <v>Novi</v>
      </c>
    </row>
    <row r="7549" spans="1:5">
      <c r="A7549" s="3" t="s">
        <v>17473</v>
      </c>
      <c r="B7549" s="110" t="s">
        <v>1344</v>
      </c>
      <c r="C7549" s="111" t="s">
        <v>17472</v>
      </c>
      <c r="D7549" s="111" t="str">
        <f t="shared" ref="D7549:E7549" si="7547">TRIM(B7549)</f>
        <v>Michigan</v>
      </c>
      <c r="E7549" s="111" t="str">
        <f t="shared" si="7547"/>
        <v>Novi</v>
      </c>
    </row>
    <row r="7550" spans="1:5">
      <c r="A7550" s="110" t="s">
        <v>17474</v>
      </c>
      <c r="B7550" s="110" t="s">
        <v>1344</v>
      </c>
      <c r="C7550" s="111" t="s">
        <v>1731</v>
      </c>
      <c r="D7550" s="111" t="str">
        <f t="shared" ref="D7550:E7550" si="7548">TRIM(B7550)</f>
        <v>Michigan</v>
      </c>
      <c r="E7550" s="111" t="str">
        <f t="shared" si="7548"/>
        <v>Oak Park</v>
      </c>
    </row>
    <row r="7551" spans="1:5">
      <c r="A7551" s="3" t="s">
        <v>6115</v>
      </c>
      <c r="B7551" s="110" t="s">
        <v>1344</v>
      </c>
      <c r="C7551" s="111" t="s">
        <v>1731</v>
      </c>
      <c r="D7551" s="111" t="str">
        <f t="shared" ref="D7551:E7551" si="7549">TRIM(B7551)</f>
        <v>Michigan</v>
      </c>
      <c r="E7551" s="111" t="str">
        <f t="shared" si="7549"/>
        <v>Oak Park</v>
      </c>
    </row>
    <row r="7552" spans="1:5">
      <c r="A7552" s="3" t="s">
        <v>17475</v>
      </c>
      <c r="B7552" s="110" t="s">
        <v>1344</v>
      </c>
      <c r="C7552" s="111" t="s">
        <v>2514</v>
      </c>
      <c r="D7552" s="111" t="str">
        <f t="shared" ref="D7552:E7552" si="7550">TRIM(B7552)</f>
        <v>Michigan</v>
      </c>
      <c r="E7552" s="111" t="str">
        <f t="shared" si="7550"/>
        <v>Okemos</v>
      </c>
    </row>
    <row r="7553" spans="1:5">
      <c r="A7553" s="3" t="s">
        <v>17476</v>
      </c>
      <c r="B7553" s="110" t="s">
        <v>1344</v>
      </c>
      <c r="C7553" s="111" t="s">
        <v>2514</v>
      </c>
      <c r="D7553" s="111" t="str">
        <f t="shared" ref="D7553:E7553" si="7551">TRIM(B7553)</f>
        <v>Michigan</v>
      </c>
      <c r="E7553" s="111" t="str">
        <f t="shared" si="7551"/>
        <v>Okemos</v>
      </c>
    </row>
    <row r="7554" spans="1:5">
      <c r="A7554" s="3" t="s">
        <v>17477</v>
      </c>
      <c r="B7554" s="110" t="s">
        <v>1344</v>
      </c>
      <c r="C7554" s="111" t="s">
        <v>17478</v>
      </c>
      <c r="D7554" s="111" t="str">
        <f t="shared" ref="D7554:E7554" si="7552">TRIM(B7554)</f>
        <v>Michigan</v>
      </c>
      <c r="E7554" s="111" t="str">
        <f t="shared" si="7552"/>
        <v>Olivet</v>
      </c>
    </row>
    <row r="7555" spans="1:5">
      <c r="A7555" s="3" t="s">
        <v>17479</v>
      </c>
      <c r="B7555" s="110" t="s">
        <v>1344</v>
      </c>
      <c r="C7555" s="111" t="s">
        <v>17480</v>
      </c>
      <c r="D7555" s="111" t="str">
        <f t="shared" ref="D7555:E7555" si="7553">TRIM(B7555)</f>
        <v>Michigan</v>
      </c>
      <c r="E7555" s="111" t="str">
        <f t="shared" si="7553"/>
        <v>Onaway</v>
      </c>
    </row>
    <row r="7556" spans="1:5">
      <c r="A7556" s="3" t="s">
        <v>17481</v>
      </c>
      <c r="B7556" s="110" t="s">
        <v>1344</v>
      </c>
      <c r="C7556" s="111" t="s">
        <v>17482</v>
      </c>
      <c r="D7556" s="111" t="str">
        <f t="shared" ref="D7556:E7556" si="7554">TRIM(B7556)</f>
        <v>Michigan</v>
      </c>
      <c r="E7556" s="111" t="str">
        <f t="shared" si="7554"/>
        <v>Onsted</v>
      </c>
    </row>
    <row r="7557" spans="1:5">
      <c r="A7557" s="3" t="s">
        <v>9004</v>
      </c>
      <c r="B7557" s="110" t="s">
        <v>1344</v>
      </c>
      <c r="C7557" s="112" t="s">
        <v>17483</v>
      </c>
      <c r="D7557" s="111" t="str">
        <f t="shared" ref="D7557:E7557" si="7555">TRIM(B7557)</f>
        <v>Michigan</v>
      </c>
      <c r="E7557" s="111" t="str">
        <f t="shared" si="7555"/>
        <v>Ortonville</v>
      </c>
    </row>
    <row r="7558" spans="1:5">
      <c r="A7558" s="3" t="s">
        <v>17484</v>
      </c>
      <c r="B7558" s="110" t="s">
        <v>1344</v>
      </c>
      <c r="C7558" s="111" t="s">
        <v>17485</v>
      </c>
      <c r="D7558" s="111" t="str">
        <f t="shared" ref="D7558:E7558" si="7556">TRIM(B7558)</f>
        <v>Michigan</v>
      </c>
      <c r="E7558" s="111" t="str">
        <f t="shared" si="7556"/>
        <v>Oscoda</v>
      </c>
    </row>
    <row r="7559" spans="1:5">
      <c r="A7559" s="3" t="s">
        <v>17486</v>
      </c>
      <c r="B7559" s="110" t="s">
        <v>1344</v>
      </c>
      <c r="C7559" s="111" t="s">
        <v>17487</v>
      </c>
      <c r="D7559" s="111" t="str">
        <f t="shared" ref="D7559:E7559" si="7557">TRIM(B7559)</f>
        <v>Michigan</v>
      </c>
      <c r="E7559" s="111" t="str">
        <f t="shared" si="7557"/>
        <v>Otisville</v>
      </c>
    </row>
    <row r="7560" spans="1:5">
      <c r="A7560" s="3" t="s">
        <v>17488</v>
      </c>
      <c r="B7560" s="110" t="s">
        <v>1344</v>
      </c>
      <c r="C7560" s="111" t="s">
        <v>17489</v>
      </c>
      <c r="D7560" s="111" t="str">
        <f t="shared" ref="D7560:E7560" si="7558">TRIM(B7560)</f>
        <v>Michigan</v>
      </c>
      <c r="E7560" s="111" t="str">
        <f t="shared" si="7558"/>
        <v>Otsego</v>
      </c>
    </row>
    <row r="7561" spans="1:5">
      <c r="A7561" s="3" t="s">
        <v>17490</v>
      </c>
      <c r="B7561" s="110" t="s">
        <v>1344</v>
      </c>
      <c r="C7561" s="111" t="s">
        <v>17491</v>
      </c>
      <c r="D7561" s="111" t="str">
        <f t="shared" ref="D7561:E7561" si="7559">TRIM(B7561)</f>
        <v>Michigan</v>
      </c>
      <c r="E7561" s="111" t="str">
        <f t="shared" si="7559"/>
        <v>Ottawa Lake</v>
      </c>
    </row>
    <row r="7562" spans="1:5">
      <c r="A7562" s="3" t="s">
        <v>17492</v>
      </c>
      <c r="B7562" s="110" t="s">
        <v>1344</v>
      </c>
      <c r="C7562" s="111" t="s">
        <v>17493</v>
      </c>
      <c r="D7562" s="111" t="str">
        <f t="shared" ref="D7562:E7562" si="7560">TRIM(B7562)</f>
        <v>Michigan</v>
      </c>
      <c r="E7562" s="111" t="str">
        <f t="shared" si="7560"/>
        <v>Owendale</v>
      </c>
    </row>
    <row r="7563" spans="1:5">
      <c r="A7563" s="3" t="s">
        <v>17494</v>
      </c>
      <c r="B7563" s="110" t="s">
        <v>1344</v>
      </c>
      <c r="C7563" s="111" t="s">
        <v>11477</v>
      </c>
      <c r="D7563" s="111" t="str">
        <f t="shared" ref="D7563:E7563" si="7561">TRIM(B7563)</f>
        <v>Michigan</v>
      </c>
      <c r="E7563" s="111" t="str">
        <f t="shared" si="7561"/>
        <v>Owosso</v>
      </c>
    </row>
    <row r="7564" spans="1:5">
      <c r="A7564" s="3" t="s">
        <v>2072</v>
      </c>
      <c r="B7564" s="110" t="s">
        <v>1344</v>
      </c>
      <c r="C7564" s="111" t="s">
        <v>279</v>
      </c>
      <c r="D7564" s="111" t="str">
        <f t="shared" ref="D7564:E7564" si="7562">TRIM(B7564)</f>
        <v>Michigan</v>
      </c>
      <c r="E7564" s="111" t="str">
        <f t="shared" si="7562"/>
        <v>Oxford</v>
      </c>
    </row>
    <row r="7565" spans="1:5">
      <c r="A7565" s="110" t="s">
        <v>17495</v>
      </c>
      <c r="B7565" s="110" t="s">
        <v>1344</v>
      </c>
      <c r="C7565" s="111" t="s">
        <v>279</v>
      </c>
      <c r="D7565" s="111" t="str">
        <f t="shared" ref="D7565:E7565" si="7563">TRIM(B7565)</f>
        <v>Michigan</v>
      </c>
      <c r="E7565" s="111" t="str">
        <f t="shared" si="7563"/>
        <v>Oxford</v>
      </c>
    </row>
    <row r="7566" spans="1:5">
      <c r="A7566" s="3" t="s">
        <v>4343</v>
      </c>
      <c r="B7566" s="110" t="s">
        <v>1344</v>
      </c>
      <c r="C7566" s="111" t="s">
        <v>11850</v>
      </c>
      <c r="D7566" s="111" t="str">
        <f t="shared" ref="D7566:E7566" si="7564">TRIM(B7566)</f>
        <v>Michigan</v>
      </c>
      <c r="E7566" s="111" t="str">
        <f t="shared" si="7564"/>
        <v>Parma</v>
      </c>
    </row>
    <row r="7567" spans="1:5">
      <c r="A7567" s="3" t="s">
        <v>17496</v>
      </c>
      <c r="B7567" s="110" t="s">
        <v>1344</v>
      </c>
      <c r="C7567" s="111" t="s">
        <v>13579</v>
      </c>
      <c r="D7567" s="111" t="str">
        <f t="shared" ref="D7567:E7567" si="7565">TRIM(B7567)</f>
        <v>Michigan</v>
      </c>
      <c r="E7567" s="111" t="str">
        <f t="shared" si="7565"/>
        <v>Paw Paw</v>
      </c>
    </row>
    <row r="7568" spans="1:5">
      <c r="A7568" s="3" t="s">
        <v>17497</v>
      </c>
      <c r="B7568" s="110" t="s">
        <v>1344</v>
      </c>
      <c r="C7568" s="111" t="s">
        <v>17498</v>
      </c>
      <c r="D7568" s="111" t="str">
        <f t="shared" ref="D7568:E7568" si="7566">TRIM(B7568)</f>
        <v>Michigan</v>
      </c>
      <c r="E7568" s="111" t="str">
        <f t="shared" si="7566"/>
        <v>Peck</v>
      </c>
    </row>
    <row r="7569" spans="1:5">
      <c r="A7569" s="3" t="s">
        <v>17499</v>
      </c>
      <c r="B7569" s="110" t="s">
        <v>1344</v>
      </c>
      <c r="C7569" s="111" t="s">
        <v>17500</v>
      </c>
      <c r="D7569" s="111" t="str">
        <f t="shared" ref="D7569:E7569" si="7567">TRIM(B7569)</f>
        <v>Michigan</v>
      </c>
      <c r="E7569" s="111" t="str">
        <f t="shared" si="7567"/>
        <v>Pellston</v>
      </c>
    </row>
    <row r="7570" spans="1:5">
      <c r="A7570" s="3" t="s">
        <v>2683</v>
      </c>
      <c r="B7570" s="110" t="s">
        <v>1344</v>
      </c>
      <c r="C7570" s="111" t="s">
        <v>9957</v>
      </c>
      <c r="D7570" s="111" t="str">
        <f t="shared" ref="D7570:E7570" si="7568">TRIM(B7570)</f>
        <v>Michigan</v>
      </c>
      <c r="E7570" s="111" t="str">
        <f t="shared" si="7568"/>
        <v>Perry</v>
      </c>
    </row>
    <row r="7571" spans="1:5">
      <c r="A7571" s="3" t="s">
        <v>17501</v>
      </c>
      <c r="B7571" s="110" t="s">
        <v>1344</v>
      </c>
      <c r="C7571" s="111" t="s">
        <v>2409</v>
      </c>
      <c r="D7571" s="111" t="str">
        <f t="shared" ref="D7571:E7571" si="7569">TRIM(B7571)</f>
        <v>Michigan</v>
      </c>
      <c r="E7571" s="111" t="str">
        <f t="shared" si="7569"/>
        <v>Petersburg</v>
      </c>
    </row>
    <row r="7572" spans="1:5">
      <c r="A7572" s="3" t="s">
        <v>17502</v>
      </c>
      <c r="B7572" s="110" t="s">
        <v>1344</v>
      </c>
      <c r="C7572" s="111" t="s">
        <v>17503</v>
      </c>
      <c r="D7572" s="111" t="str">
        <f t="shared" ref="D7572:E7572" si="7570">TRIM(B7572)</f>
        <v>Michigan</v>
      </c>
      <c r="E7572" s="111" t="str">
        <f t="shared" si="7570"/>
        <v>Petoskey</v>
      </c>
    </row>
    <row r="7573" spans="1:5">
      <c r="A7573" s="3" t="s">
        <v>17504</v>
      </c>
      <c r="B7573" s="110" t="s">
        <v>1344</v>
      </c>
      <c r="C7573" s="111" t="s">
        <v>17505</v>
      </c>
      <c r="D7573" s="111" t="str">
        <f t="shared" ref="D7573:E7573" si="7571">TRIM(B7573)</f>
        <v>Michigan</v>
      </c>
      <c r="E7573" s="111" t="str">
        <f t="shared" si="7571"/>
        <v>Pigeon</v>
      </c>
    </row>
    <row r="7574" spans="1:5">
      <c r="A7574" s="3" t="s">
        <v>17506</v>
      </c>
      <c r="B7574" s="110" t="s">
        <v>1344</v>
      </c>
      <c r="C7574" s="111" t="s">
        <v>17507</v>
      </c>
      <c r="D7574" s="111" t="str">
        <f t="shared" ref="D7574:E7574" si="7572">TRIM(B7574)</f>
        <v>Michigan</v>
      </c>
      <c r="E7574" s="111" t="str">
        <f t="shared" si="7572"/>
        <v>Pinckney</v>
      </c>
    </row>
    <row r="7575" spans="1:5">
      <c r="A7575" s="3" t="s">
        <v>17508</v>
      </c>
      <c r="B7575" s="110" t="s">
        <v>1344</v>
      </c>
      <c r="C7575" s="111" t="s">
        <v>17509</v>
      </c>
      <c r="D7575" s="111" t="str">
        <f t="shared" ref="D7575:E7575" si="7573">TRIM(B7575)</f>
        <v>Michigan</v>
      </c>
      <c r="E7575" s="111" t="str">
        <f t="shared" si="7573"/>
        <v>Pinconning</v>
      </c>
    </row>
    <row r="7576" spans="1:5">
      <c r="A7576" s="3" t="s">
        <v>17510</v>
      </c>
      <c r="B7576" s="110" t="s">
        <v>1344</v>
      </c>
      <c r="C7576" s="111" t="s">
        <v>17511</v>
      </c>
      <c r="D7576" s="111" t="str">
        <f t="shared" ref="D7576:E7576" si="7574">TRIM(B7576)</f>
        <v>Michigan</v>
      </c>
      <c r="E7576" s="111" t="str">
        <f t="shared" si="7574"/>
        <v>Pittsford</v>
      </c>
    </row>
    <row r="7577" spans="1:5">
      <c r="A7577" s="3" t="s">
        <v>17512</v>
      </c>
      <c r="B7577" s="110" t="s">
        <v>1344</v>
      </c>
      <c r="C7577" s="111" t="s">
        <v>17513</v>
      </c>
      <c r="D7577" s="111" t="str">
        <f t="shared" ref="D7577:E7577" si="7575">TRIM(B7577)</f>
        <v>Michigan</v>
      </c>
      <c r="E7577" s="111" t="str">
        <f t="shared" si="7575"/>
        <v>Plainwell</v>
      </c>
    </row>
    <row r="7578" spans="1:5">
      <c r="A7578" s="3" t="s">
        <v>17514</v>
      </c>
      <c r="B7578" s="110" t="s">
        <v>1344</v>
      </c>
      <c r="C7578" s="111" t="s">
        <v>11518</v>
      </c>
      <c r="D7578" s="111" t="str">
        <f t="shared" ref="D7578:E7578" si="7576">TRIM(B7578)</f>
        <v>Michigan</v>
      </c>
      <c r="E7578" s="111" t="str">
        <f t="shared" si="7576"/>
        <v>Plymouth</v>
      </c>
    </row>
    <row r="7579" spans="1:5">
      <c r="A7579" s="3" t="s">
        <v>17515</v>
      </c>
      <c r="B7579" s="110" t="s">
        <v>1344</v>
      </c>
      <c r="C7579" s="111" t="s">
        <v>13656</v>
      </c>
      <c r="D7579" s="111" t="str">
        <f t="shared" ref="D7579:E7579" si="7577">TRIM(B7579)</f>
        <v>Michigan</v>
      </c>
      <c r="E7579" s="111" t="str">
        <f t="shared" si="7577"/>
        <v>Pontiac</v>
      </c>
    </row>
    <row r="7580" spans="1:5">
      <c r="A7580" s="3" t="s">
        <v>13654</v>
      </c>
      <c r="B7580" s="110" t="s">
        <v>1344</v>
      </c>
      <c r="C7580" s="111" t="s">
        <v>13656</v>
      </c>
      <c r="D7580" s="111" t="str">
        <f t="shared" ref="D7580:E7580" si="7578">TRIM(B7580)</f>
        <v>Michigan</v>
      </c>
      <c r="E7580" s="111" t="str">
        <f t="shared" si="7578"/>
        <v>Pontiac</v>
      </c>
    </row>
    <row r="7581" spans="1:5">
      <c r="A7581" s="3" t="s">
        <v>17516</v>
      </c>
      <c r="B7581" s="110" t="s">
        <v>1344</v>
      </c>
      <c r="C7581" s="111" t="s">
        <v>17517</v>
      </c>
      <c r="D7581" s="111" t="str">
        <f t="shared" ref="D7581:E7581" si="7579">TRIM(B7581)</f>
        <v>Michigan</v>
      </c>
      <c r="E7581" s="111" t="str">
        <f t="shared" si="7579"/>
        <v>Port Huron</v>
      </c>
    </row>
    <row r="7582" spans="1:5">
      <c r="A7582" s="3" t="s">
        <v>17518</v>
      </c>
      <c r="B7582" s="110" t="s">
        <v>1344</v>
      </c>
      <c r="C7582" s="111" t="s">
        <v>17517</v>
      </c>
      <c r="D7582" s="111" t="str">
        <f t="shared" ref="D7582:E7582" si="7580">TRIM(B7582)</f>
        <v>Michigan</v>
      </c>
      <c r="E7582" s="111" t="str">
        <f t="shared" si="7580"/>
        <v>Port Huron</v>
      </c>
    </row>
    <row r="7583" spans="1:5">
      <c r="A7583" s="3" t="s">
        <v>17519</v>
      </c>
      <c r="B7583" s="110" t="s">
        <v>1344</v>
      </c>
      <c r="C7583" s="111" t="s">
        <v>17517</v>
      </c>
      <c r="D7583" s="111" t="str">
        <f t="shared" ref="D7583:E7583" si="7581">TRIM(B7583)</f>
        <v>Michigan</v>
      </c>
      <c r="E7583" s="111" t="str">
        <f t="shared" si="7581"/>
        <v>Port Huron</v>
      </c>
    </row>
    <row r="7584" spans="1:5">
      <c r="A7584" s="3" t="s">
        <v>17520</v>
      </c>
      <c r="B7584" s="110" t="s">
        <v>1344</v>
      </c>
      <c r="C7584" s="111" t="s">
        <v>14563</v>
      </c>
      <c r="D7584" s="111" t="str">
        <f t="shared" ref="D7584:E7584" si="7582">TRIM(B7584)</f>
        <v>Michigan</v>
      </c>
      <c r="E7584" s="111" t="str">
        <f t="shared" si="7582"/>
        <v>Portage</v>
      </c>
    </row>
    <row r="7585" spans="1:5">
      <c r="A7585" s="3" t="s">
        <v>17521</v>
      </c>
      <c r="B7585" s="110" t="s">
        <v>1344</v>
      </c>
      <c r="C7585" s="111" t="s">
        <v>14563</v>
      </c>
      <c r="D7585" s="111" t="str">
        <f t="shared" ref="D7585:E7585" si="7583">TRIM(B7585)</f>
        <v>Michigan</v>
      </c>
      <c r="E7585" s="111" t="str">
        <f t="shared" si="7583"/>
        <v>Portage</v>
      </c>
    </row>
    <row r="7586" spans="1:5">
      <c r="A7586" s="3" t="s">
        <v>8642</v>
      </c>
      <c r="B7586" s="110" t="s">
        <v>1344</v>
      </c>
      <c r="C7586" s="111" t="s">
        <v>8643</v>
      </c>
      <c r="D7586" s="111" t="str">
        <f t="shared" ref="D7586:E7586" si="7584">TRIM(B7586)</f>
        <v>Michigan</v>
      </c>
      <c r="E7586" s="111" t="str">
        <f t="shared" si="7584"/>
        <v>Portland</v>
      </c>
    </row>
    <row r="7587" spans="1:5">
      <c r="A7587" s="3" t="s">
        <v>17522</v>
      </c>
      <c r="B7587" s="110" t="s">
        <v>1344</v>
      </c>
      <c r="C7587" s="111" t="s">
        <v>17523</v>
      </c>
      <c r="D7587" s="111" t="str">
        <f t="shared" ref="D7587:E7587" si="7585">TRIM(B7587)</f>
        <v>Michigan</v>
      </c>
      <c r="E7587" s="111" t="str">
        <f t="shared" si="7585"/>
        <v>Posen</v>
      </c>
    </row>
    <row r="7588" spans="1:5">
      <c r="A7588" s="3" t="s">
        <v>17524</v>
      </c>
      <c r="B7588" s="110" t="s">
        <v>1344</v>
      </c>
      <c r="C7588" s="111" t="s">
        <v>17525</v>
      </c>
      <c r="D7588" s="111" t="str">
        <f t="shared" ref="D7588:E7588" si="7586">TRIM(B7588)</f>
        <v>Michigan</v>
      </c>
      <c r="E7588" s="111" t="str">
        <f t="shared" si="7586"/>
        <v>Potterville</v>
      </c>
    </row>
    <row r="7589" spans="1:5">
      <c r="A7589" s="3" t="s">
        <v>17526</v>
      </c>
      <c r="B7589" s="110" t="s">
        <v>1344</v>
      </c>
      <c r="C7589" s="111" t="s">
        <v>17527</v>
      </c>
      <c r="D7589" s="111" t="str">
        <f t="shared" ref="D7589:E7589" si="7587">TRIM(B7589)</f>
        <v>Michigan</v>
      </c>
      <c r="E7589" s="111" t="str">
        <f t="shared" si="7587"/>
        <v>Powers</v>
      </c>
    </row>
    <row r="7590" spans="1:5">
      <c r="A7590" s="3" t="s">
        <v>16804</v>
      </c>
      <c r="B7590" s="110" t="s">
        <v>1344</v>
      </c>
      <c r="C7590" s="111" t="s">
        <v>6455</v>
      </c>
      <c r="D7590" s="111" t="str">
        <f t="shared" ref="D7590:E7590" si="7588">TRIM(B7590)</f>
        <v>Michigan</v>
      </c>
      <c r="E7590" s="111" t="str">
        <f t="shared" si="7588"/>
        <v>Quincy</v>
      </c>
    </row>
    <row r="7591" spans="1:5">
      <c r="A7591" s="3" t="s">
        <v>17528</v>
      </c>
      <c r="B7591" s="110" t="s">
        <v>1344</v>
      </c>
      <c r="C7591" s="111" t="s">
        <v>17529</v>
      </c>
      <c r="D7591" s="111" t="str">
        <f t="shared" ref="D7591:E7591" si="7589">TRIM(B7591)</f>
        <v>Michigan</v>
      </c>
      <c r="E7591" s="111" t="str">
        <f t="shared" si="7589"/>
        <v>Ravenna</v>
      </c>
    </row>
    <row r="7592" spans="1:5">
      <c r="A7592" s="3" t="s">
        <v>17530</v>
      </c>
      <c r="B7592" s="110" t="s">
        <v>1344</v>
      </c>
      <c r="C7592" s="111" t="s">
        <v>769</v>
      </c>
      <c r="D7592" s="111" t="str">
        <f t="shared" ref="D7592:E7592" si="7590">TRIM(B7592)</f>
        <v>Michigan</v>
      </c>
      <c r="E7592" s="111" t="str">
        <f t="shared" si="7590"/>
        <v>Reading</v>
      </c>
    </row>
    <row r="7593" spans="1:5">
      <c r="A7593" s="3" t="s">
        <v>17531</v>
      </c>
      <c r="B7593" s="110" t="s">
        <v>1344</v>
      </c>
      <c r="C7593" s="111" t="s">
        <v>17532</v>
      </c>
      <c r="D7593" s="111" t="str">
        <f t="shared" ref="D7593:E7593" si="7591">TRIM(B7593)</f>
        <v>Michigan</v>
      </c>
      <c r="E7593" s="111" t="str">
        <f t="shared" si="7591"/>
        <v>Redford</v>
      </c>
    </row>
    <row r="7594" spans="1:5">
      <c r="A7594" s="3" t="s">
        <v>17533</v>
      </c>
      <c r="B7594" s="110" t="s">
        <v>1344</v>
      </c>
      <c r="C7594" s="111" t="s">
        <v>17532</v>
      </c>
      <c r="D7594" s="111" t="str">
        <f t="shared" ref="D7594:E7594" si="7592">TRIM(B7594)</f>
        <v>Michigan</v>
      </c>
      <c r="E7594" s="111" t="str">
        <f t="shared" si="7592"/>
        <v>Redford</v>
      </c>
    </row>
    <row r="7595" spans="1:5">
      <c r="A7595" s="3" t="s">
        <v>17534</v>
      </c>
      <c r="B7595" s="110" t="s">
        <v>1344</v>
      </c>
      <c r="C7595" s="111" t="s">
        <v>17535</v>
      </c>
      <c r="D7595" s="111" t="str">
        <f t="shared" ref="D7595:E7595" si="7593">TRIM(B7595)</f>
        <v>Michigan</v>
      </c>
      <c r="E7595" s="111" t="str">
        <f t="shared" si="7593"/>
        <v>Reed City</v>
      </c>
    </row>
    <row r="7596" spans="1:5">
      <c r="A7596" s="3" t="s">
        <v>17536</v>
      </c>
      <c r="B7596" s="110" t="s">
        <v>1344</v>
      </c>
      <c r="C7596" s="111" t="s">
        <v>17537</v>
      </c>
      <c r="D7596" s="111" t="str">
        <f t="shared" ref="D7596:E7596" si="7594">TRIM(B7596)</f>
        <v>Michigan</v>
      </c>
      <c r="E7596" s="111" t="str">
        <f t="shared" si="7594"/>
        <v>Reese</v>
      </c>
    </row>
    <row r="7597" spans="1:5">
      <c r="A7597" s="3" t="s">
        <v>17538</v>
      </c>
      <c r="B7597" s="110" t="s">
        <v>1344</v>
      </c>
      <c r="C7597" s="111" t="s">
        <v>17539</v>
      </c>
      <c r="D7597" s="111" t="str">
        <f t="shared" ref="D7597:E7597" si="7595">TRIM(B7597)</f>
        <v>Michigan</v>
      </c>
      <c r="E7597" s="111" t="str">
        <f t="shared" si="7595"/>
        <v>Remus</v>
      </c>
    </row>
    <row r="7598" spans="1:5">
      <c r="A7598" s="3" t="s">
        <v>17540</v>
      </c>
      <c r="B7598" s="110" t="s">
        <v>1344</v>
      </c>
      <c r="C7598" s="111" t="s">
        <v>12139</v>
      </c>
      <c r="D7598" s="111" t="str">
        <f t="shared" ref="D7598:E7598" si="7596">TRIM(B7598)</f>
        <v>Michigan</v>
      </c>
      <c r="E7598" s="111" t="str">
        <f t="shared" si="7596"/>
        <v>Richland</v>
      </c>
    </row>
    <row r="7599" spans="1:5">
      <c r="A7599" s="3" t="s">
        <v>17541</v>
      </c>
      <c r="B7599" s="110" t="s">
        <v>1344</v>
      </c>
      <c r="C7599" s="111" t="s">
        <v>657</v>
      </c>
      <c r="D7599" s="111" t="str">
        <f t="shared" ref="D7599:E7599" si="7597">TRIM(B7599)</f>
        <v>Michigan</v>
      </c>
      <c r="E7599" s="111" t="str">
        <f t="shared" si="7597"/>
        <v>Richmond</v>
      </c>
    </row>
    <row r="7600" spans="1:5">
      <c r="A7600" s="3" t="s">
        <v>17542</v>
      </c>
      <c r="B7600" s="110" t="s">
        <v>1344</v>
      </c>
      <c r="C7600" s="111" t="s">
        <v>2684</v>
      </c>
      <c r="D7600" s="111" t="str">
        <f t="shared" ref="D7600:E7600" si="7598">TRIM(B7600)</f>
        <v>Michigan</v>
      </c>
      <c r="E7600" s="111" t="str">
        <f t="shared" si="7598"/>
        <v>River Rouge</v>
      </c>
    </row>
    <row r="7601" spans="1:5">
      <c r="A7601" s="3" t="s">
        <v>17543</v>
      </c>
      <c r="B7601" s="110" t="s">
        <v>1344</v>
      </c>
      <c r="C7601" s="111" t="s">
        <v>10015</v>
      </c>
      <c r="D7601" s="111" t="str">
        <f t="shared" ref="D7601:E7601" si="7599">TRIM(B7601)</f>
        <v>Michigan</v>
      </c>
      <c r="E7601" s="111" t="str">
        <f t="shared" si="7599"/>
        <v>Riverview</v>
      </c>
    </row>
    <row r="7602" spans="1:5">
      <c r="A7602" s="110" t="s">
        <v>17544</v>
      </c>
      <c r="B7602" s="110" t="s">
        <v>1344</v>
      </c>
      <c r="C7602" s="111" t="s">
        <v>17545</v>
      </c>
      <c r="D7602" s="111" t="str">
        <f t="shared" ref="D7602:E7602" si="7600">TRIM(B7602)</f>
        <v>Michigan</v>
      </c>
      <c r="E7602" s="111" t="str">
        <f t="shared" si="7600"/>
        <v>Rochester Hills</v>
      </c>
    </row>
    <row r="7603" spans="1:5">
      <c r="A7603" s="3" t="s">
        <v>17546</v>
      </c>
      <c r="B7603" s="110" t="s">
        <v>1344</v>
      </c>
      <c r="C7603" s="111" t="s">
        <v>17545</v>
      </c>
      <c r="D7603" s="111" t="str">
        <f t="shared" ref="D7603:E7603" si="7601">TRIM(B7603)</f>
        <v>Michigan</v>
      </c>
      <c r="E7603" s="111" t="str">
        <f t="shared" si="7601"/>
        <v>Rochester Hills</v>
      </c>
    </row>
    <row r="7604" spans="1:5">
      <c r="A7604" s="3" t="s">
        <v>13707</v>
      </c>
      <c r="B7604" s="110" t="s">
        <v>1344</v>
      </c>
      <c r="C7604" s="111" t="s">
        <v>17545</v>
      </c>
      <c r="D7604" s="111" t="str">
        <f t="shared" ref="D7604:E7604" si="7602">TRIM(B7604)</f>
        <v>Michigan</v>
      </c>
      <c r="E7604" s="111" t="str">
        <f t="shared" si="7602"/>
        <v>Rochester Hills</v>
      </c>
    </row>
    <row r="7605" spans="1:5">
      <c r="A7605" s="3" t="s">
        <v>17547</v>
      </c>
      <c r="B7605" s="110" t="s">
        <v>1344</v>
      </c>
      <c r="C7605" s="111" t="s">
        <v>17545</v>
      </c>
      <c r="D7605" s="111" t="str">
        <f t="shared" ref="D7605:E7605" si="7603">TRIM(B7605)</f>
        <v>Michigan</v>
      </c>
      <c r="E7605" s="111" t="str">
        <f t="shared" si="7603"/>
        <v>Rochester Hills</v>
      </c>
    </row>
    <row r="7606" spans="1:5">
      <c r="A7606" s="3" t="s">
        <v>17548</v>
      </c>
      <c r="B7606" s="110" t="s">
        <v>1344</v>
      </c>
      <c r="C7606" s="111" t="s">
        <v>2134</v>
      </c>
      <c r="D7606" s="111" t="str">
        <f t="shared" ref="D7606:E7606" si="7604">TRIM(B7606)</f>
        <v>Michigan</v>
      </c>
      <c r="E7606" s="111" t="str">
        <f t="shared" si="7604"/>
        <v>Rockford</v>
      </c>
    </row>
    <row r="7607" spans="1:5">
      <c r="A7607" s="3" t="s">
        <v>17549</v>
      </c>
      <c r="B7607" s="110" t="s">
        <v>1344</v>
      </c>
      <c r="C7607" s="111" t="s">
        <v>2134</v>
      </c>
      <c r="D7607" s="111" t="str">
        <f t="shared" ref="D7607:E7607" si="7605">TRIM(B7607)</f>
        <v>Michigan</v>
      </c>
      <c r="E7607" s="111" t="str">
        <f t="shared" si="7605"/>
        <v>Rockford</v>
      </c>
    </row>
    <row r="7608" spans="1:5">
      <c r="A7608" s="3" t="s">
        <v>17550</v>
      </c>
      <c r="B7608" s="110" t="s">
        <v>1344</v>
      </c>
      <c r="C7608" s="111" t="s">
        <v>17551</v>
      </c>
      <c r="D7608" s="111" t="str">
        <f t="shared" ref="D7608:E7608" si="7606">TRIM(B7608)</f>
        <v>Michigan</v>
      </c>
      <c r="E7608" s="111" t="str">
        <f t="shared" si="7606"/>
        <v>Rockwood</v>
      </c>
    </row>
    <row r="7609" spans="1:5">
      <c r="A7609" s="3" t="s">
        <v>17552</v>
      </c>
      <c r="B7609" s="110" t="s">
        <v>1344</v>
      </c>
      <c r="C7609" s="111" t="s">
        <v>17553</v>
      </c>
      <c r="D7609" s="111" t="str">
        <f t="shared" ref="D7609:E7609" si="7607">TRIM(B7609)</f>
        <v>Michigan</v>
      </c>
      <c r="E7609" s="111" t="str">
        <f t="shared" si="7607"/>
        <v>Rogers City</v>
      </c>
    </row>
    <row r="7610" spans="1:5">
      <c r="A7610" s="3" t="s">
        <v>17554</v>
      </c>
      <c r="B7610" s="110" t="s">
        <v>1344</v>
      </c>
      <c r="C7610" s="111" t="s">
        <v>17555</v>
      </c>
      <c r="D7610" s="111" t="str">
        <f t="shared" ref="D7610:E7610" si="7608">TRIM(B7610)</f>
        <v>Michigan</v>
      </c>
      <c r="E7610" s="111" t="str">
        <f t="shared" si="7608"/>
        <v>Romeo</v>
      </c>
    </row>
    <row r="7611" spans="1:5">
      <c r="A7611" s="3" t="s">
        <v>17556</v>
      </c>
      <c r="B7611" s="110" t="s">
        <v>1344</v>
      </c>
      <c r="C7611" s="112" t="s">
        <v>17557</v>
      </c>
      <c r="D7611" s="111" t="str">
        <f t="shared" ref="D7611:E7611" si="7609">TRIM(B7611)</f>
        <v>Michigan</v>
      </c>
      <c r="E7611" s="111" t="str">
        <f t="shared" si="7609"/>
        <v>Romulus</v>
      </c>
    </row>
    <row r="7612" spans="1:5">
      <c r="A7612" s="3" t="s">
        <v>17558</v>
      </c>
      <c r="B7612" s="110" t="s">
        <v>1344</v>
      </c>
      <c r="C7612" s="111" t="s">
        <v>17559</v>
      </c>
      <c r="D7612" s="111" t="str">
        <f t="shared" ref="D7612:E7612" si="7610">TRIM(B7612)</f>
        <v>Michigan</v>
      </c>
      <c r="E7612" s="111" t="str">
        <f t="shared" si="7610"/>
        <v>Roscommon</v>
      </c>
    </row>
    <row r="7613" spans="1:5">
      <c r="A7613" s="3" t="s">
        <v>6605</v>
      </c>
      <c r="B7613" s="110" t="s">
        <v>1344</v>
      </c>
      <c r="C7613" s="111" t="s">
        <v>6602</v>
      </c>
      <c r="D7613" s="111" t="str">
        <f t="shared" ref="D7613:E7613" si="7611">TRIM(B7613)</f>
        <v>Michigan</v>
      </c>
      <c r="E7613" s="111" t="str">
        <f t="shared" si="7611"/>
        <v>Roseville</v>
      </c>
    </row>
    <row r="7614" spans="1:5">
      <c r="A7614" s="3" t="s">
        <v>17560</v>
      </c>
      <c r="B7614" s="110" t="s">
        <v>1344</v>
      </c>
      <c r="C7614" s="111" t="s">
        <v>17561</v>
      </c>
      <c r="D7614" s="111" t="str">
        <f t="shared" ref="D7614:E7614" si="7612">TRIM(B7614)</f>
        <v>Michigan</v>
      </c>
      <c r="E7614" s="111" t="str">
        <f t="shared" si="7612"/>
        <v>Royal Oak</v>
      </c>
    </row>
    <row r="7615" spans="1:5">
      <c r="A7615" s="3" t="s">
        <v>17562</v>
      </c>
      <c r="B7615" s="110" t="s">
        <v>1344</v>
      </c>
      <c r="C7615" s="111" t="s">
        <v>383</v>
      </c>
      <c r="D7615" s="111" t="str">
        <f t="shared" ref="D7615:E7615" si="7613">TRIM(B7615)</f>
        <v>Michigan</v>
      </c>
      <c r="E7615" s="111" t="str">
        <f t="shared" si="7613"/>
        <v>Saginaw</v>
      </c>
    </row>
    <row r="7616" spans="1:5">
      <c r="A7616" s="3" t="s">
        <v>10505</v>
      </c>
      <c r="B7616" s="110" t="s">
        <v>1344</v>
      </c>
      <c r="C7616" s="111" t="s">
        <v>383</v>
      </c>
      <c r="D7616" s="111" t="str">
        <f t="shared" ref="D7616:E7616" si="7614">TRIM(B7616)</f>
        <v>Michigan</v>
      </c>
      <c r="E7616" s="111" t="str">
        <f t="shared" si="7614"/>
        <v>Saginaw</v>
      </c>
    </row>
    <row r="7617" spans="1:5">
      <c r="A7617" s="110" t="s">
        <v>17563</v>
      </c>
      <c r="B7617" s="110" t="s">
        <v>1344</v>
      </c>
      <c r="C7617" s="111" t="s">
        <v>383</v>
      </c>
      <c r="D7617" s="111" t="str">
        <f t="shared" ref="D7617:E7617" si="7615">TRIM(B7617)</f>
        <v>Michigan</v>
      </c>
      <c r="E7617" s="111" t="str">
        <f t="shared" si="7615"/>
        <v>Saginaw</v>
      </c>
    </row>
    <row r="7618" spans="1:5">
      <c r="A7618" s="3" t="s">
        <v>4519</v>
      </c>
      <c r="B7618" s="110" t="s">
        <v>1344</v>
      </c>
      <c r="C7618" s="111" t="s">
        <v>383</v>
      </c>
      <c r="D7618" s="111" t="str">
        <f t="shared" ref="D7618:E7618" si="7616">TRIM(B7618)</f>
        <v>Michigan</v>
      </c>
      <c r="E7618" s="111" t="str">
        <f t="shared" si="7616"/>
        <v>Saginaw</v>
      </c>
    </row>
    <row r="7619" spans="1:5">
      <c r="A7619" s="3" t="s">
        <v>17564</v>
      </c>
      <c r="B7619" s="110" t="s">
        <v>1344</v>
      </c>
      <c r="C7619" s="111" t="s">
        <v>383</v>
      </c>
      <c r="D7619" s="111" t="str">
        <f t="shared" ref="D7619:E7619" si="7617">TRIM(B7619)</f>
        <v>Michigan</v>
      </c>
      <c r="E7619" s="111" t="str">
        <f t="shared" si="7617"/>
        <v>Saginaw</v>
      </c>
    </row>
    <row r="7620" spans="1:5">
      <c r="A7620" s="3" t="s">
        <v>17565</v>
      </c>
      <c r="B7620" s="110" t="s">
        <v>1344</v>
      </c>
      <c r="C7620" s="111" t="s">
        <v>383</v>
      </c>
      <c r="D7620" s="111" t="str">
        <f t="shared" ref="D7620:E7620" si="7618">TRIM(B7620)</f>
        <v>Michigan</v>
      </c>
      <c r="E7620" s="111" t="str">
        <f t="shared" si="7618"/>
        <v>Saginaw</v>
      </c>
    </row>
    <row r="7621" spans="1:5">
      <c r="A7621" s="3" t="s">
        <v>17566</v>
      </c>
      <c r="B7621" s="110" t="s">
        <v>1344</v>
      </c>
      <c r="C7621" s="111" t="s">
        <v>383</v>
      </c>
      <c r="D7621" s="111" t="str">
        <f t="shared" ref="D7621:E7621" si="7619">TRIM(B7621)</f>
        <v>Michigan</v>
      </c>
      <c r="E7621" s="111" t="str">
        <f t="shared" si="7619"/>
        <v>Saginaw</v>
      </c>
    </row>
    <row r="7622" spans="1:5">
      <c r="A7622" s="3" t="s">
        <v>17567</v>
      </c>
      <c r="B7622" s="110" t="s">
        <v>1344</v>
      </c>
      <c r="C7622" s="111" t="s">
        <v>383</v>
      </c>
      <c r="D7622" s="111" t="str">
        <f t="shared" ref="D7622:E7622" si="7620">TRIM(B7622)</f>
        <v>Michigan</v>
      </c>
      <c r="E7622" s="111" t="str">
        <f t="shared" si="7620"/>
        <v>Saginaw</v>
      </c>
    </row>
    <row r="7623" spans="1:5">
      <c r="A7623" s="3" t="s">
        <v>17568</v>
      </c>
      <c r="B7623" s="110" t="s">
        <v>1344</v>
      </c>
      <c r="C7623" s="111" t="s">
        <v>11784</v>
      </c>
      <c r="D7623" s="111" t="str">
        <f t="shared" ref="D7623:E7623" si="7621">TRIM(B7623)</f>
        <v>Michigan</v>
      </c>
      <c r="E7623" s="111" t="str">
        <f t="shared" si="7621"/>
        <v>Saint Charles</v>
      </c>
    </row>
    <row r="7624" spans="1:5">
      <c r="A7624" s="3" t="s">
        <v>17569</v>
      </c>
      <c r="B7624" s="110" t="s">
        <v>1344</v>
      </c>
      <c r="C7624" s="111" t="s">
        <v>17570</v>
      </c>
      <c r="D7624" s="111" t="str">
        <f t="shared" ref="D7624:E7624" si="7622">TRIM(B7624)</f>
        <v>Michigan</v>
      </c>
      <c r="E7624" s="111" t="str">
        <f t="shared" si="7622"/>
        <v>Saint Clair</v>
      </c>
    </row>
    <row r="7625" spans="1:5">
      <c r="A7625" s="3" t="s">
        <v>17571</v>
      </c>
      <c r="B7625" s="110" t="s">
        <v>1344</v>
      </c>
      <c r="C7625" s="113" t="s">
        <v>17572</v>
      </c>
      <c r="D7625" s="111" t="str">
        <f t="shared" ref="D7625:E7625" si="7623">TRIM(B7625)</f>
        <v>Michigan</v>
      </c>
      <c r="E7625" s="111" t="str">
        <f t="shared" si="7623"/>
        <v>Saint Clair Shores</v>
      </c>
    </row>
    <row r="7626" spans="1:5">
      <c r="A7626" s="3" t="s">
        <v>16963</v>
      </c>
      <c r="B7626" s="110" t="s">
        <v>1344</v>
      </c>
      <c r="C7626" s="113" t="s">
        <v>17572</v>
      </c>
      <c r="D7626" s="111" t="str">
        <f t="shared" ref="D7626:E7626" si="7624">TRIM(B7626)</f>
        <v>Michigan</v>
      </c>
      <c r="E7626" s="111" t="str">
        <f t="shared" si="7624"/>
        <v>Saint Clair Shores</v>
      </c>
    </row>
    <row r="7627" spans="1:5">
      <c r="A7627" s="3" t="s">
        <v>9283</v>
      </c>
      <c r="B7627" s="110" t="s">
        <v>1344</v>
      </c>
      <c r="C7627" s="113" t="s">
        <v>17572</v>
      </c>
      <c r="D7627" s="111" t="str">
        <f t="shared" ref="D7627:E7627" si="7625">TRIM(B7627)</f>
        <v>Michigan</v>
      </c>
      <c r="E7627" s="111" t="str">
        <f t="shared" si="7625"/>
        <v>Saint Clair Shores</v>
      </c>
    </row>
    <row r="7628" spans="1:5">
      <c r="A7628" s="3" t="s">
        <v>16080</v>
      </c>
      <c r="B7628" s="110" t="s">
        <v>1344</v>
      </c>
      <c r="C7628" s="111" t="s">
        <v>17573</v>
      </c>
      <c r="D7628" s="111" t="str">
        <f t="shared" ref="D7628:E7628" si="7626">TRIM(B7628)</f>
        <v>Michigan</v>
      </c>
      <c r="E7628" s="111" t="str">
        <f t="shared" si="7626"/>
        <v>Saint Ignace</v>
      </c>
    </row>
    <row r="7629" spans="1:5">
      <c r="A7629" s="3" t="s">
        <v>3281</v>
      </c>
      <c r="B7629" s="110" t="s">
        <v>1344</v>
      </c>
      <c r="C7629" s="111" t="s">
        <v>3200</v>
      </c>
      <c r="D7629" s="111" t="str">
        <f t="shared" ref="D7629:E7629" si="7627">TRIM(B7629)</f>
        <v>Michigan</v>
      </c>
      <c r="E7629" s="111" t="str">
        <f t="shared" si="7627"/>
        <v>Saint Johns</v>
      </c>
    </row>
    <row r="7630" spans="1:5">
      <c r="A7630" s="3" t="s">
        <v>9606</v>
      </c>
      <c r="B7630" s="110" t="s">
        <v>1344</v>
      </c>
      <c r="C7630" s="111" t="s">
        <v>10972</v>
      </c>
      <c r="D7630" s="111" t="str">
        <f t="shared" ref="D7630:E7630" si="7628">TRIM(B7630)</f>
        <v>Michigan</v>
      </c>
      <c r="E7630" s="111" t="str">
        <f t="shared" si="7628"/>
        <v>Saint Joseph</v>
      </c>
    </row>
    <row r="7631" spans="1:5">
      <c r="A7631" s="3" t="s">
        <v>17574</v>
      </c>
      <c r="B7631" s="110" t="s">
        <v>1344</v>
      </c>
      <c r="C7631" s="111" t="s">
        <v>274</v>
      </c>
      <c r="D7631" s="111" t="str">
        <f t="shared" ref="D7631:E7631" si="7629">TRIM(B7631)</f>
        <v>Michigan</v>
      </c>
      <c r="E7631" s="111" t="str">
        <f t="shared" si="7629"/>
        <v>Saint Louis</v>
      </c>
    </row>
    <row r="7632" spans="1:5">
      <c r="A7632" s="3" t="s">
        <v>17575</v>
      </c>
      <c r="B7632" s="110" t="s">
        <v>1344</v>
      </c>
      <c r="C7632" s="111" t="s">
        <v>17576</v>
      </c>
      <c r="D7632" s="111" t="str">
        <f t="shared" ref="D7632:E7632" si="7630">TRIM(B7632)</f>
        <v>Michigan</v>
      </c>
      <c r="E7632" s="111" t="str">
        <f t="shared" si="7630"/>
        <v>Saline</v>
      </c>
    </row>
    <row r="7633" spans="1:5">
      <c r="A7633" s="3" t="s">
        <v>7739</v>
      </c>
      <c r="B7633" s="110" t="s">
        <v>1344</v>
      </c>
      <c r="C7633" s="111" t="s">
        <v>17577</v>
      </c>
      <c r="D7633" s="111" t="str">
        <f t="shared" ref="D7633:E7633" si="7631">TRIM(B7633)</f>
        <v>Michigan</v>
      </c>
      <c r="E7633" s="111" t="str">
        <f t="shared" si="7631"/>
        <v>Sand Creek</v>
      </c>
    </row>
    <row r="7634" spans="1:5">
      <c r="A7634" s="3" t="s">
        <v>17578</v>
      </c>
      <c r="B7634" s="110" t="s">
        <v>1344</v>
      </c>
      <c r="C7634" s="111" t="s">
        <v>17579</v>
      </c>
      <c r="D7634" s="111" t="str">
        <f t="shared" ref="D7634:E7634" si="7632">TRIM(B7634)</f>
        <v>Michigan</v>
      </c>
      <c r="E7634" s="111" t="str">
        <f t="shared" si="7632"/>
        <v>Sand Lake</v>
      </c>
    </row>
    <row r="7635" spans="1:5">
      <c r="A7635" s="3" t="s">
        <v>17580</v>
      </c>
      <c r="B7635" s="110" t="s">
        <v>1344</v>
      </c>
      <c r="C7635" s="111" t="s">
        <v>6706</v>
      </c>
      <c r="D7635" s="111" t="str">
        <f t="shared" ref="D7635:E7635" si="7633">TRIM(B7635)</f>
        <v>Michigan</v>
      </c>
      <c r="E7635" s="111" t="str">
        <f t="shared" si="7633"/>
        <v>Sandusky</v>
      </c>
    </row>
    <row r="7636" spans="1:5">
      <c r="A7636" s="3" t="s">
        <v>17581</v>
      </c>
      <c r="B7636" s="110" t="s">
        <v>1344</v>
      </c>
      <c r="C7636" s="111" t="s">
        <v>8231</v>
      </c>
      <c r="D7636" s="111" t="str">
        <f t="shared" ref="D7636:E7636" si="7634">TRIM(B7636)</f>
        <v>Michigan</v>
      </c>
      <c r="E7636" s="111" t="str">
        <f t="shared" si="7634"/>
        <v>Sanford</v>
      </c>
    </row>
    <row r="7637" spans="1:5">
      <c r="A7637" s="3" t="s">
        <v>17582</v>
      </c>
      <c r="B7637" s="110" t="s">
        <v>1344</v>
      </c>
      <c r="C7637" s="111" t="s">
        <v>17583</v>
      </c>
      <c r="D7637" s="111" t="str">
        <f t="shared" ref="D7637:E7637" si="7635">TRIM(B7637)</f>
        <v>Michigan</v>
      </c>
      <c r="E7637" s="111" t="str">
        <f t="shared" si="7635"/>
        <v>Saranac</v>
      </c>
    </row>
    <row r="7638" spans="1:5">
      <c r="A7638" s="3" t="s">
        <v>17584</v>
      </c>
      <c r="B7638" s="110" t="s">
        <v>1344</v>
      </c>
      <c r="C7638" s="111" t="s">
        <v>17585</v>
      </c>
      <c r="D7638" s="111" t="str">
        <f t="shared" ref="D7638:E7638" si="7636">TRIM(B7638)</f>
        <v>Michigan</v>
      </c>
      <c r="E7638" s="111" t="str">
        <f t="shared" si="7636"/>
        <v>Saugatuck</v>
      </c>
    </row>
    <row r="7639" spans="1:5">
      <c r="A7639" s="3" t="s">
        <v>17586</v>
      </c>
      <c r="B7639" s="110" t="s">
        <v>1344</v>
      </c>
      <c r="C7639" s="113" t="s">
        <v>441</v>
      </c>
      <c r="D7639" s="111" t="str">
        <f t="shared" ref="D7639:E7639" si="7637">TRIM(B7639)</f>
        <v>Michigan</v>
      </c>
      <c r="E7639" s="111" t="str">
        <f t="shared" si="7637"/>
        <v>Sault Sainte Marie</v>
      </c>
    </row>
    <row r="7640" spans="1:5">
      <c r="A7640" s="3" t="s">
        <v>17587</v>
      </c>
      <c r="B7640" s="110" t="s">
        <v>1344</v>
      </c>
      <c r="C7640" s="111" t="s">
        <v>17588</v>
      </c>
      <c r="D7640" s="111" t="str">
        <f t="shared" ref="D7640:E7640" si="7638">TRIM(B7640)</f>
        <v>Michigan</v>
      </c>
      <c r="E7640" s="111" t="str">
        <f t="shared" si="7638"/>
        <v>Schoolcraft</v>
      </c>
    </row>
    <row r="7641" spans="1:5">
      <c r="A7641" s="3" t="s">
        <v>17589</v>
      </c>
      <c r="B7641" s="110" t="s">
        <v>1344</v>
      </c>
      <c r="C7641" s="111" t="s">
        <v>17590</v>
      </c>
      <c r="D7641" s="111" t="str">
        <f t="shared" ref="D7641:E7641" si="7639">TRIM(B7641)</f>
        <v>Michigan</v>
      </c>
      <c r="E7641" s="111" t="str">
        <f t="shared" si="7639"/>
        <v>Scottville</v>
      </c>
    </row>
    <row r="7642" spans="1:5">
      <c r="A7642" s="3" t="s">
        <v>17591</v>
      </c>
      <c r="B7642" s="110" t="s">
        <v>1344</v>
      </c>
      <c r="C7642" s="111" t="s">
        <v>17592</v>
      </c>
      <c r="D7642" s="111" t="str">
        <f t="shared" ref="D7642:E7642" si="7640">TRIM(B7642)</f>
        <v>Michigan</v>
      </c>
      <c r="E7642" s="111" t="str">
        <f t="shared" si="7640"/>
        <v>Sebewaing</v>
      </c>
    </row>
    <row r="7643" spans="1:5">
      <c r="A7643" s="3" t="s">
        <v>17593</v>
      </c>
      <c r="B7643" s="110" t="s">
        <v>1344</v>
      </c>
      <c r="C7643" s="111" t="s">
        <v>6109</v>
      </c>
      <c r="D7643" s="111" t="str">
        <f t="shared" ref="D7643:E7643" si="7641">TRIM(B7643)</f>
        <v>Michigan</v>
      </c>
      <c r="E7643" s="111" t="str">
        <f t="shared" si="7641"/>
        <v>Shelby</v>
      </c>
    </row>
    <row r="7644" spans="1:5">
      <c r="A7644" s="3" t="s">
        <v>12745</v>
      </c>
      <c r="B7644" s="110" t="s">
        <v>1344</v>
      </c>
      <c r="C7644" s="111" t="s">
        <v>17594</v>
      </c>
      <c r="D7644" s="111" t="str">
        <f t="shared" ref="D7644:E7644" si="7642">TRIM(B7644)</f>
        <v>Michigan</v>
      </c>
      <c r="E7644" s="111" t="str">
        <f t="shared" si="7642"/>
        <v>Shelby Township</v>
      </c>
    </row>
    <row r="7645" spans="1:5">
      <c r="A7645" s="3" t="s">
        <v>17595</v>
      </c>
      <c r="B7645" s="110" t="s">
        <v>1344</v>
      </c>
      <c r="C7645" s="111" t="s">
        <v>17596</v>
      </c>
      <c r="D7645" s="111" t="str">
        <f t="shared" ref="D7645:E7645" si="7643">TRIM(B7645)</f>
        <v>Michigan</v>
      </c>
      <c r="E7645" s="111" t="str">
        <f t="shared" si="7643"/>
        <v>Shepherd</v>
      </c>
    </row>
    <row r="7646" spans="1:5">
      <c r="A7646" s="3" t="s">
        <v>17597</v>
      </c>
      <c r="B7646" s="110" t="s">
        <v>1344</v>
      </c>
      <c r="C7646" s="111" t="s">
        <v>17596</v>
      </c>
      <c r="D7646" s="111" t="str">
        <f t="shared" ref="D7646:E7646" si="7644">TRIM(B7646)</f>
        <v>Michigan</v>
      </c>
      <c r="E7646" s="111" t="str">
        <f t="shared" si="7644"/>
        <v>Shepherd</v>
      </c>
    </row>
    <row r="7647" spans="1:5">
      <c r="A7647" s="110" t="s">
        <v>17598</v>
      </c>
      <c r="B7647" s="110" t="s">
        <v>1344</v>
      </c>
      <c r="C7647" s="111" t="s">
        <v>15051</v>
      </c>
      <c r="D7647" s="111" t="str">
        <f t="shared" ref="D7647:E7647" si="7645">TRIM(B7647)</f>
        <v>Michigan</v>
      </c>
      <c r="E7647" s="111" t="str">
        <f t="shared" si="7645"/>
        <v>Sidney</v>
      </c>
    </row>
    <row r="7648" spans="1:5">
      <c r="A7648" s="110" t="s">
        <v>17599</v>
      </c>
      <c r="B7648" s="110" t="s">
        <v>1344</v>
      </c>
      <c r="C7648" s="111" t="s">
        <v>15524</v>
      </c>
      <c r="D7648" s="111" t="str">
        <f t="shared" ref="D7648:E7648" si="7646">TRIM(B7648)</f>
        <v>Michigan</v>
      </c>
      <c r="E7648" s="111" t="str">
        <f t="shared" si="7646"/>
        <v>South Haven</v>
      </c>
    </row>
    <row r="7649" spans="1:5">
      <c r="A7649" s="3" t="s">
        <v>15523</v>
      </c>
      <c r="B7649" s="110" t="s">
        <v>1344</v>
      </c>
      <c r="C7649" s="111" t="s">
        <v>15524</v>
      </c>
      <c r="D7649" s="111" t="str">
        <f t="shared" ref="D7649:E7649" si="7647">TRIM(B7649)</f>
        <v>Michigan</v>
      </c>
      <c r="E7649" s="111" t="str">
        <f t="shared" si="7647"/>
        <v>South Haven</v>
      </c>
    </row>
    <row r="7650" spans="1:5">
      <c r="A7650" s="3" t="s">
        <v>17600</v>
      </c>
      <c r="B7650" s="110" t="s">
        <v>1344</v>
      </c>
      <c r="C7650" s="111" t="s">
        <v>17601</v>
      </c>
      <c r="D7650" s="111" t="str">
        <f t="shared" ref="D7650:E7650" si="7648">TRIM(B7650)</f>
        <v>Michigan</v>
      </c>
      <c r="E7650" s="111" t="str">
        <f t="shared" si="7648"/>
        <v>South Lyon</v>
      </c>
    </row>
    <row r="7651" spans="1:5">
      <c r="A7651" s="3" t="s">
        <v>17602</v>
      </c>
      <c r="B7651" s="110" t="s">
        <v>1344</v>
      </c>
      <c r="C7651" s="111" t="s">
        <v>17601</v>
      </c>
      <c r="D7651" s="111" t="str">
        <f t="shared" ref="D7651:E7651" si="7649">TRIM(B7651)</f>
        <v>Michigan</v>
      </c>
      <c r="E7651" s="111" t="str">
        <f t="shared" si="7649"/>
        <v>South Lyon</v>
      </c>
    </row>
    <row r="7652" spans="1:5">
      <c r="A7652" s="3" t="s">
        <v>17603</v>
      </c>
      <c r="B7652" s="110" t="s">
        <v>1344</v>
      </c>
      <c r="C7652" s="111" t="s">
        <v>17604</v>
      </c>
      <c r="D7652" s="111" t="str">
        <f t="shared" ref="D7652:E7652" si="7650">TRIM(B7652)</f>
        <v>Michigan</v>
      </c>
      <c r="E7652" s="111" t="str">
        <f t="shared" si="7650"/>
        <v>Southfield</v>
      </c>
    </row>
    <row r="7653" spans="1:5">
      <c r="A7653" s="3" t="s">
        <v>17605</v>
      </c>
      <c r="B7653" s="110" t="s">
        <v>1344</v>
      </c>
      <c r="C7653" s="111" t="s">
        <v>565</v>
      </c>
      <c r="D7653" s="111" t="str">
        <f t="shared" ref="D7653:E7653" si="7651">TRIM(B7653)</f>
        <v>Michigan</v>
      </c>
      <c r="E7653" s="111" t="str">
        <f t="shared" si="7651"/>
        <v>Southgate</v>
      </c>
    </row>
    <row r="7654" spans="1:5">
      <c r="A7654" s="3" t="s">
        <v>17606</v>
      </c>
      <c r="B7654" s="110" t="s">
        <v>1344</v>
      </c>
      <c r="C7654" s="111" t="s">
        <v>10334</v>
      </c>
      <c r="D7654" s="111" t="str">
        <f t="shared" ref="D7654:E7654" si="7652">TRIM(B7654)</f>
        <v>Michigan</v>
      </c>
      <c r="E7654" s="111" t="str">
        <f t="shared" si="7652"/>
        <v>Sparta</v>
      </c>
    </row>
    <row r="7655" spans="1:5">
      <c r="A7655" s="3" t="s">
        <v>17607</v>
      </c>
      <c r="B7655" s="110" t="s">
        <v>1344</v>
      </c>
      <c r="C7655" s="111" t="s">
        <v>17608</v>
      </c>
      <c r="D7655" s="111" t="str">
        <f t="shared" ref="D7655:E7655" si="7653">TRIM(B7655)</f>
        <v>Michigan</v>
      </c>
      <c r="E7655" s="111" t="str">
        <f t="shared" si="7653"/>
        <v>Spring Lake</v>
      </c>
    </row>
    <row r="7656" spans="1:5">
      <c r="A7656" s="3" t="s">
        <v>17609</v>
      </c>
      <c r="B7656" s="110" t="s">
        <v>1344</v>
      </c>
      <c r="C7656" s="111" t="s">
        <v>17610</v>
      </c>
      <c r="D7656" s="111" t="str">
        <f t="shared" ref="D7656:E7656" si="7654">TRIM(B7656)</f>
        <v>Michigan</v>
      </c>
      <c r="E7656" s="111" t="str">
        <f t="shared" si="7654"/>
        <v>Springport</v>
      </c>
    </row>
    <row r="7657" spans="1:5">
      <c r="A7657" s="3" t="s">
        <v>17611</v>
      </c>
      <c r="B7657" s="110" t="s">
        <v>1344</v>
      </c>
      <c r="C7657" s="111" t="s">
        <v>16296</v>
      </c>
      <c r="D7657" s="111" t="str">
        <f t="shared" ref="D7657:E7657" si="7655">TRIM(B7657)</f>
        <v>Michigan</v>
      </c>
      <c r="E7657" s="111" t="str">
        <f t="shared" si="7655"/>
        <v>Standish</v>
      </c>
    </row>
    <row r="7658" spans="1:5">
      <c r="A7658" s="3" t="s">
        <v>17612</v>
      </c>
      <c r="B7658" s="110" t="s">
        <v>1344</v>
      </c>
      <c r="C7658" s="111" t="s">
        <v>15066</v>
      </c>
      <c r="D7658" s="111" t="str">
        <f t="shared" ref="D7658:E7658" si="7656">TRIM(B7658)</f>
        <v>Michigan</v>
      </c>
      <c r="E7658" s="111" t="str">
        <f t="shared" si="7656"/>
        <v>Stanton</v>
      </c>
    </row>
    <row r="7659" spans="1:5">
      <c r="A7659" s="3" t="s">
        <v>17613</v>
      </c>
      <c r="B7659" s="110" t="s">
        <v>1344</v>
      </c>
      <c r="C7659" s="111" t="s">
        <v>17614</v>
      </c>
      <c r="D7659" s="111" t="str">
        <f t="shared" ref="D7659:E7659" si="7657">TRIM(B7659)</f>
        <v>Michigan</v>
      </c>
      <c r="E7659" s="111" t="str">
        <f t="shared" si="7657"/>
        <v>Stephenson</v>
      </c>
    </row>
    <row r="7660" spans="1:5">
      <c r="A7660" s="3" t="s">
        <v>17615</v>
      </c>
      <c r="B7660" s="110" t="s">
        <v>1344</v>
      </c>
      <c r="C7660" s="111" t="s">
        <v>17616</v>
      </c>
      <c r="D7660" s="111" t="str">
        <f t="shared" ref="D7660:E7660" si="7658">TRIM(B7660)</f>
        <v>Michigan</v>
      </c>
      <c r="E7660" s="111" t="str">
        <f t="shared" si="7658"/>
        <v>Sterling Heights</v>
      </c>
    </row>
    <row r="7661" spans="1:5">
      <c r="A7661" s="3" t="s">
        <v>17617</v>
      </c>
      <c r="B7661" s="110" t="s">
        <v>1344</v>
      </c>
      <c r="C7661" s="111" t="s">
        <v>17616</v>
      </c>
      <c r="D7661" s="111" t="str">
        <f t="shared" ref="D7661:E7661" si="7659">TRIM(B7661)</f>
        <v>Michigan</v>
      </c>
      <c r="E7661" s="111" t="str">
        <f t="shared" si="7659"/>
        <v>Sterling Heights</v>
      </c>
    </row>
    <row r="7662" spans="1:5">
      <c r="A7662" s="110" t="s">
        <v>17618</v>
      </c>
      <c r="B7662" s="110" t="s">
        <v>1344</v>
      </c>
      <c r="C7662" s="111" t="s">
        <v>17616</v>
      </c>
      <c r="D7662" s="111" t="str">
        <f t="shared" ref="D7662:E7662" si="7660">TRIM(B7662)</f>
        <v>Michigan</v>
      </c>
      <c r="E7662" s="111" t="str">
        <f t="shared" si="7660"/>
        <v>Sterling Heights</v>
      </c>
    </row>
    <row r="7663" spans="1:5">
      <c r="A7663" s="3" t="s">
        <v>16026</v>
      </c>
      <c r="B7663" s="110" t="s">
        <v>1344</v>
      </c>
      <c r="C7663" s="111" t="s">
        <v>16511</v>
      </c>
      <c r="D7663" s="111" t="str">
        <f t="shared" ref="D7663:E7663" si="7661">TRIM(B7663)</f>
        <v>Michigan</v>
      </c>
      <c r="E7663" s="111" t="str">
        <f t="shared" si="7661"/>
        <v>Stevensville</v>
      </c>
    </row>
    <row r="7664" spans="1:5">
      <c r="A7664" s="3" t="s">
        <v>17619</v>
      </c>
      <c r="B7664" s="110" t="s">
        <v>1344</v>
      </c>
      <c r="C7664" s="111" t="s">
        <v>11296</v>
      </c>
      <c r="D7664" s="111" t="str">
        <f t="shared" ref="D7664:E7664" si="7662">TRIM(B7664)</f>
        <v>Michigan</v>
      </c>
      <c r="E7664" s="111" t="str">
        <f t="shared" si="7662"/>
        <v>Stockbridge</v>
      </c>
    </row>
    <row r="7665" spans="1:5">
      <c r="A7665" s="3" t="s">
        <v>17620</v>
      </c>
      <c r="B7665" s="110" t="s">
        <v>1344</v>
      </c>
      <c r="C7665" s="111" t="s">
        <v>17621</v>
      </c>
      <c r="D7665" s="111" t="str">
        <f t="shared" ref="D7665:E7665" si="7663">TRIM(B7665)</f>
        <v>Michigan</v>
      </c>
      <c r="E7665" s="111" t="str">
        <f t="shared" si="7663"/>
        <v>Sturgis</v>
      </c>
    </row>
    <row r="7666" spans="1:5">
      <c r="A7666" s="3" t="s">
        <v>17622</v>
      </c>
      <c r="B7666" s="110" t="s">
        <v>1344</v>
      </c>
      <c r="C7666" s="111" t="s">
        <v>17623</v>
      </c>
      <c r="D7666" s="111" t="str">
        <f t="shared" ref="D7666:E7666" si="7664">TRIM(B7666)</f>
        <v>Michigan</v>
      </c>
      <c r="E7666" s="111" t="str">
        <f t="shared" si="7664"/>
        <v>Suttons Bay</v>
      </c>
    </row>
    <row r="7667" spans="1:5">
      <c r="A7667" s="3" t="s">
        <v>17624</v>
      </c>
      <c r="B7667" s="110" t="s">
        <v>1344</v>
      </c>
      <c r="C7667" s="111" t="s">
        <v>11450</v>
      </c>
      <c r="D7667" s="111" t="str">
        <f t="shared" ref="D7667:E7667" si="7665">TRIM(B7667)</f>
        <v>Michigan</v>
      </c>
      <c r="E7667" s="111" t="str">
        <f t="shared" si="7665"/>
        <v>Swartz Creek</v>
      </c>
    </row>
    <row r="7668" spans="1:5">
      <c r="A7668" s="3" t="s">
        <v>17625</v>
      </c>
      <c r="B7668" s="110" t="s">
        <v>1344</v>
      </c>
      <c r="C7668" s="111" t="s">
        <v>17626</v>
      </c>
      <c r="D7668" s="111" t="str">
        <f t="shared" ref="D7668:E7668" si="7666">TRIM(B7668)</f>
        <v>Michigan</v>
      </c>
      <c r="E7668" s="111" t="str">
        <f t="shared" si="7666"/>
        <v>Tawas City</v>
      </c>
    </row>
    <row r="7669" spans="1:5">
      <c r="A7669" s="3" t="s">
        <v>4225</v>
      </c>
      <c r="B7669" s="110" t="s">
        <v>1344</v>
      </c>
      <c r="C7669" s="111" t="s">
        <v>3301</v>
      </c>
      <c r="D7669" s="111" t="str">
        <f t="shared" ref="D7669:E7669" si="7667">TRIM(B7669)</f>
        <v>Michigan</v>
      </c>
      <c r="E7669" s="111" t="str">
        <f t="shared" si="7667"/>
        <v>Taylor</v>
      </c>
    </row>
    <row r="7670" spans="1:5">
      <c r="A7670" s="3" t="s">
        <v>17627</v>
      </c>
      <c r="B7670" s="110" t="s">
        <v>1344</v>
      </c>
      <c r="C7670" s="111" t="s">
        <v>3301</v>
      </c>
      <c r="D7670" s="111" t="str">
        <f t="shared" ref="D7670:E7670" si="7668">TRIM(B7670)</f>
        <v>Michigan</v>
      </c>
      <c r="E7670" s="111" t="str">
        <f t="shared" si="7668"/>
        <v>Taylor</v>
      </c>
    </row>
    <row r="7671" spans="1:5">
      <c r="A7671" s="3" t="s">
        <v>14478</v>
      </c>
      <c r="B7671" s="110" t="s">
        <v>1344</v>
      </c>
      <c r="C7671" s="111" t="s">
        <v>15541</v>
      </c>
      <c r="D7671" s="111" t="str">
        <f t="shared" ref="D7671:E7671" si="7669">TRIM(B7671)</f>
        <v>Michigan</v>
      </c>
      <c r="E7671" s="111" t="str">
        <f t="shared" si="7669"/>
        <v>Tecumseh</v>
      </c>
    </row>
    <row r="7672" spans="1:5">
      <c r="A7672" s="3" t="s">
        <v>17628</v>
      </c>
      <c r="B7672" s="110" t="s">
        <v>1344</v>
      </c>
      <c r="C7672" s="111" t="s">
        <v>17629</v>
      </c>
      <c r="D7672" s="111" t="str">
        <f t="shared" ref="D7672:E7672" si="7670">TRIM(B7672)</f>
        <v>Michigan</v>
      </c>
      <c r="E7672" s="111" t="str">
        <f t="shared" si="7670"/>
        <v>Temperance</v>
      </c>
    </row>
    <row r="7673" spans="1:5">
      <c r="A7673" s="3" t="s">
        <v>17630</v>
      </c>
      <c r="B7673" s="110" t="s">
        <v>1344</v>
      </c>
      <c r="C7673" s="111" t="s">
        <v>17631</v>
      </c>
      <c r="D7673" s="111" t="str">
        <f t="shared" ref="D7673:E7673" si="7671">TRIM(B7673)</f>
        <v>Michigan</v>
      </c>
      <c r="E7673" s="111" t="str">
        <f t="shared" si="7671"/>
        <v>Three Oaks</v>
      </c>
    </row>
    <row r="7674" spans="1:5">
      <c r="A7674" s="3" t="s">
        <v>17632</v>
      </c>
      <c r="B7674" s="110" t="s">
        <v>1344</v>
      </c>
      <c r="C7674" s="111" t="s">
        <v>17633</v>
      </c>
      <c r="D7674" s="111" t="str">
        <f t="shared" ref="D7674:E7674" si="7672">TRIM(B7674)</f>
        <v>Michigan</v>
      </c>
      <c r="E7674" s="111" t="str">
        <f t="shared" si="7672"/>
        <v>Three Rivers</v>
      </c>
    </row>
    <row r="7675" spans="1:5">
      <c r="A7675" s="3" t="s">
        <v>1843</v>
      </c>
      <c r="B7675" s="110" t="s">
        <v>1344</v>
      </c>
      <c r="C7675" s="111" t="s">
        <v>11482</v>
      </c>
      <c r="D7675" s="111" t="str">
        <f t="shared" ref="D7675:E7675" si="7673">TRIM(B7675)</f>
        <v>Michigan</v>
      </c>
      <c r="E7675" s="111" t="str">
        <f t="shared" si="7673"/>
        <v>Traverse City</v>
      </c>
    </row>
    <row r="7676" spans="1:5">
      <c r="A7676" s="3" t="s">
        <v>17634</v>
      </c>
      <c r="B7676" s="110" t="s">
        <v>1344</v>
      </c>
      <c r="C7676" s="111" t="s">
        <v>11482</v>
      </c>
      <c r="D7676" s="111" t="str">
        <f t="shared" ref="D7676:E7676" si="7674">TRIM(B7676)</f>
        <v>Michigan</v>
      </c>
      <c r="E7676" s="111" t="str">
        <f t="shared" si="7674"/>
        <v>Traverse City</v>
      </c>
    </row>
    <row r="7677" spans="1:5">
      <c r="A7677" s="3" t="s">
        <v>14890</v>
      </c>
      <c r="B7677" s="110" t="s">
        <v>1344</v>
      </c>
      <c r="C7677" s="111" t="s">
        <v>11482</v>
      </c>
      <c r="D7677" s="111" t="str">
        <f t="shared" ref="D7677:E7677" si="7675">TRIM(B7677)</f>
        <v>Michigan</v>
      </c>
      <c r="E7677" s="111" t="str">
        <f t="shared" si="7675"/>
        <v>Traverse City</v>
      </c>
    </row>
    <row r="7678" spans="1:5">
      <c r="A7678" s="3" t="s">
        <v>10193</v>
      </c>
      <c r="B7678" s="110" t="s">
        <v>1344</v>
      </c>
      <c r="C7678" s="111" t="s">
        <v>10194</v>
      </c>
      <c r="D7678" s="111" t="str">
        <f t="shared" ref="D7678:E7678" si="7676">TRIM(B7678)</f>
        <v>Michigan</v>
      </c>
      <c r="E7678" s="111" t="str">
        <f t="shared" si="7676"/>
        <v>Trenton</v>
      </c>
    </row>
    <row r="7679" spans="1:5">
      <c r="A7679" s="3" t="s">
        <v>1520</v>
      </c>
      <c r="B7679" s="110" t="s">
        <v>1344</v>
      </c>
      <c r="C7679" s="111" t="s">
        <v>2228</v>
      </c>
      <c r="D7679" s="111" t="str">
        <f t="shared" ref="D7679:E7679" si="7677">TRIM(B7679)</f>
        <v>Michigan</v>
      </c>
      <c r="E7679" s="111" t="str">
        <f t="shared" si="7677"/>
        <v>Troy</v>
      </c>
    </row>
    <row r="7680" spans="1:5">
      <c r="A7680" s="3" t="s">
        <v>5114</v>
      </c>
      <c r="B7680" s="110" t="s">
        <v>1344</v>
      </c>
      <c r="C7680" s="111" t="s">
        <v>2228</v>
      </c>
      <c r="D7680" s="111" t="str">
        <f t="shared" ref="D7680:E7680" si="7678">TRIM(B7680)</f>
        <v>Michigan</v>
      </c>
      <c r="E7680" s="111" t="str">
        <f t="shared" si="7678"/>
        <v>Troy</v>
      </c>
    </row>
    <row r="7681" spans="1:5">
      <c r="A7681" s="3" t="s">
        <v>17635</v>
      </c>
      <c r="B7681" s="110" t="s">
        <v>1344</v>
      </c>
      <c r="C7681" s="111" t="s">
        <v>17636</v>
      </c>
      <c r="D7681" s="111" t="str">
        <f t="shared" ref="D7681:E7681" si="7679">TRIM(B7681)</f>
        <v>Michigan</v>
      </c>
      <c r="E7681" s="111" t="str">
        <f t="shared" si="7679"/>
        <v>Ubly</v>
      </c>
    </row>
    <row r="7682" spans="1:5">
      <c r="A7682" s="3" t="s">
        <v>17637</v>
      </c>
      <c r="B7682" s="110" t="s">
        <v>1344</v>
      </c>
      <c r="C7682" s="111" t="s">
        <v>7340</v>
      </c>
      <c r="D7682" s="111" t="str">
        <f t="shared" ref="D7682:E7682" si="7680">TRIM(B7682)</f>
        <v>Michigan</v>
      </c>
      <c r="E7682" s="111" t="str">
        <f t="shared" si="7680"/>
        <v>Union City</v>
      </c>
    </row>
    <row r="7683" spans="1:5">
      <c r="A7683" s="3" t="s">
        <v>17638</v>
      </c>
      <c r="B7683" s="110" t="s">
        <v>1344</v>
      </c>
      <c r="C7683" s="111" t="s">
        <v>7340</v>
      </c>
      <c r="D7683" s="111" t="str">
        <f t="shared" ref="D7683:E7683" si="7681">TRIM(B7683)</f>
        <v>Michigan</v>
      </c>
      <c r="E7683" s="111" t="str">
        <f t="shared" si="7681"/>
        <v>Union City</v>
      </c>
    </row>
    <row r="7684" spans="1:5">
      <c r="A7684" s="3" t="s">
        <v>17639</v>
      </c>
      <c r="B7684" s="110" t="s">
        <v>1344</v>
      </c>
      <c r="C7684" s="111" t="s">
        <v>313</v>
      </c>
      <c r="D7684" s="111" t="str">
        <f t="shared" ref="D7684:E7684" si="7682">TRIM(B7684)</f>
        <v>Michigan</v>
      </c>
      <c r="E7684" s="111" t="str">
        <f t="shared" si="7682"/>
        <v>Utica</v>
      </c>
    </row>
    <row r="7685" spans="1:5">
      <c r="A7685" s="110" t="s">
        <v>17640</v>
      </c>
      <c r="B7685" s="110" t="s">
        <v>1344</v>
      </c>
      <c r="C7685" s="111" t="s">
        <v>17641</v>
      </c>
      <c r="D7685" s="111" t="str">
        <f t="shared" ref="D7685:E7685" si="7683">TRIM(B7685)</f>
        <v>Michigan</v>
      </c>
      <c r="E7685" s="111" t="str">
        <f t="shared" si="7683"/>
        <v>Vassar</v>
      </c>
    </row>
    <row r="7686" spans="1:5">
      <c r="A7686" s="3" t="s">
        <v>17642</v>
      </c>
      <c r="B7686" s="110" t="s">
        <v>1344</v>
      </c>
      <c r="C7686" s="111" t="s">
        <v>17641</v>
      </c>
      <c r="D7686" s="111" t="str">
        <f t="shared" ref="D7686:E7686" si="7684">TRIM(B7686)</f>
        <v>Michigan</v>
      </c>
      <c r="E7686" s="111" t="str">
        <f t="shared" si="7684"/>
        <v>Vassar</v>
      </c>
    </row>
    <row r="7687" spans="1:5">
      <c r="A7687" s="3" t="s">
        <v>17643</v>
      </c>
      <c r="B7687" s="110" t="s">
        <v>1344</v>
      </c>
      <c r="C7687" s="111" t="s">
        <v>17644</v>
      </c>
      <c r="D7687" s="111" t="str">
        <f t="shared" ref="D7687:E7687" si="7685">TRIM(B7687)</f>
        <v>Michigan</v>
      </c>
      <c r="E7687" s="111" t="str">
        <f t="shared" si="7685"/>
        <v>Vermontville</v>
      </c>
    </row>
    <row r="7688" spans="1:5">
      <c r="A7688" s="3" t="s">
        <v>17645</v>
      </c>
      <c r="B7688" s="110" t="s">
        <v>1344</v>
      </c>
      <c r="C7688" s="111" t="s">
        <v>17646</v>
      </c>
      <c r="D7688" s="111" t="str">
        <f t="shared" ref="D7688:E7688" si="7686">TRIM(B7688)</f>
        <v>Michigan</v>
      </c>
      <c r="E7688" s="111" t="str">
        <f t="shared" si="7686"/>
        <v>Vestaburg</v>
      </c>
    </row>
    <row r="7689" spans="1:5">
      <c r="A7689" s="3" t="s">
        <v>17647</v>
      </c>
      <c r="B7689" s="110" t="s">
        <v>1344</v>
      </c>
      <c r="C7689" s="112" t="s">
        <v>7054</v>
      </c>
      <c r="D7689" s="111" t="str">
        <f t="shared" ref="D7689:E7689" si="7687">TRIM(B7689)</f>
        <v>Michigan</v>
      </c>
      <c r="E7689" s="111" t="str">
        <f t="shared" si="7687"/>
        <v>Vicksburg</v>
      </c>
    </row>
    <row r="7690" spans="1:5">
      <c r="A7690" s="3" t="s">
        <v>17648</v>
      </c>
      <c r="B7690" s="110" t="s">
        <v>1344</v>
      </c>
      <c r="C7690" s="111" t="s">
        <v>4265</v>
      </c>
      <c r="D7690" s="111" t="str">
        <f t="shared" ref="D7690:E7690" si="7688">TRIM(B7690)</f>
        <v>Michigan</v>
      </c>
      <c r="E7690" s="111" t="str">
        <f t="shared" si="7688"/>
        <v>Warren</v>
      </c>
    </row>
    <row r="7691" spans="1:5">
      <c r="A7691" s="3" t="s">
        <v>17649</v>
      </c>
      <c r="B7691" s="110" t="s">
        <v>1344</v>
      </c>
      <c r="C7691" s="111" t="s">
        <v>4265</v>
      </c>
      <c r="D7691" s="111" t="str">
        <f t="shared" ref="D7691:E7691" si="7689">TRIM(B7691)</f>
        <v>Michigan</v>
      </c>
      <c r="E7691" s="111" t="str">
        <f t="shared" si="7689"/>
        <v>Warren</v>
      </c>
    </row>
    <row r="7692" spans="1:5">
      <c r="A7692" s="3" t="s">
        <v>1925</v>
      </c>
      <c r="B7692" s="110" t="s">
        <v>1344</v>
      </c>
      <c r="C7692" s="111" t="s">
        <v>4265</v>
      </c>
      <c r="D7692" s="111" t="str">
        <f t="shared" ref="D7692:E7692" si="7690">TRIM(B7692)</f>
        <v>Michigan</v>
      </c>
      <c r="E7692" s="111" t="str">
        <f t="shared" si="7690"/>
        <v>Warren</v>
      </c>
    </row>
    <row r="7693" spans="1:5">
      <c r="A7693" s="110" t="s">
        <v>17650</v>
      </c>
      <c r="B7693" s="110" t="s">
        <v>1344</v>
      </c>
      <c r="C7693" s="111" t="s">
        <v>4265</v>
      </c>
      <c r="D7693" s="111" t="str">
        <f t="shared" ref="D7693:E7693" si="7691">TRIM(B7693)</f>
        <v>Michigan</v>
      </c>
      <c r="E7693" s="111" t="str">
        <f t="shared" si="7691"/>
        <v>Warren</v>
      </c>
    </row>
    <row r="7694" spans="1:5">
      <c r="A7694" s="3" t="s">
        <v>17651</v>
      </c>
      <c r="B7694" s="110" t="s">
        <v>1344</v>
      </c>
      <c r="C7694" s="111" t="s">
        <v>4265</v>
      </c>
      <c r="D7694" s="111" t="str">
        <f t="shared" ref="D7694:E7694" si="7692">TRIM(B7694)</f>
        <v>Michigan</v>
      </c>
      <c r="E7694" s="111" t="str">
        <f t="shared" si="7692"/>
        <v>Warren</v>
      </c>
    </row>
    <row r="7695" spans="1:5">
      <c r="A7695" s="3" t="s">
        <v>17652</v>
      </c>
      <c r="B7695" s="110" t="s">
        <v>1344</v>
      </c>
      <c r="C7695" s="111" t="s">
        <v>4265</v>
      </c>
      <c r="D7695" s="111" t="str">
        <f t="shared" ref="D7695:E7695" si="7693">TRIM(B7695)</f>
        <v>Michigan</v>
      </c>
      <c r="E7695" s="111" t="str">
        <f t="shared" si="7693"/>
        <v>Warren</v>
      </c>
    </row>
    <row r="7696" spans="1:5">
      <c r="A7696" s="3" t="s">
        <v>17653</v>
      </c>
      <c r="B7696" s="110" t="s">
        <v>1344</v>
      </c>
      <c r="C7696" s="111" t="s">
        <v>334</v>
      </c>
      <c r="D7696" s="111" t="str">
        <f t="shared" ref="D7696:E7696" si="7694">TRIM(B7696)</f>
        <v>Michigan</v>
      </c>
      <c r="E7696" s="111" t="str">
        <f t="shared" si="7694"/>
        <v>Waterford</v>
      </c>
    </row>
    <row r="7697" spans="1:5">
      <c r="A7697" s="3" t="s">
        <v>17654</v>
      </c>
      <c r="B7697" s="110" t="s">
        <v>1344</v>
      </c>
      <c r="C7697" s="111" t="s">
        <v>334</v>
      </c>
      <c r="D7697" s="111" t="str">
        <f t="shared" ref="D7697:E7697" si="7695">TRIM(B7697)</f>
        <v>Michigan</v>
      </c>
      <c r="E7697" s="111" t="str">
        <f t="shared" si="7695"/>
        <v>Waterford</v>
      </c>
    </row>
    <row r="7698" spans="1:5">
      <c r="A7698" s="3" t="s">
        <v>17655</v>
      </c>
      <c r="B7698" s="110" t="s">
        <v>1344</v>
      </c>
      <c r="C7698" s="111" t="s">
        <v>17656</v>
      </c>
      <c r="D7698" s="111" t="str">
        <f t="shared" ref="D7698:E7698" si="7696">TRIM(B7698)</f>
        <v>Michigan</v>
      </c>
      <c r="E7698" s="111" t="str">
        <f t="shared" si="7696"/>
        <v>Watervliet</v>
      </c>
    </row>
    <row r="7699" spans="1:5">
      <c r="A7699" s="3" t="s">
        <v>16888</v>
      </c>
      <c r="B7699" s="110" t="s">
        <v>1344</v>
      </c>
      <c r="C7699" s="111" t="s">
        <v>15114</v>
      </c>
      <c r="D7699" s="111" t="str">
        <f t="shared" ref="D7699:E7699" si="7697">TRIM(B7699)</f>
        <v>Michigan</v>
      </c>
      <c r="E7699" s="111" t="str">
        <f t="shared" si="7697"/>
        <v>Wayland</v>
      </c>
    </row>
    <row r="7700" spans="1:5">
      <c r="A7700" s="3" t="s">
        <v>17657</v>
      </c>
      <c r="B7700" s="110" t="s">
        <v>1344</v>
      </c>
      <c r="C7700" s="111" t="s">
        <v>413</v>
      </c>
      <c r="D7700" s="111" t="str">
        <f t="shared" ref="D7700:E7700" si="7698">TRIM(B7700)</f>
        <v>Michigan</v>
      </c>
      <c r="E7700" s="111" t="str">
        <f t="shared" si="7698"/>
        <v>Wayne</v>
      </c>
    </row>
    <row r="7701" spans="1:5">
      <c r="A7701" s="3" t="s">
        <v>17658</v>
      </c>
      <c r="B7701" s="110" t="s">
        <v>1344</v>
      </c>
      <c r="C7701" s="111" t="s">
        <v>17659</v>
      </c>
      <c r="D7701" s="111" t="str">
        <f t="shared" ref="D7701:E7701" si="7699">TRIM(B7701)</f>
        <v>Michigan</v>
      </c>
      <c r="E7701" s="111" t="str">
        <f t="shared" si="7699"/>
        <v>Webberville</v>
      </c>
    </row>
    <row r="7702" spans="1:5">
      <c r="A7702" s="3" t="s">
        <v>17660</v>
      </c>
      <c r="B7702" s="110" t="s">
        <v>1344</v>
      </c>
      <c r="C7702" s="111" t="s">
        <v>17661</v>
      </c>
      <c r="D7702" s="111" t="str">
        <f t="shared" ref="D7702:E7702" si="7700">TRIM(B7702)</f>
        <v>Michigan</v>
      </c>
      <c r="E7702" s="111" t="str">
        <f t="shared" si="7700"/>
        <v>West Bloomfield</v>
      </c>
    </row>
    <row r="7703" spans="1:5">
      <c r="A7703" s="3" t="s">
        <v>17662</v>
      </c>
      <c r="B7703" s="110" t="s">
        <v>1344</v>
      </c>
      <c r="C7703" s="111" t="s">
        <v>15122</v>
      </c>
      <c r="D7703" s="111" t="str">
        <f t="shared" ref="D7703:E7703" si="7701">TRIM(B7703)</f>
        <v>Michigan</v>
      </c>
      <c r="E7703" s="111" t="str">
        <f t="shared" si="7701"/>
        <v>West Branch</v>
      </c>
    </row>
    <row r="7704" spans="1:5">
      <c r="A7704" s="3" t="s">
        <v>14651</v>
      </c>
      <c r="B7704" s="110" t="s">
        <v>1344</v>
      </c>
      <c r="C7704" s="111" t="s">
        <v>17663</v>
      </c>
      <c r="D7704" s="111" t="str">
        <f t="shared" ref="D7704:E7704" si="7702">TRIM(B7704)</f>
        <v>Michigan</v>
      </c>
      <c r="E7704" s="111" t="str">
        <f t="shared" si="7702"/>
        <v>Westland</v>
      </c>
    </row>
    <row r="7705" spans="1:5">
      <c r="A7705" s="3" t="s">
        <v>17664</v>
      </c>
      <c r="B7705" s="110" t="s">
        <v>1344</v>
      </c>
      <c r="C7705" s="111" t="s">
        <v>17665</v>
      </c>
      <c r="D7705" s="111" t="str">
        <f t="shared" ref="D7705:E7705" si="7703">TRIM(B7705)</f>
        <v>Michigan</v>
      </c>
      <c r="E7705" s="111" t="str">
        <f t="shared" si="7703"/>
        <v>Westphalia</v>
      </c>
    </row>
    <row r="7706" spans="1:5">
      <c r="A7706" s="3" t="s">
        <v>17666</v>
      </c>
      <c r="B7706" s="110" t="s">
        <v>1344</v>
      </c>
      <c r="C7706" s="111" t="s">
        <v>17667</v>
      </c>
      <c r="D7706" s="111" t="str">
        <f t="shared" ref="D7706:E7706" si="7704">TRIM(B7706)</f>
        <v>Michigan</v>
      </c>
      <c r="E7706" s="111" t="str">
        <f t="shared" si="7704"/>
        <v>White Cloud</v>
      </c>
    </row>
    <row r="7707" spans="1:5">
      <c r="A7707" s="3" t="s">
        <v>14445</v>
      </c>
      <c r="B7707" s="110" t="s">
        <v>1344</v>
      </c>
      <c r="C7707" s="111" t="s">
        <v>17668</v>
      </c>
      <c r="D7707" s="111" t="str">
        <f t="shared" ref="D7707:E7707" si="7705">TRIM(B7707)</f>
        <v>Michigan</v>
      </c>
      <c r="E7707" s="111" t="str">
        <f t="shared" si="7705"/>
        <v>White Lake</v>
      </c>
    </row>
    <row r="7708" spans="1:5">
      <c r="A7708" s="3" t="s">
        <v>17669</v>
      </c>
      <c r="B7708" s="110" t="s">
        <v>1344</v>
      </c>
      <c r="C7708" s="111" t="s">
        <v>17670</v>
      </c>
      <c r="D7708" s="111" t="str">
        <f t="shared" ref="D7708:E7708" si="7706">TRIM(B7708)</f>
        <v>Michigan</v>
      </c>
      <c r="E7708" s="111" t="str">
        <f t="shared" si="7706"/>
        <v>White Pigeon</v>
      </c>
    </row>
    <row r="7709" spans="1:5">
      <c r="A7709" s="3" t="s">
        <v>17671</v>
      </c>
      <c r="B7709" s="110" t="s">
        <v>1344</v>
      </c>
      <c r="C7709" s="111" t="s">
        <v>17672</v>
      </c>
      <c r="D7709" s="111" t="str">
        <f t="shared" ref="D7709:E7709" si="7707">TRIM(B7709)</f>
        <v>Michigan</v>
      </c>
      <c r="E7709" s="111" t="str">
        <f t="shared" si="7707"/>
        <v>Whitehall</v>
      </c>
    </row>
    <row r="7710" spans="1:5">
      <c r="A7710" s="3" t="s">
        <v>17673</v>
      </c>
      <c r="B7710" s="110" t="s">
        <v>1344</v>
      </c>
      <c r="C7710" s="111" t="s">
        <v>17674</v>
      </c>
      <c r="D7710" s="111" t="str">
        <f t="shared" ref="D7710:E7710" si="7708">TRIM(B7710)</f>
        <v>Michigan</v>
      </c>
      <c r="E7710" s="111" t="str">
        <f t="shared" si="7708"/>
        <v>Whitmore Lake</v>
      </c>
    </row>
    <row r="7711" spans="1:5">
      <c r="A7711" s="3" t="s">
        <v>17675</v>
      </c>
      <c r="B7711" s="110" t="s">
        <v>1344</v>
      </c>
      <c r="C7711" s="111" t="s">
        <v>17676</v>
      </c>
      <c r="D7711" s="111" t="str">
        <f t="shared" ref="D7711:E7711" si="7709">TRIM(B7711)</f>
        <v>Michigan</v>
      </c>
      <c r="E7711" s="111" t="str">
        <f t="shared" si="7709"/>
        <v>Whittemore</v>
      </c>
    </row>
    <row r="7712" spans="1:5">
      <c r="A7712" s="3" t="s">
        <v>17677</v>
      </c>
      <c r="B7712" s="110" t="s">
        <v>1344</v>
      </c>
      <c r="C7712" s="111" t="s">
        <v>2637</v>
      </c>
      <c r="D7712" s="111" t="str">
        <f t="shared" ref="D7712:E7712" si="7710">TRIM(B7712)</f>
        <v>Michigan</v>
      </c>
      <c r="E7712" s="111" t="str">
        <f t="shared" si="7710"/>
        <v>Williamston</v>
      </c>
    </row>
    <row r="7713" spans="1:5">
      <c r="A7713" s="3" t="s">
        <v>17678</v>
      </c>
      <c r="B7713" s="110" t="s">
        <v>1344</v>
      </c>
      <c r="C7713" s="111" t="s">
        <v>17679</v>
      </c>
      <c r="D7713" s="111" t="str">
        <f t="shared" ref="D7713:E7713" si="7711">TRIM(B7713)</f>
        <v>Michigan</v>
      </c>
      <c r="E7713" s="111" t="str">
        <f t="shared" si="7711"/>
        <v>Wolverine</v>
      </c>
    </row>
    <row r="7714" spans="1:5">
      <c r="A7714" s="3" t="s">
        <v>5101</v>
      </c>
      <c r="B7714" s="110" t="s">
        <v>1344</v>
      </c>
      <c r="C7714" s="111" t="s">
        <v>17680</v>
      </c>
      <c r="D7714" s="111" t="str">
        <f t="shared" ref="D7714:E7714" si="7712">TRIM(B7714)</f>
        <v>Michigan</v>
      </c>
      <c r="E7714" s="111" t="str">
        <f t="shared" si="7712"/>
        <v>Wyandotte</v>
      </c>
    </row>
    <row r="7715" spans="1:5">
      <c r="A7715" s="110" t="s">
        <v>17681</v>
      </c>
      <c r="B7715" s="110" t="s">
        <v>1344</v>
      </c>
      <c r="C7715" s="111" t="s">
        <v>1380</v>
      </c>
      <c r="D7715" s="111" t="str">
        <f t="shared" ref="D7715:E7715" si="7713">TRIM(B7715)</f>
        <v>Michigan</v>
      </c>
      <c r="E7715" s="111" t="str">
        <f t="shared" si="7713"/>
        <v>Wyoming</v>
      </c>
    </row>
    <row r="7716" spans="1:5">
      <c r="A7716" s="3" t="s">
        <v>17682</v>
      </c>
      <c r="B7716" s="110" t="s">
        <v>1344</v>
      </c>
      <c r="C7716" s="111" t="s">
        <v>1380</v>
      </c>
      <c r="D7716" s="111" t="str">
        <f t="shared" ref="D7716:E7716" si="7714">TRIM(B7716)</f>
        <v>Michigan</v>
      </c>
      <c r="E7716" s="111" t="str">
        <f t="shared" si="7714"/>
        <v>Wyoming</v>
      </c>
    </row>
    <row r="7717" spans="1:5">
      <c r="A7717" s="3" t="s">
        <v>1878</v>
      </c>
      <c r="B7717" s="110" t="s">
        <v>1344</v>
      </c>
      <c r="C7717" s="111" t="s">
        <v>1380</v>
      </c>
      <c r="D7717" s="111" t="str">
        <f t="shared" ref="D7717:E7717" si="7715">TRIM(B7717)</f>
        <v>Michigan</v>
      </c>
      <c r="E7717" s="111" t="str">
        <f t="shared" si="7715"/>
        <v>Wyoming</v>
      </c>
    </row>
    <row r="7718" spans="1:5">
      <c r="A7718" s="3" t="s">
        <v>17683</v>
      </c>
      <c r="B7718" s="110" t="s">
        <v>1344</v>
      </c>
      <c r="C7718" s="111" t="s">
        <v>1380</v>
      </c>
      <c r="D7718" s="111" t="str">
        <f t="shared" ref="D7718:E7718" si="7716">TRIM(B7718)</f>
        <v>Michigan</v>
      </c>
      <c r="E7718" s="111" t="str">
        <f t="shared" si="7716"/>
        <v>Wyoming</v>
      </c>
    </row>
    <row r="7719" spans="1:5">
      <c r="A7719" s="3" t="s">
        <v>17684</v>
      </c>
      <c r="B7719" s="110" t="s">
        <v>1344</v>
      </c>
      <c r="C7719" s="111" t="s">
        <v>17685</v>
      </c>
      <c r="D7719" s="111" t="str">
        <f t="shared" ref="D7719:E7719" si="7717">TRIM(B7719)</f>
        <v>Michigan</v>
      </c>
      <c r="E7719" s="111" t="str">
        <f t="shared" si="7717"/>
        <v>Yale</v>
      </c>
    </row>
    <row r="7720" spans="1:5">
      <c r="A7720" s="3" t="s">
        <v>17686</v>
      </c>
      <c r="B7720" s="110" t="s">
        <v>1344</v>
      </c>
      <c r="C7720" s="111" t="s">
        <v>17687</v>
      </c>
      <c r="D7720" s="111" t="str">
        <f t="shared" ref="D7720:E7720" si="7718">TRIM(B7720)</f>
        <v>Michigan</v>
      </c>
      <c r="E7720" s="111" t="str">
        <f t="shared" si="7718"/>
        <v>Ypsilanti</v>
      </c>
    </row>
    <row r="7721" spans="1:5">
      <c r="A7721" s="3" t="s">
        <v>17688</v>
      </c>
      <c r="B7721" s="110" t="s">
        <v>1344</v>
      </c>
      <c r="C7721" s="111" t="s">
        <v>17687</v>
      </c>
      <c r="D7721" s="111" t="str">
        <f t="shared" ref="D7721:E7721" si="7719">TRIM(B7721)</f>
        <v>Michigan</v>
      </c>
      <c r="E7721" s="111" t="str">
        <f t="shared" si="7719"/>
        <v>Ypsilanti</v>
      </c>
    </row>
    <row r="7722" spans="1:5">
      <c r="A7722" s="110" t="s">
        <v>17689</v>
      </c>
      <c r="B7722" s="110" t="s">
        <v>1344</v>
      </c>
      <c r="C7722" s="111" t="s">
        <v>17687</v>
      </c>
      <c r="D7722" s="111" t="str">
        <f t="shared" ref="D7722:E7722" si="7720">TRIM(B7722)</f>
        <v>Michigan</v>
      </c>
      <c r="E7722" s="111" t="str">
        <f t="shared" si="7720"/>
        <v>Ypsilanti</v>
      </c>
    </row>
    <row r="7723" spans="1:5">
      <c r="A7723" s="3" t="s">
        <v>17690</v>
      </c>
      <c r="B7723" s="110" t="s">
        <v>1344</v>
      </c>
      <c r="C7723" s="111" t="s">
        <v>17687</v>
      </c>
      <c r="D7723" s="111" t="str">
        <f t="shared" ref="D7723:E7723" si="7721">TRIM(B7723)</f>
        <v>Michigan</v>
      </c>
      <c r="E7723" s="111" t="str">
        <f t="shared" si="7721"/>
        <v>Ypsilanti</v>
      </c>
    </row>
    <row r="7724" spans="1:5">
      <c r="A7724" s="3" t="s">
        <v>17691</v>
      </c>
      <c r="B7724" s="110" t="s">
        <v>1344</v>
      </c>
      <c r="C7724" s="111" t="s">
        <v>17687</v>
      </c>
      <c r="D7724" s="111" t="str">
        <f t="shared" ref="D7724:E7724" si="7722">TRIM(B7724)</f>
        <v>Michigan</v>
      </c>
      <c r="E7724" s="111" t="str">
        <f t="shared" si="7722"/>
        <v>Ypsilanti</v>
      </c>
    </row>
    <row r="7725" spans="1:5">
      <c r="A7725" s="110" t="s">
        <v>17692</v>
      </c>
      <c r="B7725" s="110" t="s">
        <v>1344</v>
      </c>
      <c r="C7725" s="111" t="s">
        <v>17687</v>
      </c>
      <c r="D7725" s="111" t="str">
        <f t="shared" ref="D7725:E7725" si="7723">TRIM(B7725)</f>
        <v>Michigan</v>
      </c>
      <c r="E7725" s="111" t="str">
        <f t="shared" si="7723"/>
        <v>Ypsilanti</v>
      </c>
    </row>
    <row r="7726" spans="1:5">
      <c r="A7726" s="3" t="s">
        <v>17693</v>
      </c>
      <c r="B7726" s="110" t="s">
        <v>1344</v>
      </c>
      <c r="C7726" s="111" t="s">
        <v>17694</v>
      </c>
      <c r="D7726" s="111" t="str">
        <f t="shared" ref="D7726:E7726" si="7724">TRIM(B7726)</f>
        <v>Michigan</v>
      </c>
      <c r="E7726" s="111" t="str">
        <f t="shared" si="7724"/>
        <v>Zeeland</v>
      </c>
    </row>
    <row r="7727" spans="1:5">
      <c r="A7727" s="3" t="s">
        <v>17695</v>
      </c>
      <c r="B7727" s="110" t="s">
        <v>1344</v>
      </c>
      <c r="C7727" s="111" t="s">
        <v>17694</v>
      </c>
      <c r="D7727" s="111" t="str">
        <f t="shared" ref="D7727:E7727" si="7725">TRIM(B7727)</f>
        <v>Michigan</v>
      </c>
      <c r="E7727" s="111" t="str">
        <f t="shared" si="7725"/>
        <v>Zeeland</v>
      </c>
    </row>
    <row r="7728" spans="1:5">
      <c r="A7728" s="3" t="s">
        <v>17696</v>
      </c>
      <c r="B7728" s="110" t="s">
        <v>1344</v>
      </c>
      <c r="C7728" s="111" t="s">
        <v>17694</v>
      </c>
      <c r="D7728" s="111" t="str">
        <f t="shared" ref="D7728:E7728" si="7726">TRIM(B7728)</f>
        <v>Michigan</v>
      </c>
      <c r="E7728" s="111" t="str">
        <f t="shared" si="7726"/>
        <v>Zeeland</v>
      </c>
    </row>
    <row r="7729" spans="1:5">
      <c r="A7729" s="110" t="s">
        <v>17697</v>
      </c>
      <c r="B7729" s="110" t="s">
        <v>1345</v>
      </c>
      <c r="C7729" s="111" t="s">
        <v>16929</v>
      </c>
      <c r="D7729" s="111" t="str">
        <f t="shared" ref="D7729:E7729" si="7727">TRIM(B7729)</f>
        <v>Minnesota</v>
      </c>
      <c r="E7729" s="111" t="str">
        <f t="shared" si="7727"/>
        <v>Ada</v>
      </c>
    </row>
    <row r="7730" spans="1:5">
      <c r="A7730" s="3" t="s">
        <v>17698</v>
      </c>
      <c r="B7730" s="110" t="s">
        <v>1345</v>
      </c>
      <c r="C7730" s="111" t="s">
        <v>16539</v>
      </c>
      <c r="D7730" s="111" t="str">
        <f t="shared" ref="D7730:E7730" si="7728">TRIM(B7730)</f>
        <v>Minnesota</v>
      </c>
      <c r="E7730" s="111" t="str">
        <f t="shared" si="7728"/>
        <v>Adams</v>
      </c>
    </row>
    <row r="7731" spans="1:5">
      <c r="A7731" s="110" t="s">
        <v>17699</v>
      </c>
      <c r="B7731" s="110" t="s">
        <v>1345</v>
      </c>
      <c r="C7731" s="111" t="s">
        <v>16931</v>
      </c>
      <c r="D7731" s="111" t="str">
        <f t="shared" ref="D7731:E7731" si="7729">TRIM(B7731)</f>
        <v>Minnesota</v>
      </c>
      <c r="E7731" s="111" t="str">
        <f t="shared" si="7729"/>
        <v>Adrian</v>
      </c>
    </row>
    <row r="7732" spans="1:5">
      <c r="A7732" s="110" t="s">
        <v>17700</v>
      </c>
      <c r="B7732" s="110" t="s">
        <v>1345</v>
      </c>
      <c r="C7732" s="111" t="s">
        <v>17701</v>
      </c>
      <c r="D7732" s="111" t="str">
        <f t="shared" ref="D7732:E7732" si="7730">TRIM(B7732)</f>
        <v>Minnesota</v>
      </c>
      <c r="E7732" s="111" t="str">
        <f t="shared" si="7730"/>
        <v>Aitkin</v>
      </c>
    </row>
    <row r="7733" spans="1:5">
      <c r="A7733" s="3" t="s">
        <v>17702</v>
      </c>
      <c r="B7733" s="110" t="s">
        <v>1345</v>
      </c>
      <c r="C7733" s="111" t="s">
        <v>182</v>
      </c>
      <c r="D7733" s="111" t="str">
        <f t="shared" ref="D7733:E7733" si="7731">TRIM(B7733)</f>
        <v>Minnesota</v>
      </c>
      <c r="E7733" s="111" t="str">
        <f t="shared" si="7731"/>
        <v>Albany</v>
      </c>
    </row>
    <row r="7734" spans="1:5">
      <c r="A7734" s="3" t="s">
        <v>17703</v>
      </c>
      <c r="B7734" s="110" t="s">
        <v>1345</v>
      </c>
      <c r="C7734" s="111" t="s">
        <v>17704</v>
      </c>
      <c r="D7734" s="111" t="str">
        <f t="shared" ref="D7734:E7734" si="7732">TRIM(B7734)</f>
        <v>Minnesota</v>
      </c>
      <c r="E7734" s="111" t="str">
        <f t="shared" si="7732"/>
        <v>Albert Lea</v>
      </c>
    </row>
    <row r="7735" spans="1:5">
      <c r="A7735" s="110" t="s">
        <v>17705</v>
      </c>
      <c r="B7735" s="110" t="s">
        <v>1345</v>
      </c>
      <c r="C7735" s="111" t="s">
        <v>17706</v>
      </c>
      <c r="D7735" s="111" t="str">
        <f t="shared" ref="D7735:E7735" si="7733">TRIM(B7735)</f>
        <v>Minnesota</v>
      </c>
      <c r="E7735" s="111" t="str">
        <f t="shared" si="7733"/>
        <v>Alden</v>
      </c>
    </row>
    <row r="7736" spans="1:5">
      <c r="A7736" s="3" t="s">
        <v>17707</v>
      </c>
      <c r="B7736" s="110" t="s">
        <v>1345</v>
      </c>
      <c r="C7736" s="111" t="s">
        <v>831</v>
      </c>
      <c r="D7736" s="111" t="str">
        <f t="shared" ref="D7736:E7736" si="7734">TRIM(B7736)</f>
        <v>Minnesota</v>
      </c>
      <c r="E7736" s="111" t="str">
        <f t="shared" si="7734"/>
        <v>Alexandria</v>
      </c>
    </row>
    <row r="7737" spans="1:5">
      <c r="A7737" s="3" t="s">
        <v>15155</v>
      </c>
      <c r="B7737" s="110" t="s">
        <v>1345</v>
      </c>
      <c r="C7737" s="111" t="s">
        <v>1096</v>
      </c>
      <c r="D7737" s="111" t="str">
        <f t="shared" ref="D7737:E7737" si="7735">TRIM(B7737)</f>
        <v>Minnesota</v>
      </c>
      <c r="E7737" s="111" t="str">
        <f t="shared" si="7735"/>
        <v>Andover</v>
      </c>
    </row>
    <row r="7738" spans="1:5">
      <c r="A7738" s="3" t="s">
        <v>17708</v>
      </c>
      <c r="B7738" s="110" t="s">
        <v>1345</v>
      </c>
      <c r="C7738" s="111" t="s">
        <v>17709</v>
      </c>
      <c r="D7738" s="111" t="str">
        <f t="shared" ref="D7738:E7738" si="7736">TRIM(B7738)</f>
        <v>Minnesota</v>
      </c>
      <c r="E7738" s="111" t="str">
        <f t="shared" si="7736"/>
        <v>Annandale</v>
      </c>
    </row>
    <row r="7739" spans="1:5">
      <c r="A7739" s="3" t="s">
        <v>17710</v>
      </c>
      <c r="B7739" s="110" t="s">
        <v>1345</v>
      </c>
      <c r="C7739" s="111" t="s">
        <v>17711</v>
      </c>
      <c r="D7739" s="111" t="str">
        <f t="shared" ref="D7739:E7739" si="7737">TRIM(B7739)</f>
        <v>Minnesota</v>
      </c>
      <c r="E7739" s="111" t="str">
        <f t="shared" si="7737"/>
        <v>Anoka</v>
      </c>
    </row>
    <row r="7740" spans="1:5">
      <c r="A7740" s="3" t="s">
        <v>17712</v>
      </c>
      <c r="B7740" s="110" t="s">
        <v>1345</v>
      </c>
      <c r="C7740" s="111" t="s">
        <v>17711</v>
      </c>
      <c r="D7740" s="111" t="str">
        <f t="shared" ref="D7740:E7740" si="7738">TRIM(B7740)</f>
        <v>Minnesota</v>
      </c>
      <c r="E7740" s="111" t="str">
        <f t="shared" si="7738"/>
        <v>Anoka</v>
      </c>
    </row>
    <row r="7741" spans="1:5">
      <c r="A7741" s="3" t="s">
        <v>17713</v>
      </c>
      <c r="B7741" s="110" t="s">
        <v>1345</v>
      </c>
      <c r="C7741" s="111" t="s">
        <v>4363</v>
      </c>
      <c r="D7741" s="111" t="str">
        <f t="shared" ref="D7741:E7741" si="7739">TRIM(B7741)</f>
        <v>Minnesota</v>
      </c>
      <c r="E7741" s="111" t="str">
        <f t="shared" si="7739"/>
        <v>Apple Valley</v>
      </c>
    </row>
    <row r="7742" spans="1:5">
      <c r="A7742" s="3" t="s">
        <v>17714</v>
      </c>
      <c r="B7742" s="110" t="s">
        <v>1345</v>
      </c>
      <c r="C7742" s="111" t="s">
        <v>4363</v>
      </c>
      <c r="D7742" s="111" t="str">
        <f t="shared" ref="D7742:E7742" si="7740">TRIM(B7742)</f>
        <v>Minnesota</v>
      </c>
      <c r="E7742" s="111" t="str">
        <f t="shared" si="7740"/>
        <v>Apple Valley</v>
      </c>
    </row>
    <row r="7743" spans="1:5">
      <c r="A7743" s="3" t="s">
        <v>17715</v>
      </c>
      <c r="B7743" s="110" t="s">
        <v>1345</v>
      </c>
      <c r="C7743" s="111" t="s">
        <v>4363</v>
      </c>
      <c r="D7743" s="111" t="str">
        <f t="shared" ref="D7743:E7743" si="7741">TRIM(B7743)</f>
        <v>Minnesota</v>
      </c>
      <c r="E7743" s="111" t="str">
        <f t="shared" si="7741"/>
        <v>Apple Valley</v>
      </c>
    </row>
    <row r="7744" spans="1:5">
      <c r="A7744" s="110" t="s">
        <v>17716</v>
      </c>
      <c r="B7744" s="110" t="s">
        <v>1345</v>
      </c>
      <c r="C7744" s="111" t="s">
        <v>4363</v>
      </c>
      <c r="D7744" s="111" t="str">
        <f t="shared" ref="D7744:E7744" si="7742">TRIM(B7744)</f>
        <v>Minnesota</v>
      </c>
      <c r="E7744" s="111" t="str">
        <f t="shared" si="7742"/>
        <v>Apple Valley</v>
      </c>
    </row>
    <row r="7745" spans="1:5">
      <c r="A7745" s="3" t="s">
        <v>17717</v>
      </c>
      <c r="B7745" s="110" t="s">
        <v>1345</v>
      </c>
      <c r="C7745" s="111" t="s">
        <v>11545</v>
      </c>
      <c r="D7745" s="111" t="str">
        <f t="shared" ref="D7745:E7745" si="7743">TRIM(B7745)</f>
        <v>Minnesota</v>
      </c>
      <c r="E7745" s="111" t="str">
        <f t="shared" si="7743"/>
        <v>Arden Hills</v>
      </c>
    </row>
    <row r="7746" spans="1:5">
      <c r="A7746" s="3" t="s">
        <v>17718</v>
      </c>
      <c r="B7746" s="110" t="s">
        <v>1345</v>
      </c>
      <c r="C7746" s="111" t="s">
        <v>1048</v>
      </c>
      <c r="D7746" s="111" t="str">
        <f t="shared" ref="D7746:E7746" si="7744">TRIM(B7746)</f>
        <v>Minnesota</v>
      </c>
      <c r="E7746" s="111" t="str">
        <f t="shared" si="7744"/>
        <v>Arlington</v>
      </c>
    </row>
    <row r="7747" spans="1:5">
      <c r="A7747" s="110" t="s">
        <v>17719</v>
      </c>
      <c r="B7747" s="110" t="s">
        <v>1345</v>
      </c>
      <c r="C7747" s="111" t="s">
        <v>17720</v>
      </c>
      <c r="D7747" s="111" t="str">
        <f t="shared" ref="D7747:E7747" si="7745">TRIM(B7747)</f>
        <v>Minnesota</v>
      </c>
      <c r="E7747" s="111" t="str">
        <f t="shared" si="7745"/>
        <v>Ashby</v>
      </c>
    </row>
    <row r="7748" spans="1:5">
      <c r="A7748" s="110" t="s">
        <v>17721</v>
      </c>
      <c r="B7748" s="110" t="s">
        <v>1345</v>
      </c>
      <c r="C7748" s="111" t="s">
        <v>353</v>
      </c>
      <c r="D7748" s="111" t="str">
        <f t="shared" ref="D7748:E7748" si="7746">TRIM(B7748)</f>
        <v>Minnesota</v>
      </c>
      <c r="E7748" s="111" t="str">
        <f t="shared" si="7746"/>
        <v>Aurora</v>
      </c>
    </row>
    <row r="7749" spans="1:5">
      <c r="A7749" s="3" t="s">
        <v>17722</v>
      </c>
      <c r="B7749" s="110" t="s">
        <v>1345</v>
      </c>
      <c r="C7749" s="111" t="s">
        <v>574</v>
      </c>
      <c r="D7749" s="111" t="str">
        <f t="shared" ref="D7749:E7749" si="7747">TRIM(B7749)</f>
        <v>Minnesota</v>
      </c>
      <c r="E7749" s="111" t="str">
        <f t="shared" si="7747"/>
        <v>Austin</v>
      </c>
    </row>
    <row r="7750" spans="1:5">
      <c r="A7750" s="110" t="s">
        <v>17723</v>
      </c>
      <c r="B7750" s="110" t="s">
        <v>1345</v>
      </c>
      <c r="C7750" s="111" t="s">
        <v>17724</v>
      </c>
      <c r="D7750" s="111" t="str">
        <f t="shared" ref="D7750:E7750" si="7748">TRIM(B7750)</f>
        <v>Minnesota</v>
      </c>
      <c r="E7750" s="111" t="str">
        <f t="shared" si="7748"/>
        <v>Babbitt</v>
      </c>
    </row>
    <row r="7751" spans="1:5">
      <c r="A7751" s="110" t="s">
        <v>17725</v>
      </c>
      <c r="B7751" s="110" t="s">
        <v>1345</v>
      </c>
      <c r="C7751" s="111" t="s">
        <v>17726</v>
      </c>
      <c r="D7751" s="111" t="str">
        <f t="shared" ref="D7751:E7751" si="7749">TRIM(B7751)</f>
        <v>Minnesota</v>
      </c>
      <c r="E7751" s="111" t="str">
        <f t="shared" si="7749"/>
        <v>Badger</v>
      </c>
    </row>
    <row r="7752" spans="1:5">
      <c r="A7752" s="110" t="s">
        <v>17727</v>
      </c>
      <c r="B7752" s="110" t="s">
        <v>1345</v>
      </c>
      <c r="C7752" s="111" t="s">
        <v>17728</v>
      </c>
      <c r="D7752" s="111" t="str">
        <f t="shared" ref="D7752:E7752" si="7750">TRIM(B7752)</f>
        <v>Minnesota</v>
      </c>
      <c r="E7752" s="111" t="str">
        <f t="shared" si="7750"/>
        <v>Bagley</v>
      </c>
    </row>
    <row r="7753" spans="1:5">
      <c r="A7753" s="110" t="s">
        <v>17729</v>
      </c>
      <c r="B7753" s="110" t="s">
        <v>1345</v>
      </c>
      <c r="C7753" s="111" t="s">
        <v>10425</v>
      </c>
      <c r="D7753" s="111" t="str">
        <f t="shared" ref="D7753:E7753" si="7751">TRIM(B7753)</f>
        <v>Minnesota</v>
      </c>
      <c r="E7753" s="111" t="str">
        <f t="shared" si="7751"/>
        <v>Barnesville</v>
      </c>
    </row>
    <row r="7754" spans="1:5">
      <c r="A7754" s="110" t="s">
        <v>17730</v>
      </c>
      <c r="B7754" s="110" t="s">
        <v>1345</v>
      </c>
      <c r="C7754" s="111" t="s">
        <v>17731</v>
      </c>
      <c r="D7754" s="111" t="str">
        <f t="shared" ref="D7754:E7754" si="7752">TRIM(B7754)</f>
        <v>Minnesota</v>
      </c>
      <c r="E7754" s="111" t="str">
        <f t="shared" si="7752"/>
        <v>Barnum</v>
      </c>
    </row>
    <row r="7755" spans="1:5">
      <c r="A7755" s="110" t="s">
        <v>17732</v>
      </c>
      <c r="B7755" s="110" t="s">
        <v>1345</v>
      </c>
      <c r="C7755" s="111" t="s">
        <v>17733</v>
      </c>
      <c r="D7755" s="111" t="str">
        <f t="shared" ref="D7755:E7755" si="7753">TRIM(B7755)</f>
        <v>Minnesota</v>
      </c>
      <c r="E7755" s="111" t="str">
        <f t="shared" si="7753"/>
        <v>Barrett</v>
      </c>
    </row>
    <row r="7756" spans="1:5">
      <c r="A7756" s="110" t="s">
        <v>17734</v>
      </c>
      <c r="B7756" s="110" t="s">
        <v>1345</v>
      </c>
      <c r="C7756" s="111" t="s">
        <v>17735</v>
      </c>
      <c r="D7756" s="111" t="str">
        <f t="shared" ref="D7756:E7756" si="7754">TRIM(B7756)</f>
        <v>Minnesota</v>
      </c>
      <c r="E7756" s="111" t="str">
        <f t="shared" si="7754"/>
        <v>Battle Lake</v>
      </c>
    </row>
    <row r="7757" spans="1:5">
      <c r="A7757" s="110" t="s">
        <v>17736</v>
      </c>
      <c r="B7757" s="110" t="s">
        <v>1345</v>
      </c>
      <c r="C7757" s="111" t="s">
        <v>17737</v>
      </c>
      <c r="D7757" s="111" t="str">
        <f t="shared" ref="D7757:E7757" si="7755">TRIM(B7757)</f>
        <v>Minnesota</v>
      </c>
      <c r="E7757" s="111" t="str">
        <f t="shared" si="7755"/>
        <v>Baudette</v>
      </c>
    </row>
    <row r="7758" spans="1:5">
      <c r="A7758" s="3" t="s">
        <v>17738</v>
      </c>
      <c r="B7758" s="110" t="s">
        <v>1345</v>
      </c>
      <c r="C7758" s="111" t="s">
        <v>17739</v>
      </c>
      <c r="D7758" s="111" t="str">
        <f t="shared" ref="D7758:E7758" si="7756">TRIM(B7758)</f>
        <v>Minnesota</v>
      </c>
      <c r="E7758" s="111" t="str">
        <f t="shared" si="7756"/>
        <v>Becker</v>
      </c>
    </row>
    <row r="7759" spans="1:5">
      <c r="A7759" s="110" t="s">
        <v>17740</v>
      </c>
      <c r="B7759" s="110" t="s">
        <v>1345</v>
      </c>
      <c r="C7759" s="111" t="s">
        <v>17741</v>
      </c>
      <c r="D7759" s="111" t="str">
        <f t="shared" ref="D7759:E7759" si="7757">TRIM(B7759)</f>
        <v>Minnesota</v>
      </c>
      <c r="E7759" s="111" t="str">
        <f t="shared" si="7757"/>
        <v>Belgrade</v>
      </c>
    </row>
    <row r="7760" spans="1:5">
      <c r="A7760" s="3" t="s">
        <v>17742</v>
      </c>
      <c r="B7760" s="110" t="s">
        <v>1345</v>
      </c>
      <c r="C7760" s="111" t="s">
        <v>14714</v>
      </c>
      <c r="D7760" s="111" t="str">
        <f t="shared" ref="D7760:E7760" si="7758">TRIM(B7760)</f>
        <v>Minnesota</v>
      </c>
      <c r="E7760" s="111" t="str">
        <f t="shared" si="7758"/>
        <v>Belle Plaine</v>
      </c>
    </row>
    <row r="7761" spans="1:5">
      <c r="A7761" s="3" t="s">
        <v>17743</v>
      </c>
      <c r="B7761" s="110" t="s">
        <v>1345</v>
      </c>
      <c r="C7761" s="111" t="s">
        <v>17744</v>
      </c>
      <c r="D7761" s="111" t="str">
        <f t="shared" ref="D7761:E7761" si="7759">TRIM(B7761)</f>
        <v>Minnesota</v>
      </c>
      <c r="E7761" s="111" t="str">
        <f t="shared" si="7759"/>
        <v>Bemidji</v>
      </c>
    </row>
    <row r="7762" spans="1:5">
      <c r="A7762" s="3" t="s">
        <v>17745</v>
      </c>
      <c r="B7762" s="110" t="s">
        <v>1345</v>
      </c>
      <c r="C7762" s="111" t="s">
        <v>17744</v>
      </c>
      <c r="D7762" s="111" t="str">
        <f t="shared" ref="D7762:E7762" si="7760">TRIM(B7762)</f>
        <v>Minnesota</v>
      </c>
      <c r="E7762" s="111" t="str">
        <f t="shared" si="7760"/>
        <v>Bemidji</v>
      </c>
    </row>
    <row r="7763" spans="1:5">
      <c r="A7763" s="110" t="s">
        <v>17746</v>
      </c>
      <c r="B7763" s="110" t="s">
        <v>1345</v>
      </c>
      <c r="C7763" s="111" t="s">
        <v>17744</v>
      </c>
      <c r="D7763" s="111" t="str">
        <f t="shared" ref="D7763:E7763" si="7761">TRIM(B7763)</f>
        <v>Minnesota</v>
      </c>
      <c r="E7763" s="111" t="str">
        <f t="shared" si="7761"/>
        <v>Bemidji</v>
      </c>
    </row>
    <row r="7764" spans="1:5">
      <c r="A7764" s="110" t="s">
        <v>17747</v>
      </c>
      <c r="B7764" s="110" t="s">
        <v>1345</v>
      </c>
      <c r="C7764" s="111" t="s">
        <v>2472</v>
      </c>
      <c r="D7764" s="111" t="str">
        <f t="shared" ref="D7764:E7764" si="7762">TRIM(B7764)</f>
        <v>Minnesota</v>
      </c>
      <c r="E7764" s="111" t="str">
        <f t="shared" si="7762"/>
        <v>Benson</v>
      </c>
    </row>
    <row r="7765" spans="1:5">
      <c r="A7765" s="110" t="s">
        <v>17748</v>
      </c>
      <c r="B7765" s="110" t="s">
        <v>1345</v>
      </c>
      <c r="C7765" s="111" t="s">
        <v>17749</v>
      </c>
      <c r="D7765" s="111" t="str">
        <f t="shared" ref="D7765:E7765" si="7763">TRIM(B7765)</f>
        <v>Minnesota</v>
      </c>
      <c r="E7765" s="111" t="str">
        <f t="shared" si="7763"/>
        <v>Bertha</v>
      </c>
    </row>
    <row r="7766" spans="1:5">
      <c r="A7766" s="3" t="s">
        <v>17750</v>
      </c>
      <c r="B7766" s="110" t="s">
        <v>1345</v>
      </c>
      <c r="C7766" s="111" t="s">
        <v>17751</v>
      </c>
      <c r="D7766" s="111" t="str">
        <f t="shared" ref="D7766:E7766" si="7764">TRIM(B7766)</f>
        <v>Minnesota</v>
      </c>
      <c r="E7766" s="111" t="str">
        <f t="shared" si="7764"/>
        <v>Big Lake</v>
      </c>
    </row>
    <row r="7767" spans="1:5">
      <c r="A7767" s="110" t="s">
        <v>17752</v>
      </c>
      <c r="B7767" s="110" t="s">
        <v>1345</v>
      </c>
      <c r="C7767" s="111" t="s">
        <v>17753</v>
      </c>
      <c r="D7767" s="111" t="str">
        <f t="shared" ref="D7767:E7767" si="7765">TRIM(B7767)</f>
        <v>Minnesota</v>
      </c>
      <c r="E7767" s="111" t="str">
        <f t="shared" si="7765"/>
        <v>Bigfork</v>
      </c>
    </row>
    <row r="7768" spans="1:5">
      <c r="A7768" s="110" t="s">
        <v>17754</v>
      </c>
      <c r="B7768" s="110" t="s">
        <v>1345</v>
      </c>
      <c r="C7768" s="111" t="s">
        <v>17755</v>
      </c>
      <c r="D7768" s="111" t="str">
        <f t="shared" ref="D7768:E7768" si="7766">TRIM(B7768)</f>
        <v>Minnesota</v>
      </c>
      <c r="E7768" s="111" t="str">
        <f t="shared" si="7766"/>
        <v>Birchdale</v>
      </c>
    </row>
    <row r="7769" spans="1:5">
      <c r="A7769" s="110" t="s">
        <v>17756</v>
      </c>
      <c r="B7769" s="110" t="s">
        <v>1345</v>
      </c>
      <c r="C7769" s="111" t="s">
        <v>17757</v>
      </c>
      <c r="D7769" s="111" t="str">
        <f t="shared" ref="D7769:E7769" si="7767">TRIM(B7769)</f>
        <v>Minnesota</v>
      </c>
      <c r="E7769" s="111" t="str">
        <f t="shared" si="7767"/>
        <v>Blackduck</v>
      </c>
    </row>
    <row r="7770" spans="1:5">
      <c r="A7770" s="3" t="s">
        <v>17758</v>
      </c>
      <c r="B7770" s="110" t="s">
        <v>1345</v>
      </c>
      <c r="C7770" s="111" t="s">
        <v>17759</v>
      </c>
      <c r="D7770" s="111" t="str">
        <f t="shared" ref="D7770:E7770" si="7768">TRIM(B7770)</f>
        <v>Minnesota</v>
      </c>
      <c r="E7770" s="111" t="str">
        <f t="shared" si="7768"/>
        <v>Blaine</v>
      </c>
    </row>
    <row r="7771" spans="1:5">
      <c r="A7771" s="3" t="s">
        <v>17760</v>
      </c>
      <c r="B7771" s="110" t="s">
        <v>1345</v>
      </c>
      <c r="C7771" s="111" t="s">
        <v>17759</v>
      </c>
      <c r="D7771" s="111" t="str">
        <f t="shared" ref="D7771:E7771" si="7769">TRIM(B7771)</f>
        <v>Minnesota</v>
      </c>
      <c r="E7771" s="111" t="str">
        <f t="shared" si="7769"/>
        <v>Blaine</v>
      </c>
    </row>
    <row r="7772" spans="1:5">
      <c r="A7772" s="110" t="s">
        <v>17761</v>
      </c>
      <c r="B7772" s="110" t="s">
        <v>1345</v>
      </c>
      <c r="C7772" s="111" t="s">
        <v>17762</v>
      </c>
      <c r="D7772" s="111" t="str">
        <f t="shared" ref="D7772:E7772" si="7770">TRIM(B7772)</f>
        <v>Minnesota</v>
      </c>
      <c r="E7772" s="111" t="str">
        <f t="shared" si="7770"/>
        <v>Blooming Prairie</v>
      </c>
    </row>
    <row r="7773" spans="1:5">
      <c r="A7773" s="3" t="s">
        <v>17763</v>
      </c>
      <c r="B7773" s="110" t="s">
        <v>1345</v>
      </c>
      <c r="C7773" s="111" t="s">
        <v>1004</v>
      </c>
      <c r="D7773" s="111" t="str">
        <f t="shared" ref="D7773:E7773" si="7771">TRIM(B7773)</f>
        <v>Minnesota</v>
      </c>
      <c r="E7773" s="111" t="str">
        <f t="shared" si="7771"/>
        <v>Bloomington</v>
      </c>
    </row>
    <row r="7774" spans="1:5">
      <c r="A7774" s="3" t="s">
        <v>17764</v>
      </c>
      <c r="B7774" s="110" t="s">
        <v>1345</v>
      </c>
      <c r="C7774" s="111" t="s">
        <v>1004</v>
      </c>
      <c r="D7774" s="111" t="str">
        <f t="shared" ref="D7774:E7774" si="7772">TRIM(B7774)</f>
        <v>Minnesota</v>
      </c>
      <c r="E7774" s="111" t="str">
        <f t="shared" si="7772"/>
        <v>Bloomington</v>
      </c>
    </row>
    <row r="7775" spans="1:5">
      <c r="A7775" s="3" t="s">
        <v>17765</v>
      </c>
      <c r="B7775" s="110" t="s">
        <v>1345</v>
      </c>
      <c r="C7775" s="111" t="s">
        <v>1004</v>
      </c>
      <c r="D7775" s="111" t="str">
        <f t="shared" ref="D7775:E7775" si="7773">TRIM(B7775)</f>
        <v>Minnesota</v>
      </c>
      <c r="E7775" s="111" t="str">
        <f t="shared" si="7773"/>
        <v>Bloomington</v>
      </c>
    </row>
    <row r="7776" spans="1:5">
      <c r="A7776" s="110" t="s">
        <v>17766</v>
      </c>
      <c r="B7776" s="110" t="s">
        <v>1345</v>
      </c>
      <c r="C7776" s="111" t="s">
        <v>17767</v>
      </c>
      <c r="D7776" s="111" t="str">
        <f t="shared" ref="D7776:E7776" si="7774">TRIM(B7776)</f>
        <v>Minnesota</v>
      </c>
      <c r="E7776" s="111" t="str">
        <f t="shared" si="7774"/>
        <v>Blue Earth</v>
      </c>
    </row>
    <row r="7777" spans="1:5">
      <c r="A7777" s="110" t="s">
        <v>17768</v>
      </c>
      <c r="B7777" s="110" t="s">
        <v>1345</v>
      </c>
      <c r="C7777" s="111" t="s">
        <v>17769</v>
      </c>
      <c r="D7777" s="111" t="str">
        <f t="shared" ref="D7777:E7777" si="7775">TRIM(B7777)</f>
        <v>Minnesota</v>
      </c>
      <c r="E7777" s="111" t="str">
        <f t="shared" si="7775"/>
        <v>Braham</v>
      </c>
    </row>
    <row r="7778" spans="1:5">
      <c r="A7778" s="3" t="s">
        <v>17770</v>
      </c>
      <c r="B7778" s="110" t="s">
        <v>1345</v>
      </c>
      <c r="C7778" s="111" t="s">
        <v>17771</v>
      </c>
      <c r="D7778" s="111" t="str">
        <f t="shared" ref="D7778:E7778" si="7776">TRIM(B7778)</f>
        <v>Minnesota</v>
      </c>
      <c r="E7778" s="111" t="str">
        <f t="shared" si="7776"/>
        <v>Brainerd</v>
      </c>
    </row>
    <row r="7779" spans="1:5">
      <c r="A7779" s="3" t="s">
        <v>17772</v>
      </c>
      <c r="B7779" s="110" t="s">
        <v>1345</v>
      </c>
      <c r="C7779" s="111" t="s">
        <v>9005</v>
      </c>
      <c r="D7779" s="111" t="str">
        <f t="shared" ref="D7779:E7779" si="7777">TRIM(B7779)</f>
        <v>Minnesota</v>
      </c>
      <c r="E7779" s="111" t="str">
        <f t="shared" si="7777"/>
        <v>Brandon</v>
      </c>
    </row>
    <row r="7780" spans="1:5">
      <c r="A7780" s="3" t="s">
        <v>17773</v>
      </c>
      <c r="B7780" s="110" t="s">
        <v>1345</v>
      </c>
      <c r="C7780" s="111" t="s">
        <v>17000</v>
      </c>
      <c r="D7780" s="111" t="str">
        <f t="shared" ref="D7780:E7780" si="7778">TRIM(B7780)</f>
        <v>Minnesota</v>
      </c>
      <c r="E7780" s="111" t="str">
        <f t="shared" si="7778"/>
        <v>Breckenridge</v>
      </c>
    </row>
    <row r="7781" spans="1:5">
      <c r="A7781" s="3" t="s">
        <v>17774</v>
      </c>
      <c r="B7781" s="110" t="s">
        <v>1345</v>
      </c>
      <c r="C7781" s="111" t="s">
        <v>17775</v>
      </c>
      <c r="D7781" s="111" t="str">
        <f t="shared" ref="D7781:E7781" si="7779">TRIM(B7781)</f>
        <v>Minnesota</v>
      </c>
      <c r="E7781" s="111" t="str">
        <f t="shared" si="7779"/>
        <v>Brooklyn Center</v>
      </c>
    </row>
    <row r="7782" spans="1:5">
      <c r="A7782" s="110" t="s">
        <v>17776</v>
      </c>
      <c r="B7782" s="110" t="s">
        <v>1345</v>
      </c>
      <c r="C7782" s="111" t="s">
        <v>17775</v>
      </c>
      <c r="D7782" s="111" t="str">
        <f t="shared" ref="D7782:E7782" si="7780">TRIM(B7782)</f>
        <v>Minnesota</v>
      </c>
      <c r="E7782" s="111" t="str">
        <f t="shared" si="7780"/>
        <v>Brooklyn Center</v>
      </c>
    </row>
    <row r="7783" spans="1:5">
      <c r="A7783" s="110" t="s">
        <v>17777</v>
      </c>
      <c r="B7783" s="110" t="s">
        <v>1345</v>
      </c>
      <c r="C7783" s="111" t="s">
        <v>17778</v>
      </c>
      <c r="D7783" s="111" t="str">
        <f t="shared" ref="D7783:E7783" si="7781">TRIM(B7783)</f>
        <v>Minnesota</v>
      </c>
      <c r="E7783" s="111" t="str">
        <f t="shared" si="7781"/>
        <v>Brooklyn Park</v>
      </c>
    </row>
    <row r="7784" spans="1:5">
      <c r="A7784" s="3" t="s">
        <v>17779</v>
      </c>
      <c r="B7784" s="110" t="s">
        <v>1345</v>
      </c>
      <c r="C7784" s="111" t="s">
        <v>17778</v>
      </c>
      <c r="D7784" s="111" t="str">
        <f t="shared" ref="D7784:E7784" si="7782">TRIM(B7784)</f>
        <v>Minnesota</v>
      </c>
      <c r="E7784" s="111" t="str">
        <f t="shared" si="7782"/>
        <v>Brooklyn Park</v>
      </c>
    </row>
    <row r="7785" spans="1:5">
      <c r="A7785" s="3" t="s">
        <v>17780</v>
      </c>
      <c r="B7785" s="110" t="s">
        <v>1345</v>
      </c>
      <c r="C7785" s="111" t="s">
        <v>17778</v>
      </c>
      <c r="D7785" s="111" t="str">
        <f t="shared" ref="D7785:E7785" si="7783">TRIM(B7785)</f>
        <v>Minnesota</v>
      </c>
      <c r="E7785" s="111" t="str">
        <f t="shared" si="7783"/>
        <v>Brooklyn Park</v>
      </c>
    </row>
    <row r="7786" spans="1:5">
      <c r="A7786" s="110" t="s">
        <v>17781</v>
      </c>
      <c r="B7786" s="110" t="s">
        <v>1345</v>
      </c>
      <c r="C7786" s="111" t="s">
        <v>17782</v>
      </c>
      <c r="D7786" s="111" t="str">
        <f t="shared" ref="D7786:E7786" si="7784">TRIM(B7786)</f>
        <v>Minnesota</v>
      </c>
      <c r="E7786" s="111" t="str">
        <f t="shared" si="7784"/>
        <v>Browerville</v>
      </c>
    </row>
    <row r="7787" spans="1:5">
      <c r="A7787" s="3" t="s">
        <v>17783</v>
      </c>
      <c r="B7787" s="110" t="s">
        <v>1345</v>
      </c>
      <c r="C7787" s="111" t="s">
        <v>12129</v>
      </c>
      <c r="D7787" s="111" t="str">
        <f t="shared" ref="D7787:E7787" si="7785">TRIM(B7787)</f>
        <v>Minnesota</v>
      </c>
      <c r="E7787" s="111" t="str">
        <f t="shared" si="7785"/>
        <v>Buffalo</v>
      </c>
    </row>
    <row r="7788" spans="1:5">
      <c r="A7788" s="3" t="s">
        <v>17784</v>
      </c>
      <c r="B7788" s="110" t="s">
        <v>1345</v>
      </c>
      <c r="C7788" s="111" t="s">
        <v>11611</v>
      </c>
      <c r="D7788" s="111" t="str">
        <f t="shared" ref="D7788:E7788" si="7786">TRIM(B7788)</f>
        <v>Minnesota</v>
      </c>
      <c r="E7788" s="111" t="str">
        <f t="shared" si="7786"/>
        <v>Burnsville</v>
      </c>
    </row>
    <row r="7789" spans="1:5">
      <c r="A7789" s="110" t="s">
        <v>17785</v>
      </c>
      <c r="B7789" s="110" t="s">
        <v>1345</v>
      </c>
      <c r="C7789" s="111" t="s">
        <v>17786</v>
      </c>
      <c r="D7789" s="111" t="str">
        <f t="shared" ref="D7789:E7789" si="7787">TRIM(B7789)</f>
        <v>Minnesota</v>
      </c>
      <c r="E7789" s="111" t="str">
        <f t="shared" si="7787"/>
        <v>Butterfield</v>
      </c>
    </row>
    <row r="7790" spans="1:5">
      <c r="A7790" s="3" t="s">
        <v>17787</v>
      </c>
      <c r="B7790" s="110" t="s">
        <v>1345</v>
      </c>
      <c r="C7790" s="111" t="s">
        <v>12142</v>
      </c>
      <c r="D7790" s="111" t="str">
        <f t="shared" ref="D7790:E7790" si="7788">TRIM(B7790)</f>
        <v>Minnesota</v>
      </c>
      <c r="E7790" s="111" t="str">
        <f t="shared" si="7788"/>
        <v>Byron</v>
      </c>
    </row>
    <row r="7791" spans="1:5">
      <c r="A7791" s="3" t="s">
        <v>17788</v>
      </c>
      <c r="B7791" s="110" t="s">
        <v>1345</v>
      </c>
      <c r="C7791" s="112" t="s">
        <v>2063</v>
      </c>
      <c r="D7791" s="111" t="str">
        <f t="shared" ref="D7791:E7791" si="7789">TRIM(B7791)</f>
        <v>Minnesota</v>
      </c>
      <c r="E7791" s="111" t="str">
        <f t="shared" si="7789"/>
        <v>Caledonia</v>
      </c>
    </row>
    <row r="7792" spans="1:5">
      <c r="A7792" s="3" t="s">
        <v>17789</v>
      </c>
      <c r="B7792" s="110" t="s">
        <v>1345</v>
      </c>
      <c r="C7792" s="111" t="s">
        <v>11260</v>
      </c>
      <c r="D7792" s="111" t="str">
        <f t="shared" ref="D7792:E7792" si="7790">TRIM(B7792)</f>
        <v>Minnesota</v>
      </c>
      <c r="E7792" s="111" t="str">
        <f t="shared" si="7790"/>
        <v>Cambridge</v>
      </c>
    </row>
    <row r="7793" spans="1:5">
      <c r="A7793" s="110" t="s">
        <v>17790</v>
      </c>
      <c r="B7793" s="110" t="s">
        <v>1345</v>
      </c>
      <c r="C7793" s="111" t="s">
        <v>4578</v>
      </c>
      <c r="D7793" s="111" t="str">
        <f t="shared" ref="D7793:E7793" si="7791">TRIM(B7793)</f>
        <v>Minnesota</v>
      </c>
      <c r="E7793" s="111" t="str">
        <f t="shared" si="7791"/>
        <v>Campbell</v>
      </c>
    </row>
    <row r="7794" spans="1:5">
      <c r="A7794" s="110" t="s">
        <v>17791</v>
      </c>
      <c r="B7794" s="110" t="s">
        <v>1345</v>
      </c>
      <c r="C7794" s="111" t="s">
        <v>17792</v>
      </c>
      <c r="D7794" s="111" t="str">
        <f t="shared" ref="D7794:E7794" si="7792">TRIM(B7794)</f>
        <v>Minnesota</v>
      </c>
      <c r="E7794" s="111" t="str">
        <f t="shared" si="7792"/>
        <v>Canby</v>
      </c>
    </row>
    <row r="7795" spans="1:5">
      <c r="A7795" s="110" t="s">
        <v>17793</v>
      </c>
      <c r="B7795" s="110" t="s">
        <v>1345</v>
      </c>
      <c r="C7795" s="111" t="s">
        <v>17794</v>
      </c>
      <c r="D7795" s="111" t="str">
        <f t="shared" ref="D7795:E7795" si="7793">TRIM(B7795)</f>
        <v>Minnesota</v>
      </c>
      <c r="E7795" s="111" t="str">
        <f t="shared" si="7793"/>
        <v>Cannon Falls</v>
      </c>
    </row>
    <row r="7796" spans="1:5">
      <c r="A7796" s="110" t="s">
        <v>17795</v>
      </c>
      <c r="B7796" s="110" t="s">
        <v>1345</v>
      </c>
      <c r="C7796" s="112" t="s">
        <v>17796</v>
      </c>
      <c r="D7796" s="111" t="str">
        <f t="shared" ref="D7796:E7796" si="7794">TRIM(B7796)</f>
        <v>Minnesota</v>
      </c>
      <c r="E7796" s="111" t="str">
        <f t="shared" si="7794"/>
        <v>Carlton</v>
      </c>
    </row>
    <row r="7797" spans="1:5">
      <c r="A7797" s="110" t="s">
        <v>17797</v>
      </c>
      <c r="B7797" s="110" t="s">
        <v>1345</v>
      </c>
      <c r="C7797" s="111" t="s">
        <v>17798</v>
      </c>
      <c r="D7797" s="111" t="str">
        <f t="shared" ref="D7797:E7797" si="7795">TRIM(B7797)</f>
        <v>Minnesota</v>
      </c>
      <c r="E7797" s="111" t="str">
        <f t="shared" si="7795"/>
        <v>Cass Lake</v>
      </c>
    </row>
    <row r="7798" spans="1:5">
      <c r="A7798" s="3" t="s">
        <v>17799</v>
      </c>
      <c r="B7798" s="110" t="s">
        <v>1345</v>
      </c>
      <c r="C7798" s="111" t="s">
        <v>17800</v>
      </c>
      <c r="D7798" s="111" t="str">
        <f t="shared" ref="D7798:E7798" si="7796">TRIM(B7798)</f>
        <v>Minnesota</v>
      </c>
      <c r="E7798" s="111" t="str">
        <f t="shared" si="7796"/>
        <v>Champlin</v>
      </c>
    </row>
    <row r="7799" spans="1:5">
      <c r="A7799" s="3" t="s">
        <v>17801</v>
      </c>
      <c r="B7799" s="110" t="s">
        <v>1345</v>
      </c>
      <c r="C7799" s="111" t="s">
        <v>17802</v>
      </c>
      <c r="D7799" s="111" t="str">
        <f t="shared" ref="D7799:E7799" si="7797">TRIM(B7799)</f>
        <v>Minnesota</v>
      </c>
      <c r="E7799" s="111" t="str">
        <f t="shared" si="7797"/>
        <v>Chanhassen</v>
      </c>
    </row>
    <row r="7800" spans="1:5">
      <c r="A7800" s="3" t="s">
        <v>17803</v>
      </c>
      <c r="B7800" s="110" t="s">
        <v>1345</v>
      </c>
      <c r="C7800" s="111" t="s">
        <v>5107</v>
      </c>
      <c r="D7800" s="111" t="str">
        <f t="shared" ref="D7800:E7800" si="7798">TRIM(B7800)</f>
        <v>Minnesota</v>
      </c>
      <c r="E7800" s="111" t="str">
        <f t="shared" si="7798"/>
        <v>Chaska</v>
      </c>
    </row>
    <row r="7801" spans="1:5">
      <c r="A7801" s="110" t="s">
        <v>17804</v>
      </c>
      <c r="B7801" s="110" t="s">
        <v>1345</v>
      </c>
      <c r="C7801" s="111" t="s">
        <v>17805</v>
      </c>
      <c r="D7801" s="111" t="str">
        <f t="shared" ref="D7801:E7801" si="7799">TRIM(B7801)</f>
        <v>Minnesota</v>
      </c>
      <c r="E7801" s="111" t="str">
        <f t="shared" si="7799"/>
        <v>Chatfield</v>
      </c>
    </row>
    <row r="7802" spans="1:5">
      <c r="A7802" s="110" t="s">
        <v>17806</v>
      </c>
      <c r="B7802" s="110" t="s">
        <v>1345</v>
      </c>
      <c r="C7802" s="111" t="s">
        <v>17807</v>
      </c>
      <c r="D7802" s="111" t="str">
        <f t="shared" ref="D7802:E7802" si="7800">TRIM(B7802)</f>
        <v>Minnesota</v>
      </c>
      <c r="E7802" s="111" t="str">
        <f t="shared" si="7800"/>
        <v>Chisholm</v>
      </c>
    </row>
    <row r="7803" spans="1:5">
      <c r="A7803" s="110" t="s">
        <v>17808</v>
      </c>
      <c r="B7803" s="110" t="s">
        <v>1345</v>
      </c>
      <c r="C7803" s="111" t="s">
        <v>17809</v>
      </c>
      <c r="D7803" s="111" t="str">
        <f t="shared" ref="D7803:E7803" si="7801">TRIM(B7803)</f>
        <v>Minnesota</v>
      </c>
      <c r="E7803" s="111" t="str">
        <f t="shared" si="7801"/>
        <v>Chokio</v>
      </c>
    </row>
    <row r="7804" spans="1:5">
      <c r="A7804" s="3" t="s">
        <v>2905</v>
      </c>
      <c r="B7804" s="110" t="s">
        <v>1345</v>
      </c>
      <c r="C7804" s="111" t="s">
        <v>17810</v>
      </c>
      <c r="D7804" s="111" t="str">
        <f t="shared" ref="D7804:E7804" si="7802">TRIM(B7804)</f>
        <v>Minnesota</v>
      </c>
      <c r="E7804" s="111" t="str">
        <f t="shared" si="7802"/>
        <v>Circle Pines</v>
      </c>
    </row>
    <row r="7805" spans="1:5">
      <c r="A7805" s="3" t="s">
        <v>17811</v>
      </c>
      <c r="B7805" s="110" t="s">
        <v>1345</v>
      </c>
      <c r="C7805" s="111" t="s">
        <v>17812</v>
      </c>
      <c r="D7805" s="111" t="str">
        <f t="shared" ref="D7805:E7805" si="7803">TRIM(B7805)</f>
        <v>Minnesota</v>
      </c>
      <c r="E7805" s="111" t="str">
        <f t="shared" si="7803"/>
        <v>Clara City</v>
      </c>
    </row>
    <row r="7806" spans="1:5">
      <c r="A7806" s="110" t="s">
        <v>17813</v>
      </c>
      <c r="B7806" s="110" t="s">
        <v>1345</v>
      </c>
      <c r="C7806" s="111" t="s">
        <v>17814</v>
      </c>
      <c r="D7806" s="111" t="str">
        <f t="shared" ref="D7806:E7806" si="7804">TRIM(B7806)</f>
        <v>Minnesota</v>
      </c>
      <c r="E7806" s="111" t="str">
        <f t="shared" si="7804"/>
        <v>Clearbrook</v>
      </c>
    </row>
    <row r="7807" spans="1:5">
      <c r="A7807" s="110" t="s">
        <v>17815</v>
      </c>
      <c r="B7807" s="110" t="s">
        <v>1345</v>
      </c>
      <c r="C7807" s="111" t="s">
        <v>127</v>
      </c>
      <c r="D7807" s="111" t="str">
        <f t="shared" ref="D7807:E7807" si="7805">TRIM(B7807)</f>
        <v>Minnesota</v>
      </c>
      <c r="E7807" s="111" t="str">
        <f t="shared" si="7805"/>
        <v>Cleveland</v>
      </c>
    </row>
    <row r="7808" spans="1:5">
      <c r="A7808" s="110" t="s">
        <v>17816</v>
      </c>
      <c r="B7808" s="110" t="s">
        <v>1345</v>
      </c>
      <c r="C7808" s="111" t="s">
        <v>17064</v>
      </c>
      <c r="D7808" s="111" t="str">
        <f t="shared" ref="D7808:E7808" si="7806">TRIM(B7808)</f>
        <v>Minnesota</v>
      </c>
      <c r="E7808" s="111" t="str">
        <f t="shared" si="7806"/>
        <v>Climax</v>
      </c>
    </row>
    <row r="7809" spans="1:5">
      <c r="A7809" s="110" t="s">
        <v>17817</v>
      </c>
      <c r="B7809" s="110" t="s">
        <v>1345</v>
      </c>
      <c r="C7809" s="111" t="s">
        <v>17818</v>
      </c>
      <c r="D7809" s="111" t="str">
        <f t="shared" ref="D7809:E7809" si="7807">TRIM(B7809)</f>
        <v>Minnesota</v>
      </c>
      <c r="E7809" s="111" t="str">
        <f t="shared" si="7807"/>
        <v>Cloquet</v>
      </c>
    </row>
    <row r="7810" spans="1:5">
      <c r="A7810" s="3" t="s">
        <v>17819</v>
      </c>
      <c r="B7810" s="110" t="s">
        <v>1345</v>
      </c>
      <c r="C7810" s="111" t="s">
        <v>17820</v>
      </c>
      <c r="D7810" s="111" t="str">
        <f t="shared" ref="D7810:E7810" si="7808">TRIM(B7810)</f>
        <v>Minnesota</v>
      </c>
      <c r="E7810" s="111" t="str">
        <f t="shared" si="7808"/>
        <v>Cokato</v>
      </c>
    </row>
    <row r="7811" spans="1:5">
      <c r="A7811" s="3" t="s">
        <v>17821</v>
      </c>
      <c r="B7811" s="110" t="s">
        <v>1345</v>
      </c>
      <c r="C7811" s="111" t="s">
        <v>17822</v>
      </c>
      <c r="D7811" s="111" t="str">
        <f t="shared" ref="D7811:E7811" si="7809">TRIM(B7811)</f>
        <v>Minnesota</v>
      </c>
      <c r="E7811" s="111" t="str">
        <f t="shared" si="7809"/>
        <v>Cold Spring</v>
      </c>
    </row>
    <row r="7812" spans="1:5">
      <c r="A7812" s="3" t="s">
        <v>17823</v>
      </c>
      <c r="B7812" s="110" t="s">
        <v>1345</v>
      </c>
      <c r="C7812" s="111" t="s">
        <v>17824</v>
      </c>
      <c r="D7812" s="111" t="str">
        <f t="shared" ref="D7812:E7812" si="7810">TRIM(B7812)</f>
        <v>Minnesota</v>
      </c>
      <c r="E7812" s="111" t="str">
        <f t="shared" si="7810"/>
        <v>Coleraine</v>
      </c>
    </row>
    <row r="7813" spans="1:5">
      <c r="A7813" s="3" t="s">
        <v>17825</v>
      </c>
      <c r="B7813" s="110" t="s">
        <v>1345</v>
      </c>
      <c r="C7813" s="113" t="s">
        <v>17826</v>
      </c>
      <c r="D7813" s="111" t="str">
        <f t="shared" ref="D7813:E7813" si="7811">TRIM(B7813)</f>
        <v>Minnesota</v>
      </c>
      <c r="E7813" s="111" t="str">
        <f t="shared" si="7811"/>
        <v>Columbia Heights</v>
      </c>
    </row>
    <row r="7814" spans="1:5">
      <c r="A7814" s="110" t="s">
        <v>17827</v>
      </c>
      <c r="B7814" s="110" t="s">
        <v>1345</v>
      </c>
      <c r="C7814" s="111" t="s">
        <v>17828</v>
      </c>
      <c r="D7814" s="111" t="str">
        <f t="shared" ref="D7814:E7814" si="7812">TRIM(B7814)</f>
        <v>Minnesota</v>
      </c>
      <c r="E7814" s="111" t="str">
        <f t="shared" si="7812"/>
        <v>Comfrey</v>
      </c>
    </row>
    <row r="7815" spans="1:5">
      <c r="A7815" s="110" t="s">
        <v>17829</v>
      </c>
      <c r="B7815" s="110" t="s">
        <v>1345</v>
      </c>
      <c r="C7815" s="111" t="s">
        <v>17830</v>
      </c>
      <c r="D7815" s="111" t="str">
        <f t="shared" ref="D7815:E7815" si="7813">TRIM(B7815)</f>
        <v>Minnesota</v>
      </c>
      <c r="E7815" s="111" t="str">
        <f t="shared" si="7813"/>
        <v>Cook</v>
      </c>
    </row>
    <row r="7816" spans="1:5">
      <c r="A7816" s="3" t="s">
        <v>17831</v>
      </c>
      <c r="B7816" s="110" t="s">
        <v>1345</v>
      </c>
      <c r="C7816" s="111" t="s">
        <v>14766</v>
      </c>
      <c r="D7816" s="111" t="str">
        <f t="shared" ref="D7816:E7816" si="7814">TRIM(B7816)</f>
        <v>Minnesota</v>
      </c>
      <c r="E7816" s="111" t="str">
        <f t="shared" si="7814"/>
        <v>Coon Rapids</v>
      </c>
    </row>
    <row r="7817" spans="1:5">
      <c r="A7817" s="3" t="s">
        <v>17832</v>
      </c>
      <c r="B7817" s="110" t="s">
        <v>1345</v>
      </c>
      <c r="C7817" s="111" t="s">
        <v>14766</v>
      </c>
      <c r="D7817" s="111" t="str">
        <f t="shared" ref="D7817:E7817" si="7815">TRIM(B7817)</f>
        <v>Minnesota</v>
      </c>
      <c r="E7817" s="111" t="str">
        <f t="shared" si="7815"/>
        <v>Coon Rapids</v>
      </c>
    </row>
    <row r="7818" spans="1:5">
      <c r="A7818" s="3" t="s">
        <v>17833</v>
      </c>
      <c r="B7818" s="110" t="s">
        <v>1345</v>
      </c>
      <c r="C7818" s="111" t="s">
        <v>17834</v>
      </c>
      <c r="D7818" s="111" t="str">
        <f t="shared" ref="D7818:E7818" si="7816">TRIM(B7818)</f>
        <v>Minnesota</v>
      </c>
      <c r="E7818" s="111" t="str">
        <f t="shared" si="7816"/>
        <v>Cottage Grove</v>
      </c>
    </row>
    <row r="7819" spans="1:5">
      <c r="A7819" s="110" t="s">
        <v>17835</v>
      </c>
      <c r="B7819" s="110" t="s">
        <v>1345</v>
      </c>
      <c r="C7819" s="111" t="s">
        <v>2582</v>
      </c>
      <c r="D7819" s="111" t="str">
        <f t="shared" ref="D7819:E7819" si="7817">TRIM(B7819)</f>
        <v>Minnesota</v>
      </c>
      <c r="E7819" s="111" t="str">
        <f t="shared" si="7817"/>
        <v>Cottonwood</v>
      </c>
    </row>
    <row r="7820" spans="1:5">
      <c r="A7820" s="110" t="s">
        <v>17836</v>
      </c>
      <c r="B7820" s="110" t="s">
        <v>1345</v>
      </c>
      <c r="C7820" s="111" t="s">
        <v>8399</v>
      </c>
      <c r="D7820" s="111" t="str">
        <f t="shared" ref="D7820:E7820" si="7818">TRIM(B7820)</f>
        <v>Minnesota</v>
      </c>
      <c r="E7820" s="111" t="str">
        <f t="shared" si="7818"/>
        <v>Cromwell</v>
      </c>
    </row>
    <row r="7821" spans="1:5">
      <c r="A7821" s="110" t="s">
        <v>17837</v>
      </c>
      <c r="B7821" s="110" t="s">
        <v>1345</v>
      </c>
      <c r="C7821" s="111" t="s">
        <v>17838</v>
      </c>
      <c r="D7821" s="111" t="str">
        <f t="shared" ref="D7821:E7821" si="7819">TRIM(B7821)</f>
        <v>Minnesota</v>
      </c>
      <c r="E7821" s="111" t="str">
        <f t="shared" si="7819"/>
        <v>Crookston</v>
      </c>
    </row>
    <row r="7822" spans="1:5">
      <c r="A7822" s="110" t="s">
        <v>17839</v>
      </c>
      <c r="B7822" s="110" t="s">
        <v>1345</v>
      </c>
      <c r="C7822" s="111" t="s">
        <v>17840</v>
      </c>
      <c r="D7822" s="111" t="str">
        <f t="shared" ref="D7822:E7822" si="7820">TRIM(B7822)</f>
        <v>Minnesota</v>
      </c>
      <c r="E7822" s="111" t="str">
        <f t="shared" si="7820"/>
        <v>Crosby</v>
      </c>
    </row>
    <row r="7823" spans="1:5">
      <c r="A7823" s="3" t="s">
        <v>17841</v>
      </c>
      <c r="B7823" s="110" t="s">
        <v>1345</v>
      </c>
      <c r="C7823" s="111" t="s">
        <v>17842</v>
      </c>
      <c r="D7823" s="111" t="str">
        <f t="shared" ref="D7823:E7823" si="7821">TRIM(B7823)</f>
        <v>Minnesota</v>
      </c>
      <c r="E7823" s="111" t="str">
        <f t="shared" si="7821"/>
        <v>Crosslake</v>
      </c>
    </row>
    <row r="7824" spans="1:5">
      <c r="A7824" s="110" t="s">
        <v>17843</v>
      </c>
      <c r="B7824" s="110" t="s">
        <v>1345</v>
      </c>
      <c r="C7824" s="111" t="s">
        <v>10681</v>
      </c>
      <c r="D7824" s="111" t="str">
        <f t="shared" ref="D7824:E7824" si="7822">TRIM(B7824)</f>
        <v>Minnesota</v>
      </c>
      <c r="E7824" s="111" t="str">
        <f t="shared" si="7822"/>
        <v>Culver</v>
      </c>
    </row>
    <row r="7825" spans="1:5">
      <c r="A7825" s="110" t="s">
        <v>17844</v>
      </c>
      <c r="B7825" s="110" t="s">
        <v>1345</v>
      </c>
      <c r="C7825" s="111" t="s">
        <v>10654</v>
      </c>
      <c r="D7825" s="111" t="str">
        <f t="shared" ref="D7825:E7825" si="7823">TRIM(B7825)</f>
        <v>Minnesota</v>
      </c>
      <c r="E7825" s="111" t="str">
        <f t="shared" si="7823"/>
        <v>Dawson</v>
      </c>
    </row>
    <row r="7826" spans="1:5">
      <c r="A7826" s="110" t="s">
        <v>17845</v>
      </c>
      <c r="B7826" s="110" t="s">
        <v>1345</v>
      </c>
      <c r="C7826" s="111" t="s">
        <v>17846</v>
      </c>
      <c r="D7826" s="111" t="str">
        <f t="shared" ref="D7826:E7826" si="7824">TRIM(B7826)</f>
        <v>Minnesota</v>
      </c>
      <c r="E7826" s="111" t="str">
        <f t="shared" si="7824"/>
        <v>Deer River</v>
      </c>
    </row>
    <row r="7827" spans="1:5">
      <c r="A7827" s="3" t="s">
        <v>4822</v>
      </c>
      <c r="B7827" s="110" t="s">
        <v>1345</v>
      </c>
      <c r="C7827" s="111" t="s">
        <v>4820</v>
      </c>
      <c r="D7827" s="111" t="str">
        <f t="shared" ref="D7827:E7827" si="7825">TRIM(B7827)</f>
        <v>Minnesota</v>
      </c>
      <c r="E7827" s="111" t="str">
        <f t="shared" si="7825"/>
        <v>Delano</v>
      </c>
    </row>
    <row r="7828" spans="1:5">
      <c r="A7828" s="3" t="s">
        <v>17847</v>
      </c>
      <c r="B7828" s="110" t="s">
        <v>1345</v>
      </c>
      <c r="C7828" s="111" t="s">
        <v>17848</v>
      </c>
      <c r="D7828" s="111" t="str">
        <f t="shared" ref="D7828:E7828" si="7826">TRIM(B7828)</f>
        <v>Minnesota</v>
      </c>
      <c r="E7828" s="111" t="str">
        <f t="shared" si="7826"/>
        <v>Detroit Lakes</v>
      </c>
    </row>
    <row r="7829" spans="1:5">
      <c r="A7829" s="3" t="s">
        <v>17849</v>
      </c>
      <c r="B7829" s="110" t="s">
        <v>1345</v>
      </c>
      <c r="C7829" s="111" t="s">
        <v>17850</v>
      </c>
      <c r="D7829" s="111" t="str">
        <f t="shared" ref="D7829:E7829" si="7827">TRIM(B7829)</f>
        <v>Minnesota</v>
      </c>
      <c r="E7829" s="111" t="str">
        <f t="shared" si="7827"/>
        <v>Dodge Center</v>
      </c>
    </row>
    <row r="7830" spans="1:5">
      <c r="A7830" s="3" t="s">
        <v>17851</v>
      </c>
      <c r="B7830" s="110" t="s">
        <v>1345</v>
      </c>
      <c r="C7830" s="111" t="s">
        <v>10361</v>
      </c>
      <c r="D7830" s="111" t="str">
        <f t="shared" ref="D7830:E7830" si="7828">TRIM(B7830)</f>
        <v>Minnesota</v>
      </c>
      <c r="E7830" s="111" t="str">
        <f t="shared" si="7828"/>
        <v>Duluth</v>
      </c>
    </row>
    <row r="7831" spans="1:5">
      <c r="A7831" s="3" t="s">
        <v>17852</v>
      </c>
      <c r="B7831" s="110" t="s">
        <v>1345</v>
      </c>
      <c r="C7831" s="111" t="s">
        <v>10361</v>
      </c>
      <c r="D7831" s="111" t="str">
        <f t="shared" ref="D7831:E7831" si="7829">TRIM(B7831)</f>
        <v>Minnesota</v>
      </c>
      <c r="E7831" s="111" t="str">
        <f t="shared" si="7829"/>
        <v>Duluth</v>
      </c>
    </row>
    <row r="7832" spans="1:5">
      <c r="A7832" s="3" t="s">
        <v>2294</v>
      </c>
      <c r="B7832" s="110" t="s">
        <v>1345</v>
      </c>
      <c r="C7832" s="111" t="s">
        <v>10361</v>
      </c>
      <c r="D7832" s="111" t="str">
        <f t="shared" ref="D7832:E7832" si="7830">TRIM(B7832)</f>
        <v>Minnesota</v>
      </c>
      <c r="E7832" s="111" t="str">
        <f t="shared" si="7830"/>
        <v>Duluth</v>
      </c>
    </row>
    <row r="7833" spans="1:5">
      <c r="A7833" s="110" t="s">
        <v>17853</v>
      </c>
      <c r="B7833" s="110" t="s">
        <v>1345</v>
      </c>
      <c r="C7833" s="111" t="s">
        <v>10361</v>
      </c>
      <c r="D7833" s="111" t="str">
        <f t="shared" ref="D7833:E7833" si="7831">TRIM(B7833)</f>
        <v>Minnesota</v>
      </c>
      <c r="E7833" s="111" t="str">
        <f t="shared" si="7831"/>
        <v>Duluth</v>
      </c>
    </row>
    <row r="7834" spans="1:5">
      <c r="A7834" s="3" t="s">
        <v>17854</v>
      </c>
      <c r="B7834" s="110" t="s">
        <v>1345</v>
      </c>
      <c r="C7834" s="111" t="s">
        <v>17855</v>
      </c>
      <c r="D7834" s="111" t="str">
        <f t="shared" ref="D7834:E7834" si="7832">TRIM(B7834)</f>
        <v>Minnesota</v>
      </c>
      <c r="E7834" s="111" t="str">
        <f t="shared" si="7832"/>
        <v>Eagan</v>
      </c>
    </row>
    <row r="7835" spans="1:5">
      <c r="A7835" s="3" t="s">
        <v>17856</v>
      </c>
      <c r="B7835" s="110" t="s">
        <v>1345</v>
      </c>
      <c r="C7835" s="113" t="s">
        <v>11588</v>
      </c>
      <c r="D7835" s="111" t="str">
        <f t="shared" ref="D7835:E7835" si="7833">TRIM(B7835)</f>
        <v>Minnesota</v>
      </c>
      <c r="E7835" s="111" t="str">
        <f t="shared" si="7833"/>
        <v>East Grand Forks</v>
      </c>
    </row>
    <row r="7836" spans="1:5">
      <c r="A7836" s="3" t="s">
        <v>17857</v>
      </c>
      <c r="B7836" s="110" t="s">
        <v>1345</v>
      </c>
      <c r="C7836" s="111" t="s">
        <v>101</v>
      </c>
      <c r="D7836" s="111" t="str">
        <f t="shared" ref="D7836:E7836" si="7834">TRIM(B7836)</f>
        <v>Minnesota</v>
      </c>
      <c r="E7836" s="111" t="str">
        <f t="shared" si="7834"/>
        <v>Eden Prairie</v>
      </c>
    </row>
    <row r="7837" spans="1:5">
      <c r="A7837" s="110" t="s">
        <v>17858</v>
      </c>
      <c r="B7837" s="110" t="s">
        <v>1345</v>
      </c>
      <c r="C7837" s="111" t="s">
        <v>101</v>
      </c>
      <c r="D7837" s="111" t="str">
        <f t="shared" ref="D7837:E7837" si="7835">TRIM(B7837)</f>
        <v>Minnesota</v>
      </c>
      <c r="E7837" s="111" t="str">
        <f t="shared" si="7835"/>
        <v>Eden Prairie</v>
      </c>
    </row>
    <row r="7838" spans="1:5">
      <c r="A7838" s="3" t="s">
        <v>17859</v>
      </c>
      <c r="B7838" s="110" t="s">
        <v>1345</v>
      </c>
      <c r="C7838" s="111" t="s">
        <v>101</v>
      </c>
      <c r="D7838" s="111" t="str">
        <f t="shared" ref="D7838:E7838" si="7836">TRIM(B7838)</f>
        <v>Minnesota</v>
      </c>
      <c r="E7838" s="111" t="str">
        <f t="shared" si="7836"/>
        <v>Eden Prairie</v>
      </c>
    </row>
    <row r="7839" spans="1:5">
      <c r="A7839" s="110" t="s">
        <v>17860</v>
      </c>
      <c r="B7839" s="110" t="s">
        <v>1345</v>
      </c>
      <c r="C7839" s="111" t="s">
        <v>17861</v>
      </c>
      <c r="D7839" s="111" t="str">
        <f t="shared" ref="D7839:E7839" si="7837">TRIM(B7839)</f>
        <v>Minnesota</v>
      </c>
      <c r="E7839" s="111" t="str">
        <f t="shared" si="7837"/>
        <v>Eden Valley</v>
      </c>
    </row>
    <row r="7840" spans="1:5">
      <c r="A7840" s="110" t="s">
        <v>17862</v>
      </c>
      <c r="B7840" s="110" t="s">
        <v>1345</v>
      </c>
      <c r="C7840" s="111" t="s">
        <v>576</v>
      </c>
      <c r="D7840" s="111" t="str">
        <f t="shared" ref="D7840:E7840" si="7838">TRIM(B7840)</f>
        <v>Minnesota</v>
      </c>
      <c r="E7840" s="111" t="str">
        <f t="shared" si="7838"/>
        <v>Edgerton</v>
      </c>
    </row>
    <row r="7841" spans="1:5">
      <c r="A7841" s="3" t="s">
        <v>17863</v>
      </c>
      <c r="B7841" s="110" t="s">
        <v>1345</v>
      </c>
      <c r="C7841" s="111" t="s">
        <v>17864</v>
      </c>
      <c r="D7841" s="111" t="str">
        <f t="shared" ref="D7841:E7841" si="7839">TRIM(B7841)</f>
        <v>Minnesota</v>
      </c>
      <c r="E7841" s="111" t="str">
        <f t="shared" si="7839"/>
        <v>Edina</v>
      </c>
    </row>
    <row r="7842" spans="1:5">
      <c r="A7842" s="3" t="s">
        <v>17865</v>
      </c>
      <c r="B7842" s="110" t="s">
        <v>1345</v>
      </c>
      <c r="C7842" s="111" t="s">
        <v>17866</v>
      </c>
      <c r="D7842" s="111" t="str">
        <f t="shared" ref="D7842:E7842" si="7840">TRIM(B7842)</f>
        <v>Minnesota</v>
      </c>
      <c r="E7842" s="111" t="str">
        <f t="shared" si="7840"/>
        <v>Elk River</v>
      </c>
    </row>
    <row r="7843" spans="1:5">
      <c r="A7843" s="110" t="s">
        <v>17867</v>
      </c>
      <c r="B7843" s="110" t="s">
        <v>1345</v>
      </c>
      <c r="C7843" s="111" t="s">
        <v>17866</v>
      </c>
      <c r="D7843" s="111" t="str">
        <f t="shared" ref="D7843:E7843" si="7841">TRIM(B7843)</f>
        <v>Minnesota</v>
      </c>
      <c r="E7843" s="111" t="str">
        <f t="shared" si="7841"/>
        <v>Elk River</v>
      </c>
    </row>
    <row r="7844" spans="1:5">
      <c r="A7844" s="3" t="s">
        <v>17868</v>
      </c>
      <c r="B7844" s="110" t="s">
        <v>1345</v>
      </c>
      <c r="C7844" s="111" t="s">
        <v>17866</v>
      </c>
      <c r="D7844" s="111" t="str">
        <f t="shared" ref="D7844:E7844" si="7842">TRIM(B7844)</f>
        <v>Minnesota</v>
      </c>
      <c r="E7844" s="111" t="str">
        <f t="shared" si="7842"/>
        <v>Elk River</v>
      </c>
    </row>
    <row r="7845" spans="1:5">
      <c r="A7845" s="110" t="s">
        <v>17869</v>
      </c>
      <c r="B7845" s="110" t="s">
        <v>1345</v>
      </c>
      <c r="C7845" s="111" t="s">
        <v>6832</v>
      </c>
      <c r="D7845" s="111" t="str">
        <f t="shared" ref="D7845:E7845" si="7843">TRIM(B7845)</f>
        <v>Minnesota</v>
      </c>
      <c r="E7845" s="111" t="str">
        <f t="shared" si="7843"/>
        <v>Ellsworth</v>
      </c>
    </row>
    <row r="7846" spans="1:5">
      <c r="A7846" s="3" t="s">
        <v>17870</v>
      </c>
      <c r="B7846" s="110" t="s">
        <v>1345</v>
      </c>
      <c r="C7846" s="111" t="s">
        <v>17871</v>
      </c>
      <c r="D7846" s="111" t="str">
        <f t="shared" ref="D7846:E7846" si="7844">TRIM(B7846)</f>
        <v>Minnesota</v>
      </c>
      <c r="E7846" s="111" t="str">
        <f t="shared" si="7844"/>
        <v>Ely</v>
      </c>
    </row>
    <row r="7847" spans="1:5">
      <c r="A7847" s="110" t="s">
        <v>17872</v>
      </c>
      <c r="B7847" s="110" t="s">
        <v>1345</v>
      </c>
      <c r="C7847" s="111" t="s">
        <v>17873</v>
      </c>
      <c r="D7847" s="111" t="str">
        <f t="shared" ref="D7847:E7847" si="7845">TRIM(B7847)</f>
        <v>Minnesota</v>
      </c>
      <c r="E7847" s="111" t="str">
        <f t="shared" si="7845"/>
        <v>Erskine</v>
      </c>
    </row>
    <row r="7848" spans="1:5">
      <c r="A7848" s="110" t="s">
        <v>17874</v>
      </c>
      <c r="B7848" s="110" t="s">
        <v>1345</v>
      </c>
      <c r="C7848" s="111" t="s">
        <v>17875</v>
      </c>
      <c r="D7848" s="111" t="str">
        <f t="shared" ref="D7848:E7848" si="7846">TRIM(B7848)</f>
        <v>Minnesota</v>
      </c>
      <c r="E7848" s="111" t="str">
        <f t="shared" si="7846"/>
        <v>Esko</v>
      </c>
    </row>
    <row r="7849" spans="1:5">
      <c r="A7849" s="3" t="s">
        <v>17876</v>
      </c>
      <c r="B7849" s="110" t="s">
        <v>1345</v>
      </c>
      <c r="C7849" s="111" t="s">
        <v>17877</v>
      </c>
      <c r="D7849" s="111" t="str">
        <f t="shared" ref="D7849:E7849" si="7847">TRIM(B7849)</f>
        <v>Minnesota</v>
      </c>
      <c r="E7849" s="111" t="str">
        <f t="shared" si="7847"/>
        <v>Eveleth</v>
      </c>
    </row>
    <row r="7850" spans="1:5">
      <c r="A7850" s="3" t="s">
        <v>17878</v>
      </c>
      <c r="B7850" s="110" t="s">
        <v>1345</v>
      </c>
      <c r="C7850" s="111" t="s">
        <v>17877</v>
      </c>
      <c r="D7850" s="111" t="str">
        <f t="shared" ref="D7850:E7850" si="7848">TRIM(B7850)</f>
        <v>Minnesota</v>
      </c>
      <c r="E7850" s="111" t="str">
        <f t="shared" si="7848"/>
        <v>Eveleth</v>
      </c>
    </row>
    <row r="7851" spans="1:5">
      <c r="A7851" s="3" t="s">
        <v>17879</v>
      </c>
      <c r="B7851" s="110" t="s">
        <v>1345</v>
      </c>
      <c r="C7851" s="111" t="s">
        <v>17880</v>
      </c>
      <c r="D7851" s="111" t="str">
        <f t="shared" ref="D7851:E7851" si="7849">TRIM(B7851)</f>
        <v>Minnesota</v>
      </c>
      <c r="E7851" s="111" t="str">
        <f t="shared" si="7849"/>
        <v>Eyota</v>
      </c>
    </row>
    <row r="7852" spans="1:5">
      <c r="A7852" s="3" t="s">
        <v>17881</v>
      </c>
      <c r="B7852" s="110" t="s">
        <v>1345</v>
      </c>
      <c r="C7852" s="111" t="s">
        <v>17882</v>
      </c>
      <c r="D7852" s="111" t="str">
        <f t="shared" ref="D7852:E7852" si="7850">TRIM(B7852)</f>
        <v>Minnesota</v>
      </c>
      <c r="E7852" s="111" t="str">
        <f t="shared" si="7850"/>
        <v>Fairmont</v>
      </c>
    </row>
    <row r="7853" spans="1:5">
      <c r="A7853" s="110" t="s">
        <v>17883</v>
      </c>
      <c r="B7853" s="110" t="s">
        <v>1345</v>
      </c>
      <c r="C7853" s="111" t="s">
        <v>11513</v>
      </c>
      <c r="D7853" s="111" t="str">
        <f t="shared" ref="D7853:E7853" si="7851">TRIM(B7853)</f>
        <v>Minnesota</v>
      </c>
      <c r="E7853" s="111" t="str">
        <f t="shared" si="7851"/>
        <v>Faribault</v>
      </c>
    </row>
    <row r="7854" spans="1:5">
      <c r="A7854" s="3" t="s">
        <v>17884</v>
      </c>
      <c r="B7854" s="110" t="s">
        <v>1345</v>
      </c>
      <c r="C7854" s="111" t="s">
        <v>11513</v>
      </c>
      <c r="D7854" s="111" t="str">
        <f t="shared" ref="D7854:E7854" si="7852">TRIM(B7854)</f>
        <v>Minnesota</v>
      </c>
      <c r="E7854" s="111" t="str">
        <f t="shared" si="7852"/>
        <v>Faribault</v>
      </c>
    </row>
    <row r="7855" spans="1:5">
      <c r="A7855" s="3" t="s">
        <v>8466</v>
      </c>
      <c r="B7855" s="110" t="s">
        <v>1345</v>
      </c>
      <c r="C7855" s="111" t="s">
        <v>3773</v>
      </c>
      <c r="D7855" s="111" t="str">
        <f t="shared" ref="D7855:E7855" si="7853">TRIM(B7855)</f>
        <v>Minnesota</v>
      </c>
      <c r="E7855" s="111" t="str">
        <f t="shared" si="7853"/>
        <v>Farmington</v>
      </c>
    </row>
    <row r="7856" spans="1:5">
      <c r="A7856" s="3" t="s">
        <v>12381</v>
      </c>
      <c r="B7856" s="110" t="s">
        <v>1345</v>
      </c>
      <c r="C7856" s="111" t="s">
        <v>7846</v>
      </c>
      <c r="D7856" s="111" t="str">
        <f t="shared" ref="D7856:E7856" si="7854">TRIM(B7856)</f>
        <v>Minnesota</v>
      </c>
      <c r="E7856" s="111" t="str">
        <f t="shared" si="7854"/>
        <v>Fergus Falls</v>
      </c>
    </row>
    <row r="7857" spans="1:5">
      <c r="A7857" s="110" t="s">
        <v>17885</v>
      </c>
      <c r="B7857" s="110" t="s">
        <v>1345</v>
      </c>
      <c r="C7857" s="111" t="s">
        <v>17886</v>
      </c>
      <c r="D7857" s="111" t="str">
        <f t="shared" ref="D7857:E7857" si="7855">TRIM(B7857)</f>
        <v>Minnesota</v>
      </c>
      <c r="E7857" s="111" t="str">
        <f t="shared" si="7855"/>
        <v>Fertile</v>
      </c>
    </row>
    <row r="7858" spans="1:5">
      <c r="A7858" s="110" t="s">
        <v>17887</v>
      </c>
      <c r="B7858" s="110" t="s">
        <v>1345</v>
      </c>
      <c r="C7858" s="111" t="s">
        <v>17888</v>
      </c>
      <c r="D7858" s="111" t="str">
        <f t="shared" ref="D7858:E7858" si="7856">TRIM(B7858)</f>
        <v>Minnesota</v>
      </c>
      <c r="E7858" s="111" t="str">
        <f t="shared" si="7856"/>
        <v>Finlayson</v>
      </c>
    </row>
    <row r="7859" spans="1:5">
      <c r="A7859" s="110" t="s">
        <v>17889</v>
      </c>
      <c r="B7859" s="110" t="s">
        <v>1345</v>
      </c>
      <c r="C7859" s="111" t="s">
        <v>12887</v>
      </c>
      <c r="D7859" s="111" t="str">
        <f t="shared" ref="D7859:E7859" si="7857">TRIM(B7859)</f>
        <v>Minnesota</v>
      </c>
      <c r="E7859" s="111" t="str">
        <f t="shared" si="7857"/>
        <v>Fisher</v>
      </c>
    </row>
    <row r="7860" spans="1:5">
      <c r="A7860" s="110" t="s">
        <v>17890</v>
      </c>
      <c r="B7860" s="110" t="s">
        <v>1345</v>
      </c>
      <c r="C7860" s="111" t="s">
        <v>17891</v>
      </c>
      <c r="D7860" s="111" t="str">
        <f t="shared" ref="D7860:E7860" si="7858">TRIM(B7860)</f>
        <v>Minnesota</v>
      </c>
      <c r="E7860" s="111" t="str">
        <f t="shared" si="7858"/>
        <v>Floodwood</v>
      </c>
    </row>
    <row r="7861" spans="1:5">
      <c r="A7861" s="3" t="s">
        <v>17892</v>
      </c>
      <c r="B7861" s="110" t="s">
        <v>1345</v>
      </c>
      <c r="C7861" s="111" t="s">
        <v>1760</v>
      </c>
      <c r="D7861" s="111" t="str">
        <f t="shared" ref="D7861:E7861" si="7859">TRIM(B7861)</f>
        <v>Minnesota</v>
      </c>
      <c r="E7861" s="111" t="str">
        <f t="shared" si="7859"/>
        <v>Foley</v>
      </c>
    </row>
    <row r="7862" spans="1:5">
      <c r="A7862" s="3" t="s">
        <v>17893</v>
      </c>
      <c r="B7862" s="110" t="s">
        <v>1345</v>
      </c>
      <c r="C7862" s="111" t="s">
        <v>17894</v>
      </c>
      <c r="D7862" s="111" t="str">
        <f t="shared" ref="D7862:E7862" si="7860">TRIM(B7862)</f>
        <v>Minnesota</v>
      </c>
      <c r="E7862" s="111" t="str">
        <f t="shared" si="7860"/>
        <v>Forest Lake</v>
      </c>
    </row>
    <row r="7863" spans="1:5">
      <c r="A7863" s="3" t="s">
        <v>17895</v>
      </c>
      <c r="B7863" s="110" t="s">
        <v>1345</v>
      </c>
      <c r="C7863" s="111" t="s">
        <v>17894</v>
      </c>
      <c r="D7863" s="111" t="str">
        <f t="shared" ref="D7863:E7863" si="7861">TRIM(B7863)</f>
        <v>Minnesota</v>
      </c>
      <c r="E7863" s="111" t="str">
        <f t="shared" si="7861"/>
        <v>Forest Lake</v>
      </c>
    </row>
    <row r="7864" spans="1:5">
      <c r="A7864" s="3" t="s">
        <v>17896</v>
      </c>
      <c r="B7864" s="110" t="s">
        <v>1345</v>
      </c>
      <c r="C7864" s="111" t="s">
        <v>17894</v>
      </c>
      <c r="D7864" s="111" t="str">
        <f t="shared" ref="D7864:E7864" si="7862">TRIM(B7864)</f>
        <v>Minnesota</v>
      </c>
      <c r="E7864" s="111" t="str">
        <f t="shared" si="7862"/>
        <v>Forest Lake</v>
      </c>
    </row>
    <row r="7865" spans="1:5">
      <c r="A7865" s="110" t="s">
        <v>17897</v>
      </c>
      <c r="B7865" s="110" t="s">
        <v>1345</v>
      </c>
      <c r="C7865" s="111" t="s">
        <v>17898</v>
      </c>
      <c r="D7865" s="111" t="str">
        <f t="shared" ref="D7865:E7865" si="7863">TRIM(B7865)</f>
        <v>Minnesota</v>
      </c>
      <c r="E7865" s="111" t="str">
        <f t="shared" si="7863"/>
        <v>Fosston</v>
      </c>
    </row>
    <row r="7866" spans="1:5">
      <c r="A7866" s="110" t="s">
        <v>17899</v>
      </c>
      <c r="B7866" s="110" t="s">
        <v>1345</v>
      </c>
      <c r="C7866" s="111" t="s">
        <v>17900</v>
      </c>
      <c r="D7866" s="111" t="str">
        <f t="shared" ref="D7866:E7866" si="7864">TRIM(B7866)</f>
        <v>Minnesota</v>
      </c>
      <c r="E7866" s="111" t="str">
        <f t="shared" si="7864"/>
        <v>Frazee</v>
      </c>
    </row>
    <row r="7867" spans="1:5">
      <c r="A7867" s="3" t="s">
        <v>17901</v>
      </c>
      <c r="B7867" s="110" t="s">
        <v>1345</v>
      </c>
      <c r="C7867" s="111" t="s">
        <v>11626</v>
      </c>
      <c r="D7867" s="111" t="str">
        <f t="shared" ref="D7867:E7867" si="7865">TRIM(B7867)</f>
        <v>Minnesota</v>
      </c>
      <c r="E7867" s="111" t="str">
        <f t="shared" si="7865"/>
        <v>Fridley</v>
      </c>
    </row>
    <row r="7868" spans="1:5">
      <c r="A7868" s="110" t="s">
        <v>17902</v>
      </c>
      <c r="B7868" s="110" t="s">
        <v>1345</v>
      </c>
      <c r="C7868" s="111" t="s">
        <v>17903</v>
      </c>
      <c r="D7868" s="111" t="str">
        <f t="shared" ref="D7868:E7868" si="7866">TRIM(B7868)</f>
        <v>Minnesota</v>
      </c>
      <c r="E7868" s="111" t="str">
        <f t="shared" si="7866"/>
        <v>Fulda</v>
      </c>
    </row>
    <row r="7869" spans="1:5">
      <c r="A7869" s="3" t="s">
        <v>17904</v>
      </c>
      <c r="B7869" s="110" t="s">
        <v>1345</v>
      </c>
      <c r="C7869" s="111" t="s">
        <v>1780</v>
      </c>
      <c r="D7869" s="111" t="str">
        <f t="shared" ref="D7869:E7869" si="7867">TRIM(B7869)</f>
        <v>Minnesota</v>
      </c>
      <c r="E7869" s="111" t="str">
        <f t="shared" si="7867"/>
        <v>Glencoe</v>
      </c>
    </row>
    <row r="7870" spans="1:5">
      <c r="A7870" s="110" t="s">
        <v>17905</v>
      </c>
      <c r="B7870" s="110" t="s">
        <v>1345</v>
      </c>
      <c r="C7870" s="111" t="s">
        <v>17906</v>
      </c>
      <c r="D7870" s="111" t="str">
        <f t="shared" ref="D7870:E7870" si="7868">TRIM(B7870)</f>
        <v>Minnesota</v>
      </c>
      <c r="E7870" s="111" t="str">
        <f t="shared" si="7868"/>
        <v>Glenville</v>
      </c>
    </row>
    <row r="7871" spans="1:5">
      <c r="A7871" s="110" t="s">
        <v>17907</v>
      </c>
      <c r="B7871" s="110" t="s">
        <v>1345</v>
      </c>
      <c r="C7871" s="111" t="s">
        <v>14840</v>
      </c>
      <c r="D7871" s="111" t="str">
        <f t="shared" ref="D7871:E7871" si="7869">TRIM(B7871)</f>
        <v>Minnesota</v>
      </c>
      <c r="E7871" s="111" t="str">
        <f t="shared" si="7869"/>
        <v>Glenwood</v>
      </c>
    </row>
    <row r="7872" spans="1:5">
      <c r="A7872" s="3" t="s">
        <v>17908</v>
      </c>
      <c r="B7872" s="110" t="s">
        <v>1345</v>
      </c>
      <c r="C7872" s="111" t="s">
        <v>17909</v>
      </c>
      <c r="D7872" s="111" t="str">
        <f t="shared" ref="D7872:E7872" si="7870">TRIM(B7872)</f>
        <v>Minnesota</v>
      </c>
      <c r="E7872" s="111" t="str">
        <f t="shared" si="7870"/>
        <v>Glyndon</v>
      </c>
    </row>
    <row r="7873" spans="1:5">
      <c r="A7873" s="110" t="s">
        <v>17910</v>
      </c>
      <c r="B7873" s="110" t="s">
        <v>1345</v>
      </c>
      <c r="C7873" s="111" t="s">
        <v>519</v>
      </c>
      <c r="D7873" s="111" t="str">
        <f t="shared" ref="D7873:E7873" si="7871">TRIM(B7873)</f>
        <v>Minnesota</v>
      </c>
      <c r="E7873" s="111" t="str">
        <f t="shared" si="7871"/>
        <v>Golden Valley</v>
      </c>
    </row>
    <row r="7874" spans="1:5">
      <c r="A7874" s="110" t="s">
        <v>17911</v>
      </c>
      <c r="B7874" s="110" t="s">
        <v>1345</v>
      </c>
      <c r="C7874" s="111" t="s">
        <v>17912</v>
      </c>
      <c r="D7874" s="111" t="str">
        <f t="shared" ref="D7874:E7874" si="7872">TRIM(B7874)</f>
        <v>Minnesota</v>
      </c>
      <c r="E7874" s="111" t="str">
        <f t="shared" si="7872"/>
        <v>Goodhue</v>
      </c>
    </row>
    <row r="7875" spans="1:5">
      <c r="A7875" s="110" t="s">
        <v>17913</v>
      </c>
      <c r="B7875" s="110" t="s">
        <v>1345</v>
      </c>
      <c r="C7875" s="111" t="s">
        <v>17914</v>
      </c>
      <c r="D7875" s="111" t="str">
        <f t="shared" ref="D7875:E7875" si="7873">TRIM(B7875)</f>
        <v>Minnesota</v>
      </c>
      <c r="E7875" s="111" t="str">
        <f t="shared" si="7873"/>
        <v>Goodridge</v>
      </c>
    </row>
    <row r="7876" spans="1:5">
      <c r="A7876" s="110" t="s">
        <v>17915</v>
      </c>
      <c r="B7876" s="110" t="s">
        <v>1345</v>
      </c>
      <c r="C7876" s="111" t="s">
        <v>9274</v>
      </c>
      <c r="D7876" s="111" t="str">
        <f t="shared" ref="D7876:E7876" si="7874">TRIM(B7876)</f>
        <v>Minnesota</v>
      </c>
      <c r="E7876" s="111" t="str">
        <f t="shared" si="7874"/>
        <v>Graceville</v>
      </c>
    </row>
    <row r="7877" spans="1:5">
      <c r="A7877" s="3" t="s">
        <v>17916</v>
      </c>
      <c r="B7877" s="110" t="s">
        <v>1345</v>
      </c>
      <c r="C7877" s="111" t="s">
        <v>7937</v>
      </c>
      <c r="D7877" s="111" t="str">
        <f t="shared" ref="D7877:E7877" si="7875">TRIM(B7877)</f>
        <v>Minnesota</v>
      </c>
      <c r="E7877" s="111" t="str">
        <f t="shared" si="7875"/>
        <v>Granada</v>
      </c>
    </row>
    <row r="7878" spans="1:5">
      <c r="A7878" s="3" t="s">
        <v>17917</v>
      </c>
      <c r="B7878" s="110" t="s">
        <v>1345</v>
      </c>
      <c r="C7878" s="111" t="s">
        <v>17918</v>
      </c>
      <c r="D7878" s="111" t="str">
        <f t="shared" ref="D7878:E7878" si="7876">TRIM(B7878)</f>
        <v>Minnesota</v>
      </c>
      <c r="E7878" s="111" t="str">
        <f t="shared" si="7876"/>
        <v>Grand Marais</v>
      </c>
    </row>
    <row r="7879" spans="1:5">
      <c r="A7879" s="3" t="s">
        <v>17919</v>
      </c>
      <c r="B7879" s="110" t="s">
        <v>1345</v>
      </c>
      <c r="C7879" s="111" t="s">
        <v>17920</v>
      </c>
      <c r="D7879" s="111" t="str">
        <f t="shared" ref="D7879:E7879" si="7877">TRIM(B7879)</f>
        <v>Minnesota</v>
      </c>
      <c r="E7879" s="111" t="str">
        <f t="shared" si="7877"/>
        <v>Grand Meadow</v>
      </c>
    </row>
    <row r="7880" spans="1:5">
      <c r="A7880" s="3" t="s">
        <v>17921</v>
      </c>
      <c r="B7880" s="110" t="s">
        <v>1345</v>
      </c>
      <c r="C7880" s="111" t="s">
        <v>11472</v>
      </c>
      <c r="D7880" s="111" t="str">
        <f t="shared" ref="D7880:E7880" si="7878">TRIM(B7880)</f>
        <v>Minnesota</v>
      </c>
      <c r="E7880" s="111" t="str">
        <f t="shared" si="7878"/>
        <v>Grand Rapids</v>
      </c>
    </row>
    <row r="7881" spans="1:5">
      <c r="A7881" s="3" t="s">
        <v>17922</v>
      </c>
      <c r="B7881" s="110" t="s">
        <v>1345</v>
      </c>
      <c r="C7881" s="111" t="s">
        <v>11472</v>
      </c>
      <c r="D7881" s="111" t="str">
        <f t="shared" ref="D7881:E7881" si="7879">TRIM(B7881)</f>
        <v>Minnesota</v>
      </c>
      <c r="E7881" s="111" t="str">
        <f t="shared" si="7879"/>
        <v>Grand Rapids</v>
      </c>
    </row>
    <row r="7882" spans="1:5">
      <c r="A7882" s="3" t="s">
        <v>17923</v>
      </c>
      <c r="B7882" s="110" t="s">
        <v>1345</v>
      </c>
      <c r="C7882" s="111" t="s">
        <v>17924</v>
      </c>
      <c r="D7882" s="111" t="str">
        <f t="shared" ref="D7882:E7882" si="7880">TRIM(B7882)</f>
        <v>Minnesota</v>
      </c>
      <c r="E7882" s="111" t="str">
        <f t="shared" si="7880"/>
        <v>Granite Falls</v>
      </c>
    </row>
    <row r="7883" spans="1:5">
      <c r="A7883" s="110" t="s">
        <v>17925</v>
      </c>
      <c r="B7883" s="110" t="s">
        <v>1345</v>
      </c>
      <c r="C7883" s="111" t="s">
        <v>17926</v>
      </c>
      <c r="D7883" s="111" t="str">
        <f t="shared" ref="D7883:E7883" si="7881">TRIM(B7883)</f>
        <v>Minnesota</v>
      </c>
      <c r="E7883" s="111" t="str">
        <f t="shared" si="7881"/>
        <v>Greenbush</v>
      </c>
    </row>
    <row r="7884" spans="1:5">
      <c r="A7884" s="110" t="s">
        <v>17927</v>
      </c>
      <c r="B7884" s="110" t="s">
        <v>1345</v>
      </c>
      <c r="C7884" s="111" t="s">
        <v>17928</v>
      </c>
      <c r="D7884" s="111" t="str">
        <f t="shared" ref="D7884:E7884" si="7882">TRIM(B7884)</f>
        <v>Minnesota</v>
      </c>
      <c r="E7884" s="111" t="str">
        <f t="shared" si="7882"/>
        <v>Grove City</v>
      </c>
    </row>
    <row r="7885" spans="1:5">
      <c r="A7885" s="110" t="s">
        <v>17929</v>
      </c>
      <c r="B7885" s="110" t="s">
        <v>1345</v>
      </c>
      <c r="C7885" s="111" t="s">
        <v>17930</v>
      </c>
      <c r="D7885" s="111" t="str">
        <f t="shared" ref="D7885:E7885" si="7883">TRIM(B7885)</f>
        <v>Minnesota</v>
      </c>
      <c r="E7885" s="111" t="str">
        <f t="shared" si="7883"/>
        <v>Grygla</v>
      </c>
    </row>
    <row r="7886" spans="1:5">
      <c r="A7886" s="110" t="s">
        <v>17931</v>
      </c>
      <c r="B7886" s="110" t="s">
        <v>1345</v>
      </c>
      <c r="C7886" s="111" t="s">
        <v>17932</v>
      </c>
      <c r="D7886" s="111" t="str">
        <f t="shared" ref="D7886:E7886" si="7884">TRIM(B7886)</f>
        <v>Minnesota</v>
      </c>
      <c r="E7886" s="111" t="str">
        <f t="shared" si="7884"/>
        <v>Hallock</v>
      </c>
    </row>
    <row r="7887" spans="1:5">
      <c r="A7887" s="110" t="s">
        <v>17933</v>
      </c>
      <c r="B7887" s="110" t="s">
        <v>1345</v>
      </c>
      <c r="C7887" s="111" t="s">
        <v>16429</v>
      </c>
      <c r="D7887" s="111" t="str">
        <f t="shared" ref="D7887:E7887" si="7885">TRIM(B7887)</f>
        <v>Minnesota</v>
      </c>
      <c r="E7887" s="111" t="str">
        <f t="shared" si="7885"/>
        <v>Hancock</v>
      </c>
    </row>
    <row r="7888" spans="1:5">
      <c r="A7888" s="3" t="s">
        <v>17934</v>
      </c>
      <c r="B7888" s="110" t="s">
        <v>1345</v>
      </c>
      <c r="C7888" s="111" t="s">
        <v>9299</v>
      </c>
      <c r="D7888" s="111" t="str">
        <f t="shared" ref="D7888:E7888" si="7886">TRIM(B7888)</f>
        <v>Minnesota</v>
      </c>
      <c r="E7888" s="111" t="str">
        <f t="shared" si="7886"/>
        <v>Harmony</v>
      </c>
    </row>
    <row r="7889" spans="1:5">
      <c r="A7889" s="3" t="s">
        <v>17289</v>
      </c>
      <c r="B7889" s="110" t="s">
        <v>1345</v>
      </c>
      <c r="C7889" s="111" t="s">
        <v>5100</v>
      </c>
      <c r="D7889" s="111" t="str">
        <f t="shared" ref="D7889:E7889" si="7887">TRIM(B7889)</f>
        <v>Minnesota</v>
      </c>
      <c r="E7889" s="111" t="str">
        <f t="shared" si="7887"/>
        <v>Hastings</v>
      </c>
    </row>
    <row r="7890" spans="1:5">
      <c r="A7890" s="110" t="s">
        <v>17935</v>
      </c>
      <c r="B7890" s="110" t="s">
        <v>1345</v>
      </c>
      <c r="C7890" s="111" t="s">
        <v>17936</v>
      </c>
      <c r="D7890" s="111" t="str">
        <f t="shared" ref="D7890:E7890" si="7888">TRIM(B7890)</f>
        <v>Minnesota</v>
      </c>
      <c r="E7890" s="111" t="str">
        <f t="shared" si="7888"/>
        <v>Hawley</v>
      </c>
    </row>
    <row r="7891" spans="1:5">
      <c r="A7891" s="110" t="s">
        <v>17937</v>
      </c>
      <c r="B7891" s="110" t="s">
        <v>1345</v>
      </c>
      <c r="C7891" s="111" t="s">
        <v>17938</v>
      </c>
      <c r="D7891" s="111" t="str">
        <f t="shared" ref="D7891:E7891" si="7889">TRIM(B7891)</f>
        <v>Minnesota</v>
      </c>
      <c r="E7891" s="111" t="str">
        <f t="shared" si="7889"/>
        <v>Hayfield</v>
      </c>
    </row>
    <row r="7892" spans="1:5">
      <c r="A7892" s="110" t="s">
        <v>17939</v>
      </c>
      <c r="B7892" s="110" t="s">
        <v>1345</v>
      </c>
      <c r="C7892" s="111" t="s">
        <v>3865</v>
      </c>
      <c r="D7892" s="111" t="str">
        <f t="shared" ref="D7892:E7892" si="7890">TRIM(B7892)</f>
        <v>Minnesota</v>
      </c>
      <c r="E7892" s="111" t="str">
        <f t="shared" si="7890"/>
        <v>Hector</v>
      </c>
    </row>
    <row r="7893" spans="1:5">
      <c r="A7893" s="110" t="s">
        <v>17940</v>
      </c>
      <c r="B7893" s="110" t="s">
        <v>1345</v>
      </c>
      <c r="C7893" s="111" t="s">
        <v>7970</v>
      </c>
      <c r="D7893" s="111" t="str">
        <f t="shared" ref="D7893:E7893" si="7891">TRIM(B7893)</f>
        <v>Minnesota</v>
      </c>
      <c r="E7893" s="111" t="str">
        <f t="shared" si="7891"/>
        <v>Henderson</v>
      </c>
    </row>
    <row r="7894" spans="1:5">
      <c r="A7894" s="110" t="s">
        <v>17941</v>
      </c>
      <c r="B7894" s="110" t="s">
        <v>1345</v>
      </c>
      <c r="C7894" s="111" t="s">
        <v>7970</v>
      </c>
      <c r="D7894" s="111" t="str">
        <f t="shared" ref="D7894:E7894" si="7892">TRIM(B7894)</f>
        <v>Minnesota</v>
      </c>
      <c r="E7894" s="111" t="str">
        <f t="shared" si="7892"/>
        <v>Henderson</v>
      </c>
    </row>
    <row r="7895" spans="1:5">
      <c r="A7895" s="3" t="s">
        <v>17942</v>
      </c>
      <c r="B7895" s="110" t="s">
        <v>1345</v>
      </c>
      <c r="C7895" s="111" t="s">
        <v>17943</v>
      </c>
      <c r="D7895" s="111" t="str">
        <f t="shared" ref="D7895:E7895" si="7893">TRIM(B7895)</f>
        <v>Minnesota</v>
      </c>
      <c r="E7895" s="111" t="str">
        <f t="shared" si="7893"/>
        <v>Hendricks</v>
      </c>
    </row>
    <row r="7896" spans="1:5">
      <c r="A7896" s="110" t="s">
        <v>17944</v>
      </c>
      <c r="B7896" s="110" t="s">
        <v>1345</v>
      </c>
      <c r="C7896" s="111" t="s">
        <v>17943</v>
      </c>
      <c r="D7896" s="111" t="str">
        <f t="shared" ref="D7896:E7896" si="7894">TRIM(B7896)</f>
        <v>Minnesota</v>
      </c>
      <c r="E7896" s="111" t="str">
        <f t="shared" si="7894"/>
        <v>Hendricks</v>
      </c>
    </row>
    <row r="7897" spans="1:5">
      <c r="A7897" s="110" t="s">
        <v>17945</v>
      </c>
      <c r="B7897" s="110" t="s">
        <v>1345</v>
      </c>
      <c r="C7897" s="111" t="s">
        <v>17946</v>
      </c>
      <c r="D7897" s="111" t="str">
        <f t="shared" ref="D7897:E7897" si="7895">TRIM(B7897)</f>
        <v>Minnesota</v>
      </c>
      <c r="E7897" s="111" t="str">
        <f t="shared" si="7895"/>
        <v>Henning</v>
      </c>
    </row>
    <row r="7898" spans="1:5">
      <c r="A7898" s="110" t="s">
        <v>17947</v>
      </c>
      <c r="B7898" s="110" t="s">
        <v>1345</v>
      </c>
      <c r="C7898" s="111" t="s">
        <v>17948</v>
      </c>
      <c r="D7898" s="111" t="str">
        <f t="shared" ref="D7898:E7898" si="7896">TRIM(B7898)</f>
        <v>Minnesota</v>
      </c>
      <c r="E7898" s="111" t="str">
        <f t="shared" si="7896"/>
        <v>Herman</v>
      </c>
    </row>
    <row r="7899" spans="1:5">
      <c r="A7899" s="3" t="s">
        <v>17949</v>
      </c>
      <c r="B7899" s="110" t="s">
        <v>1345</v>
      </c>
      <c r="C7899" s="111" t="s">
        <v>17950</v>
      </c>
      <c r="D7899" s="111" t="str">
        <f t="shared" ref="D7899:E7899" si="7897">TRIM(B7899)</f>
        <v>Minnesota</v>
      </c>
      <c r="E7899" s="111" t="str">
        <f t="shared" si="7897"/>
        <v>Hermantown</v>
      </c>
    </row>
    <row r="7900" spans="1:5">
      <c r="A7900" s="3" t="s">
        <v>17951</v>
      </c>
      <c r="B7900" s="110" t="s">
        <v>1345</v>
      </c>
      <c r="C7900" s="111" t="s">
        <v>17952</v>
      </c>
      <c r="D7900" s="111" t="str">
        <f t="shared" ref="D7900:E7900" si="7898">TRIM(B7900)</f>
        <v>Minnesota</v>
      </c>
      <c r="E7900" s="111" t="str">
        <f t="shared" si="7898"/>
        <v>Hibbing</v>
      </c>
    </row>
    <row r="7901" spans="1:5">
      <c r="A7901" s="3" t="s">
        <v>17953</v>
      </c>
      <c r="B7901" s="110" t="s">
        <v>1345</v>
      </c>
      <c r="C7901" s="111" t="s">
        <v>15309</v>
      </c>
      <c r="D7901" s="111" t="str">
        <f t="shared" ref="D7901:E7901" si="7899">TRIM(B7901)</f>
        <v>Minnesota</v>
      </c>
      <c r="E7901" s="111" t="str">
        <f t="shared" si="7899"/>
        <v>Hill City</v>
      </c>
    </row>
    <row r="7902" spans="1:5">
      <c r="A7902" s="110" t="s">
        <v>17954</v>
      </c>
      <c r="B7902" s="110" t="s">
        <v>1345</v>
      </c>
      <c r="C7902" s="111" t="s">
        <v>17955</v>
      </c>
      <c r="D7902" s="111" t="str">
        <f t="shared" ref="D7902:E7902" si="7900">TRIM(B7902)</f>
        <v>Minnesota</v>
      </c>
      <c r="E7902" s="111" t="str">
        <f t="shared" si="7900"/>
        <v>Hills</v>
      </c>
    </row>
    <row r="7903" spans="1:5">
      <c r="A7903" s="110" t="s">
        <v>17956</v>
      </c>
      <c r="B7903" s="110" t="s">
        <v>1345</v>
      </c>
      <c r="C7903" s="111" t="s">
        <v>13076</v>
      </c>
      <c r="D7903" s="111" t="str">
        <f t="shared" ref="D7903:E7903" si="7901">TRIM(B7903)</f>
        <v>Minnesota</v>
      </c>
      <c r="E7903" s="111" t="str">
        <f t="shared" si="7901"/>
        <v>Hinckley</v>
      </c>
    </row>
    <row r="7904" spans="1:5">
      <c r="A7904" s="110" t="s">
        <v>17957</v>
      </c>
      <c r="B7904" s="110" t="s">
        <v>1345</v>
      </c>
      <c r="C7904" s="111" t="s">
        <v>17958</v>
      </c>
      <c r="D7904" s="111" t="str">
        <f t="shared" ref="D7904:E7904" si="7902">TRIM(B7904)</f>
        <v>Minnesota</v>
      </c>
      <c r="E7904" s="111" t="str">
        <f t="shared" si="7902"/>
        <v>Holdingford</v>
      </c>
    </row>
    <row r="7905" spans="1:5">
      <c r="A7905" s="3" t="s">
        <v>17959</v>
      </c>
      <c r="B7905" s="110" t="s">
        <v>1345</v>
      </c>
      <c r="C7905" s="111" t="s">
        <v>1217</v>
      </c>
      <c r="D7905" s="111" t="str">
        <f t="shared" ref="D7905:E7905" si="7903">TRIM(B7905)</f>
        <v>Minnesota</v>
      </c>
      <c r="E7905" s="111" t="str">
        <f t="shared" si="7903"/>
        <v>Hopkins</v>
      </c>
    </row>
    <row r="7906" spans="1:5">
      <c r="A7906" s="110" t="s">
        <v>17960</v>
      </c>
      <c r="B7906" s="110" t="s">
        <v>1345</v>
      </c>
      <c r="C7906" s="111" t="s">
        <v>368</v>
      </c>
      <c r="D7906" s="111" t="str">
        <f t="shared" ref="D7906:E7906" si="7904">TRIM(B7906)</f>
        <v>Minnesota</v>
      </c>
      <c r="E7906" s="111" t="str">
        <f t="shared" si="7904"/>
        <v>Houston</v>
      </c>
    </row>
    <row r="7907" spans="1:5">
      <c r="A7907" s="110" t="s">
        <v>17961</v>
      </c>
      <c r="B7907" s="110" t="s">
        <v>1345</v>
      </c>
      <c r="C7907" s="111" t="s">
        <v>17962</v>
      </c>
      <c r="D7907" s="111" t="str">
        <f t="shared" ref="D7907:E7907" si="7905">TRIM(B7907)</f>
        <v>Minnesota</v>
      </c>
      <c r="E7907" s="111" t="str">
        <f t="shared" si="7905"/>
        <v>Howard Lake</v>
      </c>
    </row>
    <row r="7908" spans="1:5">
      <c r="A7908" s="110" t="s">
        <v>17963</v>
      </c>
      <c r="B7908" s="110" t="s">
        <v>1345</v>
      </c>
      <c r="C7908" s="111" t="s">
        <v>17964</v>
      </c>
      <c r="D7908" s="111" t="str">
        <f t="shared" ref="D7908:E7908" si="7906">TRIM(B7908)</f>
        <v>Minnesota</v>
      </c>
      <c r="E7908" s="111" t="str">
        <f t="shared" si="7906"/>
        <v>Hugo</v>
      </c>
    </row>
    <row r="7909" spans="1:5">
      <c r="A7909" s="3" t="s">
        <v>17965</v>
      </c>
      <c r="B7909" s="110" t="s">
        <v>1345</v>
      </c>
      <c r="C7909" s="111" t="s">
        <v>11569</v>
      </c>
      <c r="D7909" s="111" t="str">
        <f t="shared" ref="D7909:E7909" si="7907">TRIM(B7909)</f>
        <v>Minnesota</v>
      </c>
      <c r="E7909" s="111" t="str">
        <f t="shared" si="7907"/>
        <v>Hutchinson</v>
      </c>
    </row>
    <row r="7910" spans="1:5">
      <c r="A7910" s="3" t="s">
        <v>17966</v>
      </c>
      <c r="B7910" s="110" t="s">
        <v>1345</v>
      </c>
      <c r="C7910" s="111" t="s">
        <v>11569</v>
      </c>
      <c r="D7910" s="111" t="str">
        <f t="shared" ref="D7910:E7910" si="7908">TRIM(B7910)</f>
        <v>Minnesota</v>
      </c>
      <c r="E7910" s="111" t="str">
        <f t="shared" si="7908"/>
        <v>Hutchinson</v>
      </c>
    </row>
    <row r="7911" spans="1:5">
      <c r="A7911" s="110" t="s">
        <v>17967</v>
      </c>
      <c r="B7911" s="110" t="s">
        <v>1345</v>
      </c>
      <c r="C7911" s="113" t="s">
        <v>17968</v>
      </c>
      <c r="D7911" s="111" t="str">
        <f t="shared" ref="D7911:E7911" si="7909">TRIM(B7911)</f>
        <v>Minnesota</v>
      </c>
      <c r="E7911" s="111" t="str">
        <f t="shared" si="7909"/>
        <v>International Falls</v>
      </c>
    </row>
    <row r="7912" spans="1:5">
      <c r="A7912" s="3" t="s">
        <v>17969</v>
      </c>
      <c r="B7912" s="110" t="s">
        <v>1345</v>
      </c>
      <c r="C7912" s="113" t="s">
        <v>17970</v>
      </c>
      <c r="D7912" s="111" t="str">
        <f t="shared" ref="D7912:E7912" si="7910">TRIM(B7912)</f>
        <v>Minnesota</v>
      </c>
      <c r="E7912" s="111" t="str">
        <f t="shared" si="7910"/>
        <v>Inver Grove Heights</v>
      </c>
    </row>
    <row r="7913" spans="1:5">
      <c r="A7913" s="110" t="s">
        <v>17971</v>
      </c>
      <c r="B7913" s="110" t="s">
        <v>1345</v>
      </c>
      <c r="C7913" s="111" t="s">
        <v>17972</v>
      </c>
      <c r="D7913" s="111" t="str">
        <f t="shared" ref="D7913:E7913" si="7911">TRIM(B7913)</f>
        <v>Minnesota</v>
      </c>
      <c r="E7913" s="111" t="str">
        <f t="shared" si="7911"/>
        <v>Iron</v>
      </c>
    </row>
    <row r="7914" spans="1:5">
      <c r="A7914" s="110" t="s">
        <v>17973</v>
      </c>
      <c r="B7914" s="110" t="s">
        <v>1345</v>
      </c>
      <c r="C7914" s="111" t="s">
        <v>17974</v>
      </c>
      <c r="D7914" s="111" t="str">
        <f t="shared" ref="D7914:E7914" si="7912">TRIM(B7914)</f>
        <v>Minnesota</v>
      </c>
      <c r="E7914" s="111" t="str">
        <f t="shared" si="7912"/>
        <v>Isle</v>
      </c>
    </row>
    <row r="7915" spans="1:5">
      <c r="A7915" s="3" t="s">
        <v>17975</v>
      </c>
      <c r="B7915" s="110" t="s">
        <v>1345</v>
      </c>
      <c r="C7915" s="111" t="s">
        <v>297</v>
      </c>
      <c r="D7915" s="111" t="str">
        <f t="shared" ref="D7915:E7915" si="7913">TRIM(B7915)</f>
        <v>Minnesota</v>
      </c>
      <c r="E7915" s="111" t="str">
        <f t="shared" si="7913"/>
        <v>Jackson</v>
      </c>
    </row>
    <row r="7916" spans="1:5">
      <c r="A7916" s="110" t="s">
        <v>17976</v>
      </c>
      <c r="B7916" s="110" t="s">
        <v>1345</v>
      </c>
      <c r="C7916" s="111" t="s">
        <v>14896</v>
      </c>
      <c r="D7916" s="111" t="str">
        <f t="shared" ref="D7916:E7916" si="7914">TRIM(B7916)</f>
        <v>Minnesota</v>
      </c>
      <c r="E7916" s="111" t="str">
        <f t="shared" si="7914"/>
        <v>Janesville</v>
      </c>
    </row>
    <row r="7917" spans="1:5">
      <c r="A7917" s="3" t="s">
        <v>5555</v>
      </c>
      <c r="B7917" s="110" t="s">
        <v>1345</v>
      </c>
      <c r="C7917" s="111" t="s">
        <v>17977</v>
      </c>
      <c r="D7917" s="111" t="str">
        <f t="shared" ref="D7917:E7917" si="7915">TRIM(B7917)</f>
        <v>Minnesota</v>
      </c>
      <c r="E7917" s="111" t="str">
        <f t="shared" si="7915"/>
        <v>Jordan</v>
      </c>
    </row>
    <row r="7918" spans="1:5">
      <c r="A7918" s="110" t="s">
        <v>17978</v>
      </c>
      <c r="B7918" s="110" t="s">
        <v>1345</v>
      </c>
      <c r="C7918" s="111" t="s">
        <v>17979</v>
      </c>
      <c r="D7918" s="111" t="str">
        <f t="shared" ref="D7918:E7918" si="7916">TRIM(B7918)</f>
        <v>Minnesota</v>
      </c>
      <c r="E7918" s="111" t="str">
        <f t="shared" si="7916"/>
        <v>Karlstad</v>
      </c>
    </row>
    <row r="7919" spans="1:5">
      <c r="A7919" s="3" t="s">
        <v>17980</v>
      </c>
      <c r="B7919" s="110" t="s">
        <v>1345</v>
      </c>
      <c r="C7919" s="111" t="s">
        <v>17981</v>
      </c>
      <c r="D7919" s="111" t="str">
        <f t="shared" ref="D7919:E7919" si="7917">TRIM(B7919)</f>
        <v>Minnesota</v>
      </c>
      <c r="E7919" s="111" t="str">
        <f t="shared" si="7917"/>
        <v>Kasson</v>
      </c>
    </row>
    <row r="7920" spans="1:5">
      <c r="A7920" s="110" t="s">
        <v>17982</v>
      </c>
      <c r="B7920" s="110" t="s">
        <v>1345</v>
      </c>
      <c r="C7920" s="111" t="s">
        <v>17983</v>
      </c>
      <c r="D7920" s="111" t="str">
        <f t="shared" ref="D7920:E7920" si="7918">TRIM(B7920)</f>
        <v>Minnesota</v>
      </c>
      <c r="E7920" s="111" t="str">
        <f t="shared" si="7918"/>
        <v>Kelliher</v>
      </c>
    </row>
    <row r="7921" spans="1:5">
      <c r="A7921" s="3" t="s">
        <v>17984</v>
      </c>
      <c r="B7921" s="110" t="s">
        <v>1345</v>
      </c>
      <c r="C7921" s="111" t="s">
        <v>17985</v>
      </c>
      <c r="D7921" s="111" t="str">
        <f t="shared" ref="D7921:E7921" si="7919">TRIM(B7921)</f>
        <v>Minnesota</v>
      </c>
      <c r="E7921" s="111" t="str">
        <f t="shared" si="7919"/>
        <v>Kenyon</v>
      </c>
    </row>
    <row r="7922" spans="1:5">
      <c r="A7922" s="110" t="s">
        <v>17986</v>
      </c>
      <c r="B7922" s="110" t="s">
        <v>1345</v>
      </c>
      <c r="C7922" s="111" t="s">
        <v>17987</v>
      </c>
      <c r="D7922" s="111" t="str">
        <f t="shared" ref="D7922:E7922" si="7920">TRIM(B7922)</f>
        <v>Minnesota</v>
      </c>
      <c r="E7922" s="111" t="str">
        <f t="shared" si="7920"/>
        <v>Kerkhoven</v>
      </c>
    </row>
    <row r="7923" spans="1:5">
      <c r="A7923" s="110" t="s">
        <v>17988</v>
      </c>
      <c r="B7923" s="110" t="s">
        <v>1345</v>
      </c>
      <c r="C7923" s="111" t="s">
        <v>17989</v>
      </c>
      <c r="D7923" s="111" t="str">
        <f t="shared" ref="D7923:E7923" si="7921">TRIM(B7923)</f>
        <v>Minnesota</v>
      </c>
      <c r="E7923" s="111" t="str">
        <f t="shared" si="7921"/>
        <v>Kimball</v>
      </c>
    </row>
    <row r="7924" spans="1:5">
      <c r="A7924" s="110" t="s">
        <v>17990</v>
      </c>
      <c r="B7924" s="110" t="s">
        <v>1345</v>
      </c>
      <c r="C7924" s="111" t="s">
        <v>17991</v>
      </c>
      <c r="D7924" s="111" t="str">
        <f t="shared" ref="D7924:E7924" si="7922">TRIM(B7924)</f>
        <v>Minnesota</v>
      </c>
      <c r="E7924" s="111" t="str">
        <f t="shared" si="7922"/>
        <v>La Crescent</v>
      </c>
    </row>
    <row r="7925" spans="1:5">
      <c r="A7925" s="3" t="s">
        <v>17992</v>
      </c>
      <c r="B7925" s="110" t="s">
        <v>1345</v>
      </c>
      <c r="C7925" s="111" t="s">
        <v>17991</v>
      </c>
      <c r="D7925" s="111" t="str">
        <f t="shared" ref="D7925:E7925" si="7923">TRIM(B7925)</f>
        <v>Minnesota</v>
      </c>
      <c r="E7925" s="111" t="str">
        <f t="shared" si="7923"/>
        <v>La Crescent</v>
      </c>
    </row>
    <row r="7926" spans="1:5">
      <c r="A7926" s="110" t="s">
        <v>17993</v>
      </c>
      <c r="B7926" s="110" t="s">
        <v>1345</v>
      </c>
      <c r="C7926" s="111" t="s">
        <v>17994</v>
      </c>
      <c r="D7926" s="111" t="str">
        <f t="shared" ref="D7926:E7926" si="7924">TRIM(B7926)</f>
        <v>Minnesota</v>
      </c>
      <c r="E7926" s="111" t="str">
        <f t="shared" si="7924"/>
        <v>Lake Benton</v>
      </c>
    </row>
    <row r="7927" spans="1:5">
      <c r="A7927" s="110" t="s">
        <v>17874</v>
      </c>
      <c r="B7927" s="110" t="s">
        <v>1345</v>
      </c>
      <c r="C7927" s="111" t="s">
        <v>3922</v>
      </c>
      <c r="D7927" s="111" t="str">
        <f t="shared" ref="D7927:E7927" si="7925">TRIM(B7927)</f>
        <v>Minnesota</v>
      </c>
      <c r="E7927" s="111" t="str">
        <f t="shared" si="7925"/>
        <v>Lake City</v>
      </c>
    </row>
    <row r="7928" spans="1:5">
      <c r="A7928" s="110" t="s">
        <v>17995</v>
      </c>
      <c r="B7928" s="110" t="s">
        <v>1345</v>
      </c>
      <c r="C7928" s="111" t="s">
        <v>17996</v>
      </c>
      <c r="D7928" s="111" t="str">
        <f t="shared" ref="D7928:E7928" si="7926">TRIM(B7928)</f>
        <v>Minnesota</v>
      </c>
      <c r="E7928" s="111" t="str">
        <f t="shared" si="7926"/>
        <v>Lake Crystal</v>
      </c>
    </row>
    <row r="7929" spans="1:5">
      <c r="A7929" s="110" t="s">
        <v>17997</v>
      </c>
      <c r="B7929" s="110" t="s">
        <v>1345</v>
      </c>
      <c r="C7929" s="111" t="s">
        <v>14915</v>
      </c>
      <c r="D7929" s="111" t="str">
        <f t="shared" ref="D7929:E7929" si="7927">TRIM(B7929)</f>
        <v>Minnesota</v>
      </c>
      <c r="E7929" s="111" t="str">
        <f t="shared" si="7927"/>
        <v>Lake Park</v>
      </c>
    </row>
    <row r="7930" spans="1:5">
      <c r="A7930" s="3" t="s">
        <v>17998</v>
      </c>
      <c r="B7930" s="110" t="s">
        <v>1345</v>
      </c>
      <c r="C7930" s="111" t="s">
        <v>9818</v>
      </c>
      <c r="D7930" s="111" t="str">
        <f t="shared" ref="D7930:E7930" si="7928">TRIM(B7930)</f>
        <v>Minnesota</v>
      </c>
      <c r="E7930" s="111" t="str">
        <f t="shared" si="7928"/>
        <v>Lakeville</v>
      </c>
    </row>
    <row r="7931" spans="1:5">
      <c r="A7931" s="3" t="s">
        <v>17999</v>
      </c>
      <c r="B7931" s="110" t="s">
        <v>1345</v>
      </c>
      <c r="C7931" s="111" t="s">
        <v>9818</v>
      </c>
      <c r="D7931" s="111" t="str">
        <f t="shared" ref="D7931:E7931" si="7929">TRIM(B7931)</f>
        <v>Minnesota</v>
      </c>
      <c r="E7931" s="111" t="str">
        <f t="shared" si="7929"/>
        <v>Lakeville</v>
      </c>
    </row>
    <row r="7932" spans="1:5">
      <c r="A7932" s="110" t="s">
        <v>18000</v>
      </c>
      <c r="B7932" s="110" t="s">
        <v>1345</v>
      </c>
      <c r="C7932" s="111" t="s">
        <v>18001</v>
      </c>
      <c r="D7932" s="111" t="str">
        <f t="shared" ref="D7932:E7932" si="7930">TRIM(B7932)</f>
        <v>Minnesota</v>
      </c>
      <c r="E7932" s="111" t="str">
        <f t="shared" si="7930"/>
        <v>Lamberton</v>
      </c>
    </row>
    <row r="7933" spans="1:5">
      <c r="A7933" s="110" t="s">
        <v>18002</v>
      </c>
      <c r="B7933" s="110" t="s">
        <v>1345</v>
      </c>
      <c r="C7933" s="111" t="s">
        <v>61</v>
      </c>
      <c r="D7933" s="111" t="str">
        <f t="shared" ref="D7933:E7933" si="7931">TRIM(B7933)</f>
        <v>Minnesota</v>
      </c>
      <c r="E7933" s="111" t="str">
        <f t="shared" si="7931"/>
        <v>Lancaster</v>
      </c>
    </row>
    <row r="7934" spans="1:5">
      <c r="A7934" s="110" t="s">
        <v>18003</v>
      </c>
      <c r="B7934" s="110" t="s">
        <v>1345</v>
      </c>
      <c r="C7934" s="111" t="s">
        <v>18004</v>
      </c>
      <c r="D7934" s="111" t="str">
        <f t="shared" ref="D7934:E7934" si="7932">TRIM(B7934)</f>
        <v>Minnesota</v>
      </c>
      <c r="E7934" s="111" t="str">
        <f t="shared" si="7932"/>
        <v>Lanesboro</v>
      </c>
    </row>
    <row r="7935" spans="1:5">
      <c r="A7935" s="110" t="s">
        <v>18005</v>
      </c>
      <c r="B7935" s="110" t="s">
        <v>1345</v>
      </c>
      <c r="C7935" s="111" t="s">
        <v>10697</v>
      </c>
      <c r="D7935" s="111" t="str">
        <f t="shared" ref="D7935:E7935" si="7933">TRIM(B7935)</f>
        <v>Minnesota</v>
      </c>
      <c r="E7935" s="111" t="str">
        <f t="shared" si="7933"/>
        <v>Laporte</v>
      </c>
    </row>
    <row r="7936" spans="1:5">
      <c r="A7936" s="3" t="s">
        <v>18006</v>
      </c>
      <c r="B7936" s="110" t="s">
        <v>1345</v>
      </c>
      <c r="C7936" s="111" t="s">
        <v>18007</v>
      </c>
      <c r="D7936" s="111" t="str">
        <f t="shared" ref="D7936:E7936" si="7934">TRIM(B7936)</f>
        <v>Minnesota</v>
      </c>
      <c r="E7936" s="111" t="str">
        <f t="shared" si="7934"/>
        <v>Le Sueur</v>
      </c>
    </row>
    <row r="7937" spans="1:5">
      <c r="A7937" s="110" t="s">
        <v>18008</v>
      </c>
      <c r="B7937" s="110" t="s">
        <v>1345</v>
      </c>
      <c r="C7937" s="111" t="s">
        <v>15366</v>
      </c>
      <c r="D7937" s="111" t="str">
        <f t="shared" ref="D7937:E7937" si="7935">TRIM(B7937)</f>
        <v>Minnesota</v>
      </c>
      <c r="E7937" s="111" t="str">
        <f t="shared" si="7935"/>
        <v>Leroy</v>
      </c>
    </row>
    <row r="7938" spans="1:5">
      <c r="A7938" s="110" t="s">
        <v>18009</v>
      </c>
      <c r="B7938" s="110" t="s">
        <v>1345</v>
      </c>
      <c r="C7938" s="111" t="s">
        <v>18010</v>
      </c>
      <c r="D7938" s="111" t="str">
        <f t="shared" ref="D7938:E7938" si="7936">TRIM(B7938)</f>
        <v>Minnesota</v>
      </c>
      <c r="E7938" s="111" t="str">
        <f t="shared" si="7936"/>
        <v>Lester Prairie</v>
      </c>
    </row>
    <row r="7939" spans="1:5">
      <c r="A7939" s="110" t="s">
        <v>18011</v>
      </c>
      <c r="B7939" s="110" t="s">
        <v>1345</v>
      </c>
      <c r="C7939" s="111" t="s">
        <v>11780</v>
      </c>
      <c r="D7939" s="111" t="str">
        <f t="shared" ref="D7939:E7939" si="7937">TRIM(B7939)</f>
        <v>Minnesota</v>
      </c>
      <c r="E7939" s="111" t="str">
        <f t="shared" si="7937"/>
        <v>Lewiston</v>
      </c>
    </row>
    <row r="7940" spans="1:5">
      <c r="A7940" s="3" t="s">
        <v>18012</v>
      </c>
      <c r="B7940" s="110" t="s">
        <v>1345</v>
      </c>
      <c r="C7940" s="111" t="s">
        <v>18013</v>
      </c>
      <c r="D7940" s="111" t="str">
        <f t="shared" ref="D7940:E7940" si="7938">TRIM(B7940)</f>
        <v>Minnesota</v>
      </c>
      <c r="E7940" s="111" t="str">
        <f t="shared" si="7938"/>
        <v>Lindstrom</v>
      </c>
    </row>
    <row r="7941" spans="1:5">
      <c r="A7941" s="110" t="s">
        <v>18014</v>
      </c>
      <c r="B7941" s="110" t="s">
        <v>1345</v>
      </c>
      <c r="C7941" s="111" t="s">
        <v>18013</v>
      </c>
      <c r="D7941" s="111" t="str">
        <f t="shared" ref="D7941:E7941" si="7939">TRIM(B7941)</f>
        <v>Minnesota</v>
      </c>
      <c r="E7941" s="111" t="str">
        <f t="shared" si="7939"/>
        <v>Lindstrom</v>
      </c>
    </row>
    <row r="7942" spans="1:5">
      <c r="A7942" s="3" t="s">
        <v>13222</v>
      </c>
      <c r="B7942" s="110" t="s">
        <v>1345</v>
      </c>
      <c r="C7942" s="111" t="s">
        <v>8531</v>
      </c>
      <c r="D7942" s="111" t="str">
        <f t="shared" ref="D7942:E7942" si="7940">TRIM(B7942)</f>
        <v>Minnesota</v>
      </c>
      <c r="E7942" s="111" t="str">
        <f t="shared" si="7940"/>
        <v>Litchfield</v>
      </c>
    </row>
    <row r="7943" spans="1:5">
      <c r="A7943" s="3" t="s">
        <v>18015</v>
      </c>
      <c r="B7943" s="110" t="s">
        <v>1345</v>
      </c>
      <c r="C7943" s="111" t="s">
        <v>18016</v>
      </c>
      <c r="D7943" s="111" t="str">
        <f t="shared" ref="D7943:E7943" si="7941">TRIM(B7943)</f>
        <v>Minnesota</v>
      </c>
      <c r="E7943" s="111" t="str">
        <f t="shared" si="7941"/>
        <v>Little Falls</v>
      </c>
    </row>
    <row r="7944" spans="1:5">
      <c r="A7944" s="110" t="s">
        <v>18017</v>
      </c>
      <c r="B7944" s="110" t="s">
        <v>1345</v>
      </c>
      <c r="C7944" s="111" t="s">
        <v>18018</v>
      </c>
      <c r="D7944" s="111" t="str">
        <f t="shared" ref="D7944:E7944" si="7942">TRIM(B7944)</f>
        <v>Minnesota</v>
      </c>
      <c r="E7944" s="111" t="str">
        <f t="shared" si="7942"/>
        <v>Littlefork</v>
      </c>
    </row>
    <row r="7945" spans="1:5">
      <c r="A7945" s="3" t="s">
        <v>18019</v>
      </c>
      <c r="B7945" s="110" t="s">
        <v>1345</v>
      </c>
      <c r="C7945" s="111" t="s">
        <v>18020</v>
      </c>
      <c r="D7945" s="111" t="str">
        <f t="shared" ref="D7945:E7945" si="7943">TRIM(B7945)</f>
        <v>Minnesota</v>
      </c>
      <c r="E7945" s="111" t="str">
        <f t="shared" si="7943"/>
        <v>Long Lake</v>
      </c>
    </row>
    <row r="7946" spans="1:5">
      <c r="A7946" s="110" t="s">
        <v>18021</v>
      </c>
      <c r="B7946" s="110" t="s">
        <v>1345</v>
      </c>
      <c r="C7946" s="111" t="s">
        <v>18022</v>
      </c>
      <c r="D7946" s="111" t="str">
        <f t="shared" ref="D7946:E7946" si="7944">TRIM(B7946)</f>
        <v>Minnesota</v>
      </c>
      <c r="E7946" s="111" t="str">
        <f t="shared" si="7944"/>
        <v>Long Prairie</v>
      </c>
    </row>
    <row r="7947" spans="1:5">
      <c r="A7947" s="3" t="s">
        <v>18023</v>
      </c>
      <c r="B7947" s="110" t="s">
        <v>1345</v>
      </c>
      <c r="C7947" s="111" t="s">
        <v>18024</v>
      </c>
      <c r="D7947" s="111" t="str">
        <f t="shared" ref="D7947:E7947" si="7945">TRIM(B7947)</f>
        <v>Minnesota</v>
      </c>
      <c r="E7947" s="111" t="str">
        <f t="shared" si="7945"/>
        <v>Luverne</v>
      </c>
    </row>
    <row r="7948" spans="1:5">
      <c r="A7948" s="110" t="s">
        <v>18025</v>
      </c>
      <c r="B7948" s="110" t="s">
        <v>1345</v>
      </c>
      <c r="C7948" s="111" t="s">
        <v>18026</v>
      </c>
      <c r="D7948" s="111" t="str">
        <f t="shared" ref="D7948:E7948" si="7946">TRIM(B7948)</f>
        <v>Minnesota</v>
      </c>
      <c r="E7948" s="111" t="str">
        <f t="shared" si="7946"/>
        <v>Lyle</v>
      </c>
    </row>
    <row r="7949" spans="1:5">
      <c r="A7949" s="110" t="s">
        <v>18027</v>
      </c>
      <c r="B7949" s="110" t="s">
        <v>1345</v>
      </c>
      <c r="C7949" s="111" t="s">
        <v>18028</v>
      </c>
      <c r="D7949" s="111" t="str">
        <f t="shared" ref="D7949:E7949" si="7947">TRIM(B7949)</f>
        <v>Minnesota</v>
      </c>
      <c r="E7949" s="111" t="str">
        <f t="shared" si="7947"/>
        <v>Mabel</v>
      </c>
    </row>
    <row r="7950" spans="1:5">
      <c r="A7950" s="3" t="s">
        <v>18029</v>
      </c>
      <c r="B7950" s="110" t="s">
        <v>1345</v>
      </c>
      <c r="C7950" s="111" t="s">
        <v>18030</v>
      </c>
      <c r="D7950" s="111" t="str">
        <f t="shared" ref="D7950:E7950" si="7948">TRIM(B7950)</f>
        <v>Minnesota</v>
      </c>
      <c r="E7950" s="111" t="str">
        <f t="shared" si="7948"/>
        <v>Madelia</v>
      </c>
    </row>
    <row r="7951" spans="1:5">
      <c r="A7951" s="110" t="s">
        <v>18031</v>
      </c>
      <c r="B7951" s="110" t="s">
        <v>1345</v>
      </c>
      <c r="C7951" s="111" t="s">
        <v>18030</v>
      </c>
      <c r="D7951" s="111" t="str">
        <f t="shared" ref="D7951:E7951" si="7949">TRIM(B7951)</f>
        <v>Minnesota</v>
      </c>
      <c r="E7951" s="111" t="str">
        <f t="shared" si="7949"/>
        <v>Madelia</v>
      </c>
    </row>
    <row r="7952" spans="1:5">
      <c r="A7952" s="110" t="s">
        <v>18032</v>
      </c>
      <c r="B7952" s="110" t="s">
        <v>1345</v>
      </c>
      <c r="C7952" s="111" t="s">
        <v>488</v>
      </c>
      <c r="D7952" s="111" t="str">
        <f t="shared" ref="D7952:E7952" si="7950">TRIM(B7952)</f>
        <v>Minnesota</v>
      </c>
      <c r="E7952" s="111" t="str">
        <f t="shared" si="7950"/>
        <v>Madison</v>
      </c>
    </row>
    <row r="7953" spans="1:5">
      <c r="A7953" s="110" t="s">
        <v>18033</v>
      </c>
      <c r="B7953" s="110" t="s">
        <v>1345</v>
      </c>
      <c r="C7953" s="111" t="s">
        <v>18034</v>
      </c>
      <c r="D7953" s="111" t="str">
        <f t="shared" ref="D7953:E7953" si="7951">TRIM(B7953)</f>
        <v>Minnesota</v>
      </c>
      <c r="E7953" s="111" t="str">
        <f t="shared" si="7951"/>
        <v>Mahnomen</v>
      </c>
    </row>
    <row r="7954" spans="1:5">
      <c r="A7954" s="3" t="s">
        <v>18035</v>
      </c>
      <c r="B7954" s="110" t="s">
        <v>1345</v>
      </c>
      <c r="C7954" s="111" t="s">
        <v>18036</v>
      </c>
      <c r="D7954" s="111" t="str">
        <f t="shared" ref="D7954:E7954" si="7952">TRIM(B7954)</f>
        <v>Minnesota</v>
      </c>
      <c r="E7954" s="111" t="str">
        <f t="shared" si="7952"/>
        <v>Mahtomedi</v>
      </c>
    </row>
    <row r="7955" spans="1:5">
      <c r="A7955" s="110" t="s">
        <v>18037</v>
      </c>
      <c r="B7955" s="110" t="s">
        <v>1345</v>
      </c>
      <c r="C7955" s="111" t="s">
        <v>15390</v>
      </c>
      <c r="D7955" s="111" t="str">
        <f t="shared" ref="D7955:E7955" si="7953">TRIM(B7955)</f>
        <v>Minnesota</v>
      </c>
      <c r="E7955" s="111" t="str">
        <f t="shared" si="7953"/>
        <v>Mankato</v>
      </c>
    </row>
    <row r="7956" spans="1:5">
      <c r="A7956" s="3" t="s">
        <v>18038</v>
      </c>
      <c r="B7956" s="110" t="s">
        <v>1345</v>
      </c>
      <c r="C7956" s="111" t="s">
        <v>15390</v>
      </c>
      <c r="D7956" s="111" t="str">
        <f t="shared" ref="D7956:E7956" si="7954">TRIM(B7956)</f>
        <v>Minnesota</v>
      </c>
      <c r="E7956" s="111" t="str">
        <f t="shared" si="7954"/>
        <v>Mankato</v>
      </c>
    </row>
    <row r="7957" spans="1:5">
      <c r="A7957" s="3" t="s">
        <v>18039</v>
      </c>
      <c r="B7957" s="110" t="s">
        <v>1345</v>
      </c>
      <c r="C7957" s="111" t="s">
        <v>15390</v>
      </c>
      <c r="D7957" s="111" t="str">
        <f t="shared" ref="D7957:E7957" si="7955">TRIM(B7957)</f>
        <v>Minnesota</v>
      </c>
      <c r="E7957" s="111" t="str">
        <f t="shared" si="7955"/>
        <v>Mankato</v>
      </c>
    </row>
    <row r="7958" spans="1:5">
      <c r="A7958" s="3" t="s">
        <v>18040</v>
      </c>
      <c r="B7958" s="110" t="s">
        <v>1345</v>
      </c>
      <c r="C7958" s="111" t="s">
        <v>7050</v>
      </c>
      <c r="D7958" s="111" t="str">
        <f t="shared" ref="D7958:E7958" si="7956">TRIM(B7958)</f>
        <v>Minnesota</v>
      </c>
      <c r="E7958" s="111" t="str">
        <f t="shared" si="7956"/>
        <v>Maple Grove</v>
      </c>
    </row>
    <row r="7959" spans="1:5">
      <c r="A7959" s="110" t="s">
        <v>18041</v>
      </c>
      <c r="B7959" s="110" t="s">
        <v>1345</v>
      </c>
      <c r="C7959" s="111" t="s">
        <v>7050</v>
      </c>
      <c r="D7959" s="111" t="str">
        <f t="shared" ref="D7959:E7959" si="7957">TRIM(B7959)</f>
        <v>Minnesota</v>
      </c>
      <c r="E7959" s="111" t="str">
        <f t="shared" si="7957"/>
        <v>Maple Grove</v>
      </c>
    </row>
    <row r="7960" spans="1:5">
      <c r="A7960" s="110" t="s">
        <v>18042</v>
      </c>
      <c r="B7960" s="110" t="s">
        <v>1345</v>
      </c>
      <c r="C7960" s="111" t="s">
        <v>18043</v>
      </c>
      <c r="D7960" s="111" t="str">
        <f t="shared" ref="D7960:E7960" si="7958">TRIM(B7960)</f>
        <v>Minnesota</v>
      </c>
      <c r="E7960" s="111" t="str">
        <f t="shared" si="7958"/>
        <v>Maple Lake</v>
      </c>
    </row>
    <row r="7961" spans="1:5">
      <c r="A7961" s="110" t="s">
        <v>18044</v>
      </c>
      <c r="B7961" s="110" t="s">
        <v>1345</v>
      </c>
      <c r="C7961" s="111" t="s">
        <v>18043</v>
      </c>
      <c r="D7961" s="111" t="str">
        <f t="shared" ref="D7961:E7961" si="7959">TRIM(B7961)</f>
        <v>Minnesota</v>
      </c>
      <c r="E7961" s="111" t="str">
        <f t="shared" si="7959"/>
        <v>Maple Lake</v>
      </c>
    </row>
    <row r="7962" spans="1:5">
      <c r="A7962" s="110" t="s">
        <v>18045</v>
      </c>
      <c r="B7962" s="110" t="s">
        <v>1345</v>
      </c>
      <c r="C7962" s="111" t="s">
        <v>14948</v>
      </c>
      <c r="D7962" s="111" t="str">
        <f t="shared" ref="D7962:E7962" si="7960">TRIM(B7962)</f>
        <v>Minnesota</v>
      </c>
      <c r="E7962" s="111" t="str">
        <f t="shared" si="7960"/>
        <v>Mapleton</v>
      </c>
    </row>
    <row r="7963" spans="1:5">
      <c r="A7963" s="3" t="s">
        <v>4004</v>
      </c>
      <c r="B7963" s="110" t="s">
        <v>1345</v>
      </c>
      <c r="C7963" s="111" t="s">
        <v>1258</v>
      </c>
      <c r="D7963" s="111" t="str">
        <f t="shared" ref="D7963:E7963" si="7961">TRIM(B7963)</f>
        <v>Minnesota</v>
      </c>
      <c r="E7963" s="111" t="str">
        <f t="shared" si="7961"/>
        <v>Marshall</v>
      </c>
    </row>
    <row r="7964" spans="1:5">
      <c r="A7964" s="110" t="s">
        <v>18046</v>
      </c>
      <c r="B7964" s="110" t="s">
        <v>1345</v>
      </c>
      <c r="C7964" s="111" t="s">
        <v>18047</v>
      </c>
      <c r="D7964" s="111" t="str">
        <f t="shared" ref="D7964:E7964" si="7962">TRIM(B7964)</f>
        <v>Minnesota</v>
      </c>
      <c r="E7964" s="111" t="str">
        <f t="shared" si="7962"/>
        <v>Mcgregor</v>
      </c>
    </row>
    <row r="7965" spans="1:5">
      <c r="A7965" s="110" t="s">
        <v>18048</v>
      </c>
      <c r="B7965" s="110" t="s">
        <v>1345</v>
      </c>
      <c r="C7965" s="111" t="s">
        <v>549</v>
      </c>
      <c r="D7965" s="111" t="str">
        <f t="shared" ref="D7965:E7965" si="7963">TRIM(B7965)</f>
        <v>Minnesota</v>
      </c>
      <c r="E7965" s="111" t="str">
        <f t="shared" si="7963"/>
        <v>Medford</v>
      </c>
    </row>
    <row r="7966" spans="1:5">
      <c r="A7966" s="110" t="s">
        <v>18049</v>
      </c>
      <c r="B7966" s="110" t="s">
        <v>1345</v>
      </c>
      <c r="C7966" s="111" t="s">
        <v>8874</v>
      </c>
      <c r="D7966" s="111" t="str">
        <f t="shared" ref="D7966:E7966" si="7964">TRIM(B7966)</f>
        <v>Minnesota</v>
      </c>
      <c r="E7966" s="111" t="str">
        <f t="shared" si="7964"/>
        <v>Melrose</v>
      </c>
    </row>
    <row r="7967" spans="1:5">
      <c r="A7967" s="3" t="s">
        <v>18050</v>
      </c>
      <c r="B7967" s="110" t="s">
        <v>1345</v>
      </c>
      <c r="C7967" s="111" t="s">
        <v>18051</v>
      </c>
      <c r="D7967" s="111" t="str">
        <f t="shared" ref="D7967:E7967" si="7965">TRIM(B7967)</f>
        <v>Minnesota</v>
      </c>
      <c r="E7967" s="111" t="str">
        <f t="shared" si="7965"/>
        <v>Menahga</v>
      </c>
    </row>
    <row r="7968" spans="1:5">
      <c r="A7968" s="3" t="s">
        <v>18052</v>
      </c>
      <c r="B7968" s="110" t="s">
        <v>1345</v>
      </c>
      <c r="C7968" s="111" t="s">
        <v>18053</v>
      </c>
      <c r="D7968" s="111" t="str">
        <f t="shared" ref="D7968:E7968" si="7966">TRIM(B7968)</f>
        <v>Minnesota</v>
      </c>
      <c r="E7968" s="111" t="str">
        <f t="shared" si="7966"/>
        <v>Milaca</v>
      </c>
    </row>
    <row r="7969" spans="1:5">
      <c r="A7969" s="3" t="s">
        <v>18054</v>
      </c>
      <c r="B7969" s="110" t="s">
        <v>1345</v>
      </c>
      <c r="C7969" s="111" t="s">
        <v>220</v>
      </c>
      <c r="D7969" s="111" t="str">
        <f t="shared" ref="D7969:E7969" si="7967">TRIM(B7969)</f>
        <v>Minnesota</v>
      </c>
      <c r="E7969" s="111" t="str">
        <f t="shared" si="7967"/>
        <v>Minneapolis</v>
      </c>
    </row>
    <row r="7970" spans="1:5">
      <c r="A7970" s="110" t="s">
        <v>18055</v>
      </c>
      <c r="B7970" s="110" t="s">
        <v>1345</v>
      </c>
      <c r="C7970" s="111" t="s">
        <v>220</v>
      </c>
      <c r="D7970" s="111" t="str">
        <f t="shared" ref="D7970:E7970" si="7968">TRIM(B7970)</f>
        <v>Minnesota</v>
      </c>
      <c r="E7970" s="111" t="str">
        <f t="shared" si="7968"/>
        <v>Minneapolis</v>
      </c>
    </row>
    <row r="7971" spans="1:5">
      <c r="A7971" s="3" t="s">
        <v>18056</v>
      </c>
      <c r="B7971" s="110" t="s">
        <v>1345</v>
      </c>
      <c r="C7971" s="111" t="s">
        <v>220</v>
      </c>
      <c r="D7971" s="111" t="str">
        <f t="shared" ref="D7971:E7971" si="7969">TRIM(B7971)</f>
        <v>Minnesota</v>
      </c>
      <c r="E7971" s="111" t="str">
        <f t="shared" si="7969"/>
        <v>Minneapolis</v>
      </c>
    </row>
    <row r="7972" spans="1:5">
      <c r="A7972" s="110" t="s">
        <v>18057</v>
      </c>
      <c r="B7972" s="110" t="s">
        <v>1345</v>
      </c>
      <c r="C7972" s="111" t="s">
        <v>220</v>
      </c>
      <c r="D7972" s="111" t="str">
        <f t="shared" ref="D7972:E7972" si="7970">TRIM(B7972)</f>
        <v>Minnesota</v>
      </c>
      <c r="E7972" s="111" t="str">
        <f t="shared" si="7970"/>
        <v>Minneapolis</v>
      </c>
    </row>
    <row r="7973" spans="1:5">
      <c r="A7973" s="3" t="s">
        <v>18058</v>
      </c>
      <c r="B7973" s="110" t="s">
        <v>1345</v>
      </c>
      <c r="C7973" s="111" t="s">
        <v>220</v>
      </c>
      <c r="D7973" s="111" t="str">
        <f t="shared" ref="D7973:E7973" si="7971">TRIM(B7973)</f>
        <v>Minnesota</v>
      </c>
      <c r="E7973" s="111" t="str">
        <f t="shared" si="7971"/>
        <v>Minneapolis</v>
      </c>
    </row>
    <row r="7974" spans="1:5">
      <c r="A7974" s="3" t="s">
        <v>18059</v>
      </c>
      <c r="B7974" s="110" t="s">
        <v>1345</v>
      </c>
      <c r="C7974" s="111" t="s">
        <v>220</v>
      </c>
      <c r="D7974" s="111" t="str">
        <f t="shared" ref="D7974:E7974" si="7972">TRIM(B7974)</f>
        <v>Minnesota</v>
      </c>
      <c r="E7974" s="111" t="str">
        <f t="shared" si="7972"/>
        <v>Minneapolis</v>
      </c>
    </row>
    <row r="7975" spans="1:5">
      <c r="A7975" s="3" t="s">
        <v>18060</v>
      </c>
      <c r="B7975" s="110" t="s">
        <v>1345</v>
      </c>
      <c r="C7975" s="111" t="s">
        <v>220</v>
      </c>
      <c r="D7975" s="111" t="str">
        <f t="shared" ref="D7975:E7975" si="7973">TRIM(B7975)</f>
        <v>Minnesota</v>
      </c>
      <c r="E7975" s="111" t="str">
        <f t="shared" si="7973"/>
        <v>Minneapolis</v>
      </c>
    </row>
    <row r="7976" spans="1:5">
      <c r="A7976" s="3" t="s">
        <v>18061</v>
      </c>
      <c r="B7976" s="110" t="s">
        <v>1345</v>
      </c>
      <c r="C7976" s="111" t="s">
        <v>220</v>
      </c>
      <c r="D7976" s="111" t="str">
        <f t="shared" ref="D7976:E7976" si="7974">TRIM(B7976)</f>
        <v>Minnesota</v>
      </c>
      <c r="E7976" s="111" t="str">
        <f t="shared" si="7974"/>
        <v>Minneapolis</v>
      </c>
    </row>
    <row r="7977" spans="1:5">
      <c r="A7977" s="110" t="s">
        <v>18062</v>
      </c>
      <c r="B7977" s="110" t="s">
        <v>1345</v>
      </c>
      <c r="C7977" s="111" t="s">
        <v>220</v>
      </c>
      <c r="D7977" s="111" t="str">
        <f t="shared" ref="D7977:E7977" si="7975">TRIM(B7977)</f>
        <v>Minnesota</v>
      </c>
      <c r="E7977" s="111" t="str">
        <f t="shared" si="7975"/>
        <v>Minneapolis</v>
      </c>
    </row>
    <row r="7978" spans="1:5">
      <c r="A7978" s="110" t="s">
        <v>18063</v>
      </c>
      <c r="B7978" s="110" t="s">
        <v>1345</v>
      </c>
      <c r="C7978" s="111" t="s">
        <v>220</v>
      </c>
      <c r="D7978" s="111" t="str">
        <f t="shared" ref="D7978:E7978" si="7976">TRIM(B7978)</f>
        <v>Minnesota</v>
      </c>
      <c r="E7978" s="111" t="str">
        <f t="shared" si="7976"/>
        <v>Minneapolis</v>
      </c>
    </row>
    <row r="7979" spans="1:5">
      <c r="A7979" s="110" t="s">
        <v>18064</v>
      </c>
      <c r="B7979" s="110" t="s">
        <v>1345</v>
      </c>
      <c r="C7979" s="111" t="s">
        <v>220</v>
      </c>
      <c r="D7979" s="111" t="str">
        <f t="shared" ref="D7979:E7979" si="7977">TRIM(B7979)</f>
        <v>Minnesota</v>
      </c>
      <c r="E7979" s="111" t="str">
        <f t="shared" si="7977"/>
        <v>Minneapolis</v>
      </c>
    </row>
    <row r="7980" spans="1:5">
      <c r="A7980" s="3" t="s">
        <v>18065</v>
      </c>
      <c r="B7980" s="110" t="s">
        <v>1345</v>
      </c>
      <c r="C7980" s="111" t="s">
        <v>220</v>
      </c>
      <c r="D7980" s="111" t="str">
        <f t="shared" ref="D7980:E7980" si="7978">TRIM(B7980)</f>
        <v>Minnesota</v>
      </c>
      <c r="E7980" s="111" t="str">
        <f t="shared" si="7978"/>
        <v>Minneapolis</v>
      </c>
    </row>
    <row r="7981" spans="1:5">
      <c r="A7981" s="3" t="s">
        <v>18066</v>
      </c>
      <c r="B7981" s="110" t="s">
        <v>1345</v>
      </c>
      <c r="C7981" s="111" t="s">
        <v>220</v>
      </c>
      <c r="D7981" s="111" t="str">
        <f t="shared" ref="D7981:E7981" si="7979">TRIM(B7981)</f>
        <v>Minnesota</v>
      </c>
      <c r="E7981" s="111" t="str">
        <f t="shared" si="7979"/>
        <v>Minneapolis</v>
      </c>
    </row>
    <row r="7982" spans="1:5">
      <c r="A7982" s="3" t="s">
        <v>18067</v>
      </c>
      <c r="B7982" s="110" t="s">
        <v>1345</v>
      </c>
      <c r="C7982" s="111" t="s">
        <v>220</v>
      </c>
      <c r="D7982" s="111" t="str">
        <f t="shared" ref="D7982:E7982" si="7980">TRIM(B7982)</f>
        <v>Minnesota</v>
      </c>
      <c r="E7982" s="111" t="str">
        <f t="shared" si="7980"/>
        <v>Minneapolis</v>
      </c>
    </row>
    <row r="7983" spans="1:5">
      <c r="A7983" s="110" t="s">
        <v>18068</v>
      </c>
      <c r="B7983" s="110" t="s">
        <v>1345</v>
      </c>
      <c r="C7983" s="111" t="s">
        <v>220</v>
      </c>
      <c r="D7983" s="111" t="str">
        <f t="shared" ref="D7983:E7983" si="7981">TRIM(B7983)</f>
        <v>Minnesota</v>
      </c>
      <c r="E7983" s="111" t="str">
        <f t="shared" si="7981"/>
        <v>Minneapolis</v>
      </c>
    </row>
    <row r="7984" spans="1:5">
      <c r="A7984" s="3" t="s">
        <v>18069</v>
      </c>
      <c r="B7984" s="110" t="s">
        <v>1345</v>
      </c>
      <c r="C7984" s="111" t="s">
        <v>220</v>
      </c>
      <c r="D7984" s="111" t="str">
        <f t="shared" ref="D7984:E7984" si="7982">TRIM(B7984)</f>
        <v>Minnesota</v>
      </c>
      <c r="E7984" s="111" t="str">
        <f t="shared" si="7982"/>
        <v>Minneapolis</v>
      </c>
    </row>
    <row r="7985" spans="1:5">
      <c r="A7985" s="110" t="s">
        <v>18070</v>
      </c>
      <c r="B7985" s="110" t="s">
        <v>1345</v>
      </c>
      <c r="C7985" s="111" t="s">
        <v>220</v>
      </c>
      <c r="D7985" s="111" t="str">
        <f t="shared" ref="D7985:E7985" si="7983">TRIM(B7985)</f>
        <v>Minnesota</v>
      </c>
      <c r="E7985" s="111" t="str">
        <f t="shared" si="7983"/>
        <v>Minneapolis</v>
      </c>
    </row>
    <row r="7986" spans="1:5">
      <c r="A7986" s="3" t="s">
        <v>18071</v>
      </c>
      <c r="B7986" s="110" t="s">
        <v>1345</v>
      </c>
      <c r="C7986" s="111" t="s">
        <v>220</v>
      </c>
      <c r="D7986" s="111" t="str">
        <f t="shared" ref="D7986:E7986" si="7984">TRIM(B7986)</f>
        <v>Minnesota</v>
      </c>
      <c r="E7986" s="111" t="str">
        <f t="shared" si="7984"/>
        <v>Minneapolis</v>
      </c>
    </row>
    <row r="7987" spans="1:5">
      <c r="A7987" s="3" t="s">
        <v>6813</v>
      </c>
      <c r="B7987" s="110" t="s">
        <v>1345</v>
      </c>
      <c r="C7987" s="111" t="s">
        <v>220</v>
      </c>
      <c r="D7987" s="111" t="str">
        <f t="shared" ref="D7987:E7987" si="7985">TRIM(B7987)</f>
        <v>Minnesota</v>
      </c>
      <c r="E7987" s="111" t="str">
        <f t="shared" si="7985"/>
        <v>Minneapolis</v>
      </c>
    </row>
    <row r="7988" spans="1:5">
      <c r="A7988" s="110" t="s">
        <v>18072</v>
      </c>
      <c r="B7988" s="110" t="s">
        <v>1345</v>
      </c>
      <c r="C7988" s="111" t="s">
        <v>220</v>
      </c>
      <c r="D7988" s="111" t="str">
        <f t="shared" ref="D7988:E7988" si="7986">TRIM(B7988)</f>
        <v>Minnesota</v>
      </c>
      <c r="E7988" s="111" t="str">
        <f t="shared" si="7986"/>
        <v>Minneapolis</v>
      </c>
    </row>
    <row r="7989" spans="1:5">
      <c r="A7989" s="3" t="s">
        <v>18073</v>
      </c>
      <c r="B7989" s="110" t="s">
        <v>1345</v>
      </c>
      <c r="C7989" s="111" t="s">
        <v>220</v>
      </c>
      <c r="D7989" s="111" t="str">
        <f t="shared" ref="D7989:E7989" si="7987">TRIM(B7989)</f>
        <v>Minnesota</v>
      </c>
      <c r="E7989" s="111" t="str">
        <f t="shared" si="7987"/>
        <v>Minneapolis</v>
      </c>
    </row>
    <row r="7990" spans="1:5">
      <c r="A7990" s="3" t="s">
        <v>18074</v>
      </c>
      <c r="B7990" s="110" t="s">
        <v>1345</v>
      </c>
      <c r="C7990" s="111" t="s">
        <v>220</v>
      </c>
      <c r="D7990" s="111" t="str">
        <f t="shared" ref="D7990:E7990" si="7988">TRIM(B7990)</f>
        <v>Minnesota</v>
      </c>
      <c r="E7990" s="111" t="str">
        <f t="shared" si="7988"/>
        <v>Minneapolis</v>
      </c>
    </row>
    <row r="7991" spans="1:5">
      <c r="A7991" s="110" t="s">
        <v>18075</v>
      </c>
      <c r="B7991" s="110" t="s">
        <v>1345</v>
      </c>
      <c r="C7991" s="111" t="s">
        <v>18076</v>
      </c>
      <c r="D7991" s="111" t="str">
        <f t="shared" ref="D7991:E7991" si="7989">TRIM(B7991)</f>
        <v>Minnesota</v>
      </c>
      <c r="E7991" s="111" t="str">
        <f t="shared" si="7989"/>
        <v>Minneota</v>
      </c>
    </row>
    <row r="7992" spans="1:5">
      <c r="A7992" s="3" t="s">
        <v>18077</v>
      </c>
      <c r="B7992" s="110" t="s">
        <v>1345</v>
      </c>
      <c r="C7992" s="111" t="s">
        <v>18078</v>
      </c>
      <c r="D7992" s="111" t="str">
        <f t="shared" ref="D7992:E7992" si="7990">TRIM(B7992)</f>
        <v>Minnesota</v>
      </c>
      <c r="E7992" s="111" t="str">
        <f t="shared" si="7990"/>
        <v>Minnetonka</v>
      </c>
    </row>
    <row r="7993" spans="1:5">
      <c r="A7993" s="3" t="s">
        <v>18079</v>
      </c>
      <c r="B7993" s="110" t="s">
        <v>1345</v>
      </c>
      <c r="C7993" s="111" t="s">
        <v>18078</v>
      </c>
      <c r="D7993" s="111" t="str">
        <f t="shared" ref="D7993:E7993" si="7991">TRIM(B7993)</f>
        <v>Minnesota</v>
      </c>
      <c r="E7993" s="111" t="str">
        <f t="shared" si="7991"/>
        <v>Minnetonka</v>
      </c>
    </row>
    <row r="7994" spans="1:5">
      <c r="A7994" s="3" t="s">
        <v>18080</v>
      </c>
      <c r="B7994" s="110" t="s">
        <v>1345</v>
      </c>
      <c r="C7994" s="111" t="s">
        <v>18078</v>
      </c>
      <c r="D7994" s="111" t="str">
        <f t="shared" ref="D7994:E7994" si="7992">TRIM(B7994)</f>
        <v>Minnesota</v>
      </c>
      <c r="E7994" s="111" t="str">
        <f t="shared" si="7992"/>
        <v>Minnetonka</v>
      </c>
    </row>
    <row r="7995" spans="1:5">
      <c r="A7995" s="110" t="s">
        <v>18081</v>
      </c>
      <c r="B7995" s="110" t="s">
        <v>1345</v>
      </c>
      <c r="C7995" s="111" t="s">
        <v>18078</v>
      </c>
      <c r="D7995" s="111" t="str">
        <f t="shared" ref="D7995:E7995" si="7993">TRIM(B7995)</f>
        <v>Minnesota</v>
      </c>
      <c r="E7995" s="111" t="str">
        <f t="shared" si="7993"/>
        <v>Minnetonka</v>
      </c>
    </row>
    <row r="7996" spans="1:5">
      <c r="A7996" s="3" t="s">
        <v>18082</v>
      </c>
      <c r="B7996" s="110" t="s">
        <v>1345</v>
      </c>
      <c r="C7996" s="111" t="s">
        <v>18083</v>
      </c>
      <c r="D7996" s="111" t="str">
        <f t="shared" ref="D7996:E7996" si="7994">TRIM(B7996)</f>
        <v>Minnesota</v>
      </c>
      <c r="E7996" s="111" t="str">
        <f t="shared" si="7994"/>
        <v>Minnetrista</v>
      </c>
    </row>
    <row r="7997" spans="1:5">
      <c r="A7997" s="110" t="s">
        <v>18084</v>
      </c>
      <c r="B7997" s="110" t="s">
        <v>1345</v>
      </c>
      <c r="C7997" s="111" t="s">
        <v>18085</v>
      </c>
      <c r="D7997" s="111" t="str">
        <f t="shared" ref="D7997:E7997" si="7995">TRIM(B7997)</f>
        <v>Minnesota</v>
      </c>
      <c r="E7997" s="111" t="str">
        <f t="shared" si="7995"/>
        <v>Montevideo</v>
      </c>
    </row>
    <row r="7998" spans="1:5">
      <c r="A7998" s="3" t="s">
        <v>18086</v>
      </c>
      <c r="B7998" s="110" t="s">
        <v>1345</v>
      </c>
      <c r="C7998" s="111" t="s">
        <v>18085</v>
      </c>
      <c r="D7998" s="111" t="str">
        <f t="shared" ref="D7998:E7998" si="7996">TRIM(B7998)</f>
        <v>Minnesota</v>
      </c>
      <c r="E7998" s="111" t="str">
        <f t="shared" si="7996"/>
        <v>Montevideo</v>
      </c>
    </row>
    <row r="7999" spans="1:5">
      <c r="A7999" s="3" t="s">
        <v>18087</v>
      </c>
      <c r="B7999" s="110" t="s">
        <v>1345</v>
      </c>
      <c r="C7999" s="111" t="s">
        <v>439</v>
      </c>
      <c r="D7999" s="111" t="str">
        <f t="shared" ref="D7999:E7999" si="7997">TRIM(B7999)</f>
        <v>Minnesota</v>
      </c>
      <c r="E7999" s="111" t="str">
        <f t="shared" si="7997"/>
        <v>Montgomery</v>
      </c>
    </row>
    <row r="8000" spans="1:5">
      <c r="A8000" s="3" t="s">
        <v>18088</v>
      </c>
      <c r="B8000" s="110" t="s">
        <v>1345</v>
      </c>
      <c r="C8000" s="111" t="s">
        <v>4040</v>
      </c>
      <c r="D8000" s="111" t="str">
        <f t="shared" ref="D8000:E8000" si="7998">TRIM(B8000)</f>
        <v>Minnesota</v>
      </c>
      <c r="E8000" s="111" t="str">
        <f t="shared" si="7998"/>
        <v>Monticello</v>
      </c>
    </row>
    <row r="8001" spans="1:5">
      <c r="A8001" s="3" t="s">
        <v>18089</v>
      </c>
      <c r="B8001" s="110" t="s">
        <v>1345</v>
      </c>
      <c r="C8001" s="111" t="s">
        <v>18090</v>
      </c>
      <c r="D8001" s="111" t="str">
        <f t="shared" ref="D8001:E8001" si="7999">TRIM(B8001)</f>
        <v>Minnesota</v>
      </c>
      <c r="E8001" s="111" t="str">
        <f t="shared" si="7999"/>
        <v>Moorhead</v>
      </c>
    </row>
    <row r="8002" spans="1:5">
      <c r="A8002" s="110" t="s">
        <v>18091</v>
      </c>
      <c r="B8002" s="110" t="s">
        <v>1345</v>
      </c>
      <c r="C8002" s="111" t="s">
        <v>18092</v>
      </c>
      <c r="D8002" s="111" t="str">
        <f t="shared" ref="D8002:E8002" si="8000">TRIM(B8002)</f>
        <v>Minnesota</v>
      </c>
      <c r="E8002" s="111" t="str">
        <f t="shared" si="8000"/>
        <v>Moose Lake</v>
      </c>
    </row>
    <row r="8003" spans="1:5">
      <c r="A8003" s="110" t="s">
        <v>18093</v>
      </c>
      <c r="B8003" s="110" t="s">
        <v>1345</v>
      </c>
      <c r="C8003" s="111" t="s">
        <v>18094</v>
      </c>
      <c r="D8003" s="111" t="str">
        <f t="shared" ref="D8003:E8003" si="8001">TRIM(B8003)</f>
        <v>Minnesota</v>
      </c>
      <c r="E8003" s="111" t="str">
        <f t="shared" si="8001"/>
        <v>Mora</v>
      </c>
    </row>
    <row r="8004" spans="1:5">
      <c r="A8004" s="110" t="s">
        <v>18095</v>
      </c>
      <c r="B8004" s="110" t="s">
        <v>1345</v>
      </c>
      <c r="C8004" s="111" t="s">
        <v>13930</v>
      </c>
      <c r="D8004" s="111" t="str">
        <f t="shared" ref="D8004:E8004" si="8002">TRIM(B8004)</f>
        <v>Minnesota</v>
      </c>
      <c r="E8004" s="111" t="str">
        <f t="shared" si="8002"/>
        <v>Morgan</v>
      </c>
    </row>
    <row r="8005" spans="1:5">
      <c r="A8005" s="110" t="s">
        <v>18096</v>
      </c>
      <c r="B8005" s="110" t="s">
        <v>1345</v>
      </c>
      <c r="C8005" s="111" t="s">
        <v>436</v>
      </c>
      <c r="D8005" s="111" t="str">
        <f t="shared" ref="D8005:E8005" si="8003">TRIM(B8005)</f>
        <v>Minnesota</v>
      </c>
      <c r="E8005" s="111" t="str">
        <f t="shared" si="8003"/>
        <v>Morris</v>
      </c>
    </row>
    <row r="8006" spans="1:5">
      <c r="A8006" s="110" t="s">
        <v>18097</v>
      </c>
      <c r="B8006" s="110" t="s">
        <v>1345</v>
      </c>
      <c r="C8006" s="111" t="s">
        <v>18098</v>
      </c>
      <c r="D8006" s="111" t="str">
        <f t="shared" ref="D8006:E8006" si="8004">TRIM(B8006)</f>
        <v>Minnesota</v>
      </c>
      <c r="E8006" s="111" t="str">
        <f t="shared" si="8004"/>
        <v>Mountain Iron</v>
      </c>
    </row>
    <row r="8007" spans="1:5">
      <c r="A8007" s="110" t="s">
        <v>18099</v>
      </c>
      <c r="B8007" s="110" t="s">
        <v>1345</v>
      </c>
      <c r="C8007" s="111" t="s">
        <v>18098</v>
      </c>
      <c r="D8007" s="111" t="str">
        <f t="shared" ref="D8007:E8007" si="8005">TRIM(B8007)</f>
        <v>Minnesota</v>
      </c>
      <c r="E8007" s="111" t="str">
        <f t="shared" si="8005"/>
        <v>Mountain Iron</v>
      </c>
    </row>
    <row r="8008" spans="1:5">
      <c r="A8008" s="110" t="s">
        <v>18100</v>
      </c>
      <c r="B8008" s="110" t="s">
        <v>1345</v>
      </c>
      <c r="C8008" s="111" t="s">
        <v>18101</v>
      </c>
      <c r="D8008" s="111" t="str">
        <f t="shared" ref="D8008:E8008" si="8006">TRIM(B8008)</f>
        <v>Minnesota</v>
      </c>
      <c r="E8008" s="111" t="str">
        <f t="shared" si="8006"/>
        <v>Mountain Lake</v>
      </c>
    </row>
    <row r="8009" spans="1:5">
      <c r="A8009" s="110" t="s">
        <v>18102</v>
      </c>
      <c r="B8009" s="110" t="s">
        <v>1345</v>
      </c>
      <c r="C8009" s="111" t="s">
        <v>18103</v>
      </c>
      <c r="D8009" s="111" t="str">
        <f t="shared" ref="D8009:E8009" si="8007">TRIM(B8009)</f>
        <v>Minnesota</v>
      </c>
      <c r="E8009" s="111" t="str">
        <f t="shared" si="8007"/>
        <v>Nashwauk</v>
      </c>
    </row>
    <row r="8010" spans="1:5">
      <c r="A8010" s="110" t="s">
        <v>18104</v>
      </c>
      <c r="B8010" s="110" t="s">
        <v>1345</v>
      </c>
      <c r="C8010" s="111" t="s">
        <v>18105</v>
      </c>
      <c r="D8010" s="111" t="str">
        <f t="shared" ref="D8010:E8010" si="8008">TRIM(B8010)</f>
        <v>Minnesota</v>
      </c>
      <c r="E8010" s="111" t="str">
        <f t="shared" si="8008"/>
        <v>Nevis</v>
      </c>
    </row>
    <row r="8011" spans="1:5">
      <c r="A8011" s="3" t="s">
        <v>18106</v>
      </c>
      <c r="B8011" s="110" t="s">
        <v>1345</v>
      </c>
      <c r="C8011" s="111" t="s">
        <v>18107</v>
      </c>
      <c r="D8011" s="111" t="str">
        <f t="shared" ref="D8011:E8011" si="8009">TRIM(B8011)</f>
        <v>Minnesota</v>
      </c>
      <c r="E8011" s="111" t="str">
        <f t="shared" si="8009"/>
        <v>New Brighton</v>
      </c>
    </row>
    <row r="8012" spans="1:5">
      <c r="A8012" s="3" t="s">
        <v>18108</v>
      </c>
      <c r="B8012" s="110" t="s">
        <v>1345</v>
      </c>
      <c r="C8012" s="111" t="s">
        <v>2020</v>
      </c>
      <c r="D8012" s="111" t="str">
        <f t="shared" ref="D8012:E8012" si="8010">TRIM(B8012)</f>
        <v>Minnesota</v>
      </c>
      <c r="E8012" s="111" t="str">
        <f t="shared" si="8010"/>
        <v>New Hope</v>
      </c>
    </row>
    <row r="8013" spans="1:5">
      <c r="A8013" s="110" t="s">
        <v>18109</v>
      </c>
      <c r="B8013" s="110" t="s">
        <v>1345</v>
      </c>
      <c r="C8013" s="111" t="s">
        <v>8596</v>
      </c>
      <c r="D8013" s="111" t="str">
        <f t="shared" ref="D8013:E8013" si="8011">TRIM(B8013)</f>
        <v>Minnesota</v>
      </c>
      <c r="E8013" s="111" t="str">
        <f t="shared" si="8011"/>
        <v>New London</v>
      </c>
    </row>
    <row r="8014" spans="1:5">
      <c r="A8014" s="3" t="s">
        <v>18110</v>
      </c>
      <c r="B8014" s="110" t="s">
        <v>1345</v>
      </c>
      <c r="C8014" s="111" t="s">
        <v>18111</v>
      </c>
      <c r="D8014" s="111" t="str">
        <f t="shared" ref="D8014:E8014" si="8012">TRIM(B8014)</f>
        <v>Minnesota</v>
      </c>
      <c r="E8014" s="111" t="str">
        <f t="shared" si="8012"/>
        <v>New Prague</v>
      </c>
    </row>
    <row r="8015" spans="1:5">
      <c r="A8015" s="110" t="s">
        <v>18112</v>
      </c>
      <c r="B8015" s="110" t="s">
        <v>1345</v>
      </c>
      <c r="C8015" s="111" t="s">
        <v>18113</v>
      </c>
      <c r="D8015" s="111" t="str">
        <f t="shared" ref="D8015:E8015" si="8013">TRIM(B8015)</f>
        <v>Minnesota</v>
      </c>
      <c r="E8015" s="111" t="str">
        <f t="shared" si="8013"/>
        <v>New Richland</v>
      </c>
    </row>
    <row r="8016" spans="1:5">
      <c r="A8016" s="3" t="s">
        <v>18114</v>
      </c>
      <c r="B8016" s="110" t="s">
        <v>1345</v>
      </c>
      <c r="C8016" s="111" t="s">
        <v>11523</v>
      </c>
      <c r="D8016" s="111" t="str">
        <f t="shared" ref="D8016:E8016" si="8014">TRIM(B8016)</f>
        <v>Minnesota</v>
      </c>
      <c r="E8016" s="111" t="str">
        <f t="shared" si="8014"/>
        <v>New Ulm</v>
      </c>
    </row>
    <row r="8017" spans="1:5">
      <c r="A8017" s="110" t="s">
        <v>18115</v>
      </c>
      <c r="B8017" s="110" t="s">
        <v>1345</v>
      </c>
      <c r="C8017" s="111" t="s">
        <v>18116</v>
      </c>
      <c r="D8017" s="111" t="str">
        <f t="shared" ref="D8017:E8017" si="8015">TRIM(B8017)</f>
        <v>Minnesota</v>
      </c>
      <c r="E8017" s="111" t="str">
        <f t="shared" si="8015"/>
        <v>New York Mills</v>
      </c>
    </row>
    <row r="8018" spans="1:5">
      <c r="A8018" s="3" t="s">
        <v>18117</v>
      </c>
      <c r="B8018" s="110" t="s">
        <v>1345</v>
      </c>
      <c r="C8018" s="111" t="s">
        <v>18118</v>
      </c>
      <c r="D8018" s="111" t="str">
        <f t="shared" ref="D8018:E8018" si="8016">TRIM(B8018)</f>
        <v>Minnesota</v>
      </c>
      <c r="E8018" s="111" t="str">
        <f t="shared" si="8016"/>
        <v>Newfolden</v>
      </c>
    </row>
    <row r="8019" spans="1:5">
      <c r="A8019" s="3" t="s">
        <v>18119</v>
      </c>
      <c r="B8019" s="110" t="s">
        <v>1345</v>
      </c>
      <c r="C8019" s="111" t="s">
        <v>18120</v>
      </c>
      <c r="D8019" s="111" t="str">
        <f t="shared" ref="D8019:E8019" si="8017">TRIM(B8019)</f>
        <v>Minnesota</v>
      </c>
      <c r="E8019" s="111" t="str">
        <f t="shared" si="8017"/>
        <v>Nicollet</v>
      </c>
    </row>
    <row r="8020" spans="1:5">
      <c r="A8020" s="3" t="s">
        <v>18121</v>
      </c>
      <c r="B8020" s="110" t="s">
        <v>1345</v>
      </c>
      <c r="C8020" s="111" t="s">
        <v>17466</v>
      </c>
      <c r="D8020" s="111" t="str">
        <f t="shared" ref="D8020:E8020" si="8018">TRIM(B8020)</f>
        <v>Minnesota</v>
      </c>
      <c r="E8020" s="111" t="str">
        <f t="shared" si="8018"/>
        <v>North Branch</v>
      </c>
    </row>
    <row r="8021" spans="1:5">
      <c r="A8021" s="3" t="s">
        <v>18122</v>
      </c>
      <c r="B8021" s="110" t="s">
        <v>1345</v>
      </c>
      <c r="C8021" s="111" t="s">
        <v>18123</v>
      </c>
      <c r="D8021" s="111" t="str">
        <f t="shared" ref="D8021:E8021" si="8019">TRIM(B8021)</f>
        <v>Minnesota</v>
      </c>
      <c r="E8021" s="111" t="str">
        <f t="shared" si="8019"/>
        <v>North Saint Paul</v>
      </c>
    </row>
    <row r="8022" spans="1:5">
      <c r="A8022" s="110" t="s">
        <v>18124</v>
      </c>
      <c r="B8022" s="110" t="s">
        <v>1345</v>
      </c>
      <c r="C8022" s="111" t="s">
        <v>296</v>
      </c>
      <c r="D8022" s="111" t="str">
        <f t="shared" ref="D8022:E8022" si="8020">TRIM(B8022)</f>
        <v>Minnesota</v>
      </c>
      <c r="E8022" s="111" t="str">
        <f t="shared" si="8020"/>
        <v>Northfield</v>
      </c>
    </row>
    <row r="8023" spans="1:5">
      <c r="A8023" s="3" t="s">
        <v>18125</v>
      </c>
      <c r="B8023" s="110" t="s">
        <v>1345</v>
      </c>
      <c r="C8023" s="111" t="s">
        <v>296</v>
      </c>
      <c r="D8023" s="111" t="str">
        <f t="shared" ref="D8023:E8023" si="8021">TRIM(B8023)</f>
        <v>Minnesota</v>
      </c>
      <c r="E8023" s="111" t="str">
        <f t="shared" si="8021"/>
        <v>Northfield</v>
      </c>
    </row>
    <row r="8024" spans="1:5">
      <c r="A8024" s="110" t="s">
        <v>18126</v>
      </c>
      <c r="B8024" s="110" t="s">
        <v>1345</v>
      </c>
      <c r="C8024" s="111" t="s">
        <v>18127</v>
      </c>
      <c r="D8024" s="111" t="str">
        <f t="shared" ref="D8024:E8024" si="8022">TRIM(B8024)</f>
        <v>Minnesota</v>
      </c>
      <c r="E8024" s="111" t="str">
        <f t="shared" si="8022"/>
        <v>Northome</v>
      </c>
    </row>
    <row r="8025" spans="1:5">
      <c r="A8025" s="3" t="s">
        <v>18128</v>
      </c>
      <c r="B8025" s="110" t="s">
        <v>1345</v>
      </c>
      <c r="C8025" s="113" t="s">
        <v>18129</v>
      </c>
      <c r="D8025" s="111" t="str">
        <f t="shared" ref="D8025:E8025" si="8023">TRIM(B8025)</f>
        <v>Minnesota</v>
      </c>
      <c r="E8025" s="111" t="str">
        <f t="shared" si="8023"/>
        <v>Norwood Young America</v>
      </c>
    </row>
    <row r="8026" spans="1:5">
      <c r="A8026" s="3" t="s">
        <v>18130</v>
      </c>
      <c r="B8026" s="110" t="s">
        <v>1345</v>
      </c>
      <c r="C8026" s="111" t="s">
        <v>6119</v>
      </c>
      <c r="D8026" s="111" t="str">
        <f t="shared" ref="D8026:E8026" si="8024">TRIM(B8026)</f>
        <v>Minnesota</v>
      </c>
      <c r="E8026" s="111" t="str">
        <f t="shared" si="8024"/>
        <v>Oakdale</v>
      </c>
    </row>
    <row r="8027" spans="1:5">
      <c r="A8027" s="110" t="s">
        <v>18131</v>
      </c>
      <c r="B8027" s="110" t="s">
        <v>1345</v>
      </c>
      <c r="C8027" s="111" t="s">
        <v>18132</v>
      </c>
      <c r="D8027" s="111" t="str">
        <f t="shared" ref="D8027:E8027" si="8025">TRIM(B8027)</f>
        <v>Minnesota</v>
      </c>
      <c r="E8027" s="111" t="str">
        <f t="shared" si="8025"/>
        <v>Ogilvie</v>
      </c>
    </row>
    <row r="8028" spans="1:5">
      <c r="A8028" s="110" t="s">
        <v>18133</v>
      </c>
      <c r="B8028" s="110" t="s">
        <v>1345</v>
      </c>
      <c r="C8028" s="111" t="s">
        <v>18134</v>
      </c>
      <c r="D8028" s="111" t="str">
        <f t="shared" ref="D8028:E8028" si="8026">TRIM(B8028)</f>
        <v>Minnesota</v>
      </c>
      <c r="E8028" s="111" t="str">
        <f t="shared" si="8026"/>
        <v>Okabena</v>
      </c>
    </row>
    <row r="8029" spans="1:5">
      <c r="A8029" s="3" t="s">
        <v>18135</v>
      </c>
      <c r="B8029" s="110" t="s">
        <v>1345</v>
      </c>
      <c r="C8029" s="111" t="s">
        <v>18136</v>
      </c>
      <c r="D8029" s="111" t="str">
        <f t="shared" ref="D8029:E8029" si="8027">TRIM(B8029)</f>
        <v>Minnesota</v>
      </c>
      <c r="E8029" s="111" t="str">
        <f t="shared" si="8027"/>
        <v>Oklee</v>
      </c>
    </row>
    <row r="8030" spans="1:5">
      <c r="A8030" s="3" t="s">
        <v>18137</v>
      </c>
      <c r="B8030" s="110" t="s">
        <v>1345</v>
      </c>
      <c r="C8030" s="111" t="s">
        <v>18138</v>
      </c>
      <c r="D8030" s="111" t="str">
        <f t="shared" ref="D8030:E8030" si="8028">TRIM(B8030)</f>
        <v>Minnesota</v>
      </c>
      <c r="E8030" s="111" t="str">
        <f t="shared" si="8028"/>
        <v>Olivia</v>
      </c>
    </row>
    <row r="8031" spans="1:5">
      <c r="A8031" s="3" t="s">
        <v>18139</v>
      </c>
      <c r="B8031" s="110" t="s">
        <v>1345</v>
      </c>
      <c r="C8031" s="111" t="s">
        <v>18140</v>
      </c>
      <c r="D8031" s="111" t="str">
        <f t="shared" ref="D8031:E8031" si="8029">TRIM(B8031)</f>
        <v>Minnesota</v>
      </c>
      <c r="E8031" s="111" t="str">
        <f t="shared" si="8029"/>
        <v>Onamia</v>
      </c>
    </row>
    <row r="8032" spans="1:5">
      <c r="A8032" s="110" t="s">
        <v>18141</v>
      </c>
      <c r="B8032" s="110" t="s">
        <v>1345</v>
      </c>
      <c r="C8032" s="111" t="s">
        <v>17483</v>
      </c>
      <c r="D8032" s="111" t="str">
        <f t="shared" ref="D8032:E8032" si="8030">TRIM(B8032)</f>
        <v>Minnesota</v>
      </c>
      <c r="E8032" s="111" t="str">
        <f t="shared" si="8030"/>
        <v>Ortonville</v>
      </c>
    </row>
    <row r="8033" spans="1:5">
      <c r="A8033" s="110" t="s">
        <v>18142</v>
      </c>
      <c r="B8033" s="110" t="s">
        <v>1345</v>
      </c>
      <c r="C8033" s="111" t="s">
        <v>18143</v>
      </c>
      <c r="D8033" s="111" t="str">
        <f t="shared" ref="D8033:E8033" si="8031">TRIM(B8033)</f>
        <v>Minnesota</v>
      </c>
      <c r="E8033" s="111" t="str">
        <f t="shared" si="8031"/>
        <v>Osakis</v>
      </c>
    </row>
    <row r="8034" spans="1:5">
      <c r="A8034" s="3" t="s">
        <v>18144</v>
      </c>
      <c r="B8034" s="110" t="s">
        <v>1345</v>
      </c>
      <c r="C8034" s="111" t="s">
        <v>371</v>
      </c>
      <c r="D8034" s="111" t="str">
        <f t="shared" ref="D8034:E8034" si="8032">TRIM(B8034)</f>
        <v>Minnesota</v>
      </c>
      <c r="E8034" s="111" t="str">
        <f t="shared" si="8032"/>
        <v>Osseo</v>
      </c>
    </row>
    <row r="8035" spans="1:5">
      <c r="A8035" s="3" t="s">
        <v>18145</v>
      </c>
      <c r="B8035" s="110" t="s">
        <v>1345</v>
      </c>
      <c r="C8035" s="111" t="s">
        <v>17489</v>
      </c>
      <c r="D8035" s="111" t="str">
        <f t="shared" ref="D8035:E8035" si="8033">TRIM(B8035)</f>
        <v>Minnesota</v>
      </c>
      <c r="E8035" s="111" t="str">
        <f t="shared" si="8033"/>
        <v>Otsego</v>
      </c>
    </row>
    <row r="8036" spans="1:5">
      <c r="A8036" s="3" t="s">
        <v>18146</v>
      </c>
      <c r="B8036" s="110" t="s">
        <v>1345</v>
      </c>
      <c r="C8036" s="111" t="s">
        <v>18147</v>
      </c>
      <c r="D8036" s="111" t="str">
        <f t="shared" ref="D8036:E8036" si="8034">TRIM(B8036)</f>
        <v>Minnesota</v>
      </c>
      <c r="E8036" s="111" t="str">
        <f t="shared" si="8034"/>
        <v>Owatonna</v>
      </c>
    </row>
    <row r="8037" spans="1:5">
      <c r="A8037" s="3" t="s">
        <v>18148</v>
      </c>
      <c r="B8037" s="110" t="s">
        <v>1345</v>
      </c>
      <c r="C8037" s="111" t="s">
        <v>18147</v>
      </c>
      <c r="D8037" s="111" t="str">
        <f t="shared" ref="D8037:E8037" si="8035">TRIM(B8037)</f>
        <v>Minnesota</v>
      </c>
      <c r="E8037" s="111" t="str">
        <f t="shared" si="8035"/>
        <v>Owatonna</v>
      </c>
    </row>
    <row r="8038" spans="1:5">
      <c r="A8038" s="3" t="s">
        <v>18149</v>
      </c>
      <c r="B8038" s="110" t="s">
        <v>1345</v>
      </c>
      <c r="C8038" s="111" t="s">
        <v>18150</v>
      </c>
      <c r="D8038" s="111" t="str">
        <f t="shared" ref="D8038:E8038" si="8036">TRIM(B8038)</f>
        <v>Minnesota</v>
      </c>
      <c r="E8038" s="111" t="str">
        <f t="shared" si="8036"/>
        <v>Park Rapids</v>
      </c>
    </row>
    <row r="8039" spans="1:5">
      <c r="A8039" s="110" t="s">
        <v>18151</v>
      </c>
      <c r="B8039" s="110" t="s">
        <v>1345</v>
      </c>
      <c r="C8039" s="111" t="s">
        <v>18152</v>
      </c>
      <c r="D8039" s="111" t="str">
        <f t="shared" ref="D8039:E8039" si="8037">TRIM(B8039)</f>
        <v>Minnesota</v>
      </c>
      <c r="E8039" s="111" t="str">
        <f t="shared" si="8037"/>
        <v>Parkers Prairie</v>
      </c>
    </row>
    <row r="8040" spans="1:5">
      <c r="A8040" s="3" t="s">
        <v>18153</v>
      </c>
      <c r="B8040" s="110" t="s">
        <v>1345</v>
      </c>
      <c r="C8040" s="111" t="s">
        <v>18154</v>
      </c>
      <c r="D8040" s="111" t="str">
        <f t="shared" ref="D8040:E8040" si="8038">TRIM(B8040)</f>
        <v>Minnesota</v>
      </c>
      <c r="E8040" s="111" t="str">
        <f t="shared" si="8038"/>
        <v>Paynesville</v>
      </c>
    </row>
    <row r="8041" spans="1:5">
      <c r="A8041" s="110" t="s">
        <v>18155</v>
      </c>
      <c r="B8041" s="110" t="s">
        <v>1345</v>
      </c>
      <c r="C8041" s="111" t="s">
        <v>18156</v>
      </c>
      <c r="D8041" s="111" t="str">
        <f t="shared" ref="D8041:E8041" si="8039">TRIM(B8041)</f>
        <v>Minnesota</v>
      </c>
      <c r="E8041" s="111" t="str">
        <f t="shared" si="8039"/>
        <v>Pelican Rapids</v>
      </c>
    </row>
    <row r="8042" spans="1:5">
      <c r="A8042" s="3" t="s">
        <v>18157</v>
      </c>
      <c r="B8042" s="110" t="s">
        <v>1345</v>
      </c>
      <c r="C8042" s="111" t="s">
        <v>18158</v>
      </c>
      <c r="D8042" s="111" t="str">
        <f t="shared" ref="D8042:E8042" si="8040">TRIM(B8042)</f>
        <v>Minnesota</v>
      </c>
      <c r="E8042" s="111" t="str">
        <f t="shared" si="8040"/>
        <v>Pequot Lakes</v>
      </c>
    </row>
    <row r="8043" spans="1:5">
      <c r="A8043" s="3" t="s">
        <v>18159</v>
      </c>
      <c r="B8043" s="110" t="s">
        <v>1345</v>
      </c>
      <c r="C8043" s="111" t="s">
        <v>4194</v>
      </c>
      <c r="D8043" s="111" t="str">
        <f t="shared" ref="D8043:E8043" si="8041">TRIM(B8043)</f>
        <v>Minnesota</v>
      </c>
      <c r="E8043" s="111" t="str">
        <f t="shared" si="8041"/>
        <v>Perham</v>
      </c>
    </row>
    <row r="8044" spans="1:5">
      <c r="A8044" s="110" t="s">
        <v>18160</v>
      </c>
      <c r="B8044" s="110" t="s">
        <v>1345</v>
      </c>
      <c r="C8044" s="111" t="s">
        <v>18161</v>
      </c>
      <c r="D8044" s="111" t="str">
        <f t="shared" ref="D8044:E8044" si="8042">TRIM(B8044)</f>
        <v>Minnesota</v>
      </c>
      <c r="E8044" s="111" t="str">
        <f t="shared" si="8042"/>
        <v>Pierz</v>
      </c>
    </row>
    <row r="8045" spans="1:5">
      <c r="A8045" s="110" t="s">
        <v>18162</v>
      </c>
      <c r="B8045" s="110" t="s">
        <v>1345</v>
      </c>
      <c r="C8045" s="111" t="s">
        <v>18163</v>
      </c>
      <c r="D8045" s="111" t="str">
        <f t="shared" ref="D8045:E8045" si="8043">TRIM(B8045)</f>
        <v>Minnesota</v>
      </c>
      <c r="E8045" s="111" t="str">
        <f t="shared" si="8043"/>
        <v>Pillager</v>
      </c>
    </row>
    <row r="8046" spans="1:5">
      <c r="A8046" s="3" t="s">
        <v>18164</v>
      </c>
      <c r="B8046" s="110" t="s">
        <v>1345</v>
      </c>
      <c r="C8046" s="111" t="s">
        <v>18163</v>
      </c>
      <c r="D8046" s="111" t="str">
        <f t="shared" ref="D8046:E8046" si="8044">TRIM(B8046)</f>
        <v>Minnesota</v>
      </c>
      <c r="E8046" s="111" t="str">
        <f t="shared" si="8044"/>
        <v>Pillager</v>
      </c>
    </row>
    <row r="8047" spans="1:5">
      <c r="A8047" s="110" t="s">
        <v>18165</v>
      </c>
      <c r="B8047" s="110" t="s">
        <v>1345</v>
      </c>
      <c r="C8047" s="111" t="s">
        <v>18166</v>
      </c>
      <c r="D8047" s="111" t="str">
        <f t="shared" ref="D8047:E8047" si="8045">TRIM(B8047)</f>
        <v>Minnesota</v>
      </c>
      <c r="E8047" s="111" t="str">
        <f t="shared" si="8045"/>
        <v>Pine City</v>
      </c>
    </row>
    <row r="8048" spans="1:5">
      <c r="A8048" s="110" t="s">
        <v>18167</v>
      </c>
      <c r="B8048" s="110" t="s">
        <v>1345</v>
      </c>
      <c r="C8048" s="111" t="s">
        <v>18168</v>
      </c>
      <c r="D8048" s="111" t="str">
        <f t="shared" ref="D8048:E8048" si="8046">TRIM(B8048)</f>
        <v>Minnesota</v>
      </c>
      <c r="E8048" s="111" t="str">
        <f t="shared" si="8046"/>
        <v>Pine Island</v>
      </c>
    </row>
    <row r="8049" spans="1:5">
      <c r="A8049" s="3" t="s">
        <v>18169</v>
      </c>
      <c r="B8049" s="110" t="s">
        <v>1345</v>
      </c>
      <c r="C8049" s="111" t="s">
        <v>18170</v>
      </c>
      <c r="D8049" s="111" t="str">
        <f t="shared" ref="D8049:E8049" si="8047">TRIM(B8049)</f>
        <v>Minnesota</v>
      </c>
      <c r="E8049" s="111" t="str">
        <f t="shared" si="8047"/>
        <v>Pine River</v>
      </c>
    </row>
    <row r="8050" spans="1:5">
      <c r="A8050" s="3" t="s">
        <v>18171</v>
      </c>
      <c r="B8050" s="110" t="s">
        <v>1345</v>
      </c>
      <c r="C8050" s="111" t="s">
        <v>18172</v>
      </c>
      <c r="D8050" s="111" t="str">
        <f t="shared" ref="D8050:E8050" si="8048">TRIM(B8050)</f>
        <v>Minnesota</v>
      </c>
      <c r="E8050" s="111" t="str">
        <f t="shared" si="8048"/>
        <v>Pipestone</v>
      </c>
    </row>
    <row r="8051" spans="1:5">
      <c r="A8051" s="3" t="s">
        <v>18173</v>
      </c>
      <c r="B8051" s="110" t="s">
        <v>1345</v>
      </c>
      <c r="C8051" s="111" t="s">
        <v>18174</v>
      </c>
      <c r="D8051" s="111" t="str">
        <f t="shared" ref="D8051:E8051" si="8049">TRIM(B8051)</f>
        <v>Minnesota</v>
      </c>
      <c r="E8051" s="111" t="str">
        <f t="shared" si="8049"/>
        <v>Plainview</v>
      </c>
    </row>
    <row r="8052" spans="1:5">
      <c r="A8052" s="110" t="s">
        <v>18175</v>
      </c>
      <c r="B8052" s="110" t="s">
        <v>1345</v>
      </c>
      <c r="C8052" s="111" t="s">
        <v>11518</v>
      </c>
      <c r="D8052" s="111" t="str">
        <f t="shared" ref="D8052:E8052" si="8050">TRIM(B8052)</f>
        <v>Minnesota</v>
      </c>
      <c r="E8052" s="111" t="str">
        <f t="shared" si="8050"/>
        <v>Plymouth</v>
      </c>
    </row>
    <row r="8053" spans="1:5">
      <c r="A8053" s="110" t="s">
        <v>18176</v>
      </c>
      <c r="B8053" s="110" t="s">
        <v>1345</v>
      </c>
      <c r="C8053" s="111" t="s">
        <v>11518</v>
      </c>
      <c r="D8053" s="111" t="str">
        <f t="shared" ref="D8053:E8053" si="8051">TRIM(B8053)</f>
        <v>Minnesota</v>
      </c>
      <c r="E8053" s="111" t="str">
        <f t="shared" si="8051"/>
        <v>Plymouth</v>
      </c>
    </row>
    <row r="8054" spans="1:5">
      <c r="A8054" s="3" t="s">
        <v>18177</v>
      </c>
      <c r="B8054" s="110" t="s">
        <v>1345</v>
      </c>
      <c r="C8054" s="111" t="s">
        <v>11518</v>
      </c>
      <c r="D8054" s="111" t="str">
        <f t="shared" ref="D8054:E8054" si="8052">TRIM(B8054)</f>
        <v>Minnesota</v>
      </c>
      <c r="E8054" s="111" t="str">
        <f t="shared" si="8052"/>
        <v>Plymouth</v>
      </c>
    </row>
    <row r="8055" spans="1:5">
      <c r="A8055" s="3" t="s">
        <v>18178</v>
      </c>
      <c r="B8055" s="110" t="s">
        <v>1345</v>
      </c>
      <c r="C8055" s="111" t="s">
        <v>11518</v>
      </c>
      <c r="D8055" s="111" t="str">
        <f t="shared" ref="D8055:E8055" si="8053">TRIM(B8055)</f>
        <v>Minnesota</v>
      </c>
      <c r="E8055" s="111" t="str">
        <f t="shared" si="8053"/>
        <v>Plymouth</v>
      </c>
    </row>
    <row r="8056" spans="1:5">
      <c r="A8056" s="3" t="s">
        <v>13665</v>
      </c>
      <c r="B8056" s="110" t="s">
        <v>1345</v>
      </c>
      <c r="C8056" s="111" t="s">
        <v>6448</v>
      </c>
      <c r="D8056" s="111" t="str">
        <f t="shared" ref="D8056:E8056" si="8054">TRIM(B8056)</f>
        <v>Minnesota</v>
      </c>
      <c r="E8056" s="111" t="str">
        <f t="shared" si="8054"/>
        <v>Princeton</v>
      </c>
    </row>
    <row r="8057" spans="1:5">
      <c r="A8057" s="3" t="s">
        <v>18179</v>
      </c>
      <c r="B8057" s="110" t="s">
        <v>1345</v>
      </c>
      <c r="C8057" s="111" t="s">
        <v>6448</v>
      </c>
      <c r="D8057" s="111" t="str">
        <f t="shared" ref="D8057:E8057" si="8055">TRIM(B8057)</f>
        <v>Minnesota</v>
      </c>
      <c r="E8057" s="111" t="str">
        <f t="shared" si="8055"/>
        <v>Princeton</v>
      </c>
    </row>
    <row r="8058" spans="1:5">
      <c r="A8058" s="3" t="s">
        <v>18180</v>
      </c>
      <c r="B8058" s="110" t="s">
        <v>1345</v>
      </c>
      <c r="C8058" s="111" t="s">
        <v>18181</v>
      </c>
      <c r="D8058" s="111" t="str">
        <f t="shared" ref="D8058:E8058" si="8056">TRIM(B8058)</f>
        <v>Minnesota</v>
      </c>
      <c r="E8058" s="111" t="str">
        <f t="shared" si="8056"/>
        <v>Proctor</v>
      </c>
    </row>
    <row r="8059" spans="1:5">
      <c r="A8059" s="110" t="s">
        <v>18182</v>
      </c>
      <c r="B8059" s="110" t="s">
        <v>1345</v>
      </c>
      <c r="C8059" s="111" t="s">
        <v>280</v>
      </c>
      <c r="D8059" s="111" t="str">
        <f t="shared" ref="D8059:E8059" si="8057">TRIM(B8059)</f>
        <v>Minnesota</v>
      </c>
      <c r="E8059" s="111" t="str">
        <f t="shared" si="8057"/>
        <v>Ramsey</v>
      </c>
    </row>
    <row r="8060" spans="1:5">
      <c r="A8060" s="110" t="s">
        <v>18183</v>
      </c>
      <c r="B8060" s="110" t="s">
        <v>1345</v>
      </c>
      <c r="C8060" s="111" t="s">
        <v>15476</v>
      </c>
      <c r="D8060" s="111" t="str">
        <f t="shared" ref="D8060:E8060" si="8058">TRIM(B8060)</f>
        <v>Minnesota</v>
      </c>
      <c r="E8060" s="111" t="str">
        <f t="shared" si="8058"/>
        <v>Randolph</v>
      </c>
    </row>
    <row r="8061" spans="1:5">
      <c r="A8061" s="110" t="s">
        <v>18184</v>
      </c>
      <c r="B8061" s="110" t="s">
        <v>1345</v>
      </c>
      <c r="C8061" s="111" t="s">
        <v>18185</v>
      </c>
      <c r="D8061" s="111" t="str">
        <f t="shared" ref="D8061:E8061" si="8059">TRIM(B8061)</f>
        <v>Minnesota</v>
      </c>
      <c r="E8061" s="111" t="str">
        <f t="shared" si="8059"/>
        <v>Red Lake</v>
      </c>
    </row>
    <row r="8062" spans="1:5">
      <c r="A8062" s="110" t="s">
        <v>18186</v>
      </c>
      <c r="B8062" s="110" t="s">
        <v>1345</v>
      </c>
      <c r="C8062" s="111" t="s">
        <v>18187</v>
      </c>
      <c r="D8062" s="111" t="str">
        <f t="shared" ref="D8062:E8062" si="8060">TRIM(B8062)</f>
        <v>Minnesota</v>
      </c>
      <c r="E8062" s="111" t="str">
        <f t="shared" si="8060"/>
        <v>Red Lake Falls</v>
      </c>
    </row>
    <row r="8063" spans="1:5">
      <c r="A8063" s="3" t="s">
        <v>18188</v>
      </c>
      <c r="B8063" s="110" t="s">
        <v>1345</v>
      </c>
      <c r="C8063" s="111" t="s">
        <v>18189</v>
      </c>
      <c r="D8063" s="111" t="str">
        <f t="shared" ref="D8063:E8063" si="8061">TRIM(B8063)</f>
        <v>Minnesota</v>
      </c>
      <c r="E8063" s="111" t="str">
        <f t="shared" si="8061"/>
        <v>Red Wing</v>
      </c>
    </row>
    <row r="8064" spans="1:5">
      <c r="A8064" s="3" t="s">
        <v>18190</v>
      </c>
      <c r="B8064" s="110" t="s">
        <v>1345</v>
      </c>
      <c r="C8064" s="111" t="s">
        <v>18191</v>
      </c>
      <c r="D8064" s="111" t="str">
        <f t="shared" ref="D8064:E8064" si="8062">TRIM(B8064)</f>
        <v>Minnesota</v>
      </c>
      <c r="E8064" s="111" t="str">
        <f t="shared" si="8062"/>
        <v>Redwood Falls</v>
      </c>
    </row>
    <row r="8065" spans="1:5">
      <c r="A8065" s="110" t="s">
        <v>18192</v>
      </c>
      <c r="B8065" s="110" t="s">
        <v>1345</v>
      </c>
      <c r="C8065" s="111" t="s">
        <v>18193</v>
      </c>
      <c r="D8065" s="111" t="str">
        <f t="shared" ref="D8065:E8065" si="8063">TRIM(B8065)</f>
        <v>Minnesota</v>
      </c>
      <c r="E8065" s="111" t="str">
        <f t="shared" si="8063"/>
        <v>Remer</v>
      </c>
    </row>
    <row r="8066" spans="1:5">
      <c r="A8066" s="3" t="s">
        <v>18194</v>
      </c>
      <c r="B8066" s="110" t="s">
        <v>1345</v>
      </c>
      <c r="C8066" s="111" t="s">
        <v>18195</v>
      </c>
      <c r="D8066" s="111" t="str">
        <f t="shared" ref="D8066:E8066" si="8064">TRIM(B8066)</f>
        <v>Minnesota</v>
      </c>
      <c r="E8066" s="111" t="str">
        <f t="shared" si="8064"/>
        <v>Renville</v>
      </c>
    </row>
    <row r="8067" spans="1:5">
      <c r="A8067" s="3" t="s">
        <v>18196</v>
      </c>
      <c r="B8067" s="110" t="s">
        <v>1345</v>
      </c>
      <c r="C8067" s="111" t="s">
        <v>12859</v>
      </c>
      <c r="D8067" s="111" t="str">
        <f t="shared" ref="D8067:E8067" si="8065">TRIM(B8067)</f>
        <v>Minnesota</v>
      </c>
      <c r="E8067" s="111" t="str">
        <f t="shared" si="8065"/>
        <v>Richfield</v>
      </c>
    </row>
    <row r="8068" spans="1:5">
      <c r="A8068" s="3" t="s">
        <v>18197</v>
      </c>
      <c r="B8068" s="110" t="s">
        <v>1345</v>
      </c>
      <c r="C8068" s="111" t="s">
        <v>12859</v>
      </c>
      <c r="D8068" s="111" t="str">
        <f t="shared" ref="D8068:E8068" si="8066">TRIM(B8068)</f>
        <v>Minnesota</v>
      </c>
      <c r="E8068" s="111" t="str">
        <f t="shared" si="8066"/>
        <v>Richfield</v>
      </c>
    </row>
    <row r="8069" spans="1:5">
      <c r="A8069" s="3" t="s">
        <v>18198</v>
      </c>
      <c r="B8069" s="110" t="s">
        <v>1345</v>
      </c>
      <c r="C8069" s="111" t="s">
        <v>11566</v>
      </c>
      <c r="D8069" s="111" t="str">
        <f t="shared" ref="D8069:E8069" si="8067">TRIM(B8069)</f>
        <v>Minnesota</v>
      </c>
      <c r="E8069" s="111" t="str">
        <f t="shared" si="8067"/>
        <v>Rochester</v>
      </c>
    </row>
    <row r="8070" spans="1:5">
      <c r="A8070" s="3" t="s">
        <v>5737</v>
      </c>
      <c r="B8070" s="110" t="s">
        <v>1345</v>
      </c>
      <c r="C8070" s="111" t="s">
        <v>11566</v>
      </c>
      <c r="D8070" s="111" t="str">
        <f t="shared" ref="D8070:E8070" si="8068">TRIM(B8070)</f>
        <v>Minnesota</v>
      </c>
      <c r="E8070" s="111" t="str">
        <f t="shared" si="8068"/>
        <v>Rochester</v>
      </c>
    </row>
    <row r="8071" spans="1:5">
      <c r="A8071" s="3" t="s">
        <v>18199</v>
      </c>
      <c r="B8071" s="110" t="s">
        <v>1345</v>
      </c>
      <c r="C8071" s="111" t="s">
        <v>11566</v>
      </c>
      <c r="D8071" s="111" t="str">
        <f t="shared" ref="D8071:E8071" si="8069">TRIM(B8071)</f>
        <v>Minnesota</v>
      </c>
      <c r="E8071" s="111" t="str">
        <f t="shared" si="8069"/>
        <v>Rochester</v>
      </c>
    </row>
    <row r="8072" spans="1:5">
      <c r="A8072" s="3" t="s">
        <v>18200</v>
      </c>
      <c r="B8072" s="110" t="s">
        <v>1345</v>
      </c>
      <c r="C8072" s="111" t="s">
        <v>11566</v>
      </c>
      <c r="D8072" s="111" t="str">
        <f t="shared" ref="D8072:E8072" si="8070">TRIM(B8072)</f>
        <v>Minnesota</v>
      </c>
      <c r="E8072" s="111" t="str">
        <f t="shared" si="8070"/>
        <v>Rochester</v>
      </c>
    </row>
    <row r="8073" spans="1:5">
      <c r="A8073" s="3" t="s">
        <v>18201</v>
      </c>
      <c r="B8073" s="110" t="s">
        <v>1345</v>
      </c>
      <c r="C8073" s="112" t="s">
        <v>11566</v>
      </c>
      <c r="D8073" s="111" t="str">
        <f t="shared" ref="D8073:E8073" si="8071">TRIM(B8073)</f>
        <v>Minnesota</v>
      </c>
      <c r="E8073" s="111" t="str">
        <f t="shared" si="8071"/>
        <v>Rochester</v>
      </c>
    </row>
    <row r="8074" spans="1:5">
      <c r="A8074" s="3" t="s">
        <v>18202</v>
      </c>
      <c r="B8074" s="110" t="s">
        <v>1345</v>
      </c>
      <c r="C8074" s="111" t="s">
        <v>11566</v>
      </c>
      <c r="D8074" s="111" t="str">
        <f t="shared" ref="D8074:E8074" si="8072">TRIM(B8074)</f>
        <v>Minnesota</v>
      </c>
      <c r="E8074" s="111" t="str">
        <f t="shared" si="8072"/>
        <v>Rochester</v>
      </c>
    </row>
    <row r="8075" spans="1:5">
      <c r="A8075" s="110" t="s">
        <v>18203</v>
      </c>
      <c r="B8075" s="110" t="s">
        <v>1345</v>
      </c>
      <c r="C8075" s="111" t="s">
        <v>2134</v>
      </c>
      <c r="D8075" s="111" t="str">
        <f t="shared" ref="D8075:E8075" si="8073">TRIM(B8075)</f>
        <v>Minnesota</v>
      </c>
      <c r="E8075" s="111" t="str">
        <f t="shared" si="8073"/>
        <v>Rockford</v>
      </c>
    </row>
    <row r="8076" spans="1:5">
      <c r="A8076" s="3" t="s">
        <v>18204</v>
      </c>
      <c r="B8076" s="110" t="s">
        <v>1345</v>
      </c>
      <c r="C8076" s="111" t="s">
        <v>3136</v>
      </c>
      <c r="D8076" s="111" t="str">
        <f t="shared" ref="D8076:E8076" si="8074">TRIM(B8076)</f>
        <v>Minnesota</v>
      </c>
      <c r="E8076" s="111" t="str">
        <f t="shared" si="8074"/>
        <v>Rogers</v>
      </c>
    </row>
    <row r="8077" spans="1:5">
      <c r="A8077" s="110" t="s">
        <v>18205</v>
      </c>
      <c r="B8077" s="110" t="s">
        <v>1345</v>
      </c>
      <c r="C8077" s="111" t="s">
        <v>18206</v>
      </c>
      <c r="D8077" s="111" t="str">
        <f t="shared" ref="D8077:E8077" si="8075">TRIM(B8077)</f>
        <v>Minnesota</v>
      </c>
      <c r="E8077" s="111" t="str">
        <f t="shared" si="8075"/>
        <v>Roseau</v>
      </c>
    </row>
    <row r="8078" spans="1:5">
      <c r="A8078" s="3" t="s">
        <v>18207</v>
      </c>
      <c r="B8078" s="110" t="s">
        <v>1345</v>
      </c>
      <c r="C8078" s="111" t="s">
        <v>18208</v>
      </c>
      <c r="D8078" s="111" t="str">
        <f t="shared" ref="D8078:E8078" si="8076">TRIM(B8078)</f>
        <v>Minnesota</v>
      </c>
      <c r="E8078" s="111" t="str">
        <f t="shared" si="8076"/>
        <v>Rosemount</v>
      </c>
    </row>
    <row r="8079" spans="1:5">
      <c r="A8079" s="3" t="s">
        <v>18209</v>
      </c>
      <c r="B8079" s="110" t="s">
        <v>1345</v>
      </c>
      <c r="C8079" s="111" t="s">
        <v>6602</v>
      </c>
      <c r="D8079" s="111" t="str">
        <f t="shared" ref="D8079:E8079" si="8077">TRIM(B8079)</f>
        <v>Minnesota</v>
      </c>
      <c r="E8079" s="111" t="str">
        <f t="shared" si="8077"/>
        <v>Roseville</v>
      </c>
    </row>
    <row r="8080" spans="1:5">
      <c r="A8080" s="3" t="s">
        <v>18210</v>
      </c>
      <c r="B8080" s="110" t="s">
        <v>1345</v>
      </c>
      <c r="C8080" s="111" t="s">
        <v>18211</v>
      </c>
      <c r="D8080" s="111" t="str">
        <f t="shared" ref="D8080:E8080" si="8078">TRIM(B8080)</f>
        <v>Minnesota</v>
      </c>
      <c r="E8080" s="111" t="str">
        <f t="shared" si="8078"/>
        <v>Rothsay</v>
      </c>
    </row>
    <row r="8081" spans="1:5">
      <c r="A8081" s="3" t="s">
        <v>18212</v>
      </c>
      <c r="B8081" s="110" t="s">
        <v>1345</v>
      </c>
      <c r="C8081" s="111" t="s">
        <v>18213</v>
      </c>
      <c r="D8081" s="111" t="str">
        <f t="shared" ref="D8081:E8081" si="8079">TRIM(B8081)</f>
        <v>Minnesota</v>
      </c>
      <c r="E8081" s="111" t="str">
        <f t="shared" si="8079"/>
        <v>Royalton</v>
      </c>
    </row>
    <row r="8082" spans="1:5">
      <c r="A8082" s="110" t="s">
        <v>18214</v>
      </c>
      <c r="B8082" s="110" t="s">
        <v>1345</v>
      </c>
      <c r="C8082" s="111" t="s">
        <v>18215</v>
      </c>
      <c r="D8082" s="111" t="str">
        <f t="shared" ref="D8082:E8082" si="8080">TRIM(B8082)</f>
        <v>Minnesota</v>
      </c>
      <c r="E8082" s="111" t="str">
        <f t="shared" si="8080"/>
        <v>Rush City</v>
      </c>
    </row>
    <row r="8083" spans="1:5">
      <c r="A8083" s="3" t="s">
        <v>18216</v>
      </c>
      <c r="B8083" s="110" t="s">
        <v>1345</v>
      </c>
      <c r="C8083" s="111" t="s">
        <v>18217</v>
      </c>
      <c r="D8083" s="111" t="str">
        <f t="shared" ref="D8083:E8083" si="8081">TRIM(B8083)</f>
        <v>Minnesota</v>
      </c>
      <c r="E8083" s="111" t="str">
        <f t="shared" si="8081"/>
        <v>Rushford</v>
      </c>
    </row>
    <row r="8084" spans="1:5">
      <c r="A8084" s="3" t="s">
        <v>18218</v>
      </c>
      <c r="B8084" s="110" t="s">
        <v>1345</v>
      </c>
      <c r="C8084" s="111" t="s">
        <v>18219</v>
      </c>
      <c r="D8084" s="111" t="str">
        <f t="shared" ref="D8084:E8084" si="8082">TRIM(B8084)</f>
        <v>Minnesota</v>
      </c>
      <c r="E8084" s="111" t="str">
        <f t="shared" si="8082"/>
        <v>Saint Anthony</v>
      </c>
    </row>
    <row r="8085" spans="1:5">
      <c r="A8085" s="110" t="s">
        <v>18220</v>
      </c>
      <c r="B8085" s="110" t="s">
        <v>1345</v>
      </c>
      <c r="C8085" s="111" t="s">
        <v>11784</v>
      </c>
      <c r="D8085" s="111" t="str">
        <f t="shared" ref="D8085:E8085" si="8083">TRIM(B8085)</f>
        <v>Minnesota</v>
      </c>
      <c r="E8085" s="111" t="str">
        <f t="shared" si="8083"/>
        <v>Saint Charles</v>
      </c>
    </row>
    <row r="8086" spans="1:5">
      <c r="A8086" s="110" t="s">
        <v>18221</v>
      </c>
      <c r="B8086" s="110" t="s">
        <v>1345</v>
      </c>
      <c r="C8086" s="111" t="s">
        <v>17570</v>
      </c>
      <c r="D8086" s="111" t="str">
        <f t="shared" ref="D8086:E8086" si="8084">TRIM(B8086)</f>
        <v>Minnesota</v>
      </c>
      <c r="E8086" s="111" t="str">
        <f t="shared" si="8084"/>
        <v>Saint Clair</v>
      </c>
    </row>
    <row r="8087" spans="1:5">
      <c r="A8087" s="3" t="s">
        <v>18222</v>
      </c>
      <c r="B8087" s="110" t="s">
        <v>1345</v>
      </c>
      <c r="C8087" s="111" t="s">
        <v>531</v>
      </c>
      <c r="D8087" s="111" t="str">
        <f t="shared" ref="D8087:E8087" si="8085">TRIM(B8087)</f>
        <v>Minnesota</v>
      </c>
      <c r="E8087" s="111" t="str">
        <f t="shared" si="8085"/>
        <v>Saint Cloud</v>
      </c>
    </row>
    <row r="8088" spans="1:5">
      <c r="A8088" s="3" t="s">
        <v>18223</v>
      </c>
      <c r="B8088" s="110" t="s">
        <v>1345</v>
      </c>
      <c r="C8088" s="111" t="s">
        <v>531</v>
      </c>
      <c r="D8088" s="111" t="str">
        <f t="shared" ref="D8088:E8088" si="8086">TRIM(B8088)</f>
        <v>Minnesota</v>
      </c>
      <c r="E8088" s="111" t="str">
        <f t="shared" si="8086"/>
        <v>Saint Cloud</v>
      </c>
    </row>
    <row r="8089" spans="1:5">
      <c r="A8089" s="3" t="s">
        <v>18224</v>
      </c>
      <c r="B8089" s="110" t="s">
        <v>1345</v>
      </c>
      <c r="C8089" s="111" t="s">
        <v>18225</v>
      </c>
      <c r="D8089" s="111" t="str">
        <f t="shared" ref="D8089:E8089" si="8087">TRIM(B8089)</f>
        <v>Minnesota</v>
      </c>
      <c r="E8089" s="111" t="str">
        <f t="shared" si="8087"/>
        <v>Saint Francis</v>
      </c>
    </row>
    <row r="8090" spans="1:5">
      <c r="A8090" s="3" t="s">
        <v>18226</v>
      </c>
      <c r="B8090" s="110" t="s">
        <v>1345</v>
      </c>
      <c r="C8090" s="111" t="s">
        <v>12534</v>
      </c>
      <c r="D8090" s="111" t="str">
        <f t="shared" ref="D8090:E8090" si="8088">TRIM(B8090)</f>
        <v>Minnesota</v>
      </c>
      <c r="E8090" s="111" t="str">
        <f t="shared" si="8088"/>
        <v>Saint James</v>
      </c>
    </row>
    <row r="8091" spans="1:5">
      <c r="A8091" s="3" t="s">
        <v>18227</v>
      </c>
      <c r="B8091" s="110" t="s">
        <v>1345</v>
      </c>
      <c r="C8091" s="111" t="s">
        <v>18228</v>
      </c>
      <c r="D8091" s="111" t="str">
        <f t="shared" ref="D8091:E8091" si="8089">TRIM(B8091)</f>
        <v>Minnesota</v>
      </c>
      <c r="E8091" s="111" t="str">
        <f t="shared" si="8089"/>
        <v>Saint Louis Park</v>
      </c>
    </row>
    <row r="8092" spans="1:5">
      <c r="A8092" s="3" t="s">
        <v>18229</v>
      </c>
      <c r="B8092" s="110" t="s">
        <v>1345</v>
      </c>
      <c r="C8092" s="111" t="s">
        <v>18230</v>
      </c>
      <c r="D8092" s="111" t="str">
        <f t="shared" ref="D8092:E8092" si="8090">TRIM(B8092)</f>
        <v>Minnesota</v>
      </c>
      <c r="E8092" s="111" t="str">
        <f t="shared" si="8090"/>
        <v>Saint Michael</v>
      </c>
    </row>
    <row r="8093" spans="1:5">
      <c r="A8093" s="110" t="s">
        <v>11050</v>
      </c>
      <c r="B8093" s="110" t="s">
        <v>1345</v>
      </c>
      <c r="C8093" s="111" t="s">
        <v>387</v>
      </c>
      <c r="D8093" s="111" t="str">
        <f t="shared" ref="D8093:E8093" si="8091">TRIM(B8093)</f>
        <v>Minnesota</v>
      </c>
      <c r="E8093" s="111" t="str">
        <f t="shared" si="8091"/>
        <v>Saint Paul</v>
      </c>
    </row>
    <row r="8094" spans="1:5">
      <c r="A8094" s="110" t="s">
        <v>18231</v>
      </c>
      <c r="B8094" s="110" t="s">
        <v>1345</v>
      </c>
      <c r="C8094" s="111" t="s">
        <v>387</v>
      </c>
      <c r="D8094" s="111" t="str">
        <f t="shared" ref="D8094:E8094" si="8092">TRIM(B8094)</f>
        <v>Minnesota</v>
      </c>
      <c r="E8094" s="111" t="str">
        <f t="shared" si="8092"/>
        <v>Saint Paul</v>
      </c>
    </row>
    <row r="8095" spans="1:5">
      <c r="A8095" s="3" t="s">
        <v>18128</v>
      </c>
      <c r="B8095" s="110" t="s">
        <v>1345</v>
      </c>
      <c r="C8095" s="111" t="s">
        <v>387</v>
      </c>
      <c r="D8095" s="111" t="str">
        <f t="shared" ref="D8095:E8095" si="8093">TRIM(B8095)</f>
        <v>Minnesota</v>
      </c>
      <c r="E8095" s="111" t="str">
        <f t="shared" si="8093"/>
        <v>Saint Paul</v>
      </c>
    </row>
    <row r="8096" spans="1:5">
      <c r="A8096" s="3" t="s">
        <v>18232</v>
      </c>
      <c r="B8096" s="110" t="s">
        <v>1345</v>
      </c>
      <c r="C8096" s="111" t="s">
        <v>387</v>
      </c>
      <c r="D8096" s="111" t="str">
        <f t="shared" ref="D8096:E8096" si="8094">TRIM(B8096)</f>
        <v>Minnesota</v>
      </c>
      <c r="E8096" s="111" t="str">
        <f t="shared" si="8094"/>
        <v>Saint Paul</v>
      </c>
    </row>
    <row r="8097" spans="1:5">
      <c r="A8097" s="3" t="s">
        <v>18233</v>
      </c>
      <c r="B8097" s="110" t="s">
        <v>1345</v>
      </c>
      <c r="C8097" s="111" t="s">
        <v>387</v>
      </c>
      <c r="D8097" s="111" t="str">
        <f t="shared" ref="D8097:E8097" si="8095">TRIM(B8097)</f>
        <v>Minnesota</v>
      </c>
      <c r="E8097" s="111" t="str">
        <f t="shared" si="8095"/>
        <v>Saint Paul</v>
      </c>
    </row>
    <row r="8098" spans="1:5">
      <c r="A8098" s="3" t="s">
        <v>18234</v>
      </c>
      <c r="B8098" s="110" t="s">
        <v>1345</v>
      </c>
      <c r="C8098" s="111" t="s">
        <v>387</v>
      </c>
      <c r="D8098" s="111" t="str">
        <f t="shared" ref="D8098:E8098" si="8096">TRIM(B8098)</f>
        <v>Minnesota</v>
      </c>
      <c r="E8098" s="111" t="str">
        <f t="shared" si="8096"/>
        <v>Saint Paul</v>
      </c>
    </row>
    <row r="8099" spans="1:5">
      <c r="A8099" s="110" t="s">
        <v>18235</v>
      </c>
      <c r="B8099" s="110" t="s">
        <v>1345</v>
      </c>
      <c r="C8099" s="111" t="s">
        <v>387</v>
      </c>
      <c r="D8099" s="111" t="str">
        <f t="shared" ref="D8099:E8099" si="8097">TRIM(B8099)</f>
        <v>Minnesota</v>
      </c>
      <c r="E8099" s="111" t="str">
        <f t="shared" si="8097"/>
        <v>Saint Paul</v>
      </c>
    </row>
    <row r="8100" spans="1:5">
      <c r="A8100" s="3" t="s">
        <v>18236</v>
      </c>
      <c r="B8100" s="110" t="s">
        <v>1345</v>
      </c>
      <c r="C8100" s="111" t="s">
        <v>387</v>
      </c>
      <c r="D8100" s="111" t="str">
        <f t="shared" ref="D8100:E8100" si="8098">TRIM(B8100)</f>
        <v>Minnesota</v>
      </c>
      <c r="E8100" s="111" t="str">
        <f t="shared" si="8098"/>
        <v>Saint Paul</v>
      </c>
    </row>
    <row r="8101" spans="1:5">
      <c r="A8101" s="110" t="s">
        <v>18237</v>
      </c>
      <c r="B8101" s="110" t="s">
        <v>1345</v>
      </c>
      <c r="C8101" s="111" t="s">
        <v>387</v>
      </c>
      <c r="D8101" s="111" t="str">
        <f t="shared" ref="D8101:E8101" si="8099">TRIM(B8101)</f>
        <v>Minnesota</v>
      </c>
      <c r="E8101" s="111" t="str">
        <f t="shared" si="8099"/>
        <v>Saint Paul</v>
      </c>
    </row>
    <row r="8102" spans="1:5">
      <c r="A8102" s="3" t="s">
        <v>18238</v>
      </c>
      <c r="B8102" s="110" t="s">
        <v>1345</v>
      </c>
      <c r="C8102" s="111" t="s">
        <v>387</v>
      </c>
      <c r="D8102" s="111" t="str">
        <f t="shared" ref="D8102:E8102" si="8100">TRIM(B8102)</f>
        <v>Minnesota</v>
      </c>
      <c r="E8102" s="111" t="str">
        <f t="shared" si="8100"/>
        <v>Saint Paul</v>
      </c>
    </row>
    <row r="8103" spans="1:5">
      <c r="A8103" s="3" t="s">
        <v>18239</v>
      </c>
      <c r="B8103" s="110" t="s">
        <v>1345</v>
      </c>
      <c r="C8103" s="111" t="s">
        <v>387</v>
      </c>
      <c r="D8103" s="111" t="str">
        <f t="shared" ref="D8103:E8103" si="8101">TRIM(B8103)</f>
        <v>Minnesota</v>
      </c>
      <c r="E8103" s="111" t="str">
        <f t="shared" si="8101"/>
        <v>Saint Paul</v>
      </c>
    </row>
    <row r="8104" spans="1:5">
      <c r="A8104" s="3" t="s">
        <v>18240</v>
      </c>
      <c r="B8104" s="110" t="s">
        <v>1345</v>
      </c>
      <c r="C8104" s="111" t="s">
        <v>387</v>
      </c>
      <c r="D8104" s="111" t="str">
        <f t="shared" ref="D8104:E8104" si="8102">TRIM(B8104)</f>
        <v>Minnesota</v>
      </c>
      <c r="E8104" s="111" t="str">
        <f t="shared" si="8102"/>
        <v>Saint Paul</v>
      </c>
    </row>
    <row r="8105" spans="1:5">
      <c r="A8105" s="3" t="s">
        <v>18241</v>
      </c>
      <c r="B8105" s="110" t="s">
        <v>1345</v>
      </c>
      <c r="C8105" s="111" t="s">
        <v>387</v>
      </c>
      <c r="D8105" s="111" t="str">
        <f t="shared" ref="D8105:E8105" si="8103">TRIM(B8105)</f>
        <v>Minnesota</v>
      </c>
      <c r="E8105" s="111" t="str">
        <f t="shared" si="8103"/>
        <v>Saint Paul</v>
      </c>
    </row>
    <row r="8106" spans="1:5">
      <c r="A8106" s="3" t="s">
        <v>18242</v>
      </c>
      <c r="B8106" s="110" t="s">
        <v>1345</v>
      </c>
      <c r="C8106" s="111" t="s">
        <v>387</v>
      </c>
      <c r="D8106" s="111" t="str">
        <f t="shared" ref="D8106:E8106" si="8104">TRIM(B8106)</f>
        <v>Minnesota</v>
      </c>
      <c r="E8106" s="111" t="str">
        <f t="shared" si="8104"/>
        <v>Saint Paul</v>
      </c>
    </row>
    <row r="8107" spans="1:5">
      <c r="A8107" s="3" t="s">
        <v>14877</v>
      </c>
      <c r="B8107" s="110" t="s">
        <v>1345</v>
      </c>
      <c r="C8107" s="111" t="s">
        <v>387</v>
      </c>
      <c r="D8107" s="111" t="str">
        <f t="shared" ref="D8107:E8107" si="8105">TRIM(B8107)</f>
        <v>Minnesota</v>
      </c>
      <c r="E8107" s="111" t="str">
        <f t="shared" si="8105"/>
        <v>Saint Paul</v>
      </c>
    </row>
    <row r="8108" spans="1:5">
      <c r="A8108" s="3" t="s">
        <v>18243</v>
      </c>
      <c r="B8108" s="110" t="s">
        <v>1345</v>
      </c>
      <c r="C8108" s="111" t="s">
        <v>387</v>
      </c>
      <c r="D8108" s="111" t="str">
        <f t="shared" ref="D8108:E8108" si="8106">TRIM(B8108)</f>
        <v>Minnesota</v>
      </c>
      <c r="E8108" s="111" t="str">
        <f t="shared" si="8106"/>
        <v>Saint Paul</v>
      </c>
    </row>
    <row r="8109" spans="1:5">
      <c r="A8109" s="3" t="s">
        <v>18244</v>
      </c>
      <c r="B8109" s="110" t="s">
        <v>1345</v>
      </c>
      <c r="C8109" s="111" t="s">
        <v>387</v>
      </c>
      <c r="D8109" s="111" t="str">
        <f t="shared" ref="D8109:E8109" si="8107">TRIM(B8109)</f>
        <v>Minnesota</v>
      </c>
      <c r="E8109" s="111" t="str">
        <f t="shared" si="8107"/>
        <v>Saint Paul</v>
      </c>
    </row>
    <row r="8110" spans="1:5">
      <c r="A8110" s="3" t="s">
        <v>18245</v>
      </c>
      <c r="B8110" s="110" t="s">
        <v>1345</v>
      </c>
      <c r="C8110" s="111" t="s">
        <v>387</v>
      </c>
      <c r="D8110" s="111" t="str">
        <f t="shared" ref="D8110:E8110" si="8108">TRIM(B8110)</f>
        <v>Minnesota</v>
      </c>
      <c r="E8110" s="111" t="str">
        <f t="shared" si="8108"/>
        <v>Saint Paul</v>
      </c>
    </row>
    <row r="8111" spans="1:5">
      <c r="A8111" s="3" t="s">
        <v>18246</v>
      </c>
      <c r="B8111" s="110" t="s">
        <v>1345</v>
      </c>
      <c r="C8111" s="111" t="s">
        <v>387</v>
      </c>
      <c r="D8111" s="111" t="str">
        <f t="shared" ref="D8111:E8111" si="8109">TRIM(B8111)</f>
        <v>Minnesota</v>
      </c>
      <c r="E8111" s="111" t="str">
        <f t="shared" si="8109"/>
        <v>Saint Paul</v>
      </c>
    </row>
    <row r="8112" spans="1:5">
      <c r="A8112" s="3" t="s">
        <v>18247</v>
      </c>
      <c r="B8112" s="110" t="s">
        <v>1345</v>
      </c>
      <c r="C8112" s="111" t="s">
        <v>387</v>
      </c>
      <c r="D8112" s="111" t="str">
        <f t="shared" ref="D8112:E8112" si="8110">TRIM(B8112)</f>
        <v>Minnesota</v>
      </c>
      <c r="E8112" s="111" t="str">
        <f t="shared" si="8110"/>
        <v>Saint Paul</v>
      </c>
    </row>
    <row r="8113" spans="1:5">
      <c r="A8113" s="110" t="s">
        <v>18248</v>
      </c>
      <c r="B8113" s="110" t="s">
        <v>1345</v>
      </c>
      <c r="C8113" s="111" t="s">
        <v>387</v>
      </c>
      <c r="D8113" s="111" t="str">
        <f t="shared" ref="D8113:E8113" si="8111">TRIM(B8113)</f>
        <v>Minnesota</v>
      </c>
      <c r="E8113" s="111" t="str">
        <f t="shared" si="8111"/>
        <v>Saint Paul</v>
      </c>
    </row>
    <row r="8114" spans="1:5">
      <c r="A8114" s="3" t="s">
        <v>18249</v>
      </c>
      <c r="B8114" s="110" t="s">
        <v>1345</v>
      </c>
      <c r="C8114" s="111" t="s">
        <v>387</v>
      </c>
      <c r="D8114" s="111" t="str">
        <f t="shared" ref="D8114:E8114" si="8112">TRIM(B8114)</f>
        <v>Minnesota</v>
      </c>
      <c r="E8114" s="111" t="str">
        <f t="shared" si="8112"/>
        <v>Saint Paul</v>
      </c>
    </row>
    <row r="8115" spans="1:5">
      <c r="A8115" s="110" t="s">
        <v>18250</v>
      </c>
      <c r="B8115" s="110" t="s">
        <v>1345</v>
      </c>
      <c r="C8115" s="111" t="s">
        <v>387</v>
      </c>
      <c r="D8115" s="111" t="str">
        <f t="shared" ref="D8115:E8115" si="8113">TRIM(B8115)</f>
        <v>Minnesota</v>
      </c>
      <c r="E8115" s="111" t="str">
        <f t="shared" si="8113"/>
        <v>Saint Paul</v>
      </c>
    </row>
    <row r="8116" spans="1:5">
      <c r="A8116" s="3" t="s">
        <v>18251</v>
      </c>
      <c r="B8116" s="110" t="s">
        <v>1345</v>
      </c>
      <c r="C8116" s="111" t="s">
        <v>387</v>
      </c>
      <c r="D8116" s="111" t="str">
        <f t="shared" ref="D8116:E8116" si="8114">TRIM(B8116)</f>
        <v>Minnesota</v>
      </c>
      <c r="E8116" s="111" t="str">
        <f t="shared" si="8114"/>
        <v>Saint Paul</v>
      </c>
    </row>
    <row r="8117" spans="1:5">
      <c r="A8117" s="3" t="s">
        <v>18252</v>
      </c>
      <c r="B8117" s="110" t="s">
        <v>1345</v>
      </c>
      <c r="C8117" s="111" t="s">
        <v>387</v>
      </c>
      <c r="D8117" s="111" t="str">
        <f t="shared" ref="D8117:E8117" si="8115">TRIM(B8117)</f>
        <v>Minnesota</v>
      </c>
      <c r="E8117" s="111" t="str">
        <f t="shared" si="8115"/>
        <v>Saint Paul</v>
      </c>
    </row>
    <row r="8118" spans="1:5">
      <c r="A8118" s="110" t="s">
        <v>18253</v>
      </c>
      <c r="B8118" s="110" t="s">
        <v>1345</v>
      </c>
      <c r="C8118" s="111" t="s">
        <v>387</v>
      </c>
      <c r="D8118" s="111" t="str">
        <f t="shared" ref="D8118:E8118" si="8116">TRIM(B8118)</f>
        <v>Minnesota</v>
      </c>
      <c r="E8118" s="111" t="str">
        <f t="shared" si="8116"/>
        <v>Saint Paul</v>
      </c>
    </row>
    <row r="8119" spans="1:5">
      <c r="A8119" s="3" t="s">
        <v>18254</v>
      </c>
      <c r="B8119" s="110" t="s">
        <v>1345</v>
      </c>
      <c r="C8119" s="111" t="s">
        <v>18255</v>
      </c>
      <c r="D8119" s="111" t="str">
        <f t="shared" ref="D8119:E8119" si="8117">TRIM(B8119)</f>
        <v>Minnesota</v>
      </c>
      <c r="E8119" s="111" t="str">
        <f t="shared" si="8117"/>
        <v>Saint Peter</v>
      </c>
    </row>
    <row r="8120" spans="1:5">
      <c r="A8120" s="3" t="s">
        <v>18256</v>
      </c>
      <c r="B8120" s="110" t="s">
        <v>1345</v>
      </c>
      <c r="C8120" s="111" t="s">
        <v>18257</v>
      </c>
      <c r="D8120" s="111" t="str">
        <f t="shared" ref="D8120:E8120" si="8118">TRIM(B8120)</f>
        <v>Minnesota</v>
      </c>
      <c r="E8120" s="111" t="str">
        <f t="shared" si="8118"/>
        <v>Sartell</v>
      </c>
    </row>
    <row r="8121" spans="1:5">
      <c r="A8121" s="110" t="s">
        <v>18258</v>
      </c>
      <c r="B8121" s="110" t="s">
        <v>1345</v>
      </c>
      <c r="C8121" s="111" t="s">
        <v>18259</v>
      </c>
      <c r="D8121" s="111" t="str">
        <f t="shared" ref="D8121:E8121" si="8119">TRIM(B8121)</f>
        <v>Minnesota</v>
      </c>
      <c r="E8121" s="111" t="str">
        <f t="shared" si="8119"/>
        <v>Sauk Centre</v>
      </c>
    </row>
    <row r="8122" spans="1:5">
      <c r="A8122" s="3" t="s">
        <v>18260</v>
      </c>
      <c r="B8122" s="110" t="s">
        <v>1345</v>
      </c>
      <c r="C8122" s="111" t="s">
        <v>18261</v>
      </c>
      <c r="D8122" s="111" t="str">
        <f t="shared" ref="D8122:E8122" si="8120">TRIM(B8122)</f>
        <v>Minnesota</v>
      </c>
      <c r="E8122" s="111" t="str">
        <f t="shared" si="8120"/>
        <v>Sauk Rapids</v>
      </c>
    </row>
    <row r="8123" spans="1:5">
      <c r="A8123" s="3" t="s">
        <v>18262</v>
      </c>
      <c r="B8123" s="110" t="s">
        <v>1345</v>
      </c>
      <c r="C8123" s="111" t="s">
        <v>18263</v>
      </c>
      <c r="D8123" s="111" t="str">
        <f t="shared" ref="D8123:E8123" si="8121">TRIM(B8123)</f>
        <v>Minnesota</v>
      </c>
      <c r="E8123" s="111" t="str">
        <f t="shared" si="8121"/>
        <v>Savage</v>
      </c>
    </row>
    <row r="8124" spans="1:5">
      <c r="A8124" s="110" t="s">
        <v>18264</v>
      </c>
      <c r="B8124" s="110" t="s">
        <v>1345</v>
      </c>
      <c r="C8124" s="111" t="s">
        <v>18265</v>
      </c>
      <c r="D8124" s="111" t="str">
        <f t="shared" ref="D8124:E8124" si="8122">TRIM(B8124)</f>
        <v>Minnesota</v>
      </c>
      <c r="E8124" s="111" t="str">
        <f t="shared" si="8122"/>
        <v>Sebeka</v>
      </c>
    </row>
    <row r="8125" spans="1:5">
      <c r="A8125" s="110" t="s">
        <v>18266</v>
      </c>
      <c r="B8125" s="110" t="s">
        <v>1345</v>
      </c>
      <c r="C8125" s="111" t="s">
        <v>18267</v>
      </c>
      <c r="D8125" s="111" t="str">
        <f t="shared" ref="D8125:E8125" si="8123">TRIM(B8125)</f>
        <v>Minnesota</v>
      </c>
      <c r="E8125" s="111" t="str">
        <f t="shared" si="8123"/>
        <v>Shakope</v>
      </c>
    </row>
    <row r="8126" spans="1:5">
      <c r="A8126" s="3" t="s">
        <v>18268</v>
      </c>
      <c r="B8126" s="110" t="s">
        <v>1345</v>
      </c>
      <c r="C8126" s="111" t="s">
        <v>2163</v>
      </c>
      <c r="D8126" s="111" t="str">
        <f t="shared" ref="D8126:E8126" si="8124">TRIM(B8126)</f>
        <v>Minnesota</v>
      </c>
      <c r="E8126" s="111" t="str">
        <f t="shared" si="8124"/>
        <v>Shakopee</v>
      </c>
    </row>
    <row r="8127" spans="1:5">
      <c r="A8127" s="3" t="s">
        <v>18269</v>
      </c>
      <c r="B8127" s="110" t="s">
        <v>1345</v>
      </c>
      <c r="C8127" s="111" t="s">
        <v>18270</v>
      </c>
      <c r="D8127" s="111" t="str">
        <f t="shared" ref="D8127:E8127" si="8125">TRIM(B8127)</f>
        <v>Minnesota</v>
      </c>
      <c r="E8127" s="111" t="str">
        <f t="shared" si="8125"/>
        <v>Sherburn</v>
      </c>
    </row>
    <row r="8128" spans="1:5">
      <c r="A8128" s="110" t="s">
        <v>18271</v>
      </c>
      <c r="B8128" s="110" t="s">
        <v>1345</v>
      </c>
      <c r="C8128" s="111" t="s">
        <v>18272</v>
      </c>
      <c r="D8128" s="111" t="str">
        <f t="shared" ref="D8128:E8128" si="8126">TRIM(B8128)</f>
        <v>Minnesota</v>
      </c>
      <c r="E8128" s="111" t="str">
        <f t="shared" si="8126"/>
        <v>Silver Bay</v>
      </c>
    </row>
    <row r="8129" spans="1:5">
      <c r="A8129" s="110" t="s">
        <v>18273</v>
      </c>
      <c r="B8129" s="110" t="s">
        <v>1345</v>
      </c>
      <c r="C8129" s="111" t="s">
        <v>18274</v>
      </c>
      <c r="D8129" s="111" t="str">
        <f t="shared" ref="D8129:E8129" si="8127">TRIM(B8129)</f>
        <v>Minnesota</v>
      </c>
      <c r="E8129" s="111" t="str">
        <f t="shared" si="8127"/>
        <v>Slayton</v>
      </c>
    </row>
    <row r="8130" spans="1:5">
      <c r="A8130" s="110" t="s">
        <v>18275</v>
      </c>
      <c r="B8130" s="110" t="s">
        <v>1345</v>
      </c>
      <c r="C8130" s="111" t="s">
        <v>18276</v>
      </c>
      <c r="D8130" s="111" t="str">
        <f t="shared" ref="D8130:E8130" si="8128">TRIM(B8130)</f>
        <v>Minnesota</v>
      </c>
      <c r="E8130" s="111" t="str">
        <f t="shared" si="8128"/>
        <v>Sleepy Eye</v>
      </c>
    </row>
    <row r="8131" spans="1:5">
      <c r="A8131" s="110" t="s">
        <v>18277</v>
      </c>
      <c r="B8131" s="110" t="s">
        <v>1345</v>
      </c>
      <c r="C8131" s="111" t="s">
        <v>18278</v>
      </c>
      <c r="D8131" s="111" t="str">
        <f t="shared" ref="D8131:E8131" si="8129">TRIM(B8131)</f>
        <v>Minnesota</v>
      </c>
      <c r="E8131" s="111" t="str">
        <f t="shared" si="8129"/>
        <v>South Saint Paul</v>
      </c>
    </row>
    <row r="8132" spans="1:5">
      <c r="A8132" s="110" t="s">
        <v>18279</v>
      </c>
      <c r="B8132" s="110" t="s">
        <v>1345</v>
      </c>
      <c r="C8132" s="111" t="s">
        <v>13056</v>
      </c>
      <c r="D8132" s="111" t="str">
        <f t="shared" ref="D8132:E8132" si="8130">TRIM(B8132)</f>
        <v>Minnesota</v>
      </c>
      <c r="E8132" s="111" t="str">
        <f t="shared" si="8130"/>
        <v>Spring Grove</v>
      </c>
    </row>
    <row r="8133" spans="1:5">
      <c r="A8133" s="110" t="s">
        <v>18280</v>
      </c>
      <c r="B8133" s="110" t="s">
        <v>1345</v>
      </c>
      <c r="C8133" s="113" t="s">
        <v>6063</v>
      </c>
      <c r="D8133" s="111" t="str">
        <f t="shared" ref="D8133:E8133" si="8131">TRIM(B8133)</f>
        <v>Minnesota</v>
      </c>
      <c r="E8133" s="111" t="str">
        <f t="shared" si="8131"/>
        <v>Spring Lake Park</v>
      </c>
    </row>
    <row r="8134" spans="1:5">
      <c r="A8134" s="110" t="s">
        <v>18281</v>
      </c>
      <c r="B8134" s="110" t="s">
        <v>1345</v>
      </c>
      <c r="C8134" s="113" t="s">
        <v>6063</v>
      </c>
      <c r="D8134" s="111" t="str">
        <f t="shared" ref="D8134:E8134" si="8132">TRIM(B8134)</f>
        <v>Minnesota</v>
      </c>
      <c r="E8134" s="111" t="str">
        <f t="shared" si="8132"/>
        <v>Spring Lake Park</v>
      </c>
    </row>
    <row r="8135" spans="1:5">
      <c r="A8135" s="3" t="s">
        <v>18282</v>
      </c>
      <c r="B8135" s="110" t="s">
        <v>1345</v>
      </c>
      <c r="C8135" s="113" t="s">
        <v>6063</v>
      </c>
      <c r="D8135" s="111" t="str">
        <f t="shared" ref="D8135:E8135" si="8133">TRIM(B8135)</f>
        <v>Minnesota</v>
      </c>
      <c r="E8135" s="111" t="str">
        <f t="shared" si="8133"/>
        <v>Spring Lake Park</v>
      </c>
    </row>
    <row r="8136" spans="1:5">
      <c r="A8136" s="3" t="s">
        <v>18283</v>
      </c>
      <c r="B8136" s="110" t="s">
        <v>1345</v>
      </c>
      <c r="C8136" s="111" t="s">
        <v>7178</v>
      </c>
      <c r="D8136" s="111" t="str">
        <f t="shared" ref="D8136:E8136" si="8134">TRIM(B8136)</f>
        <v>Minnesota</v>
      </c>
      <c r="E8136" s="111" t="str">
        <f t="shared" si="8134"/>
        <v>Spring Valley</v>
      </c>
    </row>
    <row r="8137" spans="1:5">
      <c r="A8137" s="110" t="s">
        <v>18284</v>
      </c>
      <c r="B8137" s="110" t="s">
        <v>1345</v>
      </c>
      <c r="C8137" s="111" t="s">
        <v>416</v>
      </c>
      <c r="D8137" s="111" t="str">
        <f t="shared" ref="D8137:E8137" si="8135">TRIM(B8137)</f>
        <v>Minnesota</v>
      </c>
      <c r="E8137" s="111" t="str">
        <f t="shared" si="8135"/>
        <v>Springfield</v>
      </c>
    </row>
    <row r="8138" spans="1:5">
      <c r="A8138" s="3" t="s">
        <v>18285</v>
      </c>
      <c r="B8138" s="110" t="s">
        <v>1345</v>
      </c>
      <c r="C8138" s="111" t="s">
        <v>15531</v>
      </c>
      <c r="D8138" s="111" t="str">
        <f t="shared" ref="D8138:E8138" si="8136">TRIM(B8138)</f>
        <v>Minnesota</v>
      </c>
      <c r="E8138" s="111" t="str">
        <f t="shared" si="8136"/>
        <v>St. Paul</v>
      </c>
    </row>
    <row r="8139" spans="1:5">
      <c r="A8139" s="3" t="s">
        <v>18286</v>
      </c>
      <c r="B8139" s="110" t="s">
        <v>1345</v>
      </c>
      <c r="C8139" s="111" t="s">
        <v>18287</v>
      </c>
      <c r="D8139" s="111" t="str">
        <f t="shared" ref="D8139:E8139" si="8137">TRIM(B8139)</f>
        <v>Minnesota</v>
      </c>
      <c r="E8139" s="111" t="str">
        <f t="shared" si="8137"/>
        <v>Staples</v>
      </c>
    </row>
    <row r="8140" spans="1:5">
      <c r="A8140" s="3" t="s">
        <v>18288</v>
      </c>
      <c r="B8140" s="110" t="s">
        <v>1345</v>
      </c>
      <c r="C8140" s="111" t="s">
        <v>18289</v>
      </c>
      <c r="D8140" s="111" t="str">
        <f t="shared" ref="D8140:E8140" si="8138">TRIM(B8140)</f>
        <v>Minnesota</v>
      </c>
      <c r="E8140" s="111" t="str">
        <f t="shared" si="8138"/>
        <v>Stephen</v>
      </c>
    </row>
    <row r="8141" spans="1:5">
      <c r="A8141" s="3" t="s">
        <v>18290</v>
      </c>
      <c r="B8141" s="110" t="s">
        <v>1345</v>
      </c>
      <c r="C8141" s="111" t="s">
        <v>6472</v>
      </c>
      <c r="D8141" s="111" t="str">
        <f t="shared" ref="D8141:E8141" si="8139">TRIM(B8141)</f>
        <v>Minnesota</v>
      </c>
      <c r="E8141" s="111" t="str">
        <f t="shared" si="8139"/>
        <v>Stewartville</v>
      </c>
    </row>
    <row r="8142" spans="1:5">
      <c r="A8142" s="3" t="s">
        <v>18291</v>
      </c>
      <c r="B8142" s="110" t="s">
        <v>1345</v>
      </c>
      <c r="C8142" s="111" t="s">
        <v>18292</v>
      </c>
      <c r="D8142" s="111" t="str">
        <f t="shared" ref="D8142:E8142" si="8140">TRIM(B8142)</f>
        <v>Minnesota</v>
      </c>
      <c r="E8142" s="111" t="str">
        <f t="shared" si="8140"/>
        <v>Stillwater</v>
      </c>
    </row>
    <row r="8143" spans="1:5">
      <c r="A8143" s="3" t="s">
        <v>18293</v>
      </c>
      <c r="B8143" s="110" t="s">
        <v>1345</v>
      </c>
      <c r="C8143" s="111" t="s">
        <v>18292</v>
      </c>
      <c r="D8143" s="111" t="str">
        <f t="shared" ref="D8143:E8143" si="8141">TRIM(B8143)</f>
        <v>Minnesota</v>
      </c>
      <c r="E8143" s="111" t="str">
        <f t="shared" si="8141"/>
        <v>Stillwater</v>
      </c>
    </row>
    <row r="8144" spans="1:5">
      <c r="A8144" s="110" t="s">
        <v>18294</v>
      </c>
      <c r="B8144" s="110" t="s">
        <v>1345</v>
      </c>
      <c r="C8144" s="111" t="s">
        <v>18295</v>
      </c>
      <c r="D8144" s="111" t="str">
        <f t="shared" ref="D8144:E8144" si="8142">TRIM(B8144)</f>
        <v>Minnesota</v>
      </c>
      <c r="E8144" s="111" t="str">
        <f t="shared" si="8142"/>
        <v>Swanville</v>
      </c>
    </row>
    <row r="8145" spans="1:5">
      <c r="A8145" s="3" t="s">
        <v>17690</v>
      </c>
      <c r="B8145" s="110" t="s">
        <v>1345</v>
      </c>
      <c r="C8145" s="111" t="s">
        <v>18296</v>
      </c>
      <c r="D8145" s="111" t="str">
        <f t="shared" ref="D8145:E8145" si="8143">TRIM(B8145)</f>
        <v>Minnesota</v>
      </c>
      <c r="E8145" s="111" t="str">
        <f t="shared" si="8143"/>
        <v>Thief River Falls</v>
      </c>
    </row>
    <row r="8146" spans="1:5">
      <c r="A8146" s="110" t="s">
        <v>18297</v>
      </c>
      <c r="B8146" s="110" t="s">
        <v>1345</v>
      </c>
      <c r="C8146" s="111" t="s">
        <v>18298</v>
      </c>
      <c r="D8146" s="111" t="str">
        <f t="shared" ref="D8146:E8146" si="8144">TRIM(B8146)</f>
        <v>Minnesota</v>
      </c>
      <c r="E8146" s="111" t="str">
        <f t="shared" si="8144"/>
        <v>Tower</v>
      </c>
    </row>
    <row r="8147" spans="1:5">
      <c r="A8147" s="110" t="s">
        <v>18299</v>
      </c>
      <c r="B8147" s="110" t="s">
        <v>1345</v>
      </c>
      <c r="C8147" s="111" t="s">
        <v>7273</v>
      </c>
      <c r="D8147" s="111" t="str">
        <f t="shared" ref="D8147:E8147" si="8145">TRIM(B8147)</f>
        <v>Minnesota</v>
      </c>
      <c r="E8147" s="111" t="str">
        <f t="shared" si="8145"/>
        <v>Tracy</v>
      </c>
    </row>
    <row r="8148" spans="1:5">
      <c r="A8148" s="110" t="s">
        <v>18300</v>
      </c>
      <c r="B8148" s="110" t="s">
        <v>1345</v>
      </c>
      <c r="C8148" s="111" t="s">
        <v>18301</v>
      </c>
      <c r="D8148" s="111" t="str">
        <f t="shared" ref="D8148:E8148" si="8146">TRIM(B8148)</f>
        <v>Minnesota</v>
      </c>
      <c r="E8148" s="111" t="str">
        <f t="shared" si="8146"/>
        <v>Truman</v>
      </c>
    </row>
    <row r="8149" spans="1:5">
      <c r="A8149" s="110" t="s">
        <v>18302</v>
      </c>
      <c r="B8149" s="110" t="s">
        <v>1345</v>
      </c>
      <c r="C8149" s="111" t="s">
        <v>18303</v>
      </c>
      <c r="D8149" s="111" t="str">
        <f t="shared" ref="D8149:E8149" si="8147">TRIM(B8149)</f>
        <v>Minnesota</v>
      </c>
      <c r="E8149" s="111" t="str">
        <f t="shared" si="8147"/>
        <v>Twin Valley</v>
      </c>
    </row>
    <row r="8150" spans="1:5">
      <c r="A8150" s="110" t="s">
        <v>18304</v>
      </c>
      <c r="B8150" s="110" t="s">
        <v>1345</v>
      </c>
      <c r="C8150" s="111" t="s">
        <v>18305</v>
      </c>
      <c r="D8150" s="111" t="str">
        <f t="shared" ref="D8150:E8150" si="8148">TRIM(B8150)</f>
        <v>Minnesota</v>
      </c>
      <c r="E8150" s="111" t="str">
        <f t="shared" si="8148"/>
        <v>Two Harbors</v>
      </c>
    </row>
    <row r="8151" spans="1:5">
      <c r="A8151" s="3" t="s">
        <v>18306</v>
      </c>
      <c r="B8151" s="110" t="s">
        <v>1345</v>
      </c>
      <c r="C8151" s="111" t="s">
        <v>13655</v>
      </c>
      <c r="D8151" s="111" t="str">
        <f t="shared" ref="D8151:E8151" si="8149">TRIM(B8151)</f>
        <v>Minnesota</v>
      </c>
      <c r="E8151" s="111" t="str">
        <f t="shared" si="8149"/>
        <v>Tyler</v>
      </c>
    </row>
    <row r="8152" spans="1:5">
      <c r="A8152" s="110" t="s">
        <v>18307</v>
      </c>
      <c r="B8152" s="110" t="s">
        <v>1345</v>
      </c>
      <c r="C8152" s="111" t="s">
        <v>18308</v>
      </c>
      <c r="D8152" s="111" t="str">
        <f t="shared" ref="D8152:E8152" si="8150">TRIM(B8152)</f>
        <v>Minnesota</v>
      </c>
      <c r="E8152" s="111" t="str">
        <f t="shared" si="8150"/>
        <v>Ulen</v>
      </c>
    </row>
    <row r="8153" spans="1:5">
      <c r="A8153" s="110" t="s">
        <v>18309</v>
      </c>
      <c r="B8153" s="110" t="s">
        <v>1345</v>
      </c>
      <c r="C8153" s="111" t="s">
        <v>15097</v>
      </c>
      <c r="D8153" s="111" t="str">
        <f t="shared" ref="D8153:E8153" si="8151">TRIM(B8153)</f>
        <v>Minnesota</v>
      </c>
      <c r="E8153" s="111" t="str">
        <f t="shared" si="8151"/>
        <v>Underwood</v>
      </c>
    </row>
    <row r="8154" spans="1:5">
      <c r="A8154" s="110" t="s">
        <v>18310</v>
      </c>
      <c r="B8154" s="110" t="s">
        <v>1345</v>
      </c>
      <c r="C8154" s="111" t="s">
        <v>18311</v>
      </c>
      <c r="D8154" s="111" t="str">
        <f t="shared" ref="D8154:E8154" si="8152">TRIM(B8154)</f>
        <v>Minnesota</v>
      </c>
      <c r="E8154" s="111" t="str">
        <f t="shared" si="8152"/>
        <v>Upsala</v>
      </c>
    </row>
    <row r="8155" spans="1:5">
      <c r="A8155" s="3" t="s">
        <v>18312</v>
      </c>
      <c r="B8155" s="110" t="s">
        <v>1345</v>
      </c>
      <c r="C8155" s="111" t="s">
        <v>18313</v>
      </c>
      <c r="D8155" s="111" t="str">
        <f t="shared" ref="D8155:E8155" si="8153">TRIM(B8155)</f>
        <v>Minnesota</v>
      </c>
      <c r="E8155" s="111" t="str">
        <f t="shared" si="8153"/>
        <v>Vadnais Heights</v>
      </c>
    </row>
    <row r="8156" spans="1:5">
      <c r="A8156" s="110" t="s">
        <v>18314</v>
      </c>
      <c r="B8156" s="110" t="s">
        <v>1345</v>
      </c>
      <c r="C8156" s="111" t="s">
        <v>18315</v>
      </c>
      <c r="D8156" s="111" t="str">
        <f t="shared" ref="D8156:E8156" si="8154">TRIM(B8156)</f>
        <v>Minnesota</v>
      </c>
      <c r="E8156" s="111" t="str">
        <f t="shared" si="8154"/>
        <v>Verndale</v>
      </c>
    </row>
    <row r="8157" spans="1:5">
      <c r="A8157" s="110" t="s">
        <v>18316</v>
      </c>
      <c r="B8157" s="110" t="s">
        <v>1345</v>
      </c>
      <c r="C8157" s="111" t="s">
        <v>1376</v>
      </c>
      <c r="D8157" s="111" t="str">
        <f t="shared" ref="D8157:E8157" si="8155">TRIM(B8157)</f>
        <v>Minnesota</v>
      </c>
      <c r="E8157" s="111" t="str">
        <f t="shared" si="8155"/>
        <v>Virginia</v>
      </c>
    </row>
    <row r="8158" spans="1:5">
      <c r="A8158" s="110" t="s">
        <v>18317</v>
      </c>
      <c r="B8158" s="110" t="s">
        <v>1345</v>
      </c>
      <c r="C8158" s="111" t="s">
        <v>18318</v>
      </c>
      <c r="D8158" s="111" t="str">
        <f t="shared" ref="D8158:E8158" si="8156">TRIM(B8158)</f>
        <v>Minnesota</v>
      </c>
      <c r="E8158" s="111" t="str">
        <f t="shared" si="8156"/>
        <v>Wabasha</v>
      </c>
    </row>
    <row r="8159" spans="1:5">
      <c r="A8159" s="110" t="s">
        <v>18319</v>
      </c>
      <c r="B8159" s="110" t="s">
        <v>1345</v>
      </c>
      <c r="C8159" s="111" t="s">
        <v>18320</v>
      </c>
      <c r="D8159" s="111" t="str">
        <f t="shared" ref="D8159:E8159" si="8157">TRIM(B8159)</f>
        <v>Minnesota</v>
      </c>
      <c r="E8159" s="111" t="str">
        <f t="shared" si="8157"/>
        <v>Wabasso</v>
      </c>
    </row>
    <row r="8160" spans="1:5">
      <c r="A8160" s="3" t="s">
        <v>18321</v>
      </c>
      <c r="B8160" s="110" t="s">
        <v>1345</v>
      </c>
      <c r="C8160" s="111" t="s">
        <v>322</v>
      </c>
      <c r="D8160" s="111" t="str">
        <f t="shared" ref="D8160:E8160" si="8158">TRIM(B8160)</f>
        <v>Minnesota</v>
      </c>
      <c r="E8160" s="111" t="str">
        <f t="shared" si="8158"/>
        <v>Waconia</v>
      </c>
    </row>
    <row r="8161" spans="1:5">
      <c r="A8161" s="3" t="s">
        <v>18322</v>
      </c>
      <c r="B8161" s="110" t="s">
        <v>1345</v>
      </c>
      <c r="C8161" s="111" t="s">
        <v>18323</v>
      </c>
      <c r="D8161" s="111" t="str">
        <f t="shared" ref="D8161:E8161" si="8159">TRIM(B8161)</f>
        <v>Minnesota</v>
      </c>
      <c r="E8161" s="111" t="str">
        <f t="shared" si="8159"/>
        <v>Wadena</v>
      </c>
    </row>
    <row r="8162" spans="1:5">
      <c r="A8162" s="3" t="s">
        <v>18324</v>
      </c>
      <c r="B8162" s="110" t="s">
        <v>1345</v>
      </c>
      <c r="C8162" s="111" t="s">
        <v>11551</v>
      </c>
      <c r="D8162" s="111" t="str">
        <f t="shared" ref="D8162:E8162" si="8160">TRIM(B8162)</f>
        <v>Minnesota</v>
      </c>
      <c r="E8162" s="111" t="str">
        <f t="shared" si="8160"/>
        <v>Waite Park</v>
      </c>
    </row>
    <row r="8163" spans="1:5">
      <c r="A8163" s="110" t="s">
        <v>18325</v>
      </c>
      <c r="B8163" s="110" t="s">
        <v>1345</v>
      </c>
      <c r="C8163" s="111" t="s">
        <v>2712</v>
      </c>
      <c r="D8163" s="111" t="str">
        <f t="shared" ref="D8163:E8163" si="8161">TRIM(B8163)</f>
        <v>Minnesota</v>
      </c>
      <c r="E8163" s="111" t="str">
        <f t="shared" si="8161"/>
        <v>Walker</v>
      </c>
    </row>
    <row r="8164" spans="1:5">
      <c r="A8164" s="110" t="s">
        <v>18326</v>
      </c>
      <c r="B8164" s="110" t="s">
        <v>1345</v>
      </c>
      <c r="C8164" s="111" t="s">
        <v>18327</v>
      </c>
      <c r="D8164" s="111" t="str">
        <f t="shared" ref="D8164:E8164" si="8162">TRIM(B8164)</f>
        <v>Minnesota</v>
      </c>
      <c r="E8164" s="111" t="str">
        <f t="shared" si="8162"/>
        <v>Warba</v>
      </c>
    </row>
    <row r="8165" spans="1:5">
      <c r="A8165" s="110" t="s">
        <v>18328</v>
      </c>
      <c r="B8165" s="110" t="s">
        <v>1345</v>
      </c>
      <c r="C8165" s="111" t="s">
        <v>4265</v>
      </c>
      <c r="D8165" s="111" t="str">
        <f t="shared" ref="D8165:E8165" si="8163">TRIM(B8165)</f>
        <v>Minnesota</v>
      </c>
      <c r="E8165" s="111" t="str">
        <f t="shared" si="8163"/>
        <v>Warren</v>
      </c>
    </row>
    <row r="8166" spans="1:5">
      <c r="A8166" s="3" t="s">
        <v>18329</v>
      </c>
      <c r="B8166" s="110" t="s">
        <v>1345</v>
      </c>
      <c r="C8166" s="111" t="s">
        <v>18330</v>
      </c>
      <c r="D8166" s="111" t="str">
        <f t="shared" ref="D8166:E8166" si="8164">TRIM(B8166)</f>
        <v>Minnesota</v>
      </c>
      <c r="E8166" s="111" t="str">
        <f t="shared" si="8164"/>
        <v>Warroad</v>
      </c>
    </row>
    <row r="8167" spans="1:5">
      <c r="A8167" s="3" t="s">
        <v>18331</v>
      </c>
      <c r="B8167" s="110" t="s">
        <v>1345</v>
      </c>
      <c r="C8167" s="111" t="s">
        <v>4370</v>
      </c>
      <c r="D8167" s="111" t="str">
        <f t="shared" ref="D8167:E8167" si="8165">TRIM(B8167)</f>
        <v>Minnesota</v>
      </c>
      <c r="E8167" s="111" t="str">
        <f t="shared" si="8165"/>
        <v>Waseca</v>
      </c>
    </row>
    <row r="8168" spans="1:5">
      <c r="A8168" s="3" t="s">
        <v>18332</v>
      </c>
      <c r="B8168" s="110" t="s">
        <v>1345</v>
      </c>
      <c r="C8168" s="111" t="s">
        <v>8737</v>
      </c>
      <c r="D8168" s="111" t="str">
        <f t="shared" ref="D8168:E8168" si="8166">TRIM(B8168)</f>
        <v>Minnesota</v>
      </c>
      <c r="E8168" s="111" t="str">
        <f t="shared" si="8166"/>
        <v>Watertown</v>
      </c>
    </row>
    <row r="8169" spans="1:5">
      <c r="A8169" s="110" t="s">
        <v>18333</v>
      </c>
      <c r="B8169" s="110" t="s">
        <v>1345</v>
      </c>
      <c r="C8169" s="111" t="s">
        <v>11028</v>
      </c>
      <c r="D8169" s="111" t="str">
        <f t="shared" ref="D8169:E8169" si="8167">TRIM(B8169)</f>
        <v>Minnesota</v>
      </c>
      <c r="E8169" s="111" t="str">
        <f t="shared" si="8167"/>
        <v>Waterville</v>
      </c>
    </row>
    <row r="8170" spans="1:5">
      <c r="A8170" s="110" t="s">
        <v>18334</v>
      </c>
      <c r="B8170" s="110" t="s">
        <v>1345</v>
      </c>
      <c r="C8170" s="111" t="s">
        <v>18335</v>
      </c>
      <c r="D8170" s="111" t="str">
        <f t="shared" ref="D8170:E8170" si="8168">TRIM(B8170)</f>
        <v>Minnesota</v>
      </c>
      <c r="E8170" s="111" t="str">
        <f t="shared" si="8168"/>
        <v>Waubun</v>
      </c>
    </row>
    <row r="8171" spans="1:5">
      <c r="A8171" s="3" t="s">
        <v>18336</v>
      </c>
      <c r="B8171" s="110" t="s">
        <v>1345</v>
      </c>
      <c r="C8171" s="111" t="s">
        <v>16313</v>
      </c>
      <c r="D8171" s="111" t="str">
        <f t="shared" ref="D8171:E8171" si="8169">TRIM(B8171)</f>
        <v>Minnesota</v>
      </c>
      <c r="E8171" s="111" t="str">
        <f t="shared" si="8169"/>
        <v>Wells</v>
      </c>
    </row>
    <row r="8172" spans="1:5">
      <c r="A8172" s="3" t="s">
        <v>18337</v>
      </c>
      <c r="B8172" s="110" t="s">
        <v>1345</v>
      </c>
      <c r="C8172" s="111" t="s">
        <v>18338</v>
      </c>
      <c r="D8172" s="111" t="str">
        <f t="shared" ref="D8172:E8172" si="8170">TRIM(B8172)</f>
        <v>Minnesota</v>
      </c>
      <c r="E8172" s="111" t="str">
        <f t="shared" si="8170"/>
        <v>West Saint Paul</v>
      </c>
    </row>
    <row r="8173" spans="1:5">
      <c r="A8173" s="110" t="s">
        <v>18339</v>
      </c>
      <c r="B8173" s="110" t="s">
        <v>1345</v>
      </c>
      <c r="C8173" s="111" t="s">
        <v>18338</v>
      </c>
      <c r="D8173" s="111" t="str">
        <f t="shared" ref="D8173:E8173" si="8171">TRIM(B8173)</f>
        <v>Minnesota</v>
      </c>
      <c r="E8173" s="111" t="str">
        <f t="shared" si="8171"/>
        <v>West Saint Paul</v>
      </c>
    </row>
    <row r="8174" spans="1:5">
      <c r="A8174" s="3" t="s">
        <v>18340</v>
      </c>
      <c r="B8174" s="110" t="s">
        <v>1345</v>
      </c>
      <c r="C8174" s="111" t="s">
        <v>18338</v>
      </c>
      <c r="D8174" s="111" t="str">
        <f t="shared" ref="D8174:E8174" si="8172">TRIM(B8174)</f>
        <v>Minnesota</v>
      </c>
      <c r="E8174" s="111" t="str">
        <f t="shared" si="8172"/>
        <v>West Saint Paul</v>
      </c>
    </row>
    <row r="8175" spans="1:5">
      <c r="A8175" s="110" t="s">
        <v>18341</v>
      </c>
      <c r="B8175" s="110" t="s">
        <v>1345</v>
      </c>
      <c r="C8175" s="111" t="s">
        <v>8750</v>
      </c>
      <c r="D8175" s="111" t="str">
        <f t="shared" ref="D8175:E8175" si="8173">TRIM(B8175)</f>
        <v>Minnesota</v>
      </c>
      <c r="E8175" s="111" t="str">
        <f t="shared" si="8173"/>
        <v>Westbrook</v>
      </c>
    </row>
    <row r="8176" spans="1:5">
      <c r="A8176" s="110" t="s">
        <v>18342</v>
      </c>
      <c r="B8176" s="110" t="s">
        <v>1345</v>
      </c>
      <c r="C8176" s="111" t="s">
        <v>10632</v>
      </c>
      <c r="D8176" s="111" t="str">
        <f t="shared" ref="D8176:E8176" si="8174">TRIM(B8176)</f>
        <v>Minnesota</v>
      </c>
      <c r="E8176" s="111" t="str">
        <f t="shared" si="8174"/>
        <v>Wheaton</v>
      </c>
    </row>
    <row r="8177" spans="1:5">
      <c r="A8177" s="110" t="s">
        <v>18343</v>
      </c>
      <c r="B8177" s="110" t="s">
        <v>1345</v>
      </c>
      <c r="C8177" s="111" t="s">
        <v>11563</v>
      </c>
      <c r="D8177" s="111" t="str">
        <f t="shared" ref="D8177:E8177" si="8175">TRIM(B8177)</f>
        <v>Minnesota</v>
      </c>
      <c r="E8177" s="111" t="str">
        <f t="shared" si="8175"/>
        <v>White Bear Lake</v>
      </c>
    </row>
    <row r="8178" spans="1:5">
      <c r="A8178" s="3" t="s">
        <v>18344</v>
      </c>
      <c r="B8178" s="110" t="s">
        <v>1345</v>
      </c>
      <c r="C8178" s="111" t="s">
        <v>18345</v>
      </c>
      <c r="D8178" s="111" t="str">
        <f t="shared" ref="D8178:E8178" si="8176">TRIM(B8178)</f>
        <v>Minnesota</v>
      </c>
      <c r="E8178" s="111" t="str">
        <f t="shared" si="8176"/>
        <v>Willmar</v>
      </c>
    </row>
    <row r="8179" spans="1:5">
      <c r="A8179" s="3" t="s">
        <v>18346</v>
      </c>
      <c r="B8179" s="110" t="s">
        <v>1345</v>
      </c>
      <c r="C8179" s="111" t="s">
        <v>18345</v>
      </c>
      <c r="D8179" s="111" t="str">
        <f t="shared" ref="D8179:E8179" si="8177">TRIM(B8179)</f>
        <v>Minnesota</v>
      </c>
      <c r="E8179" s="111" t="str">
        <f t="shared" si="8177"/>
        <v>Willmar</v>
      </c>
    </row>
    <row r="8180" spans="1:5">
      <c r="A8180" s="110" t="s">
        <v>18347</v>
      </c>
      <c r="B8180" s="110" t="s">
        <v>1345</v>
      </c>
      <c r="C8180" s="111" t="s">
        <v>18348</v>
      </c>
      <c r="D8180" s="111" t="str">
        <f t="shared" ref="D8180:E8180" si="8178">TRIM(B8180)</f>
        <v>Minnesota</v>
      </c>
      <c r="E8180" s="111" t="str">
        <f t="shared" si="8178"/>
        <v>Willow River</v>
      </c>
    </row>
    <row r="8181" spans="1:5">
      <c r="A8181" s="3" t="s">
        <v>18349</v>
      </c>
      <c r="B8181" s="110" t="s">
        <v>1345</v>
      </c>
      <c r="C8181" s="111" t="s">
        <v>18350</v>
      </c>
      <c r="D8181" s="111" t="str">
        <f t="shared" ref="D8181:E8181" si="8179">TRIM(B8181)</f>
        <v>Minnesota</v>
      </c>
      <c r="E8181" s="111" t="str">
        <f t="shared" si="8179"/>
        <v>Windom</v>
      </c>
    </row>
    <row r="8182" spans="1:5">
      <c r="A8182" s="3" t="s">
        <v>18351</v>
      </c>
      <c r="B8182" s="110" t="s">
        <v>1345</v>
      </c>
      <c r="C8182" s="111" t="s">
        <v>18350</v>
      </c>
      <c r="D8182" s="111" t="str">
        <f t="shared" ref="D8182:E8182" si="8180">TRIM(B8182)</f>
        <v>Minnesota</v>
      </c>
      <c r="E8182" s="111" t="str">
        <f t="shared" si="8180"/>
        <v>Windom</v>
      </c>
    </row>
    <row r="8183" spans="1:5">
      <c r="A8183" s="110" t="s">
        <v>18352</v>
      </c>
      <c r="B8183" s="110" t="s">
        <v>1345</v>
      </c>
      <c r="C8183" s="111" t="s">
        <v>11533</v>
      </c>
      <c r="D8183" s="111" t="str">
        <f t="shared" ref="D8183:E8183" si="8181">TRIM(B8183)</f>
        <v>Minnesota</v>
      </c>
      <c r="E8183" s="111" t="str">
        <f t="shared" si="8181"/>
        <v>Winona</v>
      </c>
    </row>
    <row r="8184" spans="1:5">
      <c r="A8184" s="3" t="s">
        <v>18353</v>
      </c>
      <c r="B8184" s="110" t="s">
        <v>1345</v>
      </c>
      <c r="C8184" s="111" t="s">
        <v>11533</v>
      </c>
      <c r="D8184" s="111" t="str">
        <f t="shared" ref="D8184:E8184" si="8182">TRIM(B8184)</f>
        <v>Minnesota</v>
      </c>
      <c r="E8184" s="111" t="str">
        <f t="shared" si="8182"/>
        <v>Winona</v>
      </c>
    </row>
    <row r="8185" spans="1:5">
      <c r="A8185" s="3" t="s">
        <v>18354</v>
      </c>
      <c r="B8185" s="110" t="s">
        <v>1345</v>
      </c>
      <c r="C8185" s="111" t="s">
        <v>15140</v>
      </c>
      <c r="D8185" s="111" t="str">
        <f t="shared" ref="D8185:E8185" si="8183">TRIM(B8185)</f>
        <v>Minnesota</v>
      </c>
      <c r="E8185" s="111" t="str">
        <f t="shared" si="8183"/>
        <v>Winthrop</v>
      </c>
    </row>
    <row r="8186" spans="1:5">
      <c r="A8186" s="3" t="s">
        <v>9059</v>
      </c>
      <c r="B8186" s="110" t="s">
        <v>1345</v>
      </c>
      <c r="C8186" s="111" t="s">
        <v>8789</v>
      </c>
      <c r="D8186" s="111" t="str">
        <f t="shared" ref="D8186:E8186" si="8184">TRIM(B8186)</f>
        <v>Minnesota</v>
      </c>
      <c r="E8186" s="111" t="str">
        <f t="shared" si="8184"/>
        <v>Woodbury</v>
      </c>
    </row>
    <row r="8187" spans="1:5">
      <c r="A8187" s="3" t="s">
        <v>18355</v>
      </c>
      <c r="B8187" s="110" t="s">
        <v>1345</v>
      </c>
      <c r="C8187" s="111" t="s">
        <v>8789</v>
      </c>
      <c r="D8187" s="111" t="str">
        <f t="shared" ref="D8187:E8187" si="8185">TRIM(B8187)</f>
        <v>Minnesota</v>
      </c>
      <c r="E8187" s="111" t="str">
        <f t="shared" si="8185"/>
        <v>Woodbury</v>
      </c>
    </row>
    <row r="8188" spans="1:5">
      <c r="A8188" s="3" t="s">
        <v>18356</v>
      </c>
      <c r="B8188" s="110" t="s">
        <v>1345</v>
      </c>
      <c r="C8188" s="111" t="s">
        <v>8789</v>
      </c>
      <c r="D8188" s="111" t="str">
        <f t="shared" ref="D8188:E8188" si="8186">TRIM(B8188)</f>
        <v>Minnesota</v>
      </c>
      <c r="E8188" s="111" t="str">
        <f t="shared" si="8186"/>
        <v>Woodbury</v>
      </c>
    </row>
    <row r="8189" spans="1:5">
      <c r="A8189" s="3" t="s">
        <v>18357</v>
      </c>
      <c r="B8189" s="110" t="s">
        <v>1345</v>
      </c>
      <c r="C8189" s="111" t="s">
        <v>433</v>
      </c>
      <c r="D8189" s="111" t="str">
        <f t="shared" ref="D8189:E8189" si="8187">TRIM(B8189)</f>
        <v>Minnesota</v>
      </c>
      <c r="E8189" s="111" t="str">
        <f t="shared" si="8187"/>
        <v>Worthington</v>
      </c>
    </row>
    <row r="8190" spans="1:5">
      <c r="A8190" s="110" t="s">
        <v>18358</v>
      </c>
      <c r="B8190" s="110" t="s">
        <v>1345</v>
      </c>
      <c r="C8190" s="111" t="s">
        <v>18359</v>
      </c>
      <c r="D8190" s="111" t="str">
        <f t="shared" ref="D8190:E8190" si="8188">TRIM(B8190)</f>
        <v>Minnesota</v>
      </c>
      <c r="E8190" s="111" t="str">
        <f t="shared" si="8188"/>
        <v>Wrenshall</v>
      </c>
    </row>
    <row r="8191" spans="1:5">
      <c r="A8191" s="3" t="s">
        <v>18360</v>
      </c>
      <c r="B8191" s="110" t="s">
        <v>1345</v>
      </c>
      <c r="C8191" s="111" t="s">
        <v>18361</v>
      </c>
      <c r="D8191" s="111" t="str">
        <f t="shared" ref="D8191:E8191" si="8189">TRIM(B8191)</f>
        <v>Minnesota</v>
      </c>
      <c r="E8191" s="111" t="str">
        <f t="shared" si="8189"/>
        <v>Zimmerman</v>
      </c>
    </row>
    <row r="8192" spans="1:5">
      <c r="A8192" s="3" t="s">
        <v>18362</v>
      </c>
      <c r="B8192" s="110" t="s">
        <v>1345</v>
      </c>
      <c r="C8192" s="111" t="s">
        <v>18363</v>
      </c>
      <c r="D8192" s="111" t="str">
        <f t="shared" ref="D8192:E8192" si="8190">TRIM(B8192)</f>
        <v>Minnesota</v>
      </c>
      <c r="E8192" s="111" t="str">
        <f t="shared" si="8190"/>
        <v>Zumbrota</v>
      </c>
    </row>
    <row r="8193" spans="1:5">
      <c r="A8193" s="3" t="s">
        <v>11581</v>
      </c>
      <c r="B8193" s="110" t="s">
        <v>1346</v>
      </c>
      <c r="C8193" s="111" t="s">
        <v>11582</v>
      </c>
      <c r="D8193" s="111" t="str">
        <f t="shared" ref="D8193:E8193" si="8191">TRIM(B8193)</f>
        <v>Mississippi</v>
      </c>
      <c r="E8193" s="111" t="str">
        <f t="shared" si="8191"/>
        <v>Aberdeen</v>
      </c>
    </row>
    <row r="8194" spans="1:5">
      <c r="A8194" s="3" t="s">
        <v>1598</v>
      </c>
      <c r="B8194" s="110" t="s">
        <v>1346</v>
      </c>
      <c r="C8194" s="111" t="s">
        <v>18364</v>
      </c>
      <c r="D8194" s="111" t="str">
        <f t="shared" ref="D8194:E8194" si="8192">TRIM(B8194)</f>
        <v>Mississippi</v>
      </c>
      <c r="E8194" s="111" t="str">
        <f t="shared" si="8192"/>
        <v>Ackerman</v>
      </c>
    </row>
    <row r="8195" spans="1:5">
      <c r="A8195" s="3" t="s">
        <v>18365</v>
      </c>
      <c r="B8195" s="110" t="s">
        <v>1346</v>
      </c>
      <c r="C8195" s="111" t="s">
        <v>18366</v>
      </c>
      <c r="D8195" s="111" t="str">
        <f t="shared" ref="D8195:E8195" si="8193">TRIM(B8195)</f>
        <v>Mississippi</v>
      </c>
      <c r="E8195" s="111" t="str">
        <f t="shared" si="8193"/>
        <v>Amory</v>
      </c>
    </row>
    <row r="8196" spans="1:5">
      <c r="A8196" s="3" t="s">
        <v>18367</v>
      </c>
      <c r="B8196" s="110" t="s">
        <v>1346</v>
      </c>
      <c r="C8196" s="111" t="s">
        <v>10817</v>
      </c>
      <c r="D8196" s="111" t="str">
        <f t="shared" ref="D8196:E8196" si="8194">TRIM(B8196)</f>
        <v>Mississippi</v>
      </c>
      <c r="E8196" s="111" t="str">
        <f t="shared" si="8194"/>
        <v>Ashland</v>
      </c>
    </row>
    <row r="8197" spans="1:5">
      <c r="A8197" s="3" t="s">
        <v>3921</v>
      </c>
      <c r="B8197" s="110" t="s">
        <v>1346</v>
      </c>
      <c r="C8197" s="111" t="s">
        <v>8331</v>
      </c>
      <c r="D8197" s="111" t="str">
        <f t="shared" ref="D8197:E8197" si="8195">TRIM(B8197)</f>
        <v>Mississippi</v>
      </c>
      <c r="E8197" s="111" t="str">
        <f t="shared" si="8195"/>
        <v>Avon</v>
      </c>
    </row>
    <row r="8198" spans="1:5">
      <c r="A8198" s="3" t="s">
        <v>18368</v>
      </c>
      <c r="B8198" s="110" t="s">
        <v>1346</v>
      </c>
      <c r="C8198" s="111" t="s">
        <v>18369</v>
      </c>
      <c r="D8198" s="111" t="str">
        <f t="shared" ref="D8198:E8198" si="8196">TRIM(B8198)</f>
        <v>Mississippi</v>
      </c>
      <c r="E8198" s="111" t="str">
        <f t="shared" si="8196"/>
        <v>Baldwyn</v>
      </c>
    </row>
    <row r="8199" spans="1:5">
      <c r="A8199" s="3" t="s">
        <v>18370</v>
      </c>
      <c r="B8199" s="110" t="s">
        <v>1346</v>
      </c>
      <c r="C8199" s="111" t="s">
        <v>18371</v>
      </c>
      <c r="D8199" s="111" t="str">
        <f t="shared" ref="D8199:E8199" si="8197">TRIM(B8199)</f>
        <v>Mississippi</v>
      </c>
      <c r="E8199" s="111" t="str">
        <f t="shared" si="8197"/>
        <v>Bassfield</v>
      </c>
    </row>
    <row r="8200" spans="1:5">
      <c r="A8200" s="3" t="s">
        <v>18372</v>
      </c>
      <c r="B8200" s="110" t="s">
        <v>1346</v>
      </c>
      <c r="C8200" s="111" t="s">
        <v>3582</v>
      </c>
      <c r="D8200" s="111" t="str">
        <f t="shared" ref="D8200:E8200" si="8198">TRIM(B8200)</f>
        <v>Mississippi</v>
      </c>
      <c r="E8200" s="111" t="str">
        <f t="shared" si="8198"/>
        <v>Batesville</v>
      </c>
    </row>
    <row r="8201" spans="1:5">
      <c r="A8201" s="3" t="s">
        <v>18373</v>
      </c>
      <c r="B8201" s="110" t="s">
        <v>1346</v>
      </c>
      <c r="C8201" s="111" t="s">
        <v>11746</v>
      </c>
      <c r="D8201" s="111" t="str">
        <f t="shared" ref="D8201:E8201" si="8199">TRIM(B8201)</f>
        <v>Mississippi</v>
      </c>
      <c r="E8201" s="111" t="str">
        <f t="shared" si="8199"/>
        <v>Bay Springs</v>
      </c>
    </row>
    <row r="8202" spans="1:5">
      <c r="A8202" s="3" t="s">
        <v>3592</v>
      </c>
      <c r="B8202" s="110" t="s">
        <v>1346</v>
      </c>
      <c r="C8202" s="111" t="s">
        <v>11727</v>
      </c>
      <c r="D8202" s="111" t="str">
        <f t="shared" ref="D8202:E8202" si="8200">TRIM(B8202)</f>
        <v>Mississippi</v>
      </c>
      <c r="E8202" s="111" t="str">
        <f t="shared" si="8200"/>
        <v>Bay St Louis</v>
      </c>
    </row>
    <row r="8203" spans="1:5">
      <c r="A8203" s="3" t="s">
        <v>18374</v>
      </c>
      <c r="B8203" s="110" t="s">
        <v>1346</v>
      </c>
      <c r="C8203" s="111" t="s">
        <v>11683</v>
      </c>
      <c r="D8203" s="111" t="str">
        <f t="shared" ref="D8203:E8203" si="8201">TRIM(B8203)</f>
        <v>Mississippi</v>
      </c>
      <c r="E8203" s="111" t="str">
        <f t="shared" si="8201"/>
        <v>Belzoni</v>
      </c>
    </row>
    <row r="8204" spans="1:5">
      <c r="A8204" s="3" t="s">
        <v>18375</v>
      </c>
      <c r="B8204" s="110" t="s">
        <v>1346</v>
      </c>
      <c r="C8204" s="111" t="s">
        <v>213</v>
      </c>
      <c r="D8204" s="111" t="str">
        <f t="shared" ref="D8204:E8204" si="8202">TRIM(B8204)</f>
        <v>Mississippi</v>
      </c>
      <c r="E8204" s="111" t="str">
        <f t="shared" si="8202"/>
        <v>Biloxi</v>
      </c>
    </row>
    <row r="8205" spans="1:5">
      <c r="A8205" s="3" t="s">
        <v>18376</v>
      </c>
      <c r="B8205" s="110" t="s">
        <v>1346</v>
      </c>
      <c r="C8205" s="111" t="s">
        <v>213</v>
      </c>
      <c r="D8205" s="111" t="str">
        <f t="shared" ref="D8205:E8205" si="8203">TRIM(B8205)</f>
        <v>Mississippi</v>
      </c>
      <c r="E8205" s="111" t="str">
        <f t="shared" si="8203"/>
        <v>Biloxi</v>
      </c>
    </row>
    <row r="8206" spans="1:5">
      <c r="A8206" s="3" t="s">
        <v>3636</v>
      </c>
      <c r="B8206" s="110" t="s">
        <v>1346</v>
      </c>
      <c r="C8206" s="111" t="s">
        <v>3637</v>
      </c>
      <c r="D8206" s="111" t="str">
        <f t="shared" ref="D8206:E8206" si="8204">TRIM(B8206)</f>
        <v>Mississippi</v>
      </c>
      <c r="E8206" s="111" t="str">
        <f t="shared" si="8204"/>
        <v>Booneville</v>
      </c>
    </row>
    <row r="8207" spans="1:5">
      <c r="A8207" s="3" t="s">
        <v>9004</v>
      </c>
      <c r="B8207" s="110" t="s">
        <v>1346</v>
      </c>
      <c r="C8207" s="111" t="s">
        <v>9005</v>
      </c>
      <c r="D8207" s="111" t="str">
        <f t="shared" ref="D8207:E8207" si="8205">TRIM(B8207)</f>
        <v>Mississippi</v>
      </c>
      <c r="E8207" s="111" t="str">
        <f t="shared" si="8205"/>
        <v>Brandon</v>
      </c>
    </row>
    <row r="8208" spans="1:5">
      <c r="A8208" s="3" t="s">
        <v>18377</v>
      </c>
      <c r="B8208" s="110" t="s">
        <v>1346</v>
      </c>
      <c r="C8208" s="111" t="s">
        <v>10460</v>
      </c>
      <c r="D8208" s="111" t="str">
        <f t="shared" ref="D8208:E8208" si="8206">TRIM(B8208)</f>
        <v>Mississippi</v>
      </c>
      <c r="E8208" s="111" t="str">
        <f t="shared" si="8206"/>
        <v>Brookhaven</v>
      </c>
    </row>
    <row r="8209" spans="1:5">
      <c r="A8209" s="110" t="s">
        <v>18378</v>
      </c>
      <c r="B8209" s="110" t="s">
        <v>1346</v>
      </c>
      <c r="C8209" s="111" t="s">
        <v>10460</v>
      </c>
      <c r="D8209" s="111" t="str">
        <f t="shared" ref="D8209:E8209" si="8207">TRIM(B8209)</f>
        <v>Mississippi</v>
      </c>
      <c r="E8209" s="111" t="str">
        <f t="shared" si="8207"/>
        <v>Brookhaven</v>
      </c>
    </row>
    <row r="8210" spans="1:5">
      <c r="A8210" s="110" t="s">
        <v>18379</v>
      </c>
      <c r="B8210" s="110" t="s">
        <v>1346</v>
      </c>
      <c r="C8210" s="111" t="s">
        <v>326</v>
      </c>
      <c r="D8210" s="111" t="str">
        <f t="shared" ref="D8210:E8210" si="8208">TRIM(B8210)</f>
        <v>Mississippi</v>
      </c>
      <c r="E8210" s="111" t="str">
        <f t="shared" si="8208"/>
        <v>Brooklyn</v>
      </c>
    </row>
    <row r="8211" spans="1:5">
      <c r="A8211" s="3" t="s">
        <v>18380</v>
      </c>
      <c r="B8211" s="110" t="s">
        <v>1346</v>
      </c>
      <c r="C8211" s="111" t="s">
        <v>18381</v>
      </c>
      <c r="D8211" s="111" t="str">
        <f t="shared" ref="D8211:E8211" si="8209">TRIM(B8211)</f>
        <v>Mississippi</v>
      </c>
      <c r="E8211" s="111" t="str">
        <f t="shared" si="8209"/>
        <v>Bruce</v>
      </c>
    </row>
    <row r="8212" spans="1:5">
      <c r="A8212" s="3" t="s">
        <v>18382</v>
      </c>
      <c r="B8212" s="110" t="s">
        <v>1346</v>
      </c>
      <c r="C8212" s="111" t="s">
        <v>18383</v>
      </c>
      <c r="D8212" s="111" t="str">
        <f t="shared" ref="D8212:E8212" si="8210">TRIM(B8212)</f>
        <v>Mississippi</v>
      </c>
      <c r="E8212" s="111" t="str">
        <f t="shared" si="8210"/>
        <v>Byhalia</v>
      </c>
    </row>
    <row r="8213" spans="1:5">
      <c r="A8213" s="3" t="s">
        <v>17024</v>
      </c>
      <c r="B8213" s="110" t="s">
        <v>1346</v>
      </c>
      <c r="C8213" s="111" t="s">
        <v>2063</v>
      </c>
      <c r="D8213" s="111" t="str">
        <f t="shared" ref="D8213:E8213" si="8211">TRIM(B8213)</f>
        <v>Mississippi</v>
      </c>
      <c r="E8213" s="111" t="str">
        <f t="shared" si="8211"/>
        <v>Caledonia</v>
      </c>
    </row>
    <row r="8214" spans="1:5">
      <c r="A8214" s="3" t="s">
        <v>18384</v>
      </c>
      <c r="B8214" s="110" t="s">
        <v>1346</v>
      </c>
      <c r="C8214" s="111" t="s">
        <v>11643</v>
      </c>
      <c r="D8214" s="111" t="str">
        <f t="shared" ref="D8214:E8214" si="8212">TRIM(B8214)</f>
        <v>Mississippi</v>
      </c>
      <c r="E8214" s="111" t="str">
        <f t="shared" si="8212"/>
        <v>Calhoun City</v>
      </c>
    </row>
    <row r="8215" spans="1:5">
      <c r="A8215" s="3" t="s">
        <v>18385</v>
      </c>
      <c r="B8215" s="110" t="s">
        <v>1346</v>
      </c>
      <c r="C8215" s="111" t="s">
        <v>773</v>
      </c>
      <c r="D8215" s="111" t="str">
        <f t="shared" ref="D8215:E8215" si="8213">TRIM(B8215)</f>
        <v>Mississippi</v>
      </c>
      <c r="E8215" s="111" t="str">
        <f t="shared" si="8213"/>
        <v>Camden</v>
      </c>
    </row>
    <row r="8216" spans="1:5">
      <c r="A8216" s="3" t="s">
        <v>18386</v>
      </c>
      <c r="B8216" s="110" t="s">
        <v>1346</v>
      </c>
      <c r="C8216" s="111" t="s">
        <v>1205</v>
      </c>
      <c r="D8216" s="111" t="str">
        <f t="shared" ref="D8216:E8216" si="8214">TRIM(B8216)</f>
        <v>Mississippi</v>
      </c>
      <c r="E8216" s="111" t="str">
        <f t="shared" si="8214"/>
        <v>Canton</v>
      </c>
    </row>
    <row r="8217" spans="1:5">
      <c r="A8217" s="3" t="s">
        <v>18387</v>
      </c>
      <c r="B8217" s="110" t="s">
        <v>1346</v>
      </c>
      <c r="C8217" s="111" t="s">
        <v>18388</v>
      </c>
      <c r="D8217" s="111" t="str">
        <f t="shared" ref="D8217:E8217" si="8215">TRIM(B8217)</f>
        <v>Mississippi</v>
      </c>
      <c r="E8217" s="111" t="str">
        <f t="shared" si="8215"/>
        <v>Carriere</v>
      </c>
    </row>
    <row r="8218" spans="1:5">
      <c r="A8218" s="3" t="s">
        <v>18389</v>
      </c>
      <c r="B8218" s="110" t="s">
        <v>1346</v>
      </c>
      <c r="C8218" s="111" t="s">
        <v>12189</v>
      </c>
      <c r="D8218" s="111" t="str">
        <f t="shared" ref="D8218:E8218" si="8216">TRIM(B8218)</f>
        <v>Mississippi</v>
      </c>
      <c r="E8218" s="111" t="str">
        <f t="shared" si="8216"/>
        <v>Carthage</v>
      </c>
    </row>
    <row r="8219" spans="1:5">
      <c r="A8219" s="3" t="s">
        <v>3683</v>
      </c>
      <c r="B8219" s="110" t="s">
        <v>1346</v>
      </c>
      <c r="C8219" s="111" t="s">
        <v>3684</v>
      </c>
      <c r="D8219" s="111" t="str">
        <f t="shared" ref="D8219:E8219" si="8217">TRIM(B8219)</f>
        <v>Mississippi</v>
      </c>
      <c r="E8219" s="111" t="str">
        <f t="shared" si="8217"/>
        <v>Charleston</v>
      </c>
    </row>
    <row r="8220" spans="1:5">
      <c r="A8220" s="3" t="s">
        <v>18390</v>
      </c>
      <c r="B8220" s="110" t="s">
        <v>1346</v>
      </c>
      <c r="C8220" s="111" t="s">
        <v>284</v>
      </c>
      <c r="D8220" s="111" t="str">
        <f t="shared" ref="D8220:E8220" si="8218">TRIM(B8220)</f>
        <v>Mississippi</v>
      </c>
      <c r="E8220" s="111" t="str">
        <f t="shared" si="8218"/>
        <v>Clarksdale</v>
      </c>
    </row>
    <row r="8221" spans="1:5">
      <c r="A8221" s="3" t="s">
        <v>18391</v>
      </c>
      <c r="B8221" s="110" t="s">
        <v>1346</v>
      </c>
      <c r="C8221" s="111" t="s">
        <v>284</v>
      </c>
      <c r="D8221" s="111" t="str">
        <f t="shared" ref="D8221:E8221" si="8219">TRIM(B8221)</f>
        <v>Mississippi</v>
      </c>
      <c r="E8221" s="111" t="str">
        <f t="shared" si="8219"/>
        <v>Clarksdale</v>
      </c>
    </row>
    <row r="8222" spans="1:5">
      <c r="A8222" s="3" t="s">
        <v>18392</v>
      </c>
      <c r="B8222" s="110" t="s">
        <v>1346</v>
      </c>
      <c r="C8222" s="111" t="s">
        <v>284</v>
      </c>
      <c r="D8222" s="111" t="str">
        <f t="shared" ref="D8222:E8222" si="8220">TRIM(B8222)</f>
        <v>Mississippi</v>
      </c>
      <c r="E8222" s="111" t="str">
        <f t="shared" si="8220"/>
        <v>Clarksdale</v>
      </c>
    </row>
    <row r="8223" spans="1:5">
      <c r="A8223" s="3" t="s">
        <v>18393</v>
      </c>
      <c r="B8223" s="110" t="s">
        <v>1346</v>
      </c>
      <c r="C8223" s="111" t="s">
        <v>127</v>
      </c>
      <c r="D8223" s="111" t="str">
        <f t="shared" ref="D8223:E8223" si="8221">TRIM(B8223)</f>
        <v>Mississippi</v>
      </c>
      <c r="E8223" s="111" t="str">
        <f t="shared" si="8221"/>
        <v>Cleveland</v>
      </c>
    </row>
    <row r="8224" spans="1:5">
      <c r="A8224" s="3" t="s">
        <v>3695</v>
      </c>
      <c r="B8224" s="110" t="s">
        <v>1346</v>
      </c>
      <c r="C8224" s="111" t="s">
        <v>3697</v>
      </c>
      <c r="D8224" s="111" t="str">
        <f t="shared" ref="D8224:E8224" si="8222">TRIM(B8224)</f>
        <v>Mississippi</v>
      </c>
      <c r="E8224" s="111" t="str">
        <f t="shared" si="8222"/>
        <v>Clinton</v>
      </c>
    </row>
    <row r="8225" spans="1:5">
      <c r="A8225" s="3" t="s">
        <v>18394</v>
      </c>
      <c r="B8225" s="110" t="s">
        <v>1346</v>
      </c>
      <c r="C8225" s="111" t="s">
        <v>18395</v>
      </c>
      <c r="D8225" s="111" t="str">
        <f t="shared" ref="D8225:E8225" si="8223">TRIM(B8225)</f>
        <v>Mississippi</v>
      </c>
      <c r="E8225" s="111" t="str">
        <f t="shared" si="8223"/>
        <v>Coffeeville</v>
      </c>
    </row>
    <row r="8226" spans="1:5">
      <c r="A8226" s="3" t="s">
        <v>17072</v>
      </c>
      <c r="B8226" s="110" t="s">
        <v>1346</v>
      </c>
      <c r="C8226" s="111" t="s">
        <v>15231</v>
      </c>
      <c r="D8226" s="111" t="str">
        <f t="shared" ref="D8226:E8226" si="8224">TRIM(B8226)</f>
        <v>Mississippi</v>
      </c>
      <c r="E8226" s="111" t="str">
        <f t="shared" si="8224"/>
        <v>Coldwater</v>
      </c>
    </row>
    <row r="8227" spans="1:5">
      <c r="A8227" s="3" t="s">
        <v>18396</v>
      </c>
      <c r="B8227" s="110" t="s">
        <v>1346</v>
      </c>
      <c r="C8227" s="111" t="s">
        <v>18397</v>
      </c>
      <c r="D8227" s="111" t="str">
        <f t="shared" ref="D8227:E8227" si="8225">TRIM(B8227)</f>
        <v>Mississippi</v>
      </c>
      <c r="E8227" s="111" t="str">
        <f t="shared" si="8225"/>
        <v>Collins</v>
      </c>
    </row>
    <row r="8228" spans="1:5">
      <c r="A8228" s="3" t="s">
        <v>18398</v>
      </c>
      <c r="B8228" s="110" t="s">
        <v>1346</v>
      </c>
      <c r="C8228" s="111" t="s">
        <v>801</v>
      </c>
      <c r="D8228" s="111" t="str">
        <f t="shared" ref="D8228:E8228" si="8226">TRIM(B8228)</f>
        <v>Mississippi</v>
      </c>
      <c r="E8228" s="111" t="str">
        <f t="shared" si="8226"/>
        <v>Collinsville</v>
      </c>
    </row>
    <row r="8229" spans="1:5">
      <c r="A8229" s="3" t="s">
        <v>1870</v>
      </c>
      <c r="B8229" s="110" t="s">
        <v>1346</v>
      </c>
      <c r="C8229" s="111" t="s">
        <v>356</v>
      </c>
      <c r="D8229" s="111" t="str">
        <f t="shared" ref="D8229:E8229" si="8227">TRIM(B8229)</f>
        <v>Mississippi</v>
      </c>
      <c r="E8229" s="111" t="str">
        <f t="shared" si="8227"/>
        <v>Columbia</v>
      </c>
    </row>
    <row r="8230" spans="1:5">
      <c r="A8230" s="3" t="s">
        <v>18399</v>
      </c>
      <c r="B8230" s="110" t="s">
        <v>1346</v>
      </c>
      <c r="C8230" s="111" t="s">
        <v>356</v>
      </c>
      <c r="D8230" s="111" t="str">
        <f t="shared" ref="D8230:E8230" si="8228">TRIM(B8230)</f>
        <v>Mississippi</v>
      </c>
      <c r="E8230" s="111" t="str">
        <f t="shared" si="8228"/>
        <v>Columbia</v>
      </c>
    </row>
    <row r="8231" spans="1:5">
      <c r="A8231" s="3" t="s">
        <v>10563</v>
      </c>
      <c r="B8231" s="110" t="s">
        <v>1346</v>
      </c>
      <c r="C8231" s="111" t="s">
        <v>138</v>
      </c>
      <c r="D8231" s="111" t="str">
        <f t="shared" ref="D8231:E8231" si="8229">TRIM(B8231)</f>
        <v>Mississippi</v>
      </c>
      <c r="E8231" s="111" t="str">
        <f t="shared" si="8229"/>
        <v>Columbus</v>
      </c>
    </row>
    <row r="8232" spans="1:5">
      <c r="A8232" s="110" t="s">
        <v>18400</v>
      </c>
      <c r="B8232" s="110" t="s">
        <v>1346</v>
      </c>
      <c r="C8232" s="111" t="s">
        <v>138</v>
      </c>
      <c r="D8232" s="111" t="str">
        <f t="shared" ref="D8232:E8232" si="8230">TRIM(B8232)</f>
        <v>Mississippi</v>
      </c>
      <c r="E8232" s="111" t="str">
        <f t="shared" si="8230"/>
        <v>Columbus</v>
      </c>
    </row>
    <row r="8233" spans="1:5">
      <c r="A8233" s="3" t="s">
        <v>2018</v>
      </c>
      <c r="B8233" s="110" t="s">
        <v>1346</v>
      </c>
      <c r="C8233" s="111" t="s">
        <v>138</v>
      </c>
      <c r="D8233" s="111" t="str">
        <f t="shared" ref="D8233:E8233" si="8231">TRIM(B8233)</f>
        <v>Mississippi</v>
      </c>
      <c r="E8233" s="111" t="str">
        <f t="shared" si="8231"/>
        <v>Columbus</v>
      </c>
    </row>
    <row r="8234" spans="1:5">
      <c r="A8234" s="3" t="s">
        <v>18401</v>
      </c>
      <c r="B8234" s="110" t="s">
        <v>1346</v>
      </c>
      <c r="C8234" s="111" t="s">
        <v>138</v>
      </c>
      <c r="D8234" s="111" t="str">
        <f t="shared" ref="D8234:E8234" si="8232">TRIM(B8234)</f>
        <v>Mississippi</v>
      </c>
      <c r="E8234" s="111" t="str">
        <f t="shared" si="8232"/>
        <v>Columbus</v>
      </c>
    </row>
    <row r="8235" spans="1:5">
      <c r="A8235" s="3" t="s">
        <v>18402</v>
      </c>
      <c r="B8235" s="110" t="s">
        <v>1346</v>
      </c>
      <c r="C8235" s="111" t="s">
        <v>16190</v>
      </c>
      <c r="D8235" s="111" t="str">
        <f t="shared" ref="D8235:E8235" si="8233">TRIM(B8235)</f>
        <v>Mississippi</v>
      </c>
      <c r="E8235" s="111" t="str">
        <f t="shared" si="8233"/>
        <v>Corinth</v>
      </c>
    </row>
    <row r="8236" spans="1:5">
      <c r="A8236" s="3" t="s">
        <v>18403</v>
      </c>
      <c r="B8236" s="110" t="s">
        <v>1346</v>
      </c>
      <c r="C8236" s="111" t="s">
        <v>16190</v>
      </c>
      <c r="D8236" s="111" t="str">
        <f t="shared" ref="D8236:E8236" si="8234">TRIM(B8236)</f>
        <v>Mississippi</v>
      </c>
      <c r="E8236" s="111" t="str">
        <f t="shared" si="8234"/>
        <v>Corinth</v>
      </c>
    </row>
    <row r="8237" spans="1:5">
      <c r="A8237" s="3" t="s">
        <v>18404</v>
      </c>
      <c r="B8237" s="110" t="s">
        <v>1346</v>
      </c>
      <c r="C8237" s="111" t="s">
        <v>16190</v>
      </c>
      <c r="D8237" s="111" t="str">
        <f t="shared" ref="D8237:E8237" si="8235">TRIM(B8237)</f>
        <v>Mississippi</v>
      </c>
      <c r="E8237" s="111" t="str">
        <f t="shared" si="8235"/>
        <v>Corinth</v>
      </c>
    </row>
    <row r="8238" spans="1:5">
      <c r="A8238" s="3" t="s">
        <v>18405</v>
      </c>
      <c r="B8238" s="110" t="s">
        <v>1346</v>
      </c>
      <c r="C8238" s="111" t="s">
        <v>18406</v>
      </c>
      <c r="D8238" s="111" t="str">
        <f t="shared" ref="D8238:E8238" si="8236">TRIM(B8238)</f>
        <v>Mississippi</v>
      </c>
      <c r="E8238" s="111" t="str">
        <f t="shared" si="8236"/>
        <v>Crystal Springs</v>
      </c>
    </row>
    <row r="8239" spans="1:5">
      <c r="A8239" s="3" t="s">
        <v>18407</v>
      </c>
      <c r="B8239" s="110" t="s">
        <v>1346</v>
      </c>
      <c r="C8239" s="111" t="s">
        <v>1686</v>
      </c>
      <c r="D8239" s="111" t="str">
        <f t="shared" ref="D8239:E8239" si="8237">TRIM(B8239)</f>
        <v>Mississippi</v>
      </c>
      <c r="E8239" s="111" t="str">
        <f t="shared" si="8237"/>
        <v>Decatur</v>
      </c>
    </row>
    <row r="8240" spans="1:5">
      <c r="A8240" s="3" t="s">
        <v>18408</v>
      </c>
      <c r="B8240" s="110" t="s">
        <v>1346</v>
      </c>
      <c r="C8240" s="111" t="s">
        <v>12753</v>
      </c>
      <c r="D8240" s="111" t="str">
        <f t="shared" ref="D8240:E8240" si="8238">TRIM(B8240)</f>
        <v>Mississippi</v>
      </c>
      <c r="E8240" s="111" t="str">
        <f t="shared" si="8238"/>
        <v>Dekalb</v>
      </c>
    </row>
    <row r="8241" spans="1:5">
      <c r="A8241" s="3" t="s">
        <v>18409</v>
      </c>
      <c r="B8241" s="110" t="s">
        <v>1346</v>
      </c>
      <c r="C8241" s="111" t="s">
        <v>18410</v>
      </c>
      <c r="D8241" s="111" t="str">
        <f t="shared" ref="D8241:E8241" si="8239">TRIM(B8241)</f>
        <v>Mississippi</v>
      </c>
      <c r="E8241" s="111" t="str">
        <f t="shared" si="8239"/>
        <v>Ecru</v>
      </c>
    </row>
    <row r="8242" spans="1:5">
      <c r="A8242" s="3" t="s">
        <v>18411</v>
      </c>
      <c r="B8242" s="110" t="s">
        <v>1346</v>
      </c>
      <c r="C8242" s="111" t="s">
        <v>18412</v>
      </c>
      <c r="D8242" s="111" t="str">
        <f t="shared" ref="D8242:E8242" si="8240">TRIM(B8242)</f>
        <v>Mississippi</v>
      </c>
      <c r="E8242" s="111" t="str">
        <f t="shared" si="8240"/>
        <v>Ellisville</v>
      </c>
    </row>
    <row r="8243" spans="1:5">
      <c r="A8243" s="3" t="s">
        <v>1727</v>
      </c>
      <c r="B8243" s="110" t="s">
        <v>1346</v>
      </c>
      <c r="C8243" s="111" t="s">
        <v>1728</v>
      </c>
      <c r="D8243" s="111" t="str">
        <f t="shared" ref="D8243:E8243" si="8241">TRIM(B8243)</f>
        <v>Mississippi</v>
      </c>
      <c r="E8243" s="111" t="str">
        <f t="shared" si="8241"/>
        <v>Enterprise</v>
      </c>
    </row>
    <row r="8244" spans="1:5">
      <c r="A8244" s="110" t="s">
        <v>18413</v>
      </c>
      <c r="B8244" s="110" t="s">
        <v>1346</v>
      </c>
      <c r="C8244" s="111" t="s">
        <v>18414</v>
      </c>
      <c r="D8244" s="111" t="str">
        <f t="shared" ref="D8244:E8244" si="8242">TRIM(B8244)</f>
        <v>Mississippi</v>
      </c>
      <c r="E8244" s="111" t="str">
        <f t="shared" si="8242"/>
        <v>Ethel</v>
      </c>
    </row>
    <row r="8245" spans="1:5">
      <c r="A8245" s="3" t="s">
        <v>18415</v>
      </c>
      <c r="B8245" s="110" t="s">
        <v>1346</v>
      </c>
      <c r="C8245" s="111" t="s">
        <v>18416</v>
      </c>
      <c r="D8245" s="111" t="str">
        <f t="shared" ref="D8245:E8245" si="8243">TRIM(B8245)</f>
        <v>Mississippi</v>
      </c>
      <c r="E8245" s="111" t="str">
        <f t="shared" si="8243"/>
        <v>Eupora</v>
      </c>
    </row>
    <row r="8246" spans="1:5">
      <c r="A8246" s="3" t="s">
        <v>18417</v>
      </c>
      <c r="B8246" s="110" t="s">
        <v>1346</v>
      </c>
      <c r="C8246" s="111" t="s">
        <v>18418</v>
      </c>
      <c r="D8246" s="111" t="str">
        <f t="shared" ref="D8246:E8246" si="8244">TRIM(B8246)</f>
        <v>Mississippi</v>
      </c>
      <c r="E8246" s="111" t="str">
        <f t="shared" si="8244"/>
        <v>Falkner</v>
      </c>
    </row>
    <row r="8247" spans="1:5">
      <c r="A8247" s="3" t="s">
        <v>18419</v>
      </c>
      <c r="B8247" s="110" t="s">
        <v>1346</v>
      </c>
      <c r="C8247" s="111" t="s">
        <v>1747</v>
      </c>
      <c r="D8247" s="111" t="str">
        <f t="shared" ref="D8247:E8247" si="8245">TRIM(B8247)</f>
        <v>Mississippi</v>
      </c>
      <c r="E8247" s="111" t="str">
        <f t="shared" si="8245"/>
        <v>Fayette</v>
      </c>
    </row>
    <row r="8248" spans="1:5">
      <c r="A8248" s="3" t="s">
        <v>1754</v>
      </c>
      <c r="B8248" s="110" t="s">
        <v>1346</v>
      </c>
      <c r="C8248" s="111" t="s">
        <v>1756</v>
      </c>
      <c r="D8248" s="111" t="str">
        <f t="shared" ref="D8248:E8248" si="8246">TRIM(B8248)</f>
        <v>Mississippi</v>
      </c>
      <c r="E8248" s="111" t="str">
        <f t="shared" si="8246"/>
        <v>Florence</v>
      </c>
    </row>
    <row r="8249" spans="1:5">
      <c r="A8249" s="110" t="s">
        <v>18420</v>
      </c>
      <c r="B8249" s="110" t="s">
        <v>1346</v>
      </c>
      <c r="C8249" s="111" t="s">
        <v>1756</v>
      </c>
      <c r="D8249" s="111" t="str">
        <f t="shared" ref="D8249:E8249" si="8247">TRIM(B8249)</f>
        <v>Mississippi</v>
      </c>
      <c r="E8249" s="111" t="str">
        <f t="shared" si="8247"/>
        <v>Florence</v>
      </c>
    </row>
    <row r="8250" spans="1:5">
      <c r="A8250" s="3" t="s">
        <v>18421</v>
      </c>
      <c r="B8250" s="110" t="s">
        <v>1346</v>
      </c>
      <c r="C8250" s="111" t="s">
        <v>18422</v>
      </c>
      <c r="D8250" s="111" t="str">
        <f t="shared" ref="D8250:E8250" si="8248">TRIM(B8250)</f>
        <v>Mississippi</v>
      </c>
      <c r="E8250" s="111" t="str">
        <f t="shared" si="8248"/>
        <v>Flowood</v>
      </c>
    </row>
    <row r="8251" spans="1:5">
      <c r="A8251" s="3" t="s">
        <v>9799</v>
      </c>
      <c r="B8251" s="110" t="s">
        <v>1346</v>
      </c>
      <c r="C8251" s="111" t="s">
        <v>18423</v>
      </c>
      <c r="D8251" s="111" t="str">
        <f t="shared" ref="D8251:E8251" si="8249">TRIM(B8251)</f>
        <v>Mississippi</v>
      </c>
      <c r="E8251" s="111" t="str">
        <f t="shared" si="8249"/>
        <v>Forest</v>
      </c>
    </row>
    <row r="8252" spans="1:5">
      <c r="A8252" s="3" t="s">
        <v>18424</v>
      </c>
      <c r="B8252" s="110" t="s">
        <v>1346</v>
      </c>
      <c r="C8252" s="111" t="s">
        <v>18425</v>
      </c>
      <c r="D8252" s="111" t="str">
        <f t="shared" ref="D8252:E8252" si="8250">TRIM(B8252)</f>
        <v>Mississippi</v>
      </c>
      <c r="E8252" s="111" t="str">
        <f t="shared" si="8250"/>
        <v>Foxworth</v>
      </c>
    </row>
    <row r="8253" spans="1:5">
      <c r="A8253" s="3" t="s">
        <v>18426</v>
      </c>
      <c r="B8253" s="110" t="s">
        <v>1346</v>
      </c>
      <c r="C8253" s="111" t="s">
        <v>12926</v>
      </c>
      <c r="D8253" s="111" t="str">
        <f t="shared" ref="D8253:E8253" si="8251">TRIM(B8253)</f>
        <v>Mississippi</v>
      </c>
      <c r="E8253" s="111" t="str">
        <f t="shared" si="8251"/>
        <v>Fulton</v>
      </c>
    </row>
    <row r="8254" spans="1:5">
      <c r="A8254" s="3" t="s">
        <v>18427</v>
      </c>
      <c r="B8254" s="110" t="s">
        <v>1346</v>
      </c>
      <c r="C8254" s="111" t="s">
        <v>18428</v>
      </c>
      <c r="D8254" s="111" t="str">
        <f t="shared" ref="D8254:E8254" si="8252">TRIM(B8254)</f>
        <v>Mississippi</v>
      </c>
      <c r="E8254" s="111" t="str">
        <f t="shared" si="8252"/>
        <v>Gautier</v>
      </c>
    </row>
    <row r="8255" spans="1:5">
      <c r="A8255" s="3" t="s">
        <v>18429</v>
      </c>
      <c r="B8255" s="110" t="s">
        <v>1346</v>
      </c>
      <c r="C8255" s="111" t="s">
        <v>18430</v>
      </c>
      <c r="D8255" s="111" t="str">
        <f t="shared" ref="D8255:E8255" si="8253">TRIM(B8255)</f>
        <v>Mississippi</v>
      </c>
      <c r="E8255" s="111" t="str">
        <f t="shared" si="8253"/>
        <v>Glen</v>
      </c>
    </row>
    <row r="8256" spans="1:5">
      <c r="A8256" s="3" t="s">
        <v>1803</v>
      </c>
      <c r="B8256" s="110" t="s">
        <v>1346</v>
      </c>
      <c r="C8256" s="111" t="s">
        <v>1804</v>
      </c>
      <c r="D8256" s="111" t="str">
        <f t="shared" ref="D8256:E8256" si="8254">TRIM(B8256)</f>
        <v>Mississippi</v>
      </c>
      <c r="E8256" s="111" t="str">
        <f t="shared" si="8254"/>
        <v>Greenville</v>
      </c>
    </row>
    <row r="8257" spans="1:5">
      <c r="A8257" s="3" t="s">
        <v>18431</v>
      </c>
      <c r="B8257" s="110" t="s">
        <v>1346</v>
      </c>
      <c r="C8257" s="111" t="s">
        <v>1804</v>
      </c>
      <c r="D8257" s="111" t="str">
        <f t="shared" ref="D8257:E8257" si="8255">TRIM(B8257)</f>
        <v>Mississippi</v>
      </c>
      <c r="E8257" s="111" t="str">
        <f t="shared" si="8255"/>
        <v>Greenville</v>
      </c>
    </row>
    <row r="8258" spans="1:5">
      <c r="A8258" s="3" t="s">
        <v>18432</v>
      </c>
      <c r="B8258" s="110" t="s">
        <v>1346</v>
      </c>
      <c r="C8258" s="111" t="s">
        <v>3820</v>
      </c>
      <c r="D8258" s="111" t="str">
        <f t="shared" ref="D8258:E8258" si="8256">TRIM(B8258)</f>
        <v>Mississippi</v>
      </c>
      <c r="E8258" s="111" t="str">
        <f t="shared" si="8256"/>
        <v>Greenwood</v>
      </c>
    </row>
    <row r="8259" spans="1:5">
      <c r="A8259" s="3" t="s">
        <v>3819</v>
      </c>
      <c r="B8259" s="110" t="s">
        <v>1346</v>
      </c>
      <c r="C8259" s="111" t="s">
        <v>3820</v>
      </c>
      <c r="D8259" s="111" t="str">
        <f t="shared" ref="D8259:E8259" si="8257">TRIM(B8259)</f>
        <v>Mississippi</v>
      </c>
      <c r="E8259" s="111" t="str">
        <f t="shared" si="8257"/>
        <v>Greenwood</v>
      </c>
    </row>
    <row r="8260" spans="1:5">
      <c r="A8260" s="3" t="s">
        <v>18433</v>
      </c>
      <c r="B8260" s="110" t="s">
        <v>1346</v>
      </c>
      <c r="C8260" s="111" t="s">
        <v>11691</v>
      </c>
      <c r="D8260" s="111" t="str">
        <f t="shared" ref="D8260:E8260" si="8258">TRIM(B8260)</f>
        <v>Mississippi</v>
      </c>
      <c r="E8260" s="111" t="str">
        <f t="shared" si="8258"/>
        <v>Grenada</v>
      </c>
    </row>
    <row r="8261" spans="1:5">
      <c r="A8261" s="3" t="s">
        <v>18434</v>
      </c>
      <c r="B8261" s="110" t="s">
        <v>1346</v>
      </c>
      <c r="C8261" s="111" t="s">
        <v>4748</v>
      </c>
      <c r="D8261" s="111" t="str">
        <f t="shared" ref="D8261:E8261" si="8259">TRIM(B8261)</f>
        <v>Mississippi</v>
      </c>
      <c r="E8261" s="111" t="str">
        <f t="shared" si="8259"/>
        <v>Gulfport</v>
      </c>
    </row>
    <row r="8262" spans="1:5">
      <c r="A8262" s="3" t="s">
        <v>18435</v>
      </c>
      <c r="B8262" s="110" t="s">
        <v>1346</v>
      </c>
      <c r="C8262" s="111" t="s">
        <v>4748</v>
      </c>
      <c r="D8262" s="111" t="str">
        <f t="shared" ref="D8262:E8262" si="8260">TRIM(B8262)</f>
        <v>Mississippi</v>
      </c>
      <c r="E8262" s="111" t="str">
        <f t="shared" si="8260"/>
        <v>Gulfport</v>
      </c>
    </row>
    <row r="8263" spans="1:5">
      <c r="A8263" s="110" t="s">
        <v>18436</v>
      </c>
      <c r="B8263" s="110" t="s">
        <v>1346</v>
      </c>
      <c r="C8263" s="111" t="s">
        <v>4748</v>
      </c>
      <c r="D8263" s="111" t="str">
        <f t="shared" ref="D8263:E8263" si="8261">TRIM(B8263)</f>
        <v>Mississippi</v>
      </c>
      <c r="E8263" s="111" t="str">
        <f t="shared" si="8261"/>
        <v>Gulfport</v>
      </c>
    </row>
    <row r="8264" spans="1:5">
      <c r="A8264" s="3" t="s">
        <v>14969</v>
      </c>
      <c r="B8264" s="110" t="s">
        <v>1346</v>
      </c>
      <c r="C8264" s="111" t="s">
        <v>4748</v>
      </c>
      <c r="D8264" s="111" t="str">
        <f t="shared" ref="D8264:E8264" si="8262">TRIM(B8264)</f>
        <v>Mississippi</v>
      </c>
      <c r="E8264" s="111" t="str">
        <f t="shared" si="8262"/>
        <v>Gulfport</v>
      </c>
    </row>
    <row r="8265" spans="1:5">
      <c r="A8265" s="3" t="s">
        <v>18437</v>
      </c>
      <c r="B8265" s="110" t="s">
        <v>1346</v>
      </c>
      <c r="C8265" s="111" t="s">
        <v>5084</v>
      </c>
      <c r="D8265" s="111" t="str">
        <f t="shared" ref="D8265:E8265" si="8263">TRIM(B8265)</f>
        <v>Mississippi</v>
      </c>
      <c r="E8265" s="111" t="str">
        <f t="shared" si="8263"/>
        <v>Hattiesburg</v>
      </c>
    </row>
    <row r="8266" spans="1:5">
      <c r="A8266" s="3" t="s">
        <v>18438</v>
      </c>
      <c r="B8266" s="110" t="s">
        <v>1346</v>
      </c>
      <c r="C8266" s="111" t="s">
        <v>5084</v>
      </c>
      <c r="D8266" s="111" t="str">
        <f t="shared" ref="D8266:E8266" si="8264">TRIM(B8266)</f>
        <v>Mississippi</v>
      </c>
      <c r="E8266" s="111" t="str">
        <f t="shared" si="8264"/>
        <v>Hattiesburg</v>
      </c>
    </row>
    <row r="8267" spans="1:5">
      <c r="A8267" s="3" t="s">
        <v>1547</v>
      </c>
      <c r="B8267" s="110" t="s">
        <v>1346</v>
      </c>
      <c r="C8267" s="111" t="s">
        <v>5084</v>
      </c>
      <c r="D8267" s="111" t="str">
        <f t="shared" ref="D8267:E8267" si="8265">TRIM(B8267)</f>
        <v>Mississippi</v>
      </c>
      <c r="E8267" s="111" t="str">
        <f t="shared" si="8265"/>
        <v>Hattiesburg</v>
      </c>
    </row>
    <row r="8268" spans="1:5">
      <c r="A8268" s="3" t="s">
        <v>18439</v>
      </c>
      <c r="B8268" s="110" t="s">
        <v>1346</v>
      </c>
      <c r="C8268" s="111" t="s">
        <v>10857</v>
      </c>
      <c r="D8268" s="111" t="str">
        <f t="shared" ref="D8268:E8268" si="8266">TRIM(B8268)</f>
        <v>Mississippi</v>
      </c>
      <c r="E8268" s="111" t="str">
        <f t="shared" si="8266"/>
        <v>Hazlehurst</v>
      </c>
    </row>
    <row r="8269" spans="1:5">
      <c r="A8269" s="3" t="s">
        <v>18440</v>
      </c>
      <c r="B8269" s="110" t="s">
        <v>1346</v>
      </c>
      <c r="C8269" s="111" t="s">
        <v>18441</v>
      </c>
      <c r="D8269" s="111" t="str">
        <f t="shared" ref="D8269:E8269" si="8267">TRIM(B8269)</f>
        <v>Mississippi</v>
      </c>
      <c r="E8269" s="111" t="str">
        <f t="shared" si="8267"/>
        <v>Heidelberg</v>
      </c>
    </row>
    <row r="8270" spans="1:5">
      <c r="A8270" s="3" t="s">
        <v>9018</v>
      </c>
      <c r="B8270" s="110" t="s">
        <v>1346</v>
      </c>
      <c r="C8270" s="111" t="s">
        <v>18442</v>
      </c>
      <c r="D8270" s="111" t="str">
        <f t="shared" ref="D8270:E8270" si="8268">TRIM(B8270)</f>
        <v>Mississippi</v>
      </c>
      <c r="E8270" s="111" t="str">
        <f t="shared" si="8268"/>
        <v>Hernando</v>
      </c>
    </row>
    <row r="8271" spans="1:5">
      <c r="A8271" s="3" t="s">
        <v>18443</v>
      </c>
      <c r="B8271" s="110" t="s">
        <v>1346</v>
      </c>
      <c r="C8271" s="111" t="s">
        <v>18444</v>
      </c>
      <c r="D8271" s="111" t="str">
        <f t="shared" ref="D8271:E8271" si="8269">TRIM(B8271)</f>
        <v>Mississippi</v>
      </c>
      <c r="E8271" s="111" t="str">
        <f t="shared" si="8269"/>
        <v>Hollandale</v>
      </c>
    </row>
    <row r="8272" spans="1:5">
      <c r="A8272" s="3" t="s">
        <v>18445</v>
      </c>
      <c r="B8272" s="110" t="s">
        <v>1346</v>
      </c>
      <c r="C8272" s="111" t="s">
        <v>8131</v>
      </c>
      <c r="D8272" s="111" t="str">
        <f t="shared" ref="D8272:E8272" si="8270">TRIM(B8272)</f>
        <v>Mississippi</v>
      </c>
      <c r="E8272" s="111" t="str">
        <f t="shared" si="8270"/>
        <v>Holly Springs</v>
      </c>
    </row>
    <row r="8273" spans="1:5">
      <c r="A8273" s="3" t="s">
        <v>18446</v>
      </c>
      <c r="B8273" s="110" t="s">
        <v>1346</v>
      </c>
      <c r="C8273" s="111" t="s">
        <v>8131</v>
      </c>
      <c r="D8273" s="111" t="str">
        <f t="shared" ref="D8273:E8273" si="8271">TRIM(B8273)</f>
        <v>Mississippi</v>
      </c>
      <c r="E8273" s="111" t="str">
        <f t="shared" si="8271"/>
        <v>Holly Springs</v>
      </c>
    </row>
    <row r="8274" spans="1:5">
      <c r="A8274" s="3" t="s">
        <v>18447</v>
      </c>
      <c r="B8274" s="110" t="s">
        <v>1346</v>
      </c>
      <c r="C8274" s="111" t="s">
        <v>18448</v>
      </c>
      <c r="D8274" s="111" t="str">
        <f t="shared" ref="D8274:E8274" si="8272">TRIM(B8274)</f>
        <v>Mississippi</v>
      </c>
      <c r="E8274" s="111" t="str">
        <f t="shared" si="8272"/>
        <v>Horn Lake</v>
      </c>
    </row>
    <row r="8275" spans="1:5">
      <c r="A8275" s="3" t="s">
        <v>2358</v>
      </c>
      <c r="B8275" s="110" t="s">
        <v>1346</v>
      </c>
      <c r="C8275" s="111" t="s">
        <v>368</v>
      </c>
      <c r="D8275" s="111" t="str">
        <f t="shared" ref="D8275:E8275" si="8273">TRIM(B8275)</f>
        <v>Mississippi</v>
      </c>
      <c r="E8275" s="111" t="str">
        <f t="shared" si="8273"/>
        <v>Houston</v>
      </c>
    </row>
    <row r="8276" spans="1:5">
      <c r="A8276" s="3" t="s">
        <v>14608</v>
      </c>
      <c r="B8276" s="110" t="s">
        <v>1346</v>
      </c>
      <c r="C8276" s="111" t="s">
        <v>18449</v>
      </c>
      <c r="D8276" s="111" t="str">
        <f t="shared" ref="D8276:E8276" si="8274">TRIM(B8276)</f>
        <v>Mississippi</v>
      </c>
      <c r="E8276" s="111" t="str">
        <f t="shared" si="8274"/>
        <v>Hurley</v>
      </c>
    </row>
    <row r="8277" spans="1:5">
      <c r="A8277" s="3" t="s">
        <v>2727</v>
      </c>
      <c r="B8277" s="110" t="s">
        <v>1346</v>
      </c>
      <c r="C8277" s="111" t="s">
        <v>5323</v>
      </c>
      <c r="D8277" s="111" t="str">
        <f t="shared" ref="D8277:E8277" si="8275">TRIM(B8277)</f>
        <v>Mississippi</v>
      </c>
      <c r="E8277" s="111" t="str">
        <f t="shared" si="8275"/>
        <v>Independence</v>
      </c>
    </row>
    <row r="8278" spans="1:5">
      <c r="A8278" s="3" t="s">
        <v>18450</v>
      </c>
      <c r="B8278" s="110" t="s">
        <v>1346</v>
      </c>
      <c r="C8278" s="111" t="s">
        <v>14885</v>
      </c>
      <c r="D8278" s="111" t="str">
        <f t="shared" ref="D8278:E8278" si="8276">TRIM(B8278)</f>
        <v>Mississippi</v>
      </c>
      <c r="E8278" s="111" t="str">
        <f t="shared" si="8276"/>
        <v>Indianola</v>
      </c>
    </row>
    <row r="8279" spans="1:5">
      <c r="A8279" s="3" t="s">
        <v>18451</v>
      </c>
      <c r="B8279" s="110" t="s">
        <v>1346</v>
      </c>
      <c r="C8279" s="111" t="s">
        <v>18452</v>
      </c>
      <c r="D8279" s="111" t="str">
        <f t="shared" ref="D8279:E8279" si="8277">TRIM(B8279)</f>
        <v>Mississippi</v>
      </c>
      <c r="E8279" s="111" t="str">
        <f t="shared" si="8277"/>
        <v>Itta Bena</v>
      </c>
    </row>
    <row r="8280" spans="1:5">
      <c r="A8280" s="3" t="s">
        <v>18453</v>
      </c>
      <c r="B8280" s="110" t="s">
        <v>1346</v>
      </c>
      <c r="C8280" s="111" t="s">
        <v>18454</v>
      </c>
      <c r="D8280" s="111" t="str">
        <f t="shared" ref="D8280:E8280" si="8278">TRIM(B8280)</f>
        <v>Mississippi</v>
      </c>
      <c r="E8280" s="111" t="str">
        <f t="shared" si="8278"/>
        <v>Iuka</v>
      </c>
    </row>
    <row r="8281" spans="1:5">
      <c r="A8281" s="3" t="s">
        <v>10875</v>
      </c>
      <c r="B8281" s="110" t="s">
        <v>1346</v>
      </c>
      <c r="C8281" s="111" t="s">
        <v>297</v>
      </c>
      <c r="D8281" s="111" t="str">
        <f t="shared" ref="D8281:E8281" si="8279">TRIM(B8281)</f>
        <v>Mississippi</v>
      </c>
      <c r="E8281" s="111" t="str">
        <f t="shared" si="8279"/>
        <v>Jackson</v>
      </c>
    </row>
    <row r="8282" spans="1:5">
      <c r="A8282" s="3" t="s">
        <v>18455</v>
      </c>
      <c r="B8282" s="110" t="s">
        <v>1346</v>
      </c>
      <c r="C8282" s="111" t="s">
        <v>297</v>
      </c>
      <c r="D8282" s="111" t="str">
        <f t="shared" ref="D8282:E8282" si="8280">TRIM(B8282)</f>
        <v>Mississippi</v>
      </c>
      <c r="E8282" s="111" t="str">
        <f t="shared" si="8280"/>
        <v>Jackson</v>
      </c>
    </row>
    <row r="8283" spans="1:5">
      <c r="A8283" s="3" t="s">
        <v>18456</v>
      </c>
      <c r="B8283" s="110" t="s">
        <v>1346</v>
      </c>
      <c r="C8283" s="111" t="s">
        <v>297</v>
      </c>
      <c r="D8283" s="111" t="str">
        <f t="shared" ref="D8283:E8283" si="8281">TRIM(B8283)</f>
        <v>Mississippi</v>
      </c>
      <c r="E8283" s="111" t="str">
        <f t="shared" si="8281"/>
        <v>Jackson</v>
      </c>
    </row>
    <row r="8284" spans="1:5">
      <c r="A8284" s="3" t="s">
        <v>11314</v>
      </c>
      <c r="B8284" s="110" t="s">
        <v>1346</v>
      </c>
      <c r="C8284" s="111" t="s">
        <v>297</v>
      </c>
      <c r="D8284" s="111" t="str">
        <f t="shared" ref="D8284:E8284" si="8282">TRIM(B8284)</f>
        <v>Mississippi</v>
      </c>
      <c r="E8284" s="111" t="str">
        <f t="shared" si="8282"/>
        <v>Jackson</v>
      </c>
    </row>
    <row r="8285" spans="1:5">
      <c r="A8285" s="3" t="s">
        <v>18457</v>
      </c>
      <c r="B8285" s="110" t="s">
        <v>1346</v>
      </c>
      <c r="C8285" s="111" t="s">
        <v>297</v>
      </c>
      <c r="D8285" s="111" t="str">
        <f t="shared" ref="D8285:E8285" si="8283">TRIM(B8285)</f>
        <v>Mississippi</v>
      </c>
      <c r="E8285" s="111" t="str">
        <f t="shared" si="8283"/>
        <v>Jackson</v>
      </c>
    </row>
    <row r="8286" spans="1:5">
      <c r="A8286" s="3" t="s">
        <v>18458</v>
      </c>
      <c r="B8286" s="110" t="s">
        <v>1346</v>
      </c>
      <c r="C8286" s="111" t="s">
        <v>297</v>
      </c>
      <c r="D8286" s="111" t="str">
        <f t="shared" ref="D8286:E8286" si="8284">TRIM(B8286)</f>
        <v>Mississippi</v>
      </c>
      <c r="E8286" s="111" t="str">
        <f t="shared" si="8284"/>
        <v>Jackson</v>
      </c>
    </row>
    <row r="8287" spans="1:5">
      <c r="A8287" s="3" t="s">
        <v>18459</v>
      </c>
      <c r="B8287" s="110" t="s">
        <v>1346</v>
      </c>
      <c r="C8287" s="111" t="s">
        <v>297</v>
      </c>
      <c r="D8287" s="111" t="str">
        <f t="shared" ref="D8287:E8287" si="8285">TRIM(B8287)</f>
        <v>Mississippi</v>
      </c>
      <c r="E8287" s="111" t="str">
        <f t="shared" si="8285"/>
        <v>Jackson</v>
      </c>
    </row>
    <row r="8288" spans="1:5">
      <c r="A8288" s="3" t="s">
        <v>18460</v>
      </c>
      <c r="B8288" s="110" t="s">
        <v>1346</v>
      </c>
      <c r="C8288" s="111" t="s">
        <v>18461</v>
      </c>
      <c r="D8288" s="111" t="str">
        <f t="shared" ref="D8288:E8288" si="8286">TRIM(B8288)</f>
        <v>Mississippi</v>
      </c>
      <c r="E8288" s="111" t="str">
        <f t="shared" si="8286"/>
        <v>Kiln</v>
      </c>
    </row>
    <row r="8289" spans="1:5">
      <c r="A8289" s="3" t="s">
        <v>18462</v>
      </c>
      <c r="B8289" s="110" t="s">
        <v>1346</v>
      </c>
      <c r="C8289" s="111" t="s">
        <v>18463</v>
      </c>
      <c r="D8289" s="111" t="str">
        <f t="shared" ref="D8289:E8289" si="8287">TRIM(B8289)</f>
        <v>Mississippi</v>
      </c>
      <c r="E8289" s="111" t="str">
        <f t="shared" si="8287"/>
        <v>Kosciusko</v>
      </c>
    </row>
    <row r="8290" spans="1:5">
      <c r="A8290" s="3" t="s">
        <v>18464</v>
      </c>
      <c r="B8290" s="110" t="s">
        <v>1346</v>
      </c>
      <c r="C8290" s="111" t="s">
        <v>18465</v>
      </c>
      <c r="D8290" s="111" t="str">
        <f t="shared" ref="D8290:E8290" si="8288">TRIM(B8290)</f>
        <v>Mississippi</v>
      </c>
      <c r="E8290" s="111" t="str">
        <f t="shared" si="8288"/>
        <v>Lake</v>
      </c>
    </row>
    <row r="8291" spans="1:5">
      <c r="A8291" s="3" t="s">
        <v>18466</v>
      </c>
      <c r="B8291" s="110" t="s">
        <v>1346</v>
      </c>
      <c r="C8291" s="111" t="s">
        <v>18467</v>
      </c>
      <c r="D8291" s="111" t="str">
        <f t="shared" ref="D8291:E8291" si="8289">TRIM(B8291)</f>
        <v>Mississippi</v>
      </c>
      <c r="E8291" s="111" t="str">
        <f t="shared" si="8289"/>
        <v>Lake Cormorant</v>
      </c>
    </row>
    <row r="8292" spans="1:5">
      <c r="A8292" s="3" t="s">
        <v>16448</v>
      </c>
      <c r="B8292" s="110" t="s">
        <v>1346</v>
      </c>
      <c r="C8292" s="111" t="s">
        <v>8825</v>
      </c>
      <c r="D8292" s="111" t="str">
        <f t="shared" ref="D8292:E8292" si="8290">TRIM(B8292)</f>
        <v>Mississippi</v>
      </c>
      <c r="E8292" s="111" t="str">
        <f t="shared" si="8290"/>
        <v>Laurel</v>
      </c>
    </row>
    <row r="8293" spans="1:5">
      <c r="A8293" s="3" t="s">
        <v>18468</v>
      </c>
      <c r="B8293" s="110" t="s">
        <v>1346</v>
      </c>
      <c r="C8293" s="111" t="s">
        <v>8825</v>
      </c>
      <c r="D8293" s="111" t="str">
        <f t="shared" ref="D8293:E8293" si="8291">TRIM(B8293)</f>
        <v>Mississippi</v>
      </c>
      <c r="E8293" s="111" t="str">
        <f t="shared" si="8291"/>
        <v>Laurel</v>
      </c>
    </row>
    <row r="8294" spans="1:5">
      <c r="A8294" s="3" t="s">
        <v>18469</v>
      </c>
      <c r="B8294" s="110" t="s">
        <v>1346</v>
      </c>
      <c r="C8294" s="111" t="s">
        <v>8825</v>
      </c>
      <c r="D8294" s="111" t="str">
        <f t="shared" ref="D8294:E8294" si="8292">TRIM(B8294)</f>
        <v>Mississippi</v>
      </c>
      <c r="E8294" s="111" t="str">
        <f t="shared" si="8292"/>
        <v>Laurel</v>
      </c>
    </row>
    <row r="8295" spans="1:5">
      <c r="A8295" s="3" t="s">
        <v>1733</v>
      </c>
      <c r="B8295" s="110" t="s">
        <v>1346</v>
      </c>
      <c r="C8295" s="111" t="s">
        <v>18470</v>
      </c>
      <c r="D8295" s="111" t="str">
        <f t="shared" ref="D8295:E8295" si="8293">TRIM(B8295)</f>
        <v>Mississippi</v>
      </c>
      <c r="E8295" s="111" t="str">
        <f t="shared" si="8293"/>
        <v>Leakesville</v>
      </c>
    </row>
    <row r="8296" spans="1:5">
      <c r="A8296" s="3" t="s">
        <v>6923</v>
      </c>
      <c r="B8296" s="110" t="s">
        <v>1346</v>
      </c>
      <c r="C8296" s="111" t="s">
        <v>13195</v>
      </c>
      <c r="D8296" s="111" t="str">
        <f t="shared" ref="D8296:E8296" si="8294">TRIM(B8296)</f>
        <v>Mississippi</v>
      </c>
      <c r="E8296" s="111" t="str">
        <f t="shared" si="8294"/>
        <v>Leland</v>
      </c>
    </row>
    <row r="8297" spans="1:5">
      <c r="A8297" s="3" t="s">
        <v>18471</v>
      </c>
      <c r="B8297" s="110" t="s">
        <v>1346</v>
      </c>
      <c r="C8297" s="111" t="s">
        <v>506</v>
      </c>
      <c r="D8297" s="111" t="str">
        <f t="shared" ref="D8297:E8297" si="8295">TRIM(B8297)</f>
        <v>Mississippi</v>
      </c>
      <c r="E8297" s="111" t="str">
        <f t="shared" si="8295"/>
        <v>Lexington</v>
      </c>
    </row>
    <row r="8298" spans="1:5">
      <c r="A8298" s="3" t="s">
        <v>18472</v>
      </c>
      <c r="B8298" s="110" t="s">
        <v>1346</v>
      </c>
      <c r="C8298" s="111" t="s">
        <v>6684</v>
      </c>
      <c r="D8298" s="111" t="str">
        <f t="shared" ref="D8298:E8298" si="8296">TRIM(B8298)</f>
        <v>Mississippi</v>
      </c>
      <c r="E8298" s="111" t="str">
        <f t="shared" si="8296"/>
        <v>Liberty</v>
      </c>
    </row>
    <row r="8299" spans="1:5">
      <c r="A8299" s="3" t="s">
        <v>18473</v>
      </c>
      <c r="B8299" s="110" t="s">
        <v>1346</v>
      </c>
      <c r="C8299" s="111" t="s">
        <v>528</v>
      </c>
      <c r="D8299" s="111" t="str">
        <f t="shared" ref="D8299:E8299" si="8297">TRIM(B8299)</f>
        <v>Mississippi</v>
      </c>
      <c r="E8299" s="111" t="str">
        <f t="shared" si="8297"/>
        <v>Long Beach</v>
      </c>
    </row>
    <row r="8300" spans="1:5">
      <c r="A8300" s="3" t="s">
        <v>9412</v>
      </c>
      <c r="B8300" s="110" t="s">
        <v>1346</v>
      </c>
      <c r="C8300" s="111" t="s">
        <v>494</v>
      </c>
      <c r="D8300" s="111" t="str">
        <f t="shared" ref="D8300:E8300" si="8298">TRIM(B8300)</f>
        <v>Mississippi</v>
      </c>
      <c r="E8300" s="111" t="str">
        <f t="shared" si="8298"/>
        <v>Louisville</v>
      </c>
    </row>
    <row r="8301" spans="1:5">
      <c r="A8301" s="3" t="s">
        <v>18474</v>
      </c>
      <c r="B8301" s="110" t="s">
        <v>1346</v>
      </c>
      <c r="C8301" s="111" t="s">
        <v>18475</v>
      </c>
      <c r="D8301" s="111" t="str">
        <f t="shared" ref="D8301:E8301" si="8299">TRIM(B8301)</f>
        <v>Mississippi</v>
      </c>
      <c r="E8301" s="111" t="str">
        <f t="shared" si="8299"/>
        <v>Lucedale</v>
      </c>
    </row>
    <row r="8302" spans="1:5">
      <c r="A8302" s="3" t="s">
        <v>18476</v>
      </c>
      <c r="B8302" s="110" t="s">
        <v>1346</v>
      </c>
      <c r="C8302" s="111" t="s">
        <v>3247</v>
      </c>
      <c r="D8302" s="111" t="str">
        <f t="shared" ref="D8302:E8302" si="8300">TRIM(B8302)</f>
        <v>Mississippi</v>
      </c>
      <c r="E8302" s="111" t="str">
        <f t="shared" si="8300"/>
        <v>Lumberton</v>
      </c>
    </row>
    <row r="8303" spans="1:5">
      <c r="A8303" s="3" t="s">
        <v>18477</v>
      </c>
      <c r="B8303" s="110" t="s">
        <v>1346</v>
      </c>
      <c r="C8303" s="111" t="s">
        <v>18478</v>
      </c>
      <c r="D8303" s="111" t="str">
        <f t="shared" ref="D8303:E8303" si="8301">TRIM(B8303)</f>
        <v>Mississippi</v>
      </c>
      <c r="E8303" s="111" t="str">
        <f t="shared" si="8301"/>
        <v>Maben</v>
      </c>
    </row>
    <row r="8304" spans="1:5">
      <c r="A8304" s="3" t="s">
        <v>18479</v>
      </c>
      <c r="B8304" s="110" t="s">
        <v>1346</v>
      </c>
      <c r="C8304" s="111" t="s">
        <v>10396</v>
      </c>
      <c r="D8304" s="111" t="str">
        <f t="shared" ref="D8304:E8304" si="8302">TRIM(B8304)</f>
        <v>Mississippi</v>
      </c>
      <c r="E8304" s="111" t="str">
        <f t="shared" si="8302"/>
        <v>Macon</v>
      </c>
    </row>
    <row r="8305" spans="1:5">
      <c r="A8305" s="3" t="s">
        <v>18480</v>
      </c>
      <c r="B8305" s="110" t="s">
        <v>1346</v>
      </c>
      <c r="C8305" s="111" t="s">
        <v>488</v>
      </c>
      <c r="D8305" s="111" t="str">
        <f t="shared" ref="D8305:E8305" si="8303">TRIM(B8305)</f>
        <v>Mississippi</v>
      </c>
      <c r="E8305" s="111" t="str">
        <f t="shared" si="8303"/>
        <v>Madison</v>
      </c>
    </row>
    <row r="8306" spans="1:5">
      <c r="A8306" s="3" t="s">
        <v>15821</v>
      </c>
      <c r="B8306" s="110" t="s">
        <v>1346</v>
      </c>
      <c r="C8306" s="111" t="s">
        <v>488</v>
      </c>
      <c r="D8306" s="111" t="str">
        <f t="shared" ref="D8306:E8306" si="8304">TRIM(B8306)</f>
        <v>Mississippi</v>
      </c>
      <c r="E8306" s="111" t="str">
        <f t="shared" si="8304"/>
        <v>Madison</v>
      </c>
    </row>
    <row r="8307" spans="1:5">
      <c r="A8307" s="3" t="s">
        <v>18481</v>
      </c>
      <c r="B8307" s="110" t="s">
        <v>1346</v>
      </c>
      <c r="C8307" s="111" t="s">
        <v>18482</v>
      </c>
      <c r="D8307" s="111" t="str">
        <f t="shared" ref="D8307:E8307" si="8305">TRIM(B8307)</f>
        <v>Mississippi</v>
      </c>
      <c r="E8307" s="111" t="str">
        <f t="shared" si="8305"/>
        <v>Magee</v>
      </c>
    </row>
    <row r="8308" spans="1:5">
      <c r="A8308" s="3" t="s">
        <v>18483</v>
      </c>
      <c r="B8308" s="110" t="s">
        <v>1346</v>
      </c>
      <c r="C8308" s="111" t="s">
        <v>1146</v>
      </c>
      <c r="D8308" s="111" t="str">
        <f t="shared" ref="D8308:E8308" si="8306">TRIM(B8308)</f>
        <v>Mississippi</v>
      </c>
      <c r="E8308" s="111" t="str">
        <f t="shared" si="8306"/>
        <v>Magnolia</v>
      </c>
    </row>
    <row r="8309" spans="1:5">
      <c r="A8309" s="3" t="s">
        <v>18484</v>
      </c>
      <c r="B8309" s="110" t="s">
        <v>1346</v>
      </c>
      <c r="C8309" s="111" t="s">
        <v>11668</v>
      </c>
      <c r="D8309" s="111" t="str">
        <f t="shared" ref="D8309:E8309" si="8307">TRIM(B8309)</f>
        <v>Mississippi</v>
      </c>
      <c r="E8309" s="111" t="str">
        <f t="shared" si="8307"/>
        <v>Marks</v>
      </c>
    </row>
    <row r="8310" spans="1:5">
      <c r="A8310" s="110" t="s">
        <v>18485</v>
      </c>
      <c r="B8310" s="110" t="s">
        <v>1346</v>
      </c>
      <c r="C8310" s="111" t="s">
        <v>18486</v>
      </c>
      <c r="D8310" s="111" t="str">
        <f t="shared" ref="D8310:E8310" si="8308">TRIM(B8310)</f>
        <v>Mississippi</v>
      </c>
      <c r="E8310" s="111" t="str">
        <f t="shared" si="8308"/>
        <v>Mayhew</v>
      </c>
    </row>
    <row r="8311" spans="1:5">
      <c r="A8311" s="3" t="s">
        <v>18487</v>
      </c>
      <c r="B8311" s="110" t="s">
        <v>1346</v>
      </c>
      <c r="C8311" s="111" t="s">
        <v>11731</v>
      </c>
      <c r="D8311" s="111" t="str">
        <f t="shared" ref="D8311:E8311" si="8309">TRIM(B8311)</f>
        <v>Mississippi</v>
      </c>
      <c r="E8311" s="111" t="str">
        <f t="shared" si="8309"/>
        <v>Mccomb</v>
      </c>
    </row>
    <row r="8312" spans="1:5">
      <c r="A8312" s="3" t="s">
        <v>4937</v>
      </c>
      <c r="B8312" s="110" t="s">
        <v>1346</v>
      </c>
      <c r="C8312" s="111" t="s">
        <v>18488</v>
      </c>
      <c r="D8312" s="111" t="str">
        <f t="shared" ref="D8312:E8312" si="8310">TRIM(B8312)</f>
        <v>Mississippi</v>
      </c>
      <c r="E8312" s="111" t="str">
        <f t="shared" si="8310"/>
        <v>Meadville</v>
      </c>
    </row>
    <row r="8313" spans="1:5">
      <c r="A8313" s="3" t="s">
        <v>18489</v>
      </c>
      <c r="B8313" s="110" t="s">
        <v>1346</v>
      </c>
      <c r="C8313" s="111" t="s">
        <v>11739</v>
      </c>
      <c r="D8313" s="111" t="str">
        <f t="shared" ref="D8313:E8313" si="8311">TRIM(B8313)</f>
        <v>Mississippi</v>
      </c>
      <c r="E8313" s="111" t="str">
        <f t="shared" si="8311"/>
        <v>Mendenhall</v>
      </c>
    </row>
    <row r="8314" spans="1:5">
      <c r="A8314" s="3" t="s">
        <v>18490</v>
      </c>
      <c r="B8314" s="110" t="s">
        <v>1346</v>
      </c>
      <c r="C8314" s="111" t="s">
        <v>2048</v>
      </c>
      <c r="D8314" s="111" t="str">
        <f t="shared" ref="D8314:E8314" si="8312">TRIM(B8314)</f>
        <v>Mississippi</v>
      </c>
      <c r="E8314" s="111" t="str">
        <f t="shared" si="8312"/>
        <v>Meridian</v>
      </c>
    </row>
    <row r="8315" spans="1:5">
      <c r="A8315" s="3" t="s">
        <v>11805</v>
      </c>
      <c r="B8315" s="110" t="s">
        <v>1346</v>
      </c>
      <c r="C8315" s="111" t="s">
        <v>2048</v>
      </c>
      <c r="D8315" s="111" t="str">
        <f t="shared" ref="D8315:E8315" si="8313">TRIM(B8315)</f>
        <v>Mississippi</v>
      </c>
      <c r="E8315" s="111" t="str">
        <f t="shared" si="8313"/>
        <v>Meridian</v>
      </c>
    </row>
    <row r="8316" spans="1:5">
      <c r="A8316" s="3" t="s">
        <v>18491</v>
      </c>
      <c r="B8316" s="110" t="s">
        <v>1346</v>
      </c>
      <c r="C8316" s="112" t="s">
        <v>2048</v>
      </c>
      <c r="D8316" s="111" t="str">
        <f t="shared" ref="D8316:E8316" si="8314">TRIM(B8316)</f>
        <v>Mississippi</v>
      </c>
      <c r="E8316" s="111" t="str">
        <f t="shared" si="8314"/>
        <v>Meridian</v>
      </c>
    </row>
    <row r="8317" spans="1:5">
      <c r="A8317" s="3" t="s">
        <v>18492</v>
      </c>
      <c r="B8317" s="110" t="s">
        <v>1346</v>
      </c>
      <c r="C8317" s="111" t="s">
        <v>2048</v>
      </c>
      <c r="D8317" s="111" t="str">
        <f t="shared" ref="D8317:E8317" si="8315">TRIM(B8317)</f>
        <v>Mississippi</v>
      </c>
      <c r="E8317" s="111" t="str">
        <f t="shared" si="8315"/>
        <v>Meridian</v>
      </c>
    </row>
    <row r="8318" spans="1:5">
      <c r="A8318" s="3" t="s">
        <v>1998</v>
      </c>
      <c r="B8318" s="110" t="s">
        <v>1346</v>
      </c>
      <c r="C8318" s="111" t="s">
        <v>4040</v>
      </c>
      <c r="D8318" s="111" t="str">
        <f t="shared" ref="D8318:E8318" si="8316">TRIM(B8318)</f>
        <v>Mississippi</v>
      </c>
      <c r="E8318" s="111" t="str">
        <f t="shared" si="8316"/>
        <v>Monticello</v>
      </c>
    </row>
    <row r="8319" spans="1:5">
      <c r="A8319" s="3" t="s">
        <v>18493</v>
      </c>
      <c r="B8319" s="110" t="s">
        <v>1346</v>
      </c>
      <c r="C8319" s="111" t="s">
        <v>18494</v>
      </c>
      <c r="D8319" s="111" t="str">
        <f t="shared" ref="D8319:E8319" si="8317">TRIM(B8319)</f>
        <v>Mississippi</v>
      </c>
      <c r="E8319" s="111" t="str">
        <f t="shared" si="8317"/>
        <v>Mooreville</v>
      </c>
    </row>
    <row r="8320" spans="1:5">
      <c r="A8320" s="3" t="s">
        <v>13377</v>
      </c>
      <c r="B8320" s="110" t="s">
        <v>1346</v>
      </c>
      <c r="C8320" s="111" t="s">
        <v>13378</v>
      </c>
      <c r="D8320" s="111" t="str">
        <f t="shared" ref="D8320:E8320" si="8318">TRIM(B8320)</f>
        <v>Mississippi</v>
      </c>
      <c r="E8320" s="111" t="str">
        <f t="shared" si="8318"/>
        <v>Morton</v>
      </c>
    </row>
    <row r="8321" spans="1:5">
      <c r="A8321" s="3" t="s">
        <v>18495</v>
      </c>
      <c r="B8321" s="110" t="s">
        <v>1346</v>
      </c>
      <c r="C8321" s="111" t="s">
        <v>18496</v>
      </c>
      <c r="D8321" s="111" t="str">
        <f t="shared" ref="D8321:E8321" si="8319">TRIM(B8321)</f>
        <v>Mississippi</v>
      </c>
      <c r="E8321" s="111" t="str">
        <f t="shared" si="8319"/>
        <v>Moss Point</v>
      </c>
    </row>
    <row r="8322" spans="1:5">
      <c r="A8322" s="110" t="s">
        <v>18497</v>
      </c>
      <c r="B8322" s="110" t="s">
        <v>1346</v>
      </c>
      <c r="C8322" s="111" t="s">
        <v>18498</v>
      </c>
      <c r="D8322" s="111" t="str">
        <f t="shared" ref="D8322:E8322" si="8320">TRIM(B8322)</f>
        <v>Mississippi</v>
      </c>
      <c r="E8322" s="111" t="str">
        <f t="shared" si="8320"/>
        <v>Natchez</v>
      </c>
    </row>
    <row r="8323" spans="1:5">
      <c r="A8323" s="3" t="s">
        <v>18499</v>
      </c>
      <c r="B8323" s="110" t="s">
        <v>1346</v>
      </c>
      <c r="C8323" s="111" t="s">
        <v>18498</v>
      </c>
      <c r="D8323" s="111" t="str">
        <f t="shared" ref="D8323:E8323" si="8321">TRIM(B8323)</f>
        <v>Mississippi</v>
      </c>
      <c r="E8323" s="111" t="str">
        <f t="shared" si="8321"/>
        <v>Natchez</v>
      </c>
    </row>
    <row r="8324" spans="1:5">
      <c r="A8324" s="3" t="s">
        <v>3902</v>
      </c>
      <c r="B8324" s="110" t="s">
        <v>1346</v>
      </c>
      <c r="C8324" s="111" t="s">
        <v>18500</v>
      </c>
      <c r="D8324" s="111" t="str">
        <f t="shared" ref="D8324:E8324" si="8322">TRIM(B8324)</f>
        <v>Mississippi</v>
      </c>
      <c r="E8324" s="111" t="str">
        <f t="shared" si="8322"/>
        <v>Nettleton</v>
      </c>
    </row>
    <row r="8325" spans="1:5">
      <c r="A8325" s="3" t="s">
        <v>18501</v>
      </c>
      <c r="B8325" s="110" t="s">
        <v>1346</v>
      </c>
      <c r="C8325" s="111" t="s">
        <v>11755</v>
      </c>
      <c r="D8325" s="111" t="str">
        <f t="shared" ref="D8325:E8325" si="8323">TRIM(B8325)</f>
        <v>Mississippi</v>
      </c>
      <c r="E8325" s="111" t="str">
        <f t="shared" si="8323"/>
        <v>New Albany</v>
      </c>
    </row>
    <row r="8326" spans="1:5">
      <c r="A8326" s="3" t="s">
        <v>18502</v>
      </c>
      <c r="B8326" s="110" t="s">
        <v>1346</v>
      </c>
      <c r="C8326" s="111" t="s">
        <v>18503</v>
      </c>
      <c r="D8326" s="111" t="str">
        <f t="shared" ref="D8326:E8326" si="8324">TRIM(B8326)</f>
        <v>Mississippi</v>
      </c>
      <c r="E8326" s="111" t="str">
        <f t="shared" si="8324"/>
        <v>New Augusta</v>
      </c>
    </row>
    <row r="8327" spans="1:5">
      <c r="A8327" s="3" t="s">
        <v>18504</v>
      </c>
      <c r="B8327" s="110" t="s">
        <v>1346</v>
      </c>
      <c r="C8327" s="111" t="s">
        <v>18505</v>
      </c>
      <c r="D8327" s="111" t="str">
        <f t="shared" ref="D8327:E8327" si="8325">TRIM(B8327)</f>
        <v>Mississippi</v>
      </c>
      <c r="E8327" s="111" t="str">
        <f t="shared" si="8325"/>
        <v>New Site</v>
      </c>
    </row>
    <row r="8328" spans="1:5">
      <c r="A8328" s="3" t="s">
        <v>10600</v>
      </c>
      <c r="B8328" s="110" t="s">
        <v>1346</v>
      </c>
      <c r="C8328" s="111" t="s">
        <v>11313</v>
      </c>
      <c r="D8328" s="111" t="str">
        <f t="shared" ref="D8328:E8328" si="8326">TRIM(B8328)</f>
        <v>Mississippi</v>
      </c>
      <c r="E8328" s="111" t="str">
        <f t="shared" si="8326"/>
        <v>Newton</v>
      </c>
    </row>
    <row r="8329" spans="1:5">
      <c r="A8329" s="3" t="s">
        <v>18506</v>
      </c>
      <c r="B8329" s="110" t="s">
        <v>1346</v>
      </c>
      <c r="C8329" s="111" t="s">
        <v>18507</v>
      </c>
      <c r="D8329" s="111" t="str">
        <f t="shared" ref="D8329:E8329" si="8327">TRIM(B8329)</f>
        <v>Mississippi</v>
      </c>
      <c r="E8329" s="111" t="str">
        <f t="shared" si="8327"/>
        <v>North Carrollton</v>
      </c>
    </row>
    <row r="8330" spans="1:5">
      <c r="A8330" s="3" t="s">
        <v>18508</v>
      </c>
      <c r="B8330" s="110" t="s">
        <v>1346</v>
      </c>
      <c r="C8330" s="111" t="s">
        <v>18509</v>
      </c>
      <c r="D8330" s="111" t="str">
        <f t="shared" ref="D8330:E8330" si="8328">TRIM(B8330)</f>
        <v>Mississippi</v>
      </c>
      <c r="E8330" s="111" t="str">
        <f t="shared" si="8328"/>
        <v>Ocean Springs</v>
      </c>
    </row>
    <row r="8331" spans="1:5">
      <c r="A8331" s="3" t="s">
        <v>18510</v>
      </c>
      <c r="B8331" s="110" t="s">
        <v>1346</v>
      </c>
      <c r="C8331" s="111" t="s">
        <v>18509</v>
      </c>
      <c r="D8331" s="111" t="str">
        <f t="shared" ref="D8331:E8331" si="8329">TRIM(B8331)</f>
        <v>Mississippi</v>
      </c>
      <c r="E8331" s="111" t="str">
        <f t="shared" si="8329"/>
        <v>Ocean Springs</v>
      </c>
    </row>
    <row r="8332" spans="1:5">
      <c r="A8332" s="3" t="s">
        <v>18511</v>
      </c>
      <c r="B8332" s="110" t="s">
        <v>1346</v>
      </c>
      <c r="C8332" s="111" t="s">
        <v>18512</v>
      </c>
      <c r="D8332" s="111" t="str">
        <f t="shared" ref="D8332:E8332" si="8330">TRIM(B8332)</f>
        <v>Mississippi</v>
      </c>
      <c r="E8332" s="111" t="str">
        <f t="shared" si="8330"/>
        <v>Okolona</v>
      </c>
    </row>
    <row r="8333" spans="1:5">
      <c r="A8333" s="3" t="s">
        <v>18513</v>
      </c>
      <c r="B8333" s="110" t="s">
        <v>1346</v>
      </c>
      <c r="C8333" s="111" t="s">
        <v>214</v>
      </c>
      <c r="D8333" s="111" t="str">
        <f t="shared" ref="D8333:E8333" si="8331">TRIM(B8333)</f>
        <v>Mississippi</v>
      </c>
      <c r="E8333" s="111" t="str">
        <f t="shared" si="8331"/>
        <v>Olive Branch</v>
      </c>
    </row>
    <row r="8334" spans="1:5">
      <c r="A8334" s="3" t="s">
        <v>18514</v>
      </c>
      <c r="B8334" s="110" t="s">
        <v>1346</v>
      </c>
      <c r="C8334" s="112" t="s">
        <v>214</v>
      </c>
      <c r="D8334" s="111" t="str">
        <f t="shared" ref="D8334:E8334" si="8332">TRIM(B8334)</f>
        <v>Mississippi</v>
      </c>
      <c r="E8334" s="111" t="str">
        <f t="shared" si="8332"/>
        <v>Olive Branch</v>
      </c>
    </row>
    <row r="8335" spans="1:5">
      <c r="A8335" s="3" t="s">
        <v>18515</v>
      </c>
      <c r="B8335" s="110" t="s">
        <v>1346</v>
      </c>
      <c r="C8335" s="111" t="s">
        <v>214</v>
      </c>
      <c r="D8335" s="111" t="str">
        <f t="shared" ref="D8335:E8335" si="8333">TRIM(B8335)</f>
        <v>Mississippi</v>
      </c>
      <c r="E8335" s="111" t="str">
        <f t="shared" si="8333"/>
        <v>Olive Branch</v>
      </c>
    </row>
    <row r="8336" spans="1:5">
      <c r="A8336" s="3" t="s">
        <v>1907</v>
      </c>
      <c r="B8336" s="110" t="s">
        <v>1346</v>
      </c>
      <c r="C8336" s="111" t="s">
        <v>279</v>
      </c>
      <c r="D8336" s="111" t="str">
        <f t="shared" ref="D8336:E8336" si="8334">TRIM(B8336)</f>
        <v>Mississippi</v>
      </c>
      <c r="E8336" s="111" t="str">
        <f t="shared" si="8334"/>
        <v>Oxford</v>
      </c>
    </row>
    <row r="8337" spans="1:5">
      <c r="A8337" s="3" t="s">
        <v>2072</v>
      </c>
      <c r="B8337" s="110" t="s">
        <v>1346</v>
      </c>
      <c r="C8337" s="111" t="s">
        <v>279</v>
      </c>
      <c r="D8337" s="111" t="str">
        <f t="shared" ref="D8337:E8337" si="8335">TRIM(B8337)</f>
        <v>Mississippi</v>
      </c>
      <c r="E8337" s="111" t="str">
        <f t="shared" si="8335"/>
        <v>Oxford</v>
      </c>
    </row>
    <row r="8338" spans="1:5">
      <c r="A8338" s="3" t="s">
        <v>18516</v>
      </c>
      <c r="B8338" s="110" t="s">
        <v>1346</v>
      </c>
      <c r="C8338" s="111" t="s">
        <v>18517</v>
      </c>
      <c r="D8338" s="111" t="str">
        <f t="shared" ref="D8338:E8338" si="8336">TRIM(B8338)</f>
        <v>Mississippi</v>
      </c>
      <c r="E8338" s="111" t="str">
        <f t="shared" si="8336"/>
        <v>Pascagoula</v>
      </c>
    </row>
    <row r="8339" spans="1:5">
      <c r="A8339" s="3" t="s">
        <v>18518</v>
      </c>
      <c r="B8339" s="110" t="s">
        <v>1346</v>
      </c>
      <c r="C8339" s="111" t="s">
        <v>18519</v>
      </c>
      <c r="D8339" s="111" t="str">
        <f t="shared" ref="D8339:E8339" si="8337">TRIM(B8339)</f>
        <v>Mississippi</v>
      </c>
      <c r="E8339" s="111" t="str">
        <f t="shared" si="8337"/>
        <v>Pass Christian</v>
      </c>
    </row>
    <row r="8340" spans="1:5">
      <c r="A8340" s="3" t="s">
        <v>18520</v>
      </c>
      <c r="B8340" s="110" t="s">
        <v>1346</v>
      </c>
      <c r="C8340" s="111" t="s">
        <v>18521</v>
      </c>
      <c r="D8340" s="111" t="str">
        <f t="shared" ref="D8340:E8340" si="8338">TRIM(B8340)</f>
        <v>Mississippi</v>
      </c>
      <c r="E8340" s="111" t="str">
        <f t="shared" si="8338"/>
        <v>Pearl</v>
      </c>
    </row>
    <row r="8341" spans="1:5">
      <c r="A8341" s="110" t="s">
        <v>18522</v>
      </c>
      <c r="B8341" s="110" t="s">
        <v>1346</v>
      </c>
      <c r="C8341" s="111" t="s">
        <v>18523</v>
      </c>
      <c r="D8341" s="111" t="str">
        <f t="shared" ref="D8341:E8341" si="8339">TRIM(B8341)</f>
        <v>Mississippi</v>
      </c>
      <c r="E8341" s="111" t="str">
        <f t="shared" si="8339"/>
        <v>Pelahatchie</v>
      </c>
    </row>
    <row r="8342" spans="1:5">
      <c r="A8342" s="3" t="s">
        <v>18524</v>
      </c>
      <c r="B8342" s="110" t="s">
        <v>1346</v>
      </c>
      <c r="C8342" s="111" t="s">
        <v>6158</v>
      </c>
      <c r="D8342" s="111" t="str">
        <f t="shared" ref="D8342:E8342" si="8340">TRIM(B8342)</f>
        <v>Mississippi</v>
      </c>
      <c r="E8342" s="111" t="str">
        <f t="shared" si="8340"/>
        <v>Petal</v>
      </c>
    </row>
    <row r="8343" spans="1:5">
      <c r="A8343" s="3" t="s">
        <v>18525</v>
      </c>
      <c r="B8343" s="110" t="s">
        <v>1346</v>
      </c>
      <c r="C8343" s="111" t="s">
        <v>539</v>
      </c>
      <c r="D8343" s="111" t="str">
        <f t="shared" ref="D8343:E8343" si="8341">TRIM(B8343)</f>
        <v>Mississippi</v>
      </c>
      <c r="E8343" s="111" t="str">
        <f t="shared" si="8341"/>
        <v>Philadelphia</v>
      </c>
    </row>
    <row r="8344" spans="1:5">
      <c r="A8344" s="3" t="s">
        <v>18526</v>
      </c>
      <c r="B8344" s="110" t="s">
        <v>1346</v>
      </c>
      <c r="C8344" s="111" t="s">
        <v>539</v>
      </c>
      <c r="D8344" s="111" t="str">
        <f t="shared" ref="D8344:E8344" si="8342">TRIM(B8344)</f>
        <v>Mississippi</v>
      </c>
      <c r="E8344" s="111" t="str">
        <f t="shared" si="8342"/>
        <v>Philadelphia</v>
      </c>
    </row>
    <row r="8345" spans="1:5">
      <c r="A8345" s="3" t="s">
        <v>18527</v>
      </c>
      <c r="B8345" s="110" t="s">
        <v>1346</v>
      </c>
      <c r="C8345" s="111" t="s">
        <v>18528</v>
      </c>
      <c r="D8345" s="111" t="str">
        <f t="shared" ref="D8345:E8345" si="8343">TRIM(B8345)</f>
        <v>Mississippi</v>
      </c>
      <c r="E8345" s="111" t="str">
        <f t="shared" si="8343"/>
        <v>Picayune</v>
      </c>
    </row>
    <row r="8346" spans="1:5">
      <c r="A8346" s="3" t="s">
        <v>18529</v>
      </c>
      <c r="B8346" s="110" t="s">
        <v>1346</v>
      </c>
      <c r="C8346" s="111" t="s">
        <v>18530</v>
      </c>
      <c r="D8346" s="111" t="str">
        <f t="shared" ref="D8346:E8346" si="8344">TRIM(B8346)</f>
        <v>Mississippi</v>
      </c>
      <c r="E8346" s="111" t="str">
        <f t="shared" si="8344"/>
        <v>Pontotoc</v>
      </c>
    </row>
    <row r="8347" spans="1:5">
      <c r="A8347" s="3" t="s">
        <v>18531</v>
      </c>
      <c r="B8347" s="110" t="s">
        <v>1346</v>
      </c>
      <c r="C8347" s="111" t="s">
        <v>18530</v>
      </c>
      <c r="D8347" s="111" t="str">
        <f t="shared" ref="D8347:E8347" si="8345">TRIM(B8347)</f>
        <v>Mississippi</v>
      </c>
      <c r="E8347" s="111" t="str">
        <f t="shared" si="8345"/>
        <v>Pontotoc</v>
      </c>
    </row>
    <row r="8348" spans="1:5">
      <c r="A8348" s="3" t="s">
        <v>18532</v>
      </c>
      <c r="B8348" s="110" t="s">
        <v>1346</v>
      </c>
      <c r="C8348" s="111" t="s">
        <v>18533</v>
      </c>
      <c r="D8348" s="111" t="str">
        <f t="shared" ref="D8348:E8348" si="8346">TRIM(B8348)</f>
        <v>Mississippi</v>
      </c>
      <c r="E8348" s="111" t="str">
        <f t="shared" si="8346"/>
        <v>Poplarville</v>
      </c>
    </row>
    <row r="8349" spans="1:5">
      <c r="A8349" s="3" t="s">
        <v>18534</v>
      </c>
      <c r="B8349" s="110" t="s">
        <v>1346</v>
      </c>
      <c r="C8349" s="111" t="s">
        <v>18535</v>
      </c>
      <c r="D8349" s="111" t="str">
        <f t="shared" ref="D8349:E8349" si="8347">TRIM(B8349)</f>
        <v>Mississippi</v>
      </c>
      <c r="E8349" s="111" t="str">
        <f t="shared" si="8347"/>
        <v>Port Gibson</v>
      </c>
    </row>
    <row r="8350" spans="1:5">
      <c r="A8350" s="3" t="s">
        <v>18536</v>
      </c>
      <c r="B8350" s="110" t="s">
        <v>1346</v>
      </c>
      <c r="C8350" s="111" t="s">
        <v>18537</v>
      </c>
      <c r="D8350" s="111" t="str">
        <f t="shared" ref="D8350:E8350" si="8348">TRIM(B8350)</f>
        <v>Mississippi</v>
      </c>
      <c r="E8350" s="111" t="str">
        <f t="shared" si="8348"/>
        <v>Potts Camp</v>
      </c>
    </row>
    <row r="8351" spans="1:5">
      <c r="A8351" s="110" t="s">
        <v>18538</v>
      </c>
      <c r="B8351" s="110" t="s">
        <v>1346</v>
      </c>
      <c r="C8351" s="111" t="s">
        <v>18539</v>
      </c>
      <c r="D8351" s="111" t="str">
        <f t="shared" ref="D8351:E8351" si="8349">TRIM(B8351)</f>
        <v>Mississippi</v>
      </c>
      <c r="E8351" s="111" t="str">
        <f t="shared" si="8349"/>
        <v>Puckett</v>
      </c>
    </row>
    <row r="8352" spans="1:5">
      <c r="A8352" s="3" t="s">
        <v>18540</v>
      </c>
      <c r="B8352" s="110" t="s">
        <v>1346</v>
      </c>
      <c r="C8352" s="111" t="s">
        <v>18541</v>
      </c>
      <c r="D8352" s="111" t="str">
        <f t="shared" ref="D8352:E8352" si="8350">TRIM(B8352)</f>
        <v>Mississippi</v>
      </c>
      <c r="E8352" s="111" t="str">
        <f t="shared" si="8350"/>
        <v>Purvis</v>
      </c>
    </row>
    <row r="8353" spans="1:5">
      <c r="A8353" s="3" t="s">
        <v>4154</v>
      </c>
      <c r="B8353" s="110" t="s">
        <v>1346</v>
      </c>
      <c r="C8353" s="111" t="s">
        <v>4155</v>
      </c>
      <c r="D8353" s="111" t="str">
        <f t="shared" ref="D8353:E8353" si="8351">TRIM(B8353)</f>
        <v>Mississippi</v>
      </c>
      <c r="E8353" s="111" t="str">
        <f t="shared" si="8351"/>
        <v>Quitman</v>
      </c>
    </row>
    <row r="8354" spans="1:5">
      <c r="A8354" s="3" t="s">
        <v>18542</v>
      </c>
      <c r="B8354" s="110" t="s">
        <v>1346</v>
      </c>
      <c r="C8354" s="111" t="s">
        <v>12672</v>
      </c>
      <c r="D8354" s="111" t="str">
        <f t="shared" ref="D8354:E8354" si="8352">TRIM(B8354)</f>
        <v>Mississippi</v>
      </c>
      <c r="E8354" s="111" t="str">
        <f t="shared" si="8352"/>
        <v>Raleigh</v>
      </c>
    </row>
    <row r="8355" spans="1:5">
      <c r="A8355" s="3" t="s">
        <v>18543</v>
      </c>
      <c r="B8355" s="110" t="s">
        <v>1346</v>
      </c>
      <c r="C8355" s="111" t="s">
        <v>3897</v>
      </c>
      <c r="D8355" s="111" t="str">
        <f t="shared" ref="D8355:E8355" si="8353">TRIM(B8355)</f>
        <v>Mississippi</v>
      </c>
      <c r="E8355" s="111" t="str">
        <f t="shared" si="8353"/>
        <v>Raymond</v>
      </c>
    </row>
    <row r="8356" spans="1:5">
      <c r="A8356" s="3" t="s">
        <v>18544</v>
      </c>
      <c r="B8356" s="110" t="s">
        <v>1346</v>
      </c>
      <c r="C8356" s="111" t="s">
        <v>12139</v>
      </c>
      <c r="D8356" s="111" t="str">
        <f t="shared" ref="D8356:E8356" si="8354">TRIM(B8356)</f>
        <v>Mississippi</v>
      </c>
      <c r="E8356" s="111" t="str">
        <f t="shared" si="8354"/>
        <v>Richland</v>
      </c>
    </row>
    <row r="8357" spans="1:5">
      <c r="A8357" s="3" t="s">
        <v>18545</v>
      </c>
      <c r="B8357" s="110" t="s">
        <v>1346</v>
      </c>
      <c r="C8357" s="111" t="s">
        <v>18546</v>
      </c>
      <c r="D8357" s="111" t="str">
        <f t="shared" ref="D8357:E8357" si="8355">TRIM(B8357)</f>
        <v>Mississippi</v>
      </c>
      <c r="E8357" s="111" t="str">
        <f t="shared" si="8355"/>
        <v>Richton</v>
      </c>
    </row>
    <row r="8358" spans="1:5">
      <c r="A8358" s="3" t="s">
        <v>11222</v>
      </c>
      <c r="B8358" s="110" t="s">
        <v>1346</v>
      </c>
      <c r="C8358" s="111" t="s">
        <v>467</v>
      </c>
      <c r="D8358" s="111" t="str">
        <f t="shared" ref="D8358:E8358" si="8356">TRIM(B8358)</f>
        <v>Mississippi</v>
      </c>
      <c r="E8358" s="111" t="str">
        <f t="shared" si="8356"/>
        <v>Ridgeland</v>
      </c>
    </row>
    <row r="8359" spans="1:5">
      <c r="A8359" s="3" t="s">
        <v>18547</v>
      </c>
      <c r="B8359" s="110" t="s">
        <v>1346</v>
      </c>
      <c r="C8359" s="111" t="s">
        <v>5754</v>
      </c>
      <c r="D8359" s="111" t="str">
        <f t="shared" ref="D8359:E8359" si="8357">TRIM(B8359)</f>
        <v>Mississippi</v>
      </c>
      <c r="E8359" s="111" t="str">
        <f t="shared" si="8357"/>
        <v>Ripley</v>
      </c>
    </row>
    <row r="8360" spans="1:5">
      <c r="A8360" s="3" t="s">
        <v>18548</v>
      </c>
      <c r="B8360" s="110" t="s">
        <v>1346</v>
      </c>
      <c r="C8360" s="112" t="s">
        <v>18549</v>
      </c>
      <c r="D8360" s="111" t="str">
        <f t="shared" ref="D8360:E8360" si="8358">TRIM(B8360)</f>
        <v>Mississippi</v>
      </c>
      <c r="E8360" s="111" t="str">
        <f t="shared" si="8358"/>
        <v>Rolling Fork</v>
      </c>
    </row>
    <row r="8361" spans="1:5">
      <c r="A8361" s="3" t="s">
        <v>18550</v>
      </c>
      <c r="B8361" s="110" t="s">
        <v>1346</v>
      </c>
      <c r="C8361" s="111" t="s">
        <v>18551</v>
      </c>
      <c r="D8361" s="111" t="str">
        <f t="shared" ref="D8361:E8361" si="8359">TRIM(B8361)</f>
        <v>Mississippi</v>
      </c>
      <c r="E8361" s="111" t="str">
        <f t="shared" si="8359"/>
        <v>Rosedale</v>
      </c>
    </row>
    <row r="8362" spans="1:5">
      <c r="A8362" s="3" t="s">
        <v>18552</v>
      </c>
      <c r="B8362" s="110" t="s">
        <v>1346</v>
      </c>
      <c r="C8362" s="111" t="s">
        <v>18553</v>
      </c>
      <c r="D8362" s="111" t="str">
        <f t="shared" ref="D8362:E8362" si="8360">TRIM(B8362)</f>
        <v>Mississippi</v>
      </c>
      <c r="E8362" s="111" t="str">
        <f t="shared" si="8360"/>
        <v>Ruleville</v>
      </c>
    </row>
    <row r="8363" spans="1:5">
      <c r="A8363" s="110" t="s">
        <v>18554</v>
      </c>
      <c r="B8363" s="110" t="s">
        <v>1346</v>
      </c>
      <c r="C8363" s="111" t="s">
        <v>18555</v>
      </c>
      <c r="D8363" s="111" t="str">
        <f t="shared" ref="D8363:E8363" si="8361">TRIM(B8363)</f>
        <v>Mississippi</v>
      </c>
      <c r="E8363" s="111" t="str">
        <f t="shared" si="8361"/>
        <v>Sallis</v>
      </c>
    </row>
    <row r="8364" spans="1:5">
      <c r="A8364" s="3" t="s">
        <v>18556</v>
      </c>
      <c r="B8364" s="110" t="s">
        <v>1346</v>
      </c>
      <c r="C8364" s="111" t="s">
        <v>399</v>
      </c>
      <c r="D8364" s="111" t="str">
        <f t="shared" ref="D8364:E8364" si="8362">TRIM(B8364)</f>
        <v>Mississippi</v>
      </c>
      <c r="E8364" s="111" t="str">
        <f t="shared" si="8362"/>
        <v>Saltillo</v>
      </c>
    </row>
    <row r="8365" spans="1:5">
      <c r="A8365" s="3" t="s">
        <v>18557</v>
      </c>
      <c r="B8365" s="110" t="s">
        <v>1346</v>
      </c>
      <c r="C8365" s="111" t="s">
        <v>18558</v>
      </c>
      <c r="D8365" s="111" t="str">
        <f t="shared" ref="D8365:E8365" si="8363">TRIM(B8365)</f>
        <v>Mississippi</v>
      </c>
      <c r="E8365" s="111" t="str">
        <f t="shared" si="8363"/>
        <v>Sandhill</v>
      </c>
    </row>
    <row r="8366" spans="1:5">
      <c r="A8366" s="3" t="s">
        <v>18559</v>
      </c>
      <c r="B8366" s="110" t="s">
        <v>1346</v>
      </c>
      <c r="C8366" s="111" t="s">
        <v>18560</v>
      </c>
      <c r="D8366" s="111" t="str">
        <f t="shared" ref="D8366:E8366" si="8364">TRIM(B8366)</f>
        <v>Mississippi</v>
      </c>
      <c r="E8366" s="111" t="str">
        <f t="shared" si="8364"/>
        <v>Sarah</v>
      </c>
    </row>
    <row r="8367" spans="1:5">
      <c r="A8367" s="3" t="s">
        <v>18561</v>
      </c>
      <c r="B8367" s="110" t="s">
        <v>1346</v>
      </c>
      <c r="C8367" s="111" t="s">
        <v>18562</v>
      </c>
      <c r="D8367" s="111" t="str">
        <f t="shared" ref="D8367:E8367" si="8365">TRIM(B8367)</f>
        <v>Mississippi</v>
      </c>
      <c r="E8367" s="111" t="str">
        <f t="shared" si="8365"/>
        <v>Sardis</v>
      </c>
    </row>
    <row r="8368" spans="1:5">
      <c r="A8368" s="3" t="s">
        <v>18563</v>
      </c>
      <c r="B8368" s="110" t="s">
        <v>1346</v>
      </c>
      <c r="C8368" s="111" t="s">
        <v>18564</v>
      </c>
      <c r="D8368" s="111" t="str">
        <f t="shared" ref="D8368:E8368" si="8366">TRIM(B8368)</f>
        <v>Mississippi</v>
      </c>
      <c r="E8368" s="111" t="str">
        <f t="shared" si="8366"/>
        <v>Seminary</v>
      </c>
    </row>
    <row r="8369" spans="1:5">
      <c r="A8369" s="3" t="s">
        <v>18565</v>
      </c>
      <c r="B8369" s="110" t="s">
        <v>1346</v>
      </c>
      <c r="C8369" s="111" t="s">
        <v>11706</v>
      </c>
      <c r="D8369" s="111" t="str">
        <f t="shared" ref="D8369:E8369" si="8367">TRIM(B8369)</f>
        <v>Mississippi</v>
      </c>
      <c r="E8369" s="111" t="str">
        <f t="shared" si="8367"/>
        <v>Senatobia</v>
      </c>
    </row>
    <row r="8370" spans="1:5">
      <c r="A8370" s="3" t="s">
        <v>18566</v>
      </c>
      <c r="B8370" s="110" t="s">
        <v>1346</v>
      </c>
      <c r="C8370" s="111" t="s">
        <v>18567</v>
      </c>
      <c r="D8370" s="111" t="str">
        <f t="shared" ref="D8370:E8370" si="8368">TRIM(B8370)</f>
        <v>Mississippi</v>
      </c>
      <c r="E8370" s="111" t="str">
        <f t="shared" si="8368"/>
        <v>Shannon</v>
      </c>
    </row>
    <row r="8371" spans="1:5">
      <c r="A8371" s="3" t="s">
        <v>10575</v>
      </c>
      <c r="B8371" s="110" t="s">
        <v>1346</v>
      </c>
      <c r="C8371" s="111" t="s">
        <v>18568</v>
      </c>
      <c r="D8371" s="111" t="str">
        <f t="shared" ref="D8371:E8371" si="8369">TRIM(B8371)</f>
        <v>Mississippi</v>
      </c>
      <c r="E8371" s="111" t="str">
        <f t="shared" si="8369"/>
        <v>Shaw</v>
      </c>
    </row>
    <row r="8372" spans="1:5">
      <c r="A8372" s="3" t="s">
        <v>2026</v>
      </c>
      <c r="B8372" s="110" t="s">
        <v>1346</v>
      </c>
      <c r="C8372" s="111" t="s">
        <v>6109</v>
      </c>
      <c r="D8372" s="111" t="str">
        <f t="shared" ref="D8372:E8372" si="8370">TRIM(B8372)</f>
        <v>Mississippi</v>
      </c>
      <c r="E8372" s="111" t="str">
        <f t="shared" si="8370"/>
        <v>Shelby</v>
      </c>
    </row>
    <row r="8373" spans="1:5">
      <c r="A8373" s="3" t="s">
        <v>18569</v>
      </c>
      <c r="B8373" s="110" t="s">
        <v>1346</v>
      </c>
      <c r="C8373" s="111" t="s">
        <v>18570</v>
      </c>
      <c r="D8373" s="111" t="str">
        <f t="shared" ref="D8373:E8373" si="8371">TRIM(B8373)</f>
        <v>Mississippi</v>
      </c>
      <c r="E8373" s="111" t="str">
        <f t="shared" si="8371"/>
        <v>Southaven</v>
      </c>
    </row>
    <row r="8374" spans="1:5">
      <c r="A8374" s="3" t="s">
        <v>18571</v>
      </c>
      <c r="B8374" s="110" t="s">
        <v>1346</v>
      </c>
      <c r="C8374" s="111" t="s">
        <v>18570</v>
      </c>
      <c r="D8374" s="111" t="str">
        <f t="shared" ref="D8374:E8374" si="8372">TRIM(B8374)</f>
        <v>Mississippi</v>
      </c>
      <c r="E8374" s="111" t="str">
        <f t="shared" si="8372"/>
        <v>Southaven</v>
      </c>
    </row>
    <row r="8375" spans="1:5">
      <c r="A8375" s="3" t="s">
        <v>18572</v>
      </c>
      <c r="B8375" s="110" t="s">
        <v>1346</v>
      </c>
      <c r="C8375" s="111" t="s">
        <v>223</v>
      </c>
      <c r="D8375" s="111" t="str">
        <f t="shared" ref="D8375:E8375" si="8373">TRIM(B8375)</f>
        <v>Mississippi</v>
      </c>
      <c r="E8375" s="111" t="str">
        <f t="shared" si="8373"/>
        <v>Starkville</v>
      </c>
    </row>
    <row r="8376" spans="1:5">
      <c r="A8376" s="3" t="s">
        <v>18573</v>
      </c>
      <c r="B8376" s="110" t="s">
        <v>1346</v>
      </c>
      <c r="C8376" s="111" t="s">
        <v>12068</v>
      </c>
      <c r="D8376" s="111" t="str">
        <f t="shared" ref="D8376:E8376" si="8374">TRIM(B8376)</f>
        <v>Mississippi</v>
      </c>
      <c r="E8376" s="111" t="str">
        <f t="shared" si="8374"/>
        <v>Summit</v>
      </c>
    </row>
    <row r="8377" spans="1:5">
      <c r="A8377" s="3" t="s">
        <v>18574</v>
      </c>
      <c r="B8377" s="110" t="s">
        <v>1346</v>
      </c>
      <c r="C8377" s="111" t="s">
        <v>18575</v>
      </c>
      <c r="D8377" s="111" t="str">
        <f t="shared" ref="D8377:E8377" si="8375">TRIM(B8377)</f>
        <v>Mississippi</v>
      </c>
      <c r="E8377" s="111" t="str">
        <f t="shared" si="8375"/>
        <v>Sumrall</v>
      </c>
    </row>
    <row r="8378" spans="1:5">
      <c r="A8378" s="3" t="s">
        <v>18576</v>
      </c>
      <c r="B8378" s="110" t="s">
        <v>1346</v>
      </c>
      <c r="C8378" s="111" t="s">
        <v>18577</v>
      </c>
      <c r="D8378" s="111" t="str">
        <f t="shared" ref="D8378:E8378" si="8376">TRIM(B8378)</f>
        <v>Mississippi</v>
      </c>
      <c r="E8378" s="111" t="str">
        <f t="shared" si="8376"/>
        <v>Terry</v>
      </c>
    </row>
    <row r="8379" spans="1:5">
      <c r="A8379" s="3" t="s">
        <v>18578</v>
      </c>
      <c r="B8379" s="110" t="s">
        <v>1346</v>
      </c>
      <c r="C8379" s="111" t="s">
        <v>11661</v>
      </c>
      <c r="D8379" s="111" t="str">
        <f t="shared" ref="D8379:E8379" si="8377">TRIM(B8379)</f>
        <v>Mississippi</v>
      </c>
      <c r="E8379" s="111" t="str">
        <f t="shared" si="8377"/>
        <v>Tunica</v>
      </c>
    </row>
    <row r="8380" spans="1:5">
      <c r="A8380" s="3" t="s">
        <v>18579</v>
      </c>
      <c r="B8380" s="110" t="s">
        <v>1346</v>
      </c>
      <c r="C8380" s="111" t="s">
        <v>8854</v>
      </c>
      <c r="D8380" s="111" t="str">
        <f t="shared" ref="D8380:E8380" si="8378">TRIM(B8380)</f>
        <v>Mississippi</v>
      </c>
      <c r="E8380" s="111" t="str">
        <f t="shared" si="8378"/>
        <v>Tupelo</v>
      </c>
    </row>
    <row r="8381" spans="1:5">
      <c r="A8381" s="3" t="s">
        <v>18580</v>
      </c>
      <c r="B8381" s="110" t="s">
        <v>1346</v>
      </c>
      <c r="C8381" s="111" t="s">
        <v>18581</v>
      </c>
      <c r="D8381" s="111" t="str">
        <f t="shared" ref="D8381:E8381" si="8379">TRIM(B8381)</f>
        <v>Mississippi</v>
      </c>
      <c r="E8381" s="111" t="str">
        <f t="shared" si="8379"/>
        <v>Tylertown</v>
      </c>
    </row>
    <row r="8382" spans="1:5">
      <c r="A8382" s="3" t="s">
        <v>14909</v>
      </c>
      <c r="B8382" s="110" t="s">
        <v>1346</v>
      </c>
      <c r="C8382" s="111" t="s">
        <v>483</v>
      </c>
      <c r="D8382" s="111" t="str">
        <f t="shared" ref="D8382:E8382" si="8380">TRIM(B8382)</f>
        <v>Mississippi</v>
      </c>
      <c r="E8382" s="111" t="str">
        <f t="shared" si="8380"/>
        <v>Union</v>
      </c>
    </row>
    <row r="8383" spans="1:5">
      <c r="A8383" s="3" t="s">
        <v>18582</v>
      </c>
      <c r="B8383" s="110" t="s">
        <v>1346</v>
      </c>
      <c r="C8383" s="111" t="s">
        <v>18583</v>
      </c>
      <c r="D8383" s="111" t="str">
        <f t="shared" ref="D8383:E8383" si="8381">TRIM(B8383)</f>
        <v>Mississippi</v>
      </c>
      <c r="E8383" s="111" t="str">
        <f t="shared" si="8381"/>
        <v>Vancleave</v>
      </c>
    </row>
    <row r="8384" spans="1:5">
      <c r="A8384" s="3" t="s">
        <v>18584</v>
      </c>
      <c r="B8384" s="110" t="s">
        <v>1346</v>
      </c>
      <c r="C8384" s="111" t="s">
        <v>18585</v>
      </c>
      <c r="D8384" s="111" t="str">
        <f t="shared" ref="D8384:E8384" si="8382">TRIM(B8384)</f>
        <v>Mississippi</v>
      </c>
      <c r="E8384" s="111" t="str">
        <f t="shared" si="8382"/>
        <v>Vardaman</v>
      </c>
    </row>
    <row r="8385" spans="1:5">
      <c r="A8385" s="3" t="s">
        <v>17647</v>
      </c>
      <c r="B8385" s="110" t="s">
        <v>1346</v>
      </c>
      <c r="C8385" s="111" t="s">
        <v>7054</v>
      </c>
      <c r="D8385" s="111" t="str">
        <f t="shared" ref="D8385:E8385" si="8383">TRIM(B8385)</f>
        <v>Mississippi</v>
      </c>
      <c r="E8385" s="111" t="str">
        <f t="shared" si="8383"/>
        <v>Vicksburg</v>
      </c>
    </row>
    <row r="8386" spans="1:5">
      <c r="A8386" s="3" t="s">
        <v>14424</v>
      </c>
      <c r="B8386" s="110" t="s">
        <v>1346</v>
      </c>
      <c r="C8386" s="111" t="s">
        <v>7054</v>
      </c>
      <c r="D8386" s="111" t="str">
        <f t="shared" ref="D8386:E8386" si="8384">TRIM(B8386)</f>
        <v>Mississippi</v>
      </c>
      <c r="E8386" s="111" t="str">
        <f t="shared" si="8384"/>
        <v>Vicksburg</v>
      </c>
    </row>
    <row r="8387" spans="1:5">
      <c r="A8387" s="3" t="s">
        <v>18586</v>
      </c>
      <c r="B8387" s="110" t="s">
        <v>1346</v>
      </c>
      <c r="C8387" s="111" t="s">
        <v>2268</v>
      </c>
      <c r="D8387" s="111" t="str">
        <f t="shared" ref="D8387:E8387" si="8385">TRIM(B8387)</f>
        <v>Mississippi</v>
      </c>
      <c r="E8387" s="111" t="str">
        <f t="shared" si="8385"/>
        <v>Walnut Grove</v>
      </c>
    </row>
    <row r="8388" spans="1:5">
      <c r="A8388" s="3" t="s">
        <v>18587</v>
      </c>
      <c r="B8388" s="110" t="s">
        <v>1346</v>
      </c>
      <c r="C8388" s="111" t="s">
        <v>18588</v>
      </c>
      <c r="D8388" s="111" t="str">
        <f t="shared" ref="D8388:E8388" si="8386">TRIM(B8388)</f>
        <v>Mississippi</v>
      </c>
      <c r="E8388" s="111" t="str">
        <f t="shared" si="8386"/>
        <v>Water Valley</v>
      </c>
    </row>
    <row r="8389" spans="1:5">
      <c r="A8389" s="3" t="s">
        <v>10902</v>
      </c>
      <c r="B8389" s="110" t="s">
        <v>1346</v>
      </c>
      <c r="C8389" s="111" t="s">
        <v>10314</v>
      </c>
      <c r="D8389" s="111" t="str">
        <f t="shared" ref="D8389:E8389" si="8387">TRIM(B8389)</f>
        <v>Mississippi</v>
      </c>
      <c r="E8389" s="111" t="str">
        <f t="shared" si="8387"/>
        <v>Waynesboro</v>
      </c>
    </row>
    <row r="8390" spans="1:5">
      <c r="A8390" s="3" t="s">
        <v>18589</v>
      </c>
      <c r="B8390" s="110" t="s">
        <v>1346</v>
      </c>
      <c r="C8390" s="111" t="s">
        <v>18590</v>
      </c>
      <c r="D8390" s="111" t="str">
        <f t="shared" ref="D8390:E8390" si="8388">TRIM(B8390)</f>
        <v>Mississippi</v>
      </c>
      <c r="E8390" s="111" t="str">
        <f t="shared" si="8388"/>
        <v>Webb</v>
      </c>
    </row>
    <row r="8391" spans="1:5">
      <c r="A8391" s="3" t="s">
        <v>1668</v>
      </c>
      <c r="B8391" s="110" t="s">
        <v>1346</v>
      </c>
      <c r="C8391" s="111" t="s">
        <v>11723</v>
      </c>
      <c r="D8391" s="111" t="str">
        <f t="shared" ref="D8391:E8391" si="8389">TRIM(B8391)</f>
        <v>Mississippi</v>
      </c>
      <c r="E8391" s="111" t="str">
        <f t="shared" si="8389"/>
        <v>West Point</v>
      </c>
    </row>
    <row r="8392" spans="1:5">
      <c r="A8392" s="3" t="s">
        <v>18591</v>
      </c>
      <c r="B8392" s="110" t="s">
        <v>1346</v>
      </c>
      <c r="C8392" s="111" t="s">
        <v>8304</v>
      </c>
      <c r="D8392" s="111" t="str">
        <f t="shared" ref="D8392:E8392" si="8390">TRIM(B8392)</f>
        <v>Mississippi</v>
      </c>
      <c r="E8392" s="111" t="str">
        <f t="shared" si="8390"/>
        <v>Wiggins</v>
      </c>
    </row>
    <row r="8393" spans="1:5">
      <c r="A8393" s="110" t="s">
        <v>18592</v>
      </c>
      <c r="B8393" s="110" t="s">
        <v>1346</v>
      </c>
      <c r="C8393" s="111" t="s">
        <v>11533</v>
      </c>
      <c r="D8393" s="111" t="str">
        <f t="shared" ref="D8393:E8393" si="8391">TRIM(B8393)</f>
        <v>Mississippi</v>
      </c>
      <c r="E8393" s="111" t="str">
        <f t="shared" si="8391"/>
        <v>Winona</v>
      </c>
    </row>
    <row r="8394" spans="1:5">
      <c r="A8394" s="3" t="s">
        <v>10888</v>
      </c>
      <c r="B8394" s="110" t="s">
        <v>1346</v>
      </c>
      <c r="C8394" s="111" t="s">
        <v>18593</v>
      </c>
      <c r="D8394" s="111" t="str">
        <f t="shared" ref="D8394:E8394" si="8392">TRIM(B8394)</f>
        <v>Mississippi</v>
      </c>
      <c r="E8394" s="111" t="str">
        <f t="shared" si="8392"/>
        <v>Woodville</v>
      </c>
    </row>
    <row r="8395" spans="1:5">
      <c r="A8395" s="3" t="s">
        <v>18594</v>
      </c>
      <c r="B8395" s="110" t="s">
        <v>1346</v>
      </c>
      <c r="C8395" s="111" t="s">
        <v>18595</v>
      </c>
      <c r="D8395" s="111" t="str">
        <f t="shared" ref="D8395:E8395" si="8393">TRIM(B8395)</f>
        <v>Mississippi</v>
      </c>
      <c r="E8395" s="111" t="str">
        <f t="shared" si="8393"/>
        <v>Yazoo City</v>
      </c>
    </row>
    <row r="8396" spans="1:5">
      <c r="A8396" s="3" t="s">
        <v>18596</v>
      </c>
      <c r="B8396" s="110" t="s">
        <v>1346</v>
      </c>
      <c r="C8396" s="111" t="s">
        <v>18595</v>
      </c>
      <c r="D8396" s="111" t="str">
        <f t="shared" ref="D8396:E8396" si="8394">TRIM(B8396)</f>
        <v>Mississippi</v>
      </c>
      <c r="E8396" s="111" t="str">
        <f t="shared" si="8394"/>
        <v>Yazoo City</v>
      </c>
    </row>
    <row r="8397" spans="1:5">
      <c r="A8397" s="3" t="s">
        <v>18597</v>
      </c>
      <c r="B8397" s="110" t="s">
        <v>1347</v>
      </c>
      <c r="C8397" s="111" t="s">
        <v>16931</v>
      </c>
      <c r="D8397" s="111" t="str">
        <f t="shared" ref="D8397:E8397" si="8395">TRIM(B8397)</f>
        <v>Missouri</v>
      </c>
      <c r="E8397" s="111" t="str">
        <f t="shared" si="8395"/>
        <v>Adrian</v>
      </c>
    </row>
    <row r="8398" spans="1:5">
      <c r="A8398" s="3" t="s">
        <v>18598</v>
      </c>
      <c r="B8398" s="110" t="s">
        <v>1347</v>
      </c>
      <c r="C8398" s="111" t="s">
        <v>18599</v>
      </c>
      <c r="D8398" s="111" t="str">
        <f t="shared" ref="D8398:E8398" si="8396">TRIM(B8398)</f>
        <v>Missouri</v>
      </c>
      <c r="E8398" s="111" t="str">
        <f t="shared" si="8396"/>
        <v>Advance</v>
      </c>
    </row>
    <row r="8399" spans="1:5">
      <c r="A8399" s="3" t="s">
        <v>4305</v>
      </c>
      <c r="B8399" s="110" t="s">
        <v>1347</v>
      </c>
      <c r="C8399" s="111" t="s">
        <v>182</v>
      </c>
      <c r="D8399" s="111" t="str">
        <f t="shared" ref="D8399:E8399" si="8397">TRIM(B8399)</f>
        <v>Missouri</v>
      </c>
      <c r="E8399" s="111" t="str">
        <f t="shared" si="8397"/>
        <v>Albany</v>
      </c>
    </row>
    <row r="8400" spans="1:5">
      <c r="A8400" s="3" t="s">
        <v>7069</v>
      </c>
      <c r="B8400" s="110" t="s">
        <v>1347</v>
      </c>
      <c r="C8400" s="111" t="s">
        <v>3551</v>
      </c>
      <c r="D8400" s="111" t="str">
        <f t="shared" ref="D8400:E8400" si="8398">TRIM(B8400)</f>
        <v>Missouri</v>
      </c>
      <c r="E8400" s="111" t="str">
        <f t="shared" si="8398"/>
        <v>Alma</v>
      </c>
    </row>
    <row r="8401" spans="1:5">
      <c r="A8401" s="3" t="s">
        <v>11962</v>
      </c>
      <c r="B8401" s="110" t="s">
        <v>1347</v>
      </c>
      <c r="C8401" s="111" t="s">
        <v>435</v>
      </c>
      <c r="D8401" s="111" t="str">
        <f t="shared" ref="D8401:E8401" si="8399">TRIM(B8401)</f>
        <v>Missouri</v>
      </c>
      <c r="E8401" s="111" t="str">
        <f t="shared" si="8399"/>
        <v>Alton</v>
      </c>
    </row>
    <row r="8402" spans="1:5">
      <c r="A8402" s="3" t="s">
        <v>18600</v>
      </c>
      <c r="B8402" s="110" t="s">
        <v>1347</v>
      </c>
      <c r="C8402" s="111" t="s">
        <v>18601</v>
      </c>
      <c r="D8402" s="111" t="str">
        <f t="shared" ref="D8402:E8402" si="8400">TRIM(B8402)</f>
        <v>Missouri</v>
      </c>
      <c r="E8402" s="111" t="str">
        <f t="shared" si="8400"/>
        <v>Amoret</v>
      </c>
    </row>
    <row r="8403" spans="1:5">
      <c r="A8403" s="3" t="s">
        <v>18602</v>
      </c>
      <c r="B8403" s="110" t="s">
        <v>1347</v>
      </c>
      <c r="C8403" s="111" t="s">
        <v>4345</v>
      </c>
      <c r="D8403" s="111" t="str">
        <f t="shared" ref="D8403:E8403" si="8401">TRIM(B8403)</f>
        <v>Missouri</v>
      </c>
      <c r="E8403" s="111" t="str">
        <f t="shared" si="8401"/>
        <v>Anderson</v>
      </c>
    </row>
    <row r="8404" spans="1:5">
      <c r="A8404" s="3" t="s">
        <v>18603</v>
      </c>
      <c r="B8404" s="110" t="s">
        <v>1347</v>
      </c>
      <c r="C8404" s="111" t="s">
        <v>11121</v>
      </c>
      <c r="D8404" s="111" t="str">
        <f t="shared" ref="D8404:E8404" si="8402">TRIM(B8404)</f>
        <v>Missouri</v>
      </c>
      <c r="E8404" s="111" t="str">
        <f t="shared" si="8402"/>
        <v>Annapolis</v>
      </c>
    </row>
    <row r="8405" spans="1:5">
      <c r="A8405" s="3" t="s">
        <v>18604</v>
      </c>
      <c r="B8405" s="110" t="s">
        <v>1347</v>
      </c>
      <c r="C8405" s="111" t="s">
        <v>18605</v>
      </c>
      <c r="D8405" s="111" t="str">
        <f t="shared" ref="D8405:E8405" si="8403">TRIM(B8405)</f>
        <v>Missouri</v>
      </c>
      <c r="E8405" s="111" t="str">
        <f t="shared" si="8403"/>
        <v>Appleton City</v>
      </c>
    </row>
    <row r="8406" spans="1:5">
      <c r="A8406" s="3" t="s">
        <v>18606</v>
      </c>
      <c r="B8406" s="110" t="s">
        <v>1347</v>
      </c>
      <c r="C8406" s="111" t="s">
        <v>18607</v>
      </c>
      <c r="D8406" s="111" t="str">
        <f t="shared" ref="D8406:E8406" si="8404">TRIM(B8406)</f>
        <v>Missouri</v>
      </c>
      <c r="E8406" s="111" t="str">
        <f t="shared" si="8404"/>
        <v>Archie</v>
      </c>
    </row>
    <row r="8407" spans="1:5">
      <c r="A8407" s="3" t="s">
        <v>18608</v>
      </c>
      <c r="B8407" s="110" t="s">
        <v>1347</v>
      </c>
      <c r="C8407" s="111" t="s">
        <v>18609</v>
      </c>
      <c r="D8407" s="111" t="str">
        <f t="shared" ref="D8407:E8407" si="8405">TRIM(B8407)</f>
        <v>Missouri</v>
      </c>
      <c r="E8407" s="111" t="str">
        <f t="shared" si="8405"/>
        <v>Arnold</v>
      </c>
    </row>
    <row r="8408" spans="1:5">
      <c r="A8408" s="3" t="s">
        <v>18610</v>
      </c>
      <c r="B8408" s="110" t="s">
        <v>1347</v>
      </c>
      <c r="C8408" s="111" t="s">
        <v>18611</v>
      </c>
      <c r="D8408" s="111" t="str">
        <f t="shared" ref="D8408:E8408" si="8406">TRIM(B8408)</f>
        <v>Missouri</v>
      </c>
      <c r="E8408" s="111" t="str">
        <f t="shared" si="8406"/>
        <v>Ash Grove</v>
      </c>
    </row>
    <row r="8409" spans="1:5">
      <c r="A8409" s="3" t="s">
        <v>18612</v>
      </c>
      <c r="B8409" s="110" t="s">
        <v>1347</v>
      </c>
      <c r="C8409" s="111" t="s">
        <v>10817</v>
      </c>
      <c r="D8409" s="111" t="str">
        <f t="shared" ref="D8409:E8409" si="8407">TRIM(B8409)</f>
        <v>Missouri</v>
      </c>
      <c r="E8409" s="111" t="str">
        <f t="shared" si="8407"/>
        <v>Ashland</v>
      </c>
    </row>
    <row r="8410" spans="1:5">
      <c r="A8410" s="3" t="s">
        <v>18613</v>
      </c>
      <c r="B8410" s="110" t="s">
        <v>1347</v>
      </c>
      <c r="C8410" s="112" t="s">
        <v>149</v>
      </c>
      <c r="D8410" s="111" t="str">
        <f t="shared" ref="D8410:E8410" si="8408">TRIM(B8410)</f>
        <v>Missouri</v>
      </c>
      <c r="E8410" s="111" t="str">
        <f t="shared" si="8408"/>
        <v>Atlanta</v>
      </c>
    </row>
    <row r="8411" spans="1:5">
      <c r="A8411" s="3" t="s">
        <v>18614</v>
      </c>
      <c r="B8411" s="110" t="s">
        <v>1347</v>
      </c>
      <c r="C8411" s="111" t="s">
        <v>353</v>
      </c>
      <c r="D8411" s="111" t="str">
        <f t="shared" ref="D8411:E8411" si="8409">TRIM(B8411)</f>
        <v>Missouri</v>
      </c>
      <c r="E8411" s="111" t="str">
        <f t="shared" si="8409"/>
        <v>Aurora</v>
      </c>
    </row>
    <row r="8412" spans="1:5">
      <c r="A8412" s="3" t="s">
        <v>18615</v>
      </c>
      <c r="B8412" s="110" t="s">
        <v>1347</v>
      </c>
      <c r="C8412" s="111" t="s">
        <v>18616</v>
      </c>
      <c r="D8412" s="111" t="str">
        <f t="shared" ref="D8412:E8412" si="8410">TRIM(B8412)</f>
        <v>Missouri</v>
      </c>
      <c r="E8412" s="111" t="str">
        <f t="shared" si="8410"/>
        <v>Ava</v>
      </c>
    </row>
    <row r="8413" spans="1:5">
      <c r="A8413" s="3" t="s">
        <v>4417</v>
      </c>
      <c r="B8413" s="110" t="s">
        <v>1347</v>
      </c>
      <c r="C8413" s="111" t="s">
        <v>4418</v>
      </c>
      <c r="D8413" s="111" t="str">
        <f t="shared" ref="D8413:E8413" si="8411">TRIM(B8413)</f>
        <v>Missouri</v>
      </c>
      <c r="E8413" s="111" t="str">
        <f t="shared" si="8411"/>
        <v>Bakersfield</v>
      </c>
    </row>
    <row r="8414" spans="1:5">
      <c r="A8414" s="3" t="s">
        <v>2304</v>
      </c>
      <c r="B8414" s="110" t="s">
        <v>1347</v>
      </c>
      <c r="C8414" s="111" t="s">
        <v>18617</v>
      </c>
      <c r="D8414" s="111" t="str">
        <f t="shared" ref="D8414:E8414" si="8412">TRIM(B8414)</f>
        <v>Missouri</v>
      </c>
      <c r="E8414" s="111" t="str">
        <f t="shared" si="8412"/>
        <v>Ballwin</v>
      </c>
    </row>
    <row r="8415" spans="1:5">
      <c r="A8415" s="3" t="s">
        <v>18618</v>
      </c>
      <c r="B8415" s="110" t="s">
        <v>1347</v>
      </c>
      <c r="C8415" s="111" t="s">
        <v>18619</v>
      </c>
      <c r="D8415" s="111" t="str">
        <f t="shared" ref="D8415:E8415" si="8413">TRIM(B8415)</f>
        <v>Missouri</v>
      </c>
      <c r="E8415" s="111" t="str">
        <f t="shared" si="8413"/>
        <v>Barnard</v>
      </c>
    </row>
    <row r="8416" spans="1:5">
      <c r="A8416" s="3" t="s">
        <v>18620</v>
      </c>
      <c r="B8416" s="110" t="s">
        <v>1347</v>
      </c>
      <c r="C8416" s="111" t="s">
        <v>18621</v>
      </c>
      <c r="D8416" s="111" t="str">
        <f t="shared" ref="D8416:E8416" si="8414">TRIM(B8416)</f>
        <v>Missouri</v>
      </c>
      <c r="E8416" s="111" t="str">
        <f t="shared" si="8414"/>
        <v>Bell City</v>
      </c>
    </row>
    <row r="8417" spans="1:5">
      <c r="A8417" s="3" t="s">
        <v>18622</v>
      </c>
      <c r="B8417" s="110" t="s">
        <v>1347</v>
      </c>
      <c r="C8417" s="111" t="s">
        <v>18623</v>
      </c>
      <c r="D8417" s="111" t="str">
        <f t="shared" ref="D8417:E8417" si="8415">TRIM(B8417)</f>
        <v>Missouri</v>
      </c>
      <c r="E8417" s="111" t="str">
        <f t="shared" si="8415"/>
        <v>Belle</v>
      </c>
    </row>
    <row r="8418" spans="1:5">
      <c r="A8418" s="3" t="s">
        <v>18624</v>
      </c>
      <c r="B8418" s="110" t="s">
        <v>1347</v>
      </c>
      <c r="C8418" s="111" t="s">
        <v>362</v>
      </c>
      <c r="D8418" s="111" t="str">
        <f t="shared" ref="D8418:E8418" si="8416">TRIM(B8418)</f>
        <v>Missouri</v>
      </c>
      <c r="E8418" s="111" t="str">
        <f t="shared" si="8416"/>
        <v>Belton</v>
      </c>
    </row>
    <row r="8419" spans="1:5">
      <c r="A8419" s="3" t="s">
        <v>18625</v>
      </c>
      <c r="B8419" s="110" t="s">
        <v>1347</v>
      </c>
      <c r="C8419" s="111" t="s">
        <v>3604</v>
      </c>
      <c r="D8419" s="111" t="str">
        <f t="shared" ref="D8419:E8419" si="8417">TRIM(B8419)</f>
        <v>Missouri</v>
      </c>
      <c r="E8419" s="111" t="str">
        <f t="shared" si="8417"/>
        <v>Benton</v>
      </c>
    </row>
    <row r="8420" spans="1:5">
      <c r="A8420" s="3" t="s">
        <v>18626</v>
      </c>
      <c r="B8420" s="110" t="s">
        <v>1347</v>
      </c>
      <c r="C8420" s="111" t="s">
        <v>18627</v>
      </c>
      <c r="D8420" s="111" t="str">
        <f t="shared" ref="D8420:E8420" si="8418">TRIM(B8420)</f>
        <v>Missouri</v>
      </c>
      <c r="E8420" s="111" t="str">
        <f t="shared" si="8418"/>
        <v>Bernie</v>
      </c>
    </row>
    <row r="8421" spans="1:5">
      <c r="A8421" s="3" t="s">
        <v>18628</v>
      </c>
      <c r="B8421" s="110" t="s">
        <v>1347</v>
      </c>
      <c r="C8421" s="111" t="s">
        <v>12084</v>
      </c>
      <c r="D8421" s="111" t="str">
        <f t="shared" ref="D8421:E8421" si="8419">TRIM(B8421)</f>
        <v>Missouri</v>
      </c>
      <c r="E8421" s="111" t="str">
        <f t="shared" si="8419"/>
        <v>Bethany</v>
      </c>
    </row>
    <row r="8422" spans="1:5">
      <c r="A8422" s="3" t="s">
        <v>18629</v>
      </c>
      <c r="B8422" s="110" t="s">
        <v>1347</v>
      </c>
      <c r="C8422" s="111" t="s">
        <v>18630</v>
      </c>
      <c r="D8422" s="111" t="str">
        <f t="shared" ref="D8422:E8422" si="8420">TRIM(B8422)</f>
        <v>Missouri</v>
      </c>
      <c r="E8422" s="111" t="str">
        <f t="shared" si="8420"/>
        <v>Bevier</v>
      </c>
    </row>
    <row r="8423" spans="1:5">
      <c r="A8423" s="3" t="s">
        <v>18631</v>
      </c>
      <c r="B8423" s="110" t="s">
        <v>1347</v>
      </c>
      <c r="C8423" s="111" t="s">
        <v>556</v>
      </c>
      <c r="D8423" s="111" t="str">
        <f t="shared" ref="D8423:E8423" si="8421">TRIM(B8423)</f>
        <v>Missouri</v>
      </c>
      <c r="E8423" s="111" t="str">
        <f t="shared" si="8421"/>
        <v>Billings</v>
      </c>
    </row>
    <row r="8424" spans="1:5">
      <c r="A8424" s="3" t="s">
        <v>18632</v>
      </c>
      <c r="B8424" s="110" t="s">
        <v>1347</v>
      </c>
      <c r="C8424" s="111" t="s">
        <v>3626</v>
      </c>
      <c r="D8424" s="111" t="str">
        <f t="shared" ref="D8424:E8424" si="8422">TRIM(B8424)</f>
        <v>Missouri</v>
      </c>
      <c r="E8424" s="111" t="str">
        <f t="shared" si="8422"/>
        <v>Bismarck</v>
      </c>
    </row>
    <row r="8425" spans="1:5">
      <c r="A8425" s="3" t="s">
        <v>8342</v>
      </c>
      <c r="B8425" s="110" t="s">
        <v>1347</v>
      </c>
      <c r="C8425" s="111" t="s">
        <v>8344</v>
      </c>
      <c r="D8425" s="111" t="str">
        <f t="shared" ref="D8425:E8425" si="8423">TRIM(B8425)</f>
        <v>Missouri</v>
      </c>
      <c r="E8425" s="111" t="str">
        <f t="shared" si="8423"/>
        <v>Bloomfield</v>
      </c>
    </row>
    <row r="8426" spans="1:5">
      <c r="A8426" s="3" t="s">
        <v>18633</v>
      </c>
      <c r="B8426" s="110" t="s">
        <v>1347</v>
      </c>
      <c r="C8426" s="111" t="s">
        <v>18634</v>
      </c>
      <c r="D8426" s="111" t="str">
        <f t="shared" ref="D8426:E8426" si="8424">TRIM(B8426)</f>
        <v>Missouri</v>
      </c>
      <c r="E8426" s="111" t="str">
        <f t="shared" si="8424"/>
        <v>Blue Eye</v>
      </c>
    </row>
    <row r="8427" spans="1:5">
      <c r="A8427" s="3" t="s">
        <v>18635</v>
      </c>
      <c r="B8427" s="110" t="s">
        <v>1347</v>
      </c>
      <c r="C8427" s="111" t="s">
        <v>18636</v>
      </c>
      <c r="D8427" s="111" t="str">
        <f t="shared" ref="D8427:E8427" si="8425">TRIM(B8427)</f>
        <v>Missouri</v>
      </c>
      <c r="E8427" s="111" t="str">
        <f t="shared" si="8425"/>
        <v>Blue Springs</v>
      </c>
    </row>
    <row r="8428" spans="1:5">
      <c r="A8428" s="3" t="s">
        <v>18637</v>
      </c>
      <c r="B8428" s="110" t="s">
        <v>1347</v>
      </c>
      <c r="C8428" s="111" t="s">
        <v>18636</v>
      </c>
      <c r="D8428" s="111" t="str">
        <f t="shared" ref="D8428:E8428" si="8426">TRIM(B8428)</f>
        <v>Missouri</v>
      </c>
      <c r="E8428" s="111" t="str">
        <f t="shared" si="8426"/>
        <v>Blue Springs</v>
      </c>
    </row>
    <row r="8429" spans="1:5">
      <c r="A8429" s="3" t="s">
        <v>18638</v>
      </c>
      <c r="B8429" s="110" t="s">
        <v>1347</v>
      </c>
      <c r="C8429" s="111" t="s">
        <v>6989</v>
      </c>
      <c r="D8429" s="111" t="str">
        <f t="shared" ref="D8429:E8429" si="8427">TRIM(B8429)</f>
        <v>Missouri</v>
      </c>
      <c r="E8429" s="111" t="str">
        <f t="shared" si="8427"/>
        <v>Bolivar</v>
      </c>
    </row>
    <row r="8430" spans="1:5">
      <c r="A8430" s="3" t="s">
        <v>18639</v>
      </c>
      <c r="B8430" s="110" t="s">
        <v>1347</v>
      </c>
      <c r="C8430" s="111" t="s">
        <v>18640</v>
      </c>
      <c r="D8430" s="111" t="str">
        <f t="shared" ref="D8430:E8430" si="8428">TRIM(B8430)</f>
        <v>Missouri</v>
      </c>
      <c r="E8430" s="111" t="str">
        <f t="shared" si="8428"/>
        <v>Bonne Terre</v>
      </c>
    </row>
    <row r="8431" spans="1:5">
      <c r="A8431" s="3" t="s">
        <v>14147</v>
      </c>
      <c r="B8431" s="110" t="s">
        <v>1347</v>
      </c>
      <c r="C8431" s="111" t="s">
        <v>4505</v>
      </c>
      <c r="D8431" s="111" t="str">
        <f t="shared" ref="D8431:E8431" si="8429">TRIM(B8431)</f>
        <v>Missouri</v>
      </c>
      <c r="E8431" s="111" t="str">
        <f t="shared" si="8429"/>
        <v>Boonville</v>
      </c>
    </row>
    <row r="8432" spans="1:5">
      <c r="A8432" s="3" t="s">
        <v>18641</v>
      </c>
      <c r="B8432" s="110" t="s">
        <v>1347</v>
      </c>
      <c r="C8432" s="111" t="s">
        <v>18642</v>
      </c>
      <c r="D8432" s="111" t="str">
        <f t="shared" ref="D8432:E8432" si="8430">TRIM(B8432)</f>
        <v>Missouri</v>
      </c>
      <c r="E8432" s="111" t="str">
        <f t="shared" si="8430"/>
        <v>Bosworth</v>
      </c>
    </row>
    <row r="8433" spans="1:5">
      <c r="A8433" s="3" t="s">
        <v>18643</v>
      </c>
      <c r="B8433" s="110" t="s">
        <v>1347</v>
      </c>
      <c r="C8433" s="111" t="s">
        <v>14155</v>
      </c>
      <c r="D8433" s="111" t="str">
        <f t="shared" ref="D8433:E8433" si="8431">TRIM(B8433)</f>
        <v>Missouri</v>
      </c>
      <c r="E8433" s="111" t="str">
        <f t="shared" si="8431"/>
        <v>Bourbon</v>
      </c>
    </row>
    <row r="8434" spans="1:5">
      <c r="A8434" s="3" t="s">
        <v>15626</v>
      </c>
      <c r="B8434" s="110" t="s">
        <v>1347</v>
      </c>
      <c r="C8434" s="111" t="s">
        <v>15627</v>
      </c>
      <c r="D8434" s="111" t="str">
        <f t="shared" ref="D8434:E8434" si="8432">TRIM(B8434)</f>
        <v>Missouri</v>
      </c>
      <c r="E8434" s="111" t="str">
        <f t="shared" si="8432"/>
        <v>Bowling Green</v>
      </c>
    </row>
    <row r="8435" spans="1:5">
      <c r="A8435" s="3" t="s">
        <v>18644</v>
      </c>
      <c r="B8435" s="110" t="s">
        <v>1347</v>
      </c>
      <c r="C8435" s="111" t="s">
        <v>18645</v>
      </c>
      <c r="D8435" s="111" t="str">
        <f t="shared" ref="D8435:E8435" si="8433">TRIM(B8435)</f>
        <v>Missouri</v>
      </c>
      <c r="E8435" s="111" t="str">
        <f t="shared" si="8433"/>
        <v>Bradleyville</v>
      </c>
    </row>
    <row r="8436" spans="1:5">
      <c r="A8436" s="3" t="s">
        <v>18646</v>
      </c>
      <c r="B8436" s="110" t="s">
        <v>1347</v>
      </c>
      <c r="C8436" s="111" t="s">
        <v>18647</v>
      </c>
      <c r="D8436" s="111" t="str">
        <f t="shared" ref="D8436:E8436" si="8434">TRIM(B8436)</f>
        <v>Missouri</v>
      </c>
      <c r="E8436" s="111" t="str">
        <f t="shared" si="8434"/>
        <v>Branson</v>
      </c>
    </row>
    <row r="8437" spans="1:5">
      <c r="A8437" s="3" t="s">
        <v>18648</v>
      </c>
      <c r="B8437" s="110" t="s">
        <v>1347</v>
      </c>
      <c r="C8437" s="111" t="s">
        <v>18649</v>
      </c>
      <c r="D8437" s="111" t="str">
        <f t="shared" ref="D8437:E8437" si="8435">TRIM(B8437)</f>
        <v>Missouri</v>
      </c>
      <c r="E8437" s="111" t="str">
        <f t="shared" si="8435"/>
        <v>Brashear</v>
      </c>
    </row>
    <row r="8438" spans="1:5">
      <c r="A8438" s="3" t="s">
        <v>18650</v>
      </c>
      <c r="B8438" s="110" t="s">
        <v>1347</v>
      </c>
      <c r="C8438" s="111" t="s">
        <v>18651</v>
      </c>
      <c r="D8438" s="111" t="str">
        <f t="shared" ref="D8438:E8438" si="8436">TRIM(B8438)</f>
        <v>Missouri</v>
      </c>
      <c r="E8438" s="111" t="str">
        <f t="shared" si="8436"/>
        <v>Braymer</v>
      </c>
    </row>
    <row r="8439" spans="1:5">
      <c r="A8439" s="3" t="s">
        <v>16999</v>
      </c>
      <c r="B8439" s="110" t="s">
        <v>1347</v>
      </c>
      <c r="C8439" s="111" t="s">
        <v>17000</v>
      </c>
      <c r="D8439" s="111" t="str">
        <f t="shared" ref="D8439:E8439" si="8437">TRIM(B8439)</f>
        <v>Missouri</v>
      </c>
      <c r="E8439" s="111" t="str">
        <f t="shared" si="8437"/>
        <v>Breckenridge</v>
      </c>
    </row>
    <row r="8440" spans="1:5">
      <c r="A8440" s="3" t="s">
        <v>18652</v>
      </c>
      <c r="B8440" s="110" t="s">
        <v>1347</v>
      </c>
      <c r="C8440" s="111" t="s">
        <v>3554</v>
      </c>
      <c r="D8440" s="111" t="str">
        <f t="shared" ref="D8440:E8440" si="8438">TRIM(B8440)</f>
        <v>Missouri</v>
      </c>
      <c r="E8440" s="111" t="str">
        <f t="shared" si="8438"/>
        <v>Brentwood</v>
      </c>
    </row>
    <row r="8441" spans="1:5">
      <c r="A8441" s="3" t="s">
        <v>18653</v>
      </c>
      <c r="B8441" s="110" t="s">
        <v>1347</v>
      </c>
      <c r="C8441" s="111" t="s">
        <v>18654</v>
      </c>
      <c r="D8441" s="111" t="str">
        <f t="shared" ref="D8441:E8441" si="8439">TRIM(B8441)</f>
        <v>Missouri</v>
      </c>
      <c r="E8441" s="111" t="str">
        <f t="shared" si="8439"/>
        <v>Bronaugh</v>
      </c>
    </row>
    <row r="8442" spans="1:5">
      <c r="A8442" s="3" t="s">
        <v>8375</v>
      </c>
      <c r="B8442" s="110" t="s">
        <v>1347</v>
      </c>
      <c r="C8442" s="111" t="s">
        <v>430</v>
      </c>
      <c r="D8442" s="111" t="str">
        <f t="shared" ref="D8442:E8442" si="8440">TRIM(B8442)</f>
        <v>Missouri</v>
      </c>
      <c r="E8442" s="111" t="str">
        <f t="shared" si="8440"/>
        <v>Brookfield</v>
      </c>
    </row>
    <row r="8443" spans="1:5">
      <c r="A8443" s="3" t="s">
        <v>18655</v>
      </c>
      <c r="B8443" s="110" t="s">
        <v>1347</v>
      </c>
      <c r="C8443" s="111" t="s">
        <v>18656</v>
      </c>
      <c r="D8443" s="111" t="str">
        <f t="shared" ref="D8443:E8443" si="8441">TRIM(B8443)</f>
        <v>Missouri</v>
      </c>
      <c r="E8443" s="111" t="str">
        <f t="shared" si="8441"/>
        <v>Broseley</v>
      </c>
    </row>
    <row r="8444" spans="1:5">
      <c r="A8444" s="3" t="s">
        <v>10466</v>
      </c>
      <c r="B8444" s="110" t="s">
        <v>1347</v>
      </c>
      <c r="C8444" s="111" t="s">
        <v>10467</v>
      </c>
      <c r="D8444" s="111" t="str">
        <f t="shared" ref="D8444:E8444" si="8442">TRIM(B8444)</f>
        <v>Missouri</v>
      </c>
      <c r="E8444" s="111" t="str">
        <f t="shared" si="8442"/>
        <v>Brunswick</v>
      </c>
    </row>
    <row r="8445" spans="1:5">
      <c r="A8445" s="3" t="s">
        <v>15189</v>
      </c>
      <c r="B8445" s="110" t="s">
        <v>1347</v>
      </c>
      <c r="C8445" s="111" t="s">
        <v>15190</v>
      </c>
      <c r="D8445" s="111" t="str">
        <f t="shared" ref="D8445:E8445" si="8443">TRIM(B8445)</f>
        <v>Missouri</v>
      </c>
      <c r="E8445" s="111" t="str">
        <f t="shared" si="8443"/>
        <v>Bucklin</v>
      </c>
    </row>
    <row r="8446" spans="1:5">
      <c r="A8446" s="3" t="s">
        <v>18657</v>
      </c>
      <c r="B8446" s="110" t="s">
        <v>1347</v>
      </c>
      <c r="C8446" s="111" t="s">
        <v>12129</v>
      </c>
      <c r="D8446" s="111" t="str">
        <f t="shared" ref="D8446:E8446" si="8444">TRIM(B8446)</f>
        <v>Missouri</v>
      </c>
      <c r="E8446" s="111" t="str">
        <f t="shared" si="8444"/>
        <v>Buffalo</v>
      </c>
    </row>
    <row r="8447" spans="1:5">
      <c r="A8447" s="3" t="s">
        <v>18658</v>
      </c>
      <c r="B8447" s="110" t="s">
        <v>1347</v>
      </c>
      <c r="C8447" s="111" t="s">
        <v>18659</v>
      </c>
      <c r="D8447" s="111" t="str">
        <f t="shared" ref="D8447:E8447" si="8445">TRIM(B8447)</f>
        <v>Missouri</v>
      </c>
      <c r="E8447" s="111" t="str">
        <f t="shared" si="8445"/>
        <v>Bunceton</v>
      </c>
    </row>
    <row r="8448" spans="1:5">
      <c r="A8448" s="3" t="s">
        <v>18660</v>
      </c>
      <c r="B8448" s="110" t="s">
        <v>1347</v>
      </c>
      <c r="C8448" s="111" t="s">
        <v>18661</v>
      </c>
      <c r="D8448" s="111" t="str">
        <f t="shared" ref="D8448:E8448" si="8446">TRIM(B8448)</f>
        <v>Missouri</v>
      </c>
      <c r="E8448" s="111" t="str">
        <f t="shared" si="8446"/>
        <v>Bunker</v>
      </c>
    </row>
    <row r="8449" spans="1:5">
      <c r="A8449" s="3" t="s">
        <v>18662</v>
      </c>
      <c r="B8449" s="110" t="s">
        <v>1347</v>
      </c>
      <c r="C8449" s="111" t="s">
        <v>18663</v>
      </c>
      <c r="D8449" s="111" t="str">
        <f t="shared" ref="D8449:E8449" si="8447">TRIM(B8449)</f>
        <v>Missouri</v>
      </c>
      <c r="E8449" s="111" t="str">
        <f t="shared" si="8447"/>
        <v>Burlington Jct</v>
      </c>
    </row>
    <row r="8450" spans="1:5">
      <c r="A8450" s="3" t="s">
        <v>14879</v>
      </c>
      <c r="B8450" s="110" t="s">
        <v>1347</v>
      </c>
      <c r="C8450" s="111" t="s">
        <v>1600</v>
      </c>
      <c r="D8450" s="111" t="str">
        <f t="shared" ref="D8450:E8450" si="8448">TRIM(B8450)</f>
        <v>Missouri</v>
      </c>
      <c r="E8450" s="111" t="str">
        <f t="shared" si="8448"/>
        <v>Butler</v>
      </c>
    </row>
    <row r="8451" spans="1:5">
      <c r="A8451" s="3" t="s">
        <v>10389</v>
      </c>
      <c r="B8451" s="110" t="s">
        <v>1347</v>
      </c>
      <c r="C8451" s="111" t="s">
        <v>1600</v>
      </c>
      <c r="D8451" s="111" t="str">
        <f t="shared" ref="D8451:E8451" si="8449">TRIM(B8451)</f>
        <v>Missouri</v>
      </c>
      <c r="E8451" s="111" t="str">
        <f t="shared" si="8449"/>
        <v>Butler</v>
      </c>
    </row>
    <row r="8452" spans="1:5">
      <c r="A8452" s="3" t="s">
        <v>18664</v>
      </c>
      <c r="B8452" s="110" t="s">
        <v>1347</v>
      </c>
      <c r="C8452" s="111" t="s">
        <v>18665</v>
      </c>
      <c r="D8452" s="111" t="str">
        <f t="shared" ref="D8452:E8452" si="8450">TRIM(B8452)</f>
        <v>Missouri</v>
      </c>
      <c r="E8452" s="111" t="str">
        <f t="shared" si="8450"/>
        <v>Cabool</v>
      </c>
    </row>
    <row r="8453" spans="1:5">
      <c r="A8453" s="110" t="s">
        <v>18666</v>
      </c>
      <c r="B8453" s="110" t="s">
        <v>1347</v>
      </c>
      <c r="C8453" s="111" t="s">
        <v>18665</v>
      </c>
      <c r="D8453" s="111" t="str">
        <f t="shared" ref="D8453:E8453" si="8451">TRIM(B8453)</f>
        <v>Missouri</v>
      </c>
      <c r="E8453" s="111" t="str">
        <f t="shared" si="8451"/>
        <v>Cabool</v>
      </c>
    </row>
    <row r="8454" spans="1:5">
      <c r="A8454" s="3" t="s">
        <v>3916</v>
      </c>
      <c r="B8454" s="110" t="s">
        <v>1347</v>
      </c>
      <c r="C8454" s="111" t="s">
        <v>18667</v>
      </c>
      <c r="D8454" s="111" t="str">
        <f t="shared" ref="D8454:E8454" si="8452">TRIM(B8454)</f>
        <v>Missouri</v>
      </c>
      <c r="E8454" s="111" t="str">
        <f t="shared" si="8452"/>
        <v>Cadet</v>
      </c>
    </row>
    <row r="8455" spans="1:5">
      <c r="A8455" s="3" t="s">
        <v>18668</v>
      </c>
      <c r="B8455" s="110" t="s">
        <v>1347</v>
      </c>
      <c r="C8455" s="111" t="s">
        <v>18669</v>
      </c>
      <c r="D8455" s="111" t="str">
        <f t="shared" ref="D8455:E8455" si="8453">TRIM(B8455)</f>
        <v>Missouri</v>
      </c>
      <c r="E8455" s="111" t="str">
        <f t="shared" si="8453"/>
        <v>Cainsville</v>
      </c>
    </row>
    <row r="8456" spans="1:5">
      <c r="A8456" s="3" t="s">
        <v>9797</v>
      </c>
      <c r="B8456" s="110" t="s">
        <v>1347</v>
      </c>
      <c r="C8456" s="111" t="s">
        <v>10484</v>
      </c>
      <c r="D8456" s="111" t="str">
        <f t="shared" ref="D8456:E8456" si="8454">TRIM(B8456)</f>
        <v>Missouri</v>
      </c>
      <c r="E8456" s="111" t="str">
        <f t="shared" si="8454"/>
        <v>Cairo</v>
      </c>
    </row>
    <row r="8457" spans="1:5">
      <c r="A8457" s="3" t="s">
        <v>2256</v>
      </c>
      <c r="B8457" s="110" t="s">
        <v>1347</v>
      </c>
      <c r="C8457" s="111" t="s">
        <v>2063</v>
      </c>
      <c r="D8457" s="111" t="str">
        <f t="shared" ref="D8457:E8457" si="8455">TRIM(B8457)</f>
        <v>Missouri</v>
      </c>
      <c r="E8457" s="111" t="str">
        <f t="shared" si="8455"/>
        <v>Caledonia</v>
      </c>
    </row>
    <row r="8458" spans="1:5">
      <c r="A8458" s="3" t="s">
        <v>1922</v>
      </c>
      <c r="B8458" s="110" t="s">
        <v>1347</v>
      </c>
      <c r="C8458" s="111" t="s">
        <v>10327</v>
      </c>
      <c r="D8458" s="111" t="str">
        <f t="shared" ref="D8458:E8458" si="8456">TRIM(B8458)</f>
        <v>Missouri</v>
      </c>
      <c r="E8458" s="111" t="str">
        <f t="shared" si="8456"/>
        <v>Calhoun</v>
      </c>
    </row>
    <row r="8459" spans="1:5">
      <c r="A8459" s="3" t="s">
        <v>7008</v>
      </c>
      <c r="B8459" s="110" t="s">
        <v>1347</v>
      </c>
      <c r="C8459" s="111" t="s">
        <v>1321</v>
      </c>
      <c r="D8459" s="111" t="str">
        <f t="shared" ref="D8459:E8459" si="8457">TRIM(B8459)</f>
        <v>Missouri</v>
      </c>
      <c r="E8459" s="111" t="str">
        <f t="shared" si="8457"/>
        <v>California</v>
      </c>
    </row>
    <row r="8460" spans="1:5">
      <c r="A8460" s="3" t="s">
        <v>18670</v>
      </c>
      <c r="B8460" s="110" t="s">
        <v>1347</v>
      </c>
      <c r="C8460" s="111" t="s">
        <v>18671</v>
      </c>
      <c r="D8460" s="111" t="str">
        <f t="shared" ref="D8460:E8460" si="8458">TRIM(B8460)</f>
        <v>Missouri</v>
      </c>
      <c r="E8460" s="111" t="str">
        <f t="shared" si="8458"/>
        <v>Camdenton</v>
      </c>
    </row>
    <row r="8461" spans="1:5">
      <c r="A8461" s="3" t="s">
        <v>18672</v>
      </c>
      <c r="B8461" s="110" t="s">
        <v>1347</v>
      </c>
      <c r="C8461" s="111" t="s">
        <v>13742</v>
      </c>
      <c r="D8461" s="111" t="str">
        <f t="shared" ref="D8461:E8461" si="8459">TRIM(B8461)</f>
        <v>Missouri</v>
      </c>
      <c r="E8461" s="111" t="str">
        <f t="shared" si="8459"/>
        <v>Cameron</v>
      </c>
    </row>
    <row r="8462" spans="1:5">
      <c r="A8462" s="3" t="s">
        <v>11261</v>
      </c>
      <c r="B8462" s="110" t="s">
        <v>1347</v>
      </c>
      <c r="C8462" s="111" t="s">
        <v>4578</v>
      </c>
      <c r="D8462" s="111" t="str">
        <f t="shared" ref="D8462:E8462" si="8460">TRIM(B8462)</f>
        <v>Missouri</v>
      </c>
      <c r="E8462" s="111" t="str">
        <f t="shared" si="8460"/>
        <v>Campbell</v>
      </c>
    </row>
    <row r="8463" spans="1:5">
      <c r="A8463" s="3" t="s">
        <v>8378</v>
      </c>
      <c r="B8463" s="110" t="s">
        <v>1347</v>
      </c>
      <c r="C8463" s="111" t="s">
        <v>1205</v>
      </c>
      <c r="D8463" s="111" t="str">
        <f t="shared" ref="D8463:E8463" si="8461">TRIM(B8463)</f>
        <v>Missouri</v>
      </c>
      <c r="E8463" s="111" t="str">
        <f t="shared" si="8461"/>
        <v>Canton</v>
      </c>
    </row>
    <row r="8464" spans="1:5">
      <c r="A8464" s="3" t="s">
        <v>1843</v>
      </c>
      <c r="B8464" s="110" t="s">
        <v>1347</v>
      </c>
      <c r="C8464" s="111" t="s">
        <v>11820</v>
      </c>
      <c r="D8464" s="111" t="str">
        <f t="shared" ref="D8464:E8464" si="8462">TRIM(B8464)</f>
        <v>Missouri</v>
      </c>
      <c r="E8464" s="111" t="str">
        <f t="shared" si="8462"/>
        <v>Cape Girardeau</v>
      </c>
    </row>
    <row r="8465" spans="1:5">
      <c r="A8465" s="110" t="s">
        <v>18673</v>
      </c>
      <c r="B8465" s="110" t="s">
        <v>1347</v>
      </c>
      <c r="C8465" s="111" t="s">
        <v>11820</v>
      </c>
      <c r="D8465" s="111" t="str">
        <f t="shared" ref="D8465:E8465" si="8463">TRIM(B8465)</f>
        <v>Missouri</v>
      </c>
      <c r="E8465" s="111" t="str">
        <f t="shared" si="8463"/>
        <v>Cape Girardeau</v>
      </c>
    </row>
    <row r="8466" spans="1:5">
      <c r="A8466" s="110" t="s">
        <v>18674</v>
      </c>
      <c r="B8466" s="110" t="s">
        <v>1347</v>
      </c>
      <c r="C8466" s="111" t="s">
        <v>11820</v>
      </c>
      <c r="D8466" s="111" t="str">
        <f t="shared" ref="D8466:E8466" si="8464">TRIM(B8466)</f>
        <v>Missouri</v>
      </c>
      <c r="E8466" s="111" t="str">
        <f t="shared" si="8464"/>
        <v>Cape Girardeau</v>
      </c>
    </row>
    <row r="8467" spans="1:5">
      <c r="A8467" s="3" t="s">
        <v>18675</v>
      </c>
      <c r="B8467" s="110" t="s">
        <v>1347</v>
      </c>
      <c r="C8467" s="111" t="s">
        <v>18676</v>
      </c>
      <c r="D8467" s="111" t="str">
        <f t="shared" ref="D8467:E8467" si="8465">TRIM(B8467)</f>
        <v>Missouri</v>
      </c>
      <c r="E8467" s="111" t="str">
        <f t="shared" si="8465"/>
        <v>Cardwell</v>
      </c>
    </row>
    <row r="8468" spans="1:5">
      <c r="A8468" s="3" t="s">
        <v>18677</v>
      </c>
      <c r="B8468" s="110" t="s">
        <v>1347</v>
      </c>
      <c r="C8468" s="111" t="s">
        <v>18678</v>
      </c>
      <c r="D8468" s="111" t="str">
        <f t="shared" ref="D8468:E8468" si="8466">TRIM(B8468)</f>
        <v>Missouri</v>
      </c>
      <c r="E8468" s="111" t="str">
        <f t="shared" si="8466"/>
        <v>Carl Junction</v>
      </c>
    </row>
    <row r="8469" spans="1:5">
      <c r="A8469" s="3" t="s">
        <v>18679</v>
      </c>
      <c r="B8469" s="110" t="s">
        <v>1347</v>
      </c>
      <c r="C8469" s="111" t="s">
        <v>5618</v>
      </c>
      <c r="D8469" s="111" t="str">
        <f t="shared" ref="D8469:E8469" si="8467">TRIM(B8469)</f>
        <v>Missouri</v>
      </c>
      <c r="E8469" s="111" t="str">
        <f t="shared" si="8467"/>
        <v>Carrollton</v>
      </c>
    </row>
    <row r="8470" spans="1:5">
      <c r="A8470" s="3" t="s">
        <v>18680</v>
      </c>
      <c r="B8470" s="110" t="s">
        <v>1347</v>
      </c>
      <c r="C8470" s="111" t="s">
        <v>12189</v>
      </c>
      <c r="D8470" s="111" t="str">
        <f t="shared" ref="D8470:E8470" si="8468">TRIM(B8470)</f>
        <v>Missouri</v>
      </c>
      <c r="E8470" s="111" t="str">
        <f t="shared" si="8468"/>
        <v>Carthage</v>
      </c>
    </row>
    <row r="8471" spans="1:5">
      <c r="A8471" s="3" t="s">
        <v>18681</v>
      </c>
      <c r="B8471" s="110" t="s">
        <v>1347</v>
      </c>
      <c r="C8471" s="111" t="s">
        <v>18682</v>
      </c>
      <c r="D8471" s="111" t="str">
        <f t="shared" ref="D8471:E8471" si="8469">TRIM(B8471)</f>
        <v>Missouri</v>
      </c>
      <c r="E8471" s="111" t="str">
        <f t="shared" si="8469"/>
        <v>Caruthersville</v>
      </c>
    </row>
    <row r="8472" spans="1:5">
      <c r="A8472" s="3" t="s">
        <v>18683</v>
      </c>
      <c r="B8472" s="110" t="s">
        <v>1347</v>
      </c>
      <c r="C8472" s="111" t="s">
        <v>18684</v>
      </c>
      <c r="D8472" s="111" t="str">
        <f t="shared" ref="D8472:E8472" si="8470">TRIM(B8472)</f>
        <v>Missouri</v>
      </c>
      <c r="E8472" s="111" t="str">
        <f t="shared" si="8470"/>
        <v>Cassville</v>
      </c>
    </row>
    <row r="8473" spans="1:5">
      <c r="A8473" s="3" t="s">
        <v>15590</v>
      </c>
      <c r="B8473" s="110" t="s">
        <v>1347</v>
      </c>
      <c r="C8473" s="111" t="s">
        <v>261</v>
      </c>
      <c r="D8473" s="111" t="str">
        <f t="shared" ref="D8473:E8473" si="8471">TRIM(B8473)</f>
        <v>Missouri</v>
      </c>
      <c r="E8473" s="111" t="str">
        <f t="shared" si="8471"/>
        <v>Cedar Hill</v>
      </c>
    </row>
    <row r="8474" spans="1:5">
      <c r="A8474" s="3" t="s">
        <v>18685</v>
      </c>
      <c r="B8474" s="110" t="s">
        <v>1347</v>
      </c>
      <c r="C8474" s="111" t="s">
        <v>7698</v>
      </c>
      <c r="D8474" s="111" t="str">
        <f t="shared" ref="D8474:E8474" si="8472">TRIM(B8474)</f>
        <v>Missouri</v>
      </c>
      <c r="E8474" s="111" t="str">
        <f t="shared" si="8472"/>
        <v>Center</v>
      </c>
    </row>
    <row r="8475" spans="1:5">
      <c r="A8475" s="3" t="s">
        <v>18686</v>
      </c>
      <c r="B8475" s="110" t="s">
        <v>1347</v>
      </c>
      <c r="C8475" s="111" t="s">
        <v>18687</v>
      </c>
      <c r="D8475" s="111" t="str">
        <f t="shared" ref="D8475:E8475" si="8473">TRIM(B8475)</f>
        <v>Missouri</v>
      </c>
      <c r="E8475" s="111" t="str">
        <f t="shared" si="8473"/>
        <v>Centerview</v>
      </c>
    </row>
    <row r="8476" spans="1:5">
      <c r="A8476" s="3" t="s">
        <v>12204</v>
      </c>
      <c r="B8476" s="110" t="s">
        <v>1347</v>
      </c>
      <c r="C8476" s="111" t="s">
        <v>12205</v>
      </c>
      <c r="D8476" s="111" t="str">
        <f t="shared" ref="D8476:E8476" si="8474">TRIM(B8476)</f>
        <v>Missouri</v>
      </c>
      <c r="E8476" s="111" t="str">
        <f t="shared" si="8474"/>
        <v>Centralia</v>
      </c>
    </row>
    <row r="8477" spans="1:5">
      <c r="A8477" s="3" t="s">
        <v>18688</v>
      </c>
      <c r="B8477" s="110" t="s">
        <v>1347</v>
      </c>
      <c r="C8477" s="111" t="s">
        <v>18689</v>
      </c>
      <c r="D8477" s="111" t="str">
        <f t="shared" ref="D8477:E8477" si="8475">TRIM(B8477)</f>
        <v>Missouri</v>
      </c>
      <c r="E8477" s="111" t="str">
        <f t="shared" si="8475"/>
        <v>Chadwick</v>
      </c>
    </row>
    <row r="8478" spans="1:5">
      <c r="A8478" s="3" t="s">
        <v>18690</v>
      </c>
      <c r="B8478" s="110" t="s">
        <v>1347</v>
      </c>
      <c r="C8478" s="111" t="s">
        <v>18691</v>
      </c>
      <c r="D8478" s="111" t="str">
        <f t="shared" ref="D8478:E8478" si="8476">TRIM(B8478)</f>
        <v>Missouri</v>
      </c>
      <c r="E8478" s="111" t="str">
        <f t="shared" si="8476"/>
        <v>Chaffee</v>
      </c>
    </row>
    <row r="8479" spans="1:5">
      <c r="A8479" s="3" t="s">
        <v>18692</v>
      </c>
      <c r="B8479" s="110" t="s">
        <v>1347</v>
      </c>
      <c r="C8479" s="111" t="s">
        <v>18693</v>
      </c>
      <c r="D8479" s="111" t="str">
        <f t="shared" ref="D8479:E8479" si="8477">TRIM(B8479)</f>
        <v>Missouri</v>
      </c>
      <c r="E8479" s="111" t="str">
        <f t="shared" si="8477"/>
        <v>Chamois</v>
      </c>
    </row>
    <row r="8480" spans="1:5">
      <c r="A8480" s="3" t="s">
        <v>3683</v>
      </c>
      <c r="B8480" s="110" t="s">
        <v>1347</v>
      </c>
      <c r="C8480" s="111" t="s">
        <v>3684</v>
      </c>
      <c r="D8480" s="111" t="str">
        <f t="shared" ref="D8480:E8480" si="8478">TRIM(B8480)</f>
        <v>Missouri</v>
      </c>
      <c r="E8480" s="111" t="str">
        <f t="shared" si="8478"/>
        <v>Charleston</v>
      </c>
    </row>
    <row r="8481" spans="1:5">
      <c r="A8481" s="110" t="s">
        <v>18694</v>
      </c>
      <c r="B8481" s="110" t="s">
        <v>1347</v>
      </c>
      <c r="C8481" s="111" t="s">
        <v>11768</v>
      </c>
      <c r="D8481" s="111" t="str">
        <f t="shared" ref="D8481:E8481" si="8479">TRIM(B8481)</f>
        <v>Missouri</v>
      </c>
      <c r="E8481" s="111" t="str">
        <f t="shared" si="8479"/>
        <v>Chesterfield</v>
      </c>
    </row>
    <row r="8482" spans="1:5">
      <c r="A8482" s="3" t="s">
        <v>1843</v>
      </c>
      <c r="B8482" s="110" t="s">
        <v>1347</v>
      </c>
      <c r="C8482" s="111" t="s">
        <v>11768</v>
      </c>
      <c r="D8482" s="111" t="str">
        <f t="shared" ref="D8482:E8482" si="8480">TRIM(B8482)</f>
        <v>Missouri</v>
      </c>
      <c r="E8482" s="111" t="str">
        <f t="shared" si="8480"/>
        <v>Chesterfield</v>
      </c>
    </row>
    <row r="8483" spans="1:5">
      <c r="A8483" s="3" t="s">
        <v>18695</v>
      </c>
      <c r="B8483" s="110" t="s">
        <v>1347</v>
      </c>
      <c r="C8483" s="111" t="s">
        <v>11768</v>
      </c>
      <c r="D8483" s="111" t="str">
        <f t="shared" ref="D8483:E8483" si="8481">TRIM(B8483)</f>
        <v>Missouri</v>
      </c>
      <c r="E8483" s="111" t="str">
        <f t="shared" si="8481"/>
        <v>Chesterfield</v>
      </c>
    </row>
    <row r="8484" spans="1:5">
      <c r="A8484" s="3" t="s">
        <v>18696</v>
      </c>
      <c r="B8484" s="110" t="s">
        <v>1347</v>
      </c>
      <c r="C8484" s="111" t="s">
        <v>18697</v>
      </c>
      <c r="D8484" s="111" t="str">
        <f t="shared" ref="D8484:E8484" si="8482">TRIM(B8484)</f>
        <v>Missouri</v>
      </c>
      <c r="E8484" s="111" t="str">
        <f t="shared" si="8482"/>
        <v>Chilhowee</v>
      </c>
    </row>
    <row r="8485" spans="1:5">
      <c r="A8485" s="3" t="s">
        <v>18698</v>
      </c>
      <c r="B8485" s="110" t="s">
        <v>1347</v>
      </c>
      <c r="C8485" s="111" t="s">
        <v>1178</v>
      </c>
      <c r="D8485" s="111" t="str">
        <f t="shared" ref="D8485:E8485" si="8483">TRIM(B8485)</f>
        <v>Missouri</v>
      </c>
      <c r="E8485" s="111" t="str">
        <f t="shared" si="8483"/>
        <v>Chillicothe</v>
      </c>
    </row>
    <row r="8486" spans="1:5">
      <c r="A8486" s="3" t="s">
        <v>18699</v>
      </c>
      <c r="B8486" s="110" t="s">
        <v>1347</v>
      </c>
      <c r="C8486" s="111" t="s">
        <v>3693</v>
      </c>
      <c r="D8486" s="111" t="str">
        <f t="shared" ref="D8486:E8486" si="8484">TRIM(B8486)</f>
        <v>Missouri</v>
      </c>
      <c r="E8486" s="111" t="str">
        <f t="shared" si="8484"/>
        <v>Clarksville</v>
      </c>
    </row>
    <row r="8487" spans="1:5">
      <c r="A8487" s="3" t="s">
        <v>18700</v>
      </c>
      <c r="B8487" s="110" t="s">
        <v>1347</v>
      </c>
      <c r="C8487" s="111" t="s">
        <v>18701</v>
      </c>
      <c r="D8487" s="111" t="str">
        <f t="shared" ref="D8487:E8487" si="8485">TRIM(B8487)</f>
        <v>Missouri</v>
      </c>
      <c r="E8487" s="111" t="str">
        <f t="shared" si="8485"/>
        <v>Clarkton</v>
      </c>
    </row>
    <row r="8488" spans="1:5">
      <c r="A8488" s="3" t="s">
        <v>18702</v>
      </c>
      <c r="B8488" s="110" t="s">
        <v>1347</v>
      </c>
      <c r="C8488" s="111" t="s">
        <v>1640</v>
      </c>
      <c r="D8488" s="111" t="str">
        <f t="shared" ref="D8488:E8488" si="8486">TRIM(B8488)</f>
        <v>Missouri</v>
      </c>
      <c r="E8488" s="111" t="str">
        <f t="shared" si="8486"/>
        <v>Clayton</v>
      </c>
    </row>
    <row r="8489" spans="1:5">
      <c r="A8489" s="3" t="s">
        <v>18703</v>
      </c>
      <c r="B8489" s="110" t="s">
        <v>1347</v>
      </c>
      <c r="C8489" s="111" t="s">
        <v>127</v>
      </c>
      <c r="D8489" s="111" t="str">
        <f t="shared" ref="D8489:E8489" si="8487">TRIM(B8489)</f>
        <v>Missouri</v>
      </c>
      <c r="E8489" s="111" t="str">
        <f t="shared" si="8487"/>
        <v>Cleveland</v>
      </c>
    </row>
    <row r="8490" spans="1:5">
      <c r="A8490" s="3" t="s">
        <v>18704</v>
      </c>
      <c r="B8490" s="110" t="s">
        <v>1347</v>
      </c>
      <c r="C8490" s="112" t="s">
        <v>18705</v>
      </c>
      <c r="D8490" s="111" t="str">
        <f t="shared" ref="D8490:E8490" si="8488">TRIM(B8490)</f>
        <v>Missouri</v>
      </c>
      <c r="E8490" s="111" t="str">
        <f t="shared" si="8488"/>
        <v>Clever</v>
      </c>
    </row>
    <row r="8491" spans="1:5">
      <c r="A8491" s="3" t="s">
        <v>18706</v>
      </c>
      <c r="B8491" s="110" t="s">
        <v>1347</v>
      </c>
      <c r="C8491" s="111" t="s">
        <v>18707</v>
      </c>
      <c r="D8491" s="111" t="str">
        <f t="shared" ref="D8491:E8491" si="8489">TRIM(B8491)</f>
        <v>Missouri</v>
      </c>
      <c r="E8491" s="111" t="str">
        <f t="shared" si="8489"/>
        <v>Climax Springs</v>
      </c>
    </row>
    <row r="8492" spans="1:5">
      <c r="A8492" s="3" t="s">
        <v>18708</v>
      </c>
      <c r="B8492" s="110" t="s">
        <v>1347</v>
      </c>
      <c r="C8492" s="111" t="s">
        <v>3697</v>
      </c>
      <c r="D8492" s="111" t="str">
        <f t="shared" ref="D8492:E8492" si="8490">TRIM(B8492)</f>
        <v>Missouri</v>
      </c>
      <c r="E8492" s="111" t="str">
        <f t="shared" si="8490"/>
        <v>Clinton</v>
      </c>
    </row>
    <row r="8493" spans="1:5">
      <c r="A8493" s="3" t="s">
        <v>18709</v>
      </c>
      <c r="B8493" s="110" t="s">
        <v>1347</v>
      </c>
      <c r="C8493" s="111" t="s">
        <v>18710</v>
      </c>
      <c r="D8493" s="111" t="str">
        <f t="shared" ref="D8493:E8493" si="8491">TRIM(B8493)</f>
        <v>Missouri</v>
      </c>
      <c r="E8493" s="111" t="str">
        <f t="shared" si="8491"/>
        <v>Cole Camp</v>
      </c>
    </row>
    <row r="8494" spans="1:5">
      <c r="A8494" s="110" t="s">
        <v>18711</v>
      </c>
      <c r="B8494" s="110" t="s">
        <v>1347</v>
      </c>
      <c r="C8494" s="111" t="s">
        <v>356</v>
      </c>
      <c r="D8494" s="111" t="str">
        <f t="shared" ref="D8494:E8494" si="8492">TRIM(B8494)</f>
        <v>Missouri</v>
      </c>
      <c r="E8494" s="111" t="str">
        <f t="shared" si="8492"/>
        <v>Columbia</v>
      </c>
    </row>
    <row r="8495" spans="1:5">
      <c r="A8495" s="3" t="s">
        <v>18712</v>
      </c>
      <c r="B8495" s="110" t="s">
        <v>1347</v>
      </c>
      <c r="C8495" s="111" t="s">
        <v>356</v>
      </c>
      <c r="D8495" s="111" t="str">
        <f t="shared" ref="D8495:E8495" si="8493">TRIM(B8495)</f>
        <v>Missouri</v>
      </c>
      <c r="E8495" s="111" t="str">
        <f t="shared" si="8493"/>
        <v>Columbia</v>
      </c>
    </row>
    <row r="8496" spans="1:5">
      <c r="A8496" s="3" t="s">
        <v>18713</v>
      </c>
      <c r="B8496" s="110" t="s">
        <v>1347</v>
      </c>
      <c r="C8496" s="111" t="s">
        <v>356</v>
      </c>
      <c r="D8496" s="111" t="str">
        <f t="shared" ref="D8496:E8496" si="8494">TRIM(B8496)</f>
        <v>Missouri</v>
      </c>
      <c r="E8496" s="111" t="str">
        <f t="shared" si="8494"/>
        <v>Columbia</v>
      </c>
    </row>
    <row r="8497" spans="1:5">
      <c r="A8497" s="3" t="s">
        <v>18714</v>
      </c>
      <c r="B8497" s="110" t="s">
        <v>1347</v>
      </c>
      <c r="C8497" s="111" t="s">
        <v>356</v>
      </c>
      <c r="D8497" s="111" t="str">
        <f t="shared" ref="D8497:E8497" si="8495">TRIM(B8497)</f>
        <v>Missouri</v>
      </c>
      <c r="E8497" s="111" t="str">
        <f t="shared" si="8495"/>
        <v>Columbia</v>
      </c>
    </row>
    <row r="8498" spans="1:5">
      <c r="A8498" s="3" t="s">
        <v>4802</v>
      </c>
      <c r="B8498" s="110" t="s">
        <v>1347</v>
      </c>
      <c r="C8498" s="111" t="s">
        <v>18715</v>
      </c>
      <c r="D8498" s="111" t="str">
        <f t="shared" ref="D8498:E8498" si="8496">TRIM(B8498)</f>
        <v>Missouri</v>
      </c>
      <c r="E8498" s="111" t="str">
        <f t="shared" si="8496"/>
        <v>Conception Jct</v>
      </c>
    </row>
    <row r="8499" spans="1:5">
      <c r="A8499" s="3" t="s">
        <v>13633</v>
      </c>
      <c r="B8499" s="110" t="s">
        <v>1347</v>
      </c>
      <c r="C8499" s="111" t="s">
        <v>15235</v>
      </c>
      <c r="D8499" s="111" t="str">
        <f t="shared" ref="D8499:E8499" si="8497">TRIM(B8499)</f>
        <v>Missouri</v>
      </c>
      <c r="E8499" s="111" t="str">
        <f t="shared" si="8497"/>
        <v>Concordia</v>
      </c>
    </row>
    <row r="8500" spans="1:5">
      <c r="A8500" s="3" t="s">
        <v>18716</v>
      </c>
      <c r="B8500" s="110" t="s">
        <v>1347</v>
      </c>
      <c r="C8500" s="111" t="s">
        <v>1579</v>
      </c>
      <c r="D8500" s="111" t="str">
        <f t="shared" ref="D8500:E8500" si="8498">TRIM(B8500)</f>
        <v>Missouri</v>
      </c>
      <c r="E8500" s="111" t="str">
        <f t="shared" si="8498"/>
        <v>Conway</v>
      </c>
    </row>
    <row r="8501" spans="1:5">
      <c r="A8501" s="3" t="s">
        <v>18717</v>
      </c>
      <c r="B8501" s="110" t="s">
        <v>1347</v>
      </c>
      <c r="C8501" s="111" t="s">
        <v>18718</v>
      </c>
      <c r="D8501" s="111" t="str">
        <f t="shared" ref="D8501:E8501" si="8499">TRIM(B8501)</f>
        <v>Missouri</v>
      </c>
      <c r="E8501" s="111" t="str">
        <f t="shared" si="8499"/>
        <v>Cooter</v>
      </c>
    </row>
    <row r="8502" spans="1:5">
      <c r="A8502" s="3" t="s">
        <v>2318</v>
      </c>
      <c r="B8502" s="110" t="s">
        <v>1347</v>
      </c>
      <c r="C8502" s="111" t="s">
        <v>2319</v>
      </c>
      <c r="D8502" s="111" t="str">
        <f t="shared" ref="D8502:E8502" si="8500">TRIM(B8502)</f>
        <v>Missouri</v>
      </c>
      <c r="E8502" s="111" t="str">
        <f t="shared" si="8500"/>
        <v>Craig</v>
      </c>
    </row>
    <row r="8503" spans="1:5">
      <c r="A8503" s="3" t="s">
        <v>18719</v>
      </c>
      <c r="B8503" s="110" t="s">
        <v>1347</v>
      </c>
      <c r="C8503" s="111" t="s">
        <v>18720</v>
      </c>
      <c r="D8503" s="111" t="str">
        <f t="shared" ref="D8503:E8503" si="8501">TRIM(B8503)</f>
        <v>Missouri</v>
      </c>
      <c r="E8503" s="111" t="str">
        <f t="shared" si="8501"/>
        <v>Crane</v>
      </c>
    </row>
    <row r="8504" spans="1:5">
      <c r="A8504" s="3" t="s">
        <v>16494</v>
      </c>
      <c r="B8504" s="110" t="s">
        <v>1347</v>
      </c>
      <c r="C8504" s="111" t="s">
        <v>18721</v>
      </c>
      <c r="D8504" s="111" t="str">
        <f t="shared" ref="D8504:E8504" si="8502">TRIM(B8504)</f>
        <v>Missouri</v>
      </c>
      <c r="E8504" s="111" t="str">
        <f t="shared" si="8502"/>
        <v>Creighton</v>
      </c>
    </row>
    <row r="8505" spans="1:5">
      <c r="A8505" s="3" t="s">
        <v>18722</v>
      </c>
      <c r="B8505" s="110" t="s">
        <v>1347</v>
      </c>
      <c r="C8505" s="111" t="s">
        <v>15658</v>
      </c>
      <c r="D8505" s="111" t="str">
        <f t="shared" ref="D8505:E8505" si="8503">TRIM(B8505)</f>
        <v>Missouri</v>
      </c>
      <c r="E8505" s="111" t="str">
        <f t="shared" si="8503"/>
        <v>Crestwood</v>
      </c>
    </row>
    <row r="8506" spans="1:5">
      <c r="A8506" s="3" t="s">
        <v>18723</v>
      </c>
      <c r="B8506" s="110" t="s">
        <v>1347</v>
      </c>
      <c r="C8506" s="111" t="s">
        <v>18724</v>
      </c>
      <c r="D8506" s="111" t="str">
        <f t="shared" ref="D8506:E8506" si="8504">TRIM(B8506)</f>
        <v>Missouri</v>
      </c>
      <c r="E8506" s="111" t="str">
        <f t="shared" si="8504"/>
        <v>Crocker</v>
      </c>
    </row>
    <row r="8507" spans="1:5">
      <c r="A8507" s="3" t="s">
        <v>18725</v>
      </c>
      <c r="B8507" s="110" t="s">
        <v>1347</v>
      </c>
      <c r="C8507" s="111" t="s">
        <v>18726</v>
      </c>
      <c r="D8507" s="111" t="str">
        <f t="shared" ref="D8507:E8507" si="8505">TRIM(B8507)</f>
        <v>Missouri</v>
      </c>
      <c r="E8507" s="111" t="str">
        <f t="shared" si="8505"/>
        <v>Crystal City</v>
      </c>
    </row>
    <row r="8508" spans="1:5">
      <c r="A8508" s="3" t="s">
        <v>18727</v>
      </c>
      <c r="B8508" s="110" t="s">
        <v>1347</v>
      </c>
      <c r="C8508" s="111" t="s">
        <v>12727</v>
      </c>
      <c r="D8508" s="111" t="str">
        <f t="shared" ref="D8508:E8508" si="8506">TRIM(B8508)</f>
        <v>Missouri</v>
      </c>
      <c r="E8508" s="111" t="str">
        <f t="shared" si="8506"/>
        <v>Cuba</v>
      </c>
    </row>
    <row r="8509" spans="1:5">
      <c r="A8509" s="3" t="s">
        <v>18728</v>
      </c>
      <c r="B8509" s="110" t="s">
        <v>1347</v>
      </c>
      <c r="C8509" s="111" t="s">
        <v>1670</v>
      </c>
      <c r="D8509" s="111" t="str">
        <f t="shared" ref="D8509:E8509" si="8507">TRIM(B8509)</f>
        <v>Missouri</v>
      </c>
      <c r="E8509" s="111" t="str">
        <f t="shared" si="8507"/>
        <v>Dadeville</v>
      </c>
    </row>
    <row r="8510" spans="1:5">
      <c r="A8510" s="3" t="s">
        <v>18729</v>
      </c>
      <c r="B8510" s="110" t="s">
        <v>1347</v>
      </c>
      <c r="C8510" s="111" t="s">
        <v>11444</v>
      </c>
      <c r="D8510" s="111" t="str">
        <f t="shared" ref="D8510:E8510" si="8508">TRIM(B8510)</f>
        <v>Missouri</v>
      </c>
      <c r="E8510" s="111" t="str">
        <f t="shared" si="8508"/>
        <v>Dearborn</v>
      </c>
    </row>
    <row r="8511" spans="1:5">
      <c r="A8511" s="3" t="s">
        <v>14445</v>
      </c>
      <c r="B8511" s="110" t="s">
        <v>1347</v>
      </c>
      <c r="C8511" s="111" t="s">
        <v>18730</v>
      </c>
      <c r="D8511" s="111" t="str">
        <f t="shared" ref="D8511:E8511" si="8509">TRIM(B8511)</f>
        <v>Missouri</v>
      </c>
      <c r="E8511" s="111" t="str">
        <f t="shared" si="8509"/>
        <v>Deepwater</v>
      </c>
    </row>
    <row r="8512" spans="1:5">
      <c r="A8512" s="3" t="s">
        <v>18731</v>
      </c>
      <c r="B8512" s="110" t="s">
        <v>1347</v>
      </c>
      <c r="C8512" s="111" t="s">
        <v>18732</v>
      </c>
      <c r="D8512" s="111" t="str">
        <f t="shared" ref="D8512:E8512" si="8510">TRIM(B8512)</f>
        <v>Missouri</v>
      </c>
      <c r="E8512" s="111" t="str">
        <f t="shared" si="8510"/>
        <v>Deering</v>
      </c>
    </row>
    <row r="8513" spans="1:5">
      <c r="A8513" s="3" t="s">
        <v>18733</v>
      </c>
      <c r="B8513" s="110" t="s">
        <v>1347</v>
      </c>
      <c r="C8513" s="111" t="s">
        <v>12753</v>
      </c>
      <c r="D8513" s="111" t="str">
        <f t="shared" ref="D8513:E8513" si="8511">TRIM(B8513)</f>
        <v>Missouri</v>
      </c>
      <c r="E8513" s="111" t="str">
        <f t="shared" si="8511"/>
        <v>Dekalb</v>
      </c>
    </row>
    <row r="8514" spans="1:5">
      <c r="A8514" s="3" t="s">
        <v>4696</v>
      </c>
      <c r="B8514" s="110" t="s">
        <v>1347</v>
      </c>
      <c r="C8514" s="111" t="s">
        <v>7778</v>
      </c>
      <c r="D8514" s="111" t="str">
        <f t="shared" ref="D8514:E8514" si="8512">TRIM(B8514)</f>
        <v>Missouri</v>
      </c>
      <c r="E8514" s="111" t="str">
        <f t="shared" si="8512"/>
        <v>Delta</v>
      </c>
    </row>
    <row r="8515" spans="1:5">
      <c r="A8515" s="3" t="s">
        <v>18734</v>
      </c>
      <c r="B8515" s="110" t="s">
        <v>1347</v>
      </c>
      <c r="C8515" s="111" t="s">
        <v>18735</v>
      </c>
      <c r="D8515" s="111" t="str">
        <f t="shared" ref="D8515:E8515" si="8513">TRIM(B8515)</f>
        <v>Missouri</v>
      </c>
      <c r="E8515" s="111" t="str">
        <f t="shared" si="8513"/>
        <v>Desoto</v>
      </c>
    </row>
    <row r="8516" spans="1:5">
      <c r="A8516" s="3" t="s">
        <v>15246</v>
      </c>
      <c r="B8516" s="110" t="s">
        <v>1347</v>
      </c>
      <c r="C8516" s="111" t="s">
        <v>10669</v>
      </c>
      <c r="D8516" s="111" t="str">
        <f t="shared" ref="D8516:E8516" si="8514">TRIM(B8516)</f>
        <v>Missouri</v>
      </c>
      <c r="E8516" s="111" t="str">
        <f t="shared" si="8514"/>
        <v>Dexter</v>
      </c>
    </row>
    <row r="8517" spans="1:5">
      <c r="A8517" s="3" t="s">
        <v>18736</v>
      </c>
      <c r="B8517" s="110" t="s">
        <v>1347</v>
      </c>
      <c r="C8517" s="111" t="s">
        <v>18737</v>
      </c>
      <c r="D8517" s="111" t="str">
        <f t="shared" ref="D8517:E8517" si="8515">TRIM(B8517)</f>
        <v>Missouri</v>
      </c>
      <c r="E8517" s="111" t="str">
        <f t="shared" si="8515"/>
        <v>Diamond</v>
      </c>
    </row>
    <row r="8518" spans="1:5">
      <c r="A8518" s="3" t="s">
        <v>4840</v>
      </c>
      <c r="B8518" s="110" t="s">
        <v>1347</v>
      </c>
      <c r="C8518" s="111" t="s">
        <v>4841</v>
      </c>
      <c r="D8518" s="111" t="str">
        <f t="shared" ref="D8518:E8518" si="8516">TRIM(B8518)</f>
        <v>Missouri</v>
      </c>
      <c r="E8518" s="111" t="str">
        <f t="shared" si="8516"/>
        <v>Dixon</v>
      </c>
    </row>
    <row r="8519" spans="1:5">
      <c r="A8519" s="3" t="s">
        <v>18738</v>
      </c>
      <c r="B8519" s="110" t="s">
        <v>1347</v>
      </c>
      <c r="C8519" s="111" t="s">
        <v>18739</v>
      </c>
      <c r="D8519" s="111" t="str">
        <f t="shared" ref="D8519:E8519" si="8517">TRIM(B8519)</f>
        <v>Missouri</v>
      </c>
      <c r="E8519" s="111" t="str">
        <f t="shared" si="8517"/>
        <v>Doniphan</v>
      </c>
    </row>
    <row r="8520" spans="1:5">
      <c r="A8520" s="3" t="s">
        <v>1696</v>
      </c>
      <c r="B8520" s="110" t="s">
        <v>1347</v>
      </c>
      <c r="C8520" s="111" t="s">
        <v>1695</v>
      </c>
      <c r="D8520" s="111" t="str">
        <f t="shared" ref="D8520:E8520" si="8518">TRIM(B8520)</f>
        <v>Missouri</v>
      </c>
      <c r="E8520" s="111" t="str">
        <f t="shared" si="8518"/>
        <v>Dora</v>
      </c>
    </row>
    <row r="8521" spans="1:5">
      <c r="A8521" s="3" t="s">
        <v>18740</v>
      </c>
      <c r="B8521" s="110" t="s">
        <v>1347</v>
      </c>
      <c r="C8521" s="111" t="s">
        <v>18741</v>
      </c>
      <c r="D8521" s="111" t="str">
        <f t="shared" ref="D8521:E8521" si="8519">TRIM(B8521)</f>
        <v>Missouri</v>
      </c>
      <c r="E8521" s="111" t="str">
        <f t="shared" si="8519"/>
        <v>Drexel</v>
      </c>
    </row>
    <row r="8522" spans="1:5">
      <c r="A8522" s="3" t="s">
        <v>14569</v>
      </c>
      <c r="B8522" s="110" t="s">
        <v>1347</v>
      </c>
      <c r="C8522" s="111" t="s">
        <v>1155</v>
      </c>
      <c r="D8522" s="111" t="str">
        <f t="shared" ref="D8522:E8522" si="8520">TRIM(B8522)</f>
        <v>Missouri</v>
      </c>
      <c r="E8522" s="111" t="str">
        <f t="shared" si="8520"/>
        <v>Eagleville</v>
      </c>
    </row>
    <row r="8523" spans="1:5">
      <c r="A8523" s="3" t="s">
        <v>18742</v>
      </c>
      <c r="B8523" s="110" t="s">
        <v>1347</v>
      </c>
      <c r="C8523" s="111" t="s">
        <v>18743</v>
      </c>
      <c r="D8523" s="111" t="str">
        <f t="shared" ref="D8523:E8523" si="8521">TRIM(B8523)</f>
        <v>Missouri</v>
      </c>
      <c r="E8523" s="111" t="str">
        <f t="shared" si="8521"/>
        <v>East Prairie</v>
      </c>
    </row>
    <row r="8524" spans="1:5">
      <c r="A8524" s="3" t="s">
        <v>18744</v>
      </c>
      <c r="B8524" s="110" t="s">
        <v>1347</v>
      </c>
      <c r="C8524" s="111" t="s">
        <v>17864</v>
      </c>
      <c r="D8524" s="111" t="str">
        <f t="shared" ref="D8524:E8524" si="8522">TRIM(B8524)</f>
        <v>Missouri</v>
      </c>
      <c r="E8524" s="111" t="str">
        <f t="shared" si="8522"/>
        <v>Edina</v>
      </c>
    </row>
    <row r="8525" spans="1:5">
      <c r="A8525" s="3" t="s">
        <v>18745</v>
      </c>
      <c r="B8525" s="110" t="s">
        <v>1347</v>
      </c>
      <c r="C8525" s="113" t="s">
        <v>18746</v>
      </c>
      <c r="D8525" s="111" t="str">
        <f t="shared" ref="D8525:E8525" si="8523">TRIM(B8525)</f>
        <v>Missouri</v>
      </c>
      <c r="E8525" s="111" t="str">
        <f t="shared" si="8523"/>
        <v>El Dorado Springs</v>
      </c>
    </row>
    <row r="8526" spans="1:5">
      <c r="A8526" s="3" t="s">
        <v>18747</v>
      </c>
      <c r="B8526" s="110" t="s">
        <v>1347</v>
      </c>
      <c r="C8526" s="111" t="s">
        <v>14807</v>
      </c>
      <c r="D8526" s="111" t="str">
        <f t="shared" ref="D8526:E8526" si="8524">TRIM(B8526)</f>
        <v>Missouri</v>
      </c>
      <c r="E8526" s="111" t="str">
        <f t="shared" si="8524"/>
        <v>Eldon</v>
      </c>
    </row>
    <row r="8527" spans="1:5">
      <c r="A8527" s="3" t="s">
        <v>8451</v>
      </c>
      <c r="B8527" s="110" t="s">
        <v>1347</v>
      </c>
      <c r="C8527" s="111" t="s">
        <v>8452</v>
      </c>
      <c r="D8527" s="111" t="str">
        <f t="shared" ref="D8527:E8527" si="8525">TRIM(B8527)</f>
        <v>Missouri</v>
      </c>
      <c r="E8527" s="111" t="str">
        <f t="shared" si="8525"/>
        <v>Ellington</v>
      </c>
    </row>
    <row r="8528" spans="1:5">
      <c r="A8528" s="3" t="s">
        <v>18748</v>
      </c>
      <c r="B8528" s="110" t="s">
        <v>1347</v>
      </c>
      <c r="C8528" s="111" t="s">
        <v>18749</v>
      </c>
      <c r="D8528" s="111" t="str">
        <f t="shared" ref="D8528:E8528" si="8526">TRIM(B8528)</f>
        <v>Missouri</v>
      </c>
      <c r="E8528" s="111" t="str">
        <f t="shared" si="8526"/>
        <v>Ellsinore</v>
      </c>
    </row>
    <row r="8529" spans="1:5">
      <c r="A8529" s="3" t="s">
        <v>18750</v>
      </c>
      <c r="B8529" s="110" t="s">
        <v>1347</v>
      </c>
      <c r="C8529" s="111" t="s">
        <v>18751</v>
      </c>
      <c r="D8529" s="111" t="str">
        <f t="shared" ref="D8529:E8529" si="8527">TRIM(B8529)</f>
        <v>Missouri</v>
      </c>
      <c r="E8529" s="111" t="str">
        <f t="shared" si="8527"/>
        <v>Elsberry</v>
      </c>
    </row>
    <row r="8530" spans="1:5">
      <c r="A8530" s="3" t="s">
        <v>15675</v>
      </c>
      <c r="B8530" s="110" t="s">
        <v>1347</v>
      </c>
      <c r="C8530" s="111" t="s">
        <v>14303</v>
      </c>
      <c r="D8530" s="111" t="str">
        <f t="shared" ref="D8530:E8530" si="8528">TRIM(B8530)</f>
        <v>Missouri</v>
      </c>
      <c r="E8530" s="111" t="str">
        <f t="shared" si="8528"/>
        <v>Eminence</v>
      </c>
    </row>
    <row r="8531" spans="1:5">
      <c r="A8531" s="3" t="s">
        <v>18544</v>
      </c>
      <c r="B8531" s="110" t="s">
        <v>1347</v>
      </c>
      <c r="C8531" s="111" t="s">
        <v>11151</v>
      </c>
      <c r="D8531" s="111" t="str">
        <f t="shared" ref="D8531:E8531" si="8529">TRIM(B8531)</f>
        <v>Missouri</v>
      </c>
      <c r="E8531" s="111" t="str">
        <f t="shared" si="8529"/>
        <v>Essex</v>
      </c>
    </row>
    <row r="8532" spans="1:5">
      <c r="A8532" s="3" t="s">
        <v>18752</v>
      </c>
      <c r="B8532" s="110" t="s">
        <v>1347</v>
      </c>
      <c r="C8532" s="111" t="s">
        <v>265</v>
      </c>
      <c r="D8532" s="111" t="str">
        <f t="shared" ref="D8532:E8532" si="8530">TRIM(B8532)</f>
        <v>Missouri</v>
      </c>
      <c r="E8532" s="111" t="str">
        <f t="shared" si="8530"/>
        <v>Eugene</v>
      </c>
    </row>
    <row r="8533" spans="1:5">
      <c r="A8533" s="3" t="s">
        <v>18753</v>
      </c>
      <c r="B8533" s="110" t="s">
        <v>1347</v>
      </c>
      <c r="C8533" s="111" t="s">
        <v>4989</v>
      </c>
      <c r="D8533" s="111" t="str">
        <f t="shared" ref="D8533:E8533" si="8531">TRIM(B8533)</f>
        <v>Missouri</v>
      </c>
      <c r="E8533" s="111" t="str">
        <f t="shared" si="8531"/>
        <v>Eureka</v>
      </c>
    </row>
    <row r="8534" spans="1:5">
      <c r="A8534" s="3" t="s">
        <v>18754</v>
      </c>
      <c r="B8534" s="110" t="s">
        <v>1347</v>
      </c>
      <c r="C8534" s="111" t="s">
        <v>18755</v>
      </c>
      <c r="D8534" s="111" t="str">
        <f t="shared" ref="D8534:E8534" si="8532">TRIM(B8534)</f>
        <v>Missouri</v>
      </c>
      <c r="E8534" s="111" t="str">
        <f t="shared" si="8532"/>
        <v>Everton</v>
      </c>
    </row>
    <row r="8535" spans="1:5">
      <c r="A8535" s="3" t="s">
        <v>18756</v>
      </c>
      <c r="B8535" s="110" t="s">
        <v>1347</v>
      </c>
      <c r="C8535" s="113" t="s">
        <v>18757</v>
      </c>
      <c r="D8535" s="111" t="str">
        <f t="shared" ref="D8535:E8535" si="8533">TRIM(B8535)</f>
        <v>Missouri</v>
      </c>
      <c r="E8535" s="111" t="str">
        <f t="shared" si="8533"/>
        <v>Excelsior Springs</v>
      </c>
    </row>
    <row r="8536" spans="1:5">
      <c r="A8536" s="3" t="s">
        <v>18758</v>
      </c>
      <c r="B8536" s="110" t="s">
        <v>1347</v>
      </c>
      <c r="C8536" s="111" t="s">
        <v>4991</v>
      </c>
      <c r="D8536" s="111" t="str">
        <f t="shared" ref="D8536:E8536" si="8534">TRIM(B8536)</f>
        <v>Missouri</v>
      </c>
      <c r="E8536" s="111" t="str">
        <f t="shared" si="8534"/>
        <v>Exeter</v>
      </c>
    </row>
    <row r="8537" spans="1:5">
      <c r="A8537" s="3" t="s">
        <v>18759</v>
      </c>
      <c r="B8537" s="110" t="s">
        <v>1347</v>
      </c>
      <c r="C8537" s="111" t="s">
        <v>18760</v>
      </c>
      <c r="D8537" s="111" t="str">
        <f t="shared" ref="D8537:E8537" si="8535">TRIM(B8537)</f>
        <v>Missouri</v>
      </c>
      <c r="E8537" s="111" t="str">
        <f t="shared" si="8535"/>
        <v>Fair Grove</v>
      </c>
    </row>
    <row r="8538" spans="1:5">
      <c r="A8538" s="3" t="s">
        <v>18761</v>
      </c>
      <c r="B8538" s="110" t="s">
        <v>1347</v>
      </c>
      <c r="C8538" s="112" t="s">
        <v>18762</v>
      </c>
      <c r="D8538" s="111" t="str">
        <f t="shared" ref="D8538:E8538" si="8536">TRIM(B8538)</f>
        <v>Missouri</v>
      </c>
      <c r="E8538" s="111" t="str">
        <f t="shared" si="8536"/>
        <v>Fair Play</v>
      </c>
    </row>
    <row r="8539" spans="1:5">
      <c r="A8539" s="3" t="s">
        <v>18763</v>
      </c>
      <c r="B8539" s="110" t="s">
        <v>1347</v>
      </c>
      <c r="C8539" s="111" t="s">
        <v>603</v>
      </c>
      <c r="D8539" s="111" t="str">
        <f t="shared" ref="D8539:E8539" si="8537">TRIM(B8539)</f>
        <v>Missouri</v>
      </c>
      <c r="E8539" s="111" t="str">
        <f t="shared" si="8537"/>
        <v>Fairfax</v>
      </c>
    </row>
    <row r="8540" spans="1:5">
      <c r="A8540" s="3" t="s">
        <v>18764</v>
      </c>
      <c r="B8540" s="110" t="s">
        <v>1347</v>
      </c>
      <c r="C8540" s="111" t="s">
        <v>3773</v>
      </c>
      <c r="D8540" s="111" t="str">
        <f t="shared" ref="D8540:E8540" si="8538">TRIM(B8540)</f>
        <v>Missouri</v>
      </c>
      <c r="E8540" s="111" t="str">
        <f t="shared" si="8538"/>
        <v>Farmington</v>
      </c>
    </row>
    <row r="8541" spans="1:5">
      <c r="A8541" s="3" t="s">
        <v>18765</v>
      </c>
      <c r="B8541" s="110" t="s">
        <v>1347</v>
      </c>
      <c r="C8541" s="111" t="s">
        <v>18766</v>
      </c>
      <c r="D8541" s="111" t="str">
        <f t="shared" ref="D8541:E8541" si="8539">TRIM(B8541)</f>
        <v>Missouri</v>
      </c>
      <c r="E8541" s="111" t="str">
        <f t="shared" si="8539"/>
        <v>Faucett</v>
      </c>
    </row>
    <row r="8542" spans="1:5">
      <c r="A8542" s="3" t="s">
        <v>18767</v>
      </c>
      <c r="B8542" s="110" t="s">
        <v>1347</v>
      </c>
      <c r="C8542" s="111" t="s">
        <v>1747</v>
      </c>
      <c r="D8542" s="111" t="str">
        <f t="shared" ref="D8542:E8542" si="8540">TRIM(B8542)</f>
        <v>Missouri</v>
      </c>
      <c r="E8542" s="111" t="str">
        <f t="shared" si="8540"/>
        <v>Fayette</v>
      </c>
    </row>
    <row r="8543" spans="1:5">
      <c r="A8543" s="3" t="s">
        <v>18768</v>
      </c>
      <c r="B8543" s="110" t="s">
        <v>1347</v>
      </c>
      <c r="C8543" s="111" t="s">
        <v>17190</v>
      </c>
      <c r="D8543" s="111" t="str">
        <f t="shared" ref="D8543:E8543" si="8541">TRIM(B8543)</f>
        <v>Missouri</v>
      </c>
      <c r="E8543" s="111" t="str">
        <f t="shared" si="8541"/>
        <v>Fenton</v>
      </c>
    </row>
    <row r="8544" spans="1:5">
      <c r="A8544" s="3" t="s">
        <v>18769</v>
      </c>
      <c r="B8544" s="110" t="s">
        <v>1347</v>
      </c>
      <c r="C8544" s="111" t="s">
        <v>18770</v>
      </c>
      <c r="D8544" s="111" t="str">
        <f t="shared" ref="D8544:E8544" si="8542">TRIM(B8544)</f>
        <v>Missouri</v>
      </c>
      <c r="E8544" s="111" t="str">
        <f t="shared" si="8542"/>
        <v>Ferguson</v>
      </c>
    </row>
    <row r="8545" spans="1:5">
      <c r="A8545" s="3" t="s">
        <v>18771</v>
      </c>
      <c r="B8545" s="110" t="s">
        <v>1347</v>
      </c>
      <c r="C8545" s="111" t="s">
        <v>11846</v>
      </c>
      <c r="D8545" s="111" t="str">
        <f t="shared" ref="D8545:E8545" si="8543">TRIM(B8545)</f>
        <v>Missouri</v>
      </c>
      <c r="E8545" s="111" t="str">
        <f t="shared" si="8543"/>
        <v>Festus</v>
      </c>
    </row>
    <row r="8546" spans="1:5">
      <c r="A8546" s="3" t="s">
        <v>4802</v>
      </c>
      <c r="B8546" s="110" t="s">
        <v>1347</v>
      </c>
      <c r="C8546" s="111" t="s">
        <v>11846</v>
      </c>
      <c r="D8546" s="111" t="str">
        <f t="shared" ref="D8546:E8546" si="8544">TRIM(B8546)</f>
        <v>Missouri</v>
      </c>
      <c r="E8546" s="111" t="str">
        <f t="shared" si="8544"/>
        <v>Festus</v>
      </c>
    </row>
    <row r="8547" spans="1:5">
      <c r="A8547" s="3" t="s">
        <v>18772</v>
      </c>
      <c r="B8547" s="110" t="s">
        <v>1347</v>
      </c>
      <c r="C8547" s="111" t="s">
        <v>18773</v>
      </c>
      <c r="D8547" s="111" t="str">
        <f t="shared" ref="D8547:E8547" si="8545">TRIM(B8547)</f>
        <v>Missouri</v>
      </c>
      <c r="E8547" s="111" t="str">
        <f t="shared" si="8545"/>
        <v>Florissant</v>
      </c>
    </row>
    <row r="8548" spans="1:5">
      <c r="A8548" s="3" t="s">
        <v>18774</v>
      </c>
      <c r="B8548" s="110" t="s">
        <v>1347</v>
      </c>
      <c r="C8548" s="111" t="s">
        <v>18773</v>
      </c>
      <c r="D8548" s="111" t="str">
        <f t="shared" ref="D8548:E8548" si="8546">TRIM(B8548)</f>
        <v>Missouri</v>
      </c>
      <c r="E8548" s="111" t="str">
        <f t="shared" si="8546"/>
        <v>Florissant</v>
      </c>
    </row>
    <row r="8549" spans="1:5">
      <c r="A8549" s="3" t="s">
        <v>18775</v>
      </c>
      <c r="B8549" s="110" t="s">
        <v>1347</v>
      </c>
      <c r="C8549" s="111" t="s">
        <v>18773</v>
      </c>
      <c r="D8549" s="111" t="str">
        <f t="shared" ref="D8549:E8549" si="8547">TRIM(B8549)</f>
        <v>Missouri</v>
      </c>
      <c r="E8549" s="111" t="str">
        <f t="shared" si="8547"/>
        <v>Florissant</v>
      </c>
    </row>
    <row r="8550" spans="1:5">
      <c r="A8550" s="110" t="s">
        <v>18776</v>
      </c>
      <c r="B8550" s="110" t="s">
        <v>1347</v>
      </c>
      <c r="C8550" s="111" t="s">
        <v>18773</v>
      </c>
      <c r="D8550" s="111" t="str">
        <f t="shared" ref="D8550:E8550" si="8548">TRIM(B8550)</f>
        <v>Missouri</v>
      </c>
      <c r="E8550" s="111" t="str">
        <f t="shared" si="8548"/>
        <v>Florissant</v>
      </c>
    </row>
    <row r="8551" spans="1:5">
      <c r="A8551" s="3" t="s">
        <v>18777</v>
      </c>
      <c r="B8551" s="110" t="s">
        <v>1347</v>
      </c>
      <c r="C8551" s="111" t="s">
        <v>18778</v>
      </c>
      <c r="D8551" s="111" t="str">
        <f t="shared" ref="D8551:E8551" si="8549">TRIM(B8551)</f>
        <v>Missouri</v>
      </c>
      <c r="E8551" s="111" t="str">
        <f t="shared" si="8549"/>
        <v>Fordland</v>
      </c>
    </row>
    <row r="8552" spans="1:5">
      <c r="A8552" s="110" t="s">
        <v>18779</v>
      </c>
      <c r="B8552" s="110" t="s">
        <v>1347</v>
      </c>
      <c r="C8552" s="111" t="s">
        <v>10788</v>
      </c>
      <c r="D8552" s="111" t="str">
        <f t="shared" ref="D8552:E8552" si="8550">TRIM(B8552)</f>
        <v>Missouri</v>
      </c>
      <c r="E8552" s="111" t="str">
        <f t="shared" si="8550"/>
        <v>Forsyth</v>
      </c>
    </row>
    <row r="8553" spans="1:5">
      <c r="A8553" s="3" t="s">
        <v>18780</v>
      </c>
      <c r="B8553" s="110" t="s">
        <v>1347</v>
      </c>
      <c r="C8553" s="111" t="s">
        <v>10788</v>
      </c>
      <c r="D8553" s="111" t="str">
        <f t="shared" ref="D8553:E8553" si="8551">TRIM(B8553)</f>
        <v>Missouri</v>
      </c>
      <c r="E8553" s="111" t="str">
        <f t="shared" si="8551"/>
        <v>Forsyth</v>
      </c>
    </row>
    <row r="8554" spans="1:5">
      <c r="A8554" s="3" t="s">
        <v>18781</v>
      </c>
      <c r="B8554" s="110" t="s">
        <v>1347</v>
      </c>
      <c r="C8554" s="111" t="s">
        <v>18782</v>
      </c>
      <c r="D8554" s="111" t="str">
        <f t="shared" ref="D8554:E8554" si="8552">TRIM(B8554)</f>
        <v>Missouri</v>
      </c>
      <c r="E8554" s="111" t="str">
        <f t="shared" si="8552"/>
        <v>Fredericktown</v>
      </c>
    </row>
    <row r="8555" spans="1:5">
      <c r="A8555" s="3" t="s">
        <v>18783</v>
      </c>
      <c r="B8555" s="110" t="s">
        <v>1347</v>
      </c>
      <c r="C8555" s="111" t="s">
        <v>12926</v>
      </c>
      <c r="D8555" s="111" t="str">
        <f t="shared" ref="D8555:E8555" si="8553">TRIM(B8555)</f>
        <v>Missouri</v>
      </c>
      <c r="E8555" s="111" t="str">
        <f t="shared" si="8553"/>
        <v>Fulton</v>
      </c>
    </row>
    <row r="8556" spans="1:5">
      <c r="A8556" s="110" t="s">
        <v>18784</v>
      </c>
      <c r="B8556" s="110" t="s">
        <v>1347</v>
      </c>
      <c r="C8556" s="111" t="s">
        <v>12926</v>
      </c>
      <c r="D8556" s="111" t="str">
        <f t="shared" ref="D8556:E8556" si="8554">TRIM(B8556)</f>
        <v>Missouri</v>
      </c>
      <c r="E8556" s="111" t="str">
        <f t="shared" si="8554"/>
        <v>Fulton</v>
      </c>
    </row>
    <row r="8557" spans="1:5">
      <c r="A8557" s="110" t="s">
        <v>18785</v>
      </c>
      <c r="B8557" s="110" t="s">
        <v>1347</v>
      </c>
      <c r="C8557" s="111" t="s">
        <v>12926</v>
      </c>
      <c r="D8557" s="111" t="str">
        <f t="shared" ref="D8557:E8557" si="8555">TRIM(B8557)</f>
        <v>Missouri</v>
      </c>
      <c r="E8557" s="111" t="str">
        <f t="shared" si="8555"/>
        <v>Fulton</v>
      </c>
    </row>
    <row r="8558" spans="1:5">
      <c r="A8558" s="3" t="s">
        <v>9260</v>
      </c>
      <c r="B8558" s="110" t="s">
        <v>1347</v>
      </c>
      <c r="C8558" s="111" t="s">
        <v>291</v>
      </c>
      <c r="D8558" s="111" t="str">
        <f t="shared" ref="D8558:E8558" si="8556">TRIM(B8558)</f>
        <v>Missouri</v>
      </c>
      <c r="E8558" s="111" t="str">
        <f t="shared" si="8556"/>
        <v>Gainesville</v>
      </c>
    </row>
    <row r="8559" spans="1:5">
      <c r="A8559" s="3" t="s">
        <v>12932</v>
      </c>
      <c r="B8559" s="110" t="s">
        <v>1347</v>
      </c>
      <c r="C8559" s="111" t="s">
        <v>2346</v>
      </c>
      <c r="D8559" s="111" t="str">
        <f t="shared" ref="D8559:E8559" si="8557">TRIM(B8559)</f>
        <v>Missouri</v>
      </c>
      <c r="E8559" s="111" t="str">
        <f t="shared" si="8557"/>
        <v>Galena</v>
      </c>
    </row>
    <row r="8560" spans="1:5">
      <c r="A8560" s="3" t="s">
        <v>13132</v>
      </c>
      <c r="B8560" s="110" t="s">
        <v>1347</v>
      </c>
      <c r="C8560" s="111" t="s">
        <v>18786</v>
      </c>
      <c r="D8560" s="111" t="str">
        <f t="shared" ref="D8560:E8560" si="8558">TRIM(B8560)</f>
        <v>Missouri</v>
      </c>
      <c r="E8560" s="111" t="str">
        <f t="shared" si="8558"/>
        <v>Gallatin</v>
      </c>
    </row>
    <row r="8561" spans="1:5">
      <c r="A8561" s="3" t="s">
        <v>18787</v>
      </c>
      <c r="B8561" s="110" t="s">
        <v>1347</v>
      </c>
      <c r="C8561" s="111" t="s">
        <v>5119</v>
      </c>
      <c r="D8561" s="111" t="str">
        <f t="shared" ref="D8561:E8561" si="8559">TRIM(B8561)</f>
        <v>Missouri</v>
      </c>
      <c r="E8561" s="111" t="str">
        <f t="shared" si="8559"/>
        <v>Galt</v>
      </c>
    </row>
    <row r="8562" spans="1:5">
      <c r="A8562" s="3" t="s">
        <v>18788</v>
      </c>
      <c r="B8562" s="110" t="s">
        <v>1347</v>
      </c>
      <c r="C8562" s="111" t="s">
        <v>18789</v>
      </c>
      <c r="D8562" s="111" t="str">
        <f t="shared" ref="D8562:E8562" si="8560">TRIM(B8562)</f>
        <v>Missouri</v>
      </c>
      <c r="E8562" s="111" t="str">
        <f t="shared" si="8560"/>
        <v>Gideon</v>
      </c>
    </row>
    <row r="8563" spans="1:5">
      <c r="A8563" s="3" t="s">
        <v>18790</v>
      </c>
      <c r="B8563" s="110" t="s">
        <v>1347</v>
      </c>
      <c r="C8563" s="111" t="s">
        <v>18791</v>
      </c>
      <c r="D8563" s="111" t="str">
        <f t="shared" ref="D8563:E8563" si="8561">TRIM(B8563)</f>
        <v>Missouri</v>
      </c>
      <c r="E8563" s="111" t="str">
        <f t="shared" si="8561"/>
        <v>Gilman City</v>
      </c>
    </row>
    <row r="8564" spans="1:5">
      <c r="A8564" s="110" t="s">
        <v>18792</v>
      </c>
      <c r="B8564" s="110" t="s">
        <v>1347</v>
      </c>
      <c r="C8564" s="111" t="s">
        <v>12055</v>
      </c>
      <c r="D8564" s="111" t="str">
        <f t="shared" ref="D8564:E8564" si="8562">TRIM(B8564)</f>
        <v>Missouri</v>
      </c>
      <c r="E8564" s="111" t="str">
        <f t="shared" si="8562"/>
        <v>Gladstone</v>
      </c>
    </row>
    <row r="8565" spans="1:5">
      <c r="A8565" s="3" t="s">
        <v>8837</v>
      </c>
      <c r="B8565" s="110" t="s">
        <v>1347</v>
      </c>
      <c r="C8565" s="111" t="s">
        <v>15692</v>
      </c>
      <c r="D8565" s="111" t="str">
        <f t="shared" ref="D8565:E8565" si="8563">TRIM(B8565)</f>
        <v>Missouri</v>
      </c>
      <c r="E8565" s="111" t="str">
        <f t="shared" si="8563"/>
        <v>Glasgow</v>
      </c>
    </row>
    <row r="8566" spans="1:5">
      <c r="A8566" s="3" t="s">
        <v>18793</v>
      </c>
      <c r="B8566" s="110" t="s">
        <v>1347</v>
      </c>
      <c r="C8566" s="111" t="s">
        <v>18794</v>
      </c>
      <c r="D8566" s="111" t="str">
        <f t="shared" ref="D8566:E8566" si="8564">TRIM(B8566)</f>
        <v>Missouri</v>
      </c>
      <c r="E8566" s="111" t="str">
        <f t="shared" si="8564"/>
        <v>Golden City</v>
      </c>
    </row>
    <row r="8567" spans="1:5">
      <c r="A8567" s="3" t="s">
        <v>15139</v>
      </c>
      <c r="B8567" s="110" t="s">
        <v>1347</v>
      </c>
      <c r="C8567" s="111" t="s">
        <v>18795</v>
      </c>
      <c r="D8567" s="111" t="str">
        <f t="shared" ref="D8567:E8567" si="8565">TRIM(B8567)</f>
        <v>Missouri</v>
      </c>
      <c r="E8567" s="111" t="str">
        <f t="shared" si="8565"/>
        <v>Gower</v>
      </c>
    </row>
    <row r="8568" spans="1:5">
      <c r="A8568" s="3" t="s">
        <v>18796</v>
      </c>
      <c r="B8568" s="110" t="s">
        <v>1347</v>
      </c>
      <c r="C8568" s="111" t="s">
        <v>18797</v>
      </c>
      <c r="D8568" s="111" t="str">
        <f t="shared" ref="D8568:E8568" si="8566">TRIM(B8568)</f>
        <v>Missouri</v>
      </c>
      <c r="E8568" s="111" t="str">
        <f t="shared" si="8566"/>
        <v>Graham</v>
      </c>
    </row>
    <row r="8569" spans="1:5">
      <c r="A8569" s="3" t="s">
        <v>18798</v>
      </c>
      <c r="B8569" s="110" t="s">
        <v>1347</v>
      </c>
      <c r="C8569" s="111" t="s">
        <v>18799</v>
      </c>
      <c r="D8569" s="111" t="str">
        <f t="shared" ref="D8569:E8569" si="8567">TRIM(B8569)</f>
        <v>Missouri</v>
      </c>
      <c r="E8569" s="111" t="str">
        <f t="shared" si="8567"/>
        <v>Grain Valley</v>
      </c>
    </row>
    <row r="8570" spans="1:5">
      <c r="A8570" s="3" t="s">
        <v>18800</v>
      </c>
      <c r="B8570" s="110" t="s">
        <v>1347</v>
      </c>
      <c r="C8570" s="111" t="s">
        <v>7939</v>
      </c>
      <c r="D8570" s="111" t="str">
        <f t="shared" ref="D8570:E8570" si="8568">TRIM(B8570)</f>
        <v>Missouri</v>
      </c>
      <c r="E8570" s="111" t="str">
        <f t="shared" si="8568"/>
        <v>Granby</v>
      </c>
    </row>
    <row r="8571" spans="1:5">
      <c r="A8571" s="3" t="s">
        <v>18801</v>
      </c>
      <c r="B8571" s="110" t="s">
        <v>1347</v>
      </c>
      <c r="C8571" s="111" t="s">
        <v>5622</v>
      </c>
      <c r="D8571" s="111" t="str">
        <f t="shared" ref="D8571:E8571" si="8569">TRIM(B8571)</f>
        <v>Missouri</v>
      </c>
      <c r="E8571" s="111" t="str">
        <f t="shared" si="8569"/>
        <v>Grandview</v>
      </c>
    </row>
    <row r="8572" spans="1:5">
      <c r="A8572" s="3" t="s">
        <v>18802</v>
      </c>
      <c r="B8572" s="110" t="s">
        <v>1347</v>
      </c>
      <c r="C8572" s="111" t="s">
        <v>18803</v>
      </c>
      <c r="D8572" s="111" t="str">
        <f t="shared" ref="D8572:E8572" si="8570">TRIM(B8572)</f>
        <v>Missouri</v>
      </c>
      <c r="E8572" s="111" t="str">
        <f t="shared" si="8570"/>
        <v>Grant City</v>
      </c>
    </row>
    <row r="8573" spans="1:5">
      <c r="A8573" s="3" t="s">
        <v>18804</v>
      </c>
      <c r="B8573" s="110" t="s">
        <v>1347</v>
      </c>
      <c r="C8573" s="111" t="s">
        <v>18805</v>
      </c>
      <c r="D8573" s="111" t="str">
        <f t="shared" ref="D8573:E8573" si="8571">TRIM(B8573)</f>
        <v>Missouri</v>
      </c>
      <c r="E8573" s="111" t="str">
        <f t="shared" si="8571"/>
        <v>Green City</v>
      </c>
    </row>
    <row r="8574" spans="1:5">
      <c r="A8574" s="3" t="s">
        <v>18806</v>
      </c>
      <c r="B8574" s="110" t="s">
        <v>1347</v>
      </c>
      <c r="C8574" s="111" t="s">
        <v>18807</v>
      </c>
      <c r="D8574" s="111" t="str">
        <f t="shared" ref="D8574:E8574" si="8572">TRIM(B8574)</f>
        <v>Missouri</v>
      </c>
      <c r="E8574" s="111" t="str">
        <f t="shared" si="8572"/>
        <v>Green Ridge</v>
      </c>
    </row>
    <row r="8575" spans="1:5">
      <c r="A8575" s="3" t="s">
        <v>5187</v>
      </c>
      <c r="B8575" s="110" t="s">
        <v>1347</v>
      </c>
      <c r="C8575" s="111" t="s">
        <v>5188</v>
      </c>
      <c r="D8575" s="111" t="str">
        <f t="shared" ref="D8575:E8575" si="8573">TRIM(B8575)</f>
        <v>Missouri</v>
      </c>
      <c r="E8575" s="111" t="str">
        <f t="shared" si="8573"/>
        <v>Greenfield</v>
      </c>
    </row>
    <row r="8576" spans="1:5">
      <c r="A8576" s="3" t="s">
        <v>1803</v>
      </c>
      <c r="B8576" s="110" t="s">
        <v>1347</v>
      </c>
      <c r="C8576" s="111" t="s">
        <v>1804</v>
      </c>
      <c r="D8576" s="111" t="str">
        <f t="shared" ref="D8576:E8576" si="8574">TRIM(B8576)</f>
        <v>Missouri</v>
      </c>
      <c r="E8576" s="111" t="str">
        <f t="shared" si="8574"/>
        <v>Greenville</v>
      </c>
    </row>
    <row r="8577" spans="1:5">
      <c r="A8577" s="3" t="s">
        <v>17266</v>
      </c>
      <c r="B8577" s="110" t="s">
        <v>1347</v>
      </c>
      <c r="C8577" s="111" t="s">
        <v>17267</v>
      </c>
      <c r="D8577" s="111" t="str">
        <f t="shared" ref="D8577:E8577" si="8575">TRIM(B8577)</f>
        <v>Missouri</v>
      </c>
      <c r="E8577" s="111" t="str">
        <f t="shared" si="8575"/>
        <v>Hale</v>
      </c>
    </row>
    <row r="8578" spans="1:5">
      <c r="A8578" s="110" t="s">
        <v>18808</v>
      </c>
      <c r="B8578" s="110" t="s">
        <v>1347</v>
      </c>
      <c r="C8578" s="111" t="s">
        <v>18809</v>
      </c>
      <c r="D8578" s="111" t="str">
        <f t="shared" ref="D8578:E8578" si="8576">TRIM(B8578)</f>
        <v>Missouri</v>
      </c>
      <c r="E8578" s="111" t="str">
        <f t="shared" si="8576"/>
        <v>Halfway</v>
      </c>
    </row>
    <row r="8579" spans="1:5">
      <c r="A8579" s="3" t="s">
        <v>18810</v>
      </c>
      <c r="B8579" s="110" t="s">
        <v>1347</v>
      </c>
      <c r="C8579" s="111" t="s">
        <v>18811</v>
      </c>
      <c r="D8579" s="111" t="str">
        <f t="shared" ref="D8579:E8579" si="8577">TRIM(B8579)</f>
        <v>Missouri</v>
      </c>
      <c r="E8579" s="111" t="str">
        <f t="shared" si="8577"/>
        <v>Hallsville</v>
      </c>
    </row>
    <row r="8580" spans="1:5">
      <c r="A8580" s="3" t="s">
        <v>18812</v>
      </c>
      <c r="B8580" s="110" t="s">
        <v>1347</v>
      </c>
      <c r="C8580" s="111" t="s">
        <v>344</v>
      </c>
      <c r="D8580" s="111" t="str">
        <f t="shared" ref="D8580:E8580" si="8578">TRIM(B8580)</f>
        <v>Missouri</v>
      </c>
      <c r="E8580" s="111" t="str">
        <f t="shared" si="8578"/>
        <v>Hamilton</v>
      </c>
    </row>
    <row r="8581" spans="1:5">
      <c r="A8581" s="3" t="s">
        <v>18813</v>
      </c>
      <c r="B8581" s="110" t="s">
        <v>1347</v>
      </c>
      <c r="C8581" s="111" t="s">
        <v>18814</v>
      </c>
      <c r="D8581" s="111" t="str">
        <f t="shared" ref="D8581:E8581" si="8579">TRIM(B8581)</f>
        <v>Missouri</v>
      </c>
      <c r="E8581" s="111" t="str">
        <f t="shared" si="8579"/>
        <v>Hannibal</v>
      </c>
    </row>
    <row r="8582" spans="1:5">
      <c r="A8582" s="3" t="s">
        <v>18815</v>
      </c>
      <c r="B8582" s="110" t="s">
        <v>1347</v>
      </c>
      <c r="C8582" s="111" t="s">
        <v>2483</v>
      </c>
      <c r="D8582" s="111" t="str">
        <f t="shared" ref="D8582:E8582" si="8580">TRIM(B8582)</f>
        <v>Missouri</v>
      </c>
      <c r="E8582" s="111" t="str">
        <f t="shared" si="8580"/>
        <v>Hardin</v>
      </c>
    </row>
    <row r="8583" spans="1:5">
      <c r="A8583" s="3" t="s">
        <v>13023</v>
      </c>
      <c r="B8583" s="110" t="s">
        <v>1347</v>
      </c>
      <c r="C8583" s="111" t="s">
        <v>3845</v>
      </c>
      <c r="D8583" s="111" t="str">
        <f t="shared" ref="D8583:E8583" si="8581">TRIM(B8583)</f>
        <v>Missouri</v>
      </c>
      <c r="E8583" s="111" t="str">
        <f t="shared" si="8581"/>
        <v>Harrisburg</v>
      </c>
    </row>
    <row r="8584" spans="1:5">
      <c r="A8584" s="3" t="s">
        <v>18816</v>
      </c>
      <c r="B8584" s="110" t="s">
        <v>1347</v>
      </c>
      <c r="C8584" s="111" t="s">
        <v>13097</v>
      </c>
      <c r="D8584" s="111" t="str">
        <f t="shared" ref="D8584:E8584" si="8582">TRIM(B8584)</f>
        <v>Missouri</v>
      </c>
      <c r="E8584" s="111" t="str">
        <f t="shared" si="8582"/>
        <v>Harrisonville</v>
      </c>
    </row>
    <row r="8585" spans="1:5">
      <c r="A8585" s="3" t="s">
        <v>18817</v>
      </c>
      <c r="B8585" s="110" t="s">
        <v>1347</v>
      </c>
      <c r="C8585" s="111" t="s">
        <v>2898</v>
      </c>
      <c r="D8585" s="111" t="str">
        <f t="shared" ref="D8585:E8585" si="8583">TRIM(B8585)</f>
        <v>Missouri</v>
      </c>
      <c r="E8585" s="111" t="str">
        <f t="shared" si="8583"/>
        <v>Hartville</v>
      </c>
    </row>
    <row r="8586" spans="1:5">
      <c r="A8586" s="3" t="s">
        <v>18818</v>
      </c>
      <c r="B8586" s="110" t="s">
        <v>1347</v>
      </c>
      <c r="C8586" s="111" t="s">
        <v>18819</v>
      </c>
      <c r="D8586" s="111" t="str">
        <f t="shared" ref="D8586:E8586" si="8584">TRIM(B8586)</f>
        <v>Missouri</v>
      </c>
      <c r="E8586" s="111" t="str">
        <f t="shared" si="8584"/>
        <v>Hayti</v>
      </c>
    </row>
    <row r="8587" spans="1:5">
      <c r="A8587" s="3" t="s">
        <v>18820</v>
      </c>
      <c r="B8587" s="110" t="s">
        <v>1347</v>
      </c>
      <c r="C8587" s="111" t="s">
        <v>18821</v>
      </c>
      <c r="D8587" s="111" t="str">
        <f t="shared" ref="D8587:E8587" si="8585">TRIM(B8587)</f>
        <v>Missouri</v>
      </c>
      <c r="E8587" s="111" t="str">
        <f t="shared" si="8585"/>
        <v>Hazelwood</v>
      </c>
    </row>
    <row r="8588" spans="1:5">
      <c r="A8588" s="3" t="s">
        <v>18822</v>
      </c>
      <c r="B8588" s="110" t="s">
        <v>1347</v>
      </c>
      <c r="C8588" s="111" t="s">
        <v>18823</v>
      </c>
      <c r="D8588" s="111" t="str">
        <f t="shared" ref="D8588:E8588" si="8586">TRIM(B8588)</f>
        <v>Missouri</v>
      </c>
      <c r="E8588" s="111" t="str">
        <f t="shared" si="8586"/>
        <v>Herculaneum</v>
      </c>
    </row>
    <row r="8589" spans="1:5">
      <c r="A8589" s="3" t="s">
        <v>18824</v>
      </c>
      <c r="B8589" s="110" t="s">
        <v>1347</v>
      </c>
      <c r="C8589" s="111" t="s">
        <v>18825</v>
      </c>
      <c r="D8589" s="111" t="str">
        <f t="shared" ref="D8589:E8589" si="8587">TRIM(B8589)</f>
        <v>Missouri</v>
      </c>
      <c r="E8589" s="111" t="str">
        <f t="shared" si="8587"/>
        <v>Hermann</v>
      </c>
    </row>
    <row r="8590" spans="1:5">
      <c r="A8590" s="3" t="s">
        <v>3869</v>
      </c>
      <c r="B8590" s="110" t="s">
        <v>1347</v>
      </c>
      <c r="C8590" s="111" t="s">
        <v>3870</v>
      </c>
      <c r="D8590" s="111" t="str">
        <f t="shared" ref="D8590:E8590" si="8588">TRIM(B8590)</f>
        <v>Missouri</v>
      </c>
      <c r="E8590" s="111" t="str">
        <f t="shared" si="8588"/>
        <v>Hermitage</v>
      </c>
    </row>
    <row r="8591" spans="1:5">
      <c r="A8591" s="3" t="s">
        <v>18826</v>
      </c>
      <c r="B8591" s="110" t="s">
        <v>1347</v>
      </c>
      <c r="C8591" s="111" t="s">
        <v>18827</v>
      </c>
      <c r="D8591" s="111" t="str">
        <f t="shared" ref="D8591:E8591" si="8589">TRIM(B8591)</f>
        <v>Missouri</v>
      </c>
      <c r="E8591" s="111" t="str">
        <f t="shared" si="8589"/>
        <v>Higbee</v>
      </c>
    </row>
    <row r="8592" spans="1:5">
      <c r="A8592" s="3" t="s">
        <v>18828</v>
      </c>
      <c r="B8592" s="110" t="s">
        <v>1347</v>
      </c>
      <c r="C8592" s="111" t="s">
        <v>18829</v>
      </c>
      <c r="D8592" s="111" t="str">
        <f t="shared" ref="D8592:E8592" si="8590">TRIM(B8592)</f>
        <v>Missouri</v>
      </c>
      <c r="E8592" s="111" t="str">
        <f t="shared" si="8590"/>
        <v>Higginsville</v>
      </c>
    </row>
    <row r="8593" spans="1:5">
      <c r="A8593" s="3" t="s">
        <v>7607</v>
      </c>
      <c r="B8593" s="110" t="s">
        <v>1347</v>
      </c>
      <c r="C8593" s="111" t="s">
        <v>13070</v>
      </c>
      <c r="D8593" s="111" t="str">
        <f t="shared" ref="D8593:E8593" si="8591">TRIM(B8593)</f>
        <v>Missouri</v>
      </c>
      <c r="E8593" s="111" t="str">
        <f t="shared" si="8591"/>
        <v>Hillsboro</v>
      </c>
    </row>
    <row r="8594" spans="1:5">
      <c r="A8594" s="3" t="s">
        <v>13068</v>
      </c>
      <c r="B8594" s="110" t="s">
        <v>1347</v>
      </c>
      <c r="C8594" s="111" t="s">
        <v>13070</v>
      </c>
      <c r="D8594" s="111" t="str">
        <f t="shared" ref="D8594:E8594" si="8592">TRIM(B8594)</f>
        <v>Missouri</v>
      </c>
      <c r="E8594" s="111" t="str">
        <f t="shared" si="8592"/>
        <v>Hillsboro</v>
      </c>
    </row>
    <row r="8595" spans="1:5">
      <c r="A8595" s="110" t="s">
        <v>18830</v>
      </c>
      <c r="B8595" s="110" t="s">
        <v>1347</v>
      </c>
      <c r="C8595" s="111" t="s">
        <v>13070</v>
      </c>
      <c r="D8595" s="111" t="str">
        <f t="shared" ref="D8595:E8595" si="8593">TRIM(B8595)</f>
        <v>Missouri</v>
      </c>
      <c r="E8595" s="111" t="str">
        <f t="shared" si="8593"/>
        <v>Hillsboro</v>
      </c>
    </row>
    <row r="8596" spans="1:5">
      <c r="A8596" s="110" t="s">
        <v>18831</v>
      </c>
      <c r="B8596" s="110" t="s">
        <v>1347</v>
      </c>
      <c r="C8596" s="111" t="s">
        <v>13070</v>
      </c>
      <c r="D8596" s="111" t="str">
        <f t="shared" ref="D8596:E8596" si="8594">TRIM(B8596)</f>
        <v>Missouri</v>
      </c>
      <c r="E8596" s="111" t="str">
        <f t="shared" si="8594"/>
        <v>Hillsboro</v>
      </c>
    </row>
    <row r="8597" spans="1:5">
      <c r="A8597" s="3" t="s">
        <v>15313</v>
      </c>
      <c r="B8597" s="110" t="s">
        <v>1347</v>
      </c>
      <c r="C8597" s="111" t="s">
        <v>15314</v>
      </c>
      <c r="D8597" s="111" t="str">
        <f t="shared" ref="D8597:E8597" si="8595">TRIM(B8597)</f>
        <v>Missouri</v>
      </c>
      <c r="E8597" s="111" t="str">
        <f t="shared" si="8595"/>
        <v>Holcomb</v>
      </c>
    </row>
    <row r="8598" spans="1:5">
      <c r="A8598" s="3" t="s">
        <v>9375</v>
      </c>
      <c r="B8598" s="110" t="s">
        <v>1347</v>
      </c>
      <c r="C8598" s="111" t="s">
        <v>524</v>
      </c>
      <c r="D8598" s="111" t="str">
        <f t="shared" ref="D8598:E8598" si="8596">TRIM(B8598)</f>
        <v>Missouri</v>
      </c>
      <c r="E8598" s="111" t="str">
        <f t="shared" si="8596"/>
        <v>Holden</v>
      </c>
    </row>
    <row r="8599" spans="1:5">
      <c r="A8599" s="3" t="s">
        <v>18832</v>
      </c>
      <c r="B8599" s="110" t="s">
        <v>1347</v>
      </c>
      <c r="C8599" s="111" t="s">
        <v>5284</v>
      </c>
      <c r="D8599" s="111" t="str">
        <f t="shared" ref="D8599:E8599" si="8597">TRIM(B8599)</f>
        <v>Missouri</v>
      </c>
      <c r="E8599" s="111" t="str">
        <f t="shared" si="8597"/>
        <v>Hollister</v>
      </c>
    </row>
    <row r="8600" spans="1:5">
      <c r="A8600" s="3" t="s">
        <v>18833</v>
      </c>
      <c r="B8600" s="110" t="s">
        <v>1347</v>
      </c>
      <c r="C8600" s="111" t="s">
        <v>1217</v>
      </c>
      <c r="D8600" s="111" t="str">
        <f t="shared" ref="D8600:E8600" si="8598">TRIM(B8600)</f>
        <v>Missouri</v>
      </c>
      <c r="E8600" s="111" t="str">
        <f t="shared" si="8598"/>
        <v>Hopkins</v>
      </c>
    </row>
    <row r="8601" spans="1:5">
      <c r="A8601" s="3" t="s">
        <v>2358</v>
      </c>
      <c r="B8601" s="110" t="s">
        <v>1347</v>
      </c>
      <c r="C8601" s="111" t="s">
        <v>368</v>
      </c>
      <c r="D8601" s="111" t="str">
        <f t="shared" ref="D8601:E8601" si="8599">TRIM(B8601)</f>
        <v>Missouri</v>
      </c>
      <c r="E8601" s="111" t="str">
        <f t="shared" si="8599"/>
        <v>Houston</v>
      </c>
    </row>
    <row r="8602" spans="1:5">
      <c r="A8602" s="3" t="s">
        <v>15590</v>
      </c>
      <c r="B8602" s="110" t="s">
        <v>1347</v>
      </c>
      <c r="C8602" s="111" t="s">
        <v>18834</v>
      </c>
      <c r="D8602" s="111" t="str">
        <f t="shared" ref="D8602:E8602" si="8600">TRIM(B8602)</f>
        <v>Missouri</v>
      </c>
      <c r="E8602" s="111" t="str">
        <f t="shared" si="8600"/>
        <v>Hughesville</v>
      </c>
    </row>
    <row r="8603" spans="1:5">
      <c r="A8603" s="3" t="s">
        <v>18835</v>
      </c>
      <c r="B8603" s="110" t="s">
        <v>1347</v>
      </c>
      <c r="C8603" s="111" t="s">
        <v>18836</v>
      </c>
      <c r="D8603" s="111" t="str">
        <f t="shared" ref="D8603:E8603" si="8601">TRIM(B8603)</f>
        <v>Missouri</v>
      </c>
      <c r="E8603" s="111" t="str">
        <f t="shared" si="8601"/>
        <v>Humansville</v>
      </c>
    </row>
    <row r="8604" spans="1:5">
      <c r="A8604" s="3" t="s">
        <v>18837</v>
      </c>
      <c r="B8604" s="110" t="s">
        <v>1347</v>
      </c>
      <c r="C8604" s="111" t="s">
        <v>13095</v>
      </c>
      <c r="D8604" s="111" t="str">
        <f t="shared" ref="D8604:E8604" si="8602">TRIM(B8604)</f>
        <v>Missouri</v>
      </c>
      <c r="E8604" s="111" t="str">
        <f t="shared" si="8602"/>
        <v>Hume</v>
      </c>
    </row>
    <row r="8605" spans="1:5">
      <c r="A8605" s="3" t="s">
        <v>18838</v>
      </c>
      <c r="B8605" s="110" t="s">
        <v>1347</v>
      </c>
      <c r="C8605" s="111" t="s">
        <v>472</v>
      </c>
      <c r="D8605" s="111" t="str">
        <f t="shared" ref="D8605:E8605" si="8603">TRIM(B8605)</f>
        <v>Missouri</v>
      </c>
      <c r="E8605" s="111" t="str">
        <f t="shared" si="8603"/>
        <v>Huntsville</v>
      </c>
    </row>
    <row r="8606" spans="1:5">
      <c r="A8606" s="3" t="s">
        <v>18839</v>
      </c>
      <c r="B8606" s="110" t="s">
        <v>1347</v>
      </c>
      <c r="C8606" s="111" t="s">
        <v>18449</v>
      </c>
      <c r="D8606" s="111" t="str">
        <f t="shared" ref="D8606:E8606" si="8604">TRIM(B8606)</f>
        <v>Missouri</v>
      </c>
      <c r="E8606" s="111" t="str">
        <f t="shared" si="8604"/>
        <v>Hurley</v>
      </c>
    </row>
    <row r="8607" spans="1:5">
      <c r="A8607" s="3" t="s">
        <v>18840</v>
      </c>
      <c r="B8607" s="110" t="s">
        <v>1347</v>
      </c>
      <c r="C8607" s="111" t="s">
        <v>18841</v>
      </c>
      <c r="D8607" s="111" t="str">
        <f t="shared" ref="D8607:E8607" si="8605">TRIM(B8607)</f>
        <v>Missouri</v>
      </c>
      <c r="E8607" s="111" t="str">
        <f t="shared" si="8605"/>
        <v>Iberia</v>
      </c>
    </row>
    <row r="8608" spans="1:5">
      <c r="A8608" s="3" t="s">
        <v>18842</v>
      </c>
      <c r="B8608" s="110" t="s">
        <v>1347</v>
      </c>
      <c r="C8608" s="111" t="s">
        <v>5316</v>
      </c>
      <c r="D8608" s="111" t="str">
        <f t="shared" ref="D8608:E8608" si="8606">TRIM(B8608)</f>
        <v>Missouri</v>
      </c>
      <c r="E8608" s="111" t="str">
        <f t="shared" si="8606"/>
        <v>Imperial</v>
      </c>
    </row>
    <row r="8609" spans="1:5">
      <c r="A8609" s="3" t="s">
        <v>7523</v>
      </c>
      <c r="B8609" s="110" t="s">
        <v>1347</v>
      </c>
      <c r="C8609" s="111" t="s">
        <v>5316</v>
      </c>
      <c r="D8609" s="111" t="str">
        <f t="shared" ref="D8609:E8609" si="8607">TRIM(B8609)</f>
        <v>Missouri</v>
      </c>
      <c r="E8609" s="111" t="str">
        <f t="shared" si="8607"/>
        <v>Imperial</v>
      </c>
    </row>
    <row r="8610" spans="1:5">
      <c r="A8610" s="3" t="s">
        <v>18843</v>
      </c>
      <c r="B8610" s="110" t="s">
        <v>1347</v>
      </c>
      <c r="C8610" s="111" t="s">
        <v>5323</v>
      </c>
      <c r="D8610" s="111" t="str">
        <f t="shared" ref="D8610:E8610" si="8608">TRIM(B8610)</f>
        <v>Missouri</v>
      </c>
      <c r="E8610" s="111" t="str">
        <f t="shared" si="8608"/>
        <v>Independence</v>
      </c>
    </row>
    <row r="8611" spans="1:5">
      <c r="A8611" s="3" t="s">
        <v>18844</v>
      </c>
      <c r="B8611" s="110" t="s">
        <v>1347</v>
      </c>
      <c r="C8611" s="111" t="s">
        <v>5323</v>
      </c>
      <c r="D8611" s="111" t="str">
        <f t="shared" ref="D8611:E8611" si="8609">TRIM(B8611)</f>
        <v>Missouri</v>
      </c>
      <c r="E8611" s="111" t="str">
        <f t="shared" si="8609"/>
        <v>Independence</v>
      </c>
    </row>
    <row r="8612" spans="1:5">
      <c r="A8612" s="3" t="s">
        <v>18845</v>
      </c>
      <c r="B8612" s="110" t="s">
        <v>1347</v>
      </c>
      <c r="C8612" s="111" t="s">
        <v>5323</v>
      </c>
      <c r="D8612" s="111" t="str">
        <f t="shared" ref="D8612:E8612" si="8610">TRIM(B8612)</f>
        <v>Missouri</v>
      </c>
      <c r="E8612" s="111" t="str">
        <f t="shared" si="8610"/>
        <v>Independence</v>
      </c>
    </row>
    <row r="8613" spans="1:5">
      <c r="A8613" s="3" t="s">
        <v>18846</v>
      </c>
      <c r="B8613" s="110" t="s">
        <v>1347</v>
      </c>
      <c r="C8613" s="111" t="s">
        <v>18847</v>
      </c>
      <c r="D8613" s="111" t="str">
        <f t="shared" ref="D8613:E8613" si="8611">TRIM(B8613)</f>
        <v>Missouri</v>
      </c>
      <c r="E8613" s="111" t="str">
        <f t="shared" si="8611"/>
        <v>Independnce</v>
      </c>
    </row>
    <row r="8614" spans="1:5">
      <c r="A8614" s="3" t="s">
        <v>18848</v>
      </c>
      <c r="B8614" s="110" t="s">
        <v>1347</v>
      </c>
      <c r="C8614" s="111" t="s">
        <v>12854</v>
      </c>
      <c r="D8614" s="111" t="str">
        <f t="shared" ref="D8614:E8614" si="8612">TRIM(B8614)</f>
        <v>Missouri</v>
      </c>
      <c r="E8614" s="111" t="str">
        <f t="shared" si="8612"/>
        <v>Ironton</v>
      </c>
    </row>
    <row r="8615" spans="1:5">
      <c r="A8615" s="3" t="s">
        <v>18849</v>
      </c>
      <c r="B8615" s="110" t="s">
        <v>1347</v>
      </c>
      <c r="C8615" s="111" t="s">
        <v>297</v>
      </c>
      <c r="D8615" s="111" t="str">
        <f t="shared" ref="D8615:E8615" si="8613">TRIM(B8615)</f>
        <v>Missouri</v>
      </c>
      <c r="E8615" s="111" t="str">
        <f t="shared" si="8613"/>
        <v>Jackson</v>
      </c>
    </row>
    <row r="8616" spans="1:5">
      <c r="A8616" s="3" t="s">
        <v>18850</v>
      </c>
      <c r="B8616" s="110" t="s">
        <v>1347</v>
      </c>
      <c r="C8616" s="111" t="s">
        <v>18851</v>
      </c>
      <c r="D8616" s="111" t="str">
        <f t="shared" ref="D8616:E8616" si="8614">TRIM(B8616)</f>
        <v>Missouri</v>
      </c>
      <c r="E8616" s="111" t="str">
        <f t="shared" si="8614"/>
        <v>Jameson</v>
      </c>
    </row>
    <row r="8617" spans="1:5">
      <c r="A8617" s="3" t="s">
        <v>15082</v>
      </c>
      <c r="B8617" s="110" t="s">
        <v>1347</v>
      </c>
      <c r="C8617" s="111" t="s">
        <v>18852</v>
      </c>
      <c r="D8617" s="111" t="str">
        <f t="shared" ref="D8617:E8617" si="8615">TRIM(B8617)</f>
        <v>Missouri</v>
      </c>
      <c r="E8617" s="111" t="str">
        <f t="shared" si="8615"/>
        <v>Jamesport</v>
      </c>
    </row>
    <row r="8618" spans="1:5">
      <c r="A8618" s="3" t="s">
        <v>18853</v>
      </c>
      <c r="B8618" s="110" t="s">
        <v>1347</v>
      </c>
      <c r="C8618" s="111" t="s">
        <v>18854</v>
      </c>
      <c r="D8618" s="111" t="str">
        <f t="shared" ref="D8618:E8618" si="8616">TRIM(B8618)</f>
        <v>Missouri</v>
      </c>
      <c r="E8618" s="111" t="str">
        <f t="shared" si="8616"/>
        <v>Jamestown</v>
      </c>
    </row>
    <row r="8619" spans="1:5">
      <c r="A8619" s="3" t="s">
        <v>1898</v>
      </c>
      <c r="B8619" s="110" t="s">
        <v>1347</v>
      </c>
      <c r="C8619" s="111" t="s">
        <v>263</v>
      </c>
      <c r="D8619" s="111" t="str">
        <f t="shared" ref="D8619:E8619" si="8617">TRIM(B8619)</f>
        <v>Missouri</v>
      </c>
      <c r="E8619" s="111" t="str">
        <f t="shared" si="8617"/>
        <v>Jasper</v>
      </c>
    </row>
    <row r="8620" spans="1:5">
      <c r="A8620" s="3" t="s">
        <v>18855</v>
      </c>
      <c r="B8620" s="110" t="s">
        <v>1347</v>
      </c>
      <c r="C8620" s="111" t="s">
        <v>18856</v>
      </c>
      <c r="D8620" s="111" t="str">
        <f t="shared" ref="D8620:E8620" si="8618">TRIM(B8620)</f>
        <v>Missouri</v>
      </c>
      <c r="E8620" s="111" t="str">
        <f t="shared" si="8618"/>
        <v>Jefferson City</v>
      </c>
    </row>
    <row r="8621" spans="1:5">
      <c r="A8621" s="3" t="s">
        <v>18857</v>
      </c>
      <c r="B8621" s="110" t="s">
        <v>1347</v>
      </c>
      <c r="C8621" s="111" t="s">
        <v>18856</v>
      </c>
      <c r="D8621" s="111" t="str">
        <f t="shared" ref="D8621:E8621" si="8619">TRIM(B8621)</f>
        <v>Missouri</v>
      </c>
      <c r="E8621" s="111" t="str">
        <f t="shared" si="8619"/>
        <v>Jefferson City</v>
      </c>
    </row>
    <row r="8622" spans="1:5">
      <c r="A8622" s="3" t="s">
        <v>15979</v>
      </c>
      <c r="B8622" s="110" t="s">
        <v>1347</v>
      </c>
      <c r="C8622" s="111" t="s">
        <v>15980</v>
      </c>
      <c r="D8622" s="111" t="str">
        <f t="shared" ref="D8622:E8622" si="8620">TRIM(B8622)</f>
        <v>Missouri</v>
      </c>
      <c r="E8622" s="111" t="str">
        <f t="shared" si="8620"/>
        <v>Jennings</v>
      </c>
    </row>
    <row r="8623" spans="1:5">
      <c r="A8623" s="110" t="s">
        <v>18858</v>
      </c>
      <c r="B8623" s="110" t="s">
        <v>1347</v>
      </c>
      <c r="C8623" s="111" t="s">
        <v>11858</v>
      </c>
      <c r="D8623" s="111" t="str">
        <f t="shared" ref="D8623:E8623" si="8621">TRIM(B8623)</f>
        <v>Missouri</v>
      </c>
      <c r="E8623" s="111" t="str">
        <f t="shared" si="8621"/>
        <v>Joplin</v>
      </c>
    </row>
    <row r="8624" spans="1:5">
      <c r="A8624" s="3" t="s">
        <v>18859</v>
      </c>
      <c r="B8624" s="110" t="s">
        <v>1347</v>
      </c>
      <c r="C8624" s="111" t="s">
        <v>11858</v>
      </c>
      <c r="D8624" s="111" t="str">
        <f t="shared" ref="D8624:E8624" si="8622">TRIM(B8624)</f>
        <v>Missouri</v>
      </c>
      <c r="E8624" s="111" t="str">
        <f t="shared" si="8622"/>
        <v>Joplin</v>
      </c>
    </row>
    <row r="8625" spans="1:5">
      <c r="A8625" s="3" t="s">
        <v>18860</v>
      </c>
      <c r="B8625" s="110" t="s">
        <v>1347</v>
      </c>
      <c r="C8625" s="111" t="s">
        <v>18861</v>
      </c>
      <c r="D8625" s="111" t="str">
        <f t="shared" ref="D8625:E8625" si="8623">TRIM(B8625)</f>
        <v>Missouri</v>
      </c>
      <c r="E8625" s="111" t="str">
        <f t="shared" si="8623"/>
        <v>Kahoka</v>
      </c>
    </row>
    <row r="8626" spans="1:5">
      <c r="A8626" s="3" t="s">
        <v>18862</v>
      </c>
      <c r="B8626" s="110" t="s">
        <v>1347</v>
      </c>
      <c r="C8626" s="111" t="s">
        <v>351</v>
      </c>
      <c r="D8626" s="111" t="str">
        <f t="shared" ref="D8626:E8626" si="8624">TRIM(B8626)</f>
        <v>Missouri</v>
      </c>
      <c r="E8626" s="111" t="str">
        <f t="shared" si="8624"/>
        <v>Kansas City</v>
      </c>
    </row>
    <row r="8627" spans="1:5">
      <c r="A8627" s="3" t="s">
        <v>18863</v>
      </c>
      <c r="B8627" s="110" t="s">
        <v>1347</v>
      </c>
      <c r="C8627" s="111" t="s">
        <v>351</v>
      </c>
      <c r="D8627" s="111" t="str">
        <f t="shared" ref="D8627:E8627" si="8625">TRIM(B8627)</f>
        <v>Missouri</v>
      </c>
      <c r="E8627" s="111" t="str">
        <f t="shared" si="8625"/>
        <v>Kansas City</v>
      </c>
    </row>
    <row r="8628" spans="1:5">
      <c r="A8628" s="3" t="s">
        <v>18864</v>
      </c>
      <c r="B8628" s="110" t="s">
        <v>1347</v>
      </c>
      <c r="C8628" s="111" t="s">
        <v>351</v>
      </c>
      <c r="D8628" s="111" t="str">
        <f t="shared" ref="D8628:E8628" si="8626">TRIM(B8628)</f>
        <v>Missouri</v>
      </c>
      <c r="E8628" s="111" t="str">
        <f t="shared" si="8626"/>
        <v>Kansas City</v>
      </c>
    </row>
    <row r="8629" spans="1:5">
      <c r="A8629" s="3" t="s">
        <v>2294</v>
      </c>
      <c r="B8629" s="110" t="s">
        <v>1347</v>
      </c>
      <c r="C8629" s="111" t="s">
        <v>351</v>
      </c>
      <c r="D8629" s="111" t="str">
        <f t="shared" ref="D8629:E8629" si="8627">TRIM(B8629)</f>
        <v>Missouri</v>
      </c>
      <c r="E8629" s="111" t="str">
        <f t="shared" si="8627"/>
        <v>Kansas City</v>
      </c>
    </row>
    <row r="8630" spans="1:5">
      <c r="A8630" s="3" t="s">
        <v>18865</v>
      </c>
      <c r="B8630" s="110" t="s">
        <v>1347</v>
      </c>
      <c r="C8630" s="111" t="s">
        <v>351</v>
      </c>
      <c r="D8630" s="111" t="str">
        <f t="shared" ref="D8630:E8630" si="8628">TRIM(B8630)</f>
        <v>Missouri</v>
      </c>
      <c r="E8630" s="111" t="str">
        <f t="shared" si="8628"/>
        <v>Kansas City</v>
      </c>
    </row>
    <row r="8631" spans="1:5">
      <c r="A8631" s="110" t="s">
        <v>18866</v>
      </c>
      <c r="B8631" s="110" t="s">
        <v>1347</v>
      </c>
      <c r="C8631" s="111" t="s">
        <v>351</v>
      </c>
      <c r="D8631" s="111" t="str">
        <f t="shared" ref="D8631:E8631" si="8629">TRIM(B8631)</f>
        <v>Missouri</v>
      </c>
      <c r="E8631" s="111" t="str">
        <f t="shared" si="8629"/>
        <v>Kansas City</v>
      </c>
    </row>
    <row r="8632" spans="1:5">
      <c r="A8632" s="3" t="s">
        <v>18867</v>
      </c>
      <c r="B8632" s="110" t="s">
        <v>1347</v>
      </c>
      <c r="C8632" s="111" t="s">
        <v>351</v>
      </c>
      <c r="D8632" s="111" t="str">
        <f t="shared" ref="D8632:E8632" si="8630">TRIM(B8632)</f>
        <v>Missouri</v>
      </c>
      <c r="E8632" s="111" t="str">
        <f t="shared" si="8630"/>
        <v>Kansas City</v>
      </c>
    </row>
    <row r="8633" spans="1:5">
      <c r="A8633" s="3" t="s">
        <v>18868</v>
      </c>
      <c r="B8633" s="110" t="s">
        <v>1347</v>
      </c>
      <c r="C8633" s="111" t="s">
        <v>351</v>
      </c>
      <c r="D8633" s="111" t="str">
        <f t="shared" ref="D8633:E8633" si="8631">TRIM(B8633)</f>
        <v>Missouri</v>
      </c>
      <c r="E8633" s="111" t="str">
        <f t="shared" si="8631"/>
        <v>Kansas City</v>
      </c>
    </row>
    <row r="8634" spans="1:5">
      <c r="A8634" s="3" t="s">
        <v>18869</v>
      </c>
      <c r="B8634" s="110" t="s">
        <v>1347</v>
      </c>
      <c r="C8634" s="111" t="s">
        <v>351</v>
      </c>
      <c r="D8634" s="111" t="str">
        <f t="shared" ref="D8634:E8634" si="8632">TRIM(B8634)</f>
        <v>Missouri</v>
      </c>
      <c r="E8634" s="111" t="str">
        <f t="shared" si="8632"/>
        <v>Kansas City</v>
      </c>
    </row>
    <row r="8635" spans="1:5">
      <c r="A8635" s="110" t="s">
        <v>18870</v>
      </c>
      <c r="B8635" s="110" t="s">
        <v>1347</v>
      </c>
      <c r="C8635" s="111" t="s">
        <v>351</v>
      </c>
      <c r="D8635" s="111" t="str">
        <f t="shared" ref="D8635:E8635" si="8633">TRIM(B8635)</f>
        <v>Missouri</v>
      </c>
      <c r="E8635" s="111" t="str">
        <f t="shared" si="8633"/>
        <v>Kansas City</v>
      </c>
    </row>
    <row r="8636" spans="1:5">
      <c r="A8636" s="3" t="s">
        <v>18871</v>
      </c>
      <c r="B8636" s="110" t="s">
        <v>1347</v>
      </c>
      <c r="C8636" s="111" t="s">
        <v>351</v>
      </c>
      <c r="D8636" s="111" t="str">
        <f t="shared" ref="D8636:E8636" si="8634">TRIM(B8636)</f>
        <v>Missouri</v>
      </c>
      <c r="E8636" s="111" t="str">
        <f t="shared" si="8634"/>
        <v>Kansas City</v>
      </c>
    </row>
    <row r="8637" spans="1:5">
      <c r="A8637" s="3" t="s">
        <v>9797</v>
      </c>
      <c r="B8637" s="110" t="s">
        <v>1347</v>
      </c>
      <c r="C8637" s="111" t="s">
        <v>351</v>
      </c>
      <c r="D8637" s="111" t="str">
        <f t="shared" ref="D8637:E8637" si="8635">TRIM(B8637)</f>
        <v>Missouri</v>
      </c>
      <c r="E8637" s="111" t="str">
        <f t="shared" si="8635"/>
        <v>Kansas City</v>
      </c>
    </row>
    <row r="8638" spans="1:5">
      <c r="A8638" s="110" t="s">
        <v>18872</v>
      </c>
      <c r="B8638" s="110" t="s">
        <v>1347</v>
      </c>
      <c r="C8638" s="111" t="s">
        <v>351</v>
      </c>
      <c r="D8638" s="111" t="str">
        <f t="shared" ref="D8638:E8638" si="8636">TRIM(B8638)</f>
        <v>Missouri</v>
      </c>
      <c r="E8638" s="111" t="str">
        <f t="shared" si="8636"/>
        <v>Kansas City</v>
      </c>
    </row>
    <row r="8639" spans="1:5">
      <c r="A8639" s="3" t="s">
        <v>6115</v>
      </c>
      <c r="B8639" s="110" t="s">
        <v>1347</v>
      </c>
      <c r="C8639" s="111" t="s">
        <v>351</v>
      </c>
      <c r="D8639" s="111" t="str">
        <f t="shared" ref="D8639:E8639" si="8637">TRIM(B8639)</f>
        <v>Missouri</v>
      </c>
      <c r="E8639" s="111" t="str">
        <f t="shared" si="8637"/>
        <v>Kansas City</v>
      </c>
    </row>
    <row r="8640" spans="1:5">
      <c r="A8640" s="3" t="s">
        <v>18873</v>
      </c>
      <c r="B8640" s="110" t="s">
        <v>1347</v>
      </c>
      <c r="C8640" s="111" t="s">
        <v>351</v>
      </c>
      <c r="D8640" s="111" t="str">
        <f t="shared" ref="D8640:E8640" si="8638">TRIM(B8640)</f>
        <v>Missouri</v>
      </c>
      <c r="E8640" s="111" t="str">
        <f t="shared" si="8638"/>
        <v>Kansas City</v>
      </c>
    </row>
    <row r="8641" spans="1:5">
      <c r="A8641" s="3" t="s">
        <v>18874</v>
      </c>
      <c r="B8641" s="110" t="s">
        <v>1347</v>
      </c>
      <c r="C8641" s="111" t="s">
        <v>351</v>
      </c>
      <c r="D8641" s="111" t="str">
        <f t="shared" ref="D8641:E8641" si="8639">TRIM(B8641)</f>
        <v>Missouri</v>
      </c>
      <c r="E8641" s="111" t="str">
        <f t="shared" si="8639"/>
        <v>Kansas City</v>
      </c>
    </row>
    <row r="8642" spans="1:5">
      <c r="A8642" s="3" t="s">
        <v>18875</v>
      </c>
      <c r="B8642" s="110" t="s">
        <v>1347</v>
      </c>
      <c r="C8642" s="111" t="s">
        <v>351</v>
      </c>
      <c r="D8642" s="111" t="str">
        <f t="shared" ref="D8642:E8642" si="8640">TRIM(B8642)</f>
        <v>Missouri</v>
      </c>
      <c r="E8642" s="111" t="str">
        <f t="shared" si="8640"/>
        <v>Kansas City</v>
      </c>
    </row>
    <row r="8643" spans="1:5">
      <c r="A8643" s="3" t="s">
        <v>8999</v>
      </c>
      <c r="B8643" s="110" t="s">
        <v>1347</v>
      </c>
      <c r="C8643" s="111" t="s">
        <v>351</v>
      </c>
      <c r="D8643" s="111" t="str">
        <f t="shared" ref="D8643:E8643" si="8641">TRIM(B8643)</f>
        <v>Missouri</v>
      </c>
      <c r="E8643" s="111" t="str">
        <f t="shared" si="8641"/>
        <v>Kansas City</v>
      </c>
    </row>
    <row r="8644" spans="1:5">
      <c r="A8644" s="3" t="s">
        <v>18876</v>
      </c>
      <c r="B8644" s="110" t="s">
        <v>1347</v>
      </c>
      <c r="C8644" s="111" t="s">
        <v>351</v>
      </c>
      <c r="D8644" s="111" t="str">
        <f t="shared" ref="D8644:E8644" si="8642">TRIM(B8644)</f>
        <v>Missouri</v>
      </c>
      <c r="E8644" s="111" t="str">
        <f t="shared" si="8642"/>
        <v>Kansas City</v>
      </c>
    </row>
    <row r="8645" spans="1:5">
      <c r="A8645" s="3" t="s">
        <v>18877</v>
      </c>
      <c r="B8645" s="110" t="s">
        <v>1347</v>
      </c>
      <c r="C8645" s="111" t="s">
        <v>351</v>
      </c>
      <c r="D8645" s="111" t="str">
        <f t="shared" ref="D8645:E8645" si="8643">TRIM(B8645)</f>
        <v>Missouri</v>
      </c>
      <c r="E8645" s="111" t="str">
        <f t="shared" si="8643"/>
        <v>Kansas City</v>
      </c>
    </row>
    <row r="8646" spans="1:5">
      <c r="A8646" s="3" t="s">
        <v>18878</v>
      </c>
      <c r="B8646" s="110" t="s">
        <v>1347</v>
      </c>
      <c r="C8646" s="111" t="s">
        <v>351</v>
      </c>
      <c r="D8646" s="111" t="str">
        <f t="shared" ref="D8646:E8646" si="8644">TRIM(B8646)</f>
        <v>Missouri</v>
      </c>
      <c r="E8646" s="111" t="str">
        <f t="shared" si="8644"/>
        <v>Kansas City</v>
      </c>
    </row>
    <row r="8647" spans="1:5">
      <c r="A8647" s="3" t="s">
        <v>18879</v>
      </c>
      <c r="B8647" s="110" t="s">
        <v>1347</v>
      </c>
      <c r="C8647" s="111" t="s">
        <v>18880</v>
      </c>
      <c r="D8647" s="111" t="str">
        <f t="shared" ref="D8647:E8647" si="8645">TRIM(B8647)</f>
        <v>Missouri</v>
      </c>
      <c r="E8647" s="111" t="str">
        <f t="shared" si="8645"/>
        <v>Kearney</v>
      </c>
    </row>
    <row r="8648" spans="1:5">
      <c r="A8648" s="3" t="s">
        <v>18881</v>
      </c>
      <c r="B8648" s="110" t="s">
        <v>1347</v>
      </c>
      <c r="C8648" s="111" t="s">
        <v>18882</v>
      </c>
      <c r="D8648" s="111" t="str">
        <f t="shared" ref="D8648:E8648" si="8646">TRIM(B8648)</f>
        <v>Missouri</v>
      </c>
      <c r="E8648" s="111" t="str">
        <f t="shared" si="8646"/>
        <v>Kennett</v>
      </c>
    </row>
    <row r="8649" spans="1:5">
      <c r="A8649" s="3" t="s">
        <v>18883</v>
      </c>
      <c r="B8649" s="110" t="s">
        <v>1347</v>
      </c>
      <c r="C8649" s="111" t="s">
        <v>18884</v>
      </c>
      <c r="D8649" s="111" t="str">
        <f t="shared" ref="D8649:E8649" si="8647">TRIM(B8649)</f>
        <v>Missouri</v>
      </c>
      <c r="E8649" s="111" t="str">
        <f t="shared" si="8647"/>
        <v>Keytesville</v>
      </c>
    </row>
    <row r="8650" spans="1:5">
      <c r="A8650" s="3" t="s">
        <v>5368</v>
      </c>
      <c r="B8650" s="110" t="s">
        <v>1347</v>
      </c>
      <c r="C8650" s="111" t="s">
        <v>582</v>
      </c>
      <c r="D8650" s="111" t="str">
        <f t="shared" ref="D8650:E8650" si="8648">TRIM(B8650)</f>
        <v>Missouri</v>
      </c>
      <c r="E8650" s="111" t="str">
        <f t="shared" si="8648"/>
        <v>King City</v>
      </c>
    </row>
    <row r="8651" spans="1:5">
      <c r="A8651" s="3" t="s">
        <v>18885</v>
      </c>
      <c r="B8651" s="110" t="s">
        <v>1347</v>
      </c>
      <c r="C8651" s="111" t="s">
        <v>18886</v>
      </c>
      <c r="D8651" s="111" t="str">
        <f t="shared" ref="D8651:E8651" si="8649">TRIM(B8651)</f>
        <v>Missouri</v>
      </c>
      <c r="E8651" s="111" t="str">
        <f t="shared" si="8649"/>
        <v>Kingdom City</v>
      </c>
    </row>
    <row r="8652" spans="1:5">
      <c r="A8652" s="3" t="s">
        <v>18887</v>
      </c>
      <c r="B8652" s="110" t="s">
        <v>1347</v>
      </c>
      <c r="C8652" s="111" t="s">
        <v>18888</v>
      </c>
      <c r="D8652" s="111" t="str">
        <f t="shared" ref="D8652:E8652" si="8650">TRIM(B8652)</f>
        <v>Missouri</v>
      </c>
      <c r="E8652" s="111" t="str">
        <f t="shared" si="8650"/>
        <v>Kingsville</v>
      </c>
    </row>
    <row r="8653" spans="1:5">
      <c r="A8653" s="3" t="s">
        <v>18889</v>
      </c>
      <c r="B8653" s="110" t="s">
        <v>1347</v>
      </c>
      <c r="C8653" s="111" t="s">
        <v>18890</v>
      </c>
      <c r="D8653" s="111" t="str">
        <f t="shared" ref="D8653:E8653" si="8651">TRIM(B8653)</f>
        <v>Missouri</v>
      </c>
      <c r="E8653" s="111" t="str">
        <f t="shared" si="8651"/>
        <v>Kirksville</v>
      </c>
    </row>
    <row r="8654" spans="1:5">
      <c r="A8654" s="3" t="s">
        <v>18891</v>
      </c>
      <c r="B8654" s="110" t="s">
        <v>1347</v>
      </c>
      <c r="C8654" s="111" t="s">
        <v>547</v>
      </c>
      <c r="D8654" s="111" t="str">
        <f t="shared" ref="D8654:E8654" si="8652">TRIM(B8654)</f>
        <v>Missouri</v>
      </c>
      <c r="E8654" s="111" t="str">
        <f t="shared" si="8652"/>
        <v>Kirkwood</v>
      </c>
    </row>
    <row r="8655" spans="1:5">
      <c r="A8655" s="3" t="s">
        <v>18892</v>
      </c>
      <c r="B8655" s="110" t="s">
        <v>1347</v>
      </c>
      <c r="C8655" s="111" t="s">
        <v>18893</v>
      </c>
      <c r="D8655" s="111" t="str">
        <f t="shared" ref="D8655:E8655" si="8653">TRIM(B8655)</f>
        <v>Missouri</v>
      </c>
      <c r="E8655" s="111" t="str">
        <f t="shared" si="8653"/>
        <v>Knob Noster</v>
      </c>
    </row>
    <row r="8656" spans="1:5">
      <c r="A8656" s="3" t="s">
        <v>18894</v>
      </c>
      <c r="B8656" s="110" t="s">
        <v>1347</v>
      </c>
      <c r="C8656" s="111" t="s">
        <v>18895</v>
      </c>
      <c r="D8656" s="111" t="str">
        <f t="shared" ref="D8656:E8656" si="8654">TRIM(B8656)</f>
        <v>Missouri</v>
      </c>
      <c r="E8656" s="111" t="str">
        <f t="shared" si="8654"/>
        <v>Koshkonong</v>
      </c>
    </row>
    <row r="8657" spans="1:5">
      <c r="A8657" s="3" t="s">
        <v>18896</v>
      </c>
      <c r="B8657" s="110" t="s">
        <v>1347</v>
      </c>
      <c r="C8657" s="111" t="s">
        <v>18897</v>
      </c>
      <c r="D8657" s="111" t="str">
        <f t="shared" ref="D8657:E8657" si="8655">TRIM(B8657)</f>
        <v>Missouri</v>
      </c>
      <c r="E8657" s="111" t="str">
        <f t="shared" si="8655"/>
        <v>La Monte</v>
      </c>
    </row>
    <row r="8658" spans="1:5">
      <c r="A8658" s="3" t="s">
        <v>16441</v>
      </c>
      <c r="B8658" s="110" t="s">
        <v>1347</v>
      </c>
      <c r="C8658" s="111" t="s">
        <v>16442</v>
      </c>
      <c r="D8658" s="111" t="str">
        <f t="shared" ref="D8658:E8658" si="8656">TRIM(B8658)</f>
        <v>Missouri</v>
      </c>
      <c r="E8658" s="111" t="str">
        <f t="shared" si="8656"/>
        <v>La Plata</v>
      </c>
    </row>
    <row r="8659" spans="1:5">
      <c r="A8659" s="3" t="s">
        <v>13964</v>
      </c>
      <c r="B8659" s="110" t="s">
        <v>1347</v>
      </c>
      <c r="C8659" s="111" t="s">
        <v>18898</v>
      </c>
      <c r="D8659" s="111" t="str">
        <f t="shared" ref="D8659:E8659" si="8657">TRIM(B8659)</f>
        <v>Missouri</v>
      </c>
      <c r="E8659" s="111" t="str">
        <f t="shared" si="8657"/>
        <v>Laddonia</v>
      </c>
    </row>
    <row r="8660" spans="1:5">
      <c r="A8660" s="3" t="s">
        <v>2745</v>
      </c>
      <c r="B8660" s="110" t="s">
        <v>1347</v>
      </c>
      <c r="C8660" s="111" t="s">
        <v>18899</v>
      </c>
      <c r="D8660" s="111" t="str">
        <f t="shared" ref="D8660:E8660" si="8658">TRIM(B8660)</f>
        <v>Missouri</v>
      </c>
      <c r="E8660" s="111" t="str">
        <f t="shared" si="8658"/>
        <v>Lake St. Louis</v>
      </c>
    </row>
    <row r="8661" spans="1:5">
      <c r="A8661" s="3" t="s">
        <v>3927</v>
      </c>
      <c r="B8661" s="110" t="s">
        <v>1347</v>
      </c>
      <c r="C8661" s="111" t="s">
        <v>3928</v>
      </c>
      <c r="D8661" s="111" t="str">
        <f t="shared" ref="D8661:E8661" si="8659">TRIM(B8661)</f>
        <v>Missouri</v>
      </c>
      <c r="E8661" s="111" t="str">
        <f t="shared" si="8659"/>
        <v>Lamar</v>
      </c>
    </row>
    <row r="8662" spans="1:5">
      <c r="A8662" s="3" t="s">
        <v>18900</v>
      </c>
      <c r="B8662" s="110" t="s">
        <v>1347</v>
      </c>
      <c r="C8662" s="111" t="s">
        <v>18901</v>
      </c>
      <c r="D8662" s="111" t="str">
        <f t="shared" ref="D8662:E8662" si="8660">TRIM(B8662)</f>
        <v>Missouri</v>
      </c>
      <c r="E8662" s="111" t="str">
        <f t="shared" si="8660"/>
        <v>Laquey</v>
      </c>
    </row>
    <row r="8663" spans="1:5">
      <c r="A8663" s="3" t="s">
        <v>2340</v>
      </c>
      <c r="B8663" s="110" t="s">
        <v>1347</v>
      </c>
      <c r="C8663" s="111" t="s">
        <v>18902</v>
      </c>
      <c r="D8663" s="111" t="str">
        <f t="shared" ref="D8663:E8663" si="8661">TRIM(B8663)</f>
        <v>Missouri</v>
      </c>
      <c r="E8663" s="111" t="str">
        <f t="shared" si="8661"/>
        <v>Lathrop</v>
      </c>
    </row>
    <row r="8664" spans="1:5">
      <c r="A8664" s="3" t="s">
        <v>18903</v>
      </c>
      <c r="B8664" s="110" t="s">
        <v>1347</v>
      </c>
      <c r="C8664" s="111" t="s">
        <v>18904</v>
      </c>
      <c r="D8664" s="111" t="str">
        <f t="shared" ref="D8664:E8664" si="8662">TRIM(B8664)</f>
        <v>Missouri</v>
      </c>
      <c r="E8664" s="111" t="str">
        <f t="shared" si="8662"/>
        <v>Lawson</v>
      </c>
    </row>
    <row r="8665" spans="1:5">
      <c r="A8665" s="110" t="s">
        <v>18905</v>
      </c>
      <c r="B8665" s="110" t="s">
        <v>1347</v>
      </c>
      <c r="C8665" s="111" t="s">
        <v>18904</v>
      </c>
      <c r="D8665" s="111" t="str">
        <f t="shared" ref="D8665:E8665" si="8663">TRIM(B8665)</f>
        <v>Missouri</v>
      </c>
      <c r="E8665" s="111" t="str">
        <f t="shared" si="8663"/>
        <v>Lawson</v>
      </c>
    </row>
    <row r="8666" spans="1:5">
      <c r="A8666" s="3" t="s">
        <v>18906</v>
      </c>
      <c r="B8666" s="110" t="s">
        <v>1347</v>
      </c>
      <c r="C8666" s="111" t="s">
        <v>8525</v>
      </c>
      <c r="D8666" s="111" t="str">
        <f t="shared" ref="D8666:E8666" si="8664">TRIM(B8666)</f>
        <v>Missouri</v>
      </c>
      <c r="E8666" s="111" t="str">
        <f t="shared" si="8664"/>
        <v>Lebanon</v>
      </c>
    </row>
    <row r="8667" spans="1:5">
      <c r="A8667" s="110" t="s">
        <v>18907</v>
      </c>
      <c r="B8667" s="110" t="s">
        <v>1347</v>
      </c>
      <c r="C8667" s="111" t="s">
        <v>18908</v>
      </c>
      <c r="D8667" s="111" t="str">
        <f t="shared" ref="D8667:E8667" si="8665">TRIM(B8667)</f>
        <v>Missouri</v>
      </c>
      <c r="E8667" s="111" t="str">
        <f t="shared" si="8665"/>
        <v>Lee'S Summit</v>
      </c>
    </row>
    <row r="8668" spans="1:5">
      <c r="A8668" s="3" t="s">
        <v>18909</v>
      </c>
      <c r="B8668" s="110" t="s">
        <v>1347</v>
      </c>
      <c r="C8668" s="111" t="s">
        <v>18908</v>
      </c>
      <c r="D8668" s="111" t="str">
        <f t="shared" ref="D8668:E8668" si="8666">TRIM(B8668)</f>
        <v>Missouri</v>
      </c>
      <c r="E8668" s="111" t="str">
        <f t="shared" si="8666"/>
        <v>Lee'S Summit</v>
      </c>
    </row>
    <row r="8669" spans="1:5">
      <c r="A8669" s="3" t="s">
        <v>18910</v>
      </c>
      <c r="B8669" s="110" t="s">
        <v>1347</v>
      </c>
      <c r="C8669" s="111" t="s">
        <v>18908</v>
      </c>
      <c r="D8669" s="111" t="str">
        <f t="shared" ref="D8669:E8669" si="8667">TRIM(B8669)</f>
        <v>Missouri</v>
      </c>
      <c r="E8669" s="111" t="str">
        <f t="shared" si="8667"/>
        <v>Lee'S Summit</v>
      </c>
    </row>
    <row r="8670" spans="1:5">
      <c r="A8670" s="3" t="s">
        <v>18911</v>
      </c>
      <c r="B8670" s="110" t="s">
        <v>1347</v>
      </c>
      <c r="C8670" s="111" t="s">
        <v>18908</v>
      </c>
      <c r="D8670" s="111" t="str">
        <f t="shared" ref="D8670:E8670" si="8668">TRIM(B8670)</f>
        <v>Missouri</v>
      </c>
      <c r="E8670" s="111" t="str">
        <f t="shared" si="8668"/>
        <v>Lee'S Summit</v>
      </c>
    </row>
    <row r="8671" spans="1:5">
      <c r="A8671" s="3" t="s">
        <v>18912</v>
      </c>
      <c r="B8671" s="110" t="s">
        <v>1347</v>
      </c>
      <c r="C8671" s="111" t="s">
        <v>18913</v>
      </c>
      <c r="D8671" s="111" t="str">
        <f t="shared" ref="D8671:E8671" si="8669">TRIM(B8671)</f>
        <v>Missouri</v>
      </c>
      <c r="E8671" s="111" t="str">
        <f t="shared" si="8669"/>
        <v>Leeton</v>
      </c>
    </row>
    <row r="8672" spans="1:5">
      <c r="A8672" s="3" t="s">
        <v>18914</v>
      </c>
      <c r="B8672" s="110" t="s">
        <v>1347</v>
      </c>
      <c r="C8672" s="111" t="s">
        <v>14462</v>
      </c>
      <c r="D8672" s="111" t="str">
        <f t="shared" ref="D8672:E8672" si="8670">TRIM(B8672)</f>
        <v>Missouri</v>
      </c>
      <c r="E8672" s="111" t="str">
        <f t="shared" si="8670"/>
        <v>Leopold</v>
      </c>
    </row>
    <row r="8673" spans="1:5">
      <c r="A8673" s="3" t="s">
        <v>18915</v>
      </c>
      <c r="B8673" s="110" t="s">
        <v>1347</v>
      </c>
      <c r="C8673" s="111" t="s">
        <v>18916</v>
      </c>
      <c r="D8673" s="111" t="str">
        <f t="shared" ref="D8673:E8673" si="8671">TRIM(B8673)</f>
        <v>Missouri</v>
      </c>
      <c r="E8673" s="111" t="str">
        <f t="shared" si="8671"/>
        <v>Lesterville</v>
      </c>
    </row>
    <row r="8674" spans="1:5">
      <c r="A8674" s="3" t="s">
        <v>18917</v>
      </c>
      <c r="B8674" s="110" t="s">
        <v>1347</v>
      </c>
      <c r="C8674" s="111" t="s">
        <v>13206</v>
      </c>
      <c r="D8674" s="111" t="str">
        <f t="shared" ref="D8674:E8674" si="8672">TRIM(B8674)</f>
        <v>Missouri</v>
      </c>
      <c r="E8674" s="111" t="str">
        <f t="shared" si="8672"/>
        <v>Lewistown</v>
      </c>
    </row>
    <row r="8675" spans="1:5">
      <c r="A8675" s="3" t="s">
        <v>13208</v>
      </c>
      <c r="B8675" s="110" t="s">
        <v>1347</v>
      </c>
      <c r="C8675" s="111" t="s">
        <v>506</v>
      </c>
      <c r="D8675" s="111" t="str">
        <f t="shared" ref="D8675:E8675" si="8673">TRIM(B8675)</f>
        <v>Missouri</v>
      </c>
      <c r="E8675" s="111" t="str">
        <f t="shared" si="8673"/>
        <v>Lexington</v>
      </c>
    </row>
    <row r="8676" spans="1:5">
      <c r="A8676" s="3" t="s">
        <v>18918</v>
      </c>
      <c r="B8676" s="110" t="s">
        <v>1347</v>
      </c>
      <c r="C8676" s="111" t="s">
        <v>15368</v>
      </c>
      <c r="D8676" s="111" t="str">
        <f t="shared" ref="D8676:E8676" si="8674">TRIM(B8676)</f>
        <v>Missouri</v>
      </c>
      <c r="E8676" s="111" t="str">
        <f t="shared" si="8674"/>
        <v>Liberal</v>
      </c>
    </row>
    <row r="8677" spans="1:5">
      <c r="A8677" s="3" t="s">
        <v>2745</v>
      </c>
      <c r="B8677" s="110" t="s">
        <v>1347</v>
      </c>
      <c r="C8677" s="111" t="s">
        <v>6684</v>
      </c>
      <c r="D8677" s="111" t="str">
        <f t="shared" ref="D8677:E8677" si="8675">TRIM(B8677)</f>
        <v>Missouri</v>
      </c>
      <c r="E8677" s="111" t="str">
        <f t="shared" si="8675"/>
        <v>Liberty</v>
      </c>
    </row>
    <row r="8678" spans="1:5">
      <c r="A8678" s="3" t="s">
        <v>18919</v>
      </c>
      <c r="B8678" s="110" t="s">
        <v>1347</v>
      </c>
      <c r="C8678" s="111" t="s">
        <v>6684</v>
      </c>
      <c r="D8678" s="111" t="str">
        <f t="shared" ref="D8678:E8678" si="8676">TRIM(B8678)</f>
        <v>Missouri</v>
      </c>
      <c r="E8678" s="111" t="str">
        <f t="shared" si="8676"/>
        <v>Liberty</v>
      </c>
    </row>
    <row r="8679" spans="1:5">
      <c r="A8679" s="3" t="s">
        <v>18920</v>
      </c>
      <c r="B8679" s="110" t="s">
        <v>1347</v>
      </c>
      <c r="C8679" s="111" t="s">
        <v>18921</v>
      </c>
      <c r="D8679" s="111" t="str">
        <f t="shared" ref="D8679:E8679" si="8677">TRIM(B8679)</f>
        <v>Missouri</v>
      </c>
      <c r="E8679" s="111" t="str">
        <f t="shared" si="8677"/>
        <v>Licking</v>
      </c>
    </row>
    <row r="8680" spans="1:5">
      <c r="A8680" s="3" t="s">
        <v>1925</v>
      </c>
      <c r="B8680" s="110" t="s">
        <v>1347</v>
      </c>
      <c r="C8680" s="111" t="s">
        <v>1283</v>
      </c>
      <c r="D8680" s="111" t="str">
        <f t="shared" ref="D8680:E8680" si="8678">TRIM(B8680)</f>
        <v>Missouri</v>
      </c>
      <c r="E8680" s="111" t="str">
        <f t="shared" si="8678"/>
        <v>Lincoln</v>
      </c>
    </row>
    <row r="8681" spans="1:5">
      <c r="A8681" s="3" t="s">
        <v>15372</v>
      </c>
      <c r="B8681" s="110" t="s">
        <v>1347</v>
      </c>
      <c r="C8681" s="111" t="s">
        <v>15373</v>
      </c>
      <c r="D8681" s="111" t="str">
        <f t="shared" ref="D8681:E8681" si="8679">TRIM(B8681)</f>
        <v>Missouri</v>
      </c>
      <c r="E8681" s="111" t="str">
        <f t="shared" si="8679"/>
        <v>Linn</v>
      </c>
    </row>
    <row r="8682" spans="1:5">
      <c r="A8682" s="3" t="s">
        <v>18922</v>
      </c>
      <c r="B8682" s="110" t="s">
        <v>1347</v>
      </c>
      <c r="C8682" s="111" t="s">
        <v>18923</v>
      </c>
      <c r="D8682" s="111" t="str">
        <f t="shared" ref="D8682:E8682" si="8680">TRIM(B8682)</f>
        <v>Missouri</v>
      </c>
      <c r="E8682" s="111" t="str">
        <f t="shared" si="8680"/>
        <v>Lockwood</v>
      </c>
    </row>
    <row r="8683" spans="1:5">
      <c r="A8683" s="3" t="s">
        <v>18924</v>
      </c>
      <c r="B8683" s="110" t="s">
        <v>1347</v>
      </c>
      <c r="C8683" s="111" t="s">
        <v>18925</v>
      </c>
      <c r="D8683" s="111" t="str">
        <f t="shared" ref="D8683:E8683" si="8681">TRIM(B8683)</f>
        <v>Missouri</v>
      </c>
      <c r="E8683" s="111" t="str">
        <f t="shared" si="8681"/>
        <v>Lone Jack</v>
      </c>
    </row>
    <row r="8684" spans="1:5">
      <c r="A8684" s="3" t="s">
        <v>18926</v>
      </c>
      <c r="B8684" s="110" t="s">
        <v>1347</v>
      </c>
      <c r="C8684" s="111" t="s">
        <v>1340</v>
      </c>
      <c r="D8684" s="111" t="str">
        <f t="shared" ref="D8684:E8684" si="8682">TRIM(B8684)</f>
        <v>Missouri</v>
      </c>
      <c r="E8684" s="111" t="str">
        <f t="shared" si="8682"/>
        <v>Louisiana</v>
      </c>
    </row>
    <row r="8685" spans="1:5">
      <c r="A8685" s="3" t="s">
        <v>18927</v>
      </c>
      <c r="B8685" s="110" t="s">
        <v>1347</v>
      </c>
      <c r="C8685" s="111" t="s">
        <v>15761</v>
      </c>
      <c r="D8685" s="111" t="str">
        <f t="shared" ref="D8685:E8685" si="8683">TRIM(B8685)</f>
        <v>Missouri</v>
      </c>
      <c r="E8685" s="111" t="str">
        <f t="shared" si="8683"/>
        <v>Ludlow</v>
      </c>
    </row>
    <row r="8686" spans="1:5">
      <c r="A8686" s="3" t="s">
        <v>18928</v>
      </c>
      <c r="B8686" s="110" t="s">
        <v>1347</v>
      </c>
      <c r="C8686" s="111" t="s">
        <v>18929</v>
      </c>
      <c r="D8686" s="111" t="str">
        <f t="shared" ref="D8686:E8686" si="8684">TRIM(B8686)</f>
        <v>Missouri</v>
      </c>
      <c r="E8686" s="111" t="str">
        <f t="shared" si="8684"/>
        <v>Macks Creek</v>
      </c>
    </row>
    <row r="8687" spans="1:5">
      <c r="A8687" s="3" t="s">
        <v>18930</v>
      </c>
      <c r="B8687" s="110" t="s">
        <v>1347</v>
      </c>
      <c r="C8687" s="111" t="s">
        <v>10396</v>
      </c>
      <c r="D8687" s="111" t="str">
        <f t="shared" ref="D8687:E8687" si="8685">TRIM(B8687)</f>
        <v>Missouri</v>
      </c>
      <c r="E8687" s="111" t="str">
        <f t="shared" si="8685"/>
        <v>Macon</v>
      </c>
    </row>
    <row r="8688" spans="1:5">
      <c r="A8688" s="3" t="s">
        <v>6772</v>
      </c>
      <c r="B8688" s="110" t="s">
        <v>1347</v>
      </c>
      <c r="C8688" s="111" t="s">
        <v>488</v>
      </c>
      <c r="D8688" s="111" t="str">
        <f t="shared" ref="D8688:E8688" si="8686">TRIM(B8688)</f>
        <v>Missouri</v>
      </c>
      <c r="E8688" s="111" t="str">
        <f t="shared" si="8686"/>
        <v>Madison</v>
      </c>
    </row>
    <row r="8689" spans="1:5">
      <c r="A8689" s="3" t="s">
        <v>16719</v>
      </c>
      <c r="B8689" s="110" t="s">
        <v>1347</v>
      </c>
      <c r="C8689" s="111" t="s">
        <v>16720</v>
      </c>
      <c r="D8689" s="111" t="str">
        <f t="shared" ref="D8689:E8689" si="8687">TRIM(B8689)</f>
        <v>Missouri</v>
      </c>
      <c r="E8689" s="111" t="str">
        <f t="shared" si="8687"/>
        <v>Malden</v>
      </c>
    </row>
    <row r="8690" spans="1:5">
      <c r="A8690" s="3" t="s">
        <v>18931</v>
      </c>
      <c r="B8690" s="110" t="s">
        <v>1347</v>
      </c>
      <c r="C8690" s="111" t="s">
        <v>18932</v>
      </c>
      <c r="D8690" s="111" t="str">
        <f t="shared" ref="D8690:E8690" si="8688">TRIM(B8690)</f>
        <v>Missouri</v>
      </c>
      <c r="E8690" s="111" t="str">
        <f t="shared" si="8688"/>
        <v>Malta Bend</v>
      </c>
    </row>
    <row r="8691" spans="1:5">
      <c r="A8691" s="3" t="s">
        <v>4439</v>
      </c>
      <c r="B8691" s="110" t="s">
        <v>1347</v>
      </c>
      <c r="C8691" s="111" t="s">
        <v>8540</v>
      </c>
      <c r="D8691" s="111" t="str">
        <f t="shared" ref="D8691:E8691" si="8689">TRIM(B8691)</f>
        <v>Missouri</v>
      </c>
      <c r="E8691" s="111" t="str">
        <f t="shared" si="8689"/>
        <v>Manchester</v>
      </c>
    </row>
    <row r="8692" spans="1:5">
      <c r="A8692" s="3" t="s">
        <v>3990</v>
      </c>
      <c r="B8692" s="110" t="s">
        <v>1347</v>
      </c>
      <c r="C8692" s="111" t="s">
        <v>2997</v>
      </c>
      <c r="D8692" s="111" t="str">
        <f t="shared" ref="D8692:E8692" si="8690">TRIM(B8692)</f>
        <v>Missouri</v>
      </c>
      <c r="E8692" s="111" t="str">
        <f t="shared" si="8690"/>
        <v>Mansfield</v>
      </c>
    </row>
    <row r="8693" spans="1:5">
      <c r="A8693" s="3" t="s">
        <v>18933</v>
      </c>
      <c r="B8693" s="110" t="s">
        <v>1347</v>
      </c>
      <c r="C8693" s="111" t="s">
        <v>18934</v>
      </c>
      <c r="D8693" s="111" t="str">
        <f t="shared" ref="D8693:E8693" si="8691">TRIM(B8693)</f>
        <v>Missouri</v>
      </c>
      <c r="E8693" s="111" t="str">
        <f t="shared" si="8691"/>
        <v>Maplewood</v>
      </c>
    </row>
    <row r="8694" spans="1:5">
      <c r="A8694" s="3" t="s">
        <v>2285</v>
      </c>
      <c r="B8694" s="110" t="s">
        <v>1347</v>
      </c>
      <c r="C8694" s="111" t="s">
        <v>18935</v>
      </c>
      <c r="D8694" s="111" t="str">
        <f t="shared" ref="D8694:E8694" si="8692">TRIM(B8694)</f>
        <v>Missouri</v>
      </c>
      <c r="E8694" s="111" t="str">
        <f t="shared" si="8692"/>
        <v>Marble Hill</v>
      </c>
    </row>
    <row r="8695" spans="1:5">
      <c r="A8695" s="3" t="s">
        <v>18936</v>
      </c>
      <c r="B8695" s="110" t="s">
        <v>1347</v>
      </c>
      <c r="C8695" s="111" t="s">
        <v>18937</v>
      </c>
      <c r="D8695" s="111" t="str">
        <f t="shared" ref="D8695:E8695" si="8693">TRIM(B8695)</f>
        <v>Missouri</v>
      </c>
      <c r="E8695" s="111" t="str">
        <f t="shared" si="8693"/>
        <v>Marceline</v>
      </c>
    </row>
    <row r="8696" spans="1:5">
      <c r="A8696" s="3" t="s">
        <v>18938</v>
      </c>
      <c r="B8696" s="110" t="s">
        <v>1347</v>
      </c>
      <c r="C8696" s="111" t="s">
        <v>18939</v>
      </c>
      <c r="D8696" s="111" t="str">
        <f t="shared" ref="D8696:E8696" si="8694">TRIM(B8696)</f>
        <v>Missouri</v>
      </c>
      <c r="E8696" s="111" t="str">
        <f t="shared" si="8694"/>
        <v>Marionville</v>
      </c>
    </row>
    <row r="8697" spans="1:5">
      <c r="A8697" s="3" t="s">
        <v>18940</v>
      </c>
      <c r="B8697" s="110" t="s">
        <v>1347</v>
      </c>
      <c r="C8697" s="111" t="s">
        <v>18941</v>
      </c>
      <c r="D8697" s="111" t="str">
        <f t="shared" ref="D8697:E8697" si="8695">TRIM(B8697)</f>
        <v>Missouri</v>
      </c>
      <c r="E8697" s="111" t="str">
        <f t="shared" si="8695"/>
        <v>Marquand</v>
      </c>
    </row>
    <row r="8698" spans="1:5">
      <c r="A8698" s="3" t="s">
        <v>18942</v>
      </c>
      <c r="B8698" s="110" t="s">
        <v>1347</v>
      </c>
      <c r="C8698" s="111" t="s">
        <v>1258</v>
      </c>
      <c r="D8698" s="111" t="str">
        <f t="shared" ref="D8698:E8698" si="8696">TRIM(B8698)</f>
        <v>Missouri</v>
      </c>
      <c r="E8698" s="111" t="str">
        <f t="shared" si="8696"/>
        <v>Marshall</v>
      </c>
    </row>
    <row r="8699" spans="1:5">
      <c r="A8699" s="3" t="s">
        <v>16727</v>
      </c>
      <c r="B8699" s="110" t="s">
        <v>1347</v>
      </c>
      <c r="C8699" s="111" t="s">
        <v>16728</v>
      </c>
      <c r="D8699" s="111" t="str">
        <f t="shared" ref="D8699:E8699" si="8697">TRIM(B8699)</f>
        <v>Missouri</v>
      </c>
      <c r="E8699" s="111" t="str">
        <f t="shared" si="8697"/>
        <v>Marshfield</v>
      </c>
    </row>
    <row r="8700" spans="1:5">
      <c r="A8700" s="3" t="s">
        <v>18943</v>
      </c>
      <c r="B8700" s="110" t="s">
        <v>1347</v>
      </c>
      <c r="C8700" s="113" t="s">
        <v>18944</v>
      </c>
      <c r="D8700" s="111" t="str">
        <f t="shared" ref="D8700:E8700" si="8698">TRIM(B8700)</f>
        <v>Missouri</v>
      </c>
      <c r="E8700" s="111" t="str">
        <f t="shared" si="8698"/>
        <v>Maryland Heights</v>
      </c>
    </row>
    <row r="8701" spans="1:5">
      <c r="A8701" s="3" t="s">
        <v>18945</v>
      </c>
      <c r="B8701" s="110" t="s">
        <v>1347</v>
      </c>
      <c r="C8701" s="111" t="s">
        <v>4419</v>
      </c>
      <c r="D8701" s="111" t="str">
        <f t="shared" ref="D8701:E8701" si="8699">TRIM(B8701)</f>
        <v>Missouri</v>
      </c>
      <c r="E8701" s="111" t="str">
        <f t="shared" si="8699"/>
        <v>Maryville</v>
      </c>
    </row>
    <row r="8702" spans="1:5">
      <c r="A8702" s="3" t="s">
        <v>18946</v>
      </c>
      <c r="B8702" s="110" t="s">
        <v>1347</v>
      </c>
      <c r="C8702" s="111" t="s">
        <v>10843</v>
      </c>
      <c r="D8702" s="111" t="str">
        <f t="shared" ref="D8702:E8702" si="8700">TRIM(B8702)</f>
        <v>Missouri</v>
      </c>
      <c r="E8702" s="111" t="str">
        <f t="shared" si="8700"/>
        <v>Maysville</v>
      </c>
    </row>
    <row r="8703" spans="1:5">
      <c r="A8703" s="3" t="s">
        <v>18947</v>
      </c>
      <c r="B8703" s="110" t="s">
        <v>1347</v>
      </c>
      <c r="C8703" s="111" t="s">
        <v>18488</v>
      </c>
      <c r="D8703" s="111" t="str">
        <f t="shared" ref="D8703:E8703" si="8701">TRIM(B8703)</f>
        <v>Missouri</v>
      </c>
      <c r="E8703" s="111" t="str">
        <f t="shared" si="8701"/>
        <v>Meadville</v>
      </c>
    </row>
    <row r="8704" spans="1:5">
      <c r="A8704" s="3" t="s">
        <v>18948</v>
      </c>
      <c r="B8704" s="110" t="s">
        <v>1347</v>
      </c>
      <c r="C8704" s="111" t="s">
        <v>257</v>
      </c>
      <c r="D8704" s="111" t="str">
        <f t="shared" ref="D8704:E8704" si="8702">TRIM(B8704)</f>
        <v>Missouri</v>
      </c>
      <c r="E8704" s="111" t="str">
        <f t="shared" si="8702"/>
        <v>Memphis</v>
      </c>
    </row>
    <row r="8705" spans="1:5">
      <c r="A8705" s="3" t="s">
        <v>13546</v>
      </c>
      <c r="B8705" s="110" t="s">
        <v>1347</v>
      </c>
      <c r="C8705" s="111" t="s">
        <v>302</v>
      </c>
      <c r="D8705" s="111" t="str">
        <f t="shared" ref="D8705:E8705" si="8703">TRIM(B8705)</f>
        <v>Missouri</v>
      </c>
      <c r="E8705" s="111" t="str">
        <f t="shared" si="8703"/>
        <v>Mendon</v>
      </c>
    </row>
    <row r="8706" spans="1:5">
      <c r="A8706" s="3" t="s">
        <v>18949</v>
      </c>
      <c r="B8706" s="110" t="s">
        <v>1347</v>
      </c>
      <c r="C8706" s="111" t="s">
        <v>18950</v>
      </c>
      <c r="D8706" s="111" t="str">
        <f t="shared" ref="D8706:E8706" si="8704">TRIM(B8706)</f>
        <v>Missouri</v>
      </c>
      <c r="E8706" s="111" t="str">
        <f t="shared" si="8704"/>
        <v>Mercer</v>
      </c>
    </row>
    <row r="8707" spans="1:5">
      <c r="A8707" s="3" t="s">
        <v>18951</v>
      </c>
      <c r="B8707" s="110" t="s">
        <v>1347</v>
      </c>
      <c r="C8707" s="111" t="s">
        <v>11808</v>
      </c>
      <c r="D8707" s="111" t="str">
        <f t="shared" ref="D8707:E8707" si="8705">TRIM(B8707)</f>
        <v>Missouri</v>
      </c>
      <c r="E8707" s="111" t="str">
        <f t="shared" si="8705"/>
        <v>Mexico</v>
      </c>
    </row>
    <row r="8708" spans="1:5">
      <c r="A8708" s="110" t="s">
        <v>18952</v>
      </c>
      <c r="B8708" s="110" t="s">
        <v>1347</v>
      </c>
      <c r="C8708" s="111" t="s">
        <v>11808</v>
      </c>
      <c r="D8708" s="111" t="str">
        <f t="shared" ref="D8708:E8708" si="8706">TRIM(B8708)</f>
        <v>Missouri</v>
      </c>
      <c r="E8708" s="111" t="str">
        <f t="shared" si="8706"/>
        <v>Mexico</v>
      </c>
    </row>
    <row r="8709" spans="1:5">
      <c r="A8709" s="3" t="s">
        <v>14492</v>
      </c>
      <c r="B8709" s="110" t="s">
        <v>1347</v>
      </c>
      <c r="C8709" s="111" t="s">
        <v>14493</v>
      </c>
      <c r="D8709" s="111" t="str">
        <f t="shared" ref="D8709:E8709" si="8707">TRIM(B8709)</f>
        <v>Missouri</v>
      </c>
      <c r="E8709" s="111" t="str">
        <f t="shared" si="8707"/>
        <v>Milan</v>
      </c>
    </row>
    <row r="8710" spans="1:5">
      <c r="A8710" s="3" t="s">
        <v>18953</v>
      </c>
      <c r="B8710" s="110" t="s">
        <v>1347</v>
      </c>
      <c r="C8710" s="111" t="s">
        <v>584</v>
      </c>
      <c r="D8710" s="111" t="str">
        <f t="shared" ref="D8710:E8710" si="8708">TRIM(B8710)</f>
        <v>Missouri</v>
      </c>
      <c r="E8710" s="111" t="str">
        <f t="shared" si="8708"/>
        <v>Miller</v>
      </c>
    </row>
    <row r="8711" spans="1:5">
      <c r="A8711" s="3" t="s">
        <v>18954</v>
      </c>
      <c r="B8711" s="110" t="s">
        <v>1347</v>
      </c>
      <c r="C8711" s="111" t="s">
        <v>18955</v>
      </c>
      <c r="D8711" s="111" t="str">
        <f t="shared" ref="D8711:E8711" si="8709">TRIM(B8711)</f>
        <v>Missouri</v>
      </c>
      <c r="E8711" s="111" t="str">
        <f t="shared" si="8709"/>
        <v>Moberly</v>
      </c>
    </row>
    <row r="8712" spans="1:5">
      <c r="A8712" s="3" t="s">
        <v>18956</v>
      </c>
      <c r="B8712" s="110" t="s">
        <v>1347</v>
      </c>
      <c r="C8712" s="111" t="s">
        <v>18957</v>
      </c>
      <c r="D8712" s="111" t="str">
        <f t="shared" ref="D8712:E8712" si="8710">TRIM(B8712)</f>
        <v>Missouri</v>
      </c>
      <c r="E8712" s="111" t="str">
        <f t="shared" si="8710"/>
        <v>Mokane</v>
      </c>
    </row>
    <row r="8713" spans="1:5">
      <c r="A8713" s="3" t="s">
        <v>18958</v>
      </c>
      <c r="B8713" s="110" t="s">
        <v>1347</v>
      </c>
      <c r="C8713" s="111" t="s">
        <v>18959</v>
      </c>
      <c r="D8713" s="111" t="str">
        <f t="shared" ref="D8713:E8713" si="8711">TRIM(B8713)</f>
        <v>Missouri</v>
      </c>
      <c r="E8713" s="111" t="str">
        <f t="shared" si="8711"/>
        <v>Monett</v>
      </c>
    </row>
    <row r="8714" spans="1:5">
      <c r="A8714" s="3" t="s">
        <v>18960</v>
      </c>
      <c r="B8714" s="110" t="s">
        <v>1347</v>
      </c>
      <c r="C8714" s="111" t="s">
        <v>6667</v>
      </c>
      <c r="D8714" s="111" t="str">
        <f t="shared" ref="D8714:E8714" si="8712">TRIM(B8714)</f>
        <v>Missouri</v>
      </c>
      <c r="E8714" s="111" t="str">
        <f t="shared" si="8712"/>
        <v>Monroe City</v>
      </c>
    </row>
    <row r="8715" spans="1:5">
      <c r="A8715" s="3" t="s">
        <v>18961</v>
      </c>
      <c r="B8715" s="110" t="s">
        <v>1347</v>
      </c>
      <c r="C8715" s="111" t="s">
        <v>18962</v>
      </c>
      <c r="D8715" s="111" t="str">
        <f t="shared" ref="D8715:E8715" si="8713">TRIM(B8715)</f>
        <v>Missouri</v>
      </c>
      <c r="E8715" s="111" t="str">
        <f t="shared" si="8713"/>
        <v>Montgomery City</v>
      </c>
    </row>
    <row r="8716" spans="1:5">
      <c r="A8716" s="3" t="s">
        <v>8115</v>
      </c>
      <c r="B8716" s="110" t="s">
        <v>1347</v>
      </c>
      <c r="C8716" s="111" t="s">
        <v>8117</v>
      </c>
      <c r="D8716" s="111" t="str">
        <f t="shared" ref="D8716:E8716" si="8714">TRIM(B8716)</f>
        <v>Missouri</v>
      </c>
      <c r="E8716" s="111" t="str">
        <f t="shared" si="8714"/>
        <v>Montrose</v>
      </c>
    </row>
    <row r="8717" spans="1:5">
      <c r="A8717" s="3" t="s">
        <v>18963</v>
      </c>
      <c r="B8717" s="110" t="s">
        <v>1347</v>
      </c>
      <c r="C8717" s="111" t="s">
        <v>440</v>
      </c>
      <c r="D8717" s="111" t="str">
        <f t="shared" ref="D8717:E8717" si="8715">TRIM(B8717)</f>
        <v>Missouri</v>
      </c>
      <c r="E8717" s="111" t="str">
        <f t="shared" si="8715"/>
        <v>Morrisville</v>
      </c>
    </row>
    <row r="8718" spans="1:5">
      <c r="A8718" s="3" t="s">
        <v>18964</v>
      </c>
      <c r="B8718" s="110" t="s">
        <v>1347</v>
      </c>
      <c r="C8718" s="111" t="s">
        <v>15411</v>
      </c>
      <c r="D8718" s="111" t="str">
        <f t="shared" ref="D8718:E8718" si="8716">TRIM(B8718)</f>
        <v>Missouri</v>
      </c>
      <c r="E8718" s="111" t="str">
        <f t="shared" si="8716"/>
        <v>Mound City</v>
      </c>
    </row>
    <row r="8719" spans="1:5">
      <c r="A8719" s="3" t="s">
        <v>18965</v>
      </c>
      <c r="B8719" s="110" t="s">
        <v>1347</v>
      </c>
      <c r="C8719" s="111" t="s">
        <v>18966</v>
      </c>
      <c r="D8719" s="111" t="str">
        <f t="shared" ref="D8719:E8719" si="8717">TRIM(B8719)</f>
        <v>Missouri</v>
      </c>
      <c r="E8719" s="111" t="str">
        <f t="shared" si="8717"/>
        <v>Mountain Grove</v>
      </c>
    </row>
    <row r="8720" spans="1:5">
      <c r="A8720" s="3" t="s">
        <v>18967</v>
      </c>
      <c r="B8720" s="110" t="s">
        <v>1347</v>
      </c>
      <c r="C8720" s="111" t="s">
        <v>4059</v>
      </c>
      <c r="D8720" s="111" t="str">
        <f t="shared" ref="D8720:E8720" si="8718">TRIM(B8720)</f>
        <v>Missouri</v>
      </c>
      <c r="E8720" s="111" t="str">
        <f t="shared" si="8718"/>
        <v>Mountain View</v>
      </c>
    </row>
    <row r="8721" spans="1:5">
      <c r="A8721" s="3" t="s">
        <v>18968</v>
      </c>
      <c r="B8721" s="110" t="s">
        <v>1347</v>
      </c>
      <c r="C8721" s="111" t="s">
        <v>4065</v>
      </c>
      <c r="D8721" s="111" t="str">
        <f t="shared" ref="D8721:E8721" si="8719">TRIM(B8721)</f>
        <v>Missouri</v>
      </c>
      <c r="E8721" s="111" t="str">
        <f t="shared" si="8719"/>
        <v>Mt Vernon</v>
      </c>
    </row>
    <row r="8722" spans="1:5">
      <c r="A8722" s="110" t="s">
        <v>18969</v>
      </c>
      <c r="B8722" s="110" t="s">
        <v>1347</v>
      </c>
      <c r="C8722" s="111" t="s">
        <v>4065</v>
      </c>
      <c r="D8722" s="111" t="str">
        <f t="shared" ref="D8722:E8722" si="8720">TRIM(B8722)</f>
        <v>Missouri</v>
      </c>
      <c r="E8722" s="111" t="str">
        <f t="shared" si="8720"/>
        <v>Mt Vernon</v>
      </c>
    </row>
    <row r="8723" spans="1:5">
      <c r="A8723" s="3" t="s">
        <v>18970</v>
      </c>
      <c r="B8723" s="110" t="s">
        <v>1347</v>
      </c>
      <c r="C8723" s="111" t="s">
        <v>18971</v>
      </c>
      <c r="D8723" s="111" t="str">
        <f t="shared" ref="D8723:E8723" si="8721">TRIM(B8723)</f>
        <v>Missouri</v>
      </c>
      <c r="E8723" s="111" t="str">
        <f t="shared" si="8721"/>
        <v>Myrtle</v>
      </c>
    </row>
    <row r="8724" spans="1:5">
      <c r="A8724" s="3" t="s">
        <v>18972</v>
      </c>
      <c r="B8724" s="110" t="s">
        <v>1347</v>
      </c>
      <c r="C8724" s="111" t="s">
        <v>18973</v>
      </c>
      <c r="D8724" s="111" t="str">
        <f t="shared" ref="D8724:E8724" si="8722">TRIM(B8724)</f>
        <v>Missouri</v>
      </c>
      <c r="E8724" s="111" t="str">
        <f t="shared" si="8722"/>
        <v>Naylor</v>
      </c>
    </row>
    <row r="8725" spans="1:5">
      <c r="A8725" s="3" t="s">
        <v>18974</v>
      </c>
      <c r="B8725" s="110" t="s">
        <v>1347</v>
      </c>
      <c r="C8725" s="111" t="s">
        <v>18975</v>
      </c>
      <c r="D8725" s="111" t="str">
        <f t="shared" ref="D8725:E8725" si="8723">TRIM(B8725)</f>
        <v>Missouri</v>
      </c>
      <c r="E8725" s="111" t="str">
        <f t="shared" si="8723"/>
        <v>Neelyville</v>
      </c>
    </row>
    <row r="8726" spans="1:5">
      <c r="A8726" s="3" t="s">
        <v>18976</v>
      </c>
      <c r="B8726" s="110" t="s">
        <v>1347</v>
      </c>
      <c r="C8726" s="111" t="s">
        <v>18977</v>
      </c>
      <c r="D8726" s="111" t="str">
        <f t="shared" ref="D8726:E8726" si="8724">TRIM(B8726)</f>
        <v>Missouri</v>
      </c>
      <c r="E8726" s="111" t="str">
        <f t="shared" si="8724"/>
        <v>Neosho</v>
      </c>
    </row>
    <row r="8727" spans="1:5">
      <c r="A8727" s="3" t="s">
        <v>14988</v>
      </c>
      <c r="B8727" s="110" t="s">
        <v>1347</v>
      </c>
      <c r="C8727" s="111" t="s">
        <v>1352</v>
      </c>
      <c r="D8727" s="111" t="str">
        <f t="shared" ref="D8727:E8727" si="8725">TRIM(B8727)</f>
        <v>Missouri</v>
      </c>
      <c r="E8727" s="111" t="str">
        <f t="shared" si="8725"/>
        <v>Nevada</v>
      </c>
    </row>
    <row r="8728" spans="1:5">
      <c r="A8728" s="3" t="s">
        <v>18978</v>
      </c>
      <c r="B8728" s="110" t="s">
        <v>1347</v>
      </c>
      <c r="C8728" s="111" t="s">
        <v>13018</v>
      </c>
      <c r="D8728" s="111" t="str">
        <f t="shared" ref="D8728:E8728" si="8726">TRIM(B8728)</f>
        <v>Missouri</v>
      </c>
      <c r="E8728" s="111" t="str">
        <f t="shared" si="8726"/>
        <v>New Bloomfield</v>
      </c>
    </row>
    <row r="8729" spans="1:5">
      <c r="A8729" s="3" t="s">
        <v>18979</v>
      </c>
      <c r="B8729" s="110" t="s">
        <v>1347</v>
      </c>
      <c r="C8729" s="111" t="s">
        <v>18980</v>
      </c>
      <c r="D8729" s="111" t="str">
        <f t="shared" ref="D8729:E8729" si="8727">TRIM(B8729)</f>
        <v>Missouri</v>
      </c>
      <c r="E8729" s="111" t="str">
        <f t="shared" si="8727"/>
        <v>New Cambria</v>
      </c>
    </row>
    <row r="8730" spans="1:5">
      <c r="A8730" s="3" t="s">
        <v>18981</v>
      </c>
      <c r="B8730" s="110" t="s">
        <v>1347</v>
      </c>
      <c r="C8730" s="111" t="s">
        <v>18982</v>
      </c>
      <c r="D8730" s="111" t="str">
        <f t="shared" ref="D8730:E8730" si="8728">TRIM(B8730)</f>
        <v>Missouri</v>
      </c>
      <c r="E8730" s="111" t="str">
        <f t="shared" si="8728"/>
        <v>New Franklin</v>
      </c>
    </row>
    <row r="8731" spans="1:5">
      <c r="A8731" s="3" t="s">
        <v>14528</v>
      </c>
      <c r="B8731" s="110" t="s">
        <v>1347</v>
      </c>
      <c r="C8731" s="111" t="s">
        <v>6967</v>
      </c>
      <c r="D8731" s="111" t="str">
        <f t="shared" ref="D8731:E8731" si="8729">TRIM(B8731)</f>
        <v>Missouri</v>
      </c>
      <c r="E8731" s="111" t="str">
        <f t="shared" si="8729"/>
        <v>New Haven</v>
      </c>
    </row>
    <row r="8732" spans="1:5">
      <c r="A8732" s="3" t="s">
        <v>1843</v>
      </c>
      <c r="B8732" s="110" t="s">
        <v>1347</v>
      </c>
      <c r="C8732" s="111" t="s">
        <v>18983</v>
      </c>
      <c r="D8732" s="111" t="str">
        <f t="shared" ref="D8732:E8732" si="8730">TRIM(B8732)</f>
        <v>Missouri</v>
      </c>
      <c r="E8732" s="111" t="str">
        <f t="shared" si="8730"/>
        <v>New Madrid</v>
      </c>
    </row>
    <row r="8733" spans="1:5">
      <c r="A8733" s="110" t="s">
        <v>18984</v>
      </c>
      <c r="B8733" s="110" t="s">
        <v>1347</v>
      </c>
      <c r="C8733" s="111" t="s">
        <v>18983</v>
      </c>
      <c r="D8733" s="111" t="str">
        <f t="shared" ref="D8733:E8733" si="8731">TRIM(B8733)</f>
        <v>Missouri</v>
      </c>
      <c r="E8733" s="111" t="str">
        <f t="shared" si="8731"/>
        <v>New Madrid</v>
      </c>
    </row>
    <row r="8734" spans="1:5">
      <c r="A8734" s="3" t="s">
        <v>18985</v>
      </c>
      <c r="B8734" s="110" t="s">
        <v>1347</v>
      </c>
      <c r="C8734" s="111" t="s">
        <v>18986</v>
      </c>
      <c r="D8734" s="111" t="str">
        <f t="shared" ref="D8734:E8734" si="8732">TRIM(B8734)</f>
        <v>Missouri</v>
      </c>
      <c r="E8734" s="111" t="str">
        <f t="shared" si="8732"/>
        <v>Newburg</v>
      </c>
    </row>
    <row r="8735" spans="1:5">
      <c r="A8735" s="3" t="s">
        <v>18987</v>
      </c>
      <c r="B8735" s="110" t="s">
        <v>1347</v>
      </c>
      <c r="C8735" s="111" t="s">
        <v>13060</v>
      </c>
      <c r="D8735" s="111" t="str">
        <f t="shared" ref="D8735:E8735" si="8733">TRIM(B8735)</f>
        <v>Missouri</v>
      </c>
      <c r="E8735" s="111" t="str">
        <f t="shared" si="8733"/>
        <v>Newtown</v>
      </c>
    </row>
    <row r="8736" spans="1:5">
      <c r="A8736" s="3" t="s">
        <v>18988</v>
      </c>
      <c r="B8736" s="110" t="s">
        <v>1347</v>
      </c>
      <c r="C8736" s="111" t="s">
        <v>18989</v>
      </c>
      <c r="D8736" s="111" t="str">
        <f t="shared" ref="D8736:E8736" si="8734">TRIM(B8736)</f>
        <v>Missouri</v>
      </c>
      <c r="E8736" s="111" t="str">
        <f t="shared" si="8734"/>
        <v>Niangua</v>
      </c>
    </row>
    <row r="8737" spans="1:5">
      <c r="A8737" s="3" t="s">
        <v>18990</v>
      </c>
      <c r="B8737" s="110" t="s">
        <v>1347</v>
      </c>
      <c r="C8737" s="111" t="s">
        <v>3852</v>
      </c>
      <c r="D8737" s="111" t="str">
        <f t="shared" ref="D8737:E8737" si="8735">TRIM(B8737)</f>
        <v>Missouri</v>
      </c>
      <c r="E8737" s="111" t="str">
        <f t="shared" si="8735"/>
        <v>Nixa</v>
      </c>
    </row>
    <row r="8738" spans="1:5">
      <c r="A8738" s="3" t="s">
        <v>18991</v>
      </c>
      <c r="B8738" s="110" t="s">
        <v>1347</v>
      </c>
      <c r="C8738" s="111" t="s">
        <v>18992</v>
      </c>
      <c r="D8738" s="111" t="str">
        <f t="shared" ref="D8738:E8738" si="8736">TRIM(B8738)</f>
        <v>Missouri</v>
      </c>
      <c r="E8738" s="111" t="str">
        <f t="shared" si="8736"/>
        <v>Norborne</v>
      </c>
    </row>
    <row r="8739" spans="1:5">
      <c r="A8739" s="3" t="s">
        <v>16791</v>
      </c>
      <c r="B8739" s="110" t="s">
        <v>1347</v>
      </c>
      <c r="C8739" s="111" t="s">
        <v>16792</v>
      </c>
      <c r="D8739" s="111" t="str">
        <f t="shared" ref="D8739:E8739" si="8737">TRIM(B8739)</f>
        <v>Missouri</v>
      </c>
      <c r="E8739" s="111" t="str">
        <f t="shared" si="8737"/>
        <v>Norwood</v>
      </c>
    </row>
    <row r="8740" spans="1:5">
      <c r="A8740" s="3" t="s">
        <v>18648</v>
      </c>
      <c r="B8740" s="110" t="s">
        <v>1347</v>
      </c>
      <c r="C8740" s="111" t="s">
        <v>18993</v>
      </c>
      <c r="D8740" s="111" t="str">
        <f t="shared" ref="D8740:E8740" si="8738">TRIM(B8740)</f>
        <v>Missouri</v>
      </c>
      <c r="E8740" s="111" t="str">
        <f t="shared" si="8738"/>
        <v>Novinger</v>
      </c>
    </row>
    <row r="8741" spans="1:5">
      <c r="A8741" s="3" t="s">
        <v>18994</v>
      </c>
      <c r="B8741" s="110" t="s">
        <v>1347</v>
      </c>
      <c r="C8741" s="111" t="s">
        <v>2619</v>
      </c>
      <c r="D8741" s="111" t="str">
        <f t="shared" ref="D8741:E8741" si="8739">TRIM(B8741)</f>
        <v>Missouri</v>
      </c>
      <c r="E8741" s="111" t="str">
        <f t="shared" si="8739"/>
        <v>O'Fallon</v>
      </c>
    </row>
    <row r="8742" spans="1:5">
      <c r="A8742" s="3" t="s">
        <v>18995</v>
      </c>
      <c r="B8742" s="110" t="s">
        <v>1347</v>
      </c>
      <c r="C8742" s="111" t="s">
        <v>2619</v>
      </c>
      <c r="D8742" s="111" t="str">
        <f t="shared" ref="D8742:E8742" si="8740">TRIM(B8742)</f>
        <v>Missouri</v>
      </c>
      <c r="E8742" s="111" t="str">
        <f t="shared" si="8740"/>
        <v>O'Fallon</v>
      </c>
    </row>
    <row r="8743" spans="1:5">
      <c r="A8743" s="3" t="s">
        <v>1547</v>
      </c>
      <c r="B8743" s="110" t="s">
        <v>1347</v>
      </c>
      <c r="C8743" s="111" t="s">
        <v>16078</v>
      </c>
      <c r="D8743" s="111" t="str">
        <f t="shared" ref="D8743:E8743" si="8741">TRIM(B8743)</f>
        <v>Missouri</v>
      </c>
      <c r="E8743" s="111" t="str">
        <f t="shared" si="8741"/>
        <v>Oak Grove</v>
      </c>
    </row>
    <row r="8744" spans="1:5">
      <c r="A8744" s="3" t="s">
        <v>4902</v>
      </c>
      <c r="B8744" s="110" t="s">
        <v>1347</v>
      </c>
      <c r="C8744" s="111" t="s">
        <v>6284</v>
      </c>
      <c r="D8744" s="111" t="str">
        <f t="shared" ref="D8744:E8744" si="8742">TRIM(B8744)</f>
        <v>Missouri</v>
      </c>
      <c r="E8744" s="111" t="str">
        <f t="shared" si="8742"/>
        <v>Oak Ridge</v>
      </c>
    </row>
    <row r="8745" spans="1:5">
      <c r="A8745" s="3" t="s">
        <v>18996</v>
      </c>
      <c r="B8745" s="110" t="s">
        <v>1347</v>
      </c>
      <c r="C8745" s="111" t="s">
        <v>1073</v>
      </c>
      <c r="D8745" s="111" t="str">
        <f t="shared" ref="D8745:E8745" si="8743">TRIM(B8745)</f>
        <v>Missouri</v>
      </c>
      <c r="E8745" s="111" t="str">
        <f t="shared" si="8743"/>
        <v>Odessa</v>
      </c>
    </row>
    <row r="8746" spans="1:5">
      <c r="A8746" s="3" t="s">
        <v>18997</v>
      </c>
      <c r="B8746" s="110" t="s">
        <v>1347</v>
      </c>
      <c r="C8746" s="111" t="s">
        <v>18998</v>
      </c>
      <c r="D8746" s="111" t="str">
        <f t="shared" ref="D8746:E8746" si="8744">TRIM(B8746)</f>
        <v>Missouri</v>
      </c>
      <c r="E8746" s="111" t="str">
        <f t="shared" si="8744"/>
        <v>Oran</v>
      </c>
    </row>
    <row r="8747" spans="1:5">
      <c r="A8747" s="3" t="s">
        <v>18999</v>
      </c>
      <c r="B8747" s="110" t="s">
        <v>1347</v>
      </c>
      <c r="C8747" s="111" t="s">
        <v>1363</v>
      </c>
      <c r="D8747" s="111" t="str">
        <f t="shared" ref="D8747:E8747" si="8745">TRIM(B8747)</f>
        <v>Missouri</v>
      </c>
      <c r="E8747" s="111" t="str">
        <f t="shared" si="8745"/>
        <v>Oregon</v>
      </c>
    </row>
    <row r="8748" spans="1:5">
      <c r="A8748" s="3" t="s">
        <v>19000</v>
      </c>
      <c r="B8748" s="110" t="s">
        <v>1347</v>
      </c>
      <c r="C8748" s="111" t="s">
        <v>19001</v>
      </c>
      <c r="D8748" s="111" t="str">
        <f t="shared" ref="D8748:E8748" si="8746">TRIM(B8748)</f>
        <v>Missouri</v>
      </c>
      <c r="E8748" s="111" t="str">
        <f t="shared" si="8746"/>
        <v>Orrick</v>
      </c>
    </row>
    <row r="8749" spans="1:5">
      <c r="A8749" s="3" t="s">
        <v>15011</v>
      </c>
      <c r="B8749" s="110" t="s">
        <v>1347</v>
      </c>
      <c r="C8749" s="111" t="s">
        <v>19002</v>
      </c>
      <c r="D8749" s="111" t="str">
        <f t="shared" ref="D8749:E8749" si="8747">TRIM(B8749)</f>
        <v>Missouri</v>
      </c>
      <c r="E8749" s="111" t="str">
        <f t="shared" si="8747"/>
        <v>Osage Beach</v>
      </c>
    </row>
    <row r="8750" spans="1:5">
      <c r="A8750" s="3" t="s">
        <v>17145</v>
      </c>
      <c r="B8750" s="110" t="s">
        <v>1347</v>
      </c>
      <c r="C8750" s="111" t="s">
        <v>19003</v>
      </c>
      <c r="D8750" s="111" t="str">
        <f t="shared" ref="D8750:E8750" si="8748">TRIM(B8750)</f>
        <v>Missouri</v>
      </c>
      <c r="E8750" s="111" t="str">
        <f t="shared" si="8748"/>
        <v>Osborn</v>
      </c>
    </row>
    <row r="8751" spans="1:5">
      <c r="A8751" s="3" t="s">
        <v>19004</v>
      </c>
      <c r="B8751" s="110" t="s">
        <v>1347</v>
      </c>
      <c r="C8751" s="111" t="s">
        <v>4100</v>
      </c>
      <c r="D8751" s="111" t="str">
        <f t="shared" ref="D8751:E8751" si="8749">TRIM(B8751)</f>
        <v>Missouri</v>
      </c>
      <c r="E8751" s="111" t="str">
        <f t="shared" si="8749"/>
        <v>Osceola</v>
      </c>
    </row>
    <row r="8752" spans="1:5">
      <c r="A8752" s="3" t="s">
        <v>19005</v>
      </c>
      <c r="B8752" s="110" t="s">
        <v>1347</v>
      </c>
      <c r="C8752" s="111" t="s">
        <v>19006</v>
      </c>
      <c r="D8752" s="111" t="str">
        <f t="shared" ref="D8752:E8752" si="8750">TRIM(B8752)</f>
        <v>Missouri</v>
      </c>
      <c r="E8752" s="111" t="str">
        <f t="shared" si="8750"/>
        <v>Otterville</v>
      </c>
    </row>
    <row r="8753" spans="1:5">
      <c r="A8753" s="3" t="s">
        <v>19007</v>
      </c>
      <c r="B8753" s="110" t="s">
        <v>1347</v>
      </c>
      <c r="C8753" s="111" t="s">
        <v>19008</v>
      </c>
      <c r="D8753" s="111" t="str">
        <f t="shared" ref="D8753:E8753" si="8751">TRIM(B8753)</f>
        <v>Missouri</v>
      </c>
      <c r="E8753" s="111" t="str">
        <f t="shared" si="8751"/>
        <v>Owensville</v>
      </c>
    </row>
    <row r="8754" spans="1:5">
      <c r="A8754" s="3" t="s">
        <v>4101</v>
      </c>
      <c r="B8754" s="110" t="s">
        <v>1347</v>
      </c>
      <c r="C8754" s="111" t="s">
        <v>2075</v>
      </c>
      <c r="D8754" s="111" t="str">
        <f t="shared" ref="D8754:E8754" si="8752">TRIM(B8754)</f>
        <v>Missouri</v>
      </c>
      <c r="E8754" s="111" t="str">
        <f t="shared" si="8752"/>
        <v>Ozark</v>
      </c>
    </row>
    <row r="8755" spans="1:5">
      <c r="A8755" s="3" t="s">
        <v>6700</v>
      </c>
      <c r="B8755" s="110" t="s">
        <v>1347</v>
      </c>
      <c r="C8755" s="111" t="s">
        <v>19009</v>
      </c>
      <c r="D8755" s="111" t="str">
        <f t="shared" ref="D8755:E8755" si="8753">TRIM(B8755)</f>
        <v>Missouri</v>
      </c>
      <c r="E8755" s="111" t="str">
        <f t="shared" si="8753"/>
        <v>Pacific</v>
      </c>
    </row>
    <row r="8756" spans="1:5">
      <c r="A8756" s="3" t="s">
        <v>19010</v>
      </c>
      <c r="B8756" s="110" t="s">
        <v>1347</v>
      </c>
      <c r="C8756" s="111" t="s">
        <v>13547</v>
      </c>
      <c r="D8756" s="111" t="str">
        <f t="shared" ref="D8756:E8756" si="8754">TRIM(B8756)</f>
        <v>Missouri</v>
      </c>
      <c r="E8756" s="111" t="str">
        <f t="shared" si="8754"/>
        <v>Palmyra</v>
      </c>
    </row>
    <row r="8757" spans="1:5">
      <c r="A8757" s="3" t="s">
        <v>4114</v>
      </c>
      <c r="B8757" s="110" t="s">
        <v>1347</v>
      </c>
      <c r="C8757" s="111" t="s">
        <v>194</v>
      </c>
      <c r="D8757" s="111" t="str">
        <f t="shared" ref="D8757:E8757" si="8755">TRIM(B8757)</f>
        <v>Missouri</v>
      </c>
      <c r="E8757" s="111" t="str">
        <f t="shared" si="8755"/>
        <v>Paris</v>
      </c>
    </row>
    <row r="8758" spans="1:5">
      <c r="A8758" s="3" t="s">
        <v>1843</v>
      </c>
      <c r="B8758" s="110" t="s">
        <v>1347</v>
      </c>
      <c r="C8758" s="111" t="s">
        <v>10828</v>
      </c>
      <c r="D8758" s="111" t="str">
        <f t="shared" ref="D8758:E8758" si="8756">TRIM(B8758)</f>
        <v>Missouri</v>
      </c>
      <c r="E8758" s="111" t="str">
        <f t="shared" si="8756"/>
        <v>Park Hills</v>
      </c>
    </row>
    <row r="8759" spans="1:5">
      <c r="A8759" s="3" t="s">
        <v>19011</v>
      </c>
      <c r="B8759" s="110" t="s">
        <v>1347</v>
      </c>
      <c r="C8759" s="111" t="s">
        <v>10828</v>
      </c>
      <c r="D8759" s="111" t="str">
        <f t="shared" ref="D8759:E8759" si="8757">TRIM(B8759)</f>
        <v>Missouri</v>
      </c>
      <c r="E8759" s="111" t="str">
        <f t="shared" si="8757"/>
        <v>Park Hills</v>
      </c>
    </row>
    <row r="8760" spans="1:5">
      <c r="A8760" s="3" t="s">
        <v>19012</v>
      </c>
      <c r="B8760" s="110" t="s">
        <v>1347</v>
      </c>
      <c r="C8760" s="111" t="s">
        <v>19013</v>
      </c>
      <c r="D8760" s="111" t="str">
        <f t="shared" ref="D8760:E8760" si="8758">TRIM(B8760)</f>
        <v>Missouri</v>
      </c>
      <c r="E8760" s="111" t="str">
        <f t="shared" si="8758"/>
        <v>Patton</v>
      </c>
    </row>
    <row r="8761" spans="1:5">
      <c r="A8761" s="3" t="s">
        <v>19014</v>
      </c>
      <c r="B8761" s="110" t="s">
        <v>1347</v>
      </c>
      <c r="C8761" s="111" t="s">
        <v>19015</v>
      </c>
      <c r="D8761" s="111" t="str">
        <f t="shared" ref="D8761:E8761" si="8759">TRIM(B8761)</f>
        <v>Missouri</v>
      </c>
      <c r="E8761" s="111" t="str">
        <f t="shared" si="8759"/>
        <v>Pattonsburg</v>
      </c>
    </row>
    <row r="8762" spans="1:5">
      <c r="A8762" s="3" t="s">
        <v>19016</v>
      </c>
      <c r="B8762" s="110" t="s">
        <v>1347</v>
      </c>
      <c r="C8762" s="111" t="s">
        <v>19017</v>
      </c>
      <c r="D8762" s="111" t="str">
        <f t="shared" ref="D8762:E8762" si="8760">TRIM(B8762)</f>
        <v>Missouri</v>
      </c>
      <c r="E8762" s="111" t="str">
        <f t="shared" si="8760"/>
        <v>Peculiar</v>
      </c>
    </row>
    <row r="8763" spans="1:5">
      <c r="A8763" s="3" t="s">
        <v>19018</v>
      </c>
      <c r="B8763" s="110" t="s">
        <v>1347</v>
      </c>
      <c r="C8763" s="111" t="s">
        <v>4125</v>
      </c>
      <c r="D8763" s="111" t="str">
        <f t="shared" ref="D8763:E8763" si="8761">TRIM(B8763)</f>
        <v>Missouri</v>
      </c>
      <c r="E8763" s="111" t="str">
        <f t="shared" si="8761"/>
        <v>Perryville</v>
      </c>
    </row>
    <row r="8764" spans="1:5">
      <c r="A8764" s="3" t="s">
        <v>19019</v>
      </c>
      <c r="B8764" s="110" t="s">
        <v>1347</v>
      </c>
      <c r="C8764" s="111" t="s">
        <v>539</v>
      </c>
      <c r="D8764" s="111" t="str">
        <f t="shared" ref="D8764:E8764" si="8762">TRIM(B8764)</f>
        <v>Missouri</v>
      </c>
      <c r="E8764" s="111" t="str">
        <f t="shared" si="8762"/>
        <v>Philadelphia</v>
      </c>
    </row>
    <row r="8765" spans="1:5">
      <c r="A8765" s="3" t="s">
        <v>9055</v>
      </c>
      <c r="B8765" s="110" t="s">
        <v>1347</v>
      </c>
      <c r="C8765" s="111" t="s">
        <v>2093</v>
      </c>
      <c r="D8765" s="111" t="str">
        <f t="shared" ref="D8765:E8765" si="8763">TRIM(B8765)</f>
        <v>Missouri</v>
      </c>
      <c r="E8765" s="111" t="str">
        <f t="shared" si="8763"/>
        <v>Piedmont</v>
      </c>
    </row>
    <row r="8766" spans="1:5">
      <c r="A8766" s="3" t="s">
        <v>19020</v>
      </c>
      <c r="B8766" s="110" t="s">
        <v>1347</v>
      </c>
      <c r="C8766" s="111" t="s">
        <v>19021</v>
      </c>
      <c r="D8766" s="111" t="str">
        <f t="shared" ref="D8766:E8766" si="8764">TRIM(B8766)</f>
        <v>Missouri</v>
      </c>
      <c r="E8766" s="111" t="str">
        <f t="shared" si="8764"/>
        <v>Pierce City</v>
      </c>
    </row>
    <row r="8767" spans="1:5">
      <c r="A8767" s="3" t="s">
        <v>19022</v>
      </c>
      <c r="B8767" s="110" t="s">
        <v>1347</v>
      </c>
      <c r="C8767" s="111" t="s">
        <v>19023</v>
      </c>
      <c r="D8767" s="111" t="str">
        <f t="shared" ref="D8767:E8767" si="8765">TRIM(B8767)</f>
        <v>Missouri</v>
      </c>
      <c r="E8767" s="111" t="str">
        <f t="shared" si="8765"/>
        <v>Pilot Grove</v>
      </c>
    </row>
    <row r="8768" spans="1:5">
      <c r="A8768" s="3" t="s">
        <v>19024</v>
      </c>
      <c r="B8768" s="110" t="s">
        <v>1347</v>
      </c>
      <c r="C8768" s="111" t="s">
        <v>19025</v>
      </c>
      <c r="D8768" s="111" t="str">
        <f t="shared" ref="D8768:E8768" si="8766">TRIM(B8768)</f>
        <v>Missouri</v>
      </c>
      <c r="E8768" s="111" t="str">
        <f t="shared" si="8766"/>
        <v>Plato</v>
      </c>
    </row>
    <row r="8769" spans="1:5">
      <c r="A8769" s="3" t="s">
        <v>19026</v>
      </c>
      <c r="B8769" s="110" t="s">
        <v>1347</v>
      </c>
      <c r="C8769" s="111" t="s">
        <v>19027</v>
      </c>
      <c r="D8769" s="111" t="str">
        <f t="shared" ref="D8769:E8769" si="8767">TRIM(B8769)</f>
        <v>Missouri</v>
      </c>
      <c r="E8769" s="111" t="str">
        <f t="shared" si="8767"/>
        <v>Platte City</v>
      </c>
    </row>
    <row r="8770" spans="1:5">
      <c r="A8770" s="3" t="s">
        <v>19028</v>
      </c>
      <c r="B8770" s="110" t="s">
        <v>1347</v>
      </c>
      <c r="C8770" s="111" t="s">
        <v>19029</v>
      </c>
      <c r="D8770" s="111" t="str">
        <f t="shared" ref="D8770:E8770" si="8768">TRIM(B8770)</f>
        <v>Missouri</v>
      </c>
      <c r="E8770" s="111" t="str">
        <f t="shared" si="8768"/>
        <v>Plattsburg</v>
      </c>
    </row>
    <row r="8771" spans="1:5">
      <c r="A8771" s="3" t="s">
        <v>13645</v>
      </c>
      <c r="B8771" s="110" t="s">
        <v>1347</v>
      </c>
      <c r="C8771" s="111" t="s">
        <v>6400</v>
      </c>
      <c r="D8771" s="111" t="str">
        <f t="shared" ref="D8771:E8771" si="8769">TRIM(B8771)</f>
        <v>Missouri</v>
      </c>
      <c r="E8771" s="111" t="str">
        <f t="shared" si="8769"/>
        <v>Pleasant Hill</v>
      </c>
    </row>
    <row r="8772" spans="1:5">
      <c r="A8772" s="3" t="s">
        <v>19030</v>
      </c>
      <c r="B8772" s="110" t="s">
        <v>1347</v>
      </c>
      <c r="C8772" s="111" t="s">
        <v>19031</v>
      </c>
      <c r="D8772" s="111" t="str">
        <f t="shared" ref="D8772:E8772" si="8770">TRIM(B8772)</f>
        <v>Missouri</v>
      </c>
      <c r="E8772" s="111" t="str">
        <f t="shared" si="8770"/>
        <v>Pleasant Hope</v>
      </c>
    </row>
    <row r="8773" spans="1:5">
      <c r="A8773" s="3" t="s">
        <v>19032</v>
      </c>
      <c r="B8773" s="110" t="s">
        <v>1347</v>
      </c>
      <c r="C8773" s="111" t="s">
        <v>13652</v>
      </c>
      <c r="D8773" s="111" t="str">
        <f t="shared" ref="D8773:E8773" si="8771">TRIM(B8773)</f>
        <v>Missouri</v>
      </c>
      <c r="E8773" s="111" t="str">
        <f t="shared" si="8771"/>
        <v>Polo</v>
      </c>
    </row>
    <row r="8774" spans="1:5">
      <c r="A8774" s="3" t="s">
        <v>19033</v>
      </c>
      <c r="B8774" s="110" t="s">
        <v>1347</v>
      </c>
      <c r="C8774" s="111" t="s">
        <v>19034</v>
      </c>
      <c r="D8774" s="111" t="str">
        <f t="shared" ref="D8774:E8774" si="8772">TRIM(B8774)</f>
        <v>Missouri</v>
      </c>
      <c r="E8774" s="111" t="str">
        <f t="shared" si="8772"/>
        <v>Poplar Bluff</v>
      </c>
    </row>
    <row r="8775" spans="1:5">
      <c r="A8775" s="110" t="s">
        <v>19035</v>
      </c>
      <c r="B8775" s="110" t="s">
        <v>1347</v>
      </c>
      <c r="C8775" s="111" t="s">
        <v>19034</v>
      </c>
      <c r="D8775" s="111" t="str">
        <f t="shared" ref="D8775:E8775" si="8773">TRIM(B8775)</f>
        <v>Missouri</v>
      </c>
      <c r="E8775" s="111" t="str">
        <f t="shared" si="8773"/>
        <v>Poplar Bluff</v>
      </c>
    </row>
    <row r="8776" spans="1:5">
      <c r="A8776" s="110" t="s">
        <v>19036</v>
      </c>
      <c r="B8776" s="110" t="s">
        <v>1347</v>
      </c>
      <c r="C8776" s="111" t="s">
        <v>19034</v>
      </c>
      <c r="D8776" s="111" t="str">
        <f t="shared" ref="D8776:E8776" si="8774">TRIM(B8776)</f>
        <v>Missouri</v>
      </c>
      <c r="E8776" s="111" t="str">
        <f t="shared" si="8774"/>
        <v>Poplar Bluff</v>
      </c>
    </row>
    <row r="8777" spans="1:5">
      <c r="A8777" s="3" t="s">
        <v>19037</v>
      </c>
      <c r="B8777" s="110" t="s">
        <v>1347</v>
      </c>
      <c r="C8777" s="111" t="s">
        <v>19038</v>
      </c>
      <c r="D8777" s="111" t="str">
        <f t="shared" ref="D8777:E8777" si="8775">TRIM(B8777)</f>
        <v>Missouri</v>
      </c>
      <c r="E8777" s="111" t="str">
        <f t="shared" si="8775"/>
        <v>Portageville</v>
      </c>
    </row>
    <row r="8778" spans="1:5">
      <c r="A8778" s="3" t="s">
        <v>19039</v>
      </c>
      <c r="B8778" s="110" t="s">
        <v>1347</v>
      </c>
      <c r="C8778" s="111" t="s">
        <v>19040</v>
      </c>
      <c r="D8778" s="111" t="str">
        <f t="shared" ref="D8778:E8778" si="8776">TRIM(B8778)</f>
        <v>Missouri</v>
      </c>
      <c r="E8778" s="111" t="str">
        <f t="shared" si="8776"/>
        <v>Potosi</v>
      </c>
    </row>
    <row r="8779" spans="1:5">
      <c r="A8779" s="3" t="s">
        <v>19041</v>
      </c>
      <c r="B8779" s="110" t="s">
        <v>1347</v>
      </c>
      <c r="C8779" s="111" t="s">
        <v>19042</v>
      </c>
      <c r="D8779" s="111" t="str">
        <f t="shared" ref="D8779:E8779" si="8777">TRIM(B8779)</f>
        <v>Missouri</v>
      </c>
      <c r="E8779" s="111" t="str">
        <f t="shared" si="8777"/>
        <v>Prairie Home</v>
      </c>
    </row>
    <row r="8780" spans="1:5">
      <c r="A8780" s="3" t="s">
        <v>19043</v>
      </c>
      <c r="B8780" s="110" t="s">
        <v>1347</v>
      </c>
      <c r="C8780" s="111" t="s">
        <v>6448</v>
      </c>
      <c r="D8780" s="111" t="str">
        <f t="shared" ref="D8780:E8780" si="8778">TRIM(B8780)</f>
        <v>Missouri</v>
      </c>
      <c r="E8780" s="111" t="str">
        <f t="shared" si="8778"/>
        <v>Princeton</v>
      </c>
    </row>
    <row r="8781" spans="1:5">
      <c r="A8781" s="3" t="s">
        <v>19044</v>
      </c>
      <c r="B8781" s="110" t="s">
        <v>1347</v>
      </c>
      <c r="C8781" s="111" t="s">
        <v>19045</v>
      </c>
      <c r="D8781" s="111" t="str">
        <f t="shared" ref="D8781:E8781" si="8779">TRIM(B8781)</f>
        <v>Missouri</v>
      </c>
      <c r="E8781" s="111" t="str">
        <f t="shared" si="8779"/>
        <v>Purdin</v>
      </c>
    </row>
    <row r="8782" spans="1:5">
      <c r="A8782" s="3" t="s">
        <v>19046</v>
      </c>
      <c r="B8782" s="110" t="s">
        <v>1347</v>
      </c>
      <c r="C8782" s="111" t="s">
        <v>19047</v>
      </c>
      <c r="D8782" s="111" t="str">
        <f t="shared" ref="D8782:E8782" si="8780">TRIM(B8782)</f>
        <v>Missouri</v>
      </c>
      <c r="E8782" s="111" t="str">
        <f t="shared" si="8780"/>
        <v>Purdy</v>
      </c>
    </row>
    <row r="8783" spans="1:5">
      <c r="A8783" s="3" t="s">
        <v>19048</v>
      </c>
      <c r="B8783" s="110" t="s">
        <v>1347</v>
      </c>
      <c r="C8783" s="111" t="s">
        <v>19049</v>
      </c>
      <c r="D8783" s="111" t="str">
        <f t="shared" ref="D8783:E8783" si="8781">TRIM(B8783)</f>
        <v>Missouri</v>
      </c>
      <c r="E8783" s="111" t="str">
        <f t="shared" si="8781"/>
        <v>Puxico</v>
      </c>
    </row>
    <row r="8784" spans="1:5">
      <c r="A8784" s="3" t="s">
        <v>19050</v>
      </c>
      <c r="B8784" s="110" t="s">
        <v>1347</v>
      </c>
      <c r="C8784" s="112" t="s">
        <v>19051</v>
      </c>
      <c r="D8784" s="111" t="str">
        <f t="shared" ref="D8784:E8784" si="8782">TRIM(B8784)</f>
        <v>Missouri</v>
      </c>
      <c r="E8784" s="111" t="str">
        <f t="shared" si="8782"/>
        <v>Queen City</v>
      </c>
    </row>
    <row r="8785" spans="1:5">
      <c r="A8785" s="3" t="s">
        <v>19052</v>
      </c>
      <c r="B8785" s="110" t="s">
        <v>1347</v>
      </c>
      <c r="C8785" s="111" t="s">
        <v>19053</v>
      </c>
      <c r="D8785" s="111" t="str">
        <f t="shared" ref="D8785:E8785" si="8783">TRIM(B8785)</f>
        <v>Missouri</v>
      </c>
      <c r="E8785" s="111" t="str">
        <f t="shared" si="8783"/>
        <v>Ravenwood</v>
      </c>
    </row>
    <row r="8786" spans="1:5">
      <c r="A8786" s="3" t="s">
        <v>19054</v>
      </c>
      <c r="B8786" s="110" t="s">
        <v>1347</v>
      </c>
      <c r="C8786" s="111" t="s">
        <v>6677</v>
      </c>
      <c r="D8786" s="111" t="str">
        <f t="shared" ref="D8786:E8786" si="8784">TRIM(B8786)</f>
        <v>Missouri</v>
      </c>
      <c r="E8786" s="111" t="str">
        <f t="shared" si="8784"/>
        <v>Raytown</v>
      </c>
    </row>
    <row r="8787" spans="1:5">
      <c r="A8787" s="3" t="s">
        <v>19055</v>
      </c>
      <c r="B8787" s="110" t="s">
        <v>1347</v>
      </c>
      <c r="C8787" s="111" t="s">
        <v>6677</v>
      </c>
      <c r="D8787" s="111" t="str">
        <f t="shared" ref="D8787:E8787" si="8785">TRIM(B8787)</f>
        <v>Missouri</v>
      </c>
      <c r="E8787" s="111" t="str">
        <f t="shared" si="8785"/>
        <v>Raytown</v>
      </c>
    </row>
    <row r="8788" spans="1:5">
      <c r="A8788" s="3" t="s">
        <v>19056</v>
      </c>
      <c r="B8788" s="110" t="s">
        <v>1347</v>
      </c>
      <c r="C8788" s="111" t="s">
        <v>19057</v>
      </c>
      <c r="D8788" s="111" t="str">
        <f t="shared" ref="D8788:E8788" si="8786">TRIM(B8788)</f>
        <v>Missouri</v>
      </c>
      <c r="E8788" s="111" t="str">
        <f t="shared" si="8786"/>
        <v>Reeds Spring</v>
      </c>
    </row>
    <row r="8789" spans="1:5">
      <c r="A8789" s="3" t="s">
        <v>19058</v>
      </c>
      <c r="B8789" s="110" t="s">
        <v>1347</v>
      </c>
      <c r="C8789" s="111" t="s">
        <v>7512</v>
      </c>
      <c r="D8789" s="111" t="str">
        <f t="shared" ref="D8789:E8789" si="8787">TRIM(B8789)</f>
        <v>Missouri</v>
      </c>
      <c r="E8789" s="111" t="str">
        <f t="shared" si="8787"/>
        <v>Republic</v>
      </c>
    </row>
    <row r="8790" spans="1:5">
      <c r="A8790" s="3" t="s">
        <v>19059</v>
      </c>
      <c r="B8790" s="110" t="s">
        <v>1347</v>
      </c>
      <c r="C8790" s="111" t="s">
        <v>19060</v>
      </c>
      <c r="D8790" s="111" t="str">
        <f t="shared" ref="D8790:E8790" si="8788">TRIM(B8790)</f>
        <v>Missouri</v>
      </c>
      <c r="E8790" s="111" t="str">
        <f t="shared" si="8788"/>
        <v>Rich Hill</v>
      </c>
    </row>
    <row r="8791" spans="1:5">
      <c r="A8791" s="110" t="s">
        <v>19061</v>
      </c>
      <c r="B8791" s="110" t="s">
        <v>1347</v>
      </c>
      <c r="C8791" s="111" t="s">
        <v>19060</v>
      </c>
      <c r="D8791" s="111" t="str">
        <f t="shared" ref="D8791:E8791" si="8789">TRIM(B8791)</f>
        <v>Missouri</v>
      </c>
      <c r="E8791" s="111" t="str">
        <f t="shared" si="8789"/>
        <v>Rich Hill</v>
      </c>
    </row>
    <row r="8792" spans="1:5">
      <c r="A8792" s="3" t="s">
        <v>18544</v>
      </c>
      <c r="B8792" s="110" t="s">
        <v>1347</v>
      </c>
      <c r="C8792" s="111" t="s">
        <v>12139</v>
      </c>
      <c r="D8792" s="111" t="str">
        <f t="shared" ref="D8792:E8792" si="8790">TRIM(B8792)</f>
        <v>Missouri</v>
      </c>
      <c r="E8792" s="111" t="str">
        <f t="shared" si="8790"/>
        <v>Richland</v>
      </c>
    </row>
    <row r="8793" spans="1:5">
      <c r="A8793" s="3" t="s">
        <v>6534</v>
      </c>
      <c r="B8793" s="110" t="s">
        <v>1347</v>
      </c>
      <c r="C8793" s="111" t="s">
        <v>657</v>
      </c>
      <c r="D8793" s="111" t="str">
        <f t="shared" ref="D8793:E8793" si="8791">TRIM(B8793)</f>
        <v>Missouri</v>
      </c>
      <c r="E8793" s="111" t="str">
        <f t="shared" si="8791"/>
        <v>Richmond</v>
      </c>
    </row>
    <row r="8794" spans="1:5">
      <c r="A8794" s="3" t="s">
        <v>19062</v>
      </c>
      <c r="B8794" s="110" t="s">
        <v>1347</v>
      </c>
      <c r="C8794" s="111" t="s">
        <v>19063</v>
      </c>
      <c r="D8794" s="111" t="str">
        <f t="shared" ref="D8794:E8794" si="8792">TRIM(B8794)</f>
        <v>Missouri</v>
      </c>
      <c r="E8794" s="111" t="str">
        <f t="shared" si="8792"/>
        <v>Ridgeway</v>
      </c>
    </row>
    <row r="8795" spans="1:5">
      <c r="A8795" s="3" t="s">
        <v>19064</v>
      </c>
      <c r="B8795" s="110" t="s">
        <v>1347</v>
      </c>
      <c r="C8795" s="111" t="s">
        <v>19065</v>
      </c>
      <c r="D8795" s="111" t="str">
        <f t="shared" ref="D8795:E8795" si="8793">TRIM(B8795)</f>
        <v>Missouri</v>
      </c>
      <c r="E8795" s="111" t="str">
        <f t="shared" si="8793"/>
        <v>Risco</v>
      </c>
    </row>
    <row r="8796" spans="1:5">
      <c r="A8796" s="3" t="s">
        <v>19066</v>
      </c>
      <c r="B8796" s="110" t="s">
        <v>1347</v>
      </c>
      <c r="C8796" s="111" t="s">
        <v>260</v>
      </c>
      <c r="D8796" s="111" t="str">
        <f t="shared" ref="D8796:E8796" si="8794">TRIM(B8796)</f>
        <v>Missouri</v>
      </c>
      <c r="E8796" s="111" t="str">
        <f t="shared" si="8794"/>
        <v>Riverside</v>
      </c>
    </row>
    <row r="8797" spans="1:5">
      <c r="A8797" s="3" t="s">
        <v>19067</v>
      </c>
      <c r="B8797" s="110" t="s">
        <v>1347</v>
      </c>
      <c r="C8797" s="111" t="s">
        <v>19068</v>
      </c>
      <c r="D8797" s="111" t="str">
        <f t="shared" ref="D8797:E8797" si="8795">TRIM(B8797)</f>
        <v>Missouri</v>
      </c>
      <c r="E8797" s="111" t="str">
        <f t="shared" si="8795"/>
        <v>Rock Port</v>
      </c>
    </row>
    <row r="8798" spans="1:5">
      <c r="A8798" s="3" t="s">
        <v>19069</v>
      </c>
      <c r="B8798" s="110" t="s">
        <v>1347</v>
      </c>
      <c r="C8798" s="111" t="s">
        <v>19070</v>
      </c>
      <c r="D8798" s="111" t="str">
        <f t="shared" ref="D8798:E8798" si="8796">TRIM(B8798)</f>
        <v>Missouri</v>
      </c>
      <c r="E8798" s="111" t="str">
        <f t="shared" si="8796"/>
        <v>Rogersville</v>
      </c>
    </row>
    <row r="8799" spans="1:5">
      <c r="A8799" s="3" t="s">
        <v>19071</v>
      </c>
      <c r="B8799" s="110" t="s">
        <v>1347</v>
      </c>
      <c r="C8799" s="111" t="s">
        <v>15485</v>
      </c>
      <c r="D8799" s="111" t="str">
        <f t="shared" ref="D8799:E8799" si="8797">TRIM(B8799)</f>
        <v>Missouri</v>
      </c>
      <c r="E8799" s="111" t="str">
        <f t="shared" si="8797"/>
        <v>Rolla</v>
      </c>
    </row>
    <row r="8800" spans="1:5">
      <c r="A8800" s="3" t="s">
        <v>19072</v>
      </c>
      <c r="B8800" s="110" t="s">
        <v>1347</v>
      </c>
      <c r="C8800" s="111" t="s">
        <v>19073</v>
      </c>
      <c r="D8800" s="111" t="str">
        <f t="shared" ref="D8800:E8800" si="8798">TRIM(B8800)</f>
        <v>Missouri</v>
      </c>
      <c r="E8800" s="111" t="str">
        <f t="shared" si="8798"/>
        <v>Rosendale</v>
      </c>
    </row>
    <row r="8801" spans="1:5">
      <c r="A8801" s="3" t="s">
        <v>2136</v>
      </c>
      <c r="B8801" s="110" t="s">
        <v>1347</v>
      </c>
      <c r="C8801" s="111" t="s">
        <v>2137</v>
      </c>
      <c r="D8801" s="111" t="str">
        <f t="shared" ref="D8801:E8801" si="8799">TRIM(B8801)</f>
        <v>Missouri</v>
      </c>
      <c r="E8801" s="111" t="str">
        <f t="shared" si="8799"/>
        <v>Russellville</v>
      </c>
    </row>
    <row r="8802" spans="1:5">
      <c r="A8802" s="3" t="s">
        <v>19074</v>
      </c>
      <c r="B8802" s="110" t="s">
        <v>1347</v>
      </c>
      <c r="C8802" s="111" t="s">
        <v>451</v>
      </c>
      <c r="D8802" s="111" t="str">
        <f t="shared" ref="D8802:E8802" si="8800">TRIM(B8802)</f>
        <v>Missouri</v>
      </c>
      <c r="E8802" s="111" t="str">
        <f t="shared" si="8800"/>
        <v>Salem</v>
      </c>
    </row>
    <row r="8803" spans="1:5">
      <c r="A8803" s="3" t="s">
        <v>19075</v>
      </c>
      <c r="B8803" s="110" t="s">
        <v>1347</v>
      </c>
      <c r="C8803" s="111" t="s">
        <v>422</v>
      </c>
      <c r="D8803" s="111" t="str">
        <f t="shared" ref="D8803:E8803" si="8801">TRIM(B8803)</f>
        <v>Missouri</v>
      </c>
      <c r="E8803" s="111" t="str">
        <f t="shared" si="8801"/>
        <v>Salisbury</v>
      </c>
    </row>
    <row r="8804" spans="1:5">
      <c r="A8804" s="3" t="s">
        <v>19076</v>
      </c>
      <c r="B8804" s="110" t="s">
        <v>1347</v>
      </c>
      <c r="C8804" s="111" t="s">
        <v>19077</v>
      </c>
      <c r="D8804" s="111" t="str">
        <f t="shared" ref="D8804:E8804" si="8802">TRIM(B8804)</f>
        <v>Missouri</v>
      </c>
      <c r="E8804" s="111" t="str">
        <f t="shared" si="8802"/>
        <v>Sarcoxie</v>
      </c>
    </row>
    <row r="8805" spans="1:5">
      <c r="A8805" s="3" t="s">
        <v>19078</v>
      </c>
      <c r="B8805" s="110" t="s">
        <v>1347</v>
      </c>
      <c r="C8805" s="111" t="s">
        <v>10272</v>
      </c>
      <c r="D8805" s="111" t="str">
        <f t="shared" ref="D8805:E8805" si="8803">TRIM(B8805)</f>
        <v>Missouri</v>
      </c>
      <c r="E8805" s="111" t="str">
        <f t="shared" si="8803"/>
        <v>Savannah</v>
      </c>
    </row>
    <row r="8806" spans="1:5">
      <c r="A8806" s="3" t="s">
        <v>15501</v>
      </c>
      <c r="B8806" s="110" t="s">
        <v>1347</v>
      </c>
      <c r="C8806" s="111" t="s">
        <v>15502</v>
      </c>
      <c r="D8806" s="111" t="str">
        <f t="shared" ref="D8806:E8806" si="8804">TRIM(B8806)</f>
        <v>Missouri</v>
      </c>
      <c r="E8806" s="111" t="str">
        <f t="shared" si="8804"/>
        <v>Scott City</v>
      </c>
    </row>
    <row r="8807" spans="1:5">
      <c r="A8807" s="3" t="s">
        <v>19079</v>
      </c>
      <c r="B8807" s="110" t="s">
        <v>1347</v>
      </c>
      <c r="C8807" s="111" t="s">
        <v>11829</v>
      </c>
      <c r="D8807" s="111" t="str">
        <f t="shared" ref="D8807:E8807" si="8805">TRIM(B8807)</f>
        <v>Missouri</v>
      </c>
      <c r="E8807" s="111" t="str">
        <f t="shared" si="8805"/>
        <v>Sedalia</v>
      </c>
    </row>
    <row r="8808" spans="1:5">
      <c r="A8808" s="3" t="s">
        <v>19080</v>
      </c>
      <c r="B8808" s="110" t="s">
        <v>1347</v>
      </c>
      <c r="C8808" s="111" t="s">
        <v>19081</v>
      </c>
      <c r="D8808" s="111" t="str">
        <f t="shared" ref="D8808:E8808" si="8806">TRIM(B8808)</f>
        <v>Missouri</v>
      </c>
      <c r="E8808" s="111" t="str">
        <f t="shared" si="8806"/>
        <v>Senath</v>
      </c>
    </row>
    <row r="8809" spans="1:5">
      <c r="A8809" s="3" t="s">
        <v>13785</v>
      </c>
      <c r="B8809" s="110" t="s">
        <v>1347</v>
      </c>
      <c r="C8809" s="111" t="s">
        <v>13787</v>
      </c>
      <c r="D8809" s="111" t="str">
        <f t="shared" ref="D8809:E8809" si="8807">TRIM(B8809)</f>
        <v>Missouri</v>
      </c>
      <c r="E8809" s="111" t="str">
        <f t="shared" si="8807"/>
        <v>Seneca</v>
      </c>
    </row>
    <row r="8810" spans="1:5">
      <c r="A8810" s="3" t="s">
        <v>8660</v>
      </c>
      <c r="B8810" s="110" t="s">
        <v>1347</v>
      </c>
      <c r="C8810" s="111" t="s">
        <v>6650</v>
      </c>
      <c r="D8810" s="111" t="str">
        <f t="shared" ref="D8810:E8810" si="8808">TRIM(B8810)</f>
        <v>Missouri</v>
      </c>
      <c r="E8810" s="111" t="str">
        <f t="shared" si="8808"/>
        <v>Seymour</v>
      </c>
    </row>
    <row r="8811" spans="1:5">
      <c r="A8811" s="3" t="s">
        <v>19082</v>
      </c>
      <c r="B8811" s="110" t="s">
        <v>1347</v>
      </c>
      <c r="C8811" s="111" t="s">
        <v>19083</v>
      </c>
      <c r="D8811" s="111" t="str">
        <f t="shared" ref="D8811:E8811" si="8809">TRIM(B8811)</f>
        <v>Missouri</v>
      </c>
      <c r="E8811" s="111" t="str">
        <f t="shared" si="8809"/>
        <v>Shelbina</v>
      </c>
    </row>
    <row r="8812" spans="1:5">
      <c r="A8812" s="3" t="s">
        <v>19084</v>
      </c>
      <c r="B8812" s="110" t="s">
        <v>1347</v>
      </c>
      <c r="C8812" s="111" t="s">
        <v>5599</v>
      </c>
      <c r="D8812" s="111" t="str">
        <f t="shared" ref="D8812:E8812" si="8810">TRIM(B8812)</f>
        <v>Missouri</v>
      </c>
      <c r="E8812" s="111" t="str">
        <f t="shared" si="8810"/>
        <v>Shelbyville</v>
      </c>
    </row>
    <row r="8813" spans="1:5">
      <c r="A8813" s="3" t="s">
        <v>6662</v>
      </c>
      <c r="B8813" s="110" t="s">
        <v>1347</v>
      </c>
      <c r="C8813" s="111" t="s">
        <v>15046</v>
      </c>
      <c r="D8813" s="111" t="str">
        <f t="shared" ref="D8813:E8813" si="8811">TRIM(B8813)</f>
        <v>Missouri</v>
      </c>
      <c r="E8813" s="111" t="str">
        <f t="shared" si="8811"/>
        <v>Sheldon</v>
      </c>
    </row>
    <row r="8814" spans="1:5">
      <c r="A8814" s="3" t="s">
        <v>19085</v>
      </c>
      <c r="B8814" s="110" t="s">
        <v>1347</v>
      </c>
      <c r="C8814" s="111" t="s">
        <v>19086</v>
      </c>
      <c r="D8814" s="111" t="str">
        <f t="shared" ref="D8814:E8814" si="8812">TRIM(B8814)</f>
        <v>Missouri</v>
      </c>
      <c r="E8814" s="111" t="str">
        <f t="shared" si="8812"/>
        <v>Sikeston</v>
      </c>
    </row>
    <row r="8815" spans="1:5">
      <c r="A8815" s="110" t="s">
        <v>19087</v>
      </c>
      <c r="B8815" s="110" t="s">
        <v>1347</v>
      </c>
      <c r="C8815" s="111" t="s">
        <v>19086</v>
      </c>
      <c r="D8815" s="111" t="str">
        <f t="shared" ref="D8815:E8815" si="8813">TRIM(B8815)</f>
        <v>Missouri</v>
      </c>
      <c r="E8815" s="111" t="str">
        <f t="shared" si="8813"/>
        <v>Sikeston</v>
      </c>
    </row>
    <row r="8816" spans="1:5">
      <c r="A8816" s="3" t="s">
        <v>19088</v>
      </c>
      <c r="B8816" s="110" t="s">
        <v>1347</v>
      </c>
      <c r="C8816" s="111" t="s">
        <v>19086</v>
      </c>
      <c r="D8816" s="111" t="str">
        <f t="shared" ref="D8816:E8816" si="8814">TRIM(B8816)</f>
        <v>Missouri</v>
      </c>
      <c r="E8816" s="111" t="str">
        <f t="shared" si="8814"/>
        <v>Sikeston</v>
      </c>
    </row>
    <row r="8817" spans="1:5">
      <c r="A8817" s="3" t="s">
        <v>19089</v>
      </c>
      <c r="B8817" s="110" t="s">
        <v>1347</v>
      </c>
      <c r="C8817" s="111" t="s">
        <v>19090</v>
      </c>
      <c r="D8817" s="111" t="str">
        <f t="shared" ref="D8817:E8817" si="8815">TRIM(B8817)</f>
        <v>Missouri</v>
      </c>
      <c r="E8817" s="111" t="str">
        <f t="shared" si="8815"/>
        <v>Silex</v>
      </c>
    </row>
    <row r="8818" spans="1:5">
      <c r="A8818" s="3" t="s">
        <v>19091</v>
      </c>
      <c r="B8818" s="110" t="s">
        <v>1347</v>
      </c>
      <c r="C8818" s="111" t="s">
        <v>19092</v>
      </c>
      <c r="D8818" s="111" t="str">
        <f t="shared" ref="D8818:E8818" si="8816">TRIM(B8818)</f>
        <v>Missouri</v>
      </c>
      <c r="E8818" s="111" t="str">
        <f t="shared" si="8816"/>
        <v>Slater</v>
      </c>
    </row>
    <row r="8819" spans="1:5">
      <c r="A8819" s="3" t="s">
        <v>19093</v>
      </c>
      <c r="B8819" s="110" t="s">
        <v>1347</v>
      </c>
      <c r="C8819" s="111" t="s">
        <v>19094</v>
      </c>
      <c r="D8819" s="111" t="str">
        <f t="shared" ref="D8819:E8819" si="8817">TRIM(B8819)</f>
        <v>Missouri</v>
      </c>
      <c r="E8819" s="111" t="str">
        <f t="shared" si="8817"/>
        <v>Smithton</v>
      </c>
    </row>
    <row r="8820" spans="1:5">
      <c r="A8820" s="3" t="s">
        <v>19095</v>
      </c>
      <c r="B8820" s="110" t="s">
        <v>1347</v>
      </c>
      <c r="C8820" s="111" t="s">
        <v>19096</v>
      </c>
      <c r="D8820" s="111" t="str">
        <f t="shared" ref="D8820:E8820" si="8818">TRIM(B8820)</f>
        <v>Missouri</v>
      </c>
      <c r="E8820" s="111" t="str">
        <f t="shared" si="8818"/>
        <v>Smithville</v>
      </c>
    </row>
    <row r="8821" spans="1:5">
      <c r="A8821" s="3" t="s">
        <v>13824</v>
      </c>
      <c r="B8821" s="110" t="s">
        <v>1347</v>
      </c>
      <c r="C8821" s="111" t="s">
        <v>10334</v>
      </c>
      <c r="D8821" s="111" t="str">
        <f t="shared" ref="D8821:E8821" si="8819">TRIM(B8821)</f>
        <v>Missouri</v>
      </c>
      <c r="E8821" s="111" t="str">
        <f t="shared" si="8819"/>
        <v>Sparta</v>
      </c>
    </row>
    <row r="8822" spans="1:5">
      <c r="A8822" s="3" t="s">
        <v>19097</v>
      </c>
      <c r="B8822" s="110" t="s">
        <v>1347</v>
      </c>
      <c r="C8822" s="111" t="s">
        <v>14149</v>
      </c>
      <c r="D8822" s="111" t="str">
        <f t="shared" ref="D8822:E8822" si="8820">TRIM(B8822)</f>
        <v>Missouri</v>
      </c>
      <c r="E8822" s="111" t="str">
        <f t="shared" si="8820"/>
        <v>Spokane</v>
      </c>
    </row>
    <row r="8823" spans="1:5">
      <c r="A8823" s="3" t="s">
        <v>1843</v>
      </c>
      <c r="B8823" s="110" t="s">
        <v>1347</v>
      </c>
      <c r="C8823" s="111" t="s">
        <v>416</v>
      </c>
      <c r="D8823" s="111" t="str">
        <f t="shared" ref="D8823:E8823" si="8821">TRIM(B8823)</f>
        <v>Missouri</v>
      </c>
      <c r="E8823" s="111" t="str">
        <f t="shared" si="8821"/>
        <v>Springfield</v>
      </c>
    </row>
    <row r="8824" spans="1:5">
      <c r="A8824" s="110" t="s">
        <v>19098</v>
      </c>
      <c r="B8824" s="110" t="s">
        <v>1347</v>
      </c>
      <c r="C8824" s="111" t="s">
        <v>416</v>
      </c>
      <c r="D8824" s="111" t="str">
        <f t="shared" ref="D8824:E8824" si="8822">TRIM(B8824)</f>
        <v>Missouri</v>
      </c>
      <c r="E8824" s="111" t="str">
        <f t="shared" si="8822"/>
        <v>Springfield</v>
      </c>
    </row>
    <row r="8825" spans="1:5">
      <c r="A8825" s="110" t="s">
        <v>19099</v>
      </c>
      <c r="B8825" s="110" t="s">
        <v>1347</v>
      </c>
      <c r="C8825" s="111" t="s">
        <v>416</v>
      </c>
      <c r="D8825" s="111" t="str">
        <f t="shared" ref="D8825:E8825" si="8823">TRIM(B8825)</f>
        <v>Missouri</v>
      </c>
      <c r="E8825" s="111" t="str">
        <f t="shared" si="8823"/>
        <v>Springfield</v>
      </c>
    </row>
    <row r="8826" spans="1:5">
      <c r="A8826" s="110" t="s">
        <v>19100</v>
      </c>
      <c r="B8826" s="110" t="s">
        <v>1347</v>
      </c>
      <c r="C8826" s="111" t="s">
        <v>416</v>
      </c>
      <c r="D8826" s="111" t="str">
        <f t="shared" ref="D8826:E8826" si="8824">TRIM(B8826)</f>
        <v>Missouri</v>
      </c>
      <c r="E8826" s="111" t="str">
        <f t="shared" si="8824"/>
        <v>Springfield</v>
      </c>
    </row>
    <row r="8827" spans="1:5">
      <c r="A8827" s="3" t="s">
        <v>2724</v>
      </c>
      <c r="B8827" s="110" t="s">
        <v>1347</v>
      </c>
      <c r="C8827" s="111" t="s">
        <v>416</v>
      </c>
      <c r="D8827" s="111" t="str">
        <f t="shared" ref="D8827:E8827" si="8825">TRIM(B8827)</f>
        <v>Missouri</v>
      </c>
      <c r="E8827" s="111" t="str">
        <f t="shared" si="8825"/>
        <v>Springfield</v>
      </c>
    </row>
    <row r="8828" spans="1:5">
      <c r="A8828" s="3" t="s">
        <v>1736</v>
      </c>
      <c r="B8828" s="110" t="s">
        <v>1347</v>
      </c>
      <c r="C8828" s="111" t="s">
        <v>416</v>
      </c>
      <c r="D8828" s="111" t="str">
        <f t="shared" ref="D8828:E8828" si="8826">TRIM(B8828)</f>
        <v>Missouri</v>
      </c>
      <c r="E8828" s="111" t="str">
        <f t="shared" si="8826"/>
        <v>Springfield</v>
      </c>
    </row>
    <row r="8829" spans="1:5">
      <c r="A8829" s="3" t="s">
        <v>19101</v>
      </c>
      <c r="B8829" s="110" t="s">
        <v>1347</v>
      </c>
      <c r="C8829" s="111" t="s">
        <v>416</v>
      </c>
      <c r="D8829" s="111" t="str">
        <f t="shared" ref="D8829:E8829" si="8827">TRIM(B8829)</f>
        <v>Missouri</v>
      </c>
      <c r="E8829" s="111" t="str">
        <f t="shared" si="8827"/>
        <v>Springfield</v>
      </c>
    </row>
    <row r="8830" spans="1:5">
      <c r="A8830" s="3" t="s">
        <v>10961</v>
      </c>
      <c r="B8830" s="110" t="s">
        <v>1347</v>
      </c>
      <c r="C8830" s="111" t="s">
        <v>416</v>
      </c>
      <c r="D8830" s="111" t="str">
        <f t="shared" ref="D8830:E8830" si="8828">TRIM(B8830)</f>
        <v>Missouri</v>
      </c>
      <c r="E8830" s="111" t="str">
        <f t="shared" si="8828"/>
        <v>Springfield</v>
      </c>
    </row>
    <row r="8831" spans="1:5">
      <c r="A8831" s="110" t="s">
        <v>19102</v>
      </c>
      <c r="B8831" s="110" t="s">
        <v>1347</v>
      </c>
      <c r="C8831" s="111" t="s">
        <v>416</v>
      </c>
      <c r="D8831" s="111" t="str">
        <f t="shared" ref="D8831:E8831" si="8829">TRIM(B8831)</f>
        <v>Missouri</v>
      </c>
      <c r="E8831" s="111" t="str">
        <f t="shared" si="8829"/>
        <v>Springfield</v>
      </c>
    </row>
    <row r="8832" spans="1:5">
      <c r="A8832" s="3" t="s">
        <v>19103</v>
      </c>
      <c r="B8832" s="110" t="s">
        <v>1347</v>
      </c>
      <c r="C8832" s="111" t="s">
        <v>13835</v>
      </c>
      <c r="D8832" s="111" t="str">
        <f t="shared" ref="D8832:E8832" si="8830">TRIM(B8832)</f>
        <v>Missouri</v>
      </c>
      <c r="E8832" s="111" t="str">
        <f t="shared" si="8830"/>
        <v>St Charles</v>
      </c>
    </row>
    <row r="8833" spans="1:5">
      <c r="A8833" s="3" t="s">
        <v>19104</v>
      </c>
      <c r="B8833" s="110" t="s">
        <v>1347</v>
      </c>
      <c r="C8833" s="111" t="s">
        <v>13835</v>
      </c>
      <c r="D8833" s="111" t="str">
        <f t="shared" ref="D8833:E8833" si="8831">TRIM(B8833)</f>
        <v>Missouri</v>
      </c>
      <c r="E8833" s="111" t="str">
        <f t="shared" si="8831"/>
        <v>St Charles</v>
      </c>
    </row>
    <row r="8834" spans="1:5">
      <c r="A8834" s="3" t="s">
        <v>19105</v>
      </c>
      <c r="B8834" s="110" t="s">
        <v>1347</v>
      </c>
      <c r="C8834" s="111" t="s">
        <v>13835</v>
      </c>
      <c r="D8834" s="111" t="str">
        <f t="shared" ref="D8834:E8834" si="8832">TRIM(B8834)</f>
        <v>Missouri</v>
      </c>
      <c r="E8834" s="111" t="str">
        <f t="shared" si="8832"/>
        <v>St Charles</v>
      </c>
    </row>
    <row r="8835" spans="1:5">
      <c r="A8835" s="110" t="s">
        <v>19106</v>
      </c>
      <c r="B8835" s="110" t="s">
        <v>1347</v>
      </c>
      <c r="C8835" s="111" t="s">
        <v>13835</v>
      </c>
      <c r="D8835" s="111" t="str">
        <f t="shared" ref="D8835:E8835" si="8833">TRIM(B8835)</f>
        <v>Missouri</v>
      </c>
      <c r="E8835" s="111" t="str">
        <f t="shared" si="8833"/>
        <v>St Charles</v>
      </c>
    </row>
    <row r="8836" spans="1:5">
      <c r="A8836" s="110" t="s">
        <v>19107</v>
      </c>
      <c r="B8836" s="110" t="s">
        <v>1347</v>
      </c>
      <c r="C8836" s="111" t="s">
        <v>13835</v>
      </c>
      <c r="D8836" s="111" t="str">
        <f t="shared" ref="D8836:E8836" si="8834">TRIM(B8836)</f>
        <v>Missouri</v>
      </c>
      <c r="E8836" s="111" t="str">
        <f t="shared" si="8834"/>
        <v>St Charles</v>
      </c>
    </row>
    <row r="8837" spans="1:5">
      <c r="A8837" s="3" t="s">
        <v>16527</v>
      </c>
      <c r="B8837" s="110" t="s">
        <v>1347</v>
      </c>
      <c r="C8837" s="111" t="s">
        <v>13835</v>
      </c>
      <c r="D8837" s="111" t="str">
        <f t="shared" ref="D8837:E8837" si="8835">TRIM(B8837)</f>
        <v>Missouri</v>
      </c>
      <c r="E8837" s="111" t="str">
        <f t="shared" si="8835"/>
        <v>St Charles</v>
      </c>
    </row>
    <row r="8838" spans="1:5">
      <c r="A8838" s="3" t="s">
        <v>19108</v>
      </c>
      <c r="B8838" s="110" t="s">
        <v>1347</v>
      </c>
      <c r="C8838" s="111" t="s">
        <v>13835</v>
      </c>
      <c r="D8838" s="111" t="str">
        <f t="shared" ref="D8838:E8838" si="8836">TRIM(B8838)</f>
        <v>Missouri</v>
      </c>
      <c r="E8838" s="111" t="str">
        <f t="shared" si="8836"/>
        <v>St Charles</v>
      </c>
    </row>
    <row r="8839" spans="1:5">
      <c r="A8839" s="3" t="s">
        <v>19109</v>
      </c>
      <c r="B8839" s="110" t="s">
        <v>1347</v>
      </c>
      <c r="C8839" s="111" t="s">
        <v>19110</v>
      </c>
      <c r="D8839" s="111" t="str">
        <f t="shared" ref="D8839:E8839" si="8837">TRIM(B8839)</f>
        <v>Missouri</v>
      </c>
      <c r="E8839" s="111" t="str">
        <f t="shared" si="8837"/>
        <v>St Clair</v>
      </c>
    </row>
    <row r="8840" spans="1:5">
      <c r="A8840" s="3" t="s">
        <v>19111</v>
      </c>
      <c r="B8840" s="110" t="s">
        <v>1347</v>
      </c>
      <c r="C8840" s="111" t="s">
        <v>19112</v>
      </c>
      <c r="D8840" s="111" t="str">
        <f t="shared" ref="D8840:E8840" si="8838">TRIM(B8840)</f>
        <v>Missouri</v>
      </c>
      <c r="E8840" s="111" t="str">
        <f t="shared" si="8838"/>
        <v>St Elizabeth</v>
      </c>
    </row>
    <row r="8841" spans="1:5">
      <c r="A8841" s="3" t="s">
        <v>16139</v>
      </c>
      <c r="B8841" s="110" t="s">
        <v>1347</v>
      </c>
      <c r="C8841" s="111" t="s">
        <v>19113</v>
      </c>
      <c r="D8841" s="111" t="str">
        <f t="shared" ref="D8841:E8841" si="8839">TRIM(B8841)</f>
        <v>Missouri</v>
      </c>
      <c r="E8841" s="111" t="str">
        <f t="shared" si="8839"/>
        <v>St James</v>
      </c>
    </row>
    <row r="8842" spans="1:5">
      <c r="A8842" s="3" t="s">
        <v>3603</v>
      </c>
      <c r="B8842" s="110" t="s">
        <v>1347</v>
      </c>
      <c r="C8842" s="111" t="s">
        <v>19114</v>
      </c>
      <c r="D8842" s="111" t="str">
        <f t="shared" ref="D8842:E8842" si="8840">TRIM(B8842)</f>
        <v>Missouri</v>
      </c>
      <c r="E8842" s="111" t="str">
        <f t="shared" si="8840"/>
        <v>St Joseph</v>
      </c>
    </row>
    <row r="8843" spans="1:5">
      <c r="A8843" s="3" t="s">
        <v>1843</v>
      </c>
      <c r="B8843" s="110" t="s">
        <v>1347</v>
      </c>
      <c r="C8843" s="111" t="s">
        <v>19114</v>
      </c>
      <c r="D8843" s="111" t="str">
        <f t="shared" ref="D8843:E8843" si="8841">TRIM(B8843)</f>
        <v>Missouri</v>
      </c>
      <c r="E8843" s="111" t="str">
        <f t="shared" si="8841"/>
        <v>St Joseph</v>
      </c>
    </row>
    <row r="8844" spans="1:5">
      <c r="A8844" s="3" t="s">
        <v>1907</v>
      </c>
      <c r="B8844" s="110" t="s">
        <v>1347</v>
      </c>
      <c r="C8844" s="111" t="s">
        <v>19114</v>
      </c>
      <c r="D8844" s="111" t="str">
        <f t="shared" ref="D8844:E8844" si="8842">TRIM(B8844)</f>
        <v>Missouri</v>
      </c>
      <c r="E8844" s="111" t="str">
        <f t="shared" si="8842"/>
        <v>St Joseph</v>
      </c>
    </row>
    <row r="8845" spans="1:5">
      <c r="A8845" s="110" t="s">
        <v>19115</v>
      </c>
      <c r="B8845" s="110" t="s">
        <v>1347</v>
      </c>
      <c r="C8845" s="111" t="s">
        <v>19114</v>
      </c>
      <c r="D8845" s="111" t="str">
        <f t="shared" ref="D8845:E8845" si="8843">TRIM(B8845)</f>
        <v>Missouri</v>
      </c>
      <c r="E8845" s="111" t="str">
        <f t="shared" si="8843"/>
        <v>St Joseph</v>
      </c>
    </row>
    <row r="8846" spans="1:5">
      <c r="A8846" s="3" t="s">
        <v>19116</v>
      </c>
      <c r="B8846" s="110" t="s">
        <v>1347</v>
      </c>
      <c r="C8846" s="111" t="s">
        <v>19117</v>
      </c>
      <c r="D8846" s="111" t="str">
        <f t="shared" ref="D8846:E8846" si="8844">TRIM(B8846)</f>
        <v>Missouri</v>
      </c>
      <c r="E8846" s="111" t="str">
        <f t="shared" si="8844"/>
        <v>St Louis</v>
      </c>
    </row>
    <row r="8847" spans="1:5">
      <c r="A8847" s="3" t="s">
        <v>19118</v>
      </c>
      <c r="B8847" s="110" t="s">
        <v>1347</v>
      </c>
      <c r="C8847" s="111" t="s">
        <v>19117</v>
      </c>
      <c r="D8847" s="111" t="str">
        <f t="shared" ref="D8847:E8847" si="8845">TRIM(B8847)</f>
        <v>Missouri</v>
      </c>
      <c r="E8847" s="111" t="str">
        <f t="shared" si="8845"/>
        <v>St Louis</v>
      </c>
    </row>
    <row r="8848" spans="1:5">
      <c r="A8848" s="3" t="s">
        <v>19119</v>
      </c>
      <c r="B8848" s="110" t="s">
        <v>1347</v>
      </c>
      <c r="C8848" s="111" t="s">
        <v>19117</v>
      </c>
      <c r="D8848" s="111" t="str">
        <f t="shared" ref="D8848:E8848" si="8846">TRIM(B8848)</f>
        <v>Missouri</v>
      </c>
      <c r="E8848" s="111" t="str">
        <f t="shared" si="8846"/>
        <v>St Louis</v>
      </c>
    </row>
    <row r="8849" spans="1:5">
      <c r="A8849" s="110" t="s">
        <v>19120</v>
      </c>
      <c r="B8849" s="110" t="s">
        <v>1347</v>
      </c>
      <c r="C8849" s="111" t="s">
        <v>19117</v>
      </c>
      <c r="D8849" s="111" t="str">
        <f t="shared" ref="D8849:E8849" si="8847">TRIM(B8849)</f>
        <v>Missouri</v>
      </c>
      <c r="E8849" s="111" t="str">
        <f t="shared" si="8847"/>
        <v>St Louis</v>
      </c>
    </row>
    <row r="8850" spans="1:5">
      <c r="A8850" s="110" t="s">
        <v>19121</v>
      </c>
      <c r="B8850" s="110" t="s">
        <v>1347</v>
      </c>
      <c r="C8850" s="111" t="s">
        <v>19117</v>
      </c>
      <c r="D8850" s="111" t="str">
        <f t="shared" ref="D8850:E8850" si="8848">TRIM(B8850)</f>
        <v>Missouri</v>
      </c>
      <c r="E8850" s="111" t="str">
        <f t="shared" si="8848"/>
        <v>St Louis</v>
      </c>
    </row>
    <row r="8851" spans="1:5">
      <c r="A8851" s="3" t="s">
        <v>19122</v>
      </c>
      <c r="B8851" s="110" t="s">
        <v>1347</v>
      </c>
      <c r="C8851" s="111" t="s">
        <v>19117</v>
      </c>
      <c r="D8851" s="111" t="str">
        <f t="shared" ref="D8851:E8851" si="8849">TRIM(B8851)</f>
        <v>Missouri</v>
      </c>
      <c r="E8851" s="111" t="str">
        <f t="shared" si="8849"/>
        <v>St Louis</v>
      </c>
    </row>
    <row r="8852" spans="1:5">
      <c r="A8852" s="3" t="s">
        <v>19123</v>
      </c>
      <c r="B8852" s="110" t="s">
        <v>1347</v>
      </c>
      <c r="C8852" s="111" t="s">
        <v>19117</v>
      </c>
      <c r="D8852" s="111" t="str">
        <f t="shared" ref="D8852:E8852" si="8850">TRIM(B8852)</f>
        <v>Missouri</v>
      </c>
      <c r="E8852" s="111" t="str">
        <f t="shared" si="8850"/>
        <v>St Louis</v>
      </c>
    </row>
    <row r="8853" spans="1:5">
      <c r="A8853" s="110" t="s">
        <v>19124</v>
      </c>
      <c r="B8853" s="110" t="s">
        <v>1347</v>
      </c>
      <c r="C8853" s="111" t="s">
        <v>19117</v>
      </c>
      <c r="D8853" s="111" t="str">
        <f t="shared" ref="D8853:E8853" si="8851">TRIM(B8853)</f>
        <v>Missouri</v>
      </c>
      <c r="E8853" s="111" t="str">
        <f t="shared" si="8851"/>
        <v>St Louis</v>
      </c>
    </row>
    <row r="8854" spans="1:5">
      <c r="A8854" s="3" t="s">
        <v>19125</v>
      </c>
      <c r="B8854" s="110" t="s">
        <v>1347</v>
      </c>
      <c r="C8854" s="111" t="s">
        <v>19117</v>
      </c>
      <c r="D8854" s="111" t="str">
        <f t="shared" ref="D8854:E8854" si="8852">TRIM(B8854)</f>
        <v>Missouri</v>
      </c>
      <c r="E8854" s="111" t="str">
        <f t="shared" si="8852"/>
        <v>St Louis</v>
      </c>
    </row>
    <row r="8855" spans="1:5">
      <c r="A8855" s="110" t="s">
        <v>19126</v>
      </c>
      <c r="B8855" s="110" t="s">
        <v>1347</v>
      </c>
      <c r="C8855" s="112" t="s">
        <v>19117</v>
      </c>
      <c r="D8855" s="111" t="str">
        <f t="shared" ref="D8855:E8855" si="8853">TRIM(B8855)</f>
        <v>Missouri</v>
      </c>
      <c r="E8855" s="111" t="str">
        <f t="shared" si="8853"/>
        <v>St Louis</v>
      </c>
    </row>
    <row r="8856" spans="1:5">
      <c r="A8856" s="110" t="s">
        <v>19127</v>
      </c>
      <c r="B8856" s="110" t="s">
        <v>1347</v>
      </c>
      <c r="C8856" s="111" t="s">
        <v>19117</v>
      </c>
      <c r="D8856" s="111" t="str">
        <f t="shared" ref="D8856:E8856" si="8854">TRIM(B8856)</f>
        <v>Missouri</v>
      </c>
      <c r="E8856" s="111" t="str">
        <f t="shared" si="8854"/>
        <v>St Louis</v>
      </c>
    </row>
    <row r="8857" spans="1:5">
      <c r="A8857" s="3" t="s">
        <v>6850</v>
      </c>
      <c r="B8857" s="110" t="s">
        <v>1347</v>
      </c>
      <c r="C8857" s="111" t="s">
        <v>19117</v>
      </c>
      <c r="D8857" s="111" t="str">
        <f t="shared" ref="D8857:E8857" si="8855">TRIM(B8857)</f>
        <v>Missouri</v>
      </c>
      <c r="E8857" s="111" t="str">
        <f t="shared" si="8855"/>
        <v>St Louis</v>
      </c>
    </row>
    <row r="8858" spans="1:5">
      <c r="A8858" s="3" t="s">
        <v>19128</v>
      </c>
      <c r="B8858" s="110" t="s">
        <v>1347</v>
      </c>
      <c r="C8858" s="111" t="s">
        <v>19117</v>
      </c>
      <c r="D8858" s="111" t="str">
        <f t="shared" ref="D8858:E8858" si="8856">TRIM(B8858)</f>
        <v>Missouri</v>
      </c>
      <c r="E8858" s="111" t="str">
        <f t="shared" si="8856"/>
        <v>St Louis</v>
      </c>
    </row>
    <row r="8859" spans="1:5">
      <c r="A8859" s="3" t="s">
        <v>19129</v>
      </c>
      <c r="B8859" s="110" t="s">
        <v>1347</v>
      </c>
      <c r="C8859" s="111" t="s">
        <v>19117</v>
      </c>
      <c r="D8859" s="111" t="str">
        <f t="shared" ref="D8859:E8859" si="8857">TRIM(B8859)</f>
        <v>Missouri</v>
      </c>
      <c r="E8859" s="111" t="str">
        <f t="shared" si="8857"/>
        <v>St Louis</v>
      </c>
    </row>
    <row r="8860" spans="1:5">
      <c r="A8860" s="110" t="s">
        <v>19130</v>
      </c>
      <c r="B8860" s="110" t="s">
        <v>1347</v>
      </c>
      <c r="C8860" s="111" t="s">
        <v>19117</v>
      </c>
      <c r="D8860" s="111" t="str">
        <f t="shared" ref="D8860:E8860" si="8858">TRIM(B8860)</f>
        <v>Missouri</v>
      </c>
      <c r="E8860" s="111" t="str">
        <f t="shared" si="8858"/>
        <v>St Louis</v>
      </c>
    </row>
    <row r="8861" spans="1:5">
      <c r="A8861" s="3" t="s">
        <v>19131</v>
      </c>
      <c r="B8861" s="110" t="s">
        <v>1347</v>
      </c>
      <c r="C8861" s="111" t="s">
        <v>19117</v>
      </c>
      <c r="D8861" s="111" t="str">
        <f t="shared" ref="D8861:E8861" si="8859">TRIM(B8861)</f>
        <v>Missouri</v>
      </c>
      <c r="E8861" s="111" t="str">
        <f t="shared" si="8859"/>
        <v>St Louis</v>
      </c>
    </row>
    <row r="8862" spans="1:5">
      <c r="A8862" s="110" t="s">
        <v>19132</v>
      </c>
      <c r="B8862" s="110" t="s">
        <v>1347</v>
      </c>
      <c r="C8862" s="111" t="s">
        <v>19117</v>
      </c>
      <c r="D8862" s="111" t="str">
        <f t="shared" ref="D8862:E8862" si="8860">TRIM(B8862)</f>
        <v>Missouri</v>
      </c>
      <c r="E8862" s="111" t="str">
        <f t="shared" si="8860"/>
        <v>St Louis</v>
      </c>
    </row>
    <row r="8863" spans="1:5">
      <c r="A8863" s="3" t="s">
        <v>19133</v>
      </c>
      <c r="B8863" s="110" t="s">
        <v>1347</v>
      </c>
      <c r="C8863" s="111" t="s">
        <v>19117</v>
      </c>
      <c r="D8863" s="111" t="str">
        <f t="shared" ref="D8863:E8863" si="8861">TRIM(B8863)</f>
        <v>Missouri</v>
      </c>
      <c r="E8863" s="111" t="str">
        <f t="shared" si="8861"/>
        <v>St Louis</v>
      </c>
    </row>
    <row r="8864" spans="1:5">
      <c r="A8864" s="110" t="s">
        <v>19134</v>
      </c>
      <c r="B8864" s="110" t="s">
        <v>1347</v>
      </c>
      <c r="C8864" s="111" t="s">
        <v>19117</v>
      </c>
      <c r="D8864" s="111" t="str">
        <f t="shared" ref="D8864:E8864" si="8862">TRIM(B8864)</f>
        <v>Missouri</v>
      </c>
      <c r="E8864" s="111" t="str">
        <f t="shared" si="8862"/>
        <v>St Louis</v>
      </c>
    </row>
    <row r="8865" spans="1:5">
      <c r="A8865" s="3" t="s">
        <v>19135</v>
      </c>
      <c r="B8865" s="110" t="s">
        <v>1347</v>
      </c>
      <c r="C8865" s="111" t="s">
        <v>19117</v>
      </c>
      <c r="D8865" s="111" t="str">
        <f t="shared" ref="D8865:E8865" si="8863">TRIM(B8865)</f>
        <v>Missouri</v>
      </c>
      <c r="E8865" s="111" t="str">
        <f t="shared" si="8863"/>
        <v>St Louis</v>
      </c>
    </row>
    <row r="8866" spans="1:5">
      <c r="A8866" s="3" t="s">
        <v>19136</v>
      </c>
      <c r="B8866" s="110" t="s">
        <v>1347</v>
      </c>
      <c r="C8866" s="111" t="s">
        <v>19117</v>
      </c>
      <c r="D8866" s="111" t="str">
        <f t="shared" ref="D8866:E8866" si="8864">TRIM(B8866)</f>
        <v>Missouri</v>
      </c>
      <c r="E8866" s="111" t="str">
        <f t="shared" si="8864"/>
        <v>St Louis</v>
      </c>
    </row>
    <row r="8867" spans="1:5">
      <c r="A8867" s="3" t="s">
        <v>19137</v>
      </c>
      <c r="B8867" s="110" t="s">
        <v>1347</v>
      </c>
      <c r="C8867" s="111" t="s">
        <v>19117</v>
      </c>
      <c r="D8867" s="111" t="str">
        <f t="shared" ref="D8867:E8867" si="8865">TRIM(B8867)</f>
        <v>Missouri</v>
      </c>
      <c r="E8867" s="111" t="str">
        <f t="shared" si="8865"/>
        <v>St Louis</v>
      </c>
    </row>
    <row r="8868" spans="1:5">
      <c r="A8868" s="3" t="s">
        <v>3069</v>
      </c>
      <c r="B8868" s="110" t="s">
        <v>1347</v>
      </c>
      <c r="C8868" s="111" t="s">
        <v>19117</v>
      </c>
      <c r="D8868" s="111" t="str">
        <f t="shared" ref="D8868:E8868" si="8866">TRIM(B8868)</f>
        <v>Missouri</v>
      </c>
      <c r="E8868" s="111" t="str">
        <f t="shared" si="8866"/>
        <v>St Louis</v>
      </c>
    </row>
    <row r="8869" spans="1:5">
      <c r="A8869" s="3" t="s">
        <v>19138</v>
      </c>
      <c r="B8869" s="110" t="s">
        <v>1347</v>
      </c>
      <c r="C8869" s="111" t="s">
        <v>19117</v>
      </c>
      <c r="D8869" s="111" t="str">
        <f t="shared" ref="D8869:E8869" si="8867">TRIM(B8869)</f>
        <v>Missouri</v>
      </c>
      <c r="E8869" s="111" t="str">
        <f t="shared" si="8867"/>
        <v>St Louis</v>
      </c>
    </row>
    <row r="8870" spans="1:5">
      <c r="A8870" s="110" t="s">
        <v>19139</v>
      </c>
      <c r="B8870" s="110" t="s">
        <v>1347</v>
      </c>
      <c r="C8870" s="111" t="s">
        <v>19117</v>
      </c>
      <c r="D8870" s="111" t="str">
        <f t="shared" ref="D8870:E8870" si="8868">TRIM(B8870)</f>
        <v>Missouri</v>
      </c>
      <c r="E8870" s="111" t="str">
        <f t="shared" si="8868"/>
        <v>St Louis</v>
      </c>
    </row>
    <row r="8871" spans="1:5">
      <c r="A8871" s="3" t="s">
        <v>19140</v>
      </c>
      <c r="B8871" s="110" t="s">
        <v>1347</v>
      </c>
      <c r="C8871" s="111" t="s">
        <v>19117</v>
      </c>
      <c r="D8871" s="111" t="str">
        <f t="shared" ref="D8871:E8871" si="8869">TRIM(B8871)</f>
        <v>Missouri</v>
      </c>
      <c r="E8871" s="111" t="str">
        <f t="shared" si="8869"/>
        <v>St Louis</v>
      </c>
    </row>
    <row r="8872" spans="1:5">
      <c r="A8872" s="3" t="s">
        <v>19141</v>
      </c>
      <c r="B8872" s="110" t="s">
        <v>1347</v>
      </c>
      <c r="C8872" s="111" t="s">
        <v>19117</v>
      </c>
      <c r="D8872" s="111" t="str">
        <f t="shared" ref="D8872:E8872" si="8870">TRIM(B8872)</f>
        <v>Missouri</v>
      </c>
      <c r="E8872" s="111" t="str">
        <f t="shared" si="8870"/>
        <v>St Louis</v>
      </c>
    </row>
    <row r="8873" spans="1:5">
      <c r="A8873" s="3" t="s">
        <v>5101</v>
      </c>
      <c r="B8873" s="110" t="s">
        <v>1347</v>
      </c>
      <c r="C8873" s="111" t="s">
        <v>19117</v>
      </c>
      <c r="D8873" s="111" t="str">
        <f t="shared" ref="D8873:E8873" si="8871">TRIM(B8873)</f>
        <v>Missouri</v>
      </c>
      <c r="E8873" s="111" t="str">
        <f t="shared" si="8871"/>
        <v>St Louis</v>
      </c>
    </row>
    <row r="8874" spans="1:5">
      <c r="A8874" s="110" t="s">
        <v>19142</v>
      </c>
      <c r="B8874" s="110" t="s">
        <v>1347</v>
      </c>
      <c r="C8874" s="111" t="s">
        <v>19117</v>
      </c>
      <c r="D8874" s="111" t="str">
        <f t="shared" ref="D8874:E8874" si="8872">TRIM(B8874)</f>
        <v>Missouri</v>
      </c>
      <c r="E8874" s="111" t="str">
        <f t="shared" si="8872"/>
        <v>St Louis</v>
      </c>
    </row>
    <row r="8875" spans="1:5">
      <c r="A8875" s="110" t="s">
        <v>19143</v>
      </c>
      <c r="B8875" s="110" t="s">
        <v>1347</v>
      </c>
      <c r="C8875" s="111" t="s">
        <v>19117</v>
      </c>
      <c r="D8875" s="111" t="str">
        <f t="shared" ref="D8875:E8875" si="8873">TRIM(B8875)</f>
        <v>Missouri</v>
      </c>
      <c r="E8875" s="111" t="str">
        <f t="shared" si="8873"/>
        <v>St Louis</v>
      </c>
    </row>
    <row r="8876" spans="1:5">
      <c r="A8876" s="3" t="s">
        <v>19144</v>
      </c>
      <c r="B8876" s="110" t="s">
        <v>1347</v>
      </c>
      <c r="C8876" s="111" t="s">
        <v>19117</v>
      </c>
      <c r="D8876" s="111" t="str">
        <f t="shared" ref="D8876:E8876" si="8874">TRIM(B8876)</f>
        <v>Missouri</v>
      </c>
      <c r="E8876" s="111" t="str">
        <f t="shared" si="8874"/>
        <v>St Louis</v>
      </c>
    </row>
    <row r="8877" spans="1:5">
      <c r="A8877" s="110" t="s">
        <v>19145</v>
      </c>
      <c r="B8877" s="110" t="s">
        <v>1347</v>
      </c>
      <c r="C8877" s="111" t="s">
        <v>19117</v>
      </c>
      <c r="D8877" s="111" t="str">
        <f t="shared" ref="D8877:E8877" si="8875">TRIM(B8877)</f>
        <v>Missouri</v>
      </c>
      <c r="E8877" s="111" t="str">
        <f t="shared" si="8875"/>
        <v>St Louis</v>
      </c>
    </row>
    <row r="8878" spans="1:5">
      <c r="A8878" s="110" t="s">
        <v>19146</v>
      </c>
      <c r="B8878" s="110" t="s">
        <v>1347</v>
      </c>
      <c r="C8878" s="111" t="s">
        <v>19117</v>
      </c>
      <c r="D8878" s="111" t="str">
        <f t="shared" ref="D8878:E8878" si="8876">TRIM(B8878)</f>
        <v>Missouri</v>
      </c>
      <c r="E8878" s="111" t="str">
        <f t="shared" si="8876"/>
        <v>St Louis</v>
      </c>
    </row>
    <row r="8879" spans="1:5">
      <c r="A8879" s="3" t="s">
        <v>19147</v>
      </c>
      <c r="B8879" s="110" t="s">
        <v>1347</v>
      </c>
      <c r="C8879" s="111" t="s">
        <v>19117</v>
      </c>
      <c r="D8879" s="111" t="str">
        <f t="shared" ref="D8879:E8879" si="8877">TRIM(B8879)</f>
        <v>Missouri</v>
      </c>
      <c r="E8879" s="111" t="str">
        <f t="shared" si="8877"/>
        <v>St Louis</v>
      </c>
    </row>
    <row r="8880" spans="1:5">
      <c r="A8880" s="3" t="s">
        <v>19148</v>
      </c>
      <c r="B8880" s="110" t="s">
        <v>1347</v>
      </c>
      <c r="C8880" s="111" t="s">
        <v>19117</v>
      </c>
      <c r="D8880" s="111" t="str">
        <f t="shared" ref="D8880:E8880" si="8878">TRIM(B8880)</f>
        <v>Missouri</v>
      </c>
      <c r="E8880" s="111" t="str">
        <f t="shared" si="8878"/>
        <v>St Louis</v>
      </c>
    </row>
    <row r="8881" spans="1:5">
      <c r="A8881" s="3" t="s">
        <v>19149</v>
      </c>
      <c r="B8881" s="110" t="s">
        <v>1347</v>
      </c>
      <c r="C8881" s="111" t="s">
        <v>19150</v>
      </c>
      <c r="D8881" s="111" t="str">
        <f t="shared" ref="D8881:E8881" si="8879">TRIM(B8881)</f>
        <v>Missouri</v>
      </c>
      <c r="E8881" s="111" t="str">
        <f t="shared" si="8879"/>
        <v>St Peters</v>
      </c>
    </row>
    <row r="8882" spans="1:5">
      <c r="A8882" s="3" t="s">
        <v>19151</v>
      </c>
      <c r="B8882" s="110" t="s">
        <v>1347</v>
      </c>
      <c r="C8882" s="111" t="s">
        <v>19150</v>
      </c>
      <c r="D8882" s="111" t="str">
        <f t="shared" ref="D8882:E8882" si="8880">TRIM(B8882)</f>
        <v>Missouri</v>
      </c>
      <c r="E8882" s="111" t="str">
        <f t="shared" si="8880"/>
        <v>St Peters</v>
      </c>
    </row>
    <row r="8883" spans="1:5">
      <c r="A8883" s="3" t="s">
        <v>19152</v>
      </c>
      <c r="B8883" s="110" t="s">
        <v>1347</v>
      </c>
      <c r="C8883" s="111" t="s">
        <v>19153</v>
      </c>
      <c r="D8883" s="111" t="str">
        <f t="shared" ref="D8883:E8883" si="8881">TRIM(B8883)</f>
        <v>Missouri</v>
      </c>
      <c r="E8883" s="111" t="str">
        <f t="shared" si="8881"/>
        <v>St. Charles</v>
      </c>
    </row>
    <row r="8884" spans="1:5">
      <c r="A8884" s="110" t="s">
        <v>19154</v>
      </c>
      <c r="B8884" s="110" t="s">
        <v>1347</v>
      </c>
      <c r="C8884" s="111" t="s">
        <v>921</v>
      </c>
      <c r="D8884" s="111" t="str">
        <f t="shared" ref="D8884:E8884" si="8882">TRIM(B8884)</f>
        <v>Missouri</v>
      </c>
      <c r="E8884" s="111" t="str">
        <f t="shared" si="8882"/>
        <v>St. Louis</v>
      </c>
    </row>
    <row r="8885" spans="1:5">
      <c r="A8885" s="3" t="s">
        <v>19155</v>
      </c>
      <c r="B8885" s="110" t="s">
        <v>1347</v>
      </c>
      <c r="C8885" s="111" t="s">
        <v>921</v>
      </c>
      <c r="D8885" s="111" t="str">
        <f t="shared" ref="D8885:E8885" si="8883">TRIM(B8885)</f>
        <v>Missouri</v>
      </c>
      <c r="E8885" s="111" t="str">
        <f t="shared" si="8883"/>
        <v>St. Louis</v>
      </c>
    </row>
    <row r="8886" spans="1:5">
      <c r="A8886" s="3" t="s">
        <v>19156</v>
      </c>
      <c r="B8886" s="110" t="s">
        <v>1347</v>
      </c>
      <c r="C8886" s="111" t="s">
        <v>921</v>
      </c>
      <c r="D8886" s="111" t="str">
        <f t="shared" ref="D8886:E8886" si="8884">TRIM(B8886)</f>
        <v>Missouri</v>
      </c>
      <c r="E8886" s="111" t="str">
        <f t="shared" si="8884"/>
        <v>St. Louis</v>
      </c>
    </row>
    <row r="8887" spans="1:5">
      <c r="A8887" s="3" t="s">
        <v>19157</v>
      </c>
      <c r="B8887" s="110" t="s">
        <v>1347</v>
      </c>
      <c r="C8887" s="111" t="s">
        <v>921</v>
      </c>
      <c r="D8887" s="111" t="str">
        <f t="shared" ref="D8887:E8887" si="8885">TRIM(B8887)</f>
        <v>Missouri</v>
      </c>
      <c r="E8887" s="111" t="str">
        <f t="shared" si="8885"/>
        <v>St. Louis</v>
      </c>
    </row>
    <row r="8888" spans="1:5">
      <c r="A8888" s="3" t="s">
        <v>19158</v>
      </c>
      <c r="B8888" s="110" t="s">
        <v>1347</v>
      </c>
      <c r="C8888" s="111" t="s">
        <v>921</v>
      </c>
      <c r="D8888" s="111" t="str">
        <f t="shared" ref="D8888:E8888" si="8886">TRIM(B8888)</f>
        <v>Missouri</v>
      </c>
      <c r="E8888" s="111" t="str">
        <f t="shared" si="8886"/>
        <v>St. Louis</v>
      </c>
    </row>
    <row r="8889" spans="1:5">
      <c r="A8889" s="3" t="s">
        <v>19159</v>
      </c>
      <c r="B8889" s="110" t="s">
        <v>1347</v>
      </c>
      <c r="C8889" s="111" t="s">
        <v>19160</v>
      </c>
      <c r="D8889" s="111" t="str">
        <f t="shared" ref="D8889:E8889" si="8887">TRIM(B8889)</f>
        <v>Missouri</v>
      </c>
      <c r="E8889" s="111" t="str">
        <f t="shared" si="8887"/>
        <v>Stanberry</v>
      </c>
    </row>
    <row r="8890" spans="1:5">
      <c r="A8890" s="3" t="s">
        <v>19161</v>
      </c>
      <c r="B8890" s="110" t="s">
        <v>1347</v>
      </c>
      <c r="C8890" s="111" t="s">
        <v>19162</v>
      </c>
      <c r="D8890" s="111" t="str">
        <f t="shared" ref="D8890:E8890" si="8888">TRIM(B8890)</f>
        <v>Missouri</v>
      </c>
      <c r="E8890" s="111" t="str">
        <f t="shared" si="8888"/>
        <v>Ste Genevieve</v>
      </c>
    </row>
    <row r="8891" spans="1:5">
      <c r="A8891" s="3" t="s">
        <v>19163</v>
      </c>
      <c r="B8891" s="110" t="s">
        <v>1347</v>
      </c>
      <c r="C8891" s="111" t="s">
        <v>19164</v>
      </c>
      <c r="D8891" s="111" t="str">
        <f t="shared" ref="D8891:E8891" si="8889">TRIM(B8891)</f>
        <v>Missouri</v>
      </c>
      <c r="E8891" s="111" t="str">
        <f t="shared" si="8889"/>
        <v>Steele</v>
      </c>
    </row>
    <row r="8892" spans="1:5">
      <c r="A8892" s="3" t="s">
        <v>19165</v>
      </c>
      <c r="B8892" s="110" t="s">
        <v>1347</v>
      </c>
      <c r="C8892" s="111" t="s">
        <v>19166</v>
      </c>
      <c r="D8892" s="111" t="str">
        <f t="shared" ref="D8892:E8892" si="8890">TRIM(B8892)</f>
        <v>Missouri</v>
      </c>
      <c r="E8892" s="111" t="str">
        <f t="shared" si="8890"/>
        <v>Steelville</v>
      </c>
    </row>
    <row r="8893" spans="1:5">
      <c r="A8893" s="3" t="s">
        <v>19167</v>
      </c>
      <c r="B8893" s="110" t="s">
        <v>1347</v>
      </c>
      <c r="C8893" s="111" t="s">
        <v>19168</v>
      </c>
      <c r="D8893" s="111" t="str">
        <f t="shared" ref="D8893:E8893" si="8891">TRIM(B8893)</f>
        <v>Missouri</v>
      </c>
      <c r="E8893" s="111" t="str">
        <f t="shared" si="8891"/>
        <v>Stewartsville</v>
      </c>
    </row>
    <row r="8894" spans="1:5">
      <c r="A8894" s="3" t="s">
        <v>7208</v>
      </c>
      <c r="B8894" s="110" t="s">
        <v>1347</v>
      </c>
      <c r="C8894" s="111" t="s">
        <v>7188</v>
      </c>
      <c r="D8894" s="111" t="str">
        <f t="shared" ref="D8894:E8894" si="8892">TRIM(B8894)</f>
        <v>Missouri</v>
      </c>
      <c r="E8894" s="111" t="str">
        <f t="shared" si="8892"/>
        <v>Stockton</v>
      </c>
    </row>
    <row r="8895" spans="1:5">
      <c r="A8895" s="3" t="s">
        <v>19169</v>
      </c>
      <c r="B8895" s="110" t="s">
        <v>1347</v>
      </c>
      <c r="C8895" s="111" t="s">
        <v>19170</v>
      </c>
      <c r="D8895" s="111" t="str">
        <f t="shared" ref="D8895:E8895" si="8893">TRIM(B8895)</f>
        <v>Missouri</v>
      </c>
      <c r="E8895" s="111" t="str">
        <f t="shared" si="8893"/>
        <v>Stoutland</v>
      </c>
    </row>
    <row r="8896" spans="1:5">
      <c r="A8896" s="3" t="s">
        <v>19171</v>
      </c>
      <c r="B8896" s="110" t="s">
        <v>1347</v>
      </c>
      <c r="C8896" s="111" t="s">
        <v>19172</v>
      </c>
      <c r="D8896" s="111" t="str">
        <f t="shared" ref="D8896:E8896" si="8894">TRIM(B8896)</f>
        <v>Missouri</v>
      </c>
      <c r="E8896" s="111" t="str">
        <f t="shared" si="8894"/>
        <v>Stover</v>
      </c>
    </row>
    <row r="8897" spans="1:5">
      <c r="A8897" s="3" t="s">
        <v>19173</v>
      </c>
      <c r="B8897" s="110" t="s">
        <v>1347</v>
      </c>
      <c r="C8897" s="111" t="s">
        <v>19174</v>
      </c>
      <c r="D8897" s="111" t="str">
        <f t="shared" ref="D8897:E8897" si="8895">TRIM(B8897)</f>
        <v>Missouri</v>
      </c>
      <c r="E8897" s="111" t="str">
        <f t="shared" si="8895"/>
        <v>Strafford</v>
      </c>
    </row>
    <row r="8898" spans="1:5">
      <c r="A8898" s="3" t="s">
        <v>19175</v>
      </c>
      <c r="B8898" s="110" t="s">
        <v>1347</v>
      </c>
      <c r="C8898" s="111" t="s">
        <v>19176</v>
      </c>
      <c r="D8898" s="111" t="str">
        <f t="shared" ref="D8898:E8898" si="8896">TRIM(B8898)</f>
        <v>Missouri</v>
      </c>
      <c r="E8898" s="111" t="str">
        <f t="shared" si="8896"/>
        <v>Sturgeon</v>
      </c>
    </row>
    <row r="8899" spans="1:5">
      <c r="A8899" s="3" t="s">
        <v>19177</v>
      </c>
      <c r="B8899" s="110" t="s">
        <v>1347</v>
      </c>
      <c r="C8899" s="111" t="s">
        <v>13876</v>
      </c>
      <c r="D8899" s="111" t="str">
        <f t="shared" ref="D8899:E8899" si="8897">TRIM(B8899)</f>
        <v>Missouri</v>
      </c>
      <c r="E8899" s="111" t="str">
        <f t="shared" si="8897"/>
        <v>Sullivan</v>
      </c>
    </row>
    <row r="8900" spans="1:5">
      <c r="A8900" s="3" t="s">
        <v>19178</v>
      </c>
      <c r="B8900" s="110" t="s">
        <v>1347</v>
      </c>
      <c r="C8900" s="111" t="s">
        <v>19179</v>
      </c>
      <c r="D8900" s="111" t="str">
        <f t="shared" ref="D8900:E8900" si="8898">TRIM(B8900)</f>
        <v>Missouri</v>
      </c>
      <c r="E8900" s="111" t="str">
        <f t="shared" si="8898"/>
        <v>Summersville</v>
      </c>
    </row>
    <row r="8901" spans="1:5">
      <c r="A8901" s="3" t="s">
        <v>19180</v>
      </c>
      <c r="B8901" s="110" t="s">
        <v>1347</v>
      </c>
      <c r="C8901" s="111" t="s">
        <v>19181</v>
      </c>
      <c r="D8901" s="111" t="str">
        <f t="shared" ref="D8901:E8901" si="8899">TRIM(B8901)</f>
        <v>Missouri</v>
      </c>
      <c r="E8901" s="111" t="str">
        <f t="shared" si="8899"/>
        <v>Sweet Springs</v>
      </c>
    </row>
    <row r="8902" spans="1:5">
      <c r="A8902" s="3" t="s">
        <v>19182</v>
      </c>
      <c r="B8902" s="110" t="s">
        <v>1347</v>
      </c>
      <c r="C8902" s="111" t="s">
        <v>19183</v>
      </c>
      <c r="D8902" s="111" t="str">
        <f t="shared" ref="D8902:E8902" si="8900">TRIM(B8902)</f>
        <v>Missouri</v>
      </c>
      <c r="E8902" s="111" t="str">
        <f t="shared" si="8900"/>
        <v>Tarkio</v>
      </c>
    </row>
    <row r="8903" spans="1:5">
      <c r="A8903" s="3" t="s">
        <v>19184</v>
      </c>
      <c r="B8903" s="110" t="s">
        <v>1347</v>
      </c>
      <c r="C8903" s="111" t="s">
        <v>19185</v>
      </c>
      <c r="D8903" s="111" t="str">
        <f t="shared" ref="D8903:E8903" si="8901">TRIM(B8903)</f>
        <v>Missouri</v>
      </c>
      <c r="E8903" s="111" t="str">
        <f t="shared" si="8901"/>
        <v>Thayer</v>
      </c>
    </row>
    <row r="8904" spans="1:5">
      <c r="A8904" s="3" t="s">
        <v>19186</v>
      </c>
      <c r="B8904" s="110" t="s">
        <v>1347</v>
      </c>
      <c r="C8904" s="111" t="s">
        <v>19187</v>
      </c>
      <c r="D8904" s="111" t="str">
        <f t="shared" ref="D8904:E8904" si="8902">TRIM(B8904)</f>
        <v>Missouri</v>
      </c>
      <c r="E8904" s="111" t="str">
        <f t="shared" si="8902"/>
        <v>Theodosia</v>
      </c>
    </row>
    <row r="8905" spans="1:5">
      <c r="A8905" s="3" t="s">
        <v>19188</v>
      </c>
      <c r="B8905" s="110" t="s">
        <v>1347</v>
      </c>
      <c r="C8905" s="111" t="s">
        <v>19189</v>
      </c>
      <c r="D8905" s="111" t="str">
        <f t="shared" ref="D8905:E8905" si="8903">TRIM(B8905)</f>
        <v>Missouri</v>
      </c>
      <c r="E8905" s="111" t="str">
        <f t="shared" si="8903"/>
        <v>Tina</v>
      </c>
    </row>
    <row r="8906" spans="1:5">
      <c r="A8906" s="3" t="s">
        <v>14623</v>
      </c>
      <c r="B8906" s="110" t="s">
        <v>1347</v>
      </c>
      <c r="C8906" s="111" t="s">
        <v>14624</v>
      </c>
      <c r="D8906" s="111" t="str">
        <f t="shared" ref="D8906:E8906" si="8904">TRIM(B8906)</f>
        <v>Missouri</v>
      </c>
      <c r="E8906" s="111" t="str">
        <f t="shared" si="8904"/>
        <v>Tipton</v>
      </c>
    </row>
    <row r="8907" spans="1:5">
      <c r="A8907" s="110" t="s">
        <v>19190</v>
      </c>
      <c r="B8907" s="110" t="s">
        <v>1347</v>
      </c>
      <c r="C8907" s="113" t="s">
        <v>19191</v>
      </c>
      <c r="D8907" s="111" t="str">
        <f t="shared" ref="D8907:E8907" si="8905">TRIM(B8907)</f>
        <v>Missouri</v>
      </c>
      <c r="E8907" s="111" t="str">
        <f t="shared" si="8905"/>
        <v>Town And Country</v>
      </c>
    </row>
    <row r="8908" spans="1:5">
      <c r="A8908" s="3" t="s">
        <v>19192</v>
      </c>
      <c r="B8908" s="110" t="s">
        <v>1347</v>
      </c>
      <c r="C8908" s="111" t="s">
        <v>10194</v>
      </c>
      <c r="D8908" s="111" t="str">
        <f t="shared" ref="D8908:E8908" si="8906">TRIM(B8908)</f>
        <v>Missouri</v>
      </c>
      <c r="E8908" s="111" t="str">
        <f t="shared" si="8906"/>
        <v>Trenton</v>
      </c>
    </row>
    <row r="8909" spans="1:5">
      <c r="A8909" s="110" t="s">
        <v>19193</v>
      </c>
      <c r="B8909" s="110" t="s">
        <v>1347</v>
      </c>
      <c r="C8909" s="111" t="s">
        <v>2228</v>
      </c>
      <c r="D8909" s="111" t="str">
        <f t="shared" ref="D8909:E8909" si="8907">TRIM(B8909)</f>
        <v>Missouri</v>
      </c>
      <c r="E8909" s="111" t="str">
        <f t="shared" si="8907"/>
        <v>Troy</v>
      </c>
    </row>
    <row r="8910" spans="1:5">
      <c r="A8910" s="3" t="s">
        <v>19194</v>
      </c>
      <c r="B8910" s="110" t="s">
        <v>1347</v>
      </c>
      <c r="C8910" s="111" t="s">
        <v>2228</v>
      </c>
      <c r="D8910" s="111" t="str">
        <f t="shared" ref="D8910:E8910" si="8908">TRIM(B8910)</f>
        <v>Missouri</v>
      </c>
      <c r="E8910" s="111" t="str">
        <f t="shared" si="8908"/>
        <v>Troy</v>
      </c>
    </row>
    <row r="8911" spans="1:5">
      <c r="A8911" s="3" t="s">
        <v>19195</v>
      </c>
      <c r="B8911" s="110" t="s">
        <v>1347</v>
      </c>
      <c r="C8911" s="111" t="s">
        <v>2243</v>
      </c>
      <c r="D8911" s="111" t="str">
        <f t="shared" ref="D8911:E8911" si="8909">TRIM(B8911)</f>
        <v>Missouri</v>
      </c>
      <c r="E8911" s="111" t="str">
        <f t="shared" si="8909"/>
        <v>Tuscumbia</v>
      </c>
    </row>
    <row r="8912" spans="1:5">
      <c r="A8912" s="3" t="s">
        <v>14909</v>
      </c>
      <c r="B8912" s="110" t="s">
        <v>1347</v>
      </c>
      <c r="C8912" s="111" t="s">
        <v>483</v>
      </c>
      <c r="D8912" s="111" t="str">
        <f t="shared" ref="D8912:E8912" si="8910">TRIM(B8912)</f>
        <v>Missouri</v>
      </c>
      <c r="E8912" s="111" t="str">
        <f t="shared" si="8910"/>
        <v>Union</v>
      </c>
    </row>
    <row r="8913" spans="1:5">
      <c r="A8913" s="3" t="s">
        <v>19196</v>
      </c>
      <c r="B8913" s="110" t="s">
        <v>1347</v>
      </c>
      <c r="C8913" s="111" t="s">
        <v>19197</v>
      </c>
      <c r="D8913" s="111" t="str">
        <f t="shared" ref="D8913:E8913" si="8911">TRIM(B8913)</f>
        <v>Missouri</v>
      </c>
      <c r="E8913" s="111" t="str">
        <f t="shared" si="8911"/>
        <v>Union Star</v>
      </c>
    </row>
    <row r="8914" spans="1:5">
      <c r="A8914" s="3" t="s">
        <v>19198</v>
      </c>
      <c r="B8914" s="110" t="s">
        <v>1347</v>
      </c>
      <c r="C8914" s="111" t="s">
        <v>19199</v>
      </c>
      <c r="D8914" s="111" t="str">
        <f t="shared" ref="D8914:E8914" si="8912">TRIM(B8914)</f>
        <v>Missouri</v>
      </c>
      <c r="E8914" s="111" t="str">
        <f t="shared" si="8912"/>
        <v>Unionville</v>
      </c>
    </row>
    <row r="8915" spans="1:5">
      <c r="A8915" s="3" t="s">
        <v>19200</v>
      </c>
      <c r="B8915" s="110" t="s">
        <v>1347</v>
      </c>
      <c r="C8915" s="111" t="s">
        <v>19201</v>
      </c>
      <c r="D8915" s="111" t="str">
        <f t="shared" ref="D8915:E8915" si="8913">TRIM(B8915)</f>
        <v>Missouri</v>
      </c>
      <c r="E8915" s="111" t="str">
        <f t="shared" si="8913"/>
        <v>University City</v>
      </c>
    </row>
    <row r="8916" spans="1:5">
      <c r="A8916" s="3" t="s">
        <v>2853</v>
      </c>
      <c r="B8916" s="110" t="s">
        <v>1347</v>
      </c>
      <c r="C8916" s="111" t="s">
        <v>13936</v>
      </c>
      <c r="D8916" s="111" t="str">
        <f t="shared" ref="D8916:E8916" si="8914">TRIM(B8916)</f>
        <v>Missouri</v>
      </c>
      <c r="E8916" s="111" t="str">
        <f t="shared" si="8914"/>
        <v>Urbana</v>
      </c>
    </row>
    <row r="8917" spans="1:5">
      <c r="A8917" s="3" t="s">
        <v>19202</v>
      </c>
      <c r="B8917" s="110" t="s">
        <v>1347</v>
      </c>
      <c r="C8917" s="111" t="s">
        <v>11766</v>
      </c>
      <c r="D8917" s="111" t="str">
        <f t="shared" ref="D8917:E8917" si="8915">TRIM(B8917)</f>
        <v>Missouri</v>
      </c>
      <c r="E8917" s="111" t="str">
        <f t="shared" si="8915"/>
        <v>Valley Park</v>
      </c>
    </row>
    <row r="8918" spans="1:5">
      <c r="A8918" s="3" t="s">
        <v>4249</v>
      </c>
      <c r="B8918" s="110" t="s">
        <v>1347</v>
      </c>
      <c r="C8918" s="111" t="s">
        <v>4250</v>
      </c>
      <c r="D8918" s="111" t="str">
        <f t="shared" ref="D8918:E8918" si="8916">TRIM(B8918)</f>
        <v>Missouri</v>
      </c>
      <c r="E8918" s="111" t="str">
        <f t="shared" si="8916"/>
        <v>Van Buren</v>
      </c>
    </row>
    <row r="8919" spans="1:5">
      <c r="A8919" s="3" t="s">
        <v>19203</v>
      </c>
      <c r="B8919" s="110" t="s">
        <v>1347</v>
      </c>
      <c r="C8919" s="111" t="s">
        <v>13944</v>
      </c>
      <c r="D8919" s="111" t="str">
        <f t="shared" ref="D8919:E8919" si="8917">TRIM(B8919)</f>
        <v>Missouri</v>
      </c>
      <c r="E8919" s="111" t="str">
        <f t="shared" si="8917"/>
        <v>Vandalia</v>
      </c>
    </row>
    <row r="8920" spans="1:5">
      <c r="A8920" s="3" t="s">
        <v>19204</v>
      </c>
      <c r="B8920" s="110" t="s">
        <v>1347</v>
      </c>
      <c r="C8920" s="111" t="s">
        <v>19205</v>
      </c>
      <c r="D8920" s="111" t="str">
        <f t="shared" ref="D8920:E8920" si="8918">TRIM(B8920)</f>
        <v>Missouri</v>
      </c>
      <c r="E8920" s="111" t="str">
        <f t="shared" si="8918"/>
        <v>Verona</v>
      </c>
    </row>
    <row r="8921" spans="1:5">
      <c r="A8921" s="3" t="s">
        <v>19206</v>
      </c>
      <c r="B8921" s="110" t="s">
        <v>1347</v>
      </c>
      <c r="C8921" s="111" t="s">
        <v>14640</v>
      </c>
      <c r="D8921" s="111" t="str">
        <f t="shared" ref="D8921:E8921" si="8919">TRIM(B8921)</f>
        <v>Missouri</v>
      </c>
      <c r="E8921" s="111" t="str">
        <f t="shared" si="8919"/>
        <v>Versailles</v>
      </c>
    </row>
    <row r="8922" spans="1:5">
      <c r="A8922" s="3" t="s">
        <v>19207</v>
      </c>
      <c r="B8922" s="110" t="s">
        <v>1347</v>
      </c>
      <c r="C8922" s="111" t="s">
        <v>19208</v>
      </c>
      <c r="D8922" s="111" t="str">
        <f t="shared" ref="D8922:E8922" si="8920">TRIM(B8922)</f>
        <v>Missouri</v>
      </c>
      <c r="E8922" s="111" t="str">
        <f t="shared" si="8920"/>
        <v>Viburnum</v>
      </c>
    </row>
    <row r="8923" spans="1:5">
      <c r="A8923" s="3" t="s">
        <v>13952</v>
      </c>
      <c r="B8923" s="110" t="s">
        <v>1347</v>
      </c>
      <c r="C8923" s="111" t="s">
        <v>11397</v>
      </c>
      <c r="D8923" s="111" t="str">
        <f t="shared" ref="D8923:E8923" si="8921">TRIM(B8923)</f>
        <v>Missouri</v>
      </c>
      <c r="E8923" s="111" t="str">
        <f t="shared" si="8921"/>
        <v>Vienna</v>
      </c>
    </row>
    <row r="8924" spans="1:5">
      <c r="A8924" s="3" t="s">
        <v>19209</v>
      </c>
      <c r="B8924" s="110" t="s">
        <v>1347</v>
      </c>
      <c r="C8924" s="111" t="s">
        <v>2712</v>
      </c>
      <c r="D8924" s="111" t="str">
        <f t="shared" ref="D8924:E8924" si="8922">TRIM(B8924)</f>
        <v>Missouri</v>
      </c>
      <c r="E8924" s="111" t="str">
        <f t="shared" si="8922"/>
        <v>Walker</v>
      </c>
    </row>
    <row r="8925" spans="1:5">
      <c r="A8925" s="3" t="s">
        <v>10999</v>
      </c>
      <c r="B8925" s="110" t="s">
        <v>1347</v>
      </c>
      <c r="C8925" s="111" t="s">
        <v>2268</v>
      </c>
      <c r="D8925" s="111" t="str">
        <f t="shared" ref="D8925:E8925" si="8923">TRIM(B8925)</f>
        <v>Missouri</v>
      </c>
      <c r="E8925" s="111" t="str">
        <f t="shared" si="8923"/>
        <v>Walnut Grove</v>
      </c>
    </row>
    <row r="8926" spans="1:5">
      <c r="A8926" s="3" t="s">
        <v>19210</v>
      </c>
      <c r="B8926" s="110" t="s">
        <v>1347</v>
      </c>
      <c r="C8926" s="111" t="s">
        <v>19211</v>
      </c>
      <c r="D8926" s="111" t="str">
        <f t="shared" ref="D8926:E8926" si="8924">TRIM(B8926)</f>
        <v>Missouri</v>
      </c>
      <c r="E8926" s="111" t="str">
        <f t="shared" si="8924"/>
        <v>Wardell</v>
      </c>
    </row>
    <row r="8927" spans="1:5">
      <c r="A8927" s="3" t="s">
        <v>19212</v>
      </c>
      <c r="B8927" s="110" t="s">
        <v>1347</v>
      </c>
      <c r="C8927" s="111" t="s">
        <v>13975</v>
      </c>
      <c r="D8927" s="111" t="str">
        <f t="shared" ref="D8927:E8927" si="8925">TRIM(B8927)</f>
        <v>Missouri</v>
      </c>
      <c r="E8927" s="111" t="str">
        <f t="shared" si="8925"/>
        <v>Warrensburg</v>
      </c>
    </row>
    <row r="8928" spans="1:5">
      <c r="A8928" s="3" t="s">
        <v>19213</v>
      </c>
      <c r="B8928" s="110" t="s">
        <v>1347</v>
      </c>
      <c r="C8928" s="111" t="s">
        <v>10280</v>
      </c>
      <c r="D8928" s="111" t="str">
        <f t="shared" ref="D8928:E8928" si="8926">TRIM(B8928)</f>
        <v>Missouri</v>
      </c>
      <c r="E8928" s="111" t="str">
        <f t="shared" si="8926"/>
        <v>Warrenton</v>
      </c>
    </row>
    <row r="8929" spans="1:5">
      <c r="A8929" s="3" t="s">
        <v>19214</v>
      </c>
      <c r="B8929" s="110" t="s">
        <v>1347</v>
      </c>
      <c r="C8929" s="111" t="s">
        <v>13979</v>
      </c>
      <c r="D8929" s="111" t="str">
        <f t="shared" ref="D8929:E8929" si="8927">TRIM(B8929)</f>
        <v>Missouri</v>
      </c>
      <c r="E8929" s="111" t="str">
        <f t="shared" si="8927"/>
        <v>Warsaw</v>
      </c>
    </row>
    <row r="8930" spans="1:5">
      <c r="A8930" s="3" t="s">
        <v>4893</v>
      </c>
      <c r="B8930" s="110" t="s">
        <v>1347</v>
      </c>
      <c r="C8930" s="111" t="s">
        <v>13983</v>
      </c>
      <c r="D8930" s="111" t="str">
        <f t="shared" ref="D8930:E8930" si="8928">TRIM(B8930)</f>
        <v>Missouri</v>
      </c>
      <c r="E8930" s="111" t="str">
        <f t="shared" si="8928"/>
        <v>Washburn</v>
      </c>
    </row>
    <row r="8931" spans="1:5">
      <c r="A8931" s="3" t="s">
        <v>3140</v>
      </c>
      <c r="B8931" s="110" t="s">
        <v>1347</v>
      </c>
      <c r="C8931" s="111" t="s">
        <v>276</v>
      </c>
      <c r="D8931" s="111" t="str">
        <f t="shared" ref="D8931:E8931" si="8929">TRIM(B8931)</f>
        <v>Missouri</v>
      </c>
      <c r="E8931" s="111" t="str">
        <f t="shared" si="8929"/>
        <v>Washington</v>
      </c>
    </row>
    <row r="8932" spans="1:5">
      <c r="A8932" s="110" t="s">
        <v>19215</v>
      </c>
      <c r="B8932" s="110" t="s">
        <v>1347</v>
      </c>
      <c r="C8932" s="111" t="s">
        <v>517</v>
      </c>
      <c r="D8932" s="111" t="str">
        <f t="shared" ref="D8932:E8932" si="8930">TRIM(B8932)</f>
        <v>Missouri</v>
      </c>
      <c r="E8932" s="111" t="str">
        <f t="shared" si="8930"/>
        <v>Waverly</v>
      </c>
    </row>
    <row r="8933" spans="1:5">
      <c r="A8933" s="3" t="s">
        <v>19216</v>
      </c>
      <c r="B8933" s="110" t="s">
        <v>1347</v>
      </c>
      <c r="C8933" s="111" t="s">
        <v>19217</v>
      </c>
      <c r="D8933" s="111" t="str">
        <f t="shared" ref="D8933:E8933" si="8931">TRIM(B8933)</f>
        <v>Missouri</v>
      </c>
      <c r="E8933" s="111" t="str">
        <f t="shared" si="8931"/>
        <v>Waynesville</v>
      </c>
    </row>
    <row r="8934" spans="1:5">
      <c r="A8934" s="3" t="s">
        <v>19218</v>
      </c>
      <c r="B8934" s="110" t="s">
        <v>1347</v>
      </c>
      <c r="C8934" s="111" t="s">
        <v>19219</v>
      </c>
      <c r="D8934" s="111" t="str">
        <f t="shared" ref="D8934:E8934" si="8932">TRIM(B8934)</f>
        <v>Missouri</v>
      </c>
      <c r="E8934" s="111" t="str">
        <f t="shared" si="8932"/>
        <v>Weaubleau</v>
      </c>
    </row>
    <row r="8935" spans="1:5">
      <c r="A8935" s="3" t="s">
        <v>19220</v>
      </c>
      <c r="B8935" s="110" t="s">
        <v>1347</v>
      </c>
      <c r="C8935" s="111" t="s">
        <v>19221</v>
      </c>
      <c r="D8935" s="111" t="str">
        <f t="shared" ref="D8935:E8935" si="8933">TRIM(B8935)</f>
        <v>Missouri</v>
      </c>
      <c r="E8935" s="111" t="str">
        <f t="shared" si="8933"/>
        <v>Webb City</v>
      </c>
    </row>
    <row r="8936" spans="1:5">
      <c r="A8936" s="3" t="s">
        <v>19222</v>
      </c>
      <c r="B8936" s="110" t="s">
        <v>1347</v>
      </c>
      <c r="C8936" s="111" t="s">
        <v>8522</v>
      </c>
      <c r="D8936" s="111" t="str">
        <f t="shared" ref="D8936:E8936" si="8934">TRIM(B8936)</f>
        <v>Missouri</v>
      </c>
      <c r="E8936" s="111" t="str">
        <f t="shared" si="8934"/>
        <v>Wellington</v>
      </c>
    </row>
    <row r="8937" spans="1:5">
      <c r="A8937" s="110" t="s">
        <v>19223</v>
      </c>
      <c r="B8937" s="110" t="s">
        <v>1347</v>
      </c>
      <c r="C8937" s="111" t="s">
        <v>19224</v>
      </c>
      <c r="D8937" s="111" t="str">
        <f t="shared" ref="D8937:E8937" si="8935">TRIM(B8937)</f>
        <v>Missouri</v>
      </c>
      <c r="E8937" s="111" t="str">
        <f t="shared" si="8935"/>
        <v>Wellston</v>
      </c>
    </row>
    <row r="8938" spans="1:5">
      <c r="A8938" s="3" t="s">
        <v>19225</v>
      </c>
      <c r="B8938" s="110" t="s">
        <v>1347</v>
      </c>
      <c r="C8938" s="111" t="s">
        <v>15577</v>
      </c>
      <c r="D8938" s="111" t="str">
        <f t="shared" ref="D8938:E8938" si="8936">TRIM(B8938)</f>
        <v>Missouri</v>
      </c>
      <c r="E8938" s="111" t="str">
        <f t="shared" si="8936"/>
        <v>Wellsville</v>
      </c>
    </row>
    <row r="8939" spans="1:5">
      <c r="A8939" s="3" t="s">
        <v>19226</v>
      </c>
      <c r="B8939" s="110" t="s">
        <v>1347</v>
      </c>
      <c r="C8939" s="111" t="s">
        <v>19227</v>
      </c>
      <c r="D8939" s="111" t="str">
        <f t="shared" ref="D8939:E8939" si="8937">TRIM(B8939)</f>
        <v>Missouri</v>
      </c>
      <c r="E8939" s="111" t="str">
        <f t="shared" si="8937"/>
        <v>Wentzville</v>
      </c>
    </row>
    <row r="8940" spans="1:5">
      <c r="A8940" s="3" t="s">
        <v>19228</v>
      </c>
      <c r="B8940" s="110" t="s">
        <v>1347</v>
      </c>
      <c r="C8940" s="111" t="s">
        <v>19227</v>
      </c>
      <c r="D8940" s="111" t="str">
        <f t="shared" ref="D8940:E8940" si="8938">TRIM(B8940)</f>
        <v>Missouri</v>
      </c>
      <c r="E8940" s="111" t="str">
        <f t="shared" si="8938"/>
        <v>Wentzville</v>
      </c>
    </row>
    <row r="8941" spans="1:5">
      <c r="A8941" s="3" t="s">
        <v>19229</v>
      </c>
      <c r="B8941" s="110" t="s">
        <v>1347</v>
      </c>
      <c r="C8941" s="111" t="s">
        <v>19230</v>
      </c>
      <c r="D8941" s="111" t="str">
        <f t="shared" ref="D8941:E8941" si="8939">TRIM(B8941)</f>
        <v>Missouri</v>
      </c>
      <c r="E8941" s="111" t="str">
        <f t="shared" si="8939"/>
        <v>West Plains</v>
      </c>
    </row>
    <row r="8942" spans="1:5">
      <c r="A8942" s="3" t="s">
        <v>19231</v>
      </c>
      <c r="B8942" s="110" t="s">
        <v>1347</v>
      </c>
      <c r="C8942" s="111" t="s">
        <v>8298</v>
      </c>
      <c r="D8942" s="111" t="str">
        <f t="shared" ref="D8942:E8942" si="8940">TRIM(B8942)</f>
        <v>Missouri</v>
      </c>
      <c r="E8942" s="111" t="str">
        <f t="shared" si="8940"/>
        <v>Weston</v>
      </c>
    </row>
    <row r="8943" spans="1:5">
      <c r="A8943" s="3" t="s">
        <v>19232</v>
      </c>
      <c r="B8943" s="110" t="s">
        <v>1347</v>
      </c>
      <c r="C8943" s="111" t="s">
        <v>17665</v>
      </c>
      <c r="D8943" s="111" t="str">
        <f t="shared" ref="D8943:E8943" si="8941">TRIM(B8943)</f>
        <v>Missouri</v>
      </c>
      <c r="E8943" s="111" t="str">
        <f t="shared" si="8941"/>
        <v>Westphalia</v>
      </c>
    </row>
    <row r="8944" spans="1:5">
      <c r="A8944" s="3" t="s">
        <v>15288</v>
      </c>
      <c r="B8944" s="110" t="s">
        <v>1347</v>
      </c>
      <c r="C8944" s="111" t="s">
        <v>7487</v>
      </c>
      <c r="D8944" s="111" t="str">
        <f t="shared" ref="D8944:E8944" si="8942">TRIM(B8944)</f>
        <v>Missouri</v>
      </c>
      <c r="E8944" s="111" t="str">
        <f t="shared" si="8942"/>
        <v>Wheatland</v>
      </c>
    </row>
    <row r="8945" spans="1:5">
      <c r="A8945" s="3" t="s">
        <v>16500</v>
      </c>
      <c r="B8945" s="110" t="s">
        <v>1347</v>
      </c>
      <c r="C8945" s="111" t="s">
        <v>10632</v>
      </c>
      <c r="D8945" s="111" t="str">
        <f t="shared" ref="D8945:E8945" si="8943">TRIM(B8945)</f>
        <v>Missouri</v>
      </c>
      <c r="E8945" s="111" t="str">
        <f t="shared" si="8943"/>
        <v>Wheaton</v>
      </c>
    </row>
    <row r="8946" spans="1:5">
      <c r="A8946" s="3" t="s">
        <v>19233</v>
      </c>
      <c r="B8946" s="110" t="s">
        <v>1347</v>
      </c>
      <c r="C8946" s="111" t="s">
        <v>6793</v>
      </c>
      <c r="D8946" s="111" t="str">
        <f t="shared" ref="D8946:E8946" si="8944">TRIM(B8946)</f>
        <v>Missouri</v>
      </c>
      <c r="E8946" s="111" t="str">
        <f t="shared" si="8944"/>
        <v>Wildwood</v>
      </c>
    </row>
    <row r="8947" spans="1:5">
      <c r="A8947" s="3" t="s">
        <v>19234</v>
      </c>
      <c r="B8947" s="110" t="s">
        <v>1347</v>
      </c>
      <c r="C8947" s="111" t="s">
        <v>19235</v>
      </c>
      <c r="D8947" s="111" t="str">
        <f t="shared" ref="D8947:E8947" si="8945">TRIM(B8947)</f>
        <v>Missouri</v>
      </c>
      <c r="E8947" s="111" t="str">
        <f t="shared" si="8945"/>
        <v>Willard</v>
      </c>
    </row>
    <row r="8948" spans="1:5">
      <c r="A8948" s="3" t="s">
        <v>19236</v>
      </c>
      <c r="B8948" s="110" t="s">
        <v>1347</v>
      </c>
      <c r="C8948" s="111" t="s">
        <v>19237</v>
      </c>
      <c r="D8948" s="111" t="str">
        <f t="shared" ref="D8948:E8948" si="8946">TRIM(B8948)</f>
        <v>Missouri</v>
      </c>
      <c r="E8948" s="111" t="str">
        <f t="shared" si="8946"/>
        <v>Willow Springs</v>
      </c>
    </row>
    <row r="8949" spans="1:5">
      <c r="A8949" s="3" t="s">
        <v>7523</v>
      </c>
      <c r="B8949" s="110" t="s">
        <v>1347</v>
      </c>
      <c r="C8949" s="111" t="s">
        <v>7524</v>
      </c>
      <c r="D8949" s="111" t="str">
        <f t="shared" ref="D8949:E8949" si="8947">TRIM(B8949)</f>
        <v>Missouri</v>
      </c>
      <c r="E8949" s="111" t="str">
        <f t="shared" si="8947"/>
        <v>Windsor</v>
      </c>
    </row>
    <row r="8950" spans="1:5">
      <c r="A8950" s="3" t="s">
        <v>2282</v>
      </c>
      <c r="B8950" s="110" t="s">
        <v>1347</v>
      </c>
      <c r="C8950" s="111" t="s">
        <v>2284</v>
      </c>
      <c r="D8950" s="111" t="str">
        <f t="shared" ref="D8950:E8950" si="8948">TRIM(B8950)</f>
        <v>Missouri</v>
      </c>
      <c r="E8950" s="111" t="str">
        <f t="shared" si="8948"/>
        <v>Winfield</v>
      </c>
    </row>
    <row r="8951" spans="1:5">
      <c r="A8951" s="3" t="s">
        <v>15596</v>
      </c>
      <c r="B8951" s="110" t="s">
        <v>1347</v>
      </c>
      <c r="C8951" s="111" t="s">
        <v>11533</v>
      </c>
      <c r="D8951" s="111" t="str">
        <f t="shared" ref="D8951:E8951" si="8949">TRIM(B8951)</f>
        <v>Missouri</v>
      </c>
      <c r="E8951" s="111" t="str">
        <f t="shared" si="8949"/>
        <v>Winona</v>
      </c>
    </row>
    <row r="8952" spans="1:5">
      <c r="A8952" s="3" t="s">
        <v>19238</v>
      </c>
      <c r="B8952" s="110" t="s">
        <v>1347</v>
      </c>
      <c r="C8952" s="111" t="s">
        <v>19239</v>
      </c>
      <c r="D8952" s="111" t="str">
        <f t="shared" ref="D8952:E8952" si="8950">TRIM(B8952)</f>
        <v>Missouri</v>
      </c>
      <c r="E8952" s="111" t="str">
        <f t="shared" si="8950"/>
        <v>Winston</v>
      </c>
    </row>
    <row r="8953" spans="1:5">
      <c r="A8953" s="3" t="s">
        <v>19240</v>
      </c>
      <c r="B8953" s="110" t="s">
        <v>1347</v>
      </c>
      <c r="C8953" s="111" t="s">
        <v>19241</v>
      </c>
      <c r="D8953" s="111" t="str">
        <f t="shared" ref="D8953:E8953" si="8951">TRIM(B8953)</f>
        <v>Missouri</v>
      </c>
      <c r="E8953" s="111" t="str">
        <f t="shared" si="8951"/>
        <v>Wright City</v>
      </c>
    </row>
    <row r="8954" spans="1:5">
      <c r="A8954" s="3" t="s">
        <v>19242</v>
      </c>
      <c r="B8954" s="110" t="s">
        <v>1347</v>
      </c>
      <c r="C8954" s="111" t="s">
        <v>19243</v>
      </c>
      <c r="D8954" s="111" t="str">
        <f t="shared" ref="D8954:E8954" si="8952">TRIM(B8954)</f>
        <v>Missouri</v>
      </c>
      <c r="E8954" s="111" t="str">
        <f t="shared" si="8952"/>
        <v>Zalma</v>
      </c>
    </row>
    <row r="8955" spans="1:5">
      <c r="A8955" s="3" t="s">
        <v>19244</v>
      </c>
      <c r="B8955" s="110" t="s">
        <v>1349</v>
      </c>
      <c r="C8955" s="111" t="s">
        <v>19245</v>
      </c>
      <c r="D8955" s="111" t="str">
        <f t="shared" ref="D8955:E8955" si="8953">TRIM(B8955)</f>
        <v>Montana</v>
      </c>
      <c r="E8955" s="111" t="str">
        <f t="shared" si="8953"/>
        <v>Absarokee</v>
      </c>
    </row>
    <row r="8956" spans="1:5">
      <c r="A8956" s="3" t="s">
        <v>19246</v>
      </c>
      <c r="B8956" s="110" t="s">
        <v>1349</v>
      </c>
      <c r="C8956" s="111" t="s">
        <v>19247</v>
      </c>
      <c r="D8956" s="111" t="str">
        <f t="shared" ref="D8956:E8956" si="8954">TRIM(B8956)</f>
        <v>Montana</v>
      </c>
      <c r="E8956" s="111" t="str">
        <f t="shared" si="8954"/>
        <v>Alberton</v>
      </c>
    </row>
    <row r="8957" spans="1:5">
      <c r="A8957" s="3" t="s">
        <v>19248</v>
      </c>
      <c r="B8957" s="110" t="s">
        <v>1349</v>
      </c>
      <c r="C8957" s="111" t="s">
        <v>19249</v>
      </c>
      <c r="D8957" s="111" t="str">
        <f t="shared" ref="D8957:E8957" si="8955">TRIM(B8957)</f>
        <v>Montana</v>
      </c>
      <c r="E8957" s="111" t="str">
        <f t="shared" si="8955"/>
        <v>Anaconda</v>
      </c>
    </row>
    <row r="8958" spans="1:5">
      <c r="A8958" s="3" t="s">
        <v>19250</v>
      </c>
      <c r="B8958" s="110" t="s">
        <v>1349</v>
      </c>
      <c r="C8958" s="111" t="s">
        <v>19251</v>
      </c>
      <c r="D8958" s="111" t="str">
        <f t="shared" ref="D8958:E8958" si="8956">TRIM(B8958)</f>
        <v>Montana</v>
      </c>
      <c r="E8958" s="111" t="str">
        <f t="shared" si="8956"/>
        <v>Arlee</v>
      </c>
    </row>
    <row r="8959" spans="1:5">
      <c r="A8959" s="3" t="s">
        <v>3573</v>
      </c>
      <c r="B8959" s="110" t="s">
        <v>1349</v>
      </c>
      <c r="C8959" s="111" t="s">
        <v>337</v>
      </c>
      <c r="D8959" s="111" t="str">
        <f t="shared" ref="D8959:E8959" si="8957">TRIM(B8959)</f>
        <v>Montana</v>
      </c>
      <c r="E8959" s="111" t="str">
        <f t="shared" si="8957"/>
        <v>Augusta</v>
      </c>
    </row>
    <row r="8960" spans="1:5">
      <c r="A8960" s="3" t="s">
        <v>19252</v>
      </c>
      <c r="B8960" s="110" t="s">
        <v>1349</v>
      </c>
      <c r="C8960" s="111" t="s">
        <v>19253</v>
      </c>
      <c r="D8960" s="111" t="str">
        <f t="shared" ref="D8960:E8960" si="8958">TRIM(B8960)</f>
        <v>Montana</v>
      </c>
      <c r="E8960" s="111" t="str">
        <f t="shared" si="8958"/>
        <v>Bainville</v>
      </c>
    </row>
    <row r="8961" spans="1:5">
      <c r="A8961" s="3" t="s">
        <v>1961</v>
      </c>
      <c r="B8961" s="110" t="s">
        <v>1349</v>
      </c>
      <c r="C8961" s="111" t="s">
        <v>4415</v>
      </c>
      <c r="D8961" s="111" t="str">
        <f t="shared" ref="D8961:E8961" si="8959">TRIM(B8961)</f>
        <v>Montana</v>
      </c>
      <c r="E8961" s="111" t="str">
        <f t="shared" si="8959"/>
        <v>Baker</v>
      </c>
    </row>
    <row r="8962" spans="1:5">
      <c r="A8962" s="3" t="s">
        <v>15617</v>
      </c>
      <c r="B8962" s="110" t="s">
        <v>1349</v>
      </c>
      <c r="C8962" s="111" t="s">
        <v>15618</v>
      </c>
      <c r="D8962" s="111" t="str">
        <f t="shared" ref="D8962:E8962" si="8960">TRIM(B8962)</f>
        <v>Montana</v>
      </c>
      <c r="E8962" s="111" t="str">
        <f t="shared" si="8960"/>
        <v>Belfry</v>
      </c>
    </row>
    <row r="8963" spans="1:5">
      <c r="A8963" s="3" t="s">
        <v>19254</v>
      </c>
      <c r="B8963" s="110" t="s">
        <v>1349</v>
      </c>
      <c r="C8963" s="111" t="s">
        <v>17741</v>
      </c>
      <c r="D8963" s="111" t="str">
        <f t="shared" ref="D8963:E8963" si="8961">TRIM(B8963)</f>
        <v>Montana</v>
      </c>
      <c r="E8963" s="111" t="str">
        <f t="shared" si="8961"/>
        <v>Belgrade</v>
      </c>
    </row>
    <row r="8964" spans="1:5">
      <c r="A8964" s="3" t="s">
        <v>19255</v>
      </c>
      <c r="B8964" s="110" t="s">
        <v>1349</v>
      </c>
      <c r="C8964" s="111" t="s">
        <v>6234</v>
      </c>
      <c r="D8964" s="111" t="str">
        <f t="shared" ref="D8964:E8964" si="8962">TRIM(B8964)</f>
        <v>Montana</v>
      </c>
      <c r="E8964" s="111" t="str">
        <f t="shared" si="8962"/>
        <v>Belt</v>
      </c>
    </row>
    <row r="8965" spans="1:5">
      <c r="A8965" s="3" t="s">
        <v>19256</v>
      </c>
      <c r="B8965" s="110" t="s">
        <v>1349</v>
      </c>
      <c r="C8965" s="111" t="s">
        <v>19257</v>
      </c>
      <c r="D8965" s="111" t="str">
        <f t="shared" ref="D8965:E8965" si="8963">TRIM(B8965)</f>
        <v>Montana</v>
      </c>
      <c r="E8965" s="111" t="str">
        <f t="shared" si="8963"/>
        <v>Big Sandy</v>
      </c>
    </row>
    <row r="8966" spans="1:5">
      <c r="A8966" s="3" t="s">
        <v>19258</v>
      </c>
      <c r="B8966" s="110" t="s">
        <v>1349</v>
      </c>
      <c r="C8966" s="111" t="s">
        <v>19259</v>
      </c>
      <c r="D8966" s="111" t="str">
        <f t="shared" ref="D8966:E8966" si="8964">TRIM(B8966)</f>
        <v>Montana</v>
      </c>
      <c r="E8966" s="111" t="str">
        <f t="shared" si="8964"/>
        <v>Big Sky</v>
      </c>
    </row>
    <row r="8967" spans="1:5">
      <c r="A8967" s="3" t="s">
        <v>19260</v>
      </c>
      <c r="B8967" s="110" t="s">
        <v>1349</v>
      </c>
      <c r="C8967" s="111" t="s">
        <v>19261</v>
      </c>
      <c r="D8967" s="111" t="str">
        <f t="shared" ref="D8967:E8967" si="8965">TRIM(B8967)</f>
        <v>Montana</v>
      </c>
      <c r="E8967" s="111" t="str">
        <f t="shared" si="8965"/>
        <v>Big Timber</v>
      </c>
    </row>
    <row r="8968" spans="1:5">
      <c r="A8968" s="3" t="s">
        <v>19262</v>
      </c>
      <c r="B8968" s="110" t="s">
        <v>1349</v>
      </c>
      <c r="C8968" s="111" t="s">
        <v>17753</v>
      </c>
      <c r="D8968" s="111" t="str">
        <f t="shared" ref="D8968:E8968" si="8966">TRIM(B8968)</f>
        <v>Montana</v>
      </c>
      <c r="E8968" s="111" t="str">
        <f t="shared" si="8966"/>
        <v>Bigfork</v>
      </c>
    </row>
    <row r="8969" spans="1:5">
      <c r="A8969" s="3" t="s">
        <v>19263</v>
      </c>
      <c r="B8969" s="110" t="s">
        <v>1349</v>
      </c>
      <c r="C8969" s="111" t="s">
        <v>556</v>
      </c>
      <c r="D8969" s="111" t="str">
        <f t="shared" ref="D8969:E8969" si="8967">TRIM(B8969)</f>
        <v>Montana</v>
      </c>
      <c r="E8969" s="111" t="str">
        <f t="shared" si="8967"/>
        <v>Billings</v>
      </c>
    </row>
    <row r="8970" spans="1:5">
      <c r="A8970" s="3" t="s">
        <v>19264</v>
      </c>
      <c r="B8970" s="110" t="s">
        <v>1349</v>
      </c>
      <c r="C8970" s="111" t="s">
        <v>556</v>
      </c>
      <c r="D8970" s="111" t="str">
        <f t="shared" ref="D8970:E8970" si="8968">TRIM(B8970)</f>
        <v>Montana</v>
      </c>
      <c r="E8970" s="111" t="str">
        <f t="shared" si="8968"/>
        <v>Billings</v>
      </c>
    </row>
    <row r="8971" spans="1:5">
      <c r="A8971" s="3" t="s">
        <v>3467</v>
      </c>
      <c r="B8971" s="110" t="s">
        <v>1349</v>
      </c>
      <c r="C8971" s="111" t="s">
        <v>556</v>
      </c>
      <c r="D8971" s="111" t="str">
        <f t="shared" ref="D8971:E8971" si="8969">TRIM(B8971)</f>
        <v>Montana</v>
      </c>
      <c r="E8971" s="111" t="str">
        <f t="shared" si="8969"/>
        <v>Billings</v>
      </c>
    </row>
    <row r="8972" spans="1:5">
      <c r="A8972" s="3" t="s">
        <v>4802</v>
      </c>
      <c r="B8972" s="110" t="s">
        <v>1349</v>
      </c>
      <c r="C8972" s="111" t="s">
        <v>7638</v>
      </c>
      <c r="D8972" s="111" t="str">
        <f t="shared" ref="D8972:E8972" si="8970">TRIM(B8972)</f>
        <v>Montana</v>
      </c>
      <c r="E8972" s="111" t="str">
        <f t="shared" si="8970"/>
        <v>Boulder</v>
      </c>
    </row>
    <row r="8973" spans="1:5">
      <c r="A8973" s="3" t="s">
        <v>19265</v>
      </c>
      <c r="B8973" s="110" t="s">
        <v>1349</v>
      </c>
      <c r="C8973" s="112" t="s">
        <v>19266</v>
      </c>
      <c r="D8973" s="111" t="str">
        <f t="shared" ref="D8973:E8973" si="8971">TRIM(B8973)</f>
        <v>Montana</v>
      </c>
      <c r="E8973" s="111" t="str">
        <f t="shared" si="8971"/>
        <v>Box Elder</v>
      </c>
    </row>
    <row r="8974" spans="1:5">
      <c r="A8974" s="3" t="s">
        <v>19267</v>
      </c>
      <c r="B8974" s="110" t="s">
        <v>1349</v>
      </c>
      <c r="C8974" s="111" t="s">
        <v>19266</v>
      </c>
      <c r="D8974" s="111" t="str">
        <f t="shared" ref="D8974:E8974" si="8972">TRIM(B8974)</f>
        <v>Montana</v>
      </c>
      <c r="E8974" s="111" t="str">
        <f t="shared" si="8972"/>
        <v>Box Elder</v>
      </c>
    </row>
    <row r="8975" spans="1:5">
      <c r="A8975" s="3" t="s">
        <v>19268</v>
      </c>
      <c r="B8975" s="110" t="s">
        <v>1349</v>
      </c>
      <c r="C8975" s="111" t="s">
        <v>11870</v>
      </c>
      <c r="D8975" s="111" t="str">
        <f t="shared" ref="D8975:E8975" si="8973">TRIM(B8975)</f>
        <v>Montana</v>
      </c>
      <c r="E8975" s="111" t="str">
        <f t="shared" si="8973"/>
        <v>Bozeman</v>
      </c>
    </row>
    <row r="8976" spans="1:5">
      <c r="A8976" s="3" t="s">
        <v>19269</v>
      </c>
      <c r="B8976" s="110" t="s">
        <v>1349</v>
      </c>
      <c r="C8976" s="111" t="s">
        <v>19270</v>
      </c>
      <c r="D8976" s="111" t="str">
        <f t="shared" ref="D8976:E8976" si="8974">TRIM(B8976)</f>
        <v>Montana</v>
      </c>
      <c r="E8976" s="111" t="str">
        <f t="shared" si="8974"/>
        <v>Bridger</v>
      </c>
    </row>
    <row r="8977" spans="1:5">
      <c r="A8977" s="3" t="s">
        <v>19271</v>
      </c>
      <c r="B8977" s="110" t="s">
        <v>1349</v>
      </c>
      <c r="C8977" s="111" t="s">
        <v>19272</v>
      </c>
      <c r="D8977" s="111" t="str">
        <f t="shared" ref="D8977:E8977" si="8975">TRIM(B8977)</f>
        <v>Montana</v>
      </c>
      <c r="E8977" s="111" t="str">
        <f t="shared" si="8975"/>
        <v>Broadus</v>
      </c>
    </row>
    <row r="8978" spans="1:5">
      <c r="A8978" s="3" t="s">
        <v>19273</v>
      </c>
      <c r="B8978" s="110" t="s">
        <v>1349</v>
      </c>
      <c r="C8978" s="111" t="s">
        <v>19274</v>
      </c>
      <c r="D8978" s="111" t="str">
        <f t="shared" ref="D8978:E8978" si="8976">TRIM(B8978)</f>
        <v>Montana</v>
      </c>
      <c r="E8978" s="111" t="str">
        <f t="shared" si="8976"/>
        <v>Broadview</v>
      </c>
    </row>
    <row r="8979" spans="1:5">
      <c r="A8979" s="3" t="s">
        <v>16587</v>
      </c>
      <c r="B8979" s="110" t="s">
        <v>1349</v>
      </c>
      <c r="C8979" s="111" t="s">
        <v>7555</v>
      </c>
      <c r="D8979" s="111" t="str">
        <f t="shared" ref="D8979:E8979" si="8977">TRIM(B8979)</f>
        <v>Montana</v>
      </c>
      <c r="E8979" s="111" t="str">
        <f t="shared" si="8977"/>
        <v>Brockton</v>
      </c>
    </row>
    <row r="8980" spans="1:5">
      <c r="A8980" s="3" t="s">
        <v>19275</v>
      </c>
      <c r="B8980" s="110" t="s">
        <v>1349</v>
      </c>
      <c r="C8980" s="111" t="s">
        <v>7001</v>
      </c>
      <c r="D8980" s="111" t="str">
        <f t="shared" ref="D8980:E8980" si="8978">TRIM(B8980)</f>
        <v>Montana</v>
      </c>
      <c r="E8980" s="111" t="str">
        <f t="shared" si="8978"/>
        <v>Browning</v>
      </c>
    </row>
    <row r="8981" spans="1:5">
      <c r="A8981" s="3" t="s">
        <v>19276</v>
      </c>
      <c r="B8981" s="110" t="s">
        <v>1349</v>
      </c>
      <c r="C8981" s="111" t="s">
        <v>19277</v>
      </c>
      <c r="D8981" s="111" t="str">
        <f t="shared" ref="D8981:E8981" si="8979">TRIM(B8981)</f>
        <v>Montana</v>
      </c>
      <c r="E8981" s="111" t="str">
        <f t="shared" si="8979"/>
        <v>Butte</v>
      </c>
    </row>
    <row r="8982" spans="1:5">
      <c r="A8982" s="3" t="s">
        <v>19278</v>
      </c>
      <c r="B8982" s="110" t="s">
        <v>1349</v>
      </c>
      <c r="C8982" s="111" t="s">
        <v>11641</v>
      </c>
      <c r="D8982" s="111" t="str">
        <f t="shared" ref="D8982:E8982" si="8980">TRIM(B8982)</f>
        <v>Montana</v>
      </c>
      <c r="E8982" s="111" t="str">
        <f t="shared" si="8980"/>
        <v>Cascade</v>
      </c>
    </row>
    <row r="8983" spans="1:5">
      <c r="A8983" s="3" t="s">
        <v>19279</v>
      </c>
      <c r="B8983" s="110" t="s">
        <v>1349</v>
      </c>
      <c r="C8983" s="111" t="s">
        <v>19280</v>
      </c>
      <c r="D8983" s="111" t="str">
        <f t="shared" ref="D8983:E8983" si="8981">TRIM(B8983)</f>
        <v>Montana</v>
      </c>
      <c r="E8983" s="111" t="str">
        <f t="shared" si="8981"/>
        <v>Charlo</v>
      </c>
    </row>
    <row r="8984" spans="1:5">
      <c r="A8984" s="3" t="s">
        <v>19281</v>
      </c>
      <c r="B8984" s="110" t="s">
        <v>1349</v>
      </c>
      <c r="C8984" s="111" t="s">
        <v>2262</v>
      </c>
      <c r="D8984" s="111" t="str">
        <f t="shared" ref="D8984:E8984" si="8982">TRIM(B8984)</f>
        <v>Montana</v>
      </c>
      <c r="E8984" s="111" t="str">
        <f t="shared" si="8982"/>
        <v>Chester</v>
      </c>
    </row>
    <row r="8985" spans="1:5">
      <c r="A8985" s="3" t="s">
        <v>19282</v>
      </c>
      <c r="B8985" s="110" t="s">
        <v>1349</v>
      </c>
      <c r="C8985" s="111" t="s">
        <v>19283</v>
      </c>
      <c r="D8985" s="111" t="str">
        <f t="shared" ref="D8985:E8985" si="8983">TRIM(B8985)</f>
        <v>Montana</v>
      </c>
      <c r="E8985" s="111" t="str">
        <f t="shared" si="8983"/>
        <v>Chinook</v>
      </c>
    </row>
    <row r="8986" spans="1:5">
      <c r="A8986" s="3" t="s">
        <v>19284</v>
      </c>
      <c r="B8986" s="110" t="s">
        <v>1349</v>
      </c>
      <c r="C8986" s="111" t="s">
        <v>19285</v>
      </c>
      <c r="D8986" s="111" t="str">
        <f t="shared" ref="D8986:E8986" si="8984">TRIM(B8986)</f>
        <v>Montana</v>
      </c>
      <c r="E8986" s="111" t="str">
        <f t="shared" si="8984"/>
        <v>Choteau</v>
      </c>
    </row>
    <row r="8987" spans="1:5">
      <c r="A8987" s="3" t="s">
        <v>15554</v>
      </c>
      <c r="B8987" s="110" t="s">
        <v>1349</v>
      </c>
      <c r="C8987" s="111" t="s">
        <v>19286</v>
      </c>
      <c r="D8987" s="111" t="str">
        <f t="shared" ref="D8987:E8987" si="8985">TRIM(B8987)</f>
        <v>Montana</v>
      </c>
      <c r="E8987" s="111" t="str">
        <f t="shared" si="8985"/>
        <v>Circle</v>
      </c>
    </row>
    <row r="8988" spans="1:5">
      <c r="A8988" s="3" t="s">
        <v>19287</v>
      </c>
      <c r="B8988" s="110" t="s">
        <v>1349</v>
      </c>
      <c r="C8988" s="111" t="s">
        <v>19288</v>
      </c>
      <c r="D8988" s="111" t="str">
        <f t="shared" ref="D8988:E8988" si="8986">TRIM(B8988)</f>
        <v>Montana</v>
      </c>
      <c r="E8988" s="111" t="str">
        <f t="shared" si="8986"/>
        <v>Clyde Park</v>
      </c>
    </row>
    <row r="8989" spans="1:5">
      <c r="A8989" s="3" t="s">
        <v>19289</v>
      </c>
      <c r="B8989" s="110" t="s">
        <v>1349</v>
      </c>
      <c r="C8989" s="111" t="s">
        <v>19290</v>
      </c>
      <c r="D8989" s="111" t="str">
        <f t="shared" ref="D8989:E8989" si="8987">TRIM(B8989)</f>
        <v>Montana</v>
      </c>
      <c r="E8989" s="111" t="str">
        <f t="shared" si="8987"/>
        <v>Colstrip</v>
      </c>
    </row>
    <row r="8990" spans="1:5">
      <c r="A8990" s="3" t="s">
        <v>19291</v>
      </c>
      <c r="B8990" s="110" t="s">
        <v>1349</v>
      </c>
      <c r="C8990" s="111" t="s">
        <v>19292</v>
      </c>
      <c r="D8990" s="111" t="str">
        <f t="shared" ref="D8990:E8990" si="8988">TRIM(B8990)</f>
        <v>Montana</v>
      </c>
      <c r="E8990" s="111" t="str">
        <f t="shared" si="8988"/>
        <v>Columbia Falls</v>
      </c>
    </row>
    <row r="8991" spans="1:5">
      <c r="A8991" s="3" t="s">
        <v>10563</v>
      </c>
      <c r="B8991" s="110" t="s">
        <v>1349</v>
      </c>
      <c r="C8991" s="111" t="s">
        <v>138</v>
      </c>
      <c r="D8991" s="111" t="str">
        <f t="shared" ref="D8991:E8991" si="8989">TRIM(B8991)</f>
        <v>Montana</v>
      </c>
      <c r="E8991" s="111" t="str">
        <f t="shared" si="8989"/>
        <v>Columbus</v>
      </c>
    </row>
    <row r="8992" spans="1:5">
      <c r="A8992" s="3" t="s">
        <v>19293</v>
      </c>
      <c r="B8992" s="110" t="s">
        <v>1349</v>
      </c>
      <c r="C8992" s="111" t="s">
        <v>14764</v>
      </c>
      <c r="D8992" s="111" t="str">
        <f t="shared" ref="D8992:E8992" si="8990">TRIM(B8992)</f>
        <v>Montana</v>
      </c>
      <c r="E8992" s="111" t="str">
        <f t="shared" si="8990"/>
        <v>Conrad</v>
      </c>
    </row>
    <row r="8993" spans="1:5">
      <c r="A8993" s="3" t="s">
        <v>19294</v>
      </c>
      <c r="B8993" s="110" t="s">
        <v>1349</v>
      </c>
      <c r="C8993" s="111" t="s">
        <v>310</v>
      </c>
      <c r="D8993" s="111" t="str">
        <f t="shared" ref="D8993:E8993" si="8991">TRIM(B8993)</f>
        <v>Montana</v>
      </c>
      <c r="E8993" s="111" t="str">
        <f t="shared" si="8991"/>
        <v>Corvallis</v>
      </c>
    </row>
    <row r="8994" spans="1:5">
      <c r="A8994" s="3" t="s">
        <v>19295</v>
      </c>
      <c r="B8994" s="110" t="s">
        <v>1349</v>
      </c>
      <c r="C8994" s="111" t="s">
        <v>19296</v>
      </c>
      <c r="D8994" s="111" t="str">
        <f t="shared" ref="D8994:E8994" si="8992">TRIM(B8994)</f>
        <v>Montana</v>
      </c>
      <c r="E8994" s="111" t="str">
        <f t="shared" si="8992"/>
        <v>Culbertson</v>
      </c>
    </row>
    <row r="8995" spans="1:5">
      <c r="A8995" s="3" t="s">
        <v>19297</v>
      </c>
      <c r="B8995" s="110" t="s">
        <v>1349</v>
      </c>
      <c r="C8995" s="111" t="s">
        <v>17097</v>
      </c>
      <c r="D8995" s="111" t="str">
        <f t="shared" ref="D8995:E8995" si="8993">TRIM(B8995)</f>
        <v>Montana</v>
      </c>
      <c r="E8995" s="111" t="str">
        <f t="shared" si="8993"/>
        <v>Custer</v>
      </c>
    </row>
    <row r="8996" spans="1:5">
      <c r="A8996" s="3" t="s">
        <v>19298</v>
      </c>
      <c r="B8996" s="110" t="s">
        <v>1349</v>
      </c>
      <c r="C8996" s="111" t="s">
        <v>19299</v>
      </c>
      <c r="D8996" s="111" t="str">
        <f t="shared" ref="D8996:E8996" si="8994">TRIM(B8996)</f>
        <v>Montana</v>
      </c>
      <c r="E8996" s="111" t="str">
        <f t="shared" si="8994"/>
        <v>Cut Bank</v>
      </c>
    </row>
    <row r="8997" spans="1:5">
      <c r="A8997" s="3" t="s">
        <v>19300</v>
      </c>
      <c r="B8997" s="110" t="s">
        <v>1349</v>
      </c>
      <c r="C8997" s="111" t="s">
        <v>19301</v>
      </c>
      <c r="D8997" s="111" t="str">
        <f t="shared" ref="D8997:E8997" si="8995">TRIM(B8997)</f>
        <v>Montana</v>
      </c>
      <c r="E8997" s="111" t="str">
        <f t="shared" si="8995"/>
        <v>Darby</v>
      </c>
    </row>
    <row r="8998" spans="1:5">
      <c r="A8998" s="3" t="s">
        <v>15839</v>
      </c>
      <c r="B8998" s="110" t="s">
        <v>1349</v>
      </c>
      <c r="C8998" s="111" t="s">
        <v>19302</v>
      </c>
      <c r="D8998" s="111" t="str">
        <f t="shared" ref="D8998:E8998" si="8996">TRIM(B8998)</f>
        <v>Montana</v>
      </c>
      <c r="E8998" s="111" t="str">
        <f t="shared" si="8996"/>
        <v>Deer Lodge</v>
      </c>
    </row>
    <row r="8999" spans="1:5">
      <c r="A8999" s="3" t="s">
        <v>19303</v>
      </c>
      <c r="B8999" s="110" t="s">
        <v>1349</v>
      </c>
      <c r="C8999" s="111" t="s">
        <v>808</v>
      </c>
      <c r="D8999" s="111" t="str">
        <f t="shared" ref="D8999:E8999" si="8997">TRIM(B8999)</f>
        <v>Montana</v>
      </c>
      <c r="E8999" s="111" t="str">
        <f t="shared" si="8997"/>
        <v>Denton</v>
      </c>
    </row>
    <row r="9000" spans="1:5">
      <c r="A9000" s="3" t="s">
        <v>19304</v>
      </c>
      <c r="B9000" s="110" t="s">
        <v>1349</v>
      </c>
      <c r="C9000" s="111" t="s">
        <v>19305</v>
      </c>
      <c r="D9000" s="111" t="str">
        <f t="shared" ref="D9000:E9000" si="8998">TRIM(B9000)</f>
        <v>Montana</v>
      </c>
      <c r="E9000" s="111" t="str">
        <f t="shared" si="8998"/>
        <v>Dillon</v>
      </c>
    </row>
    <row r="9001" spans="1:5">
      <c r="A9001" s="3" t="s">
        <v>19306</v>
      </c>
      <c r="B9001" s="110" t="s">
        <v>1349</v>
      </c>
      <c r="C9001" s="111" t="s">
        <v>19307</v>
      </c>
      <c r="D9001" s="111" t="str">
        <f t="shared" ref="D9001:E9001" si="8999">TRIM(B9001)</f>
        <v>Montana</v>
      </c>
      <c r="E9001" s="111" t="str">
        <f t="shared" si="8999"/>
        <v>Dodson</v>
      </c>
    </row>
    <row r="9002" spans="1:5">
      <c r="A9002" s="3" t="s">
        <v>19308</v>
      </c>
      <c r="B9002" s="110" t="s">
        <v>1349</v>
      </c>
      <c r="C9002" s="111" t="s">
        <v>19309</v>
      </c>
      <c r="D9002" s="111" t="str">
        <f t="shared" ref="D9002:E9002" si="9000">TRIM(B9002)</f>
        <v>Montana</v>
      </c>
      <c r="E9002" s="111" t="str">
        <f t="shared" si="9000"/>
        <v>Drummond</v>
      </c>
    </row>
    <row r="9003" spans="1:5">
      <c r="A9003" s="3" t="s">
        <v>19310</v>
      </c>
      <c r="B9003" s="110" t="s">
        <v>1349</v>
      </c>
      <c r="C9003" s="111" t="s">
        <v>19311</v>
      </c>
      <c r="D9003" s="111" t="str">
        <f t="shared" ref="D9003:E9003" si="9001">TRIM(B9003)</f>
        <v>Montana</v>
      </c>
      <c r="E9003" s="111" t="str">
        <f t="shared" si="9001"/>
        <v>Dutton</v>
      </c>
    </row>
    <row r="9004" spans="1:5">
      <c r="A9004" s="3" t="s">
        <v>19312</v>
      </c>
      <c r="B9004" s="110" t="s">
        <v>1349</v>
      </c>
      <c r="C9004" s="111" t="s">
        <v>19313</v>
      </c>
      <c r="D9004" s="111" t="str">
        <f t="shared" ref="D9004:E9004" si="9002">TRIM(B9004)</f>
        <v>Montana</v>
      </c>
      <c r="E9004" s="111" t="str">
        <f t="shared" si="9002"/>
        <v>Ekalaka</v>
      </c>
    </row>
    <row r="9005" spans="1:5">
      <c r="A9005" s="3" t="s">
        <v>19314</v>
      </c>
      <c r="B9005" s="110" t="s">
        <v>1349</v>
      </c>
      <c r="C9005" s="111" t="s">
        <v>19315</v>
      </c>
      <c r="D9005" s="111" t="str">
        <f t="shared" ref="D9005:E9005" si="9003">TRIM(B9005)</f>
        <v>Montana</v>
      </c>
      <c r="E9005" s="111" t="str">
        <f t="shared" si="9003"/>
        <v>Ennis</v>
      </c>
    </row>
    <row r="9006" spans="1:5">
      <c r="A9006" s="3" t="s">
        <v>19316</v>
      </c>
      <c r="B9006" s="110" t="s">
        <v>1349</v>
      </c>
      <c r="C9006" s="111" t="s">
        <v>4989</v>
      </c>
      <c r="D9006" s="111" t="str">
        <f t="shared" ref="D9006:E9006" si="9004">TRIM(B9006)</f>
        <v>Montana</v>
      </c>
      <c r="E9006" s="111" t="str">
        <f t="shared" si="9004"/>
        <v>Eureka</v>
      </c>
    </row>
    <row r="9007" spans="1:5">
      <c r="A9007" s="3" t="s">
        <v>5002</v>
      </c>
      <c r="B9007" s="110" t="s">
        <v>1349</v>
      </c>
      <c r="C9007" s="111" t="s">
        <v>303</v>
      </c>
      <c r="D9007" s="111" t="str">
        <f t="shared" ref="D9007:E9007" si="9005">TRIM(B9007)</f>
        <v>Montana</v>
      </c>
      <c r="E9007" s="111" t="str">
        <f t="shared" si="9005"/>
        <v>Fairfield</v>
      </c>
    </row>
    <row r="9008" spans="1:5">
      <c r="A9008" s="3" t="s">
        <v>1663</v>
      </c>
      <c r="B9008" s="110" t="s">
        <v>1349</v>
      </c>
      <c r="C9008" s="111" t="s">
        <v>2490</v>
      </c>
      <c r="D9008" s="111" t="str">
        <f t="shared" ref="D9008:E9008" si="9006">TRIM(B9008)</f>
        <v>Montana</v>
      </c>
      <c r="E9008" s="111" t="str">
        <f t="shared" si="9006"/>
        <v>Fairview</v>
      </c>
    </row>
    <row r="9009" spans="1:5">
      <c r="A9009" s="3" t="s">
        <v>19317</v>
      </c>
      <c r="B9009" s="110" t="s">
        <v>1349</v>
      </c>
      <c r="C9009" s="111" t="s">
        <v>1756</v>
      </c>
      <c r="D9009" s="111" t="str">
        <f t="shared" ref="D9009:E9009" si="9007">TRIM(B9009)</f>
        <v>Montana</v>
      </c>
      <c r="E9009" s="111" t="str">
        <f t="shared" si="9007"/>
        <v>Florence</v>
      </c>
    </row>
    <row r="9010" spans="1:5">
      <c r="A9010" s="3" t="s">
        <v>18780</v>
      </c>
      <c r="B9010" s="110" t="s">
        <v>1349</v>
      </c>
      <c r="C9010" s="111" t="s">
        <v>10788</v>
      </c>
      <c r="D9010" s="111" t="str">
        <f t="shared" ref="D9010:E9010" si="9008">TRIM(B9010)</f>
        <v>Montana</v>
      </c>
      <c r="E9010" s="111" t="str">
        <f t="shared" si="9008"/>
        <v>Forsyth</v>
      </c>
    </row>
    <row r="9011" spans="1:5">
      <c r="A9011" s="3" t="s">
        <v>19318</v>
      </c>
      <c r="B9011" s="110" t="s">
        <v>1349</v>
      </c>
      <c r="C9011" s="111" t="s">
        <v>2096</v>
      </c>
      <c r="D9011" s="111" t="str">
        <f t="shared" ref="D9011:E9011" si="9009">TRIM(B9011)</f>
        <v>Montana</v>
      </c>
      <c r="E9011" s="111" t="str">
        <f t="shared" si="9009"/>
        <v>Fort Benton</v>
      </c>
    </row>
    <row r="9012" spans="1:5">
      <c r="A9012" s="3" t="s">
        <v>19319</v>
      </c>
      <c r="B9012" s="110" t="s">
        <v>1349</v>
      </c>
      <c r="C9012" s="111" t="s">
        <v>19320</v>
      </c>
      <c r="D9012" s="111" t="str">
        <f t="shared" ref="D9012:E9012" si="9010">TRIM(B9012)</f>
        <v>Montana</v>
      </c>
      <c r="E9012" s="111" t="str">
        <f t="shared" si="9010"/>
        <v>Frazer</v>
      </c>
    </row>
    <row r="9013" spans="1:5">
      <c r="A9013" s="3" t="s">
        <v>19321</v>
      </c>
      <c r="B9013" s="110" t="s">
        <v>1349</v>
      </c>
      <c r="C9013" s="111" t="s">
        <v>19322</v>
      </c>
      <c r="D9013" s="111" t="str">
        <f t="shared" ref="D9013:E9013" si="9011">TRIM(B9013)</f>
        <v>Montana</v>
      </c>
      <c r="E9013" s="111" t="str">
        <f t="shared" si="9011"/>
        <v>Frenchtown</v>
      </c>
    </row>
    <row r="9014" spans="1:5">
      <c r="A9014" s="3" t="s">
        <v>19323</v>
      </c>
      <c r="B9014" s="110" t="s">
        <v>1349</v>
      </c>
      <c r="C9014" s="111" t="s">
        <v>19324</v>
      </c>
      <c r="D9014" s="111" t="str">
        <f t="shared" ref="D9014:E9014" si="9012">TRIM(B9014)</f>
        <v>Montana</v>
      </c>
      <c r="E9014" s="111" t="str">
        <f t="shared" si="9012"/>
        <v>Froid</v>
      </c>
    </row>
    <row r="9015" spans="1:5">
      <c r="A9015" s="3" t="s">
        <v>19325</v>
      </c>
      <c r="B9015" s="110" t="s">
        <v>1349</v>
      </c>
      <c r="C9015" s="111" t="s">
        <v>19326</v>
      </c>
      <c r="D9015" s="111" t="str">
        <f t="shared" ref="D9015:E9015" si="9013">TRIM(B9015)</f>
        <v>Montana</v>
      </c>
      <c r="E9015" s="111" t="str">
        <f t="shared" si="9013"/>
        <v>Fromberg</v>
      </c>
    </row>
    <row r="9016" spans="1:5">
      <c r="A9016" s="3" t="s">
        <v>19327</v>
      </c>
      <c r="B9016" s="110" t="s">
        <v>1349</v>
      </c>
      <c r="C9016" s="111" t="s">
        <v>16211</v>
      </c>
      <c r="D9016" s="111" t="str">
        <f t="shared" ref="D9016:E9016" si="9014">TRIM(B9016)</f>
        <v>Montana</v>
      </c>
      <c r="E9016" s="111" t="str">
        <f t="shared" si="9014"/>
        <v>Gardiner</v>
      </c>
    </row>
    <row r="9017" spans="1:5">
      <c r="A9017" s="3" t="s">
        <v>19328</v>
      </c>
      <c r="B9017" s="110" t="s">
        <v>1349</v>
      </c>
      <c r="C9017" s="111" t="s">
        <v>19329</v>
      </c>
      <c r="D9017" s="111" t="str">
        <f t="shared" ref="D9017:E9017" si="9015">TRIM(B9017)</f>
        <v>Montana</v>
      </c>
      <c r="E9017" s="111" t="str">
        <f t="shared" si="9015"/>
        <v>Geraldine</v>
      </c>
    </row>
    <row r="9018" spans="1:5">
      <c r="A9018" s="3" t="s">
        <v>19330</v>
      </c>
      <c r="B9018" s="110" t="s">
        <v>1349</v>
      </c>
      <c r="C9018" s="111" t="s">
        <v>19331</v>
      </c>
      <c r="D9018" s="111" t="str">
        <f t="shared" ref="D9018:E9018" si="9016">TRIM(B9018)</f>
        <v>Montana</v>
      </c>
      <c r="E9018" s="111" t="str">
        <f t="shared" si="9016"/>
        <v>Geyser</v>
      </c>
    </row>
    <row r="9019" spans="1:5">
      <c r="A9019" s="3" t="s">
        <v>8837</v>
      </c>
      <c r="B9019" s="110" t="s">
        <v>1349</v>
      </c>
      <c r="C9019" s="111" t="s">
        <v>15692</v>
      </c>
      <c r="D9019" s="111" t="str">
        <f t="shared" ref="D9019:E9019" si="9017">TRIM(B9019)</f>
        <v>Montana</v>
      </c>
      <c r="E9019" s="111" t="str">
        <f t="shared" si="9017"/>
        <v>Glasgow</v>
      </c>
    </row>
    <row r="9020" spans="1:5">
      <c r="A9020" s="3" t="s">
        <v>19332</v>
      </c>
      <c r="B9020" s="110" t="s">
        <v>1349</v>
      </c>
      <c r="C9020" s="111" t="s">
        <v>19333</v>
      </c>
      <c r="D9020" s="111" t="str">
        <f t="shared" ref="D9020:E9020" si="9018">TRIM(B9020)</f>
        <v>Montana</v>
      </c>
      <c r="E9020" s="111" t="str">
        <f t="shared" si="9018"/>
        <v>Glendive</v>
      </c>
    </row>
    <row r="9021" spans="1:5">
      <c r="A9021" s="3" t="s">
        <v>19334</v>
      </c>
      <c r="B9021" s="110" t="s">
        <v>1349</v>
      </c>
      <c r="C9021" s="111" t="s">
        <v>19335</v>
      </c>
      <c r="D9021" s="111" t="str">
        <f t="shared" ref="D9021:E9021" si="9019">TRIM(B9021)</f>
        <v>Montana</v>
      </c>
      <c r="E9021" s="111" t="str">
        <f t="shared" si="9019"/>
        <v>Grass Range</v>
      </c>
    </row>
    <row r="9022" spans="1:5">
      <c r="A9022" s="3" t="s">
        <v>19336</v>
      </c>
      <c r="B9022" s="110" t="s">
        <v>1349</v>
      </c>
      <c r="C9022" s="111" t="s">
        <v>5687</v>
      </c>
      <c r="D9022" s="111" t="str">
        <f t="shared" ref="D9022:E9022" si="9020">TRIM(B9022)</f>
        <v>Montana</v>
      </c>
      <c r="E9022" s="111" t="str">
        <f t="shared" si="9020"/>
        <v>Great Falls</v>
      </c>
    </row>
    <row r="9023" spans="1:5">
      <c r="A9023" s="3" t="s">
        <v>19337</v>
      </c>
      <c r="B9023" s="110" t="s">
        <v>1349</v>
      </c>
      <c r="C9023" s="111" t="s">
        <v>5687</v>
      </c>
      <c r="D9023" s="111" t="str">
        <f t="shared" ref="D9023:E9023" si="9021">TRIM(B9023)</f>
        <v>Montana</v>
      </c>
      <c r="E9023" s="111" t="str">
        <f t="shared" si="9021"/>
        <v>Great Falls</v>
      </c>
    </row>
    <row r="9024" spans="1:5">
      <c r="A9024" s="3" t="s">
        <v>1827</v>
      </c>
      <c r="B9024" s="110" t="s">
        <v>1349</v>
      </c>
      <c r="C9024" s="111" t="s">
        <v>344</v>
      </c>
      <c r="D9024" s="111" t="str">
        <f t="shared" ref="D9024:E9024" si="9022">TRIM(B9024)</f>
        <v>Montana</v>
      </c>
      <c r="E9024" s="111" t="str">
        <f t="shared" si="9022"/>
        <v>Hamilton</v>
      </c>
    </row>
    <row r="9025" spans="1:5">
      <c r="A9025" s="3" t="s">
        <v>19338</v>
      </c>
      <c r="B9025" s="110" t="s">
        <v>1349</v>
      </c>
      <c r="C9025" s="111" t="s">
        <v>2483</v>
      </c>
      <c r="D9025" s="111" t="str">
        <f t="shared" ref="D9025:E9025" si="9023">TRIM(B9025)</f>
        <v>Montana</v>
      </c>
      <c r="E9025" s="111" t="str">
        <f t="shared" si="9023"/>
        <v>Hardin</v>
      </c>
    </row>
    <row r="9026" spans="1:5">
      <c r="A9026" s="3" t="s">
        <v>10848</v>
      </c>
      <c r="B9026" s="110" t="s">
        <v>1349</v>
      </c>
      <c r="C9026" s="111" t="s">
        <v>10849</v>
      </c>
      <c r="D9026" s="111" t="str">
        <f t="shared" ref="D9026:E9026" si="9024">TRIM(B9026)</f>
        <v>Montana</v>
      </c>
      <c r="E9026" s="111" t="str">
        <f t="shared" si="9024"/>
        <v>Harlem</v>
      </c>
    </row>
    <row r="9027" spans="1:5">
      <c r="A9027" s="3" t="s">
        <v>19339</v>
      </c>
      <c r="B9027" s="110" t="s">
        <v>1349</v>
      </c>
      <c r="C9027" s="111" t="s">
        <v>19340</v>
      </c>
      <c r="D9027" s="111" t="str">
        <f t="shared" ref="D9027:E9027" si="9025">TRIM(B9027)</f>
        <v>Montana</v>
      </c>
      <c r="E9027" s="111" t="str">
        <f t="shared" si="9025"/>
        <v>Harlowton</v>
      </c>
    </row>
    <row r="9028" spans="1:5">
      <c r="A9028" s="3" t="s">
        <v>3848</v>
      </c>
      <c r="B9028" s="110" t="s">
        <v>1349</v>
      </c>
      <c r="C9028" s="111" t="s">
        <v>3849</v>
      </c>
      <c r="D9028" s="111" t="str">
        <f t="shared" ref="D9028:E9028" si="9026">TRIM(B9028)</f>
        <v>Montana</v>
      </c>
      <c r="E9028" s="111" t="str">
        <f t="shared" si="9026"/>
        <v>Harrison</v>
      </c>
    </row>
    <row r="9029" spans="1:5">
      <c r="A9029" s="3" t="s">
        <v>19341</v>
      </c>
      <c r="B9029" s="110" t="s">
        <v>1349</v>
      </c>
      <c r="C9029" s="111" t="s">
        <v>19342</v>
      </c>
      <c r="D9029" s="111" t="str">
        <f t="shared" ref="D9029:E9029" si="9027">TRIM(B9029)</f>
        <v>Montana</v>
      </c>
      <c r="E9029" s="111" t="str">
        <f t="shared" si="9027"/>
        <v>Havre</v>
      </c>
    </row>
    <row r="9030" spans="1:5">
      <c r="A9030" s="3" t="s">
        <v>19343</v>
      </c>
      <c r="B9030" s="110" t="s">
        <v>1349</v>
      </c>
      <c r="C9030" s="111" t="s">
        <v>8447</v>
      </c>
      <c r="D9030" s="111" t="str">
        <f t="shared" ref="D9030:E9030" si="9028">TRIM(B9030)</f>
        <v>Montana</v>
      </c>
      <c r="E9030" s="111" t="str">
        <f t="shared" si="9028"/>
        <v>Hays</v>
      </c>
    </row>
    <row r="9031" spans="1:5">
      <c r="A9031" s="3" t="s">
        <v>19344</v>
      </c>
      <c r="B9031" s="110" t="s">
        <v>1349</v>
      </c>
      <c r="C9031" s="111" t="s">
        <v>19345</v>
      </c>
      <c r="D9031" s="111" t="str">
        <f t="shared" ref="D9031:E9031" si="9029">TRIM(B9031)</f>
        <v>Montana</v>
      </c>
      <c r="E9031" s="111" t="str">
        <f t="shared" si="9029"/>
        <v>Heart Butte</v>
      </c>
    </row>
    <row r="9032" spans="1:5">
      <c r="A9032" s="3" t="s">
        <v>19346</v>
      </c>
      <c r="B9032" s="110" t="s">
        <v>1349</v>
      </c>
      <c r="C9032" s="111" t="s">
        <v>493</v>
      </c>
      <c r="D9032" s="111" t="str">
        <f t="shared" ref="D9032:E9032" si="9030">TRIM(B9032)</f>
        <v>Montana</v>
      </c>
      <c r="E9032" s="111" t="str">
        <f t="shared" si="9030"/>
        <v>Helena</v>
      </c>
    </row>
    <row r="9033" spans="1:5">
      <c r="A9033" s="3" t="s">
        <v>1854</v>
      </c>
      <c r="B9033" s="110" t="s">
        <v>1349</v>
      </c>
      <c r="C9033" s="111" t="s">
        <v>493</v>
      </c>
      <c r="D9033" s="111" t="str">
        <f t="shared" ref="D9033:E9033" si="9031">TRIM(B9033)</f>
        <v>Montana</v>
      </c>
      <c r="E9033" s="111" t="str">
        <f t="shared" si="9031"/>
        <v>Helena</v>
      </c>
    </row>
    <row r="9034" spans="1:5">
      <c r="A9034" s="3" t="s">
        <v>19347</v>
      </c>
      <c r="B9034" s="110" t="s">
        <v>1349</v>
      </c>
      <c r="C9034" s="111" t="s">
        <v>19348</v>
      </c>
      <c r="D9034" s="111" t="str">
        <f t="shared" ref="D9034:E9034" si="9032">TRIM(B9034)</f>
        <v>Montana</v>
      </c>
      <c r="E9034" s="111" t="str">
        <f t="shared" si="9032"/>
        <v>Highwood</v>
      </c>
    </row>
    <row r="9035" spans="1:5">
      <c r="A9035" s="3" t="s">
        <v>19349</v>
      </c>
      <c r="B9035" s="110" t="s">
        <v>1349</v>
      </c>
      <c r="C9035" s="111" t="s">
        <v>13080</v>
      </c>
      <c r="D9035" s="111" t="str">
        <f t="shared" ref="D9035:E9035" si="9033">TRIM(B9035)</f>
        <v>Montana</v>
      </c>
      <c r="E9035" s="111" t="str">
        <f t="shared" si="9033"/>
        <v>Hinsdale</v>
      </c>
    </row>
    <row r="9036" spans="1:5">
      <c r="A9036" s="3" t="s">
        <v>19350</v>
      </c>
      <c r="B9036" s="110" t="s">
        <v>1349</v>
      </c>
      <c r="C9036" s="111" t="s">
        <v>19351</v>
      </c>
      <c r="D9036" s="111" t="str">
        <f t="shared" ref="D9036:E9036" si="9034">TRIM(B9036)</f>
        <v>Montana</v>
      </c>
      <c r="E9036" s="111" t="str">
        <f t="shared" si="9034"/>
        <v>Hobson</v>
      </c>
    </row>
    <row r="9037" spans="1:5">
      <c r="A9037" s="3" t="s">
        <v>19352</v>
      </c>
      <c r="B9037" s="110" t="s">
        <v>1349</v>
      </c>
      <c r="C9037" s="111" t="s">
        <v>2699</v>
      </c>
      <c r="D9037" s="111" t="str">
        <f t="shared" ref="D9037:E9037" si="9035">TRIM(B9037)</f>
        <v>Montana</v>
      </c>
      <c r="E9037" s="111" t="str">
        <f t="shared" si="9035"/>
        <v>Hot Springs</v>
      </c>
    </row>
    <row r="9038" spans="1:5">
      <c r="A9038" s="3" t="s">
        <v>19353</v>
      </c>
      <c r="B9038" s="110" t="s">
        <v>1349</v>
      </c>
      <c r="C9038" s="111" t="s">
        <v>19354</v>
      </c>
      <c r="D9038" s="111" t="str">
        <f t="shared" ref="D9038:E9038" si="9036">TRIM(B9038)</f>
        <v>Montana</v>
      </c>
      <c r="E9038" s="111" t="str">
        <f t="shared" si="9036"/>
        <v>Hysham</v>
      </c>
    </row>
    <row r="9039" spans="1:5">
      <c r="A9039" s="3" t="s">
        <v>19355</v>
      </c>
      <c r="B9039" s="110" t="s">
        <v>1349</v>
      </c>
      <c r="C9039" s="111" t="s">
        <v>13118</v>
      </c>
      <c r="D9039" s="111" t="str">
        <f t="shared" ref="D9039:E9039" si="9037">TRIM(B9039)</f>
        <v>Montana</v>
      </c>
      <c r="E9039" s="111" t="str">
        <f t="shared" si="9037"/>
        <v>Joliet</v>
      </c>
    </row>
    <row r="9040" spans="1:5">
      <c r="A9040" s="3" t="s">
        <v>19356</v>
      </c>
      <c r="B9040" s="110" t="s">
        <v>1349</v>
      </c>
      <c r="C9040" s="111" t="s">
        <v>17977</v>
      </c>
      <c r="D9040" s="111" t="str">
        <f t="shared" ref="D9040:E9040" si="9038">TRIM(B9040)</f>
        <v>Montana</v>
      </c>
      <c r="E9040" s="111" t="str">
        <f t="shared" si="9038"/>
        <v>Jordan</v>
      </c>
    </row>
    <row r="9041" spans="1:5">
      <c r="A9041" s="3" t="s">
        <v>19357</v>
      </c>
      <c r="B9041" s="110" t="s">
        <v>1349</v>
      </c>
      <c r="C9041" s="111" t="s">
        <v>19358</v>
      </c>
      <c r="D9041" s="111" t="str">
        <f t="shared" ref="D9041:E9041" si="9039">TRIM(B9041)</f>
        <v>Montana</v>
      </c>
      <c r="E9041" s="111" t="str">
        <f t="shared" si="9039"/>
        <v>Judith Gap</v>
      </c>
    </row>
    <row r="9042" spans="1:5">
      <c r="A9042" s="3" t="s">
        <v>19359</v>
      </c>
      <c r="B9042" s="110" t="s">
        <v>1349</v>
      </c>
      <c r="C9042" s="111" t="s">
        <v>11876</v>
      </c>
      <c r="D9042" s="111" t="str">
        <f t="shared" ref="D9042:E9042" si="9040">TRIM(B9042)</f>
        <v>Montana</v>
      </c>
      <c r="E9042" s="111" t="str">
        <f t="shared" si="9040"/>
        <v>Kalispell</v>
      </c>
    </row>
    <row r="9043" spans="1:5">
      <c r="A9043" s="3" t="s">
        <v>19360</v>
      </c>
      <c r="B9043" s="110" t="s">
        <v>1349</v>
      </c>
      <c r="C9043" s="111" t="s">
        <v>11876</v>
      </c>
      <c r="D9043" s="111" t="str">
        <f t="shared" ref="D9043:E9043" si="9041">TRIM(B9043)</f>
        <v>Montana</v>
      </c>
      <c r="E9043" s="111" t="str">
        <f t="shared" si="9041"/>
        <v>Kalispell</v>
      </c>
    </row>
    <row r="9044" spans="1:5">
      <c r="A9044" s="3" t="s">
        <v>11323</v>
      </c>
      <c r="B9044" s="110" t="s">
        <v>1349</v>
      </c>
      <c r="C9044" s="111" t="s">
        <v>19361</v>
      </c>
      <c r="D9044" s="111" t="str">
        <f t="shared" ref="D9044:E9044" si="9042">TRIM(B9044)</f>
        <v>Montana</v>
      </c>
      <c r="E9044" s="111" t="str">
        <f t="shared" si="9042"/>
        <v>Lambert</v>
      </c>
    </row>
    <row r="9045" spans="1:5">
      <c r="A9045" s="3" t="s">
        <v>19362</v>
      </c>
      <c r="B9045" s="110" t="s">
        <v>1349</v>
      </c>
      <c r="C9045" s="111" t="s">
        <v>19363</v>
      </c>
      <c r="D9045" s="111" t="str">
        <f t="shared" ref="D9045:E9045" si="9043">TRIM(B9045)</f>
        <v>Montana</v>
      </c>
      <c r="E9045" s="111" t="str">
        <f t="shared" si="9043"/>
        <v>Lame Deer</v>
      </c>
    </row>
    <row r="9046" spans="1:5">
      <c r="A9046" s="3" t="s">
        <v>16448</v>
      </c>
      <c r="B9046" s="110" t="s">
        <v>1349</v>
      </c>
      <c r="C9046" s="111" t="s">
        <v>8825</v>
      </c>
      <c r="D9046" s="111" t="str">
        <f t="shared" ref="D9046:E9046" si="9044">TRIM(B9046)</f>
        <v>Montana</v>
      </c>
      <c r="E9046" s="111" t="str">
        <f t="shared" si="9044"/>
        <v>Laurel</v>
      </c>
    </row>
    <row r="9047" spans="1:5">
      <c r="A9047" s="3" t="s">
        <v>19364</v>
      </c>
      <c r="B9047" s="110" t="s">
        <v>1349</v>
      </c>
      <c r="C9047" s="111" t="s">
        <v>19365</v>
      </c>
      <c r="D9047" s="111" t="str">
        <f t="shared" ref="D9047:E9047" si="9045">TRIM(B9047)</f>
        <v>Montana</v>
      </c>
      <c r="E9047" s="111" t="str">
        <f t="shared" si="9045"/>
        <v>Lavina</v>
      </c>
    </row>
    <row r="9048" spans="1:5">
      <c r="A9048" s="3" t="s">
        <v>19366</v>
      </c>
      <c r="B9048" s="110" t="s">
        <v>1349</v>
      </c>
      <c r="C9048" s="111" t="s">
        <v>13206</v>
      </c>
      <c r="D9048" s="111" t="str">
        <f t="shared" ref="D9048:E9048" si="9046">TRIM(B9048)</f>
        <v>Montana</v>
      </c>
      <c r="E9048" s="111" t="str">
        <f t="shared" si="9046"/>
        <v>Lewistown</v>
      </c>
    </row>
    <row r="9049" spans="1:5">
      <c r="A9049" s="3" t="s">
        <v>19367</v>
      </c>
      <c r="B9049" s="110" t="s">
        <v>1349</v>
      </c>
      <c r="C9049" s="111" t="s">
        <v>19368</v>
      </c>
      <c r="D9049" s="111" t="str">
        <f t="shared" ref="D9049:E9049" si="9047">TRIM(B9049)</f>
        <v>Montana</v>
      </c>
      <c r="E9049" s="111" t="str">
        <f t="shared" si="9047"/>
        <v>Libby</v>
      </c>
    </row>
    <row r="9050" spans="1:5">
      <c r="A9050" s="3" t="s">
        <v>19369</v>
      </c>
      <c r="B9050" s="110" t="s">
        <v>1349</v>
      </c>
      <c r="C9050" s="111" t="s">
        <v>19370</v>
      </c>
      <c r="D9050" s="111" t="str">
        <f t="shared" ref="D9050:E9050" si="9048">TRIM(B9050)</f>
        <v>Montana</v>
      </c>
      <c r="E9050" s="111" t="str">
        <f t="shared" si="9048"/>
        <v>Lima</v>
      </c>
    </row>
    <row r="9051" spans="1:5">
      <c r="A9051" s="3" t="s">
        <v>1925</v>
      </c>
      <c r="B9051" s="110" t="s">
        <v>1349</v>
      </c>
      <c r="C9051" s="111" t="s">
        <v>1283</v>
      </c>
      <c r="D9051" s="111" t="str">
        <f t="shared" ref="D9051:E9051" si="9049">TRIM(B9051)</f>
        <v>Montana</v>
      </c>
      <c r="E9051" s="111" t="str">
        <f t="shared" si="9049"/>
        <v>Lincoln</v>
      </c>
    </row>
    <row r="9052" spans="1:5">
      <c r="A9052" s="3" t="s">
        <v>17833</v>
      </c>
      <c r="B9052" s="110" t="s">
        <v>1349</v>
      </c>
      <c r="C9052" s="111" t="s">
        <v>5527</v>
      </c>
      <c r="D9052" s="111" t="str">
        <f t="shared" ref="D9052:E9052" si="9050">TRIM(B9052)</f>
        <v>Montana</v>
      </c>
      <c r="E9052" s="111" t="str">
        <f t="shared" si="9050"/>
        <v>Livingston</v>
      </c>
    </row>
    <row r="9053" spans="1:5">
      <c r="A9053" s="3" t="s">
        <v>19371</v>
      </c>
      <c r="B9053" s="110" t="s">
        <v>1349</v>
      </c>
      <c r="C9053" s="111" t="s">
        <v>6712</v>
      </c>
      <c r="D9053" s="111" t="str">
        <f t="shared" ref="D9053:E9053" si="9051">TRIM(B9053)</f>
        <v>Montana</v>
      </c>
      <c r="E9053" s="111" t="str">
        <f t="shared" si="9051"/>
        <v>Lodge Grass</v>
      </c>
    </row>
    <row r="9054" spans="1:5">
      <c r="A9054" s="3" t="s">
        <v>19372</v>
      </c>
      <c r="B9054" s="110" t="s">
        <v>1349</v>
      </c>
      <c r="C9054" s="111" t="s">
        <v>11791</v>
      </c>
      <c r="D9054" s="111" t="str">
        <f t="shared" ref="D9054:E9054" si="9052">TRIM(B9054)</f>
        <v>Montana</v>
      </c>
      <c r="E9054" s="111" t="str">
        <f t="shared" si="9052"/>
        <v>Malta</v>
      </c>
    </row>
    <row r="9055" spans="1:5">
      <c r="A9055" s="110" t="s">
        <v>19373</v>
      </c>
      <c r="B9055" s="110" t="s">
        <v>1349</v>
      </c>
      <c r="C9055" s="111" t="s">
        <v>15388</v>
      </c>
      <c r="D9055" s="111" t="str">
        <f t="shared" ref="D9055:E9055" si="9053">TRIM(B9055)</f>
        <v>Montana</v>
      </c>
      <c r="E9055" s="111" t="str">
        <f t="shared" si="9053"/>
        <v>Manhattan</v>
      </c>
    </row>
    <row r="9056" spans="1:5">
      <c r="A9056" s="3" t="s">
        <v>19374</v>
      </c>
      <c r="B9056" s="110" t="s">
        <v>1349</v>
      </c>
      <c r="C9056" s="111" t="s">
        <v>19375</v>
      </c>
      <c r="D9056" s="111" t="str">
        <f t="shared" ref="D9056:E9056" si="9054">TRIM(B9056)</f>
        <v>Montana</v>
      </c>
      <c r="E9056" s="111" t="str">
        <f t="shared" si="9054"/>
        <v>Medicine Lake</v>
      </c>
    </row>
    <row r="9057" spans="1:5">
      <c r="A9057" s="3" t="s">
        <v>19376</v>
      </c>
      <c r="B9057" s="110" t="s">
        <v>1349</v>
      </c>
      <c r="C9057" s="111" t="s">
        <v>19377</v>
      </c>
      <c r="D9057" s="111" t="str">
        <f t="shared" ref="D9057:E9057" si="9055">TRIM(B9057)</f>
        <v>Montana</v>
      </c>
      <c r="E9057" s="111" t="str">
        <f t="shared" si="9055"/>
        <v>Melstone</v>
      </c>
    </row>
    <row r="9058" spans="1:5">
      <c r="A9058" s="3" t="s">
        <v>19378</v>
      </c>
      <c r="B9058" s="110" t="s">
        <v>1349</v>
      </c>
      <c r="C9058" s="111" t="s">
        <v>19379</v>
      </c>
      <c r="D9058" s="111" t="str">
        <f t="shared" ref="D9058:E9058" si="9056">TRIM(B9058)</f>
        <v>Montana</v>
      </c>
      <c r="E9058" s="111" t="str">
        <f t="shared" si="9056"/>
        <v>Miles City</v>
      </c>
    </row>
    <row r="9059" spans="1:5">
      <c r="A9059" s="3" t="s">
        <v>19380</v>
      </c>
      <c r="B9059" s="110" t="s">
        <v>1349</v>
      </c>
      <c r="C9059" s="111" t="s">
        <v>649</v>
      </c>
      <c r="D9059" s="111" t="str">
        <f t="shared" ref="D9059:E9059" si="9057">TRIM(B9059)</f>
        <v>Montana</v>
      </c>
      <c r="E9059" s="111" t="str">
        <f t="shared" si="9057"/>
        <v>Missoula</v>
      </c>
    </row>
    <row r="9060" spans="1:5">
      <c r="A9060" s="3" t="s">
        <v>19381</v>
      </c>
      <c r="B9060" s="110" t="s">
        <v>1349</v>
      </c>
      <c r="C9060" s="111" t="s">
        <v>649</v>
      </c>
      <c r="D9060" s="111" t="str">
        <f t="shared" ref="D9060:E9060" si="9058">TRIM(B9060)</f>
        <v>Montana</v>
      </c>
      <c r="E9060" s="111" t="str">
        <f t="shared" si="9058"/>
        <v>Missoula</v>
      </c>
    </row>
    <row r="9061" spans="1:5">
      <c r="A9061" s="3" t="s">
        <v>19382</v>
      </c>
      <c r="B9061" s="110" t="s">
        <v>1349</v>
      </c>
      <c r="C9061" s="111" t="s">
        <v>649</v>
      </c>
      <c r="D9061" s="111" t="str">
        <f t="shared" ref="D9061:E9061" si="9059">TRIM(B9061)</f>
        <v>Montana</v>
      </c>
      <c r="E9061" s="111" t="str">
        <f t="shared" si="9059"/>
        <v>Missoula</v>
      </c>
    </row>
    <row r="9062" spans="1:5">
      <c r="A9062" s="3" t="s">
        <v>19383</v>
      </c>
      <c r="B9062" s="110" t="s">
        <v>1349</v>
      </c>
      <c r="C9062" s="111" t="s">
        <v>649</v>
      </c>
      <c r="D9062" s="111" t="str">
        <f t="shared" ref="D9062:E9062" si="9060">TRIM(B9062)</f>
        <v>Montana</v>
      </c>
      <c r="E9062" s="111" t="str">
        <f t="shared" si="9060"/>
        <v>Missoula</v>
      </c>
    </row>
    <row r="9063" spans="1:5">
      <c r="A9063" s="3" t="s">
        <v>19384</v>
      </c>
      <c r="B9063" s="110" t="s">
        <v>1349</v>
      </c>
      <c r="C9063" s="111" t="s">
        <v>19385</v>
      </c>
      <c r="D9063" s="111" t="str">
        <f t="shared" ref="D9063:E9063" si="9061">TRIM(B9063)</f>
        <v>Montana</v>
      </c>
      <c r="E9063" s="111" t="str">
        <f t="shared" si="9061"/>
        <v>Moore</v>
      </c>
    </row>
    <row r="9064" spans="1:5">
      <c r="A9064" s="3" t="s">
        <v>19386</v>
      </c>
      <c r="B9064" s="110" t="s">
        <v>1349</v>
      </c>
      <c r="C9064" s="111" t="s">
        <v>11963</v>
      </c>
      <c r="D9064" s="111" t="str">
        <f t="shared" ref="D9064:E9064" si="9062">TRIM(B9064)</f>
        <v>Montana</v>
      </c>
      <c r="E9064" s="111" t="str">
        <f t="shared" si="9062"/>
        <v>Nashua</v>
      </c>
    </row>
    <row r="9065" spans="1:5">
      <c r="A9065" s="3" t="s">
        <v>19387</v>
      </c>
      <c r="B9065" s="110" t="s">
        <v>1349</v>
      </c>
      <c r="C9065" s="111" t="s">
        <v>19388</v>
      </c>
      <c r="D9065" s="111" t="str">
        <f t="shared" ref="D9065:E9065" si="9063">TRIM(B9065)</f>
        <v>Montana</v>
      </c>
      <c r="E9065" s="111" t="str">
        <f t="shared" si="9063"/>
        <v>Noxon</v>
      </c>
    </row>
    <row r="9066" spans="1:5">
      <c r="A9066" s="3" t="s">
        <v>19389</v>
      </c>
      <c r="B9066" s="110" t="s">
        <v>1349</v>
      </c>
      <c r="C9066" s="111" t="s">
        <v>19390</v>
      </c>
      <c r="D9066" s="111" t="str">
        <f t="shared" ref="D9066:E9066" si="9064">TRIM(B9066)</f>
        <v>Montana</v>
      </c>
      <c r="E9066" s="111" t="str">
        <f t="shared" si="9064"/>
        <v>Opheim</v>
      </c>
    </row>
    <row r="9067" spans="1:5">
      <c r="A9067" s="3" t="s">
        <v>19391</v>
      </c>
      <c r="B9067" s="110" t="s">
        <v>1349</v>
      </c>
      <c r="C9067" s="111" t="s">
        <v>19392</v>
      </c>
      <c r="D9067" s="111" t="str">
        <f t="shared" ref="D9067:E9067" si="9065">TRIM(B9067)</f>
        <v>Montana</v>
      </c>
      <c r="E9067" s="111" t="str">
        <f t="shared" si="9065"/>
        <v>Park City</v>
      </c>
    </row>
    <row r="9068" spans="1:5">
      <c r="A9068" s="3" t="s">
        <v>19393</v>
      </c>
      <c r="B9068" s="110" t="s">
        <v>1349</v>
      </c>
      <c r="C9068" s="112" t="s">
        <v>19394</v>
      </c>
      <c r="D9068" s="111" t="str">
        <f t="shared" ref="D9068:E9068" si="9066">TRIM(B9068)</f>
        <v>Montana</v>
      </c>
      <c r="E9068" s="111" t="str">
        <f t="shared" si="9066"/>
        <v>Philipsburg</v>
      </c>
    </row>
    <row r="9069" spans="1:5">
      <c r="A9069" s="3" t="s">
        <v>19395</v>
      </c>
      <c r="B9069" s="110" t="s">
        <v>1349</v>
      </c>
      <c r="C9069" s="111" t="s">
        <v>19396</v>
      </c>
      <c r="D9069" s="111" t="str">
        <f t="shared" ref="D9069:E9069" si="9067">TRIM(B9069)</f>
        <v>Montana</v>
      </c>
      <c r="E9069" s="111" t="str">
        <f t="shared" si="9067"/>
        <v>Plains</v>
      </c>
    </row>
    <row r="9070" spans="1:5">
      <c r="A9070" s="3" t="s">
        <v>19397</v>
      </c>
      <c r="B9070" s="110" t="s">
        <v>1349</v>
      </c>
      <c r="C9070" s="111" t="s">
        <v>19398</v>
      </c>
      <c r="D9070" s="111" t="str">
        <f t="shared" ref="D9070:E9070" si="9068">TRIM(B9070)</f>
        <v>Montana</v>
      </c>
      <c r="E9070" s="111" t="str">
        <f t="shared" si="9068"/>
        <v>Plentywood</v>
      </c>
    </row>
    <row r="9071" spans="1:5">
      <c r="A9071" s="3" t="s">
        <v>19399</v>
      </c>
      <c r="B9071" s="110" t="s">
        <v>1349</v>
      </c>
      <c r="C9071" s="111" t="s">
        <v>19400</v>
      </c>
      <c r="D9071" s="111" t="str">
        <f t="shared" ref="D9071:E9071" si="9069">TRIM(B9071)</f>
        <v>Montana</v>
      </c>
      <c r="E9071" s="111" t="str">
        <f t="shared" si="9069"/>
        <v>Plevna</v>
      </c>
    </row>
    <row r="9072" spans="1:5">
      <c r="A9072" s="3" t="s">
        <v>19401</v>
      </c>
      <c r="B9072" s="110" t="s">
        <v>1349</v>
      </c>
      <c r="C9072" s="111" t="s">
        <v>19402</v>
      </c>
      <c r="D9072" s="111" t="str">
        <f t="shared" ref="D9072:E9072" si="9070">TRIM(B9072)</f>
        <v>Montana</v>
      </c>
      <c r="E9072" s="111" t="str">
        <f t="shared" si="9070"/>
        <v>Polson</v>
      </c>
    </row>
    <row r="9073" spans="1:5">
      <c r="A9073" s="3" t="s">
        <v>19403</v>
      </c>
      <c r="B9073" s="110" t="s">
        <v>1349</v>
      </c>
      <c r="C9073" s="111" t="s">
        <v>19404</v>
      </c>
      <c r="D9073" s="111" t="str">
        <f t="shared" ref="D9073:E9073" si="9071">TRIM(B9073)</f>
        <v>Montana</v>
      </c>
      <c r="E9073" s="111" t="str">
        <f t="shared" si="9071"/>
        <v>Poplar</v>
      </c>
    </row>
    <row r="9074" spans="1:5">
      <c r="A9074" s="3" t="s">
        <v>19405</v>
      </c>
      <c r="B9074" s="110" t="s">
        <v>1349</v>
      </c>
      <c r="C9074" s="111" t="s">
        <v>19406</v>
      </c>
      <c r="D9074" s="111" t="str">
        <f t="shared" ref="D9074:E9074" si="9072">TRIM(B9074)</f>
        <v>Montana</v>
      </c>
      <c r="E9074" s="111" t="str">
        <f t="shared" si="9072"/>
        <v>Power</v>
      </c>
    </row>
    <row r="9075" spans="1:5">
      <c r="A9075" s="3" t="s">
        <v>19407</v>
      </c>
      <c r="B9075" s="110" t="s">
        <v>1349</v>
      </c>
      <c r="C9075" s="111" t="s">
        <v>19408</v>
      </c>
      <c r="D9075" s="111" t="str">
        <f t="shared" ref="D9075:E9075" si="9073">TRIM(B9075)</f>
        <v>Montana</v>
      </c>
      <c r="E9075" s="111" t="str">
        <f t="shared" si="9073"/>
        <v>Pryor</v>
      </c>
    </row>
    <row r="9076" spans="1:5">
      <c r="A9076" s="3" t="s">
        <v>19409</v>
      </c>
      <c r="B9076" s="110" t="s">
        <v>1349</v>
      </c>
      <c r="C9076" s="111" t="s">
        <v>19410</v>
      </c>
      <c r="D9076" s="111" t="str">
        <f t="shared" ref="D9076:E9076" si="9074">TRIM(B9076)</f>
        <v>Montana</v>
      </c>
      <c r="E9076" s="111" t="str">
        <f t="shared" si="9074"/>
        <v>Rapelje</v>
      </c>
    </row>
    <row r="9077" spans="1:5">
      <c r="A9077" s="3" t="s">
        <v>19411</v>
      </c>
      <c r="B9077" s="110" t="s">
        <v>1349</v>
      </c>
      <c r="C9077" s="111" t="s">
        <v>19412</v>
      </c>
      <c r="D9077" s="111" t="str">
        <f t="shared" ref="D9077:E9077" si="9075">TRIM(B9077)</f>
        <v>Montana</v>
      </c>
      <c r="E9077" s="111" t="str">
        <f t="shared" si="9075"/>
        <v>Red Lodge</v>
      </c>
    </row>
    <row r="9078" spans="1:5">
      <c r="A9078" s="3" t="s">
        <v>19413</v>
      </c>
      <c r="B9078" s="110" t="s">
        <v>1349</v>
      </c>
      <c r="C9078" s="111" t="s">
        <v>19414</v>
      </c>
      <c r="D9078" s="111" t="str">
        <f t="shared" ref="D9078:E9078" si="9076">TRIM(B9078)</f>
        <v>Montana</v>
      </c>
      <c r="E9078" s="111" t="str">
        <f t="shared" si="9076"/>
        <v>Reed Point</v>
      </c>
    </row>
    <row r="9079" spans="1:5">
      <c r="A9079" s="3" t="s">
        <v>19415</v>
      </c>
      <c r="B9079" s="110" t="s">
        <v>1349</v>
      </c>
      <c r="C9079" s="111" t="s">
        <v>19416</v>
      </c>
      <c r="D9079" s="111" t="str">
        <f t="shared" ref="D9079:E9079" si="9077">TRIM(B9079)</f>
        <v>Montana</v>
      </c>
      <c r="E9079" s="111" t="str">
        <f t="shared" si="9077"/>
        <v>Richey</v>
      </c>
    </row>
    <row r="9080" spans="1:5">
      <c r="A9080" s="3" t="s">
        <v>19417</v>
      </c>
      <c r="B9080" s="110" t="s">
        <v>1349</v>
      </c>
      <c r="C9080" s="112" t="s">
        <v>19418</v>
      </c>
      <c r="D9080" s="111" t="str">
        <f t="shared" ref="D9080:E9080" si="9078">TRIM(B9080)</f>
        <v>Montana</v>
      </c>
      <c r="E9080" s="111" t="str">
        <f t="shared" si="9078"/>
        <v>Roberts</v>
      </c>
    </row>
    <row r="9081" spans="1:5">
      <c r="A9081" s="3" t="s">
        <v>19419</v>
      </c>
      <c r="B9081" s="110" t="s">
        <v>1349</v>
      </c>
      <c r="C9081" s="111" t="s">
        <v>19420</v>
      </c>
      <c r="D9081" s="111" t="str">
        <f t="shared" ref="D9081:E9081" si="9079">TRIM(B9081)</f>
        <v>Montana</v>
      </c>
      <c r="E9081" s="111" t="str">
        <f t="shared" si="9079"/>
        <v>Ronan</v>
      </c>
    </row>
    <row r="9082" spans="1:5">
      <c r="A9082" s="3" t="s">
        <v>19421</v>
      </c>
      <c r="B9082" s="110" t="s">
        <v>1349</v>
      </c>
      <c r="C9082" s="111" t="s">
        <v>19422</v>
      </c>
      <c r="D9082" s="111" t="str">
        <f t="shared" ref="D9082:E9082" si="9080">TRIM(B9082)</f>
        <v>Montana</v>
      </c>
      <c r="E9082" s="111" t="str">
        <f t="shared" si="9080"/>
        <v>Rosebud</v>
      </c>
    </row>
    <row r="9083" spans="1:5">
      <c r="A9083" s="110" t="s">
        <v>19423</v>
      </c>
      <c r="B9083" s="110" t="s">
        <v>1349</v>
      </c>
      <c r="C9083" s="111" t="s">
        <v>19424</v>
      </c>
      <c r="D9083" s="111" t="str">
        <f t="shared" ref="D9083:E9083" si="9081">TRIM(B9083)</f>
        <v>Montana</v>
      </c>
      <c r="E9083" s="111" t="str">
        <f t="shared" si="9081"/>
        <v>Roundup</v>
      </c>
    </row>
    <row r="9084" spans="1:5">
      <c r="A9084" s="3" t="s">
        <v>19425</v>
      </c>
      <c r="B9084" s="110" t="s">
        <v>1349</v>
      </c>
      <c r="C9084" s="111" t="s">
        <v>19426</v>
      </c>
      <c r="D9084" s="111" t="str">
        <f t="shared" ref="D9084:E9084" si="9082">TRIM(B9084)</f>
        <v>Montana</v>
      </c>
      <c r="E9084" s="111" t="str">
        <f t="shared" si="9082"/>
        <v>Roy</v>
      </c>
    </row>
    <row r="9085" spans="1:5">
      <c r="A9085" s="3" t="s">
        <v>19427</v>
      </c>
      <c r="B9085" s="110" t="s">
        <v>1349</v>
      </c>
      <c r="C9085" s="111" t="s">
        <v>19428</v>
      </c>
      <c r="D9085" s="111" t="str">
        <f t="shared" ref="D9085:E9085" si="9083">TRIM(B9085)</f>
        <v>Montana</v>
      </c>
      <c r="E9085" s="111" t="str">
        <f t="shared" si="9083"/>
        <v>Rudyard</v>
      </c>
    </row>
    <row r="9086" spans="1:5">
      <c r="A9086" s="3" t="s">
        <v>19429</v>
      </c>
      <c r="B9086" s="110" t="s">
        <v>1349</v>
      </c>
      <c r="C9086" s="111" t="s">
        <v>19430</v>
      </c>
      <c r="D9086" s="111" t="str">
        <f t="shared" ref="D9086:E9086" si="9084">TRIM(B9086)</f>
        <v>Montana</v>
      </c>
      <c r="E9086" s="111" t="str">
        <f t="shared" si="9084"/>
        <v>Ryegate</v>
      </c>
    </row>
    <row r="9087" spans="1:5">
      <c r="A9087" s="3" t="s">
        <v>19431</v>
      </c>
      <c r="B9087" s="110" t="s">
        <v>1349</v>
      </c>
      <c r="C9087" s="111" t="s">
        <v>11033</v>
      </c>
      <c r="D9087" s="111" t="str">
        <f t="shared" ref="D9087:E9087" si="9085">TRIM(B9087)</f>
        <v>Montana</v>
      </c>
      <c r="E9087" s="111" t="str">
        <f t="shared" si="9085"/>
        <v>Saco</v>
      </c>
    </row>
    <row r="9088" spans="1:5">
      <c r="A9088" s="3" t="s">
        <v>14741</v>
      </c>
      <c r="B9088" s="110" t="s">
        <v>1349</v>
      </c>
      <c r="C9088" s="111" t="s">
        <v>19432</v>
      </c>
      <c r="D9088" s="111" t="str">
        <f t="shared" ref="D9088:E9088" si="9086">TRIM(B9088)</f>
        <v>Montana</v>
      </c>
      <c r="E9088" s="111" t="str">
        <f t="shared" si="9086"/>
        <v>Sand Coulee</v>
      </c>
    </row>
    <row r="9089" spans="1:5">
      <c r="A9089" s="3" t="s">
        <v>19433</v>
      </c>
      <c r="B9089" s="110" t="s">
        <v>1349</v>
      </c>
      <c r="C9089" s="111" t="s">
        <v>18263</v>
      </c>
      <c r="D9089" s="111" t="str">
        <f t="shared" ref="D9089:E9089" si="9087">TRIM(B9089)</f>
        <v>Montana</v>
      </c>
      <c r="E9089" s="111" t="str">
        <f t="shared" si="9087"/>
        <v>Savage</v>
      </c>
    </row>
    <row r="9090" spans="1:5">
      <c r="A9090" s="3" t="s">
        <v>19434</v>
      </c>
      <c r="B9090" s="110" t="s">
        <v>1349</v>
      </c>
      <c r="C9090" s="111" t="s">
        <v>1244</v>
      </c>
      <c r="D9090" s="111" t="str">
        <f t="shared" ref="D9090:E9090" si="9088">TRIM(B9090)</f>
        <v>Montana</v>
      </c>
      <c r="E9090" s="111" t="str">
        <f t="shared" si="9088"/>
        <v>Scobey</v>
      </c>
    </row>
    <row r="9091" spans="1:5">
      <c r="A9091" s="3" t="s">
        <v>17593</v>
      </c>
      <c r="B9091" s="110" t="s">
        <v>1349</v>
      </c>
      <c r="C9091" s="111" t="s">
        <v>6109</v>
      </c>
      <c r="D9091" s="111" t="str">
        <f t="shared" ref="D9091:E9091" si="9089">TRIM(B9091)</f>
        <v>Montana</v>
      </c>
      <c r="E9091" s="111" t="str">
        <f t="shared" si="9089"/>
        <v>Shelby</v>
      </c>
    </row>
    <row r="9092" spans="1:5">
      <c r="A9092" s="3" t="s">
        <v>19435</v>
      </c>
      <c r="B9092" s="110" t="s">
        <v>1349</v>
      </c>
      <c r="C9092" s="111" t="s">
        <v>17596</v>
      </c>
      <c r="D9092" s="111" t="str">
        <f t="shared" ref="D9092:E9092" si="9090">TRIM(B9092)</f>
        <v>Montana</v>
      </c>
      <c r="E9092" s="111" t="str">
        <f t="shared" si="9090"/>
        <v>Shepherd</v>
      </c>
    </row>
    <row r="9093" spans="1:5">
      <c r="A9093" s="3" t="s">
        <v>4186</v>
      </c>
      <c r="B9093" s="110" t="s">
        <v>1349</v>
      </c>
      <c r="C9093" s="111" t="s">
        <v>4187</v>
      </c>
      <c r="D9093" s="111" t="str">
        <f t="shared" ref="D9093:E9093" si="9091">TRIM(B9093)</f>
        <v>Montana</v>
      </c>
      <c r="E9093" s="111" t="str">
        <f t="shared" si="9091"/>
        <v>Sheridan</v>
      </c>
    </row>
    <row r="9094" spans="1:5">
      <c r="A9094" s="3" t="s">
        <v>15050</v>
      </c>
      <c r="B9094" s="110" t="s">
        <v>1349</v>
      </c>
      <c r="C9094" s="111" t="s">
        <v>15051</v>
      </c>
      <c r="D9094" s="111" t="str">
        <f t="shared" ref="D9094:E9094" si="9092">TRIM(B9094)</f>
        <v>Montana</v>
      </c>
      <c r="E9094" s="111" t="str">
        <f t="shared" si="9092"/>
        <v>Sidney</v>
      </c>
    </row>
    <row r="9095" spans="1:5">
      <c r="A9095" s="3" t="s">
        <v>19436</v>
      </c>
      <c r="B9095" s="110" t="s">
        <v>1349</v>
      </c>
      <c r="C9095" s="111" t="s">
        <v>19437</v>
      </c>
      <c r="D9095" s="111" t="str">
        <f t="shared" ref="D9095:E9095" si="9093">TRIM(B9095)</f>
        <v>Montana</v>
      </c>
      <c r="E9095" s="111" t="str">
        <f t="shared" si="9093"/>
        <v>Simms</v>
      </c>
    </row>
    <row r="9096" spans="1:5">
      <c r="A9096" s="3" t="s">
        <v>12844</v>
      </c>
      <c r="B9096" s="110" t="s">
        <v>1349</v>
      </c>
      <c r="C9096" s="111" t="s">
        <v>19438</v>
      </c>
      <c r="D9096" s="111" t="str">
        <f t="shared" ref="D9096:E9096" si="9094">TRIM(B9096)</f>
        <v>Montana</v>
      </c>
      <c r="E9096" s="111" t="str">
        <f t="shared" si="9094"/>
        <v>St Ignatius</v>
      </c>
    </row>
    <row r="9097" spans="1:5">
      <c r="A9097" s="3" t="s">
        <v>19439</v>
      </c>
      <c r="B9097" s="110" t="s">
        <v>1349</v>
      </c>
      <c r="C9097" s="111" t="s">
        <v>19440</v>
      </c>
      <c r="D9097" s="111" t="str">
        <f t="shared" ref="D9097:E9097" si="9095">TRIM(B9097)</f>
        <v>Montana</v>
      </c>
      <c r="E9097" s="111" t="str">
        <f t="shared" si="9095"/>
        <v>St Regis</v>
      </c>
    </row>
    <row r="9098" spans="1:5">
      <c r="A9098" s="3" t="s">
        <v>19441</v>
      </c>
      <c r="B9098" s="110" t="s">
        <v>1349</v>
      </c>
      <c r="C9098" s="111" t="s">
        <v>13842</v>
      </c>
      <c r="D9098" s="111" t="str">
        <f t="shared" ref="D9098:E9098" si="9096">TRIM(B9098)</f>
        <v>Montana</v>
      </c>
      <c r="E9098" s="111" t="str">
        <f t="shared" si="9096"/>
        <v>Stanford</v>
      </c>
    </row>
    <row r="9099" spans="1:5">
      <c r="A9099" s="3" t="s">
        <v>19442</v>
      </c>
      <c r="B9099" s="110" t="s">
        <v>1349</v>
      </c>
      <c r="C9099" s="111" t="s">
        <v>16511</v>
      </c>
      <c r="D9099" s="111" t="str">
        <f t="shared" ref="D9099:E9099" si="9097">TRIM(B9099)</f>
        <v>Montana</v>
      </c>
      <c r="E9099" s="111" t="str">
        <f t="shared" si="9097"/>
        <v>Stevensville</v>
      </c>
    </row>
    <row r="9100" spans="1:5">
      <c r="A9100" s="3" t="s">
        <v>19443</v>
      </c>
      <c r="B9100" s="110" t="s">
        <v>1349</v>
      </c>
      <c r="C9100" s="111" t="s">
        <v>19444</v>
      </c>
      <c r="D9100" s="111" t="str">
        <f t="shared" ref="D9100:E9100" si="9098">TRIM(B9100)</f>
        <v>Montana</v>
      </c>
      <c r="E9100" s="111" t="str">
        <f t="shared" si="9098"/>
        <v>Sunburst</v>
      </c>
    </row>
    <row r="9101" spans="1:5">
      <c r="A9101" s="3" t="s">
        <v>19445</v>
      </c>
      <c r="B9101" s="110" t="s">
        <v>1349</v>
      </c>
      <c r="C9101" s="111" t="s">
        <v>3286</v>
      </c>
      <c r="D9101" s="111" t="str">
        <f t="shared" ref="D9101:E9101" si="9099">TRIM(B9101)</f>
        <v>Montana</v>
      </c>
      <c r="E9101" s="111" t="str">
        <f t="shared" si="9099"/>
        <v>Superior</v>
      </c>
    </row>
    <row r="9102" spans="1:5">
      <c r="A9102" s="3" t="s">
        <v>18576</v>
      </c>
      <c r="B9102" s="110" t="s">
        <v>1349</v>
      </c>
      <c r="C9102" s="111" t="s">
        <v>18577</v>
      </c>
      <c r="D9102" s="111" t="str">
        <f t="shared" ref="D9102:E9102" si="9100">TRIM(B9102)</f>
        <v>Montana</v>
      </c>
      <c r="E9102" s="111" t="str">
        <f t="shared" si="9100"/>
        <v>Terry</v>
      </c>
    </row>
    <row r="9103" spans="1:5">
      <c r="A9103" s="3" t="s">
        <v>19446</v>
      </c>
      <c r="B9103" s="110" t="s">
        <v>1349</v>
      </c>
      <c r="C9103" s="111" t="s">
        <v>19447</v>
      </c>
      <c r="D9103" s="111" t="str">
        <f t="shared" ref="D9103:E9103" si="9101">TRIM(B9103)</f>
        <v>Montana</v>
      </c>
      <c r="E9103" s="111" t="str">
        <f t="shared" si="9101"/>
        <v>Thompson Falls</v>
      </c>
    </row>
    <row r="9104" spans="1:5">
      <c r="A9104" s="3" t="s">
        <v>19448</v>
      </c>
      <c r="B9104" s="110" t="s">
        <v>1349</v>
      </c>
      <c r="C9104" s="111" t="s">
        <v>8124</v>
      </c>
      <c r="D9104" s="111" t="str">
        <f t="shared" ref="D9104:E9104" si="9102">TRIM(B9104)</f>
        <v>Montana</v>
      </c>
      <c r="E9104" s="111" t="str">
        <f t="shared" si="9102"/>
        <v>Three Forks</v>
      </c>
    </row>
    <row r="9105" spans="1:5">
      <c r="A9105" s="3" t="s">
        <v>19449</v>
      </c>
      <c r="B9105" s="110" t="s">
        <v>1349</v>
      </c>
      <c r="C9105" s="111" t="s">
        <v>16870</v>
      </c>
      <c r="D9105" s="111" t="str">
        <f t="shared" ref="D9105:E9105" si="9103">TRIM(B9105)</f>
        <v>Montana</v>
      </c>
      <c r="E9105" s="111" t="str">
        <f t="shared" si="9103"/>
        <v>Townsend</v>
      </c>
    </row>
    <row r="9106" spans="1:5">
      <c r="A9106" s="3" t="s">
        <v>5114</v>
      </c>
      <c r="B9106" s="110" t="s">
        <v>1349</v>
      </c>
      <c r="C9106" s="111" t="s">
        <v>2228</v>
      </c>
      <c r="D9106" s="111" t="str">
        <f t="shared" ref="D9106:E9106" si="9104">TRIM(B9106)</f>
        <v>Montana</v>
      </c>
      <c r="E9106" s="111" t="str">
        <f t="shared" si="9104"/>
        <v>Troy</v>
      </c>
    </row>
    <row r="9107" spans="1:5">
      <c r="A9107" s="3" t="s">
        <v>15342</v>
      </c>
      <c r="B9107" s="110" t="s">
        <v>1349</v>
      </c>
      <c r="C9107" s="111" t="s">
        <v>16303</v>
      </c>
      <c r="D9107" s="111" t="str">
        <f t="shared" ref="D9107:E9107" si="9105">TRIM(B9107)</f>
        <v>Montana</v>
      </c>
      <c r="E9107" s="111" t="str">
        <f t="shared" si="9105"/>
        <v>Turner</v>
      </c>
    </row>
    <row r="9108" spans="1:5">
      <c r="A9108" s="3" t="s">
        <v>19450</v>
      </c>
      <c r="B9108" s="110" t="s">
        <v>1349</v>
      </c>
      <c r="C9108" s="111" t="s">
        <v>8530</v>
      </c>
      <c r="D9108" s="111" t="str">
        <f t="shared" ref="D9108:E9108" si="9106">TRIM(B9108)</f>
        <v>Montana</v>
      </c>
      <c r="E9108" s="111" t="str">
        <f t="shared" si="9106"/>
        <v>Twin Bridges</v>
      </c>
    </row>
    <row r="9109" spans="1:5">
      <c r="A9109" s="3" t="s">
        <v>19451</v>
      </c>
      <c r="B9109" s="110" t="s">
        <v>1349</v>
      </c>
      <c r="C9109" s="111" t="s">
        <v>19452</v>
      </c>
      <c r="D9109" s="111" t="str">
        <f t="shared" ref="D9109:E9109" si="9107">TRIM(B9109)</f>
        <v>Montana</v>
      </c>
      <c r="E9109" s="111" t="str">
        <f t="shared" si="9107"/>
        <v>Valier</v>
      </c>
    </row>
    <row r="9110" spans="1:5">
      <c r="A9110" s="3" t="s">
        <v>19453</v>
      </c>
      <c r="B9110" s="110" t="s">
        <v>1349</v>
      </c>
      <c r="C9110" s="111" t="s">
        <v>4686</v>
      </c>
      <c r="D9110" s="111" t="str">
        <f t="shared" ref="D9110:E9110" si="9108">TRIM(B9110)</f>
        <v>Montana</v>
      </c>
      <c r="E9110" s="111" t="str">
        <f t="shared" si="9108"/>
        <v>Victor</v>
      </c>
    </row>
    <row r="9111" spans="1:5">
      <c r="A9111" s="3" t="s">
        <v>19454</v>
      </c>
      <c r="B9111" s="110" t="s">
        <v>1349</v>
      </c>
      <c r="C9111" s="113" t="s">
        <v>19455</v>
      </c>
      <c r="D9111" s="111" t="str">
        <f t="shared" ref="D9111:E9111" si="9109">TRIM(B9111)</f>
        <v>Montana</v>
      </c>
      <c r="E9111" s="111" t="str">
        <f t="shared" si="9109"/>
        <v>West Yellowstone</v>
      </c>
    </row>
    <row r="9112" spans="1:5">
      <c r="A9112" s="3" t="s">
        <v>19456</v>
      </c>
      <c r="B9112" s="110" t="s">
        <v>1349</v>
      </c>
      <c r="C9112" s="111" t="s">
        <v>19457</v>
      </c>
      <c r="D9112" s="111" t="str">
        <f t="shared" ref="D9112:E9112" si="9110">TRIM(B9112)</f>
        <v>Montana</v>
      </c>
      <c r="E9112" s="111" t="str">
        <f t="shared" si="9110"/>
        <v>Westby</v>
      </c>
    </row>
    <row r="9113" spans="1:5">
      <c r="A9113" s="3" t="s">
        <v>19458</v>
      </c>
      <c r="B9113" s="110" t="s">
        <v>1349</v>
      </c>
      <c r="C9113" s="113" t="s">
        <v>19459</v>
      </c>
      <c r="D9113" s="111" t="str">
        <f t="shared" ref="D9113:E9113" si="9111">TRIM(B9113)</f>
        <v>Montana</v>
      </c>
      <c r="E9113" s="111" t="str">
        <f t="shared" si="9111"/>
        <v>White Sulphur Springs</v>
      </c>
    </row>
    <row r="9114" spans="1:5">
      <c r="A9114" s="3" t="s">
        <v>19460</v>
      </c>
      <c r="B9114" s="110" t="s">
        <v>1349</v>
      </c>
      <c r="C9114" s="111" t="s">
        <v>19461</v>
      </c>
      <c r="D9114" s="111" t="str">
        <f t="shared" ref="D9114:E9114" si="9112">TRIM(B9114)</f>
        <v>Montana</v>
      </c>
      <c r="E9114" s="111" t="str">
        <f t="shared" si="9112"/>
        <v>Whitefish</v>
      </c>
    </row>
    <row r="9115" spans="1:5">
      <c r="A9115" s="3" t="s">
        <v>19462</v>
      </c>
      <c r="B9115" s="110" t="s">
        <v>1349</v>
      </c>
      <c r="C9115" s="111" t="s">
        <v>17672</v>
      </c>
      <c r="D9115" s="111" t="str">
        <f t="shared" ref="D9115:E9115" si="9113">TRIM(B9115)</f>
        <v>Montana</v>
      </c>
      <c r="E9115" s="111" t="str">
        <f t="shared" si="9113"/>
        <v>Whitehall</v>
      </c>
    </row>
    <row r="9116" spans="1:5">
      <c r="A9116" s="3" t="s">
        <v>10768</v>
      </c>
      <c r="B9116" s="110" t="s">
        <v>1349</v>
      </c>
      <c r="C9116" s="111" t="s">
        <v>15585</v>
      </c>
      <c r="D9116" s="111" t="str">
        <f t="shared" ref="D9116:E9116" si="9114">TRIM(B9116)</f>
        <v>Montana</v>
      </c>
      <c r="E9116" s="111" t="str">
        <f t="shared" si="9114"/>
        <v>Whitewater</v>
      </c>
    </row>
    <row r="9117" spans="1:5">
      <c r="A9117" s="3" t="s">
        <v>19463</v>
      </c>
      <c r="B9117" s="110" t="s">
        <v>1349</v>
      </c>
      <c r="C9117" s="111" t="s">
        <v>19464</v>
      </c>
      <c r="D9117" s="111" t="str">
        <f t="shared" ref="D9117:E9117" si="9115">TRIM(B9117)</f>
        <v>Montana</v>
      </c>
      <c r="E9117" s="111" t="str">
        <f t="shared" si="9115"/>
        <v>Wibaux</v>
      </c>
    </row>
    <row r="9118" spans="1:5">
      <c r="A9118" s="3" t="s">
        <v>19465</v>
      </c>
      <c r="B9118" s="110" t="s">
        <v>1349</v>
      </c>
      <c r="C9118" s="111" t="s">
        <v>19466</v>
      </c>
      <c r="D9118" s="111" t="str">
        <f t="shared" ref="D9118:E9118" si="9116">TRIM(B9118)</f>
        <v>Montana</v>
      </c>
      <c r="E9118" s="111" t="str">
        <f t="shared" si="9116"/>
        <v>Willow Creek</v>
      </c>
    </row>
    <row r="9119" spans="1:5">
      <c r="A9119" s="3" t="s">
        <v>19467</v>
      </c>
      <c r="B9119" s="110" t="s">
        <v>1349</v>
      </c>
      <c r="C9119" s="111" t="s">
        <v>19468</v>
      </c>
      <c r="D9119" s="111" t="str">
        <f t="shared" ref="D9119:E9119" si="9117">TRIM(B9119)</f>
        <v>Montana</v>
      </c>
      <c r="E9119" s="111" t="str">
        <f t="shared" si="9117"/>
        <v>Winifred</v>
      </c>
    </row>
    <row r="9120" spans="1:5">
      <c r="A9120" s="3" t="s">
        <v>19469</v>
      </c>
      <c r="B9120" s="110" t="s">
        <v>1349</v>
      </c>
      <c r="C9120" s="111" t="s">
        <v>19470</v>
      </c>
      <c r="D9120" s="111" t="str">
        <f t="shared" ref="D9120:E9120" si="9118">TRIM(B9120)</f>
        <v>Montana</v>
      </c>
      <c r="E9120" s="111" t="str">
        <f t="shared" si="9118"/>
        <v>Winnett</v>
      </c>
    </row>
    <row r="9121" spans="1:5">
      <c r="A9121" s="3" t="s">
        <v>19471</v>
      </c>
      <c r="B9121" s="110" t="s">
        <v>1349</v>
      </c>
      <c r="C9121" s="111" t="s">
        <v>19472</v>
      </c>
      <c r="D9121" s="111" t="str">
        <f t="shared" ref="D9121:E9121" si="9119">TRIM(B9121)</f>
        <v>Montana</v>
      </c>
      <c r="E9121" s="111" t="str">
        <f t="shared" si="9119"/>
        <v>Wolf Point</v>
      </c>
    </row>
    <row r="9122" spans="1:5">
      <c r="A9122" s="3" t="s">
        <v>19473</v>
      </c>
      <c r="B9122" s="110" t="s">
        <v>1349</v>
      </c>
      <c r="C9122" s="111" t="s">
        <v>19474</v>
      </c>
      <c r="D9122" s="111" t="str">
        <f t="shared" ref="D9122:E9122" si="9120">TRIM(B9122)</f>
        <v>Montana</v>
      </c>
      <c r="E9122" s="111" t="str">
        <f t="shared" si="9120"/>
        <v>Worden</v>
      </c>
    </row>
    <row r="9123" spans="1:5">
      <c r="A9123" s="3" t="s">
        <v>19475</v>
      </c>
      <c r="B9123" s="110" t="s">
        <v>1350</v>
      </c>
      <c r="C9123" s="112" t="s">
        <v>16539</v>
      </c>
      <c r="D9123" s="111" t="str">
        <f t="shared" ref="D9123:E9123" si="9121">TRIM(B9123)</f>
        <v>Nebraska</v>
      </c>
      <c r="E9123" s="111" t="str">
        <f t="shared" si="9121"/>
        <v>Adams</v>
      </c>
    </row>
    <row r="9124" spans="1:5">
      <c r="A9124" s="3" t="s">
        <v>19476</v>
      </c>
      <c r="B9124" s="110" t="s">
        <v>1350</v>
      </c>
      <c r="C9124" s="111" t="s">
        <v>19477</v>
      </c>
      <c r="D9124" s="111" t="str">
        <f t="shared" ref="D9124:E9124" si="9122">TRIM(B9124)</f>
        <v>Nebraska</v>
      </c>
      <c r="E9124" s="111" t="str">
        <f t="shared" si="9122"/>
        <v>Ainsworth</v>
      </c>
    </row>
    <row r="9125" spans="1:5">
      <c r="A9125" s="3" t="s">
        <v>19478</v>
      </c>
      <c r="B9125" s="110" t="s">
        <v>1350</v>
      </c>
      <c r="C9125" s="111" t="s">
        <v>11950</v>
      </c>
      <c r="D9125" s="111" t="str">
        <f t="shared" ref="D9125:E9125" si="9123">TRIM(B9125)</f>
        <v>Nebraska</v>
      </c>
      <c r="E9125" s="111" t="str">
        <f t="shared" si="9123"/>
        <v>Albion</v>
      </c>
    </row>
    <row r="9126" spans="1:5">
      <c r="A9126" s="3" t="s">
        <v>19479</v>
      </c>
      <c r="B9126" s="110" t="s">
        <v>1350</v>
      </c>
      <c r="C9126" s="111" t="s">
        <v>754</v>
      </c>
      <c r="D9126" s="111" t="str">
        <f t="shared" ref="D9126:E9126" si="9124">TRIM(B9126)</f>
        <v>Nebraska</v>
      </c>
      <c r="E9126" s="111" t="str">
        <f t="shared" si="9124"/>
        <v>Allen</v>
      </c>
    </row>
    <row r="9127" spans="1:5">
      <c r="A9127" s="3" t="s">
        <v>19480</v>
      </c>
      <c r="B9127" s="110" t="s">
        <v>1350</v>
      </c>
      <c r="C9127" s="111" t="s">
        <v>19481</v>
      </c>
      <c r="D9127" s="111" t="str">
        <f t="shared" ref="D9127:E9127" si="9125">TRIM(B9127)</f>
        <v>Nebraska</v>
      </c>
      <c r="E9127" s="111" t="str">
        <f t="shared" si="9125"/>
        <v>Alliance</v>
      </c>
    </row>
    <row r="9128" spans="1:5">
      <c r="A9128" s="3" t="s">
        <v>3550</v>
      </c>
      <c r="B9128" s="110" t="s">
        <v>1350</v>
      </c>
      <c r="C9128" s="111" t="s">
        <v>3551</v>
      </c>
      <c r="D9128" s="111" t="str">
        <f t="shared" ref="D9128:E9128" si="9126">TRIM(B9128)</f>
        <v>Nebraska</v>
      </c>
      <c r="E9128" s="111" t="str">
        <f t="shared" si="9126"/>
        <v>Alma</v>
      </c>
    </row>
    <row r="9129" spans="1:5">
      <c r="A9129" s="3" t="s">
        <v>19482</v>
      </c>
      <c r="B9129" s="110" t="s">
        <v>1350</v>
      </c>
      <c r="C9129" s="111" t="s">
        <v>16546</v>
      </c>
      <c r="D9129" s="111" t="str">
        <f t="shared" ref="D9129:E9129" si="9127">TRIM(B9129)</f>
        <v>Nebraska</v>
      </c>
      <c r="E9129" s="111" t="str">
        <f t="shared" si="9127"/>
        <v>Amherst</v>
      </c>
    </row>
    <row r="9130" spans="1:5">
      <c r="A9130" s="3" t="s">
        <v>19483</v>
      </c>
      <c r="B9130" s="110" t="s">
        <v>1350</v>
      </c>
      <c r="C9130" s="111" t="s">
        <v>19484</v>
      </c>
      <c r="D9130" s="111" t="str">
        <f t="shared" ref="D9130:E9130" si="9128">TRIM(B9130)</f>
        <v>Nebraska</v>
      </c>
      <c r="E9130" s="111" t="str">
        <f t="shared" si="9128"/>
        <v>Ansley</v>
      </c>
    </row>
    <row r="9131" spans="1:5">
      <c r="A9131" s="3" t="s">
        <v>7691</v>
      </c>
      <c r="B9131" s="110" t="s">
        <v>1350</v>
      </c>
      <c r="C9131" s="111" t="s">
        <v>19485</v>
      </c>
      <c r="D9131" s="111" t="str">
        <f t="shared" ref="D9131:E9131" si="9129">TRIM(B9131)</f>
        <v>Nebraska</v>
      </c>
      <c r="E9131" s="111" t="str">
        <f t="shared" si="9129"/>
        <v>Arapahoe</v>
      </c>
    </row>
    <row r="9132" spans="1:5">
      <c r="A9132" s="3" t="s">
        <v>2934</v>
      </c>
      <c r="B9132" s="110" t="s">
        <v>1350</v>
      </c>
      <c r="C9132" s="111" t="s">
        <v>4375</v>
      </c>
      <c r="D9132" s="111" t="str">
        <f t="shared" ref="D9132:E9132" si="9130">TRIM(B9132)</f>
        <v>Nebraska</v>
      </c>
      <c r="E9132" s="111" t="str">
        <f t="shared" si="9130"/>
        <v>Arcadia</v>
      </c>
    </row>
    <row r="9133" spans="1:5">
      <c r="A9133" s="3" t="s">
        <v>6555</v>
      </c>
      <c r="B9133" s="110" t="s">
        <v>1350</v>
      </c>
      <c r="C9133" s="111" t="s">
        <v>1048</v>
      </c>
      <c r="D9133" s="111" t="str">
        <f t="shared" ref="D9133:E9133" si="9131">TRIM(B9133)</f>
        <v>Nebraska</v>
      </c>
      <c r="E9133" s="111" t="str">
        <f t="shared" si="9131"/>
        <v>Arlington</v>
      </c>
    </row>
    <row r="9134" spans="1:5">
      <c r="A9134" s="3" t="s">
        <v>19486</v>
      </c>
      <c r="B9134" s="110" t="s">
        <v>1350</v>
      </c>
      <c r="C9134" s="111" t="s">
        <v>18609</v>
      </c>
      <c r="D9134" s="111" t="str">
        <f t="shared" ref="D9134:E9134" si="9132">TRIM(B9134)</f>
        <v>Nebraska</v>
      </c>
      <c r="E9134" s="111" t="str">
        <f t="shared" si="9132"/>
        <v>Arnold</v>
      </c>
    </row>
    <row r="9135" spans="1:5">
      <c r="A9135" s="3" t="s">
        <v>19487</v>
      </c>
      <c r="B9135" s="110" t="s">
        <v>1350</v>
      </c>
      <c r="C9135" s="111" t="s">
        <v>11999</v>
      </c>
      <c r="D9135" s="111" t="str">
        <f t="shared" ref="D9135:E9135" si="9133">TRIM(B9135)</f>
        <v>Nebraska</v>
      </c>
      <c r="E9135" s="111" t="str">
        <f t="shared" si="9133"/>
        <v>Arthur</v>
      </c>
    </row>
    <row r="9136" spans="1:5">
      <c r="A9136" s="3" t="s">
        <v>19488</v>
      </c>
      <c r="B9136" s="110" t="s">
        <v>1350</v>
      </c>
      <c r="C9136" s="111" t="s">
        <v>10817</v>
      </c>
      <c r="D9136" s="111" t="str">
        <f t="shared" ref="D9136:E9136" si="9134">TRIM(B9136)</f>
        <v>Nebraska</v>
      </c>
      <c r="E9136" s="111" t="str">
        <f t="shared" si="9134"/>
        <v>Ashland</v>
      </c>
    </row>
    <row r="9137" spans="1:5">
      <c r="A9137" s="3" t="s">
        <v>19489</v>
      </c>
      <c r="B9137" s="110" t="s">
        <v>1350</v>
      </c>
      <c r="C9137" s="111" t="s">
        <v>19490</v>
      </c>
      <c r="D9137" s="111" t="str">
        <f t="shared" ref="D9137:E9137" si="9135">TRIM(B9137)</f>
        <v>Nebraska</v>
      </c>
      <c r="E9137" s="111" t="str">
        <f t="shared" si="9135"/>
        <v>Atkinson</v>
      </c>
    </row>
    <row r="9138" spans="1:5">
      <c r="A9138" s="3" t="s">
        <v>1532</v>
      </c>
      <c r="B9138" s="110" t="s">
        <v>1350</v>
      </c>
      <c r="C9138" s="111" t="s">
        <v>211</v>
      </c>
      <c r="D9138" s="111" t="str">
        <f t="shared" ref="D9138:E9138" si="9136">TRIM(B9138)</f>
        <v>Nebraska</v>
      </c>
      <c r="E9138" s="111" t="str">
        <f t="shared" si="9136"/>
        <v>Auburn</v>
      </c>
    </row>
    <row r="9139" spans="1:5">
      <c r="A9139" s="3" t="s">
        <v>18614</v>
      </c>
      <c r="B9139" s="110" t="s">
        <v>1350</v>
      </c>
      <c r="C9139" s="111" t="s">
        <v>353</v>
      </c>
      <c r="D9139" s="111" t="str">
        <f t="shared" ref="D9139:E9139" si="9137">TRIM(B9139)</f>
        <v>Nebraska</v>
      </c>
      <c r="E9139" s="111" t="str">
        <f t="shared" si="9137"/>
        <v>Aurora</v>
      </c>
    </row>
    <row r="9140" spans="1:5">
      <c r="A9140" s="3" t="s">
        <v>15169</v>
      </c>
      <c r="B9140" s="110" t="s">
        <v>1350</v>
      </c>
      <c r="C9140" s="111" t="s">
        <v>15170</v>
      </c>
      <c r="D9140" s="111" t="str">
        <f t="shared" ref="D9140:E9140" si="9138">TRIM(B9140)</f>
        <v>Nebraska</v>
      </c>
      <c r="E9140" s="111" t="str">
        <f t="shared" si="9138"/>
        <v>Axtell</v>
      </c>
    </row>
    <row r="9141" spans="1:5">
      <c r="A9141" s="3" t="s">
        <v>19491</v>
      </c>
      <c r="B9141" s="110" t="s">
        <v>1350</v>
      </c>
      <c r="C9141" s="111" t="s">
        <v>11598</v>
      </c>
      <c r="D9141" s="111" t="str">
        <f t="shared" ref="D9141:E9141" si="9139">TRIM(B9141)</f>
        <v>Nebraska</v>
      </c>
      <c r="E9141" s="111" t="str">
        <f t="shared" si="9139"/>
        <v>Bancroft</v>
      </c>
    </row>
    <row r="9142" spans="1:5">
      <c r="A9142" s="3" t="s">
        <v>19492</v>
      </c>
      <c r="B9142" s="110" t="s">
        <v>1350</v>
      </c>
      <c r="C9142" s="111" t="s">
        <v>4734</v>
      </c>
      <c r="D9142" s="111" t="str">
        <f t="shared" ref="D9142:E9142" si="9140">TRIM(B9142)</f>
        <v>Nebraska</v>
      </c>
      <c r="E9142" s="111" t="str">
        <f t="shared" si="9140"/>
        <v>Bartlett</v>
      </c>
    </row>
    <row r="9143" spans="1:5">
      <c r="A9143" s="3" t="s">
        <v>19493</v>
      </c>
      <c r="B9143" s="110" t="s">
        <v>1350</v>
      </c>
      <c r="C9143" s="111" t="s">
        <v>19494</v>
      </c>
      <c r="D9143" s="111" t="str">
        <f t="shared" ref="D9143:E9143" si="9141">TRIM(B9143)</f>
        <v>Nebraska</v>
      </c>
      <c r="E9143" s="111" t="str">
        <f t="shared" si="9141"/>
        <v>Bartley</v>
      </c>
    </row>
    <row r="9144" spans="1:5">
      <c r="A9144" s="3" t="s">
        <v>19495</v>
      </c>
      <c r="B9144" s="110" t="s">
        <v>1350</v>
      </c>
      <c r="C9144" s="111" t="s">
        <v>19496</v>
      </c>
      <c r="D9144" s="111" t="str">
        <f t="shared" ref="D9144:E9144" si="9142">TRIM(B9144)</f>
        <v>Nebraska</v>
      </c>
      <c r="E9144" s="111" t="str">
        <f t="shared" si="9142"/>
        <v>Bassett</v>
      </c>
    </row>
    <row r="9145" spans="1:5">
      <c r="A9145" s="3" t="s">
        <v>19497</v>
      </c>
      <c r="B9145" s="110" t="s">
        <v>1350</v>
      </c>
      <c r="C9145" s="111" t="s">
        <v>16960</v>
      </c>
      <c r="D9145" s="111" t="str">
        <f t="shared" ref="D9145:E9145" si="9143">TRIM(B9145)</f>
        <v>Nebraska</v>
      </c>
      <c r="E9145" s="111" t="str">
        <f t="shared" si="9143"/>
        <v>Battle Creek</v>
      </c>
    </row>
    <row r="9146" spans="1:5">
      <c r="A9146" s="110" t="s">
        <v>19498</v>
      </c>
      <c r="B9146" s="110" t="s">
        <v>1350</v>
      </c>
      <c r="C9146" s="111" t="s">
        <v>19499</v>
      </c>
      <c r="D9146" s="111" t="str">
        <f t="shared" ref="D9146:E9146" si="9144">TRIM(B9146)</f>
        <v>Nebraska</v>
      </c>
      <c r="E9146" s="111" t="str">
        <f t="shared" si="9144"/>
        <v>Bayard</v>
      </c>
    </row>
    <row r="9147" spans="1:5">
      <c r="A9147" s="3" t="s">
        <v>19500</v>
      </c>
      <c r="B9147" s="110" t="s">
        <v>1350</v>
      </c>
      <c r="C9147" s="111" t="s">
        <v>19501</v>
      </c>
      <c r="D9147" s="111" t="str">
        <f t="shared" ref="D9147:E9147" si="9145">TRIM(B9147)</f>
        <v>Nebraska</v>
      </c>
      <c r="E9147" s="111" t="str">
        <f t="shared" si="9145"/>
        <v>Beatrice</v>
      </c>
    </row>
    <row r="9148" spans="1:5">
      <c r="A9148" s="3" t="s">
        <v>19502</v>
      </c>
      <c r="B9148" s="110" t="s">
        <v>1350</v>
      </c>
      <c r="C9148" s="111" t="s">
        <v>14159</v>
      </c>
      <c r="D9148" s="111" t="str">
        <f t="shared" ref="D9148:E9148" si="9146">TRIM(B9148)</f>
        <v>Nebraska</v>
      </c>
      <c r="E9148" s="111" t="str">
        <f t="shared" si="9146"/>
        <v>Bellevue</v>
      </c>
    </row>
    <row r="9149" spans="1:5">
      <c r="A9149" s="3" t="s">
        <v>19503</v>
      </c>
      <c r="B9149" s="110" t="s">
        <v>1350</v>
      </c>
      <c r="C9149" s="111" t="s">
        <v>14159</v>
      </c>
      <c r="D9149" s="111" t="str">
        <f t="shared" ref="D9149:E9149" si="9147">TRIM(B9149)</f>
        <v>Nebraska</v>
      </c>
      <c r="E9149" s="111" t="str">
        <f t="shared" si="9147"/>
        <v>Bellevue</v>
      </c>
    </row>
    <row r="9150" spans="1:5">
      <c r="A9150" s="3" t="s">
        <v>19504</v>
      </c>
      <c r="B9150" s="110" t="s">
        <v>1350</v>
      </c>
      <c r="C9150" s="111" t="s">
        <v>19505</v>
      </c>
      <c r="D9150" s="111" t="str">
        <f t="shared" ref="D9150:E9150" si="9148">TRIM(B9150)</f>
        <v>Nebraska</v>
      </c>
      <c r="E9150" s="111" t="str">
        <f t="shared" si="9148"/>
        <v>Benkelman</v>
      </c>
    </row>
    <row r="9151" spans="1:5">
      <c r="A9151" s="3" t="s">
        <v>19506</v>
      </c>
      <c r="B9151" s="110" t="s">
        <v>1350</v>
      </c>
      <c r="C9151" s="111" t="s">
        <v>521</v>
      </c>
      <c r="D9151" s="111" t="str">
        <f t="shared" ref="D9151:E9151" si="9149">TRIM(B9151)</f>
        <v>Nebraska</v>
      </c>
      <c r="E9151" s="111" t="str">
        <f t="shared" si="9149"/>
        <v>Bennington</v>
      </c>
    </row>
    <row r="9152" spans="1:5">
      <c r="A9152" s="3" t="s">
        <v>19507</v>
      </c>
      <c r="B9152" s="110" t="s">
        <v>1350</v>
      </c>
      <c r="C9152" s="111" t="s">
        <v>19508</v>
      </c>
      <c r="D9152" s="111" t="str">
        <f t="shared" ref="D9152:E9152" si="9150">TRIM(B9152)</f>
        <v>Nebraska</v>
      </c>
      <c r="E9152" s="111" t="str">
        <f t="shared" si="9150"/>
        <v>Bertrand</v>
      </c>
    </row>
    <row r="9153" spans="1:5">
      <c r="A9153" s="3" t="s">
        <v>19509</v>
      </c>
      <c r="B9153" s="110" t="s">
        <v>1350</v>
      </c>
      <c r="C9153" s="111" t="s">
        <v>19510</v>
      </c>
      <c r="D9153" s="111" t="str">
        <f t="shared" ref="D9153:E9153" si="9151">TRIM(B9153)</f>
        <v>Nebraska</v>
      </c>
      <c r="E9153" s="111" t="str">
        <f t="shared" si="9151"/>
        <v>Big Springs</v>
      </c>
    </row>
    <row r="9154" spans="1:5">
      <c r="A9154" s="3" t="s">
        <v>6318</v>
      </c>
      <c r="B9154" s="110" t="s">
        <v>1350</v>
      </c>
      <c r="C9154" s="111" t="s">
        <v>19511</v>
      </c>
      <c r="D9154" s="111" t="str">
        <f t="shared" ref="D9154:E9154" si="9152">TRIM(B9154)</f>
        <v>Nebraska</v>
      </c>
      <c r="E9154" s="111" t="str">
        <f t="shared" si="9152"/>
        <v>Blair</v>
      </c>
    </row>
    <row r="9155" spans="1:5">
      <c r="A9155" s="3" t="s">
        <v>14132</v>
      </c>
      <c r="B9155" s="110" t="s">
        <v>1350</v>
      </c>
      <c r="C9155" s="111" t="s">
        <v>8344</v>
      </c>
      <c r="D9155" s="111" t="str">
        <f t="shared" ref="D9155:E9155" si="9153">TRIM(B9155)</f>
        <v>Nebraska</v>
      </c>
      <c r="E9155" s="111" t="str">
        <f t="shared" si="9153"/>
        <v>Bloomfield</v>
      </c>
    </row>
    <row r="9156" spans="1:5">
      <c r="A9156" s="3" t="s">
        <v>19512</v>
      </c>
      <c r="B9156" s="110" t="s">
        <v>1350</v>
      </c>
      <c r="C9156" s="111" t="s">
        <v>10984</v>
      </c>
      <c r="D9156" s="111" t="str">
        <f t="shared" ref="D9156:E9156" si="9154">TRIM(B9156)</f>
        <v>Nebraska</v>
      </c>
      <c r="E9156" s="111" t="str">
        <f t="shared" si="9154"/>
        <v>Blue Hill</v>
      </c>
    </row>
    <row r="9157" spans="1:5">
      <c r="A9157" s="3" t="s">
        <v>19513</v>
      </c>
      <c r="B9157" s="110" t="s">
        <v>1350</v>
      </c>
      <c r="C9157" s="111" t="s">
        <v>19514</v>
      </c>
      <c r="D9157" s="111" t="str">
        <f t="shared" ref="D9157:E9157" si="9155">TRIM(B9157)</f>
        <v>Nebraska</v>
      </c>
      <c r="E9157" s="111" t="str">
        <f t="shared" si="9155"/>
        <v>Brady</v>
      </c>
    </row>
    <row r="9158" spans="1:5">
      <c r="A9158" s="3" t="s">
        <v>19515</v>
      </c>
      <c r="B9158" s="110" t="s">
        <v>1350</v>
      </c>
      <c r="C9158" s="111" t="s">
        <v>19516</v>
      </c>
      <c r="D9158" s="111" t="str">
        <f t="shared" ref="D9158:E9158" si="9156">TRIM(B9158)</f>
        <v>Nebraska</v>
      </c>
      <c r="E9158" s="111" t="str">
        <f t="shared" si="9156"/>
        <v>Brainard</v>
      </c>
    </row>
    <row r="9159" spans="1:5">
      <c r="A9159" s="3" t="s">
        <v>17003</v>
      </c>
      <c r="B9159" s="110" t="s">
        <v>1350</v>
      </c>
      <c r="C9159" s="111" t="s">
        <v>3478</v>
      </c>
      <c r="D9159" s="111" t="str">
        <f t="shared" ref="D9159:E9159" si="9157">TRIM(B9159)</f>
        <v>Nebraska</v>
      </c>
      <c r="E9159" s="111" t="str">
        <f t="shared" si="9157"/>
        <v>Bridgeport</v>
      </c>
    </row>
    <row r="9160" spans="1:5">
      <c r="A9160" s="3" t="s">
        <v>19517</v>
      </c>
      <c r="B9160" s="110" t="s">
        <v>1350</v>
      </c>
      <c r="C9160" s="111" t="s">
        <v>19518</v>
      </c>
      <c r="D9160" s="111" t="str">
        <f t="shared" ref="D9160:E9160" si="9158">TRIM(B9160)</f>
        <v>Nebraska</v>
      </c>
      <c r="E9160" s="111" t="str">
        <f t="shared" si="9158"/>
        <v>Broken Bow</v>
      </c>
    </row>
    <row r="9161" spans="1:5">
      <c r="A9161" s="3" t="s">
        <v>19519</v>
      </c>
      <c r="B9161" s="110" t="s">
        <v>1350</v>
      </c>
      <c r="C9161" s="111" t="s">
        <v>19520</v>
      </c>
      <c r="D9161" s="111" t="str">
        <f t="shared" ref="D9161:E9161" si="9159">TRIM(B9161)</f>
        <v>Nebraska</v>
      </c>
      <c r="E9161" s="111" t="str">
        <f t="shared" si="9159"/>
        <v>Bruning</v>
      </c>
    </row>
    <row r="9162" spans="1:5">
      <c r="A9162" s="3" t="s">
        <v>19521</v>
      </c>
      <c r="B9162" s="110" t="s">
        <v>1350</v>
      </c>
      <c r="C9162" s="111" t="s">
        <v>19522</v>
      </c>
      <c r="D9162" s="111" t="str">
        <f t="shared" ref="D9162:E9162" si="9160">TRIM(B9162)</f>
        <v>Nebraska</v>
      </c>
      <c r="E9162" s="111" t="str">
        <f t="shared" si="9160"/>
        <v>Burwell</v>
      </c>
    </row>
    <row r="9163" spans="1:5">
      <c r="A9163" s="110" t="s">
        <v>19523</v>
      </c>
      <c r="B9163" s="110" t="s">
        <v>1350</v>
      </c>
      <c r="C9163" s="111" t="s">
        <v>10484</v>
      </c>
      <c r="D9163" s="111" t="str">
        <f t="shared" ref="D9163:E9163" si="9161">TRIM(B9163)</f>
        <v>Nebraska</v>
      </c>
      <c r="E9163" s="111" t="str">
        <f t="shared" si="9161"/>
        <v>Cairo</v>
      </c>
    </row>
    <row r="9164" spans="1:5">
      <c r="A9164" s="3" t="s">
        <v>10875</v>
      </c>
      <c r="B9164" s="110" t="s">
        <v>1350</v>
      </c>
      <c r="C9164" s="111" t="s">
        <v>19524</v>
      </c>
      <c r="D9164" s="111" t="str">
        <f t="shared" ref="D9164:E9164" si="9162">TRIM(B9164)</f>
        <v>Nebraska</v>
      </c>
      <c r="E9164" s="111" t="str">
        <f t="shared" si="9162"/>
        <v>Callaway</v>
      </c>
    </row>
    <row r="9165" spans="1:5">
      <c r="A9165" s="3" t="s">
        <v>11094</v>
      </c>
      <c r="B9165" s="110" t="s">
        <v>1350</v>
      </c>
      <c r="C9165" s="111" t="s">
        <v>11260</v>
      </c>
      <c r="D9165" s="111" t="str">
        <f t="shared" ref="D9165:E9165" si="9163">TRIM(B9165)</f>
        <v>Nebraska</v>
      </c>
      <c r="E9165" s="111" t="str">
        <f t="shared" si="9163"/>
        <v>Cambridge</v>
      </c>
    </row>
    <row r="9166" spans="1:5">
      <c r="A9166" s="110" t="s">
        <v>19525</v>
      </c>
      <c r="B9166" s="110" t="s">
        <v>1350</v>
      </c>
      <c r="C9166" s="111" t="s">
        <v>19526</v>
      </c>
      <c r="D9166" s="111" t="str">
        <f t="shared" ref="D9166:E9166" si="9164">TRIM(B9166)</f>
        <v>Nebraska</v>
      </c>
      <c r="E9166" s="111" t="str">
        <f t="shared" si="9164"/>
        <v>Cedar Bluffs</v>
      </c>
    </row>
    <row r="9167" spans="1:5">
      <c r="A9167" s="3" t="s">
        <v>3921</v>
      </c>
      <c r="B9167" s="110" t="s">
        <v>1350</v>
      </c>
      <c r="C9167" s="111" t="s">
        <v>10762</v>
      </c>
      <c r="D9167" s="111" t="str">
        <f t="shared" ref="D9167:E9167" si="9165">TRIM(B9167)</f>
        <v>Nebraska</v>
      </c>
      <c r="E9167" s="111" t="str">
        <f t="shared" si="9165"/>
        <v>Cedar Rapids</v>
      </c>
    </row>
    <row r="9168" spans="1:5">
      <c r="A9168" s="3" t="s">
        <v>14742</v>
      </c>
      <c r="B9168" s="110" t="s">
        <v>1350</v>
      </c>
      <c r="C9168" s="111" t="s">
        <v>14743</v>
      </c>
      <c r="D9168" s="111" t="str">
        <f t="shared" ref="D9168:E9168" si="9166">TRIM(B9168)</f>
        <v>Nebraska</v>
      </c>
      <c r="E9168" s="111" t="str">
        <f t="shared" si="9166"/>
        <v>Central City</v>
      </c>
    </row>
    <row r="9169" spans="1:5">
      <c r="A9169" s="3" t="s">
        <v>19527</v>
      </c>
      <c r="B9169" s="110" t="s">
        <v>1350</v>
      </c>
      <c r="C9169" s="111" t="s">
        <v>19528</v>
      </c>
      <c r="D9169" s="111" t="str">
        <f t="shared" ref="D9169:E9169" si="9167">TRIM(B9169)</f>
        <v>Nebraska</v>
      </c>
      <c r="E9169" s="111" t="str">
        <f t="shared" si="9167"/>
        <v>Chadron</v>
      </c>
    </row>
    <row r="9170" spans="1:5">
      <c r="A9170" s="110" t="s">
        <v>19529</v>
      </c>
      <c r="B9170" s="110" t="s">
        <v>1350</v>
      </c>
      <c r="C9170" s="111" t="s">
        <v>19528</v>
      </c>
      <c r="D9170" s="111" t="str">
        <f t="shared" ref="D9170:E9170" si="9168">TRIM(B9170)</f>
        <v>Nebraska</v>
      </c>
      <c r="E9170" s="111" t="str">
        <f t="shared" si="9168"/>
        <v>Chadron</v>
      </c>
    </row>
    <row r="9171" spans="1:5">
      <c r="A9171" s="3" t="s">
        <v>19530</v>
      </c>
      <c r="B9171" s="110" t="s">
        <v>1350</v>
      </c>
      <c r="C9171" s="111" t="s">
        <v>19531</v>
      </c>
      <c r="D9171" s="111" t="str">
        <f t="shared" ref="D9171:E9171" si="9169">TRIM(B9171)</f>
        <v>Nebraska</v>
      </c>
      <c r="E9171" s="111" t="str">
        <f t="shared" si="9169"/>
        <v>Chambers</v>
      </c>
    </row>
    <row r="9172" spans="1:5">
      <c r="A9172" s="3" t="s">
        <v>19532</v>
      </c>
      <c r="B9172" s="110" t="s">
        <v>1350</v>
      </c>
      <c r="C9172" s="111" t="s">
        <v>19533</v>
      </c>
      <c r="D9172" s="111" t="str">
        <f t="shared" ref="D9172:E9172" si="9170">TRIM(B9172)</f>
        <v>Nebraska</v>
      </c>
      <c r="E9172" s="111" t="str">
        <f t="shared" si="9170"/>
        <v>Chappell</v>
      </c>
    </row>
    <row r="9173" spans="1:5">
      <c r="A9173" s="3" t="s">
        <v>19534</v>
      </c>
      <c r="B9173" s="110" t="s">
        <v>1350</v>
      </c>
      <c r="C9173" s="111" t="s">
        <v>19535</v>
      </c>
      <c r="D9173" s="111" t="str">
        <f t="shared" ref="D9173:E9173" si="9171">TRIM(B9173)</f>
        <v>Nebraska</v>
      </c>
      <c r="E9173" s="111" t="str">
        <f t="shared" si="9171"/>
        <v>Clarkson</v>
      </c>
    </row>
    <row r="9174" spans="1:5">
      <c r="A9174" s="3" t="s">
        <v>9055</v>
      </c>
      <c r="B9174" s="110" t="s">
        <v>1350</v>
      </c>
      <c r="C9174" s="111" t="s">
        <v>6382</v>
      </c>
      <c r="D9174" s="111" t="str">
        <f t="shared" ref="D9174:E9174" si="9172">TRIM(B9174)</f>
        <v>Nebraska</v>
      </c>
      <c r="E9174" s="111" t="str">
        <f t="shared" si="9172"/>
        <v>Clearwater</v>
      </c>
    </row>
    <row r="9175" spans="1:5">
      <c r="A9175" s="3" t="s">
        <v>19536</v>
      </c>
      <c r="B9175" s="110" t="s">
        <v>1350</v>
      </c>
      <c r="C9175" s="111" t="s">
        <v>19537</v>
      </c>
      <c r="D9175" s="111" t="str">
        <f t="shared" ref="D9175:E9175" si="9173">TRIM(B9175)</f>
        <v>Nebraska</v>
      </c>
      <c r="E9175" s="111" t="str">
        <f t="shared" si="9173"/>
        <v>Cody</v>
      </c>
    </row>
    <row r="9176" spans="1:5">
      <c r="A9176" s="3" t="s">
        <v>10563</v>
      </c>
      <c r="B9176" s="110" t="s">
        <v>1350</v>
      </c>
      <c r="C9176" s="111" t="s">
        <v>138</v>
      </c>
      <c r="D9176" s="111" t="str">
        <f t="shared" ref="D9176:E9176" si="9174">TRIM(B9176)</f>
        <v>Nebraska</v>
      </c>
      <c r="E9176" s="111" t="str">
        <f t="shared" si="9174"/>
        <v>Columbus</v>
      </c>
    </row>
    <row r="9177" spans="1:5">
      <c r="A9177" s="3" t="s">
        <v>16963</v>
      </c>
      <c r="B9177" s="110" t="s">
        <v>1350</v>
      </c>
      <c r="C9177" s="111" t="s">
        <v>138</v>
      </c>
      <c r="D9177" s="111" t="str">
        <f t="shared" ref="D9177:E9177" si="9175">TRIM(B9177)</f>
        <v>Nebraska</v>
      </c>
      <c r="E9177" s="111" t="str">
        <f t="shared" si="9175"/>
        <v>Columbus</v>
      </c>
    </row>
    <row r="9178" spans="1:5">
      <c r="A9178" s="3" t="s">
        <v>19538</v>
      </c>
      <c r="B9178" s="110" t="s">
        <v>1350</v>
      </c>
      <c r="C9178" s="111" t="s">
        <v>19539</v>
      </c>
      <c r="D9178" s="111" t="str">
        <f t="shared" ref="D9178:E9178" si="9176">TRIM(B9178)</f>
        <v>Nebraska</v>
      </c>
      <c r="E9178" s="111" t="str">
        <f t="shared" si="9176"/>
        <v>Cozad</v>
      </c>
    </row>
    <row r="9179" spans="1:5">
      <c r="A9179" s="3" t="s">
        <v>6728</v>
      </c>
      <c r="B9179" s="110" t="s">
        <v>1350</v>
      </c>
      <c r="C9179" s="111" t="s">
        <v>19540</v>
      </c>
      <c r="D9179" s="111" t="str">
        <f t="shared" ref="D9179:E9179" si="9177">TRIM(B9179)</f>
        <v>Nebraska</v>
      </c>
      <c r="E9179" s="111" t="str">
        <f t="shared" si="9177"/>
        <v>Crawford</v>
      </c>
    </row>
    <row r="9180" spans="1:5">
      <c r="A9180" s="3" t="s">
        <v>19541</v>
      </c>
      <c r="B9180" s="110" t="s">
        <v>1350</v>
      </c>
      <c r="C9180" s="111" t="s">
        <v>18721</v>
      </c>
      <c r="D9180" s="111" t="str">
        <f t="shared" ref="D9180:E9180" si="9178">TRIM(B9180)</f>
        <v>Nebraska</v>
      </c>
      <c r="E9180" s="111" t="str">
        <f t="shared" si="9178"/>
        <v>Creighton</v>
      </c>
    </row>
    <row r="9181" spans="1:5">
      <c r="A9181" s="3" t="s">
        <v>19542</v>
      </c>
      <c r="B9181" s="110" t="s">
        <v>1350</v>
      </c>
      <c r="C9181" s="111" t="s">
        <v>12712</v>
      </c>
      <c r="D9181" s="111" t="str">
        <f t="shared" ref="D9181:E9181" si="9179">TRIM(B9181)</f>
        <v>Nebraska</v>
      </c>
      <c r="E9181" s="111" t="str">
        <f t="shared" si="9179"/>
        <v>Crete</v>
      </c>
    </row>
    <row r="9182" spans="1:5">
      <c r="A9182" s="3" t="s">
        <v>19543</v>
      </c>
      <c r="B9182" s="110" t="s">
        <v>1350</v>
      </c>
      <c r="C9182" s="111" t="s">
        <v>19544</v>
      </c>
      <c r="D9182" s="111" t="str">
        <f t="shared" ref="D9182:E9182" si="9180">TRIM(B9182)</f>
        <v>Nebraska</v>
      </c>
      <c r="E9182" s="111" t="str">
        <f t="shared" si="9180"/>
        <v>Crofton</v>
      </c>
    </row>
    <row r="9183" spans="1:5">
      <c r="A9183" s="3" t="s">
        <v>19545</v>
      </c>
      <c r="B9183" s="110" t="s">
        <v>1350</v>
      </c>
      <c r="C9183" s="111" t="s">
        <v>19546</v>
      </c>
      <c r="D9183" s="111" t="str">
        <f t="shared" ref="D9183:E9183" si="9181">TRIM(B9183)</f>
        <v>Nebraska</v>
      </c>
      <c r="E9183" s="111" t="str">
        <f t="shared" si="9181"/>
        <v>Curtis</v>
      </c>
    </row>
    <row r="9184" spans="1:5">
      <c r="A9184" s="3" t="s">
        <v>19547</v>
      </c>
      <c r="B9184" s="110" t="s">
        <v>1350</v>
      </c>
      <c r="C9184" s="111" t="s">
        <v>365</v>
      </c>
      <c r="D9184" s="111" t="str">
        <f t="shared" ref="D9184:E9184" si="9182">TRIM(B9184)</f>
        <v>Nebraska</v>
      </c>
      <c r="E9184" s="111" t="str">
        <f t="shared" si="9182"/>
        <v>Dalton</v>
      </c>
    </row>
    <row r="9185" spans="1:5">
      <c r="A9185" s="110" t="s">
        <v>19548</v>
      </c>
      <c r="B9185" s="110" t="s">
        <v>1350</v>
      </c>
      <c r="C9185" s="111" t="s">
        <v>11882</v>
      </c>
      <c r="D9185" s="111" t="str">
        <f t="shared" ref="D9185:E9185" si="9183">TRIM(B9185)</f>
        <v>Nebraska</v>
      </c>
      <c r="E9185" s="111" t="str">
        <f t="shared" si="9183"/>
        <v>David City</v>
      </c>
    </row>
    <row r="9186" spans="1:5">
      <c r="A9186" s="3" t="s">
        <v>11805</v>
      </c>
      <c r="B9186" s="110" t="s">
        <v>1350</v>
      </c>
      <c r="C9186" s="111" t="s">
        <v>19549</v>
      </c>
      <c r="D9186" s="111" t="str">
        <f t="shared" ref="D9186:E9186" si="9184">TRIM(B9186)</f>
        <v>Nebraska</v>
      </c>
      <c r="E9186" s="111" t="str">
        <f t="shared" si="9184"/>
        <v>Daykin</v>
      </c>
    </row>
    <row r="9187" spans="1:5">
      <c r="A9187" s="3" t="s">
        <v>2244</v>
      </c>
      <c r="B9187" s="110" t="s">
        <v>1350</v>
      </c>
      <c r="C9187" s="111" t="s">
        <v>19550</v>
      </c>
      <c r="D9187" s="111" t="str">
        <f t="shared" ref="D9187:E9187" si="9185">TRIM(B9187)</f>
        <v>Nebraska</v>
      </c>
      <c r="E9187" s="111" t="str">
        <f t="shared" si="9185"/>
        <v>Deshler</v>
      </c>
    </row>
    <row r="9188" spans="1:5">
      <c r="A9188" s="3" t="s">
        <v>19551</v>
      </c>
      <c r="B9188" s="110" t="s">
        <v>1350</v>
      </c>
      <c r="C9188" s="111" t="s">
        <v>3736</v>
      </c>
      <c r="D9188" s="111" t="str">
        <f t="shared" ref="D9188:E9188" si="9186">TRIM(B9188)</f>
        <v>Nebraska</v>
      </c>
      <c r="E9188" s="111" t="str">
        <f t="shared" si="9186"/>
        <v>Dewitt</v>
      </c>
    </row>
    <row r="9189" spans="1:5">
      <c r="A9189" s="110" t="s">
        <v>19552</v>
      </c>
      <c r="B9189" s="110" t="s">
        <v>1350</v>
      </c>
      <c r="C9189" s="111" t="s">
        <v>18739</v>
      </c>
      <c r="D9189" s="111" t="str">
        <f t="shared" ref="D9189:E9189" si="9187">TRIM(B9189)</f>
        <v>Nebraska</v>
      </c>
      <c r="E9189" s="111" t="str">
        <f t="shared" si="9187"/>
        <v>Doniphan</v>
      </c>
    </row>
    <row r="9190" spans="1:5">
      <c r="A9190" s="3" t="s">
        <v>19553</v>
      </c>
      <c r="B9190" s="110" t="s">
        <v>1350</v>
      </c>
      <c r="C9190" s="111" t="s">
        <v>11249</v>
      </c>
      <c r="D9190" s="111" t="str">
        <f t="shared" ref="D9190:E9190" si="9188">TRIM(B9190)</f>
        <v>Nebraska</v>
      </c>
      <c r="E9190" s="111" t="str">
        <f t="shared" si="9188"/>
        <v>Dorchester</v>
      </c>
    </row>
    <row r="9191" spans="1:5">
      <c r="A9191" s="3" t="s">
        <v>19554</v>
      </c>
      <c r="B9191" s="110" t="s">
        <v>1350</v>
      </c>
      <c r="C9191" s="111" t="s">
        <v>19555</v>
      </c>
      <c r="D9191" s="111" t="str">
        <f t="shared" ref="D9191:E9191" si="9189">TRIM(B9191)</f>
        <v>Nebraska</v>
      </c>
      <c r="E9191" s="111" t="str">
        <f t="shared" si="9189"/>
        <v>Dunning</v>
      </c>
    </row>
    <row r="9192" spans="1:5">
      <c r="A9192" s="110" t="s">
        <v>19556</v>
      </c>
      <c r="B9192" s="110" t="s">
        <v>1350</v>
      </c>
      <c r="C9192" s="111" t="s">
        <v>1721</v>
      </c>
      <c r="D9192" s="111" t="str">
        <f t="shared" ref="D9192:E9192" si="9190">TRIM(B9192)</f>
        <v>Nebraska</v>
      </c>
      <c r="E9192" s="111" t="str">
        <f t="shared" si="9190"/>
        <v>Elba</v>
      </c>
    </row>
    <row r="9193" spans="1:5">
      <c r="A9193" s="3" t="s">
        <v>12848</v>
      </c>
      <c r="B9193" s="110" t="s">
        <v>1350</v>
      </c>
      <c r="C9193" s="111" t="s">
        <v>12846</v>
      </c>
      <c r="D9193" s="111" t="str">
        <f t="shared" ref="D9193:E9193" si="9191">TRIM(B9193)</f>
        <v>Nebraska</v>
      </c>
      <c r="E9193" s="111" t="str">
        <f t="shared" si="9191"/>
        <v>Elgin</v>
      </c>
    </row>
    <row r="9194" spans="1:5">
      <c r="A9194" s="3" t="s">
        <v>19557</v>
      </c>
      <c r="B9194" s="110" t="s">
        <v>1350</v>
      </c>
      <c r="C9194" s="111" t="s">
        <v>11907</v>
      </c>
      <c r="D9194" s="111" t="str">
        <f t="shared" ref="D9194:E9194" si="9192">TRIM(B9194)</f>
        <v>Nebraska</v>
      </c>
      <c r="E9194" s="111" t="str">
        <f t="shared" si="9192"/>
        <v>Elkhorn</v>
      </c>
    </row>
    <row r="9195" spans="1:5">
      <c r="A9195" s="3" t="s">
        <v>19558</v>
      </c>
      <c r="B9195" s="110" t="s">
        <v>1350</v>
      </c>
      <c r="C9195" s="111" t="s">
        <v>19559</v>
      </c>
      <c r="D9195" s="111" t="str">
        <f t="shared" ref="D9195:E9195" si="9193">TRIM(B9195)</f>
        <v>Nebraska</v>
      </c>
      <c r="E9195" s="111" t="str">
        <f t="shared" si="9193"/>
        <v>Elm Creek</v>
      </c>
    </row>
    <row r="9196" spans="1:5">
      <c r="A9196" s="3" t="s">
        <v>19560</v>
      </c>
      <c r="B9196" s="110" t="s">
        <v>1350</v>
      </c>
      <c r="C9196" s="111" t="s">
        <v>14300</v>
      </c>
      <c r="D9196" s="111" t="str">
        <f t="shared" ref="D9196:E9196" si="9194">TRIM(B9196)</f>
        <v>Nebraska</v>
      </c>
      <c r="E9196" s="111" t="str">
        <f t="shared" si="9194"/>
        <v>Elwood</v>
      </c>
    </row>
    <row r="9197" spans="1:5">
      <c r="A9197" s="3" t="s">
        <v>19561</v>
      </c>
      <c r="B9197" s="110" t="s">
        <v>1350</v>
      </c>
      <c r="C9197" s="111" t="s">
        <v>3763</v>
      </c>
      <c r="D9197" s="111" t="str">
        <f t="shared" ref="D9197:E9197" si="9195">TRIM(B9197)</f>
        <v>Nebraska</v>
      </c>
      <c r="E9197" s="111" t="str">
        <f t="shared" si="9195"/>
        <v>Emerson</v>
      </c>
    </row>
    <row r="9198" spans="1:5">
      <c r="A9198" s="3" t="s">
        <v>19562</v>
      </c>
      <c r="B9198" s="110" t="s">
        <v>1350</v>
      </c>
      <c r="C9198" s="111" t="s">
        <v>9196</v>
      </c>
      <c r="D9198" s="111" t="str">
        <f t="shared" ref="D9198:E9198" si="9196">TRIM(B9198)</f>
        <v>Nebraska</v>
      </c>
      <c r="E9198" s="111" t="str">
        <f t="shared" si="9196"/>
        <v>Eustis</v>
      </c>
    </row>
    <row r="9199" spans="1:5">
      <c r="A9199" s="3" t="s">
        <v>19563</v>
      </c>
      <c r="B9199" s="110" t="s">
        <v>1350</v>
      </c>
      <c r="C9199" s="111" t="s">
        <v>12210</v>
      </c>
      <c r="D9199" s="111" t="str">
        <f t="shared" ref="D9199:E9199" si="9197">TRIM(B9199)</f>
        <v>Nebraska</v>
      </c>
      <c r="E9199" s="111" t="str">
        <f t="shared" si="9197"/>
        <v>Ewing</v>
      </c>
    </row>
    <row r="9200" spans="1:5">
      <c r="A9200" s="3" t="s">
        <v>19564</v>
      </c>
      <c r="B9200" s="110" t="s">
        <v>1350</v>
      </c>
      <c r="C9200" s="111" t="s">
        <v>4991</v>
      </c>
      <c r="D9200" s="111" t="str">
        <f t="shared" ref="D9200:E9200" si="9198">TRIM(B9200)</f>
        <v>Nebraska</v>
      </c>
      <c r="E9200" s="111" t="str">
        <f t="shared" si="9198"/>
        <v>Exeter</v>
      </c>
    </row>
    <row r="9201" spans="1:5">
      <c r="A9201" s="3" t="s">
        <v>19565</v>
      </c>
      <c r="B9201" s="110" t="s">
        <v>1350</v>
      </c>
      <c r="C9201" s="111" t="s">
        <v>12874</v>
      </c>
      <c r="D9201" s="111" t="str">
        <f t="shared" ref="D9201:E9201" si="9199">TRIM(B9201)</f>
        <v>Nebraska</v>
      </c>
      <c r="E9201" s="111" t="str">
        <f t="shared" si="9199"/>
        <v>Fairbury</v>
      </c>
    </row>
    <row r="9202" spans="1:5">
      <c r="A9202" s="3" t="s">
        <v>11384</v>
      </c>
      <c r="B9202" s="110" t="s">
        <v>1350</v>
      </c>
      <c r="C9202" s="111" t="s">
        <v>303</v>
      </c>
      <c r="D9202" s="111" t="str">
        <f t="shared" ref="D9202:E9202" si="9200">TRIM(B9202)</f>
        <v>Nebraska</v>
      </c>
      <c r="E9202" s="111" t="str">
        <f t="shared" si="9200"/>
        <v>Fairfield</v>
      </c>
    </row>
    <row r="9203" spans="1:5">
      <c r="A9203" s="3" t="s">
        <v>19566</v>
      </c>
      <c r="B9203" s="110" t="s">
        <v>1350</v>
      </c>
      <c r="C9203" s="111" t="s">
        <v>11913</v>
      </c>
      <c r="D9203" s="111" t="str">
        <f t="shared" ref="D9203:E9203" si="9201">TRIM(B9203)</f>
        <v>Nebraska</v>
      </c>
      <c r="E9203" s="111" t="str">
        <f t="shared" si="9201"/>
        <v>Falls City</v>
      </c>
    </row>
    <row r="9204" spans="1:5">
      <c r="A9204" s="3" t="s">
        <v>19567</v>
      </c>
      <c r="B9204" s="110" t="s">
        <v>1350</v>
      </c>
      <c r="C9204" s="111" t="s">
        <v>11695</v>
      </c>
      <c r="D9204" s="111" t="str">
        <f t="shared" ref="D9204:E9204" si="9202">TRIM(B9204)</f>
        <v>Nebraska</v>
      </c>
      <c r="E9204" s="111" t="str">
        <f t="shared" si="9202"/>
        <v>Firth</v>
      </c>
    </row>
    <row r="9205" spans="1:5">
      <c r="A9205" s="3" t="s">
        <v>19568</v>
      </c>
      <c r="B9205" s="110" t="s">
        <v>1350</v>
      </c>
      <c r="C9205" s="111" t="s">
        <v>19569</v>
      </c>
      <c r="D9205" s="111" t="str">
        <f t="shared" ref="D9205:E9205" si="9203">TRIM(B9205)</f>
        <v>Nebraska</v>
      </c>
      <c r="E9205" s="111" t="str">
        <f t="shared" si="9203"/>
        <v>Fort Calhoun</v>
      </c>
    </row>
    <row r="9206" spans="1:5">
      <c r="A9206" s="110" t="s">
        <v>19570</v>
      </c>
      <c r="B9206" s="110" t="s">
        <v>1350</v>
      </c>
      <c r="C9206" s="111" t="s">
        <v>525</v>
      </c>
      <c r="D9206" s="111" t="str">
        <f t="shared" ref="D9206:E9206" si="9204">TRIM(B9206)</f>
        <v>Nebraska</v>
      </c>
      <c r="E9206" s="111" t="str">
        <f t="shared" si="9204"/>
        <v>Franklin</v>
      </c>
    </row>
    <row r="9207" spans="1:5">
      <c r="A9207" s="3" t="s">
        <v>19571</v>
      </c>
      <c r="B9207" s="110" t="s">
        <v>1350</v>
      </c>
      <c r="C9207" s="111" t="s">
        <v>496</v>
      </c>
      <c r="D9207" s="111" t="str">
        <f t="shared" ref="D9207:E9207" si="9205">TRIM(B9207)</f>
        <v>Nebraska</v>
      </c>
      <c r="E9207" s="111" t="str">
        <f t="shared" si="9205"/>
        <v>Fremont</v>
      </c>
    </row>
    <row r="9208" spans="1:5">
      <c r="A9208" s="3" t="s">
        <v>19572</v>
      </c>
      <c r="B9208" s="110" t="s">
        <v>1350</v>
      </c>
      <c r="C9208" s="111" t="s">
        <v>19573</v>
      </c>
      <c r="D9208" s="111" t="str">
        <f t="shared" ref="D9208:E9208" si="9206">TRIM(B9208)</f>
        <v>Nebraska</v>
      </c>
      <c r="E9208" s="111" t="str">
        <f t="shared" si="9206"/>
        <v>Friend</v>
      </c>
    </row>
    <row r="9209" spans="1:5">
      <c r="A9209" s="3" t="s">
        <v>19574</v>
      </c>
      <c r="B9209" s="110" t="s">
        <v>1350</v>
      </c>
      <c r="C9209" s="111" t="s">
        <v>548</v>
      </c>
      <c r="D9209" s="111" t="str">
        <f t="shared" ref="D9209:E9209" si="9207">TRIM(B9209)</f>
        <v>Nebraska</v>
      </c>
      <c r="E9209" s="111" t="str">
        <f t="shared" si="9207"/>
        <v>Fullerton</v>
      </c>
    </row>
    <row r="9210" spans="1:5">
      <c r="A9210" s="3" t="s">
        <v>19575</v>
      </c>
      <c r="B9210" s="110" t="s">
        <v>1350</v>
      </c>
      <c r="C9210" s="111" t="s">
        <v>1773</v>
      </c>
      <c r="D9210" s="111" t="str">
        <f t="shared" ref="D9210:E9210" si="9208">TRIM(B9210)</f>
        <v>Nebraska</v>
      </c>
      <c r="E9210" s="111" t="str">
        <f t="shared" si="9208"/>
        <v>Geneva</v>
      </c>
    </row>
    <row r="9211" spans="1:5">
      <c r="A9211" s="3" t="s">
        <v>19576</v>
      </c>
      <c r="B9211" s="110" t="s">
        <v>1350</v>
      </c>
      <c r="C9211" s="111" t="s">
        <v>1773</v>
      </c>
      <c r="D9211" s="111" t="str">
        <f t="shared" ref="D9211:E9211" si="9209">TRIM(B9211)</f>
        <v>Nebraska</v>
      </c>
      <c r="E9211" s="111" t="str">
        <f t="shared" si="9209"/>
        <v>Geneva</v>
      </c>
    </row>
    <row r="9212" spans="1:5">
      <c r="A9212" s="3" t="s">
        <v>19577</v>
      </c>
      <c r="B9212" s="110" t="s">
        <v>1350</v>
      </c>
      <c r="C9212" s="111" t="s">
        <v>12953</v>
      </c>
      <c r="D9212" s="111" t="str">
        <f t="shared" ref="D9212:E9212" si="9210">TRIM(B9212)</f>
        <v>Nebraska</v>
      </c>
      <c r="E9212" s="111" t="str">
        <f t="shared" si="9210"/>
        <v>Genoa</v>
      </c>
    </row>
    <row r="9213" spans="1:5">
      <c r="A9213" s="3" t="s">
        <v>19578</v>
      </c>
      <c r="B9213" s="110" t="s">
        <v>1350</v>
      </c>
      <c r="C9213" s="111" t="s">
        <v>19579</v>
      </c>
      <c r="D9213" s="111" t="str">
        <f t="shared" ref="D9213:E9213" si="9211">TRIM(B9213)</f>
        <v>Nebraska</v>
      </c>
      <c r="E9213" s="111" t="str">
        <f t="shared" si="9211"/>
        <v>Gering</v>
      </c>
    </row>
    <row r="9214" spans="1:5">
      <c r="A9214" s="3" t="s">
        <v>19580</v>
      </c>
      <c r="B9214" s="110" t="s">
        <v>1350</v>
      </c>
      <c r="C9214" s="111" t="s">
        <v>19581</v>
      </c>
      <c r="D9214" s="111" t="str">
        <f t="shared" ref="D9214:E9214" si="9212">TRIM(B9214)</f>
        <v>Nebraska</v>
      </c>
      <c r="E9214" s="111" t="str">
        <f t="shared" si="9212"/>
        <v>Gibbon</v>
      </c>
    </row>
    <row r="9215" spans="1:5">
      <c r="A9215" s="3" t="s">
        <v>19582</v>
      </c>
      <c r="B9215" s="110" t="s">
        <v>1350</v>
      </c>
      <c r="C9215" s="111" t="s">
        <v>19583</v>
      </c>
      <c r="D9215" s="111" t="str">
        <f t="shared" ref="D9215:E9215" si="9213">TRIM(B9215)</f>
        <v>Nebraska</v>
      </c>
      <c r="E9215" s="111" t="str">
        <f t="shared" si="9213"/>
        <v>Giltner</v>
      </c>
    </row>
    <row r="9216" spans="1:5">
      <c r="A9216" s="3" t="s">
        <v>19584</v>
      </c>
      <c r="B9216" s="110" t="s">
        <v>1350</v>
      </c>
      <c r="C9216" s="111" t="s">
        <v>19585</v>
      </c>
      <c r="D9216" s="111" t="str">
        <f t="shared" ref="D9216:E9216" si="9214">TRIM(B9216)</f>
        <v>Nebraska</v>
      </c>
      <c r="E9216" s="111" t="str">
        <f t="shared" si="9214"/>
        <v>Gordon</v>
      </c>
    </row>
    <row r="9217" spans="1:5">
      <c r="A9217" s="110" t="s">
        <v>19586</v>
      </c>
      <c r="B9217" s="110" t="s">
        <v>1350</v>
      </c>
      <c r="C9217" s="111" t="s">
        <v>11937</v>
      </c>
      <c r="D9217" s="111" t="str">
        <f t="shared" ref="D9217:E9217" si="9215">TRIM(B9217)</f>
        <v>Nebraska</v>
      </c>
      <c r="E9217" s="111" t="str">
        <f t="shared" si="9215"/>
        <v>Gothenburg</v>
      </c>
    </row>
    <row r="9218" spans="1:5">
      <c r="A9218" s="3" t="s">
        <v>19587</v>
      </c>
      <c r="B9218" s="110" t="s">
        <v>1350</v>
      </c>
      <c r="C9218" s="111" t="s">
        <v>19588</v>
      </c>
      <c r="D9218" s="111" t="str">
        <f t="shared" ref="D9218:E9218" si="9216">TRIM(B9218)</f>
        <v>Nebraska</v>
      </c>
      <c r="E9218" s="111" t="str">
        <f t="shared" si="9216"/>
        <v>Grand Island</v>
      </c>
    </row>
    <row r="9219" spans="1:5">
      <c r="A9219" s="3" t="s">
        <v>15590</v>
      </c>
      <c r="B9219" s="110" t="s">
        <v>1350</v>
      </c>
      <c r="C9219" s="111" t="s">
        <v>19588</v>
      </c>
      <c r="D9219" s="111" t="str">
        <f t="shared" ref="D9219:E9219" si="9217">TRIM(B9219)</f>
        <v>Nebraska</v>
      </c>
      <c r="E9219" s="111" t="str">
        <f t="shared" si="9217"/>
        <v>Grand Island</v>
      </c>
    </row>
    <row r="9220" spans="1:5">
      <c r="A9220" s="3" t="s">
        <v>19589</v>
      </c>
      <c r="B9220" s="110" t="s">
        <v>1350</v>
      </c>
      <c r="C9220" s="111" t="s">
        <v>1798</v>
      </c>
      <c r="D9220" s="111" t="str">
        <f t="shared" ref="D9220:E9220" si="9218">TRIM(B9220)</f>
        <v>Nebraska</v>
      </c>
      <c r="E9220" s="111" t="str">
        <f t="shared" si="9218"/>
        <v>Grant</v>
      </c>
    </row>
    <row r="9221" spans="1:5">
      <c r="A9221" s="3" t="s">
        <v>4620</v>
      </c>
      <c r="B9221" s="110" t="s">
        <v>1350</v>
      </c>
      <c r="C9221" s="111" t="s">
        <v>7946</v>
      </c>
      <c r="D9221" s="111" t="str">
        <f t="shared" ref="D9221:E9221" si="9219">TRIM(B9221)</f>
        <v>Nebraska</v>
      </c>
      <c r="E9221" s="111" t="str">
        <f t="shared" si="9219"/>
        <v>Greeley</v>
      </c>
    </row>
    <row r="9222" spans="1:5">
      <c r="A9222" s="3" t="s">
        <v>19590</v>
      </c>
      <c r="B9222" s="110" t="s">
        <v>1350</v>
      </c>
      <c r="C9222" s="111" t="s">
        <v>10855</v>
      </c>
      <c r="D9222" s="111" t="str">
        <f t="shared" ref="D9222:E9222" si="9220">TRIM(B9222)</f>
        <v>Nebraska</v>
      </c>
      <c r="E9222" s="111" t="str">
        <f t="shared" si="9220"/>
        <v>Gretna</v>
      </c>
    </row>
    <row r="9223" spans="1:5">
      <c r="A9223" s="3" t="s">
        <v>3839</v>
      </c>
      <c r="B9223" s="110" t="s">
        <v>1350</v>
      </c>
      <c r="C9223" s="111" t="s">
        <v>3841</v>
      </c>
      <c r="D9223" s="111" t="str">
        <f t="shared" ref="D9223:E9223" si="9221">TRIM(B9223)</f>
        <v>Nebraska</v>
      </c>
      <c r="E9223" s="111" t="str">
        <f t="shared" si="9221"/>
        <v>Hampton</v>
      </c>
    </row>
    <row r="9224" spans="1:5">
      <c r="A9224" s="3" t="s">
        <v>19591</v>
      </c>
      <c r="B9224" s="110" t="s">
        <v>1350</v>
      </c>
      <c r="C9224" s="111" t="s">
        <v>3845</v>
      </c>
      <c r="D9224" s="111" t="str">
        <f t="shared" ref="D9224:E9224" si="9222">TRIM(B9224)</f>
        <v>Nebraska</v>
      </c>
      <c r="E9224" s="111" t="str">
        <f t="shared" si="9222"/>
        <v>Harrisburg</v>
      </c>
    </row>
    <row r="9225" spans="1:5">
      <c r="A9225" s="3" t="s">
        <v>19592</v>
      </c>
      <c r="B9225" s="110" t="s">
        <v>1350</v>
      </c>
      <c r="C9225" s="111" t="s">
        <v>3849</v>
      </c>
      <c r="D9225" s="111" t="str">
        <f t="shared" ref="D9225:E9225" si="9223">TRIM(B9225)</f>
        <v>Nebraska</v>
      </c>
      <c r="E9225" s="111" t="str">
        <f t="shared" si="9223"/>
        <v>Harrison</v>
      </c>
    </row>
    <row r="9226" spans="1:5">
      <c r="A9226" s="3" t="s">
        <v>19593</v>
      </c>
      <c r="B9226" s="110" t="s">
        <v>1350</v>
      </c>
      <c r="C9226" s="111" t="s">
        <v>19594</v>
      </c>
      <c r="D9226" s="111" t="str">
        <f t="shared" ref="D9226:E9226" si="9224">TRIM(B9226)</f>
        <v>Nebraska</v>
      </c>
      <c r="E9226" s="111" t="str">
        <f t="shared" si="9224"/>
        <v>Hartington</v>
      </c>
    </row>
    <row r="9227" spans="1:5">
      <c r="A9227" s="3" t="s">
        <v>13030</v>
      </c>
      <c r="B9227" s="110" t="s">
        <v>1350</v>
      </c>
      <c r="C9227" s="111" t="s">
        <v>13032</v>
      </c>
      <c r="D9227" s="111" t="str">
        <f t="shared" ref="D9227:E9227" si="9225">TRIM(B9227)</f>
        <v>Nebraska</v>
      </c>
      <c r="E9227" s="111" t="str">
        <f t="shared" si="9225"/>
        <v>Harvard</v>
      </c>
    </row>
    <row r="9228" spans="1:5">
      <c r="A9228" s="3" t="s">
        <v>19595</v>
      </c>
      <c r="B9228" s="110" t="s">
        <v>1350</v>
      </c>
      <c r="C9228" s="111" t="s">
        <v>5100</v>
      </c>
      <c r="D9228" s="111" t="str">
        <f t="shared" ref="D9228:E9228" si="9226">TRIM(B9228)</f>
        <v>Nebraska</v>
      </c>
      <c r="E9228" s="111" t="str">
        <f t="shared" si="9226"/>
        <v>Hastings</v>
      </c>
    </row>
    <row r="9229" spans="1:5">
      <c r="A9229" s="3" t="s">
        <v>19596</v>
      </c>
      <c r="B9229" s="110" t="s">
        <v>1350</v>
      </c>
      <c r="C9229" s="111" t="s">
        <v>5100</v>
      </c>
      <c r="D9229" s="111" t="str">
        <f t="shared" ref="D9229:E9229" si="9227">TRIM(B9229)</f>
        <v>Nebraska</v>
      </c>
      <c r="E9229" s="111" t="str">
        <f t="shared" si="9227"/>
        <v>Hastings</v>
      </c>
    </row>
    <row r="9230" spans="1:5">
      <c r="A9230" s="3" t="s">
        <v>19597</v>
      </c>
      <c r="B9230" s="110" t="s">
        <v>1350</v>
      </c>
      <c r="C9230" s="111" t="s">
        <v>19598</v>
      </c>
      <c r="D9230" s="111" t="str">
        <f t="shared" ref="D9230:E9230" si="9228">TRIM(B9230)</f>
        <v>Nebraska</v>
      </c>
      <c r="E9230" s="111" t="str">
        <f t="shared" si="9228"/>
        <v>Hay Springs</v>
      </c>
    </row>
    <row r="9231" spans="1:5">
      <c r="A9231" s="110" t="s">
        <v>19599</v>
      </c>
      <c r="B9231" s="110" t="s">
        <v>1350</v>
      </c>
      <c r="C9231" s="111" t="s">
        <v>19600</v>
      </c>
      <c r="D9231" s="111" t="str">
        <f t="shared" ref="D9231:E9231" si="9229">TRIM(B9231)</f>
        <v>Nebraska</v>
      </c>
      <c r="E9231" s="111" t="str">
        <f t="shared" si="9229"/>
        <v>Hayes Center</v>
      </c>
    </row>
    <row r="9232" spans="1:5">
      <c r="A9232" s="3" t="s">
        <v>19601</v>
      </c>
      <c r="B9232" s="110" t="s">
        <v>1350</v>
      </c>
      <c r="C9232" s="111" t="s">
        <v>8519</v>
      </c>
      <c r="D9232" s="111" t="str">
        <f t="shared" ref="D9232:E9232" si="9230">TRIM(B9232)</f>
        <v>Nebraska</v>
      </c>
      <c r="E9232" s="111" t="str">
        <f t="shared" si="9230"/>
        <v>Hebron</v>
      </c>
    </row>
    <row r="9233" spans="1:5">
      <c r="A9233" s="3" t="s">
        <v>19602</v>
      </c>
      <c r="B9233" s="110" t="s">
        <v>1350</v>
      </c>
      <c r="C9233" s="111" t="s">
        <v>19603</v>
      </c>
      <c r="D9233" s="111" t="str">
        <f t="shared" ref="D9233:E9233" si="9231">TRIM(B9233)</f>
        <v>Nebraska</v>
      </c>
      <c r="E9233" s="111" t="str">
        <f t="shared" si="9231"/>
        <v>Hemingford</v>
      </c>
    </row>
    <row r="9234" spans="1:5">
      <c r="A9234" s="3" t="s">
        <v>19604</v>
      </c>
      <c r="B9234" s="110" t="s">
        <v>1350</v>
      </c>
      <c r="C9234" s="111" t="s">
        <v>7970</v>
      </c>
      <c r="D9234" s="111" t="str">
        <f t="shared" ref="D9234:E9234" si="9232">TRIM(B9234)</f>
        <v>Nebraska</v>
      </c>
      <c r="E9234" s="111" t="str">
        <f t="shared" si="9232"/>
        <v>Henderson</v>
      </c>
    </row>
    <row r="9235" spans="1:5">
      <c r="A9235" s="3" t="s">
        <v>19605</v>
      </c>
      <c r="B9235" s="110" t="s">
        <v>1350</v>
      </c>
      <c r="C9235" s="111" t="s">
        <v>13136</v>
      </c>
      <c r="D9235" s="111" t="str">
        <f t="shared" ref="D9235:E9235" si="9233">TRIM(B9235)</f>
        <v>Nebraska</v>
      </c>
      <c r="E9235" s="111" t="str">
        <f t="shared" si="9233"/>
        <v>Hershey</v>
      </c>
    </row>
    <row r="9236" spans="1:5">
      <c r="A9236" s="3" t="s">
        <v>19606</v>
      </c>
      <c r="B9236" s="110" t="s">
        <v>1350</v>
      </c>
      <c r="C9236" s="111" t="s">
        <v>19607</v>
      </c>
      <c r="D9236" s="111" t="str">
        <f t="shared" ref="D9236:E9236" si="9234">TRIM(B9236)</f>
        <v>Nebraska</v>
      </c>
      <c r="E9236" s="111" t="str">
        <f t="shared" si="9234"/>
        <v>Holdrege</v>
      </c>
    </row>
    <row r="9237" spans="1:5">
      <c r="A9237" s="3" t="s">
        <v>2355</v>
      </c>
      <c r="B9237" s="110" t="s">
        <v>1350</v>
      </c>
      <c r="C9237" s="111" t="s">
        <v>239</v>
      </c>
      <c r="D9237" s="111" t="str">
        <f t="shared" ref="D9237:E9237" si="9235">TRIM(B9237)</f>
        <v>Nebraska</v>
      </c>
      <c r="E9237" s="111" t="str">
        <f t="shared" si="9235"/>
        <v>Homer</v>
      </c>
    </row>
    <row r="9238" spans="1:5">
      <c r="A9238" s="3" t="s">
        <v>19608</v>
      </c>
      <c r="B9238" s="110" t="s">
        <v>1350</v>
      </c>
      <c r="C9238" s="111" t="s">
        <v>19609</v>
      </c>
      <c r="D9238" s="111" t="str">
        <f t="shared" ref="D9238:E9238" si="9236">TRIM(B9238)</f>
        <v>Nebraska</v>
      </c>
      <c r="E9238" s="111" t="str">
        <f t="shared" si="9236"/>
        <v>Hooper</v>
      </c>
    </row>
    <row r="9239" spans="1:5">
      <c r="A9239" s="3" t="s">
        <v>19610</v>
      </c>
      <c r="B9239" s="110" t="s">
        <v>1350</v>
      </c>
      <c r="C9239" s="111" t="s">
        <v>19611</v>
      </c>
      <c r="D9239" s="111" t="str">
        <f t="shared" ref="D9239:E9239" si="9237">TRIM(B9239)</f>
        <v>Nebraska</v>
      </c>
      <c r="E9239" s="111" t="str">
        <f t="shared" si="9237"/>
        <v>Howells</v>
      </c>
    </row>
    <row r="9240" spans="1:5">
      <c r="A9240" s="3" t="s">
        <v>19612</v>
      </c>
      <c r="B9240" s="110" t="s">
        <v>1350</v>
      </c>
      <c r="C9240" s="111" t="s">
        <v>14878</v>
      </c>
      <c r="D9240" s="111" t="str">
        <f t="shared" ref="D9240:E9240" si="9238">TRIM(B9240)</f>
        <v>Nebraska</v>
      </c>
      <c r="E9240" s="111" t="str">
        <f t="shared" si="9238"/>
        <v>Humboldt</v>
      </c>
    </row>
    <row r="9241" spans="1:5">
      <c r="A9241" s="3" t="s">
        <v>19613</v>
      </c>
      <c r="B9241" s="110" t="s">
        <v>1350</v>
      </c>
      <c r="C9241" s="111" t="s">
        <v>11919</v>
      </c>
      <c r="D9241" s="111" t="str">
        <f t="shared" ref="D9241:E9241" si="9239">TRIM(B9241)</f>
        <v>Nebraska</v>
      </c>
      <c r="E9241" s="111" t="str">
        <f t="shared" si="9239"/>
        <v>Humphrey</v>
      </c>
    </row>
    <row r="9242" spans="1:5">
      <c r="A9242" s="3" t="s">
        <v>19614</v>
      </c>
      <c r="B9242" s="110" t="s">
        <v>1350</v>
      </c>
      <c r="C9242" s="111" t="s">
        <v>16685</v>
      </c>
      <c r="D9242" s="111" t="str">
        <f t="shared" ref="D9242:E9242" si="9240">TRIM(B9242)</f>
        <v>Nebraska</v>
      </c>
      <c r="E9242" s="111" t="str">
        <f t="shared" si="9240"/>
        <v>Hyannis</v>
      </c>
    </row>
    <row r="9243" spans="1:5">
      <c r="A9243" s="3" t="s">
        <v>19615</v>
      </c>
      <c r="B9243" s="110" t="s">
        <v>1350</v>
      </c>
      <c r="C9243" s="111" t="s">
        <v>5316</v>
      </c>
      <c r="D9243" s="111" t="str">
        <f t="shared" ref="D9243:E9243" si="9241">TRIM(B9243)</f>
        <v>Nebraska</v>
      </c>
      <c r="E9243" s="111" t="str">
        <f t="shared" si="9241"/>
        <v>Imperial</v>
      </c>
    </row>
    <row r="9244" spans="1:5">
      <c r="A9244" s="3" t="s">
        <v>19616</v>
      </c>
      <c r="B9244" s="110" t="s">
        <v>1350</v>
      </c>
      <c r="C9244" s="111" t="s">
        <v>15335</v>
      </c>
      <c r="D9244" s="111" t="str">
        <f t="shared" ref="D9244:E9244" si="9242">TRIM(B9244)</f>
        <v>Nebraska</v>
      </c>
      <c r="E9244" s="111" t="str">
        <f t="shared" si="9242"/>
        <v>Johnson</v>
      </c>
    </row>
    <row r="9245" spans="1:5">
      <c r="A9245" s="3" t="s">
        <v>18879</v>
      </c>
      <c r="B9245" s="110" t="s">
        <v>1350</v>
      </c>
      <c r="C9245" s="111" t="s">
        <v>18880</v>
      </c>
      <c r="D9245" s="111" t="str">
        <f t="shared" ref="D9245:E9245" si="9243">TRIM(B9245)</f>
        <v>Nebraska</v>
      </c>
      <c r="E9245" s="111" t="str">
        <f t="shared" si="9243"/>
        <v>Kearney</v>
      </c>
    </row>
    <row r="9246" spans="1:5">
      <c r="A9246" s="3" t="s">
        <v>19617</v>
      </c>
      <c r="B9246" s="110" t="s">
        <v>1350</v>
      </c>
      <c r="C9246" s="111" t="s">
        <v>18880</v>
      </c>
      <c r="D9246" s="111" t="str">
        <f t="shared" ref="D9246:E9246" si="9244">TRIM(B9246)</f>
        <v>Nebraska</v>
      </c>
      <c r="E9246" s="111" t="str">
        <f t="shared" si="9244"/>
        <v>Kearney</v>
      </c>
    </row>
    <row r="9247" spans="1:5">
      <c r="A9247" s="110" t="s">
        <v>19618</v>
      </c>
      <c r="B9247" s="110" t="s">
        <v>1350</v>
      </c>
      <c r="C9247" s="111" t="s">
        <v>19619</v>
      </c>
      <c r="D9247" s="111" t="str">
        <f t="shared" ref="D9247:E9247" si="9245">TRIM(B9247)</f>
        <v>Nebraska</v>
      </c>
      <c r="E9247" s="111" t="str">
        <f t="shared" si="9245"/>
        <v>Kenesaw</v>
      </c>
    </row>
    <row r="9248" spans="1:5">
      <c r="A9248" s="3" t="s">
        <v>19620</v>
      </c>
      <c r="B9248" s="110" t="s">
        <v>1350</v>
      </c>
      <c r="C9248" s="111" t="s">
        <v>17989</v>
      </c>
      <c r="D9248" s="111" t="str">
        <f t="shared" ref="D9248:E9248" si="9246">TRIM(B9248)</f>
        <v>Nebraska</v>
      </c>
      <c r="E9248" s="111" t="str">
        <f t="shared" si="9246"/>
        <v>Kimball</v>
      </c>
    </row>
    <row r="9249" spans="1:5">
      <c r="A9249" s="3" t="s">
        <v>19621</v>
      </c>
      <c r="B9249" s="110" t="s">
        <v>1350</v>
      </c>
      <c r="C9249" s="111" t="s">
        <v>8825</v>
      </c>
      <c r="D9249" s="111" t="str">
        <f t="shared" ref="D9249:E9249" si="9247">TRIM(B9249)</f>
        <v>Nebraska</v>
      </c>
      <c r="E9249" s="111" t="str">
        <f t="shared" si="9247"/>
        <v>Laurel</v>
      </c>
    </row>
    <row r="9250" spans="1:5">
      <c r="A9250" s="3" t="s">
        <v>6921</v>
      </c>
      <c r="B9250" s="110" t="s">
        <v>1350</v>
      </c>
      <c r="C9250" s="111" t="s">
        <v>19622</v>
      </c>
      <c r="D9250" s="111" t="str">
        <f t="shared" ref="D9250:E9250" si="9248">TRIM(B9250)</f>
        <v>Nebraska</v>
      </c>
      <c r="E9250" s="111" t="str">
        <f t="shared" si="9248"/>
        <v>Leigh</v>
      </c>
    </row>
    <row r="9251" spans="1:5">
      <c r="A9251" s="3" t="s">
        <v>11779</v>
      </c>
      <c r="B9251" s="110" t="s">
        <v>1350</v>
      </c>
      <c r="C9251" s="111" t="s">
        <v>11780</v>
      </c>
      <c r="D9251" s="111" t="str">
        <f t="shared" ref="D9251:E9251" si="9249">TRIM(B9251)</f>
        <v>Nebraska</v>
      </c>
      <c r="E9251" s="111" t="str">
        <f t="shared" si="9249"/>
        <v>Lewiston</v>
      </c>
    </row>
    <row r="9252" spans="1:5">
      <c r="A9252" s="3" t="s">
        <v>13208</v>
      </c>
      <c r="B9252" s="110" t="s">
        <v>1350</v>
      </c>
      <c r="C9252" s="111" t="s">
        <v>506</v>
      </c>
      <c r="D9252" s="111" t="str">
        <f t="shared" ref="D9252:E9252" si="9250">TRIM(B9252)</f>
        <v>Nebraska</v>
      </c>
      <c r="E9252" s="111" t="str">
        <f t="shared" si="9250"/>
        <v>Lexington</v>
      </c>
    </row>
    <row r="9253" spans="1:5">
      <c r="A9253" s="3" t="s">
        <v>19623</v>
      </c>
      <c r="B9253" s="110" t="s">
        <v>1350</v>
      </c>
      <c r="C9253" s="111" t="s">
        <v>1283</v>
      </c>
      <c r="D9253" s="111" t="str">
        <f t="shared" ref="D9253:E9253" si="9251">TRIM(B9253)</f>
        <v>Nebraska</v>
      </c>
      <c r="E9253" s="111" t="str">
        <f t="shared" si="9251"/>
        <v>Lincoln</v>
      </c>
    </row>
    <row r="9254" spans="1:5">
      <c r="A9254" s="3" t="s">
        <v>1925</v>
      </c>
      <c r="B9254" s="110" t="s">
        <v>1350</v>
      </c>
      <c r="C9254" s="111" t="s">
        <v>1283</v>
      </c>
      <c r="D9254" s="111" t="str">
        <f t="shared" ref="D9254:E9254" si="9252">TRIM(B9254)</f>
        <v>Nebraska</v>
      </c>
      <c r="E9254" s="111" t="str">
        <f t="shared" si="9252"/>
        <v>Lincoln</v>
      </c>
    </row>
    <row r="9255" spans="1:5">
      <c r="A9255" s="3" t="s">
        <v>19624</v>
      </c>
      <c r="B9255" s="110" t="s">
        <v>1350</v>
      </c>
      <c r="C9255" s="111" t="s">
        <v>1283</v>
      </c>
      <c r="D9255" s="111" t="str">
        <f t="shared" ref="D9255:E9255" si="9253">TRIM(B9255)</f>
        <v>Nebraska</v>
      </c>
      <c r="E9255" s="111" t="str">
        <f t="shared" si="9253"/>
        <v>Lincoln</v>
      </c>
    </row>
    <row r="9256" spans="1:5">
      <c r="A9256" s="3" t="s">
        <v>19625</v>
      </c>
      <c r="B9256" s="110" t="s">
        <v>1350</v>
      </c>
      <c r="C9256" s="111" t="s">
        <v>1283</v>
      </c>
      <c r="D9256" s="111" t="str">
        <f t="shared" ref="D9256:E9256" si="9254">TRIM(B9256)</f>
        <v>Nebraska</v>
      </c>
      <c r="E9256" s="111" t="str">
        <f t="shared" si="9254"/>
        <v>Lincoln</v>
      </c>
    </row>
    <row r="9257" spans="1:5">
      <c r="A9257" s="3" t="s">
        <v>19427</v>
      </c>
      <c r="B9257" s="110" t="s">
        <v>1350</v>
      </c>
      <c r="C9257" s="111" t="s">
        <v>1283</v>
      </c>
      <c r="D9257" s="111" t="str">
        <f t="shared" ref="D9257:E9257" si="9255">TRIM(B9257)</f>
        <v>Nebraska</v>
      </c>
      <c r="E9257" s="111" t="str">
        <f t="shared" si="9255"/>
        <v>Lincoln</v>
      </c>
    </row>
    <row r="9258" spans="1:5">
      <c r="A9258" s="3" t="s">
        <v>4893</v>
      </c>
      <c r="B9258" s="110" t="s">
        <v>1350</v>
      </c>
      <c r="C9258" s="111" t="s">
        <v>1283</v>
      </c>
      <c r="D9258" s="111" t="str">
        <f t="shared" ref="D9258:E9258" si="9256">TRIM(B9258)</f>
        <v>Nebraska</v>
      </c>
      <c r="E9258" s="111" t="str">
        <f t="shared" si="9256"/>
        <v>Lincoln</v>
      </c>
    </row>
    <row r="9259" spans="1:5">
      <c r="A9259" s="3" t="s">
        <v>19626</v>
      </c>
      <c r="B9259" s="110" t="s">
        <v>1350</v>
      </c>
      <c r="C9259" s="111" t="s">
        <v>1283</v>
      </c>
      <c r="D9259" s="111" t="str">
        <f t="shared" ref="D9259:E9259" si="9257">TRIM(B9259)</f>
        <v>Nebraska</v>
      </c>
      <c r="E9259" s="111" t="str">
        <f t="shared" si="9257"/>
        <v>Lincoln</v>
      </c>
    </row>
    <row r="9260" spans="1:5">
      <c r="A9260" s="3" t="s">
        <v>8529</v>
      </c>
      <c r="B9260" s="110" t="s">
        <v>1350</v>
      </c>
      <c r="C9260" s="111" t="s">
        <v>8531</v>
      </c>
      <c r="D9260" s="111" t="str">
        <f t="shared" ref="D9260:E9260" si="9258">TRIM(B9260)</f>
        <v>Nebraska</v>
      </c>
      <c r="E9260" s="111" t="str">
        <f t="shared" si="9258"/>
        <v>Litchfield</v>
      </c>
    </row>
    <row r="9261" spans="1:5">
      <c r="A9261" s="110" t="s">
        <v>19627</v>
      </c>
      <c r="B9261" s="110" t="s">
        <v>1350</v>
      </c>
      <c r="C9261" s="111" t="s">
        <v>5571</v>
      </c>
      <c r="D9261" s="111" t="str">
        <f t="shared" ref="D9261:E9261" si="9259">TRIM(B9261)</f>
        <v>Nebraska</v>
      </c>
      <c r="E9261" s="111" t="str">
        <f t="shared" si="9259"/>
        <v>Loomis</v>
      </c>
    </row>
    <row r="9262" spans="1:5">
      <c r="A9262" s="3" t="s">
        <v>9412</v>
      </c>
      <c r="B9262" s="110" t="s">
        <v>1350</v>
      </c>
      <c r="C9262" s="111" t="s">
        <v>494</v>
      </c>
      <c r="D9262" s="111" t="str">
        <f t="shared" ref="D9262:E9262" si="9260">TRIM(B9262)</f>
        <v>Nebraska</v>
      </c>
      <c r="E9262" s="111" t="str">
        <f t="shared" si="9260"/>
        <v>Louisville</v>
      </c>
    </row>
    <row r="9263" spans="1:5">
      <c r="A9263" s="3" t="s">
        <v>19628</v>
      </c>
      <c r="B9263" s="110" t="s">
        <v>1350</v>
      </c>
      <c r="C9263" s="111" t="s">
        <v>19629</v>
      </c>
      <c r="D9263" s="111" t="str">
        <f t="shared" ref="D9263:E9263" si="9261">TRIM(B9263)</f>
        <v>Nebraska</v>
      </c>
      <c r="E9263" s="111" t="str">
        <f t="shared" si="9261"/>
        <v>Loup City</v>
      </c>
    </row>
    <row r="9264" spans="1:5">
      <c r="A9264" s="110" t="s">
        <v>19630</v>
      </c>
      <c r="B9264" s="110" t="s">
        <v>1350</v>
      </c>
      <c r="C9264" s="111" t="s">
        <v>8090</v>
      </c>
      <c r="D9264" s="111" t="str">
        <f t="shared" ref="D9264:E9264" si="9262">TRIM(B9264)</f>
        <v>Nebraska</v>
      </c>
      <c r="E9264" s="111" t="str">
        <f t="shared" si="9262"/>
        <v>Lyons</v>
      </c>
    </row>
    <row r="9265" spans="1:5">
      <c r="A9265" s="3" t="s">
        <v>19631</v>
      </c>
      <c r="B9265" s="110" t="s">
        <v>1350</v>
      </c>
      <c r="C9265" s="111" t="s">
        <v>19632</v>
      </c>
      <c r="D9265" s="111" t="str">
        <f t="shared" ref="D9265:E9265" si="9263">TRIM(B9265)</f>
        <v>Nebraska</v>
      </c>
      <c r="E9265" s="111" t="str">
        <f t="shared" si="9263"/>
        <v>Macy</v>
      </c>
    </row>
    <row r="9266" spans="1:5">
      <c r="A9266" s="3" t="s">
        <v>6772</v>
      </c>
      <c r="B9266" s="110" t="s">
        <v>1350</v>
      </c>
      <c r="C9266" s="111" t="s">
        <v>488</v>
      </c>
      <c r="D9266" s="111" t="str">
        <f t="shared" ref="D9266:E9266" si="9264">TRIM(B9266)</f>
        <v>Nebraska</v>
      </c>
      <c r="E9266" s="111" t="str">
        <f t="shared" si="9264"/>
        <v>Madison</v>
      </c>
    </row>
    <row r="9267" spans="1:5">
      <c r="A9267" s="3" t="s">
        <v>19633</v>
      </c>
      <c r="B9267" s="110" t="s">
        <v>1350</v>
      </c>
      <c r="C9267" s="111" t="s">
        <v>19634</v>
      </c>
      <c r="D9267" s="111" t="str">
        <f t="shared" ref="D9267:E9267" si="9265">TRIM(B9267)</f>
        <v>Nebraska</v>
      </c>
      <c r="E9267" s="111" t="str">
        <f t="shared" si="9265"/>
        <v>Malcolm</v>
      </c>
    </row>
    <row r="9268" spans="1:5">
      <c r="A9268" s="3" t="s">
        <v>19635</v>
      </c>
      <c r="B9268" s="110" t="s">
        <v>1350</v>
      </c>
      <c r="C9268" s="111" t="s">
        <v>5904</v>
      </c>
      <c r="D9268" s="111" t="str">
        <f t="shared" ref="D9268:E9268" si="9266">TRIM(B9268)</f>
        <v>Nebraska</v>
      </c>
      <c r="E9268" s="111" t="str">
        <f t="shared" si="9266"/>
        <v>Maxwell</v>
      </c>
    </row>
    <row r="9269" spans="1:5">
      <c r="A9269" s="3" t="s">
        <v>19636</v>
      </c>
      <c r="B9269" s="110" t="s">
        <v>1350</v>
      </c>
      <c r="C9269" s="111" t="s">
        <v>5908</v>
      </c>
      <c r="D9269" s="111" t="str">
        <f t="shared" ref="D9269:E9269" si="9267">TRIM(B9269)</f>
        <v>Nebraska</v>
      </c>
      <c r="E9269" s="111" t="str">
        <f t="shared" si="9267"/>
        <v>Maywood</v>
      </c>
    </row>
    <row r="9270" spans="1:5">
      <c r="A9270" s="3" t="s">
        <v>19637</v>
      </c>
      <c r="B9270" s="110" t="s">
        <v>1350</v>
      </c>
      <c r="C9270" s="111" t="s">
        <v>19638</v>
      </c>
      <c r="D9270" s="111" t="str">
        <f t="shared" ref="D9270:E9270" si="9268">TRIM(B9270)</f>
        <v>Nebraska</v>
      </c>
      <c r="E9270" s="111" t="str">
        <f t="shared" si="9268"/>
        <v>Mc Cook</v>
      </c>
    </row>
    <row r="9271" spans="1:5">
      <c r="A9271" s="3" t="s">
        <v>19639</v>
      </c>
      <c r="B9271" s="110" t="s">
        <v>1350</v>
      </c>
      <c r="C9271" s="111" t="s">
        <v>19640</v>
      </c>
      <c r="D9271" s="111" t="str">
        <f t="shared" ref="D9271:E9271" si="9269">TRIM(B9271)</f>
        <v>Nebraska</v>
      </c>
      <c r="E9271" s="111" t="str">
        <f t="shared" si="9269"/>
        <v>Mccool Junction</v>
      </c>
    </row>
    <row r="9272" spans="1:5">
      <c r="A9272" s="3" t="s">
        <v>8079</v>
      </c>
      <c r="B9272" s="110" t="s">
        <v>1350</v>
      </c>
      <c r="C9272" s="111" t="s">
        <v>19641</v>
      </c>
      <c r="D9272" s="111" t="str">
        <f t="shared" ref="D9272:E9272" si="9270">TRIM(B9272)</f>
        <v>Nebraska</v>
      </c>
      <c r="E9272" s="111" t="str">
        <f t="shared" si="9270"/>
        <v>Mead</v>
      </c>
    </row>
    <row r="9273" spans="1:5">
      <c r="A9273" s="3" t="s">
        <v>19642</v>
      </c>
      <c r="B9273" s="110" t="s">
        <v>1350</v>
      </c>
      <c r="C9273" s="111" t="s">
        <v>19643</v>
      </c>
      <c r="D9273" s="111" t="str">
        <f t="shared" ref="D9273:E9273" si="9271">TRIM(B9273)</f>
        <v>Nebraska</v>
      </c>
      <c r="E9273" s="111" t="str">
        <f t="shared" si="9271"/>
        <v>Merna</v>
      </c>
    </row>
    <row r="9274" spans="1:5">
      <c r="A9274" s="3" t="s">
        <v>16743</v>
      </c>
      <c r="B9274" s="110" t="s">
        <v>1350</v>
      </c>
      <c r="C9274" s="111" t="s">
        <v>8552</v>
      </c>
      <c r="D9274" s="111" t="str">
        <f t="shared" ref="D9274:E9274" si="9272">TRIM(B9274)</f>
        <v>Nebraska</v>
      </c>
      <c r="E9274" s="111" t="str">
        <f t="shared" si="9272"/>
        <v>Milford</v>
      </c>
    </row>
    <row r="9275" spans="1:5">
      <c r="A9275" s="3" t="s">
        <v>19644</v>
      </c>
      <c r="B9275" s="110" t="s">
        <v>1350</v>
      </c>
      <c r="C9275" s="111" t="s">
        <v>19645</v>
      </c>
      <c r="D9275" s="111" t="str">
        <f t="shared" ref="D9275:E9275" si="9273">TRIM(B9275)</f>
        <v>Nebraska</v>
      </c>
      <c r="E9275" s="111" t="str">
        <f t="shared" si="9273"/>
        <v>Minatare</v>
      </c>
    </row>
    <row r="9276" spans="1:5">
      <c r="A9276" s="3" t="s">
        <v>16042</v>
      </c>
      <c r="B9276" s="110" t="s">
        <v>1350</v>
      </c>
      <c r="C9276" s="111" t="s">
        <v>10898</v>
      </c>
      <c r="D9276" s="111" t="str">
        <f t="shared" ref="D9276:E9276" si="9274">TRIM(B9276)</f>
        <v>Nebraska</v>
      </c>
      <c r="E9276" s="111" t="str">
        <f t="shared" si="9274"/>
        <v>Minden</v>
      </c>
    </row>
    <row r="9277" spans="1:5">
      <c r="A9277" s="110" t="s">
        <v>19646</v>
      </c>
      <c r="B9277" s="110" t="s">
        <v>1350</v>
      </c>
      <c r="C9277" s="111" t="s">
        <v>14496</v>
      </c>
      <c r="D9277" s="111" t="str">
        <f t="shared" ref="D9277:E9277" si="9275">TRIM(B9277)</f>
        <v>Nebraska</v>
      </c>
      <c r="E9277" s="111" t="str">
        <f t="shared" si="9275"/>
        <v>Mitchell</v>
      </c>
    </row>
    <row r="9278" spans="1:5">
      <c r="A9278" s="3" t="s">
        <v>19647</v>
      </c>
      <c r="B9278" s="110" t="s">
        <v>1350</v>
      </c>
      <c r="C9278" s="111" t="s">
        <v>19648</v>
      </c>
      <c r="D9278" s="111" t="str">
        <f t="shared" ref="D9278:E9278" si="9276">TRIM(B9278)</f>
        <v>Nebraska</v>
      </c>
      <c r="E9278" s="111" t="str">
        <f t="shared" si="9276"/>
        <v>Morrill</v>
      </c>
    </row>
    <row r="9279" spans="1:5">
      <c r="A9279" s="3" t="s">
        <v>9723</v>
      </c>
      <c r="B9279" s="110" t="s">
        <v>1350</v>
      </c>
      <c r="C9279" s="111" t="s">
        <v>19649</v>
      </c>
      <c r="D9279" s="111" t="str">
        <f t="shared" ref="D9279:E9279" si="9277">TRIM(B9279)</f>
        <v>Nebraska</v>
      </c>
      <c r="E9279" s="111" t="str">
        <f t="shared" si="9277"/>
        <v>Mullen</v>
      </c>
    </row>
    <row r="9280" spans="1:5">
      <c r="A9280" s="3" t="s">
        <v>19650</v>
      </c>
      <c r="B9280" s="110" t="s">
        <v>1350</v>
      </c>
      <c r="C9280" s="111" t="s">
        <v>19651</v>
      </c>
      <c r="D9280" s="111" t="str">
        <f t="shared" ref="D9280:E9280" si="9278">TRIM(B9280)</f>
        <v>Nebraska</v>
      </c>
      <c r="E9280" s="111" t="str">
        <f t="shared" si="9278"/>
        <v>Murdock</v>
      </c>
    </row>
    <row r="9281" spans="1:5">
      <c r="A9281" s="3" t="s">
        <v>19652</v>
      </c>
      <c r="B9281" s="110" t="s">
        <v>1350</v>
      </c>
      <c r="C9281" s="111" t="s">
        <v>13882</v>
      </c>
      <c r="D9281" s="111" t="str">
        <f t="shared" ref="D9281:E9281" si="9279">TRIM(B9281)</f>
        <v>Nebraska</v>
      </c>
      <c r="E9281" s="111" t="str">
        <f t="shared" si="9279"/>
        <v>Murray</v>
      </c>
    </row>
    <row r="9282" spans="1:5">
      <c r="A9282" s="3" t="s">
        <v>19653</v>
      </c>
      <c r="B9282" s="110" t="s">
        <v>1350</v>
      </c>
      <c r="C9282" s="111" t="s">
        <v>19654</v>
      </c>
      <c r="D9282" s="111" t="str">
        <f t="shared" ref="D9282:E9282" si="9280">TRIM(B9282)</f>
        <v>Nebraska</v>
      </c>
      <c r="E9282" s="111" t="str">
        <f t="shared" si="9280"/>
        <v>Nebraska City</v>
      </c>
    </row>
    <row r="9283" spans="1:5">
      <c r="A9283" s="3" t="s">
        <v>19655</v>
      </c>
      <c r="B9283" s="110" t="s">
        <v>1350</v>
      </c>
      <c r="C9283" s="111" t="s">
        <v>19656</v>
      </c>
      <c r="D9283" s="111" t="str">
        <f t="shared" ref="D9283:E9283" si="9281">TRIM(B9283)</f>
        <v>Nebraska</v>
      </c>
      <c r="E9283" s="111" t="str">
        <f t="shared" si="9281"/>
        <v>Neligh</v>
      </c>
    </row>
    <row r="9284" spans="1:5">
      <c r="A9284" s="3" t="s">
        <v>19657</v>
      </c>
      <c r="B9284" s="110" t="s">
        <v>1350</v>
      </c>
      <c r="C9284" s="111" t="s">
        <v>19658</v>
      </c>
      <c r="D9284" s="111" t="str">
        <f t="shared" ref="D9284:E9284" si="9282">TRIM(B9284)</f>
        <v>Nebraska</v>
      </c>
      <c r="E9284" s="111" t="str">
        <f t="shared" si="9282"/>
        <v>Nelson</v>
      </c>
    </row>
    <row r="9285" spans="1:5">
      <c r="A9285" s="3" t="s">
        <v>19659</v>
      </c>
      <c r="B9285" s="110" t="s">
        <v>1350</v>
      </c>
      <c r="C9285" s="111" t="s">
        <v>19660</v>
      </c>
      <c r="D9285" s="111" t="str">
        <f t="shared" ref="D9285:E9285" si="9283">TRIM(B9285)</f>
        <v>Nebraska</v>
      </c>
      <c r="E9285" s="111" t="str">
        <f t="shared" si="9283"/>
        <v>Newman Grove</v>
      </c>
    </row>
    <row r="9286" spans="1:5">
      <c r="A9286" s="110" t="s">
        <v>19661</v>
      </c>
      <c r="B9286" s="110" t="s">
        <v>1350</v>
      </c>
      <c r="C9286" s="111" t="s">
        <v>19662</v>
      </c>
      <c r="D9286" s="111" t="str">
        <f t="shared" ref="D9286:E9286" si="9284">TRIM(B9286)</f>
        <v>Nebraska</v>
      </c>
      <c r="E9286" s="111" t="str">
        <f t="shared" si="9284"/>
        <v>Niobrara</v>
      </c>
    </row>
    <row r="9287" spans="1:5">
      <c r="A9287" s="3" t="s">
        <v>19663</v>
      </c>
      <c r="B9287" s="110" t="s">
        <v>1350</v>
      </c>
      <c r="C9287" s="111" t="s">
        <v>19662</v>
      </c>
      <c r="D9287" s="111" t="str">
        <f t="shared" ref="D9287:E9287" si="9285">TRIM(B9287)</f>
        <v>Nebraska</v>
      </c>
      <c r="E9287" s="111" t="str">
        <f t="shared" si="9285"/>
        <v>Niobrara</v>
      </c>
    </row>
    <row r="9288" spans="1:5">
      <c r="A9288" s="3" t="s">
        <v>19664</v>
      </c>
      <c r="B9288" s="110" t="s">
        <v>1350</v>
      </c>
      <c r="C9288" s="111" t="s">
        <v>281</v>
      </c>
      <c r="D9288" s="111" t="str">
        <f t="shared" ref="D9288:E9288" si="9286">TRIM(B9288)</f>
        <v>Nebraska</v>
      </c>
      <c r="E9288" s="111" t="str">
        <f t="shared" si="9286"/>
        <v>Norfolk</v>
      </c>
    </row>
    <row r="9289" spans="1:5">
      <c r="A9289" s="3" t="s">
        <v>19665</v>
      </c>
      <c r="B9289" s="110" t="s">
        <v>1350</v>
      </c>
      <c r="C9289" s="111" t="s">
        <v>19666</v>
      </c>
      <c r="D9289" s="111" t="str">
        <f t="shared" ref="D9289:E9289" si="9287">TRIM(B9289)</f>
        <v>Nebraska</v>
      </c>
      <c r="E9289" s="111" t="str">
        <f t="shared" si="9287"/>
        <v>North Bend</v>
      </c>
    </row>
    <row r="9290" spans="1:5">
      <c r="A9290" s="3" t="s">
        <v>18729</v>
      </c>
      <c r="B9290" s="110" t="s">
        <v>1350</v>
      </c>
      <c r="C9290" s="111" t="s">
        <v>269</v>
      </c>
      <c r="D9290" s="111" t="str">
        <f t="shared" ref="D9290:E9290" si="9288">TRIM(B9290)</f>
        <v>Nebraska</v>
      </c>
      <c r="E9290" s="111" t="str">
        <f t="shared" si="9288"/>
        <v>North Platte</v>
      </c>
    </row>
    <row r="9291" spans="1:5">
      <c r="A9291" s="3" t="s">
        <v>19667</v>
      </c>
      <c r="B9291" s="110" t="s">
        <v>1350</v>
      </c>
      <c r="C9291" s="111" t="s">
        <v>11922</v>
      </c>
      <c r="D9291" s="111" t="str">
        <f t="shared" ref="D9291:E9291" si="9289">TRIM(B9291)</f>
        <v>Nebraska</v>
      </c>
      <c r="E9291" s="111" t="str">
        <f t="shared" si="9289"/>
        <v>O'Neill</v>
      </c>
    </row>
    <row r="9292" spans="1:5">
      <c r="A9292" s="3" t="s">
        <v>19668</v>
      </c>
      <c r="B9292" s="110" t="s">
        <v>1350</v>
      </c>
      <c r="C9292" s="111" t="s">
        <v>662</v>
      </c>
      <c r="D9292" s="111" t="str">
        <f t="shared" ref="D9292:E9292" si="9290">TRIM(B9292)</f>
        <v>Nebraska</v>
      </c>
      <c r="E9292" s="111" t="str">
        <f t="shared" si="9290"/>
        <v>Oakland</v>
      </c>
    </row>
    <row r="9293" spans="1:5">
      <c r="A9293" s="110" t="s">
        <v>19669</v>
      </c>
      <c r="B9293" s="110" t="s">
        <v>1350</v>
      </c>
      <c r="C9293" s="111" t="s">
        <v>19670</v>
      </c>
      <c r="D9293" s="111" t="str">
        <f t="shared" ref="D9293:E9293" si="9291">TRIM(B9293)</f>
        <v>Nebraska</v>
      </c>
      <c r="E9293" s="111" t="str">
        <f t="shared" si="9291"/>
        <v>Odell</v>
      </c>
    </row>
    <row r="9294" spans="1:5">
      <c r="A9294" s="3" t="s">
        <v>19671</v>
      </c>
      <c r="B9294" s="110" t="s">
        <v>1350</v>
      </c>
      <c r="C9294" s="111" t="s">
        <v>19672</v>
      </c>
      <c r="D9294" s="111" t="str">
        <f t="shared" ref="D9294:E9294" si="9292">TRIM(B9294)</f>
        <v>Nebraska</v>
      </c>
      <c r="E9294" s="111" t="str">
        <f t="shared" si="9292"/>
        <v>Ogallala</v>
      </c>
    </row>
    <row r="9295" spans="1:5">
      <c r="A9295" s="3" t="s">
        <v>19673</v>
      </c>
      <c r="B9295" s="110" t="s">
        <v>1350</v>
      </c>
      <c r="C9295" s="111" t="s">
        <v>218</v>
      </c>
      <c r="D9295" s="111" t="str">
        <f t="shared" ref="D9295:E9295" si="9293">TRIM(B9295)</f>
        <v>Nebraska</v>
      </c>
      <c r="E9295" s="111" t="str">
        <f t="shared" si="9293"/>
        <v>Omaha</v>
      </c>
    </row>
    <row r="9296" spans="1:5">
      <c r="A9296" s="3" t="s">
        <v>19674</v>
      </c>
      <c r="B9296" s="110" t="s">
        <v>1350</v>
      </c>
      <c r="C9296" s="111" t="s">
        <v>218</v>
      </c>
      <c r="D9296" s="111" t="str">
        <f t="shared" ref="D9296:E9296" si="9294">TRIM(B9296)</f>
        <v>Nebraska</v>
      </c>
      <c r="E9296" s="111" t="str">
        <f t="shared" si="9294"/>
        <v>Omaha</v>
      </c>
    </row>
    <row r="9297" spans="1:5">
      <c r="A9297" s="3" t="s">
        <v>19675</v>
      </c>
      <c r="B9297" s="110" t="s">
        <v>1350</v>
      </c>
      <c r="C9297" s="111" t="s">
        <v>218</v>
      </c>
      <c r="D9297" s="111" t="str">
        <f t="shared" ref="D9297:E9297" si="9295">TRIM(B9297)</f>
        <v>Nebraska</v>
      </c>
      <c r="E9297" s="111" t="str">
        <f t="shared" si="9295"/>
        <v>Omaha</v>
      </c>
    </row>
    <row r="9298" spans="1:5">
      <c r="A9298" s="3" t="s">
        <v>1843</v>
      </c>
      <c r="B9298" s="110" t="s">
        <v>1350</v>
      </c>
      <c r="C9298" s="111" t="s">
        <v>218</v>
      </c>
      <c r="D9298" s="111" t="str">
        <f t="shared" ref="D9298:E9298" si="9296">TRIM(B9298)</f>
        <v>Nebraska</v>
      </c>
      <c r="E9298" s="111" t="str">
        <f t="shared" si="9296"/>
        <v>Omaha</v>
      </c>
    </row>
    <row r="9299" spans="1:5">
      <c r="A9299" s="3" t="s">
        <v>19676</v>
      </c>
      <c r="B9299" s="110" t="s">
        <v>1350</v>
      </c>
      <c r="C9299" s="111" t="s">
        <v>218</v>
      </c>
      <c r="D9299" s="111" t="str">
        <f t="shared" ref="D9299:E9299" si="9297">TRIM(B9299)</f>
        <v>Nebraska</v>
      </c>
      <c r="E9299" s="111" t="str">
        <f t="shared" si="9297"/>
        <v>Omaha</v>
      </c>
    </row>
    <row r="9300" spans="1:5">
      <c r="A9300" s="3" t="s">
        <v>19677</v>
      </c>
      <c r="B9300" s="110" t="s">
        <v>1350</v>
      </c>
      <c r="C9300" s="111" t="s">
        <v>218</v>
      </c>
      <c r="D9300" s="111" t="str">
        <f t="shared" ref="D9300:E9300" si="9298">TRIM(B9300)</f>
        <v>Nebraska</v>
      </c>
      <c r="E9300" s="111" t="str">
        <f t="shared" si="9298"/>
        <v>Omaha</v>
      </c>
    </row>
    <row r="9301" spans="1:5">
      <c r="A9301" s="3" t="s">
        <v>19678</v>
      </c>
      <c r="B9301" s="110" t="s">
        <v>1350</v>
      </c>
      <c r="C9301" s="111" t="s">
        <v>218</v>
      </c>
      <c r="D9301" s="111" t="str">
        <f t="shared" ref="D9301:E9301" si="9299">TRIM(B9301)</f>
        <v>Nebraska</v>
      </c>
      <c r="E9301" s="111" t="str">
        <f t="shared" si="9299"/>
        <v>Omaha</v>
      </c>
    </row>
    <row r="9302" spans="1:5">
      <c r="A9302" s="3" t="s">
        <v>19679</v>
      </c>
      <c r="B9302" s="110" t="s">
        <v>1350</v>
      </c>
      <c r="C9302" s="111" t="s">
        <v>218</v>
      </c>
      <c r="D9302" s="111" t="str">
        <f t="shared" ref="D9302:E9302" si="9300">TRIM(B9302)</f>
        <v>Nebraska</v>
      </c>
      <c r="E9302" s="111" t="str">
        <f t="shared" si="9300"/>
        <v>Omaha</v>
      </c>
    </row>
    <row r="9303" spans="1:5">
      <c r="A9303" s="3" t="s">
        <v>19680</v>
      </c>
      <c r="B9303" s="110" t="s">
        <v>1350</v>
      </c>
      <c r="C9303" s="111" t="s">
        <v>218</v>
      </c>
      <c r="D9303" s="111" t="str">
        <f t="shared" ref="D9303:E9303" si="9301">TRIM(B9303)</f>
        <v>Nebraska</v>
      </c>
      <c r="E9303" s="111" t="str">
        <f t="shared" si="9301"/>
        <v>Omaha</v>
      </c>
    </row>
    <row r="9304" spans="1:5">
      <c r="A9304" s="3" t="s">
        <v>19681</v>
      </c>
      <c r="B9304" s="110" t="s">
        <v>1350</v>
      </c>
      <c r="C9304" s="111" t="s">
        <v>218</v>
      </c>
      <c r="D9304" s="111" t="str">
        <f t="shared" ref="D9304:E9304" si="9302">TRIM(B9304)</f>
        <v>Nebraska</v>
      </c>
      <c r="E9304" s="111" t="str">
        <f t="shared" si="9302"/>
        <v>Omaha</v>
      </c>
    </row>
    <row r="9305" spans="1:5">
      <c r="A9305" s="3" t="s">
        <v>19682</v>
      </c>
      <c r="B9305" s="110" t="s">
        <v>1350</v>
      </c>
      <c r="C9305" s="111" t="s">
        <v>218</v>
      </c>
      <c r="D9305" s="111" t="str">
        <f t="shared" ref="D9305:E9305" si="9303">TRIM(B9305)</f>
        <v>Nebraska</v>
      </c>
      <c r="E9305" s="111" t="str">
        <f t="shared" si="9303"/>
        <v>Omaha</v>
      </c>
    </row>
    <row r="9306" spans="1:5">
      <c r="A9306" s="3" t="s">
        <v>19683</v>
      </c>
      <c r="B9306" s="110" t="s">
        <v>1350</v>
      </c>
      <c r="C9306" s="111" t="s">
        <v>218</v>
      </c>
      <c r="D9306" s="111" t="str">
        <f t="shared" ref="D9306:E9306" si="9304">TRIM(B9306)</f>
        <v>Nebraska</v>
      </c>
      <c r="E9306" s="111" t="str">
        <f t="shared" si="9304"/>
        <v>Omaha</v>
      </c>
    </row>
    <row r="9307" spans="1:5">
      <c r="A9307" s="3" t="s">
        <v>3698</v>
      </c>
      <c r="B9307" s="110" t="s">
        <v>1350</v>
      </c>
      <c r="C9307" s="111" t="s">
        <v>218</v>
      </c>
      <c r="D9307" s="111" t="str">
        <f t="shared" ref="D9307:E9307" si="9305">TRIM(B9307)</f>
        <v>Nebraska</v>
      </c>
      <c r="E9307" s="111" t="str">
        <f t="shared" si="9305"/>
        <v>Omaha</v>
      </c>
    </row>
    <row r="9308" spans="1:5">
      <c r="A9308" s="3" t="s">
        <v>19684</v>
      </c>
      <c r="B9308" s="110" t="s">
        <v>1350</v>
      </c>
      <c r="C9308" s="111" t="s">
        <v>19685</v>
      </c>
      <c r="D9308" s="111" t="str">
        <f t="shared" ref="D9308:E9308" si="9306">TRIM(B9308)</f>
        <v>Nebraska</v>
      </c>
      <c r="E9308" s="111" t="str">
        <f t="shared" si="9306"/>
        <v>Orchard</v>
      </c>
    </row>
    <row r="9309" spans="1:5">
      <c r="A9309" s="3" t="s">
        <v>19686</v>
      </c>
      <c r="B9309" s="110" t="s">
        <v>1350</v>
      </c>
      <c r="C9309" s="111" t="s">
        <v>19687</v>
      </c>
      <c r="D9309" s="111" t="str">
        <f t="shared" ref="D9309:E9309" si="9307">TRIM(B9309)</f>
        <v>Nebraska</v>
      </c>
      <c r="E9309" s="111" t="str">
        <f t="shared" si="9307"/>
        <v>Ord</v>
      </c>
    </row>
    <row r="9310" spans="1:5">
      <c r="A9310" s="3" t="s">
        <v>4099</v>
      </c>
      <c r="B9310" s="110" t="s">
        <v>1350</v>
      </c>
      <c r="C9310" s="111" t="s">
        <v>4100</v>
      </c>
      <c r="D9310" s="111" t="str">
        <f t="shared" ref="D9310:E9310" si="9308">TRIM(B9310)</f>
        <v>Nebraska</v>
      </c>
      <c r="E9310" s="111" t="str">
        <f t="shared" si="9308"/>
        <v>Osceola</v>
      </c>
    </row>
    <row r="9311" spans="1:5">
      <c r="A9311" s="3" t="s">
        <v>19688</v>
      </c>
      <c r="B9311" s="110" t="s">
        <v>1350</v>
      </c>
      <c r="C9311" s="111" t="s">
        <v>14250</v>
      </c>
      <c r="D9311" s="111" t="str">
        <f t="shared" ref="D9311:E9311" si="9309">TRIM(B9311)</f>
        <v>Nebraska</v>
      </c>
      <c r="E9311" s="111" t="str">
        <f t="shared" si="9309"/>
        <v>Oshkosh</v>
      </c>
    </row>
    <row r="9312" spans="1:5">
      <c r="A9312" s="3" t="s">
        <v>19689</v>
      </c>
      <c r="B9312" s="110" t="s">
        <v>1350</v>
      </c>
      <c r="C9312" s="111" t="s">
        <v>19690</v>
      </c>
      <c r="D9312" s="111" t="str">
        <f t="shared" ref="D9312:E9312" si="9310">TRIM(B9312)</f>
        <v>Nebraska</v>
      </c>
      <c r="E9312" s="111" t="str">
        <f t="shared" si="9310"/>
        <v>Osmond</v>
      </c>
    </row>
    <row r="9313" spans="1:5">
      <c r="A9313" s="3" t="s">
        <v>19691</v>
      </c>
      <c r="B9313" s="110" t="s">
        <v>1350</v>
      </c>
      <c r="C9313" s="111" t="s">
        <v>19692</v>
      </c>
      <c r="D9313" s="111" t="str">
        <f t="shared" ref="D9313:E9313" si="9311">TRIM(B9313)</f>
        <v>Nebraska</v>
      </c>
      <c r="E9313" s="111" t="str">
        <f t="shared" si="9311"/>
        <v>Overton</v>
      </c>
    </row>
    <row r="9314" spans="1:5">
      <c r="A9314" s="3" t="s">
        <v>19693</v>
      </c>
      <c r="B9314" s="110" t="s">
        <v>1350</v>
      </c>
      <c r="C9314" s="111" t="s">
        <v>279</v>
      </c>
      <c r="D9314" s="111" t="str">
        <f t="shared" ref="D9314:E9314" si="9312">TRIM(B9314)</f>
        <v>Nebraska</v>
      </c>
      <c r="E9314" s="111" t="str">
        <f t="shared" si="9312"/>
        <v>Oxford</v>
      </c>
    </row>
    <row r="9315" spans="1:5">
      <c r="A9315" s="3" t="s">
        <v>19694</v>
      </c>
      <c r="B9315" s="110" t="s">
        <v>1350</v>
      </c>
      <c r="C9315" s="111" t="s">
        <v>2400</v>
      </c>
      <c r="D9315" s="111" t="str">
        <f t="shared" ref="D9315:E9315" si="9313">TRIM(B9315)</f>
        <v>Nebraska</v>
      </c>
      <c r="E9315" s="111" t="str">
        <f t="shared" si="9313"/>
        <v>Palmer</v>
      </c>
    </row>
    <row r="9316" spans="1:5">
      <c r="A9316" s="3" t="s">
        <v>19695</v>
      </c>
      <c r="B9316" s="110" t="s">
        <v>1350</v>
      </c>
      <c r="C9316" s="111" t="s">
        <v>13547</v>
      </c>
      <c r="D9316" s="111" t="str">
        <f t="shared" ref="D9316:E9316" si="9314">TRIM(B9316)</f>
        <v>Nebraska</v>
      </c>
      <c r="E9316" s="111" t="str">
        <f t="shared" si="9314"/>
        <v>Palmyra</v>
      </c>
    </row>
    <row r="9317" spans="1:5">
      <c r="A9317" s="3" t="s">
        <v>19696</v>
      </c>
      <c r="B9317" s="110" t="s">
        <v>1350</v>
      </c>
      <c r="C9317" s="111" t="s">
        <v>19697</v>
      </c>
      <c r="D9317" s="111" t="str">
        <f t="shared" ref="D9317:E9317" si="9315">TRIM(B9317)</f>
        <v>Nebraska</v>
      </c>
      <c r="E9317" s="111" t="str">
        <f t="shared" si="9315"/>
        <v>Papillion</v>
      </c>
    </row>
    <row r="9318" spans="1:5">
      <c r="A9318" s="3" t="s">
        <v>19698</v>
      </c>
      <c r="B9318" s="110" t="s">
        <v>1350</v>
      </c>
      <c r="C9318" s="111" t="s">
        <v>19697</v>
      </c>
      <c r="D9318" s="111" t="str">
        <f t="shared" ref="D9318:E9318" si="9316">TRIM(B9318)</f>
        <v>Nebraska</v>
      </c>
      <c r="E9318" s="111" t="str">
        <f t="shared" si="9316"/>
        <v>Papillion</v>
      </c>
    </row>
    <row r="9319" spans="1:5">
      <c r="A9319" s="110" t="s">
        <v>19699</v>
      </c>
      <c r="B9319" s="110" t="s">
        <v>1350</v>
      </c>
      <c r="C9319" s="111" t="s">
        <v>19700</v>
      </c>
      <c r="D9319" s="111" t="str">
        <f t="shared" ref="D9319:E9319" si="9317">TRIM(B9319)</f>
        <v>Nebraska</v>
      </c>
      <c r="E9319" s="111" t="str">
        <f t="shared" si="9317"/>
        <v>Pawnee City</v>
      </c>
    </row>
    <row r="9320" spans="1:5">
      <c r="A9320" s="3" t="s">
        <v>19701</v>
      </c>
      <c r="B9320" s="110" t="s">
        <v>1350</v>
      </c>
      <c r="C9320" s="111" t="s">
        <v>13586</v>
      </c>
      <c r="D9320" s="111" t="str">
        <f t="shared" ref="D9320:E9320" si="9318">TRIM(B9320)</f>
        <v>Nebraska</v>
      </c>
      <c r="E9320" s="111" t="str">
        <f t="shared" si="9318"/>
        <v>Paxton</v>
      </c>
    </row>
    <row r="9321" spans="1:5">
      <c r="A9321" s="3" t="s">
        <v>19702</v>
      </c>
      <c r="B9321" s="110" t="s">
        <v>1350</v>
      </c>
      <c r="C9321" s="111" t="s">
        <v>19703</v>
      </c>
      <c r="D9321" s="111" t="str">
        <f t="shared" ref="D9321:E9321" si="9319">TRIM(B9321)</f>
        <v>Nebraska</v>
      </c>
      <c r="E9321" s="111" t="str">
        <f t="shared" si="9319"/>
        <v>Pender</v>
      </c>
    </row>
    <row r="9322" spans="1:5">
      <c r="A9322" s="3" t="s">
        <v>19704</v>
      </c>
      <c r="B9322" s="110" t="s">
        <v>1350</v>
      </c>
      <c r="C9322" s="111" t="s">
        <v>19705</v>
      </c>
      <c r="D9322" s="111" t="str">
        <f t="shared" ref="D9322:E9322" si="9320">TRIM(B9322)</f>
        <v>Nebraska</v>
      </c>
      <c r="E9322" s="111" t="str">
        <f t="shared" si="9320"/>
        <v>Pierce</v>
      </c>
    </row>
    <row r="9323" spans="1:5">
      <c r="A9323" s="110" t="s">
        <v>19706</v>
      </c>
      <c r="B9323" s="110" t="s">
        <v>1350</v>
      </c>
      <c r="C9323" s="111" t="s">
        <v>18174</v>
      </c>
      <c r="D9323" s="111" t="str">
        <f t="shared" ref="D9323:E9323" si="9321">TRIM(B9323)</f>
        <v>Nebraska</v>
      </c>
      <c r="E9323" s="111" t="str">
        <f t="shared" si="9321"/>
        <v>Plainview</v>
      </c>
    </row>
    <row r="9324" spans="1:5">
      <c r="A9324" s="3" t="s">
        <v>19707</v>
      </c>
      <c r="B9324" s="110" t="s">
        <v>1350</v>
      </c>
      <c r="C9324" s="111" t="s">
        <v>19708</v>
      </c>
      <c r="D9324" s="111" t="str">
        <f t="shared" ref="D9324:E9324" si="9322">TRIM(B9324)</f>
        <v>Nebraska</v>
      </c>
      <c r="E9324" s="111" t="str">
        <f t="shared" si="9322"/>
        <v>Plattsmouth</v>
      </c>
    </row>
    <row r="9325" spans="1:5">
      <c r="A9325" s="3" t="s">
        <v>15467</v>
      </c>
      <c r="B9325" s="110" t="s">
        <v>1350</v>
      </c>
      <c r="C9325" s="111" t="s">
        <v>6403</v>
      </c>
      <c r="D9325" s="111" t="str">
        <f t="shared" ref="D9325:E9325" si="9323">TRIM(B9325)</f>
        <v>Nebraska</v>
      </c>
      <c r="E9325" s="111" t="str">
        <f t="shared" si="9323"/>
        <v>Pleasanton</v>
      </c>
    </row>
    <row r="9326" spans="1:5">
      <c r="A9326" s="3" t="s">
        <v>19709</v>
      </c>
      <c r="B9326" s="110" t="s">
        <v>1350</v>
      </c>
      <c r="C9326" s="111" t="s">
        <v>19710</v>
      </c>
      <c r="D9326" s="111" t="str">
        <f t="shared" ref="D9326:E9326" si="9324">TRIM(B9326)</f>
        <v>Nebraska</v>
      </c>
      <c r="E9326" s="111" t="str">
        <f t="shared" si="9324"/>
        <v>Polk</v>
      </c>
    </row>
    <row r="9327" spans="1:5">
      <c r="A9327" s="3" t="s">
        <v>19711</v>
      </c>
      <c r="B9327" s="110" t="s">
        <v>1350</v>
      </c>
      <c r="C9327" s="112" t="s">
        <v>19712</v>
      </c>
      <c r="D9327" s="111" t="str">
        <f t="shared" ref="D9327:E9327" si="9325">TRIM(B9327)</f>
        <v>Nebraska</v>
      </c>
      <c r="E9327" s="111" t="str">
        <f t="shared" si="9325"/>
        <v>Ponca</v>
      </c>
    </row>
    <row r="9328" spans="1:5">
      <c r="A9328" s="3" t="s">
        <v>19713</v>
      </c>
      <c r="B9328" s="110" t="s">
        <v>1350</v>
      </c>
      <c r="C9328" s="111" t="s">
        <v>19714</v>
      </c>
      <c r="D9328" s="111" t="str">
        <f t="shared" ref="D9328:E9328" si="9326">TRIM(B9328)</f>
        <v>Nebraska</v>
      </c>
      <c r="E9328" s="111" t="str">
        <f t="shared" si="9326"/>
        <v>Potter</v>
      </c>
    </row>
    <row r="9329" spans="1:5">
      <c r="A9329" s="3" t="s">
        <v>19715</v>
      </c>
      <c r="B9329" s="110" t="s">
        <v>1350</v>
      </c>
      <c r="C9329" s="111" t="s">
        <v>19716</v>
      </c>
      <c r="D9329" s="111" t="str">
        <f t="shared" ref="D9329:E9329" si="9327">TRIM(B9329)</f>
        <v>Nebraska</v>
      </c>
      <c r="E9329" s="111" t="str">
        <f t="shared" si="9327"/>
        <v>Ralston</v>
      </c>
    </row>
    <row r="9330" spans="1:5">
      <c r="A9330" s="3" t="s">
        <v>16805</v>
      </c>
      <c r="B9330" s="110" t="s">
        <v>1350</v>
      </c>
      <c r="C9330" s="111" t="s">
        <v>15476</v>
      </c>
      <c r="D9330" s="111" t="str">
        <f t="shared" ref="D9330:E9330" si="9328">TRIM(B9330)</f>
        <v>Nebraska</v>
      </c>
      <c r="E9330" s="111" t="str">
        <f t="shared" si="9328"/>
        <v>Randolph</v>
      </c>
    </row>
    <row r="9331" spans="1:5">
      <c r="A9331" s="3" t="s">
        <v>19717</v>
      </c>
      <c r="B9331" s="110" t="s">
        <v>1350</v>
      </c>
      <c r="C9331" s="111" t="s">
        <v>17529</v>
      </c>
      <c r="D9331" s="111" t="str">
        <f t="shared" ref="D9331:E9331" si="9329">TRIM(B9331)</f>
        <v>Nebraska</v>
      </c>
      <c r="E9331" s="111" t="str">
        <f t="shared" si="9329"/>
        <v>Ravenna</v>
      </c>
    </row>
    <row r="9332" spans="1:5">
      <c r="A9332" s="110" t="s">
        <v>19718</v>
      </c>
      <c r="B9332" s="110" t="s">
        <v>1350</v>
      </c>
      <c r="C9332" s="111" t="s">
        <v>3897</v>
      </c>
      <c r="D9332" s="111" t="str">
        <f t="shared" ref="D9332:E9332" si="9330">TRIM(B9332)</f>
        <v>Nebraska</v>
      </c>
      <c r="E9332" s="111" t="str">
        <f t="shared" si="9330"/>
        <v>Raymond</v>
      </c>
    </row>
    <row r="9333" spans="1:5">
      <c r="A9333" s="3" t="s">
        <v>19719</v>
      </c>
      <c r="B9333" s="110" t="s">
        <v>1350</v>
      </c>
      <c r="C9333" s="111" t="s">
        <v>19720</v>
      </c>
      <c r="D9333" s="111" t="str">
        <f t="shared" ref="D9333:E9333" si="9331">TRIM(B9333)</f>
        <v>Nebraska</v>
      </c>
      <c r="E9333" s="111" t="str">
        <f t="shared" si="9331"/>
        <v>Red Cloud</v>
      </c>
    </row>
    <row r="9334" spans="1:5">
      <c r="A9334" s="3" t="s">
        <v>19721</v>
      </c>
      <c r="B9334" s="110" t="s">
        <v>1350</v>
      </c>
      <c r="C9334" s="111" t="s">
        <v>19722</v>
      </c>
      <c r="D9334" s="111" t="str">
        <f t="shared" ref="D9334:E9334" si="9332">TRIM(B9334)</f>
        <v>Nebraska</v>
      </c>
      <c r="E9334" s="111" t="str">
        <f t="shared" si="9332"/>
        <v>Roseland</v>
      </c>
    </row>
    <row r="9335" spans="1:5">
      <c r="A9335" s="3" t="s">
        <v>19723</v>
      </c>
      <c r="B9335" s="110" t="s">
        <v>1350</v>
      </c>
      <c r="C9335" s="111" t="s">
        <v>19724</v>
      </c>
      <c r="D9335" s="111" t="str">
        <f t="shared" ref="D9335:E9335" si="9333">TRIM(B9335)</f>
        <v>Nebraska</v>
      </c>
      <c r="E9335" s="111" t="str">
        <f t="shared" si="9333"/>
        <v>Sargent</v>
      </c>
    </row>
    <row r="9336" spans="1:5">
      <c r="A9336" s="3" t="s">
        <v>19725</v>
      </c>
      <c r="B9336" s="110" t="s">
        <v>1350</v>
      </c>
      <c r="C9336" s="111" t="s">
        <v>19726</v>
      </c>
      <c r="D9336" s="111" t="str">
        <f t="shared" ref="D9336:E9336" si="9334">TRIM(B9336)</f>
        <v>Nebraska</v>
      </c>
      <c r="E9336" s="111" t="str">
        <f t="shared" si="9334"/>
        <v>Schuyler</v>
      </c>
    </row>
    <row r="9337" spans="1:5">
      <c r="A9337" s="3" t="s">
        <v>19727</v>
      </c>
      <c r="B9337" s="110" t="s">
        <v>1350</v>
      </c>
      <c r="C9337" s="111" t="s">
        <v>5992</v>
      </c>
      <c r="D9337" s="111" t="str">
        <f t="shared" ref="D9337:E9337" si="9335">TRIM(B9337)</f>
        <v>Nebraska</v>
      </c>
      <c r="E9337" s="111" t="str">
        <f t="shared" si="9335"/>
        <v>Scottsbluff</v>
      </c>
    </row>
    <row r="9338" spans="1:5">
      <c r="A9338" s="110" t="s">
        <v>19728</v>
      </c>
      <c r="B9338" s="110" t="s">
        <v>1350</v>
      </c>
      <c r="C9338" s="111" t="s">
        <v>19729</v>
      </c>
      <c r="D9338" s="111" t="str">
        <f t="shared" ref="D9338:E9338" si="9336">TRIM(B9338)</f>
        <v>Nebraska</v>
      </c>
      <c r="E9338" s="111" t="str">
        <f t="shared" si="9336"/>
        <v>Scribner</v>
      </c>
    </row>
    <row r="9339" spans="1:5">
      <c r="A9339" s="3" t="s">
        <v>2410</v>
      </c>
      <c r="B9339" s="110" t="s">
        <v>1350</v>
      </c>
      <c r="C9339" s="111" t="s">
        <v>2411</v>
      </c>
      <c r="D9339" s="111" t="str">
        <f t="shared" ref="D9339:E9339" si="9337">TRIM(B9339)</f>
        <v>Nebraska</v>
      </c>
      <c r="E9339" s="111" t="str">
        <f t="shared" si="9337"/>
        <v>Seward</v>
      </c>
    </row>
    <row r="9340" spans="1:5">
      <c r="A9340" s="3" t="s">
        <v>19730</v>
      </c>
      <c r="B9340" s="110" t="s">
        <v>1350</v>
      </c>
      <c r="C9340" s="111" t="s">
        <v>6109</v>
      </c>
      <c r="D9340" s="111" t="str">
        <f t="shared" ref="D9340:E9340" si="9338">TRIM(B9340)</f>
        <v>Nebraska</v>
      </c>
      <c r="E9340" s="111" t="str">
        <f t="shared" si="9338"/>
        <v>Shelby</v>
      </c>
    </row>
    <row r="9341" spans="1:5">
      <c r="A9341" s="3" t="s">
        <v>8664</v>
      </c>
      <c r="B9341" s="110" t="s">
        <v>1350</v>
      </c>
      <c r="C9341" s="111" t="s">
        <v>8665</v>
      </c>
      <c r="D9341" s="111" t="str">
        <f t="shared" ref="D9341:E9341" si="9339">TRIM(B9341)</f>
        <v>Nebraska</v>
      </c>
      <c r="E9341" s="111" t="str">
        <f t="shared" si="9339"/>
        <v>Shelton</v>
      </c>
    </row>
    <row r="9342" spans="1:5">
      <c r="A9342" s="3" t="s">
        <v>19731</v>
      </c>
      <c r="B9342" s="110" t="s">
        <v>1350</v>
      </c>
      <c r="C9342" s="111" t="s">
        <v>19732</v>
      </c>
      <c r="D9342" s="111" t="str">
        <f t="shared" ref="D9342:E9342" si="9340">TRIM(B9342)</f>
        <v>Nebraska</v>
      </c>
      <c r="E9342" s="111" t="str">
        <f t="shared" si="9340"/>
        <v>Shickley</v>
      </c>
    </row>
    <row r="9343" spans="1:5">
      <c r="A9343" s="3" t="s">
        <v>15050</v>
      </c>
      <c r="B9343" s="110" t="s">
        <v>1350</v>
      </c>
      <c r="C9343" s="111" t="s">
        <v>15051</v>
      </c>
      <c r="D9343" s="111" t="str">
        <f t="shared" ref="D9343:E9343" si="9341">TRIM(B9343)</f>
        <v>Nebraska</v>
      </c>
      <c r="E9343" s="111" t="str">
        <f t="shared" si="9341"/>
        <v>Sidney</v>
      </c>
    </row>
    <row r="9344" spans="1:5">
      <c r="A9344" s="3" t="s">
        <v>19733</v>
      </c>
      <c r="B9344" s="110" t="s">
        <v>1350</v>
      </c>
      <c r="C9344" s="111" t="s">
        <v>19734</v>
      </c>
      <c r="D9344" s="111" t="str">
        <f t="shared" ref="D9344:E9344" si="9342">TRIM(B9344)</f>
        <v>Nebraska</v>
      </c>
      <c r="E9344" s="111" t="str">
        <f t="shared" si="9342"/>
        <v>So Sioux City</v>
      </c>
    </row>
    <row r="9345" spans="1:5">
      <c r="A9345" s="3" t="s">
        <v>19735</v>
      </c>
      <c r="B9345" s="110" t="s">
        <v>1350</v>
      </c>
      <c r="C9345" s="111" t="s">
        <v>14606</v>
      </c>
      <c r="D9345" s="111" t="str">
        <f t="shared" ref="D9345:E9345" si="9343">TRIM(B9345)</f>
        <v>Nebraska</v>
      </c>
      <c r="E9345" s="111" t="str">
        <f t="shared" si="9343"/>
        <v>Spencer</v>
      </c>
    </row>
    <row r="9346" spans="1:5">
      <c r="A9346" s="3" t="s">
        <v>19736</v>
      </c>
      <c r="B9346" s="110" t="s">
        <v>1350</v>
      </c>
      <c r="C9346" s="111" t="s">
        <v>416</v>
      </c>
      <c r="D9346" s="111" t="str">
        <f t="shared" ref="D9346:E9346" si="9344">TRIM(B9346)</f>
        <v>Nebraska</v>
      </c>
      <c r="E9346" s="111" t="str">
        <f t="shared" si="9344"/>
        <v>Springfield</v>
      </c>
    </row>
    <row r="9347" spans="1:5">
      <c r="A9347" s="3" t="s">
        <v>19737</v>
      </c>
      <c r="B9347" s="110" t="s">
        <v>1350</v>
      </c>
      <c r="C9347" s="111" t="s">
        <v>19738</v>
      </c>
      <c r="D9347" s="111" t="str">
        <f t="shared" ref="D9347:E9347" si="9345">TRIM(B9347)</f>
        <v>Nebraska</v>
      </c>
      <c r="E9347" s="111" t="str">
        <f t="shared" si="9345"/>
        <v>Springview</v>
      </c>
    </row>
    <row r="9348" spans="1:5">
      <c r="A9348" s="3" t="s">
        <v>12835</v>
      </c>
      <c r="B9348" s="110" t="s">
        <v>1350</v>
      </c>
      <c r="C9348" s="111" t="s">
        <v>19739</v>
      </c>
      <c r="D9348" s="111" t="str">
        <f t="shared" ref="D9348:E9348" si="9346">TRIM(B9348)</f>
        <v>Nebraska</v>
      </c>
      <c r="E9348" s="111" t="str">
        <f t="shared" si="9346"/>
        <v>St Edward</v>
      </c>
    </row>
    <row r="9349" spans="1:5">
      <c r="A9349" s="3" t="s">
        <v>19740</v>
      </c>
      <c r="B9349" s="110" t="s">
        <v>1350</v>
      </c>
      <c r="C9349" s="111" t="s">
        <v>4215</v>
      </c>
      <c r="D9349" s="111" t="str">
        <f t="shared" ref="D9349:E9349" si="9347">TRIM(B9349)</f>
        <v>Nebraska</v>
      </c>
      <c r="E9349" s="111" t="str">
        <f t="shared" si="9347"/>
        <v>St Paul</v>
      </c>
    </row>
    <row r="9350" spans="1:5">
      <c r="A9350" s="3" t="s">
        <v>15065</v>
      </c>
      <c r="B9350" s="110" t="s">
        <v>1350</v>
      </c>
      <c r="C9350" s="111" t="s">
        <v>15066</v>
      </c>
      <c r="D9350" s="111" t="str">
        <f t="shared" ref="D9350:E9350" si="9348">TRIM(B9350)</f>
        <v>Nebraska</v>
      </c>
      <c r="E9350" s="111" t="str">
        <f t="shared" si="9348"/>
        <v>Stanton</v>
      </c>
    </row>
    <row r="9351" spans="1:5">
      <c r="A9351" s="3" t="s">
        <v>19741</v>
      </c>
      <c r="B9351" s="110" t="s">
        <v>1350</v>
      </c>
      <c r="C9351" s="111" t="s">
        <v>19742</v>
      </c>
      <c r="D9351" s="111" t="str">
        <f t="shared" ref="D9351:E9351" si="9349">TRIM(B9351)</f>
        <v>Nebraska</v>
      </c>
      <c r="E9351" s="111" t="str">
        <f t="shared" si="9349"/>
        <v>Stapleton</v>
      </c>
    </row>
    <row r="9352" spans="1:5">
      <c r="A9352" s="3" t="s">
        <v>8247</v>
      </c>
      <c r="B9352" s="110" t="s">
        <v>1350</v>
      </c>
      <c r="C9352" s="111" t="s">
        <v>5504</v>
      </c>
      <c r="D9352" s="111" t="str">
        <f t="shared" ref="D9352:E9352" si="9350">TRIM(B9352)</f>
        <v>Nebraska</v>
      </c>
      <c r="E9352" s="111" t="str">
        <f t="shared" si="9350"/>
        <v>Sterling</v>
      </c>
    </row>
    <row r="9353" spans="1:5">
      <c r="A9353" s="3" t="s">
        <v>19743</v>
      </c>
      <c r="B9353" s="110" t="s">
        <v>1350</v>
      </c>
      <c r="C9353" s="111" t="s">
        <v>19744</v>
      </c>
      <c r="D9353" s="111" t="str">
        <f t="shared" ref="D9353:E9353" si="9351">TRIM(B9353)</f>
        <v>Nebraska</v>
      </c>
      <c r="E9353" s="111" t="str">
        <f t="shared" si="9351"/>
        <v>Stromsburg</v>
      </c>
    </row>
    <row r="9354" spans="1:5">
      <c r="A9354" s="3" t="s">
        <v>19745</v>
      </c>
      <c r="B9354" s="110" t="s">
        <v>1350</v>
      </c>
      <c r="C9354" s="111" t="s">
        <v>10120</v>
      </c>
      <c r="D9354" s="111" t="str">
        <f t="shared" ref="D9354:E9354" si="9352">TRIM(B9354)</f>
        <v>Nebraska</v>
      </c>
      <c r="E9354" s="111" t="str">
        <f t="shared" si="9352"/>
        <v>Stuart</v>
      </c>
    </row>
    <row r="9355" spans="1:5">
      <c r="A9355" s="3" t="s">
        <v>19746</v>
      </c>
      <c r="B9355" s="110" t="s">
        <v>1350</v>
      </c>
      <c r="C9355" s="111" t="s">
        <v>6618</v>
      </c>
      <c r="D9355" s="111" t="str">
        <f t="shared" ref="D9355:E9355" si="9353">TRIM(B9355)</f>
        <v>Nebraska</v>
      </c>
      <c r="E9355" s="111" t="str">
        <f t="shared" si="9353"/>
        <v>Sumner</v>
      </c>
    </row>
    <row r="9356" spans="1:5">
      <c r="A9356" s="3" t="s">
        <v>19747</v>
      </c>
      <c r="B9356" s="110" t="s">
        <v>1350</v>
      </c>
      <c r="C9356" s="111" t="s">
        <v>3286</v>
      </c>
      <c r="D9356" s="111" t="str">
        <f t="shared" ref="D9356:E9356" si="9354">TRIM(B9356)</f>
        <v>Nebraska</v>
      </c>
      <c r="E9356" s="111" t="str">
        <f t="shared" si="9354"/>
        <v>Superior</v>
      </c>
    </row>
    <row r="9357" spans="1:5">
      <c r="A9357" s="3" t="s">
        <v>19748</v>
      </c>
      <c r="B9357" s="110" t="s">
        <v>1350</v>
      </c>
      <c r="C9357" s="111" t="s">
        <v>19749</v>
      </c>
      <c r="D9357" s="111" t="str">
        <f t="shared" ref="D9357:E9357" si="9355">TRIM(B9357)</f>
        <v>Nebraska</v>
      </c>
      <c r="E9357" s="111" t="str">
        <f t="shared" si="9355"/>
        <v>Sutherland</v>
      </c>
    </row>
    <row r="9358" spans="1:5">
      <c r="A9358" s="110" t="s">
        <v>19750</v>
      </c>
      <c r="B9358" s="110" t="s">
        <v>1350</v>
      </c>
      <c r="C9358" s="111" t="s">
        <v>3097</v>
      </c>
      <c r="D9358" s="111" t="str">
        <f t="shared" ref="D9358:E9358" si="9356">TRIM(B9358)</f>
        <v>Nebraska</v>
      </c>
      <c r="E9358" s="111" t="str">
        <f t="shared" si="9356"/>
        <v>Sutton</v>
      </c>
    </row>
    <row r="9359" spans="1:5">
      <c r="A9359" s="3" t="s">
        <v>19751</v>
      </c>
      <c r="B9359" s="110" t="s">
        <v>1350</v>
      </c>
      <c r="C9359" s="111" t="s">
        <v>12293</v>
      </c>
      <c r="D9359" s="111" t="str">
        <f t="shared" ref="D9359:E9359" si="9357">TRIM(B9359)</f>
        <v>Nebraska</v>
      </c>
      <c r="E9359" s="111" t="str">
        <f t="shared" si="9357"/>
        <v>Syracuse</v>
      </c>
    </row>
    <row r="9360" spans="1:5">
      <c r="A9360" s="3" t="s">
        <v>19752</v>
      </c>
      <c r="B9360" s="110" t="s">
        <v>1350</v>
      </c>
      <c r="C9360" s="111" t="s">
        <v>3301</v>
      </c>
      <c r="D9360" s="111" t="str">
        <f t="shared" ref="D9360:E9360" si="9358">TRIM(B9360)</f>
        <v>Nebraska</v>
      </c>
      <c r="E9360" s="111" t="str">
        <f t="shared" si="9358"/>
        <v>Taylor</v>
      </c>
    </row>
    <row r="9361" spans="1:5">
      <c r="A9361" s="3" t="s">
        <v>19753</v>
      </c>
      <c r="B9361" s="110" t="s">
        <v>1350</v>
      </c>
      <c r="C9361" s="111" t="s">
        <v>15541</v>
      </c>
      <c r="D9361" s="111" t="str">
        <f t="shared" ref="D9361:E9361" si="9359">TRIM(B9361)</f>
        <v>Nebraska</v>
      </c>
      <c r="E9361" s="111" t="str">
        <f t="shared" si="9359"/>
        <v>Tecumseh</v>
      </c>
    </row>
    <row r="9362" spans="1:5">
      <c r="A9362" s="3" t="s">
        <v>19754</v>
      </c>
      <c r="B9362" s="110" t="s">
        <v>1350</v>
      </c>
      <c r="C9362" s="111" t="s">
        <v>19755</v>
      </c>
      <c r="D9362" s="111" t="str">
        <f t="shared" ref="D9362:E9362" si="9360">TRIM(B9362)</f>
        <v>Nebraska</v>
      </c>
      <c r="E9362" s="111" t="str">
        <f t="shared" si="9360"/>
        <v>Tekamah</v>
      </c>
    </row>
    <row r="9363" spans="1:5">
      <c r="A9363" s="3" t="s">
        <v>19756</v>
      </c>
      <c r="B9363" s="110" t="s">
        <v>1350</v>
      </c>
      <c r="C9363" s="111" t="s">
        <v>19757</v>
      </c>
      <c r="D9363" s="111" t="str">
        <f t="shared" ref="D9363:E9363" si="9361">TRIM(B9363)</f>
        <v>Nebraska</v>
      </c>
      <c r="E9363" s="111" t="str">
        <f t="shared" si="9361"/>
        <v>Thedford</v>
      </c>
    </row>
    <row r="9364" spans="1:5">
      <c r="A9364" s="3" t="s">
        <v>19758</v>
      </c>
      <c r="B9364" s="110" t="s">
        <v>1350</v>
      </c>
      <c r="C9364" s="111" t="s">
        <v>19759</v>
      </c>
      <c r="D9364" s="111" t="str">
        <f t="shared" ref="D9364:E9364" si="9362">TRIM(B9364)</f>
        <v>Nebraska</v>
      </c>
      <c r="E9364" s="111" t="str">
        <f t="shared" si="9362"/>
        <v>Tilden</v>
      </c>
    </row>
    <row r="9365" spans="1:5">
      <c r="A9365" s="3" t="s">
        <v>19760</v>
      </c>
      <c r="B9365" s="110" t="s">
        <v>1350</v>
      </c>
      <c r="C9365" s="111" t="s">
        <v>10194</v>
      </c>
      <c r="D9365" s="111" t="str">
        <f t="shared" ref="D9365:E9365" si="9363">TRIM(B9365)</f>
        <v>Nebraska</v>
      </c>
      <c r="E9365" s="111" t="str">
        <f t="shared" si="9363"/>
        <v>Trenton</v>
      </c>
    </row>
    <row r="9366" spans="1:5">
      <c r="A9366" s="110" t="s">
        <v>19761</v>
      </c>
      <c r="B9366" s="110" t="s">
        <v>1350</v>
      </c>
      <c r="C9366" s="111" t="s">
        <v>19762</v>
      </c>
      <c r="D9366" s="111" t="str">
        <f t="shared" ref="D9366:E9366" si="9364">TRIM(B9366)</f>
        <v>Nebraska</v>
      </c>
      <c r="E9366" s="111" t="str">
        <f t="shared" si="9364"/>
        <v>Tryon</v>
      </c>
    </row>
    <row r="9367" spans="1:5">
      <c r="A9367" s="3" t="s">
        <v>19763</v>
      </c>
      <c r="B9367" s="110" t="s">
        <v>1350</v>
      </c>
      <c r="C9367" s="111" t="s">
        <v>313</v>
      </c>
      <c r="D9367" s="111" t="str">
        <f t="shared" ref="D9367:E9367" si="9365">TRIM(B9367)</f>
        <v>Nebraska</v>
      </c>
      <c r="E9367" s="111" t="str">
        <f t="shared" si="9365"/>
        <v>Utica</v>
      </c>
    </row>
    <row r="9368" spans="1:5">
      <c r="A9368" s="3" t="s">
        <v>19764</v>
      </c>
      <c r="B9368" s="110" t="s">
        <v>1350</v>
      </c>
      <c r="C9368" s="111" t="s">
        <v>19765</v>
      </c>
      <c r="D9368" s="111" t="str">
        <f t="shared" ref="D9368:E9368" si="9366">TRIM(B9368)</f>
        <v>Nebraska</v>
      </c>
      <c r="E9368" s="111" t="str">
        <f t="shared" si="9366"/>
        <v>Valentine</v>
      </c>
    </row>
    <row r="9369" spans="1:5">
      <c r="A9369" s="3" t="s">
        <v>19766</v>
      </c>
      <c r="B9369" s="110" t="s">
        <v>1350</v>
      </c>
      <c r="C9369" s="111" t="s">
        <v>2253</v>
      </c>
      <c r="D9369" s="111" t="str">
        <f t="shared" ref="D9369:E9369" si="9367">TRIM(B9369)</f>
        <v>Nebraska</v>
      </c>
      <c r="E9369" s="111" t="str">
        <f t="shared" si="9367"/>
        <v>Valley</v>
      </c>
    </row>
    <row r="9370" spans="1:5">
      <c r="A9370" s="3" t="s">
        <v>19767</v>
      </c>
      <c r="B9370" s="110" t="s">
        <v>1350</v>
      </c>
      <c r="C9370" s="111" t="s">
        <v>19768</v>
      </c>
      <c r="D9370" s="111" t="str">
        <f t="shared" ref="D9370:E9370" si="9368">TRIM(B9370)</f>
        <v>Nebraska</v>
      </c>
      <c r="E9370" s="111" t="str">
        <f t="shared" si="9368"/>
        <v>Verdigre</v>
      </c>
    </row>
    <row r="9371" spans="1:5">
      <c r="A9371" s="3" t="s">
        <v>19769</v>
      </c>
      <c r="B9371" s="110" t="s">
        <v>1350</v>
      </c>
      <c r="C9371" s="111" t="s">
        <v>6557</v>
      </c>
      <c r="D9371" s="111" t="str">
        <f t="shared" ref="D9371:E9371" si="9369">TRIM(B9371)</f>
        <v>Nebraska</v>
      </c>
      <c r="E9371" s="111" t="str">
        <f t="shared" si="9369"/>
        <v>Wahoo</v>
      </c>
    </row>
    <row r="9372" spans="1:5">
      <c r="A9372" s="3" t="s">
        <v>15571</v>
      </c>
      <c r="B9372" s="110" t="s">
        <v>1350</v>
      </c>
      <c r="C9372" s="111" t="s">
        <v>14096</v>
      </c>
      <c r="D9372" s="111" t="str">
        <f t="shared" ref="D9372:E9372" si="9370">TRIM(B9372)</f>
        <v>Nebraska</v>
      </c>
      <c r="E9372" s="111" t="str">
        <f t="shared" si="9370"/>
        <v>Wakefield</v>
      </c>
    </row>
    <row r="9373" spans="1:5">
      <c r="A9373" s="3" t="s">
        <v>19770</v>
      </c>
      <c r="B9373" s="110" t="s">
        <v>1350</v>
      </c>
      <c r="C9373" s="111" t="s">
        <v>11930</v>
      </c>
      <c r="D9373" s="111" t="str">
        <f t="shared" ref="D9373:E9373" si="9371">TRIM(B9373)</f>
        <v>Nebraska</v>
      </c>
      <c r="E9373" s="111" t="str">
        <f t="shared" si="9371"/>
        <v>Wallace</v>
      </c>
    </row>
    <row r="9374" spans="1:5">
      <c r="A9374" s="3" t="s">
        <v>19771</v>
      </c>
      <c r="B9374" s="110" t="s">
        <v>1350</v>
      </c>
      <c r="C9374" s="111" t="s">
        <v>19772</v>
      </c>
      <c r="D9374" s="111" t="str">
        <f t="shared" ref="D9374:E9374" si="9372">TRIM(B9374)</f>
        <v>Nebraska</v>
      </c>
      <c r="E9374" s="111" t="str">
        <f t="shared" si="9372"/>
        <v>Walthill</v>
      </c>
    </row>
    <row r="9375" spans="1:5">
      <c r="A9375" s="3" t="s">
        <v>19773</v>
      </c>
      <c r="B9375" s="110" t="s">
        <v>1350</v>
      </c>
      <c r="C9375" s="111" t="s">
        <v>19774</v>
      </c>
      <c r="D9375" s="111" t="str">
        <f t="shared" ref="D9375:E9375" si="9373">TRIM(B9375)</f>
        <v>Nebraska</v>
      </c>
      <c r="E9375" s="111" t="str">
        <f t="shared" si="9373"/>
        <v>Wauneta</v>
      </c>
    </row>
    <row r="9376" spans="1:5">
      <c r="A9376" s="3" t="s">
        <v>19775</v>
      </c>
      <c r="B9376" s="110" t="s">
        <v>1350</v>
      </c>
      <c r="C9376" s="111" t="s">
        <v>19776</v>
      </c>
      <c r="D9376" s="111" t="str">
        <f t="shared" ref="D9376:E9376" si="9374">TRIM(B9376)</f>
        <v>Nebraska</v>
      </c>
      <c r="E9376" s="111" t="str">
        <f t="shared" si="9374"/>
        <v>Wausa</v>
      </c>
    </row>
    <row r="9377" spans="1:5">
      <c r="A9377" s="3" t="s">
        <v>15575</v>
      </c>
      <c r="B9377" s="110" t="s">
        <v>1350</v>
      </c>
      <c r="C9377" s="111" t="s">
        <v>517</v>
      </c>
      <c r="D9377" s="111" t="str">
        <f t="shared" ref="D9377:E9377" si="9375">TRIM(B9377)</f>
        <v>Nebraska</v>
      </c>
      <c r="E9377" s="111" t="str">
        <f t="shared" si="9375"/>
        <v>Waverly</v>
      </c>
    </row>
    <row r="9378" spans="1:5">
      <c r="A9378" s="3" t="s">
        <v>14335</v>
      </c>
      <c r="B9378" s="110" t="s">
        <v>1350</v>
      </c>
      <c r="C9378" s="111" t="s">
        <v>413</v>
      </c>
      <c r="D9378" s="111" t="str">
        <f t="shared" ref="D9378:E9378" si="9376">TRIM(B9378)</f>
        <v>Nebraska</v>
      </c>
      <c r="E9378" s="111" t="str">
        <f t="shared" si="9376"/>
        <v>Wayne</v>
      </c>
    </row>
    <row r="9379" spans="1:5">
      <c r="A9379" s="3" t="s">
        <v>19777</v>
      </c>
      <c r="B9379" s="110" t="s">
        <v>1350</v>
      </c>
      <c r="C9379" s="111" t="s">
        <v>19778</v>
      </c>
      <c r="D9379" s="111" t="str">
        <f t="shared" ref="D9379:E9379" si="9377">TRIM(B9379)</f>
        <v>Nebraska</v>
      </c>
      <c r="E9379" s="111" t="str">
        <f t="shared" si="9377"/>
        <v>Weeping Water</v>
      </c>
    </row>
    <row r="9380" spans="1:5">
      <c r="A9380" s="3" t="s">
        <v>19779</v>
      </c>
      <c r="B9380" s="110" t="s">
        <v>1350</v>
      </c>
      <c r="C9380" s="111" t="s">
        <v>11723</v>
      </c>
      <c r="D9380" s="111" t="str">
        <f t="shared" ref="D9380:E9380" si="9378">TRIM(B9380)</f>
        <v>Nebraska</v>
      </c>
      <c r="E9380" s="111" t="str">
        <f t="shared" si="9378"/>
        <v>West Point</v>
      </c>
    </row>
    <row r="9381" spans="1:5">
      <c r="A9381" s="3" t="s">
        <v>19780</v>
      </c>
      <c r="B9381" s="110" t="s">
        <v>1350</v>
      </c>
      <c r="C9381" s="111" t="s">
        <v>19781</v>
      </c>
      <c r="D9381" s="111" t="str">
        <f t="shared" ref="D9381:E9381" si="9379">TRIM(B9381)</f>
        <v>Nebraska</v>
      </c>
      <c r="E9381" s="111" t="str">
        <f t="shared" si="9379"/>
        <v>Wilber</v>
      </c>
    </row>
    <row r="9382" spans="1:5">
      <c r="A9382" s="3" t="s">
        <v>19782</v>
      </c>
      <c r="B9382" s="110" t="s">
        <v>1350</v>
      </c>
      <c r="C9382" s="111" t="s">
        <v>19783</v>
      </c>
      <c r="D9382" s="111" t="str">
        <f t="shared" ref="D9382:E9382" si="9380">TRIM(B9382)</f>
        <v>Nebraska</v>
      </c>
      <c r="E9382" s="111" t="str">
        <f t="shared" si="9380"/>
        <v>Wilcox</v>
      </c>
    </row>
    <row r="9383" spans="1:5">
      <c r="A9383" s="3" t="s">
        <v>14049</v>
      </c>
      <c r="B9383" s="110" t="s">
        <v>1350</v>
      </c>
      <c r="C9383" s="111" t="s">
        <v>14050</v>
      </c>
      <c r="D9383" s="111" t="str">
        <f t="shared" ref="D9383:E9383" si="9381">TRIM(B9383)</f>
        <v>Nebraska</v>
      </c>
      <c r="E9383" s="111" t="str">
        <f t="shared" si="9381"/>
        <v>Winnebago</v>
      </c>
    </row>
    <row r="9384" spans="1:5">
      <c r="A9384" s="3" t="s">
        <v>19784</v>
      </c>
      <c r="B9384" s="110" t="s">
        <v>1350</v>
      </c>
      <c r="C9384" s="111" t="s">
        <v>19785</v>
      </c>
      <c r="D9384" s="111" t="str">
        <f t="shared" ref="D9384:E9384" si="9382">TRIM(B9384)</f>
        <v>Nebraska</v>
      </c>
      <c r="E9384" s="111" t="str">
        <f t="shared" si="9382"/>
        <v>Winside</v>
      </c>
    </row>
    <row r="9385" spans="1:5">
      <c r="A9385" s="3" t="s">
        <v>19786</v>
      </c>
      <c r="B9385" s="110" t="s">
        <v>1350</v>
      </c>
      <c r="C9385" s="111" t="s">
        <v>19787</v>
      </c>
      <c r="D9385" s="111" t="str">
        <f t="shared" ref="D9385:E9385" si="9383">TRIM(B9385)</f>
        <v>Nebraska</v>
      </c>
      <c r="E9385" s="111" t="str">
        <f t="shared" si="9383"/>
        <v>Wisner</v>
      </c>
    </row>
    <row r="9386" spans="1:5">
      <c r="A9386" s="3" t="s">
        <v>19788</v>
      </c>
      <c r="B9386" s="110" t="s">
        <v>1350</v>
      </c>
      <c r="C9386" s="111" t="s">
        <v>14059</v>
      </c>
      <c r="D9386" s="111" t="str">
        <f t="shared" ref="D9386:E9386" si="9384">TRIM(B9386)</f>
        <v>Nebraska</v>
      </c>
      <c r="E9386" s="111" t="str">
        <f t="shared" si="9384"/>
        <v>Wood River</v>
      </c>
    </row>
    <row r="9387" spans="1:5">
      <c r="A9387" s="3" t="s">
        <v>15757</v>
      </c>
      <c r="B9387" s="110" t="s">
        <v>1350</v>
      </c>
      <c r="C9387" s="111" t="s">
        <v>19789</v>
      </c>
      <c r="D9387" s="111" t="str">
        <f t="shared" ref="D9387:E9387" si="9385">TRIM(B9387)</f>
        <v>Nebraska</v>
      </c>
      <c r="E9387" s="111" t="str">
        <f t="shared" si="9385"/>
        <v>Wymore</v>
      </c>
    </row>
    <row r="9388" spans="1:5">
      <c r="A9388" s="3" t="s">
        <v>19790</v>
      </c>
      <c r="B9388" s="110" t="s">
        <v>1350</v>
      </c>
      <c r="C9388" s="111" t="s">
        <v>19791</v>
      </c>
      <c r="D9388" s="111" t="str">
        <f t="shared" ref="D9388:E9388" si="9386">TRIM(B9388)</f>
        <v>Nebraska</v>
      </c>
      <c r="E9388" s="111" t="str">
        <f t="shared" si="9386"/>
        <v>Wynot</v>
      </c>
    </row>
    <row r="9389" spans="1:5">
      <c r="A9389" s="3" t="s">
        <v>16319</v>
      </c>
      <c r="B9389" s="110" t="s">
        <v>1350</v>
      </c>
      <c r="C9389" s="111" t="s">
        <v>567</v>
      </c>
      <c r="D9389" s="111" t="str">
        <f t="shared" ref="D9389:E9389" si="9387">TRIM(B9389)</f>
        <v>Nebraska</v>
      </c>
      <c r="E9389" s="111" t="str">
        <f t="shared" si="9387"/>
        <v>York</v>
      </c>
    </row>
    <row r="9390" spans="1:5">
      <c r="A9390" s="3" t="s">
        <v>19792</v>
      </c>
      <c r="B9390" s="110" t="s">
        <v>1350</v>
      </c>
      <c r="C9390" s="111" t="s">
        <v>5861</v>
      </c>
      <c r="D9390" s="111" t="str">
        <f t="shared" ref="D9390:E9390" si="9388">TRIM(B9390)</f>
        <v>Nebraska</v>
      </c>
      <c r="E9390" s="111" t="str">
        <f t="shared" si="9388"/>
        <v>Yutan</v>
      </c>
    </row>
    <row r="9391" spans="1:5">
      <c r="A9391" s="3" t="s">
        <v>19793</v>
      </c>
      <c r="B9391" s="110" t="s">
        <v>1352</v>
      </c>
      <c r="C9391" s="111" t="s">
        <v>10294</v>
      </c>
      <c r="D9391" s="111" t="str">
        <f t="shared" ref="D9391:E9391" si="9389">TRIM(B9391)</f>
        <v>Nevada</v>
      </c>
      <c r="E9391" s="111" t="str">
        <f t="shared" si="9389"/>
        <v>Alamo</v>
      </c>
    </row>
    <row r="9392" spans="1:5">
      <c r="A9392" s="3" t="s">
        <v>7872</v>
      </c>
      <c r="B9392" s="110" t="s">
        <v>1352</v>
      </c>
      <c r="C9392" s="111" t="s">
        <v>19794</v>
      </c>
      <c r="D9392" s="111" t="str">
        <f t="shared" ref="D9392:E9392" si="9390">TRIM(B9392)</f>
        <v>Nevada</v>
      </c>
      <c r="E9392" s="111" t="str">
        <f t="shared" si="9390"/>
        <v>Battle Mountain</v>
      </c>
    </row>
    <row r="9393" spans="1:5">
      <c r="A9393" s="3" t="s">
        <v>19795</v>
      </c>
      <c r="B9393" s="110" t="s">
        <v>1352</v>
      </c>
      <c r="C9393" s="111" t="s">
        <v>19796</v>
      </c>
      <c r="D9393" s="111" t="str">
        <f t="shared" ref="D9393:E9393" si="9391">TRIM(B9393)</f>
        <v>Nevada</v>
      </c>
      <c r="E9393" s="111" t="str">
        <f t="shared" si="9391"/>
        <v>Beatty</v>
      </c>
    </row>
    <row r="9394" spans="1:5">
      <c r="A9394" s="3" t="s">
        <v>19797</v>
      </c>
      <c r="B9394" s="110" t="s">
        <v>1352</v>
      </c>
      <c r="C9394" s="111" t="s">
        <v>19798</v>
      </c>
      <c r="D9394" s="111" t="str">
        <f t="shared" ref="D9394:E9394" si="9392">TRIM(B9394)</f>
        <v>Nevada</v>
      </c>
      <c r="E9394" s="111" t="str">
        <f t="shared" si="9392"/>
        <v>Boulder City</v>
      </c>
    </row>
    <row r="9395" spans="1:5">
      <c r="A9395" s="3" t="s">
        <v>19799</v>
      </c>
      <c r="B9395" s="110" t="s">
        <v>1352</v>
      </c>
      <c r="C9395" s="111" t="s">
        <v>19800</v>
      </c>
      <c r="D9395" s="111" t="str">
        <f t="shared" ref="D9395:E9395" si="9393">TRIM(B9395)</f>
        <v>Nevada</v>
      </c>
      <c r="E9395" s="111" t="str">
        <f t="shared" si="9393"/>
        <v>Carlin</v>
      </c>
    </row>
    <row r="9396" spans="1:5">
      <c r="A9396" s="3" t="s">
        <v>19801</v>
      </c>
      <c r="B9396" s="110" t="s">
        <v>1352</v>
      </c>
      <c r="C9396" s="111" t="s">
        <v>11446</v>
      </c>
      <c r="D9396" s="111" t="str">
        <f t="shared" ref="D9396:E9396" si="9394">TRIM(B9396)</f>
        <v>Nevada</v>
      </c>
      <c r="E9396" s="111" t="str">
        <f t="shared" si="9394"/>
        <v>Carson City</v>
      </c>
    </row>
    <row r="9397" spans="1:5">
      <c r="A9397" s="3" t="s">
        <v>15664</v>
      </c>
      <c r="B9397" s="110" t="s">
        <v>1352</v>
      </c>
      <c r="C9397" s="111" t="s">
        <v>568</v>
      </c>
      <c r="D9397" s="111" t="str">
        <f t="shared" ref="D9397:E9397" si="9395">TRIM(B9397)</f>
        <v>Nevada</v>
      </c>
      <c r="E9397" s="111" t="str">
        <f t="shared" si="9395"/>
        <v>Dayton</v>
      </c>
    </row>
    <row r="9398" spans="1:5">
      <c r="A9398" s="3" t="s">
        <v>19802</v>
      </c>
      <c r="B9398" s="110" t="s">
        <v>1352</v>
      </c>
      <c r="C9398" s="111" t="s">
        <v>19803</v>
      </c>
      <c r="D9398" s="111" t="str">
        <f t="shared" ref="D9398:E9398" si="9396">TRIM(B9398)</f>
        <v>Nevada</v>
      </c>
      <c r="E9398" s="111" t="str">
        <f t="shared" si="9396"/>
        <v>Elko</v>
      </c>
    </row>
    <row r="9399" spans="1:5">
      <c r="A9399" s="3" t="s">
        <v>19804</v>
      </c>
      <c r="B9399" s="110" t="s">
        <v>1352</v>
      </c>
      <c r="C9399" s="111" t="s">
        <v>17871</v>
      </c>
      <c r="D9399" s="111" t="str">
        <f t="shared" ref="D9399:E9399" si="9397">TRIM(B9399)</f>
        <v>Nevada</v>
      </c>
      <c r="E9399" s="111" t="str">
        <f t="shared" si="9397"/>
        <v>Ely</v>
      </c>
    </row>
    <row r="9400" spans="1:5">
      <c r="A9400" s="3" t="s">
        <v>19805</v>
      </c>
      <c r="B9400" s="110" t="s">
        <v>1352</v>
      </c>
      <c r="C9400" s="111" t="s">
        <v>4989</v>
      </c>
      <c r="D9400" s="111" t="str">
        <f t="shared" ref="D9400:E9400" si="9398">TRIM(B9400)</f>
        <v>Nevada</v>
      </c>
      <c r="E9400" s="111" t="str">
        <f t="shared" si="9398"/>
        <v>Eureka</v>
      </c>
    </row>
    <row r="9401" spans="1:5">
      <c r="A9401" s="3" t="s">
        <v>19806</v>
      </c>
      <c r="B9401" s="110" t="s">
        <v>1352</v>
      </c>
      <c r="C9401" s="111" t="s">
        <v>19807</v>
      </c>
      <c r="D9401" s="111" t="str">
        <f t="shared" ref="D9401:E9401" si="9399">TRIM(B9401)</f>
        <v>Nevada</v>
      </c>
      <c r="E9401" s="111" t="str">
        <f t="shared" si="9399"/>
        <v>Fallon</v>
      </c>
    </row>
    <row r="9402" spans="1:5">
      <c r="A9402" s="3" t="s">
        <v>19808</v>
      </c>
      <c r="B9402" s="110" t="s">
        <v>1352</v>
      </c>
      <c r="C9402" s="111" t="s">
        <v>19809</v>
      </c>
      <c r="D9402" s="111" t="str">
        <f t="shared" ref="D9402:E9402" si="9400">TRIM(B9402)</f>
        <v>Nevada</v>
      </c>
      <c r="E9402" s="111" t="str">
        <f t="shared" si="9400"/>
        <v>Fernley</v>
      </c>
    </row>
    <row r="9403" spans="1:5">
      <c r="A9403" s="3" t="s">
        <v>19810</v>
      </c>
      <c r="B9403" s="110" t="s">
        <v>1352</v>
      </c>
      <c r="C9403" s="111" t="s">
        <v>19811</v>
      </c>
      <c r="D9403" s="111" t="str">
        <f t="shared" ref="D9403:E9403" si="9401">TRIM(B9403)</f>
        <v>Nevada</v>
      </c>
      <c r="E9403" s="111" t="str">
        <f t="shared" si="9401"/>
        <v>Gabbs</v>
      </c>
    </row>
    <row r="9404" spans="1:5">
      <c r="A9404" s="3" t="s">
        <v>19812</v>
      </c>
      <c r="B9404" s="110" t="s">
        <v>1352</v>
      </c>
      <c r="C9404" s="111" t="s">
        <v>510</v>
      </c>
      <c r="D9404" s="111" t="str">
        <f t="shared" ref="D9404:E9404" si="9402">TRIM(B9404)</f>
        <v>Nevada</v>
      </c>
      <c r="E9404" s="111" t="str">
        <f t="shared" si="9402"/>
        <v>Hawthorne</v>
      </c>
    </row>
    <row r="9405" spans="1:5">
      <c r="A9405" s="3" t="s">
        <v>19813</v>
      </c>
      <c r="B9405" s="110" t="s">
        <v>1352</v>
      </c>
      <c r="C9405" s="111" t="s">
        <v>7970</v>
      </c>
      <c r="D9405" s="111" t="str">
        <f t="shared" ref="D9405:E9405" si="9403">TRIM(B9405)</f>
        <v>Nevada</v>
      </c>
      <c r="E9405" s="111" t="str">
        <f t="shared" si="9403"/>
        <v>Henderson</v>
      </c>
    </row>
    <row r="9406" spans="1:5">
      <c r="A9406" s="3" t="s">
        <v>19814</v>
      </c>
      <c r="B9406" s="110" t="s">
        <v>1352</v>
      </c>
      <c r="C9406" s="111" t="s">
        <v>7970</v>
      </c>
      <c r="D9406" s="111" t="str">
        <f t="shared" ref="D9406:E9406" si="9404">TRIM(B9406)</f>
        <v>Nevada</v>
      </c>
      <c r="E9406" s="111" t="str">
        <f t="shared" si="9404"/>
        <v>Henderson</v>
      </c>
    </row>
    <row r="9407" spans="1:5">
      <c r="A9407" s="3" t="s">
        <v>19815</v>
      </c>
      <c r="B9407" s="110" t="s">
        <v>1352</v>
      </c>
      <c r="C9407" s="111" t="s">
        <v>7970</v>
      </c>
      <c r="D9407" s="111" t="str">
        <f t="shared" ref="D9407:E9407" si="9405">TRIM(B9407)</f>
        <v>Nevada</v>
      </c>
      <c r="E9407" s="111" t="str">
        <f t="shared" si="9405"/>
        <v>Henderson</v>
      </c>
    </row>
    <row r="9408" spans="1:5">
      <c r="A9408" s="3" t="s">
        <v>3225</v>
      </c>
      <c r="B9408" s="110" t="s">
        <v>1352</v>
      </c>
      <c r="C9408" s="111" t="s">
        <v>7970</v>
      </c>
      <c r="D9408" s="111" t="str">
        <f t="shared" ref="D9408:E9408" si="9406">TRIM(B9408)</f>
        <v>Nevada</v>
      </c>
      <c r="E9408" s="111" t="str">
        <f t="shared" si="9406"/>
        <v>Henderson</v>
      </c>
    </row>
    <row r="9409" spans="1:5">
      <c r="A9409" s="3" t="s">
        <v>4423</v>
      </c>
      <c r="B9409" s="110" t="s">
        <v>1352</v>
      </c>
      <c r="C9409" s="111" t="s">
        <v>7970</v>
      </c>
      <c r="D9409" s="111" t="str">
        <f t="shared" ref="D9409:E9409" si="9407">TRIM(B9409)</f>
        <v>Nevada</v>
      </c>
      <c r="E9409" s="111" t="str">
        <f t="shared" si="9407"/>
        <v>Henderson</v>
      </c>
    </row>
    <row r="9410" spans="1:5">
      <c r="A9410" s="3" t="s">
        <v>19816</v>
      </c>
      <c r="B9410" s="110" t="s">
        <v>1352</v>
      </c>
      <c r="C9410" s="111" t="s">
        <v>7970</v>
      </c>
      <c r="D9410" s="111" t="str">
        <f t="shared" ref="D9410:E9410" si="9408">TRIM(B9410)</f>
        <v>Nevada</v>
      </c>
      <c r="E9410" s="111" t="str">
        <f t="shared" si="9408"/>
        <v>Henderson</v>
      </c>
    </row>
    <row r="9411" spans="1:5">
      <c r="A9411" s="3" t="s">
        <v>2745</v>
      </c>
      <c r="B9411" s="110" t="s">
        <v>1352</v>
      </c>
      <c r="C9411" s="111" t="s">
        <v>7970</v>
      </c>
      <c r="D9411" s="111" t="str">
        <f t="shared" ref="D9411:E9411" si="9409">TRIM(B9411)</f>
        <v>Nevada</v>
      </c>
      <c r="E9411" s="111" t="str">
        <f t="shared" si="9409"/>
        <v>Henderson</v>
      </c>
    </row>
    <row r="9412" spans="1:5">
      <c r="A9412" s="3" t="s">
        <v>19817</v>
      </c>
      <c r="B9412" s="110" t="s">
        <v>1352</v>
      </c>
      <c r="C9412" s="111" t="s">
        <v>7970</v>
      </c>
      <c r="D9412" s="111" t="str">
        <f t="shared" ref="D9412:E9412" si="9410">TRIM(B9412)</f>
        <v>Nevada</v>
      </c>
      <c r="E9412" s="111" t="str">
        <f t="shared" si="9410"/>
        <v>Henderson</v>
      </c>
    </row>
    <row r="9413" spans="1:5">
      <c r="A9413" s="3" t="s">
        <v>19818</v>
      </c>
      <c r="B9413" s="110" t="s">
        <v>1352</v>
      </c>
      <c r="C9413" s="111" t="s">
        <v>19819</v>
      </c>
      <c r="D9413" s="111" t="str">
        <f t="shared" ref="D9413:E9413" si="9411">TRIM(B9413)</f>
        <v>Nevada</v>
      </c>
      <c r="E9413" s="111" t="str">
        <f t="shared" si="9411"/>
        <v>Incline Village</v>
      </c>
    </row>
    <row r="9414" spans="1:5">
      <c r="A9414" s="3" t="s">
        <v>6698</v>
      </c>
      <c r="B9414" s="110" t="s">
        <v>1352</v>
      </c>
      <c r="C9414" s="111" t="s">
        <v>8996</v>
      </c>
      <c r="D9414" s="111" t="str">
        <f t="shared" ref="D9414:E9414" si="9412">TRIM(B9414)</f>
        <v>Nevada</v>
      </c>
      <c r="E9414" s="111" t="str">
        <f t="shared" si="9412"/>
        <v>Indian Springs</v>
      </c>
    </row>
    <row r="9415" spans="1:5">
      <c r="A9415" s="3" t="s">
        <v>19820</v>
      </c>
      <c r="B9415" s="110" t="s">
        <v>1352</v>
      </c>
      <c r="C9415" s="111" t="s">
        <v>19821</v>
      </c>
      <c r="D9415" s="111" t="str">
        <f t="shared" ref="D9415:E9415" si="9413">TRIM(B9415)</f>
        <v>Nevada</v>
      </c>
      <c r="E9415" s="111" t="str">
        <f t="shared" si="9413"/>
        <v>Jackpot</v>
      </c>
    </row>
    <row r="9416" spans="1:5">
      <c r="A9416" s="3" t="s">
        <v>19822</v>
      </c>
      <c r="B9416" s="110" t="s">
        <v>1352</v>
      </c>
      <c r="C9416" s="111" t="s">
        <v>315</v>
      </c>
      <c r="D9416" s="111" t="str">
        <f t="shared" ref="D9416:E9416" si="9414">TRIM(B9416)</f>
        <v>Nevada</v>
      </c>
      <c r="E9416" s="111" t="str">
        <f t="shared" si="9414"/>
        <v>Las Vegas</v>
      </c>
    </row>
    <row r="9417" spans="1:5">
      <c r="A9417" s="3" t="s">
        <v>19823</v>
      </c>
      <c r="B9417" s="110" t="s">
        <v>1352</v>
      </c>
      <c r="C9417" s="111" t="s">
        <v>315</v>
      </c>
      <c r="D9417" s="111" t="str">
        <f t="shared" ref="D9417:E9417" si="9415">TRIM(B9417)</f>
        <v>Nevada</v>
      </c>
      <c r="E9417" s="111" t="str">
        <f t="shared" si="9415"/>
        <v>Las Vegas</v>
      </c>
    </row>
    <row r="9418" spans="1:5">
      <c r="A9418" s="3" t="s">
        <v>19824</v>
      </c>
      <c r="B9418" s="110" t="s">
        <v>1352</v>
      </c>
      <c r="C9418" s="111" t="s">
        <v>315</v>
      </c>
      <c r="D9418" s="111" t="str">
        <f t="shared" ref="D9418:E9418" si="9416">TRIM(B9418)</f>
        <v>Nevada</v>
      </c>
      <c r="E9418" s="111" t="str">
        <f t="shared" si="9416"/>
        <v>Las Vegas</v>
      </c>
    </row>
    <row r="9419" spans="1:5">
      <c r="A9419" s="3" t="s">
        <v>19825</v>
      </c>
      <c r="B9419" s="110" t="s">
        <v>1352</v>
      </c>
      <c r="C9419" s="111" t="s">
        <v>315</v>
      </c>
      <c r="D9419" s="111" t="str">
        <f t="shared" ref="D9419:E9419" si="9417">TRIM(B9419)</f>
        <v>Nevada</v>
      </c>
      <c r="E9419" s="111" t="str">
        <f t="shared" si="9417"/>
        <v>Las Vegas</v>
      </c>
    </row>
    <row r="9420" spans="1:5">
      <c r="A9420" s="3" t="s">
        <v>2905</v>
      </c>
      <c r="B9420" s="110" t="s">
        <v>1352</v>
      </c>
      <c r="C9420" s="111" t="s">
        <v>315</v>
      </c>
      <c r="D9420" s="111" t="str">
        <f t="shared" ref="D9420:E9420" si="9418">TRIM(B9420)</f>
        <v>Nevada</v>
      </c>
      <c r="E9420" s="111" t="str">
        <f t="shared" si="9418"/>
        <v>Las Vegas</v>
      </c>
    </row>
    <row r="9421" spans="1:5">
      <c r="A9421" s="3" t="s">
        <v>3224</v>
      </c>
      <c r="B9421" s="110" t="s">
        <v>1352</v>
      </c>
      <c r="C9421" s="111" t="s">
        <v>315</v>
      </c>
      <c r="D9421" s="111" t="str">
        <f t="shared" ref="D9421:E9421" si="9419">TRIM(B9421)</f>
        <v>Nevada</v>
      </c>
      <c r="E9421" s="111" t="str">
        <f t="shared" si="9419"/>
        <v>Las Vegas</v>
      </c>
    </row>
    <row r="9422" spans="1:5">
      <c r="A9422" s="3" t="s">
        <v>19826</v>
      </c>
      <c r="B9422" s="110" t="s">
        <v>1352</v>
      </c>
      <c r="C9422" s="111" t="s">
        <v>315</v>
      </c>
      <c r="D9422" s="111" t="str">
        <f t="shared" ref="D9422:E9422" si="9420">TRIM(B9422)</f>
        <v>Nevada</v>
      </c>
      <c r="E9422" s="111" t="str">
        <f t="shared" si="9420"/>
        <v>Las Vegas</v>
      </c>
    </row>
    <row r="9423" spans="1:5">
      <c r="A9423" s="3" t="s">
        <v>19827</v>
      </c>
      <c r="B9423" s="110" t="s">
        <v>1352</v>
      </c>
      <c r="C9423" s="111" t="s">
        <v>315</v>
      </c>
      <c r="D9423" s="111" t="str">
        <f t="shared" ref="D9423:E9423" si="9421">TRIM(B9423)</f>
        <v>Nevada</v>
      </c>
      <c r="E9423" s="111" t="str">
        <f t="shared" si="9421"/>
        <v>Las Vegas</v>
      </c>
    </row>
    <row r="9424" spans="1:5">
      <c r="A9424" s="3" t="s">
        <v>19828</v>
      </c>
      <c r="B9424" s="110" t="s">
        <v>1352</v>
      </c>
      <c r="C9424" s="111" t="s">
        <v>315</v>
      </c>
      <c r="D9424" s="111" t="str">
        <f t="shared" ref="D9424:E9424" si="9422">TRIM(B9424)</f>
        <v>Nevada</v>
      </c>
      <c r="E9424" s="111" t="str">
        <f t="shared" si="9422"/>
        <v>Las Vegas</v>
      </c>
    </row>
    <row r="9425" spans="1:5">
      <c r="A9425" s="3" t="s">
        <v>19829</v>
      </c>
      <c r="B9425" s="110" t="s">
        <v>1352</v>
      </c>
      <c r="C9425" s="111" t="s">
        <v>315</v>
      </c>
      <c r="D9425" s="111" t="str">
        <f t="shared" ref="D9425:E9425" si="9423">TRIM(B9425)</f>
        <v>Nevada</v>
      </c>
      <c r="E9425" s="111" t="str">
        <f t="shared" si="9423"/>
        <v>Las Vegas</v>
      </c>
    </row>
    <row r="9426" spans="1:5">
      <c r="A9426" s="3" t="s">
        <v>19830</v>
      </c>
      <c r="B9426" s="110" t="s">
        <v>1352</v>
      </c>
      <c r="C9426" s="111" t="s">
        <v>315</v>
      </c>
      <c r="D9426" s="111" t="str">
        <f t="shared" ref="D9426:E9426" si="9424">TRIM(B9426)</f>
        <v>Nevada</v>
      </c>
      <c r="E9426" s="111" t="str">
        <f t="shared" si="9424"/>
        <v>Las Vegas</v>
      </c>
    </row>
    <row r="9427" spans="1:5">
      <c r="A9427" s="3" t="s">
        <v>19831</v>
      </c>
      <c r="B9427" s="110" t="s">
        <v>1352</v>
      </c>
      <c r="C9427" s="111" t="s">
        <v>315</v>
      </c>
      <c r="D9427" s="111" t="str">
        <f t="shared" ref="D9427:E9427" si="9425">TRIM(B9427)</f>
        <v>Nevada</v>
      </c>
      <c r="E9427" s="111" t="str">
        <f t="shared" si="9425"/>
        <v>Las Vegas</v>
      </c>
    </row>
    <row r="9428" spans="1:5">
      <c r="A9428" s="3" t="s">
        <v>7859</v>
      </c>
      <c r="B9428" s="110" t="s">
        <v>1352</v>
      </c>
      <c r="C9428" s="111" t="s">
        <v>315</v>
      </c>
      <c r="D9428" s="111" t="str">
        <f t="shared" ref="D9428:E9428" si="9426">TRIM(B9428)</f>
        <v>Nevada</v>
      </c>
      <c r="E9428" s="111" t="str">
        <f t="shared" si="9426"/>
        <v>Las Vegas</v>
      </c>
    </row>
    <row r="9429" spans="1:5">
      <c r="A9429" s="3" t="s">
        <v>19832</v>
      </c>
      <c r="B9429" s="110" t="s">
        <v>1352</v>
      </c>
      <c r="C9429" s="111" t="s">
        <v>315</v>
      </c>
      <c r="D9429" s="111" t="str">
        <f t="shared" ref="D9429:E9429" si="9427">TRIM(B9429)</f>
        <v>Nevada</v>
      </c>
      <c r="E9429" s="111" t="str">
        <f t="shared" si="9427"/>
        <v>Las Vegas</v>
      </c>
    </row>
    <row r="9430" spans="1:5">
      <c r="A9430" s="3" t="s">
        <v>19833</v>
      </c>
      <c r="B9430" s="110" t="s">
        <v>1352</v>
      </c>
      <c r="C9430" s="111" t="s">
        <v>315</v>
      </c>
      <c r="D9430" s="111" t="str">
        <f t="shared" ref="D9430:E9430" si="9428">TRIM(B9430)</f>
        <v>Nevada</v>
      </c>
      <c r="E9430" s="111" t="str">
        <f t="shared" si="9428"/>
        <v>Las Vegas</v>
      </c>
    </row>
    <row r="9431" spans="1:5">
      <c r="A9431" s="3" t="s">
        <v>12842</v>
      </c>
      <c r="B9431" s="110" t="s">
        <v>1352</v>
      </c>
      <c r="C9431" s="111" t="s">
        <v>315</v>
      </c>
      <c r="D9431" s="111" t="str">
        <f t="shared" ref="D9431:E9431" si="9429">TRIM(B9431)</f>
        <v>Nevada</v>
      </c>
      <c r="E9431" s="111" t="str">
        <f t="shared" si="9429"/>
        <v>Las Vegas</v>
      </c>
    </row>
    <row r="9432" spans="1:5">
      <c r="A9432" s="3" t="s">
        <v>19834</v>
      </c>
      <c r="B9432" s="110" t="s">
        <v>1352</v>
      </c>
      <c r="C9432" s="111" t="s">
        <v>315</v>
      </c>
      <c r="D9432" s="111" t="str">
        <f t="shared" ref="D9432:E9432" si="9430">TRIM(B9432)</f>
        <v>Nevada</v>
      </c>
      <c r="E9432" s="111" t="str">
        <f t="shared" si="9430"/>
        <v>Las Vegas</v>
      </c>
    </row>
    <row r="9433" spans="1:5">
      <c r="A9433" s="3" t="s">
        <v>19835</v>
      </c>
      <c r="B9433" s="110" t="s">
        <v>1352</v>
      </c>
      <c r="C9433" s="111" t="s">
        <v>315</v>
      </c>
      <c r="D9433" s="111" t="str">
        <f t="shared" ref="D9433:E9433" si="9431">TRIM(B9433)</f>
        <v>Nevada</v>
      </c>
      <c r="E9433" s="111" t="str">
        <f t="shared" si="9431"/>
        <v>Las Vegas</v>
      </c>
    </row>
    <row r="9434" spans="1:5">
      <c r="A9434" s="110" t="s">
        <v>19836</v>
      </c>
      <c r="B9434" s="110" t="s">
        <v>1352</v>
      </c>
      <c r="C9434" s="111" t="s">
        <v>315</v>
      </c>
      <c r="D9434" s="111" t="str">
        <f t="shared" ref="D9434:E9434" si="9432">TRIM(B9434)</f>
        <v>Nevada</v>
      </c>
      <c r="E9434" s="111" t="str">
        <f t="shared" si="9432"/>
        <v>Las Vegas</v>
      </c>
    </row>
    <row r="9435" spans="1:5">
      <c r="A9435" s="3" t="s">
        <v>19837</v>
      </c>
      <c r="B9435" s="110" t="s">
        <v>1352</v>
      </c>
      <c r="C9435" s="111" t="s">
        <v>315</v>
      </c>
      <c r="D9435" s="111" t="str">
        <f t="shared" ref="D9435:E9435" si="9433">TRIM(B9435)</f>
        <v>Nevada</v>
      </c>
      <c r="E9435" s="111" t="str">
        <f t="shared" si="9433"/>
        <v>Las Vegas</v>
      </c>
    </row>
    <row r="9436" spans="1:5">
      <c r="A9436" s="3" t="s">
        <v>19838</v>
      </c>
      <c r="B9436" s="110" t="s">
        <v>1352</v>
      </c>
      <c r="C9436" s="111" t="s">
        <v>315</v>
      </c>
      <c r="D9436" s="111" t="str">
        <f t="shared" ref="D9436:E9436" si="9434">TRIM(B9436)</f>
        <v>Nevada</v>
      </c>
      <c r="E9436" s="111" t="str">
        <f t="shared" si="9434"/>
        <v>Las Vegas</v>
      </c>
    </row>
    <row r="9437" spans="1:5">
      <c r="A9437" s="3" t="s">
        <v>19839</v>
      </c>
      <c r="B9437" s="110" t="s">
        <v>1352</v>
      </c>
      <c r="C9437" s="111" t="s">
        <v>315</v>
      </c>
      <c r="D9437" s="111" t="str">
        <f t="shared" ref="D9437:E9437" si="9435">TRIM(B9437)</f>
        <v>Nevada</v>
      </c>
      <c r="E9437" s="111" t="str">
        <f t="shared" si="9435"/>
        <v>Las Vegas</v>
      </c>
    </row>
    <row r="9438" spans="1:5">
      <c r="A9438" s="3" t="s">
        <v>19840</v>
      </c>
      <c r="B9438" s="110" t="s">
        <v>1352</v>
      </c>
      <c r="C9438" s="111" t="s">
        <v>315</v>
      </c>
      <c r="D9438" s="111" t="str">
        <f t="shared" ref="D9438:E9438" si="9436">TRIM(B9438)</f>
        <v>Nevada</v>
      </c>
      <c r="E9438" s="111" t="str">
        <f t="shared" si="9436"/>
        <v>Las Vegas</v>
      </c>
    </row>
    <row r="9439" spans="1:5">
      <c r="A9439" s="3" t="s">
        <v>19841</v>
      </c>
      <c r="B9439" s="110" t="s">
        <v>1352</v>
      </c>
      <c r="C9439" s="111" t="s">
        <v>315</v>
      </c>
      <c r="D9439" s="111" t="str">
        <f t="shared" ref="D9439:E9439" si="9437">TRIM(B9439)</f>
        <v>Nevada</v>
      </c>
      <c r="E9439" s="111" t="str">
        <f t="shared" si="9437"/>
        <v>Las Vegas</v>
      </c>
    </row>
    <row r="9440" spans="1:5">
      <c r="A9440" s="3" t="s">
        <v>19842</v>
      </c>
      <c r="B9440" s="110" t="s">
        <v>1352</v>
      </c>
      <c r="C9440" s="111" t="s">
        <v>315</v>
      </c>
      <c r="D9440" s="111" t="str">
        <f t="shared" ref="D9440:E9440" si="9438">TRIM(B9440)</f>
        <v>Nevada</v>
      </c>
      <c r="E9440" s="111" t="str">
        <f t="shared" si="9438"/>
        <v>Las Vegas</v>
      </c>
    </row>
    <row r="9441" spans="1:5">
      <c r="A9441" s="3" t="s">
        <v>19843</v>
      </c>
      <c r="B9441" s="110" t="s">
        <v>1352</v>
      </c>
      <c r="C9441" s="111" t="s">
        <v>315</v>
      </c>
      <c r="D9441" s="111" t="str">
        <f t="shared" ref="D9441:E9441" si="9439">TRIM(B9441)</f>
        <v>Nevada</v>
      </c>
      <c r="E9441" s="111" t="str">
        <f t="shared" si="9439"/>
        <v>Las Vegas</v>
      </c>
    </row>
    <row r="9442" spans="1:5">
      <c r="A9442" s="110" t="s">
        <v>19844</v>
      </c>
      <c r="B9442" s="110" t="s">
        <v>1352</v>
      </c>
      <c r="C9442" s="111" t="s">
        <v>315</v>
      </c>
      <c r="D9442" s="111" t="str">
        <f t="shared" ref="D9442:E9442" si="9440">TRIM(B9442)</f>
        <v>Nevada</v>
      </c>
      <c r="E9442" s="111" t="str">
        <f t="shared" si="9440"/>
        <v>Las Vegas</v>
      </c>
    </row>
    <row r="9443" spans="1:5">
      <c r="A9443" s="3" t="s">
        <v>19845</v>
      </c>
      <c r="B9443" s="110" t="s">
        <v>1352</v>
      </c>
      <c r="C9443" s="111" t="s">
        <v>315</v>
      </c>
      <c r="D9443" s="111" t="str">
        <f t="shared" ref="D9443:E9443" si="9441">TRIM(B9443)</f>
        <v>Nevada</v>
      </c>
      <c r="E9443" s="111" t="str">
        <f t="shared" si="9441"/>
        <v>Las Vegas</v>
      </c>
    </row>
    <row r="9444" spans="1:5">
      <c r="A9444" s="3" t="s">
        <v>19846</v>
      </c>
      <c r="B9444" s="110" t="s">
        <v>1352</v>
      </c>
      <c r="C9444" s="111" t="s">
        <v>315</v>
      </c>
      <c r="D9444" s="111" t="str">
        <f t="shared" ref="D9444:E9444" si="9442">TRIM(B9444)</f>
        <v>Nevada</v>
      </c>
      <c r="E9444" s="111" t="str">
        <f t="shared" si="9442"/>
        <v>Las Vegas</v>
      </c>
    </row>
    <row r="9445" spans="1:5">
      <c r="A9445" s="3" t="s">
        <v>4498</v>
      </c>
      <c r="B9445" s="110" t="s">
        <v>1352</v>
      </c>
      <c r="C9445" s="111" t="s">
        <v>315</v>
      </c>
      <c r="D9445" s="111" t="str">
        <f t="shared" ref="D9445:E9445" si="9443">TRIM(B9445)</f>
        <v>Nevada</v>
      </c>
      <c r="E9445" s="111" t="str">
        <f t="shared" si="9443"/>
        <v>Las Vegas</v>
      </c>
    </row>
    <row r="9446" spans="1:5">
      <c r="A9446" s="3" t="s">
        <v>19847</v>
      </c>
      <c r="B9446" s="110" t="s">
        <v>1352</v>
      </c>
      <c r="C9446" s="111" t="s">
        <v>315</v>
      </c>
      <c r="D9446" s="111" t="str">
        <f t="shared" ref="D9446:E9446" si="9444">TRIM(B9446)</f>
        <v>Nevada</v>
      </c>
      <c r="E9446" s="111" t="str">
        <f t="shared" si="9444"/>
        <v>Las Vegas</v>
      </c>
    </row>
    <row r="9447" spans="1:5">
      <c r="A9447" s="3" t="s">
        <v>3293</v>
      </c>
      <c r="B9447" s="110" t="s">
        <v>1352</v>
      </c>
      <c r="C9447" s="111" t="s">
        <v>315</v>
      </c>
      <c r="D9447" s="111" t="str">
        <f t="shared" ref="D9447:E9447" si="9445">TRIM(B9447)</f>
        <v>Nevada</v>
      </c>
      <c r="E9447" s="111" t="str">
        <f t="shared" si="9445"/>
        <v>Las Vegas</v>
      </c>
    </row>
    <row r="9448" spans="1:5">
      <c r="A9448" s="3" t="s">
        <v>4446</v>
      </c>
      <c r="B9448" s="110" t="s">
        <v>1352</v>
      </c>
      <c r="C9448" s="111" t="s">
        <v>315</v>
      </c>
      <c r="D9448" s="111" t="str">
        <f t="shared" ref="D9448:E9448" si="9446">TRIM(B9448)</f>
        <v>Nevada</v>
      </c>
      <c r="E9448" s="111" t="str">
        <f t="shared" si="9446"/>
        <v>Las Vegas</v>
      </c>
    </row>
    <row r="9449" spans="1:5">
      <c r="A9449" s="3" t="s">
        <v>7401</v>
      </c>
      <c r="B9449" s="110" t="s">
        <v>1352</v>
      </c>
      <c r="C9449" s="111" t="s">
        <v>315</v>
      </c>
      <c r="D9449" s="111" t="str">
        <f t="shared" ref="D9449:E9449" si="9447">TRIM(B9449)</f>
        <v>Nevada</v>
      </c>
      <c r="E9449" s="111" t="str">
        <f t="shared" si="9447"/>
        <v>Las Vegas</v>
      </c>
    </row>
    <row r="9450" spans="1:5">
      <c r="A9450" s="3" t="s">
        <v>19848</v>
      </c>
      <c r="B9450" s="110" t="s">
        <v>1352</v>
      </c>
      <c r="C9450" s="111" t="s">
        <v>315</v>
      </c>
      <c r="D9450" s="111" t="str">
        <f t="shared" ref="D9450:E9450" si="9448">TRIM(B9450)</f>
        <v>Nevada</v>
      </c>
      <c r="E9450" s="111" t="str">
        <f t="shared" si="9448"/>
        <v>Las Vegas</v>
      </c>
    </row>
    <row r="9451" spans="1:5">
      <c r="A9451" s="3" t="s">
        <v>19849</v>
      </c>
      <c r="B9451" s="110" t="s">
        <v>1352</v>
      </c>
      <c r="C9451" s="111" t="s">
        <v>315</v>
      </c>
      <c r="D9451" s="111" t="str">
        <f t="shared" ref="D9451:E9451" si="9449">TRIM(B9451)</f>
        <v>Nevada</v>
      </c>
      <c r="E9451" s="111" t="str">
        <f t="shared" si="9449"/>
        <v>Las Vegas</v>
      </c>
    </row>
    <row r="9452" spans="1:5">
      <c r="A9452" s="3" t="s">
        <v>19850</v>
      </c>
      <c r="B9452" s="110" t="s">
        <v>1352</v>
      </c>
      <c r="C9452" s="111" t="s">
        <v>315</v>
      </c>
      <c r="D9452" s="111" t="str">
        <f t="shared" ref="D9452:E9452" si="9450">TRIM(B9452)</f>
        <v>Nevada</v>
      </c>
      <c r="E9452" s="111" t="str">
        <f t="shared" si="9450"/>
        <v>Las Vegas</v>
      </c>
    </row>
    <row r="9453" spans="1:5">
      <c r="A9453" s="3" t="s">
        <v>2920</v>
      </c>
      <c r="B9453" s="110" t="s">
        <v>1352</v>
      </c>
      <c r="C9453" s="111" t="s">
        <v>315</v>
      </c>
      <c r="D9453" s="111" t="str">
        <f t="shared" ref="D9453:E9453" si="9451">TRIM(B9453)</f>
        <v>Nevada</v>
      </c>
      <c r="E9453" s="111" t="str">
        <f t="shared" si="9451"/>
        <v>Las Vegas</v>
      </c>
    </row>
    <row r="9454" spans="1:5">
      <c r="A9454" s="3" t="s">
        <v>2256</v>
      </c>
      <c r="B9454" s="110" t="s">
        <v>1352</v>
      </c>
      <c r="C9454" s="111" t="s">
        <v>315</v>
      </c>
      <c r="D9454" s="111" t="str">
        <f t="shared" ref="D9454:E9454" si="9452">TRIM(B9454)</f>
        <v>Nevada</v>
      </c>
      <c r="E9454" s="111" t="str">
        <f t="shared" si="9452"/>
        <v>Las Vegas</v>
      </c>
    </row>
    <row r="9455" spans="1:5">
      <c r="A9455" s="3" t="s">
        <v>19851</v>
      </c>
      <c r="B9455" s="110" t="s">
        <v>1352</v>
      </c>
      <c r="C9455" s="111" t="s">
        <v>315</v>
      </c>
      <c r="D9455" s="111" t="str">
        <f t="shared" ref="D9455:E9455" si="9453">TRIM(B9455)</f>
        <v>Nevada</v>
      </c>
      <c r="E9455" s="111" t="str">
        <f t="shared" si="9453"/>
        <v>Las Vegas</v>
      </c>
    </row>
    <row r="9456" spans="1:5">
      <c r="A9456" s="3" t="s">
        <v>19852</v>
      </c>
      <c r="B9456" s="110" t="s">
        <v>1352</v>
      </c>
      <c r="C9456" s="111" t="s">
        <v>315</v>
      </c>
      <c r="D9456" s="111" t="str">
        <f t="shared" ref="D9456:E9456" si="9454">TRIM(B9456)</f>
        <v>Nevada</v>
      </c>
      <c r="E9456" s="111" t="str">
        <f t="shared" si="9454"/>
        <v>Las Vegas</v>
      </c>
    </row>
    <row r="9457" spans="1:5">
      <c r="A9457" s="3" t="s">
        <v>19853</v>
      </c>
      <c r="B9457" s="110" t="s">
        <v>1352</v>
      </c>
      <c r="C9457" s="111" t="s">
        <v>315</v>
      </c>
      <c r="D9457" s="111" t="str">
        <f t="shared" ref="D9457:E9457" si="9455">TRIM(B9457)</f>
        <v>Nevada</v>
      </c>
      <c r="E9457" s="111" t="str">
        <f t="shared" si="9455"/>
        <v>Las Vegas</v>
      </c>
    </row>
    <row r="9458" spans="1:5">
      <c r="A9458" s="3" t="s">
        <v>4343</v>
      </c>
      <c r="B9458" s="110" t="s">
        <v>1352</v>
      </c>
      <c r="C9458" s="111" t="s">
        <v>315</v>
      </c>
      <c r="D9458" s="111" t="str">
        <f t="shared" ref="D9458:E9458" si="9456">TRIM(B9458)</f>
        <v>Nevada</v>
      </c>
      <c r="E9458" s="111" t="str">
        <f t="shared" si="9456"/>
        <v>Las Vegas</v>
      </c>
    </row>
    <row r="9459" spans="1:5">
      <c r="A9459" s="3" t="s">
        <v>19854</v>
      </c>
      <c r="B9459" s="110" t="s">
        <v>1352</v>
      </c>
      <c r="C9459" s="111" t="s">
        <v>19855</v>
      </c>
      <c r="D9459" s="111" t="str">
        <f t="shared" ref="D9459:E9459" si="9457">TRIM(B9459)</f>
        <v>Nevada</v>
      </c>
      <c r="E9459" s="111" t="str">
        <f t="shared" si="9457"/>
        <v>Laughlin</v>
      </c>
    </row>
    <row r="9460" spans="1:5">
      <c r="A9460" s="3" t="s">
        <v>19856</v>
      </c>
      <c r="B9460" s="110" t="s">
        <v>1352</v>
      </c>
      <c r="C9460" s="111" t="s">
        <v>19857</v>
      </c>
      <c r="D9460" s="111" t="str">
        <f t="shared" ref="D9460:E9460" si="9458">TRIM(B9460)</f>
        <v>Nevada</v>
      </c>
      <c r="E9460" s="111" t="str">
        <f t="shared" si="9458"/>
        <v>Lovelock</v>
      </c>
    </row>
    <row r="9461" spans="1:5">
      <c r="A9461" s="3" t="s">
        <v>19858</v>
      </c>
      <c r="B9461" s="110" t="s">
        <v>1352</v>
      </c>
      <c r="C9461" s="111" t="s">
        <v>19859</v>
      </c>
      <c r="D9461" s="111" t="str">
        <f t="shared" ref="D9461:E9461" si="9459">TRIM(B9461)</f>
        <v>Nevada</v>
      </c>
      <c r="E9461" s="111" t="str">
        <f t="shared" si="9459"/>
        <v>Lund</v>
      </c>
    </row>
    <row r="9462" spans="1:5">
      <c r="A9462" s="3" t="s">
        <v>19860</v>
      </c>
      <c r="B9462" s="110" t="s">
        <v>1352</v>
      </c>
      <c r="C9462" s="111" t="s">
        <v>19861</v>
      </c>
      <c r="D9462" s="111" t="str">
        <f t="shared" ref="D9462:E9462" si="9460">TRIM(B9462)</f>
        <v>Nevada</v>
      </c>
      <c r="E9462" s="111" t="str">
        <f t="shared" si="9460"/>
        <v>Mcdermitt</v>
      </c>
    </row>
    <row r="9463" spans="1:5">
      <c r="A9463" s="3" t="s">
        <v>19862</v>
      </c>
      <c r="B9463" s="110" t="s">
        <v>1352</v>
      </c>
      <c r="C9463" s="112" t="s">
        <v>19863</v>
      </c>
      <c r="D9463" s="111" t="str">
        <f t="shared" ref="D9463:E9463" si="9461">TRIM(B9463)</f>
        <v>Nevada</v>
      </c>
      <c r="E9463" s="111" t="str">
        <f t="shared" si="9461"/>
        <v>Mesquite</v>
      </c>
    </row>
    <row r="9464" spans="1:5">
      <c r="A9464" s="3" t="s">
        <v>7686</v>
      </c>
      <c r="B9464" s="110" t="s">
        <v>1352</v>
      </c>
      <c r="C9464" s="111" t="s">
        <v>10898</v>
      </c>
      <c r="D9464" s="111" t="str">
        <f t="shared" ref="D9464:E9464" si="9462">TRIM(B9464)</f>
        <v>Nevada</v>
      </c>
      <c r="E9464" s="111" t="str">
        <f t="shared" si="9462"/>
        <v>Minden</v>
      </c>
    </row>
    <row r="9465" spans="1:5">
      <c r="A9465" s="3" t="s">
        <v>19864</v>
      </c>
      <c r="B9465" s="110" t="s">
        <v>1352</v>
      </c>
      <c r="C9465" s="111" t="s">
        <v>543</v>
      </c>
      <c r="D9465" s="111" t="str">
        <f t="shared" ref="D9465:E9465" si="9463">TRIM(B9465)</f>
        <v>Nevada</v>
      </c>
      <c r="E9465" s="111" t="str">
        <f t="shared" si="9463"/>
        <v>North Las Vegas</v>
      </c>
    </row>
    <row r="9466" spans="1:5">
      <c r="A9466" s="3" t="s">
        <v>19865</v>
      </c>
      <c r="B9466" s="110" t="s">
        <v>1352</v>
      </c>
      <c r="C9466" s="111" t="s">
        <v>543</v>
      </c>
      <c r="D9466" s="111" t="str">
        <f t="shared" ref="D9466:E9466" si="9464">TRIM(B9466)</f>
        <v>Nevada</v>
      </c>
      <c r="E9466" s="111" t="str">
        <f t="shared" si="9464"/>
        <v>North Las Vegas</v>
      </c>
    </row>
    <row r="9467" spans="1:5">
      <c r="A9467" s="3" t="s">
        <v>19866</v>
      </c>
      <c r="B9467" s="110" t="s">
        <v>1352</v>
      </c>
      <c r="C9467" s="111" t="s">
        <v>543</v>
      </c>
      <c r="D9467" s="111" t="str">
        <f t="shared" ref="D9467:E9467" si="9465">TRIM(B9467)</f>
        <v>Nevada</v>
      </c>
      <c r="E9467" s="111" t="str">
        <f t="shared" si="9465"/>
        <v>North Las Vegas</v>
      </c>
    </row>
    <row r="9468" spans="1:5">
      <c r="A9468" s="3" t="s">
        <v>11667</v>
      </c>
      <c r="B9468" s="110" t="s">
        <v>1352</v>
      </c>
      <c r="C9468" s="111" t="s">
        <v>543</v>
      </c>
      <c r="D9468" s="111" t="str">
        <f t="shared" ref="D9468:E9468" si="9466">TRIM(B9468)</f>
        <v>Nevada</v>
      </c>
      <c r="E9468" s="111" t="str">
        <f t="shared" si="9466"/>
        <v>North Las Vegas</v>
      </c>
    </row>
    <row r="9469" spans="1:5">
      <c r="A9469" s="3" t="s">
        <v>7657</v>
      </c>
      <c r="B9469" s="110" t="s">
        <v>1352</v>
      </c>
      <c r="C9469" s="111" t="s">
        <v>543</v>
      </c>
      <c r="D9469" s="111" t="str">
        <f t="shared" ref="D9469:E9469" si="9467">TRIM(B9469)</f>
        <v>Nevada</v>
      </c>
      <c r="E9469" s="111" t="str">
        <f t="shared" si="9467"/>
        <v>North Las Vegas</v>
      </c>
    </row>
    <row r="9470" spans="1:5">
      <c r="A9470" s="3" t="s">
        <v>19867</v>
      </c>
      <c r="B9470" s="110" t="s">
        <v>1352</v>
      </c>
      <c r="C9470" s="111" t="s">
        <v>543</v>
      </c>
      <c r="D9470" s="111" t="str">
        <f t="shared" ref="D9470:E9470" si="9468">TRIM(B9470)</f>
        <v>Nevada</v>
      </c>
      <c r="E9470" s="111" t="str">
        <f t="shared" si="9468"/>
        <v>North Las Vegas</v>
      </c>
    </row>
    <row r="9471" spans="1:5">
      <c r="A9471" s="3" t="s">
        <v>19868</v>
      </c>
      <c r="B9471" s="110" t="s">
        <v>1352</v>
      </c>
      <c r="C9471" s="111" t="s">
        <v>19692</v>
      </c>
      <c r="D9471" s="111" t="str">
        <f t="shared" ref="D9471:E9471" si="9469">TRIM(B9471)</f>
        <v>Nevada</v>
      </c>
      <c r="E9471" s="111" t="str">
        <f t="shared" si="9469"/>
        <v>Overton</v>
      </c>
    </row>
    <row r="9472" spans="1:5">
      <c r="A9472" s="3" t="s">
        <v>19869</v>
      </c>
      <c r="B9472" s="110" t="s">
        <v>1352</v>
      </c>
      <c r="C9472" s="111" t="s">
        <v>19870</v>
      </c>
      <c r="D9472" s="111" t="str">
        <f t="shared" ref="D9472:E9472" si="9470">TRIM(B9472)</f>
        <v>Nevada</v>
      </c>
      <c r="E9472" s="111" t="str">
        <f t="shared" si="9470"/>
        <v>Owyhee</v>
      </c>
    </row>
    <row r="9473" spans="1:5">
      <c r="A9473" s="3" t="s">
        <v>19871</v>
      </c>
      <c r="B9473" s="110" t="s">
        <v>1352</v>
      </c>
      <c r="C9473" s="111" t="s">
        <v>19872</v>
      </c>
      <c r="D9473" s="111" t="str">
        <f t="shared" ref="D9473:E9473" si="9471">TRIM(B9473)</f>
        <v>Nevada</v>
      </c>
      <c r="E9473" s="111" t="str">
        <f t="shared" si="9471"/>
        <v>Pahrump</v>
      </c>
    </row>
    <row r="9474" spans="1:5">
      <c r="A9474" s="3" t="s">
        <v>10963</v>
      </c>
      <c r="B9474" s="110" t="s">
        <v>1352</v>
      </c>
      <c r="C9474" s="111" t="s">
        <v>19873</v>
      </c>
      <c r="D9474" s="111" t="str">
        <f t="shared" ref="D9474:E9474" si="9472">TRIM(B9474)</f>
        <v>Nevada</v>
      </c>
      <c r="E9474" s="111" t="str">
        <f t="shared" si="9472"/>
        <v>Panaca</v>
      </c>
    </row>
    <row r="9475" spans="1:5">
      <c r="A9475" s="3" t="s">
        <v>19874</v>
      </c>
      <c r="B9475" s="110" t="s">
        <v>1352</v>
      </c>
      <c r="C9475" s="111" t="s">
        <v>578</v>
      </c>
      <c r="D9475" s="111" t="str">
        <f t="shared" ref="D9475:E9475" si="9473">TRIM(B9475)</f>
        <v>Nevada</v>
      </c>
      <c r="E9475" s="111" t="str">
        <f t="shared" si="9473"/>
        <v>Reno</v>
      </c>
    </row>
    <row r="9476" spans="1:5">
      <c r="A9476" s="3" t="s">
        <v>19875</v>
      </c>
      <c r="B9476" s="110" t="s">
        <v>1352</v>
      </c>
      <c r="C9476" s="111" t="s">
        <v>578</v>
      </c>
      <c r="D9476" s="111" t="str">
        <f t="shared" ref="D9476:E9476" si="9474">TRIM(B9476)</f>
        <v>Nevada</v>
      </c>
      <c r="E9476" s="111" t="str">
        <f t="shared" si="9474"/>
        <v>Reno</v>
      </c>
    </row>
    <row r="9477" spans="1:5">
      <c r="A9477" s="3" t="s">
        <v>19876</v>
      </c>
      <c r="B9477" s="110" t="s">
        <v>1352</v>
      </c>
      <c r="C9477" s="111" t="s">
        <v>578</v>
      </c>
      <c r="D9477" s="111" t="str">
        <f t="shared" ref="D9477:E9477" si="9475">TRIM(B9477)</f>
        <v>Nevada</v>
      </c>
      <c r="E9477" s="111" t="str">
        <f t="shared" si="9475"/>
        <v>Reno</v>
      </c>
    </row>
    <row r="9478" spans="1:5">
      <c r="A9478" s="3" t="s">
        <v>19877</v>
      </c>
      <c r="B9478" s="110" t="s">
        <v>1352</v>
      </c>
      <c r="C9478" s="111" t="s">
        <v>578</v>
      </c>
      <c r="D9478" s="111" t="str">
        <f t="shared" ref="D9478:E9478" si="9476">TRIM(B9478)</f>
        <v>Nevada</v>
      </c>
      <c r="E9478" s="111" t="str">
        <f t="shared" si="9476"/>
        <v>Reno</v>
      </c>
    </row>
    <row r="9479" spans="1:5">
      <c r="A9479" s="3" t="s">
        <v>19878</v>
      </c>
      <c r="B9479" s="110" t="s">
        <v>1352</v>
      </c>
      <c r="C9479" s="111" t="s">
        <v>578</v>
      </c>
      <c r="D9479" s="111" t="str">
        <f t="shared" ref="D9479:E9479" si="9477">TRIM(B9479)</f>
        <v>Nevada</v>
      </c>
      <c r="E9479" s="111" t="str">
        <f t="shared" si="9477"/>
        <v>Reno</v>
      </c>
    </row>
    <row r="9480" spans="1:5">
      <c r="A9480" s="3" t="s">
        <v>19879</v>
      </c>
      <c r="B9480" s="110" t="s">
        <v>1352</v>
      </c>
      <c r="C9480" s="111" t="s">
        <v>578</v>
      </c>
      <c r="D9480" s="111" t="str">
        <f t="shared" ref="D9480:E9480" si="9478">TRIM(B9480)</f>
        <v>Nevada</v>
      </c>
      <c r="E9480" s="111" t="str">
        <f t="shared" si="9478"/>
        <v>Reno</v>
      </c>
    </row>
    <row r="9481" spans="1:5">
      <c r="A9481" s="3" t="s">
        <v>12932</v>
      </c>
      <c r="B9481" s="110" t="s">
        <v>1352</v>
      </c>
      <c r="C9481" s="111" t="s">
        <v>578</v>
      </c>
      <c r="D9481" s="111" t="str">
        <f t="shared" ref="D9481:E9481" si="9479">TRIM(B9481)</f>
        <v>Nevada</v>
      </c>
      <c r="E9481" s="111" t="str">
        <f t="shared" si="9479"/>
        <v>Reno</v>
      </c>
    </row>
    <row r="9482" spans="1:5">
      <c r="A9482" s="3" t="s">
        <v>19880</v>
      </c>
      <c r="B9482" s="110" t="s">
        <v>1352</v>
      </c>
      <c r="C9482" s="111" t="s">
        <v>578</v>
      </c>
      <c r="D9482" s="111" t="str">
        <f t="shared" ref="D9482:E9482" si="9480">TRIM(B9482)</f>
        <v>Nevada</v>
      </c>
      <c r="E9482" s="111" t="str">
        <f t="shared" si="9480"/>
        <v>Reno</v>
      </c>
    </row>
    <row r="9483" spans="1:5">
      <c r="A9483" s="3" t="s">
        <v>19881</v>
      </c>
      <c r="B9483" s="110" t="s">
        <v>1352</v>
      </c>
      <c r="C9483" s="111" t="s">
        <v>578</v>
      </c>
      <c r="D9483" s="111" t="str">
        <f t="shared" ref="D9483:E9483" si="9481">TRIM(B9483)</f>
        <v>Nevada</v>
      </c>
      <c r="E9483" s="111" t="str">
        <f t="shared" si="9481"/>
        <v>Reno</v>
      </c>
    </row>
    <row r="9484" spans="1:5">
      <c r="A9484" s="3" t="s">
        <v>19882</v>
      </c>
      <c r="B9484" s="110" t="s">
        <v>1352</v>
      </c>
      <c r="C9484" s="111" t="s">
        <v>578</v>
      </c>
      <c r="D9484" s="111" t="str">
        <f t="shared" ref="D9484:E9484" si="9482">TRIM(B9484)</f>
        <v>Nevada</v>
      </c>
      <c r="E9484" s="111" t="str">
        <f t="shared" si="9482"/>
        <v>Reno</v>
      </c>
    </row>
    <row r="9485" spans="1:5">
      <c r="A9485" s="3" t="s">
        <v>19883</v>
      </c>
      <c r="B9485" s="110" t="s">
        <v>1352</v>
      </c>
      <c r="C9485" s="111" t="s">
        <v>578</v>
      </c>
      <c r="D9485" s="111" t="str">
        <f t="shared" ref="D9485:E9485" si="9483">TRIM(B9485)</f>
        <v>Nevada</v>
      </c>
      <c r="E9485" s="111" t="str">
        <f t="shared" si="9483"/>
        <v>Reno</v>
      </c>
    </row>
    <row r="9486" spans="1:5">
      <c r="A9486" s="3" t="s">
        <v>19884</v>
      </c>
      <c r="B9486" s="110" t="s">
        <v>1352</v>
      </c>
      <c r="C9486" s="111" t="s">
        <v>578</v>
      </c>
      <c r="D9486" s="111" t="str">
        <f t="shared" ref="D9486:E9486" si="9484">TRIM(B9486)</f>
        <v>Nevada</v>
      </c>
      <c r="E9486" s="111" t="str">
        <f t="shared" si="9484"/>
        <v>Reno</v>
      </c>
    </row>
    <row r="9487" spans="1:5">
      <c r="A9487" s="3" t="s">
        <v>19885</v>
      </c>
      <c r="B9487" s="110" t="s">
        <v>1352</v>
      </c>
      <c r="C9487" s="111" t="s">
        <v>578</v>
      </c>
      <c r="D9487" s="111" t="str">
        <f t="shared" ref="D9487:E9487" si="9485">TRIM(B9487)</f>
        <v>Nevada</v>
      </c>
      <c r="E9487" s="111" t="str">
        <f t="shared" si="9485"/>
        <v>Reno</v>
      </c>
    </row>
    <row r="9488" spans="1:5">
      <c r="A9488" s="3" t="s">
        <v>19886</v>
      </c>
      <c r="B9488" s="110" t="s">
        <v>1352</v>
      </c>
      <c r="C9488" s="111" t="s">
        <v>578</v>
      </c>
      <c r="D9488" s="111" t="str">
        <f t="shared" ref="D9488:E9488" si="9486">TRIM(B9488)</f>
        <v>Nevada</v>
      </c>
      <c r="E9488" s="111" t="str">
        <f t="shared" si="9486"/>
        <v>Reno</v>
      </c>
    </row>
    <row r="9489" spans="1:5">
      <c r="A9489" s="3" t="s">
        <v>19887</v>
      </c>
      <c r="B9489" s="110" t="s">
        <v>1352</v>
      </c>
      <c r="C9489" s="111" t="s">
        <v>578</v>
      </c>
      <c r="D9489" s="111" t="str">
        <f t="shared" ref="D9489:E9489" si="9487">TRIM(B9489)</f>
        <v>Nevada</v>
      </c>
      <c r="E9489" s="111" t="str">
        <f t="shared" si="9487"/>
        <v>Reno</v>
      </c>
    </row>
    <row r="9490" spans="1:5">
      <c r="A9490" s="3" t="s">
        <v>19888</v>
      </c>
      <c r="B9490" s="110" t="s">
        <v>1352</v>
      </c>
      <c r="C9490" s="111" t="s">
        <v>19889</v>
      </c>
      <c r="D9490" s="111" t="str">
        <f t="shared" ref="D9490:E9490" si="9488">TRIM(B9490)</f>
        <v>Nevada</v>
      </c>
      <c r="E9490" s="111" t="str">
        <f t="shared" si="9488"/>
        <v>Round Mountain</v>
      </c>
    </row>
    <row r="9491" spans="1:5">
      <c r="A9491" s="3" t="s">
        <v>19890</v>
      </c>
      <c r="B9491" s="110" t="s">
        <v>1352</v>
      </c>
      <c r="C9491" s="111" t="s">
        <v>19891</v>
      </c>
      <c r="D9491" s="111" t="str">
        <f t="shared" ref="D9491:E9491" si="9489">TRIM(B9491)</f>
        <v>Nevada</v>
      </c>
      <c r="E9491" s="111" t="str">
        <f t="shared" si="9489"/>
        <v>Sandy Valley</v>
      </c>
    </row>
    <row r="9492" spans="1:5">
      <c r="A9492" s="3" t="s">
        <v>19892</v>
      </c>
      <c r="B9492" s="110" t="s">
        <v>1352</v>
      </c>
      <c r="C9492" s="111" t="s">
        <v>19893</v>
      </c>
      <c r="D9492" s="111" t="str">
        <f t="shared" ref="D9492:E9492" si="9490">TRIM(B9492)</f>
        <v>Nevada</v>
      </c>
      <c r="E9492" s="111" t="str">
        <f t="shared" si="9490"/>
        <v>Silver Springs</v>
      </c>
    </row>
    <row r="9493" spans="1:5">
      <c r="A9493" s="3" t="s">
        <v>19894</v>
      </c>
      <c r="B9493" s="110" t="s">
        <v>1352</v>
      </c>
      <c r="C9493" s="111" t="s">
        <v>19895</v>
      </c>
      <c r="D9493" s="111" t="str">
        <f t="shared" ref="D9493:E9493" si="9491">TRIM(B9493)</f>
        <v>Nevada</v>
      </c>
      <c r="E9493" s="111" t="str">
        <f t="shared" si="9491"/>
        <v>Sparks</v>
      </c>
    </row>
    <row r="9494" spans="1:5">
      <c r="A9494" s="3" t="s">
        <v>19896</v>
      </c>
      <c r="B9494" s="110" t="s">
        <v>1352</v>
      </c>
      <c r="C9494" s="111" t="s">
        <v>19895</v>
      </c>
      <c r="D9494" s="111" t="str">
        <f t="shared" ref="D9494:E9494" si="9492">TRIM(B9494)</f>
        <v>Nevada</v>
      </c>
      <c r="E9494" s="111" t="str">
        <f t="shared" si="9492"/>
        <v>Sparks</v>
      </c>
    </row>
    <row r="9495" spans="1:5">
      <c r="A9495" s="3" t="s">
        <v>19897</v>
      </c>
      <c r="B9495" s="110" t="s">
        <v>1352</v>
      </c>
      <c r="C9495" s="111" t="s">
        <v>19895</v>
      </c>
      <c r="D9495" s="111" t="str">
        <f t="shared" ref="D9495:E9495" si="9493">TRIM(B9495)</f>
        <v>Nevada</v>
      </c>
      <c r="E9495" s="111" t="str">
        <f t="shared" si="9493"/>
        <v>Sparks</v>
      </c>
    </row>
    <row r="9496" spans="1:5">
      <c r="A9496" s="3" t="s">
        <v>19898</v>
      </c>
      <c r="B9496" s="110" t="s">
        <v>1352</v>
      </c>
      <c r="C9496" s="111" t="s">
        <v>19895</v>
      </c>
      <c r="D9496" s="111" t="str">
        <f t="shared" ref="D9496:E9496" si="9494">TRIM(B9496)</f>
        <v>Nevada</v>
      </c>
      <c r="E9496" s="111" t="str">
        <f t="shared" si="9494"/>
        <v>Sparks</v>
      </c>
    </row>
    <row r="9497" spans="1:5">
      <c r="A9497" s="3" t="s">
        <v>19899</v>
      </c>
      <c r="B9497" s="110" t="s">
        <v>1352</v>
      </c>
      <c r="C9497" s="111" t="s">
        <v>19900</v>
      </c>
      <c r="D9497" s="111" t="str">
        <f t="shared" ref="D9497:E9497" si="9495">TRIM(B9497)</f>
        <v>Nevada</v>
      </c>
      <c r="E9497" s="111" t="str">
        <f t="shared" si="9495"/>
        <v>Spring Creek</v>
      </c>
    </row>
    <row r="9498" spans="1:5">
      <c r="A9498" s="3" t="s">
        <v>19901</v>
      </c>
      <c r="B9498" s="110" t="s">
        <v>1352</v>
      </c>
      <c r="C9498" s="111" t="s">
        <v>3372</v>
      </c>
      <c r="D9498" s="111" t="str">
        <f t="shared" ref="D9498:E9498" si="9496">TRIM(B9498)</f>
        <v>Nevada</v>
      </c>
      <c r="E9498" s="111" t="str">
        <f t="shared" si="9496"/>
        <v>Tonopah</v>
      </c>
    </row>
    <row r="9499" spans="1:5">
      <c r="A9499" s="3" t="s">
        <v>19902</v>
      </c>
      <c r="B9499" s="110" t="s">
        <v>1352</v>
      </c>
      <c r="C9499" s="111" t="s">
        <v>19903</v>
      </c>
      <c r="D9499" s="111" t="str">
        <f t="shared" ref="D9499:E9499" si="9497">TRIM(B9499)</f>
        <v>Nevada</v>
      </c>
      <c r="E9499" s="111" t="str">
        <f t="shared" si="9497"/>
        <v>Virginia City</v>
      </c>
    </row>
    <row r="9500" spans="1:5">
      <c r="A9500" s="3" t="s">
        <v>16312</v>
      </c>
      <c r="B9500" s="110" t="s">
        <v>1352</v>
      </c>
      <c r="C9500" s="111" t="s">
        <v>16313</v>
      </c>
      <c r="D9500" s="111" t="str">
        <f t="shared" ref="D9500:E9500" si="9498">TRIM(B9500)</f>
        <v>Nevada</v>
      </c>
      <c r="E9500" s="111" t="str">
        <f t="shared" si="9498"/>
        <v>Wells</v>
      </c>
    </row>
    <row r="9501" spans="1:5">
      <c r="A9501" s="3" t="s">
        <v>19904</v>
      </c>
      <c r="B9501" s="110" t="s">
        <v>1352</v>
      </c>
      <c r="C9501" s="111" t="s">
        <v>19905</v>
      </c>
      <c r="D9501" s="111" t="str">
        <f t="shared" ref="D9501:E9501" si="9499">TRIM(B9501)</f>
        <v>Nevada</v>
      </c>
      <c r="E9501" s="111" t="str">
        <f t="shared" si="9499"/>
        <v>Wendover</v>
      </c>
    </row>
    <row r="9502" spans="1:5">
      <c r="A9502" s="3" t="s">
        <v>19906</v>
      </c>
      <c r="B9502" s="110" t="s">
        <v>1352</v>
      </c>
      <c r="C9502" s="111" t="s">
        <v>19907</v>
      </c>
      <c r="D9502" s="111" t="str">
        <f t="shared" ref="D9502:E9502" si="9500">TRIM(B9502)</f>
        <v>Nevada</v>
      </c>
      <c r="E9502" s="111" t="str">
        <f t="shared" si="9500"/>
        <v>Winnemucca</v>
      </c>
    </row>
    <row r="9503" spans="1:5">
      <c r="A9503" s="3" t="s">
        <v>19908</v>
      </c>
      <c r="B9503" s="110" t="s">
        <v>1352</v>
      </c>
      <c r="C9503" s="111" t="s">
        <v>19909</v>
      </c>
      <c r="D9503" s="111" t="str">
        <f t="shared" ref="D9503:E9503" si="9501">TRIM(B9503)</f>
        <v>Nevada</v>
      </c>
      <c r="E9503" s="111" t="str">
        <f t="shared" si="9501"/>
        <v>Yerington</v>
      </c>
    </row>
    <row r="9504" spans="1:5">
      <c r="A9504" s="3" t="s">
        <v>19910</v>
      </c>
      <c r="B9504" s="110" t="s">
        <v>1352</v>
      </c>
      <c r="C9504" s="111" t="s">
        <v>19911</v>
      </c>
      <c r="D9504" s="111" t="str">
        <f t="shared" ref="D9504:E9504" si="9502">TRIM(B9504)</f>
        <v>Nevada</v>
      </c>
      <c r="E9504" s="111" t="str">
        <f t="shared" si="9502"/>
        <v>Zephyr Cove</v>
      </c>
    </row>
    <row r="9505" spans="1:5">
      <c r="A9505" s="3" t="s">
        <v>19912</v>
      </c>
      <c r="B9505" s="110" t="s">
        <v>1354</v>
      </c>
      <c r="C9505" s="111" t="s">
        <v>19913</v>
      </c>
      <c r="D9505" s="111" t="str">
        <f t="shared" ref="D9505:E9505" si="9503">TRIM(B9505)</f>
        <v>New Hampshire</v>
      </c>
      <c r="E9505" s="111" t="str">
        <f t="shared" si="9503"/>
        <v>Allenstown</v>
      </c>
    </row>
    <row r="9506" spans="1:5">
      <c r="A9506" s="110" t="s">
        <v>19914</v>
      </c>
      <c r="B9506" s="110" t="s">
        <v>1354</v>
      </c>
      <c r="C9506" s="111" t="s">
        <v>19915</v>
      </c>
      <c r="D9506" s="111" t="str">
        <f t="shared" ref="D9506:E9506" si="9504">TRIM(B9506)</f>
        <v>New Hampshire</v>
      </c>
      <c r="E9506" s="111" t="str">
        <f t="shared" si="9504"/>
        <v>Alstead</v>
      </c>
    </row>
    <row r="9507" spans="1:5">
      <c r="A9507" s="3" t="s">
        <v>19916</v>
      </c>
      <c r="B9507" s="110" t="s">
        <v>1354</v>
      </c>
      <c r="C9507" s="111" t="s">
        <v>435</v>
      </c>
      <c r="D9507" s="111" t="str">
        <f t="shared" ref="D9507:E9507" si="9505">TRIM(B9507)</f>
        <v>New Hampshire</v>
      </c>
      <c r="E9507" s="111" t="str">
        <f t="shared" si="9505"/>
        <v>Alton</v>
      </c>
    </row>
    <row r="9508" spans="1:5">
      <c r="A9508" s="3" t="s">
        <v>19917</v>
      </c>
      <c r="B9508" s="110" t="s">
        <v>1354</v>
      </c>
      <c r="C9508" s="111" t="s">
        <v>16546</v>
      </c>
      <c r="D9508" s="111" t="str">
        <f t="shared" ref="D9508:E9508" si="9506">TRIM(B9508)</f>
        <v>New Hampshire</v>
      </c>
      <c r="E9508" s="111" t="str">
        <f t="shared" si="9506"/>
        <v>Amherst</v>
      </c>
    </row>
    <row r="9509" spans="1:5">
      <c r="A9509" s="3" t="s">
        <v>14712</v>
      </c>
      <c r="B9509" s="110" t="s">
        <v>1354</v>
      </c>
      <c r="C9509" s="111" t="s">
        <v>14119</v>
      </c>
      <c r="D9509" s="111" t="str">
        <f t="shared" ref="D9509:E9509" si="9507">TRIM(B9509)</f>
        <v>New Hampshire</v>
      </c>
      <c r="E9509" s="111" t="str">
        <f t="shared" si="9507"/>
        <v>Bedford</v>
      </c>
    </row>
    <row r="9510" spans="1:5">
      <c r="A9510" s="3" t="s">
        <v>16563</v>
      </c>
      <c r="B9510" s="110" t="s">
        <v>1354</v>
      </c>
      <c r="C9510" s="111" t="s">
        <v>4471</v>
      </c>
      <c r="D9510" s="111" t="str">
        <f t="shared" ref="D9510:E9510" si="9508">TRIM(B9510)</f>
        <v>New Hampshire</v>
      </c>
      <c r="E9510" s="111" t="str">
        <f t="shared" si="9508"/>
        <v>Belmont</v>
      </c>
    </row>
    <row r="9511" spans="1:5">
      <c r="A9511" s="3" t="s">
        <v>19918</v>
      </c>
      <c r="B9511" s="110" t="s">
        <v>1354</v>
      </c>
      <c r="C9511" s="111" t="s">
        <v>8338</v>
      </c>
      <c r="D9511" s="111" t="str">
        <f t="shared" ref="D9511:E9511" si="9509">TRIM(B9511)</f>
        <v>New Hampshire</v>
      </c>
      <c r="E9511" s="111" t="str">
        <f t="shared" si="9509"/>
        <v>Berlin</v>
      </c>
    </row>
    <row r="9512" spans="1:5">
      <c r="A9512" s="3" t="s">
        <v>19919</v>
      </c>
      <c r="B9512" s="110" t="s">
        <v>1354</v>
      </c>
      <c r="C9512" s="111" t="s">
        <v>9833</v>
      </c>
      <c r="D9512" s="111" t="str">
        <f t="shared" ref="D9512:E9512" si="9510">TRIM(B9512)</f>
        <v>New Hampshire</v>
      </c>
      <c r="E9512" s="111" t="str">
        <f t="shared" si="9510"/>
        <v>Bethlehem</v>
      </c>
    </row>
    <row r="9513" spans="1:5">
      <c r="A9513" s="3" t="s">
        <v>19920</v>
      </c>
      <c r="B9513" s="110" t="s">
        <v>1354</v>
      </c>
      <c r="C9513" s="111" t="s">
        <v>19921</v>
      </c>
      <c r="D9513" s="111" t="str">
        <f t="shared" ref="D9513:E9513" si="9511">TRIM(B9513)</f>
        <v>New Hampshire</v>
      </c>
      <c r="E9513" s="111" t="str">
        <f t="shared" si="9511"/>
        <v>Bow</v>
      </c>
    </row>
    <row r="9514" spans="1:5">
      <c r="A9514" s="3" t="s">
        <v>19922</v>
      </c>
      <c r="B9514" s="110" t="s">
        <v>1354</v>
      </c>
      <c r="C9514" s="111" t="s">
        <v>561</v>
      </c>
      <c r="D9514" s="111" t="str">
        <f t="shared" ref="D9514:E9514" si="9512">TRIM(B9514)</f>
        <v>New Hampshire</v>
      </c>
      <c r="E9514" s="111" t="str">
        <f t="shared" si="9512"/>
        <v>Bristol</v>
      </c>
    </row>
    <row r="9515" spans="1:5">
      <c r="A9515" s="3" t="s">
        <v>19923</v>
      </c>
      <c r="B9515" s="110" t="s">
        <v>1354</v>
      </c>
      <c r="C9515" s="111" t="s">
        <v>19924</v>
      </c>
      <c r="D9515" s="111" t="str">
        <f t="shared" ref="D9515:E9515" si="9513">TRIM(B9515)</f>
        <v>New Hampshire</v>
      </c>
      <c r="E9515" s="111" t="str">
        <f t="shared" si="9513"/>
        <v>Canaan</v>
      </c>
    </row>
    <row r="9516" spans="1:5">
      <c r="A9516" s="3" t="s">
        <v>19925</v>
      </c>
      <c r="B9516" s="110" t="s">
        <v>1354</v>
      </c>
      <c r="C9516" s="111" t="s">
        <v>4692</v>
      </c>
      <c r="D9516" s="111" t="str">
        <f t="shared" ref="D9516:E9516" si="9514">TRIM(B9516)</f>
        <v>New Hampshire</v>
      </c>
      <c r="E9516" s="111" t="str">
        <f t="shared" si="9514"/>
        <v>Claremont</v>
      </c>
    </row>
    <row r="9517" spans="1:5">
      <c r="A9517" s="3" t="s">
        <v>19926</v>
      </c>
      <c r="B9517" s="110" t="s">
        <v>1354</v>
      </c>
      <c r="C9517" s="111" t="s">
        <v>19927</v>
      </c>
      <c r="D9517" s="111" t="str">
        <f t="shared" ref="D9517:E9517" si="9515">TRIM(B9517)</f>
        <v>New Hampshire</v>
      </c>
      <c r="E9517" s="111" t="str">
        <f t="shared" si="9515"/>
        <v>Colebrook</v>
      </c>
    </row>
    <row r="9518" spans="1:5">
      <c r="A9518" s="110" t="s">
        <v>19928</v>
      </c>
      <c r="B9518" s="110" t="s">
        <v>1354</v>
      </c>
      <c r="C9518" s="111" t="s">
        <v>286</v>
      </c>
      <c r="D9518" s="111" t="str">
        <f t="shared" ref="D9518:E9518" si="9516">TRIM(B9518)</f>
        <v>New Hampshire</v>
      </c>
      <c r="E9518" s="111" t="str">
        <f t="shared" si="9516"/>
        <v>Concord</v>
      </c>
    </row>
    <row r="9519" spans="1:5">
      <c r="A9519" s="3" t="s">
        <v>3702</v>
      </c>
      <c r="B9519" s="110" t="s">
        <v>1354</v>
      </c>
      <c r="C9519" s="111" t="s">
        <v>286</v>
      </c>
      <c r="D9519" s="111" t="str">
        <f t="shared" ref="D9519:E9519" si="9517">TRIM(B9519)</f>
        <v>New Hampshire</v>
      </c>
      <c r="E9519" s="111" t="str">
        <f t="shared" si="9517"/>
        <v>Concord</v>
      </c>
    </row>
    <row r="9520" spans="1:5">
      <c r="A9520" s="3" t="s">
        <v>16680</v>
      </c>
      <c r="B9520" s="110" t="s">
        <v>1354</v>
      </c>
      <c r="C9520" s="111" t="s">
        <v>19929</v>
      </c>
      <c r="D9520" s="111" t="str">
        <f t="shared" ref="D9520:E9520" si="9518">TRIM(B9520)</f>
        <v>New Hampshire</v>
      </c>
      <c r="E9520" s="111" t="str">
        <f t="shared" si="9518"/>
        <v>Contoocook</v>
      </c>
    </row>
    <row r="9521" spans="1:5">
      <c r="A9521" s="110" t="s">
        <v>19930</v>
      </c>
      <c r="B9521" s="110" t="s">
        <v>1354</v>
      </c>
      <c r="C9521" s="111" t="s">
        <v>19931</v>
      </c>
      <c r="D9521" s="111" t="str">
        <f t="shared" ref="D9521:E9521" si="9519">TRIM(B9521)</f>
        <v>New Hampshire</v>
      </c>
      <c r="E9521" s="111" t="str">
        <f t="shared" si="9519"/>
        <v>Derry</v>
      </c>
    </row>
    <row r="9522" spans="1:5">
      <c r="A9522" s="3" t="s">
        <v>19932</v>
      </c>
      <c r="B9522" s="110" t="s">
        <v>1354</v>
      </c>
      <c r="C9522" s="112" t="s">
        <v>19931</v>
      </c>
      <c r="D9522" s="111" t="str">
        <f t="shared" ref="D9522:E9522" si="9520">TRIM(B9522)</f>
        <v>New Hampshire</v>
      </c>
      <c r="E9522" s="111" t="str">
        <f t="shared" si="9520"/>
        <v>Derry</v>
      </c>
    </row>
    <row r="9523" spans="1:5">
      <c r="A9523" s="3" t="s">
        <v>19933</v>
      </c>
      <c r="B9523" s="110" t="s">
        <v>1354</v>
      </c>
      <c r="C9523" s="111" t="s">
        <v>3744</v>
      </c>
      <c r="D9523" s="111" t="str">
        <f t="shared" ref="D9523:E9523" si="9521">TRIM(B9523)</f>
        <v>New Hampshire</v>
      </c>
      <c r="E9523" s="111" t="str">
        <f t="shared" si="9521"/>
        <v>Dover</v>
      </c>
    </row>
    <row r="9524" spans="1:5">
      <c r="A9524" s="3" t="s">
        <v>19934</v>
      </c>
      <c r="B9524" s="110" t="s">
        <v>1354</v>
      </c>
      <c r="C9524" s="111" t="s">
        <v>3744</v>
      </c>
      <c r="D9524" s="111" t="str">
        <f t="shared" ref="D9524:E9524" si="9522">TRIM(B9524)</f>
        <v>New Hampshire</v>
      </c>
      <c r="E9524" s="111" t="str">
        <f t="shared" si="9522"/>
        <v>Dover</v>
      </c>
    </row>
    <row r="9525" spans="1:5">
      <c r="A9525" s="3" t="s">
        <v>19935</v>
      </c>
      <c r="B9525" s="110" t="s">
        <v>1354</v>
      </c>
      <c r="C9525" s="111" t="s">
        <v>4872</v>
      </c>
      <c r="D9525" s="111" t="str">
        <f t="shared" ref="D9525:E9525" si="9523">TRIM(B9525)</f>
        <v>New Hampshire</v>
      </c>
      <c r="E9525" s="111" t="str">
        <f t="shared" si="9523"/>
        <v>Durham</v>
      </c>
    </row>
    <row r="9526" spans="1:5">
      <c r="A9526" s="3" t="s">
        <v>19936</v>
      </c>
      <c r="B9526" s="110" t="s">
        <v>1354</v>
      </c>
      <c r="C9526" s="111" t="s">
        <v>19937</v>
      </c>
      <c r="D9526" s="111" t="str">
        <f t="shared" ref="D9526:E9526" si="9524">TRIM(B9526)</f>
        <v>New Hampshire</v>
      </c>
      <c r="E9526" s="111" t="str">
        <f t="shared" si="9524"/>
        <v>E. Swanzey</v>
      </c>
    </row>
    <row r="9527" spans="1:5">
      <c r="A9527" s="3" t="s">
        <v>19938</v>
      </c>
      <c r="B9527" s="110" t="s">
        <v>1354</v>
      </c>
      <c r="C9527" s="111" t="s">
        <v>19939</v>
      </c>
      <c r="D9527" s="111" t="str">
        <f t="shared" ref="D9527:E9527" si="9525">TRIM(B9527)</f>
        <v>New Hampshire</v>
      </c>
      <c r="E9527" s="111" t="str">
        <f t="shared" si="9525"/>
        <v>Epping</v>
      </c>
    </row>
    <row r="9528" spans="1:5">
      <c r="A9528" s="3" t="s">
        <v>18758</v>
      </c>
      <c r="B9528" s="110" t="s">
        <v>1354</v>
      </c>
      <c r="C9528" s="111" t="s">
        <v>4991</v>
      </c>
      <c r="D9528" s="111" t="str">
        <f t="shared" ref="D9528:E9528" si="9526">TRIM(B9528)</f>
        <v>New Hampshire</v>
      </c>
      <c r="E9528" s="111" t="str">
        <f t="shared" si="9526"/>
        <v>Exeter</v>
      </c>
    </row>
    <row r="9529" spans="1:5">
      <c r="A9529" s="110" t="s">
        <v>19940</v>
      </c>
      <c r="B9529" s="110" t="s">
        <v>1354</v>
      </c>
      <c r="C9529" s="111" t="s">
        <v>4991</v>
      </c>
      <c r="D9529" s="111" t="str">
        <f t="shared" ref="D9529:E9529" si="9527">TRIM(B9529)</f>
        <v>New Hampshire</v>
      </c>
      <c r="E9529" s="111" t="str">
        <f t="shared" si="9527"/>
        <v>Exeter</v>
      </c>
    </row>
    <row r="9530" spans="1:5">
      <c r="A9530" s="3" t="s">
        <v>19941</v>
      </c>
      <c r="B9530" s="110" t="s">
        <v>1354</v>
      </c>
      <c r="C9530" s="111" t="s">
        <v>3773</v>
      </c>
      <c r="D9530" s="111" t="str">
        <f t="shared" ref="D9530:E9530" si="9528">TRIM(B9530)</f>
        <v>New Hampshire</v>
      </c>
      <c r="E9530" s="111" t="str">
        <f t="shared" si="9528"/>
        <v>Farmington</v>
      </c>
    </row>
    <row r="9531" spans="1:5">
      <c r="A9531" s="3" t="s">
        <v>4937</v>
      </c>
      <c r="B9531" s="110" t="s">
        <v>1354</v>
      </c>
      <c r="C9531" s="111" t="s">
        <v>525</v>
      </c>
      <c r="D9531" s="111" t="str">
        <f t="shared" ref="D9531:E9531" si="9529">TRIM(B9531)</f>
        <v>New Hampshire</v>
      </c>
      <c r="E9531" s="111" t="str">
        <f t="shared" si="9529"/>
        <v>Franklin</v>
      </c>
    </row>
    <row r="9532" spans="1:5">
      <c r="A9532" s="3" t="s">
        <v>19942</v>
      </c>
      <c r="B9532" s="110" t="s">
        <v>1354</v>
      </c>
      <c r="C9532" s="111" t="s">
        <v>19943</v>
      </c>
      <c r="D9532" s="111" t="str">
        <f t="shared" ref="D9532:E9532" si="9530">TRIM(B9532)</f>
        <v>New Hampshire</v>
      </c>
      <c r="E9532" s="111" t="str">
        <f t="shared" si="9530"/>
        <v>Gilford</v>
      </c>
    </row>
    <row r="9533" spans="1:5">
      <c r="A9533" s="3" t="s">
        <v>19944</v>
      </c>
      <c r="B9533" s="110" t="s">
        <v>1354</v>
      </c>
      <c r="C9533" s="111" t="s">
        <v>19945</v>
      </c>
      <c r="D9533" s="111" t="str">
        <f t="shared" ref="D9533:E9533" si="9531">TRIM(B9533)</f>
        <v>New Hampshire</v>
      </c>
      <c r="E9533" s="111" t="str">
        <f t="shared" si="9531"/>
        <v>Goffstown</v>
      </c>
    </row>
    <row r="9534" spans="1:5">
      <c r="A9534" s="3" t="s">
        <v>16212</v>
      </c>
      <c r="B9534" s="110" t="s">
        <v>1354</v>
      </c>
      <c r="C9534" s="111" t="s">
        <v>583</v>
      </c>
      <c r="D9534" s="111" t="str">
        <f t="shared" ref="D9534:E9534" si="9532">TRIM(B9534)</f>
        <v>New Hampshire</v>
      </c>
      <c r="E9534" s="111" t="str">
        <f t="shared" si="9532"/>
        <v>Gorham</v>
      </c>
    </row>
    <row r="9535" spans="1:5">
      <c r="A9535" s="3" t="s">
        <v>19946</v>
      </c>
      <c r="B9535" s="110" t="s">
        <v>1354</v>
      </c>
      <c r="C9535" s="111" t="s">
        <v>19947</v>
      </c>
      <c r="D9535" s="111" t="str">
        <f t="shared" ref="D9535:E9535" si="9533">TRIM(B9535)</f>
        <v>New Hampshire</v>
      </c>
      <c r="E9535" s="111" t="str">
        <f t="shared" si="9533"/>
        <v>Groveton</v>
      </c>
    </row>
    <row r="9536" spans="1:5">
      <c r="A9536" s="3" t="s">
        <v>19948</v>
      </c>
      <c r="B9536" s="110" t="s">
        <v>1354</v>
      </c>
      <c r="C9536" s="111" t="s">
        <v>3841</v>
      </c>
      <c r="D9536" s="111" t="str">
        <f t="shared" ref="D9536:E9536" si="9534">TRIM(B9536)</f>
        <v>New Hampshire</v>
      </c>
      <c r="E9536" s="111" t="str">
        <f t="shared" si="9534"/>
        <v>Hampton</v>
      </c>
    </row>
    <row r="9537" spans="1:5">
      <c r="A9537" s="3" t="s">
        <v>15296</v>
      </c>
      <c r="B9537" s="110" t="s">
        <v>1354</v>
      </c>
      <c r="C9537" s="111" t="s">
        <v>13019</v>
      </c>
      <c r="D9537" s="111" t="str">
        <f t="shared" ref="D9537:E9537" si="9535">TRIM(B9537)</f>
        <v>New Hampshire</v>
      </c>
      <c r="E9537" s="111" t="str">
        <f t="shared" si="9535"/>
        <v>Hanover</v>
      </c>
    </row>
    <row r="9538" spans="1:5">
      <c r="A9538" s="3" t="s">
        <v>19949</v>
      </c>
      <c r="B9538" s="110" t="s">
        <v>1354</v>
      </c>
      <c r="C9538" s="111" t="s">
        <v>13070</v>
      </c>
      <c r="D9538" s="111" t="str">
        <f t="shared" ref="D9538:E9538" si="9536">TRIM(B9538)</f>
        <v>New Hampshire</v>
      </c>
      <c r="E9538" s="111" t="str">
        <f t="shared" si="9536"/>
        <v>Hillsboro</v>
      </c>
    </row>
    <row r="9539" spans="1:5">
      <c r="A9539" s="3" t="s">
        <v>19349</v>
      </c>
      <c r="B9539" s="110" t="s">
        <v>1354</v>
      </c>
      <c r="C9539" s="111" t="s">
        <v>13080</v>
      </c>
      <c r="D9539" s="111" t="str">
        <f t="shared" ref="D9539:E9539" si="9537">TRIM(B9539)</f>
        <v>New Hampshire</v>
      </c>
      <c r="E9539" s="111" t="str">
        <f t="shared" si="9537"/>
        <v>Hinsdale</v>
      </c>
    </row>
    <row r="9540" spans="1:5">
      <c r="A9540" s="3" t="s">
        <v>19950</v>
      </c>
      <c r="B9540" s="110" t="s">
        <v>1354</v>
      </c>
      <c r="C9540" s="111" t="s">
        <v>19951</v>
      </c>
      <c r="D9540" s="111" t="str">
        <f t="shared" ref="D9540:E9540" si="9538">TRIM(B9540)</f>
        <v>New Hampshire</v>
      </c>
      <c r="E9540" s="111" t="str">
        <f t="shared" si="9538"/>
        <v>Hollis</v>
      </c>
    </row>
    <row r="9541" spans="1:5">
      <c r="A9541" s="3" t="s">
        <v>19952</v>
      </c>
      <c r="B9541" s="110" t="s">
        <v>1354</v>
      </c>
      <c r="C9541" s="111" t="s">
        <v>886</v>
      </c>
      <c r="D9541" s="111" t="str">
        <f t="shared" ref="D9541:E9541" si="9539">TRIM(B9541)</f>
        <v>New Hampshire</v>
      </c>
      <c r="E9541" s="111" t="str">
        <f t="shared" si="9539"/>
        <v>Hudson</v>
      </c>
    </row>
    <row r="9542" spans="1:5">
      <c r="A9542" s="3" t="s">
        <v>19953</v>
      </c>
      <c r="B9542" s="110" t="s">
        <v>1354</v>
      </c>
      <c r="C9542" s="111" t="s">
        <v>19954</v>
      </c>
      <c r="D9542" s="111" t="str">
        <f t="shared" ref="D9542:E9542" si="9540">TRIM(B9542)</f>
        <v>New Hampshire</v>
      </c>
      <c r="E9542" s="111" t="str">
        <f t="shared" si="9540"/>
        <v>Jaffrey</v>
      </c>
    </row>
    <row r="9543" spans="1:5">
      <c r="A9543" s="3" t="s">
        <v>19955</v>
      </c>
      <c r="B9543" s="110" t="s">
        <v>1354</v>
      </c>
      <c r="C9543" s="111" t="s">
        <v>11978</v>
      </c>
      <c r="D9543" s="111" t="str">
        <f t="shared" ref="D9543:E9543" si="9541">TRIM(B9543)</f>
        <v>New Hampshire</v>
      </c>
      <c r="E9543" s="111" t="str">
        <f t="shared" si="9541"/>
        <v>Keene</v>
      </c>
    </row>
    <row r="9544" spans="1:5">
      <c r="A9544" s="110" t="s">
        <v>19956</v>
      </c>
      <c r="B9544" s="110" t="s">
        <v>1354</v>
      </c>
      <c r="C9544" s="111" t="s">
        <v>11978</v>
      </c>
      <c r="D9544" s="111" t="str">
        <f t="shared" ref="D9544:E9544" si="9542">TRIM(B9544)</f>
        <v>New Hampshire</v>
      </c>
      <c r="E9544" s="111" t="str">
        <f t="shared" si="9542"/>
        <v>Keene</v>
      </c>
    </row>
    <row r="9545" spans="1:5">
      <c r="A9545" s="3" t="s">
        <v>19957</v>
      </c>
      <c r="B9545" s="110" t="s">
        <v>1354</v>
      </c>
      <c r="C9545" s="111" t="s">
        <v>3917</v>
      </c>
      <c r="D9545" s="111" t="str">
        <f t="shared" ref="D9545:E9545" si="9543">TRIM(B9545)</f>
        <v>New Hampshire</v>
      </c>
      <c r="E9545" s="111" t="str">
        <f t="shared" si="9543"/>
        <v>Kingston</v>
      </c>
    </row>
    <row r="9546" spans="1:5">
      <c r="A9546" s="3" t="s">
        <v>19958</v>
      </c>
      <c r="B9546" s="110" t="s">
        <v>1354</v>
      </c>
      <c r="C9546" s="111" t="s">
        <v>19959</v>
      </c>
      <c r="D9546" s="111" t="str">
        <f t="shared" ref="D9546:E9546" si="9544">TRIM(B9546)</f>
        <v>New Hampshire</v>
      </c>
      <c r="E9546" s="111" t="str">
        <f t="shared" si="9544"/>
        <v>Laconia</v>
      </c>
    </row>
    <row r="9547" spans="1:5">
      <c r="A9547" s="3" t="s">
        <v>19960</v>
      </c>
      <c r="B9547" s="110" t="s">
        <v>1354</v>
      </c>
      <c r="C9547" s="111" t="s">
        <v>19961</v>
      </c>
      <c r="D9547" s="111" t="str">
        <f t="shared" ref="D9547:E9547" si="9545">TRIM(B9547)</f>
        <v>New Hampshire</v>
      </c>
      <c r="E9547" s="111" t="str">
        <f t="shared" si="9545"/>
        <v>Langdon</v>
      </c>
    </row>
    <row r="9548" spans="1:5">
      <c r="A9548" s="3" t="s">
        <v>13191</v>
      </c>
      <c r="B9548" s="110" t="s">
        <v>1354</v>
      </c>
      <c r="C9548" s="111" t="s">
        <v>8525</v>
      </c>
      <c r="D9548" s="111" t="str">
        <f t="shared" ref="D9548:E9548" si="9546">TRIM(B9548)</f>
        <v>New Hampshire</v>
      </c>
      <c r="E9548" s="111" t="str">
        <f t="shared" si="9546"/>
        <v>Lebanon</v>
      </c>
    </row>
    <row r="9549" spans="1:5">
      <c r="A9549" s="110" t="s">
        <v>19962</v>
      </c>
      <c r="B9549" s="110" t="s">
        <v>1354</v>
      </c>
      <c r="C9549" s="111" t="s">
        <v>8525</v>
      </c>
      <c r="D9549" s="111" t="str">
        <f t="shared" ref="D9549:E9549" si="9547">TRIM(B9549)</f>
        <v>New Hampshire</v>
      </c>
      <c r="E9549" s="111" t="str">
        <f t="shared" si="9547"/>
        <v>Lebanon</v>
      </c>
    </row>
    <row r="9550" spans="1:5">
      <c r="A9550" s="3" t="s">
        <v>19963</v>
      </c>
      <c r="B9550" s="110" t="s">
        <v>1354</v>
      </c>
      <c r="C9550" s="111" t="s">
        <v>1283</v>
      </c>
      <c r="D9550" s="111" t="str">
        <f t="shared" ref="D9550:E9550" si="9548">TRIM(B9550)</f>
        <v>New Hampshire</v>
      </c>
      <c r="E9550" s="111" t="str">
        <f t="shared" si="9548"/>
        <v>Lincoln</v>
      </c>
    </row>
    <row r="9551" spans="1:5">
      <c r="A9551" s="3" t="s">
        <v>19964</v>
      </c>
      <c r="B9551" s="110" t="s">
        <v>1354</v>
      </c>
      <c r="C9551" s="111" t="s">
        <v>14934</v>
      </c>
      <c r="D9551" s="111" t="str">
        <f t="shared" ref="D9551:E9551" si="9549">TRIM(B9551)</f>
        <v>New Hampshire</v>
      </c>
      <c r="E9551" s="111" t="str">
        <f t="shared" si="9549"/>
        <v>Lisbon</v>
      </c>
    </row>
    <row r="9552" spans="1:5">
      <c r="A9552" s="3" t="s">
        <v>11261</v>
      </c>
      <c r="B9552" s="110" t="s">
        <v>1354</v>
      </c>
      <c r="C9552" s="111" t="s">
        <v>8531</v>
      </c>
      <c r="D9552" s="111" t="str">
        <f t="shared" ref="D9552:E9552" si="9550">TRIM(B9552)</f>
        <v>New Hampshire</v>
      </c>
      <c r="E9552" s="111" t="str">
        <f t="shared" si="9550"/>
        <v>Litchfield</v>
      </c>
    </row>
    <row r="9553" spans="1:5">
      <c r="A9553" s="3" t="s">
        <v>8073</v>
      </c>
      <c r="B9553" s="110" t="s">
        <v>1354</v>
      </c>
      <c r="C9553" s="111" t="s">
        <v>8066</v>
      </c>
      <c r="D9553" s="111" t="str">
        <f t="shared" ref="D9553:E9553" si="9551">TRIM(B9553)</f>
        <v>New Hampshire</v>
      </c>
      <c r="E9553" s="111" t="str">
        <f t="shared" si="9551"/>
        <v>Littleton</v>
      </c>
    </row>
    <row r="9554" spans="1:5">
      <c r="A9554" s="3" t="s">
        <v>19965</v>
      </c>
      <c r="B9554" s="110" t="s">
        <v>1354</v>
      </c>
      <c r="C9554" s="111" t="s">
        <v>8066</v>
      </c>
      <c r="D9554" s="111" t="str">
        <f t="shared" ref="D9554:E9554" si="9552">TRIM(B9554)</f>
        <v>New Hampshire</v>
      </c>
      <c r="E9554" s="111" t="str">
        <f t="shared" si="9552"/>
        <v>Littleton</v>
      </c>
    </row>
    <row r="9555" spans="1:5">
      <c r="A9555" s="3" t="s">
        <v>19966</v>
      </c>
      <c r="B9555" s="110" t="s">
        <v>1354</v>
      </c>
      <c r="C9555" s="111" t="s">
        <v>19967</v>
      </c>
      <c r="D9555" s="111" t="str">
        <f t="shared" ref="D9555:E9555" si="9553">TRIM(B9555)</f>
        <v>New Hampshire</v>
      </c>
      <c r="E9555" s="111" t="str">
        <f t="shared" si="9553"/>
        <v>Londonderry</v>
      </c>
    </row>
    <row r="9556" spans="1:5">
      <c r="A9556" s="3" t="s">
        <v>19968</v>
      </c>
      <c r="B9556" s="110" t="s">
        <v>1354</v>
      </c>
      <c r="C9556" s="111" t="s">
        <v>8540</v>
      </c>
      <c r="D9556" s="111" t="str">
        <f t="shared" ref="D9556:E9556" si="9554">TRIM(B9556)</f>
        <v>New Hampshire</v>
      </c>
      <c r="E9556" s="111" t="str">
        <f t="shared" si="9554"/>
        <v>Manchester</v>
      </c>
    </row>
    <row r="9557" spans="1:5">
      <c r="A9557" s="110" t="s">
        <v>19969</v>
      </c>
      <c r="B9557" s="110" t="s">
        <v>1354</v>
      </c>
      <c r="C9557" s="111" t="s">
        <v>8540</v>
      </c>
      <c r="D9557" s="111" t="str">
        <f t="shared" ref="D9557:E9557" si="9555">TRIM(B9557)</f>
        <v>New Hampshire</v>
      </c>
      <c r="E9557" s="111" t="str">
        <f t="shared" si="9555"/>
        <v>Manchester</v>
      </c>
    </row>
    <row r="9558" spans="1:5">
      <c r="A9558" s="3" t="s">
        <v>19970</v>
      </c>
      <c r="B9558" s="110" t="s">
        <v>1354</v>
      </c>
      <c r="C9558" s="111" t="s">
        <v>8540</v>
      </c>
      <c r="D9558" s="111" t="str">
        <f t="shared" ref="D9558:E9558" si="9556">TRIM(B9558)</f>
        <v>New Hampshire</v>
      </c>
      <c r="E9558" s="111" t="str">
        <f t="shared" si="9556"/>
        <v>Manchester</v>
      </c>
    </row>
    <row r="9559" spans="1:5">
      <c r="A9559" s="3" t="s">
        <v>19971</v>
      </c>
      <c r="B9559" s="110" t="s">
        <v>1354</v>
      </c>
      <c r="C9559" s="111" t="s">
        <v>8540</v>
      </c>
      <c r="D9559" s="111" t="str">
        <f t="shared" ref="D9559:E9559" si="9557">TRIM(B9559)</f>
        <v>New Hampshire</v>
      </c>
      <c r="E9559" s="111" t="str">
        <f t="shared" si="9557"/>
        <v>Manchester</v>
      </c>
    </row>
    <row r="9560" spans="1:5">
      <c r="A9560" s="3" t="s">
        <v>19972</v>
      </c>
      <c r="B9560" s="110" t="s">
        <v>1354</v>
      </c>
      <c r="C9560" s="111" t="s">
        <v>8540</v>
      </c>
      <c r="D9560" s="111" t="str">
        <f t="shared" ref="D9560:E9560" si="9558">TRIM(B9560)</f>
        <v>New Hampshire</v>
      </c>
      <c r="E9560" s="111" t="str">
        <f t="shared" si="9558"/>
        <v>Manchester</v>
      </c>
    </row>
    <row r="9561" spans="1:5">
      <c r="A9561" s="3" t="s">
        <v>19973</v>
      </c>
      <c r="B9561" s="110" t="s">
        <v>1354</v>
      </c>
      <c r="C9561" s="111" t="s">
        <v>8540</v>
      </c>
      <c r="D9561" s="111" t="str">
        <f t="shared" ref="D9561:E9561" si="9559">TRIM(B9561)</f>
        <v>New Hampshire</v>
      </c>
      <c r="E9561" s="111" t="str">
        <f t="shared" si="9559"/>
        <v>Manchester</v>
      </c>
    </row>
    <row r="9562" spans="1:5">
      <c r="A9562" s="3" t="s">
        <v>19974</v>
      </c>
      <c r="B9562" s="110" t="s">
        <v>1354</v>
      </c>
      <c r="C9562" s="111" t="s">
        <v>8540</v>
      </c>
      <c r="D9562" s="111" t="str">
        <f t="shared" ref="D9562:E9562" si="9560">TRIM(B9562)</f>
        <v>New Hampshire</v>
      </c>
      <c r="E9562" s="111" t="str">
        <f t="shared" si="9560"/>
        <v>Manchester</v>
      </c>
    </row>
    <row r="9563" spans="1:5">
      <c r="A9563" s="3" t="s">
        <v>19975</v>
      </c>
      <c r="B9563" s="110" t="s">
        <v>1354</v>
      </c>
      <c r="C9563" s="111" t="s">
        <v>19976</v>
      </c>
      <c r="D9563" s="111" t="str">
        <f t="shared" ref="D9563:E9563" si="9561">TRIM(B9563)</f>
        <v>New Hampshire</v>
      </c>
      <c r="E9563" s="111" t="str">
        <f t="shared" si="9561"/>
        <v>Meredith</v>
      </c>
    </row>
    <row r="9564" spans="1:5">
      <c r="A9564" s="3" t="s">
        <v>19977</v>
      </c>
      <c r="B9564" s="110" t="s">
        <v>1354</v>
      </c>
      <c r="C9564" s="111" t="s">
        <v>19978</v>
      </c>
      <c r="D9564" s="111" t="str">
        <f t="shared" ref="D9564:E9564" si="9562">TRIM(B9564)</f>
        <v>New Hampshire</v>
      </c>
      <c r="E9564" s="111" t="str">
        <f t="shared" si="9562"/>
        <v>Merrimack</v>
      </c>
    </row>
    <row r="9565" spans="1:5">
      <c r="A9565" s="3" t="s">
        <v>16743</v>
      </c>
      <c r="B9565" s="110" t="s">
        <v>1354</v>
      </c>
      <c r="C9565" s="111" t="s">
        <v>8552</v>
      </c>
      <c r="D9565" s="111" t="str">
        <f t="shared" ref="D9565:E9565" si="9563">TRIM(B9565)</f>
        <v>New Hampshire</v>
      </c>
      <c r="E9565" s="111" t="str">
        <f t="shared" si="9563"/>
        <v>Milford</v>
      </c>
    </row>
    <row r="9566" spans="1:5">
      <c r="A9566" s="3" t="s">
        <v>19979</v>
      </c>
      <c r="B9566" s="110" t="s">
        <v>1354</v>
      </c>
      <c r="C9566" s="111" t="s">
        <v>503</v>
      </c>
      <c r="D9566" s="111" t="str">
        <f t="shared" ref="D9566:E9566" si="9564">TRIM(B9566)</f>
        <v>New Hampshire</v>
      </c>
      <c r="E9566" s="111" t="str">
        <f t="shared" si="9564"/>
        <v>Milton</v>
      </c>
    </row>
    <row r="9567" spans="1:5">
      <c r="A9567" s="3" t="s">
        <v>19980</v>
      </c>
      <c r="B9567" s="110" t="s">
        <v>1354</v>
      </c>
      <c r="C9567" s="111" t="s">
        <v>19981</v>
      </c>
      <c r="D9567" s="111" t="str">
        <f t="shared" ref="D9567:E9567" si="9565">TRIM(B9567)</f>
        <v>New Hampshire</v>
      </c>
      <c r="E9567" s="111" t="str">
        <f t="shared" si="9565"/>
        <v>Moultonborough</v>
      </c>
    </row>
    <row r="9568" spans="1:5">
      <c r="A9568" s="3" t="s">
        <v>19982</v>
      </c>
      <c r="B9568" s="110" t="s">
        <v>1354</v>
      </c>
      <c r="C9568" s="111" t="s">
        <v>11963</v>
      </c>
      <c r="D9568" s="111" t="str">
        <f t="shared" ref="D9568:E9568" si="9566">TRIM(B9568)</f>
        <v>New Hampshire</v>
      </c>
      <c r="E9568" s="111" t="str">
        <f t="shared" si="9566"/>
        <v>Nashua</v>
      </c>
    </row>
    <row r="9569" spans="1:5">
      <c r="A9569" s="3" t="s">
        <v>19983</v>
      </c>
      <c r="B9569" s="110" t="s">
        <v>1354</v>
      </c>
      <c r="C9569" s="111" t="s">
        <v>11963</v>
      </c>
      <c r="D9569" s="111" t="str">
        <f t="shared" ref="D9569:E9569" si="9567">TRIM(B9569)</f>
        <v>New Hampshire</v>
      </c>
      <c r="E9569" s="111" t="str">
        <f t="shared" si="9567"/>
        <v>Nashua</v>
      </c>
    </row>
    <row r="9570" spans="1:5">
      <c r="A9570" s="3" t="s">
        <v>19984</v>
      </c>
      <c r="B9570" s="110" t="s">
        <v>1354</v>
      </c>
      <c r="C9570" s="111" t="s">
        <v>11963</v>
      </c>
      <c r="D9570" s="111" t="str">
        <f t="shared" ref="D9570:E9570" si="9568">TRIM(B9570)</f>
        <v>New Hampshire</v>
      </c>
      <c r="E9570" s="111" t="str">
        <f t="shared" si="9568"/>
        <v>Nashua</v>
      </c>
    </row>
    <row r="9571" spans="1:5">
      <c r="A9571" s="3" t="s">
        <v>19985</v>
      </c>
      <c r="B9571" s="110" t="s">
        <v>1354</v>
      </c>
      <c r="C9571" s="111" t="s">
        <v>19986</v>
      </c>
      <c r="D9571" s="111" t="str">
        <f t="shared" ref="D9571:E9571" si="9569">TRIM(B9571)</f>
        <v>New Hampshire</v>
      </c>
      <c r="E9571" s="111" t="str">
        <f t="shared" si="9569"/>
        <v>New Ipswich</v>
      </c>
    </row>
    <row r="9572" spans="1:5">
      <c r="A9572" s="3" t="s">
        <v>19987</v>
      </c>
      <c r="B9572" s="110" t="s">
        <v>1354</v>
      </c>
      <c r="C9572" s="111" t="s">
        <v>19988</v>
      </c>
      <c r="D9572" s="111" t="str">
        <f t="shared" ref="D9572:E9572" si="9570">TRIM(B9572)</f>
        <v>New Hampshire</v>
      </c>
      <c r="E9572" s="111" t="str">
        <f t="shared" si="9570"/>
        <v>Newmarket</v>
      </c>
    </row>
    <row r="9573" spans="1:5">
      <c r="A9573" s="3" t="s">
        <v>19989</v>
      </c>
      <c r="B9573" s="110" t="s">
        <v>1354</v>
      </c>
      <c r="C9573" s="111" t="s">
        <v>4078</v>
      </c>
      <c r="D9573" s="111" t="str">
        <f t="shared" ref="D9573:E9573" si="9571">TRIM(B9573)</f>
        <v>New Hampshire</v>
      </c>
      <c r="E9573" s="111" t="str">
        <f t="shared" si="9571"/>
        <v>Newport</v>
      </c>
    </row>
    <row r="9574" spans="1:5">
      <c r="A9574" s="3" t="s">
        <v>18881</v>
      </c>
      <c r="B9574" s="110" t="s">
        <v>1354</v>
      </c>
      <c r="C9574" s="111" t="s">
        <v>19990</v>
      </c>
      <c r="D9574" s="111" t="str">
        <f t="shared" ref="D9574:E9574" si="9572">TRIM(B9574)</f>
        <v>New Hampshire</v>
      </c>
      <c r="E9574" s="111" t="str">
        <f t="shared" si="9572"/>
        <v>North Conway</v>
      </c>
    </row>
    <row r="9575" spans="1:5">
      <c r="A9575" s="3" t="s">
        <v>19991</v>
      </c>
      <c r="B9575" s="110" t="s">
        <v>1354</v>
      </c>
      <c r="C9575" s="111" t="s">
        <v>19992</v>
      </c>
      <c r="D9575" s="111" t="str">
        <f t="shared" ref="D9575:E9575" si="9573">TRIM(B9575)</f>
        <v>New Hampshire</v>
      </c>
      <c r="E9575" s="111" t="str">
        <f t="shared" si="9573"/>
        <v>North Sutton</v>
      </c>
    </row>
    <row r="9576" spans="1:5">
      <c r="A9576" s="3" t="s">
        <v>19993</v>
      </c>
      <c r="B9576" s="110" t="s">
        <v>1354</v>
      </c>
      <c r="C9576" s="111" t="s">
        <v>15000</v>
      </c>
      <c r="D9576" s="111" t="str">
        <f t="shared" ref="D9576:E9576" si="9574">TRIM(B9576)</f>
        <v>New Hampshire</v>
      </c>
      <c r="E9576" s="111" t="str">
        <f t="shared" si="9574"/>
        <v>Northwood</v>
      </c>
    </row>
    <row r="9577" spans="1:5">
      <c r="A9577" s="3" t="s">
        <v>2078</v>
      </c>
      <c r="B9577" s="110" t="s">
        <v>1354</v>
      </c>
      <c r="C9577" s="111" t="s">
        <v>2079</v>
      </c>
      <c r="D9577" s="111" t="str">
        <f t="shared" ref="D9577:E9577" si="9575">TRIM(B9577)</f>
        <v>New Hampshire</v>
      </c>
      <c r="E9577" s="111" t="str">
        <f t="shared" si="9575"/>
        <v>Pelham</v>
      </c>
    </row>
    <row r="9578" spans="1:5">
      <c r="A9578" s="3" t="s">
        <v>19994</v>
      </c>
      <c r="B9578" s="110" t="s">
        <v>1354</v>
      </c>
      <c r="C9578" s="111" t="s">
        <v>11161</v>
      </c>
      <c r="D9578" s="111" t="str">
        <f t="shared" ref="D9578:E9578" si="9576">TRIM(B9578)</f>
        <v>New Hampshire</v>
      </c>
      <c r="E9578" s="111" t="str">
        <f t="shared" si="9576"/>
        <v>Pembroke</v>
      </c>
    </row>
    <row r="9579" spans="1:5">
      <c r="A9579" s="110" t="s">
        <v>19995</v>
      </c>
      <c r="B9579" s="110" t="s">
        <v>1354</v>
      </c>
      <c r="C9579" s="111" t="s">
        <v>19996</v>
      </c>
      <c r="D9579" s="111" t="str">
        <f t="shared" ref="D9579:E9579" si="9577">TRIM(B9579)</f>
        <v>New Hampshire</v>
      </c>
      <c r="E9579" s="111" t="str">
        <f t="shared" si="9577"/>
        <v>Penacook</v>
      </c>
    </row>
    <row r="9580" spans="1:5">
      <c r="A9580" s="3" t="s">
        <v>19997</v>
      </c>
      <c r="B9580" s="110" t="s">
        <v>1354</v>
      </c>
      <c r="C9580" s="111" t="s">
        <v>19996</v>
      </c>
      <c r="D9580" s="111" t="str">
        <f t="shared" ref="D9580:E9580" si="9578">TRIM(B9580)</f>
        <v>New Hampshire</v>
      </c>
      <c r="E9580" s="111" t="str">
        <f t="shared" si="9578"/>
        <v>Penacook</v>
      </c>
    </row>
    <row r="9581" spans="1:5">
      <c r="A9581" s="3" t="s">
        <v>19998</v>
      </c>
      <c r="B9581" s="110" t="s">
        <v>1354</v>
      </c>
      <c r="C9581" s="111" t="s">
        <v>19999</v>
      </c>
      <c r="D9581" s="111" t="str">
        <f t="shared" ref="D9581:E9581" si="9579">TRIM(B9581)</f>
        <v>New Hampshire</v>
      </c>
      <c r="E9581" s="111" t="str">
        <f t="shared" si="9579"/>
        <v>Peterborough</v>
      </c>
    </row>
    <row r="9582" spans="1:5">
      <c r="A9582" s="3" t="s">
        <v>20000</v>
      </c>
      <c r="B9582" s="110" t="s">
        <v>1354</v>
      </c>
      <c r="C9582" s="111" t="s">
        <v>6388</v>
      </c>
      <c r="D9582" s="111" t="str">
        <f t="shared" ref="D9582:E9582" si="9580">TRIM(B9582)</f>
        <v>New Hampshire</v>
      </c>
      <c r="E9582" s="111" t="str">
        <f t="shared" si="9580"/>
        <v>Pittsburg</v>
      </c>
    </row>
    <row r="9583" spans="1:5">
      <c r="A9583" s="3" t="s">
        <v>13630</v>
      </c>
      <c r="B9583" s="110" t="s">
        <v>1354</v>
      </c>
      <c r="C9583" s="111" t="s">
        <v>11019</v>
      </c>
      <c r="D9583" s="111" t="str">
        <f t="shared" ref="D9583:E9583" si="9581">TRIM(B9583)</f>
        <v>New Hampshire</v>
      </c>
      <c r="E9583" s="111" t="str">
        <f t="shared" si="9581"/>
        <v>Pittsfield</v>
      </c>
    </row>
    <row r="9584" spans="1:5">
      <c r="A9584" s="3" t="s">
        <v>20001</v>
      </c>
      <c r="B9584" s="110" t="s">
        <v>1354</v>
      </c>
      <c r="C9584" s="111" t="s">
        <v>20002</v>
      </c>
      <c r="D9584" s="111" t="str">
        <f t="shared" ref="D9584:E9584" si="9582">TRIM(B9584)</f>
        <v>New Hampshire</v>
      </c>
      <c r="E9584" s="111" t="str">
        <f t="shared" si="9582"/>
        <v>Plaistow</v>
      </c>
    </row>
    <row r="9585" spans="1:5">
      <c r="A9585" s="3" t="s">
        <v>20003</v>
      </c>
      <c r="B9585" s="110" t="s">
        <v>1354</v>
      </c>
      <c r="C9585" s="111" t="s">
        <v>11518</v>
      </c>
      <c r="D9585" s="111" t="str">
        <f t="shared" ref="D9585:E9585" si="9583">TRIM(B9585)</f>
        <v>New Hampshire</v>
      </c>
      <c r="E9585" s="111" t="str">
        <f t="shared" si="9583"/>
        <v>Plymouth</v>
      </c>
    </row>
    <row r="9586" spans="1:5">
      <c r="A9586" s="3" t="s">
        <v>20004</v>
      </c>
      <c r="B9586" s="110" t="s">
        <v>1354</v>
      </c>
      <c r="C9586" s="111" t="s">
        <v>12806</v>
      </c>
      <c r="D9586" s="111" t="str">
        <f t="shared" ref="D9586:E9586" si="9584">TRIM(B9586)</f>
        <v>New Hampshire</v>
      </c>
      <c r="E9586" s="111" t="str">
        <f t="shared" si="9584"/>
        <v>Portsmouth</v>
      </c>
    </row>
    <row r="9587" spans="1:5">
      <c r="A9587" s="3" t="s">
        <v>18543</v>
      </c>
      <c r="B9587" s="110" t="s">
        <v>1354</v>
      </c>
      <c r="C9587" s="111" t="s">
        <v>3897</v>
      </c>
      <c r="D9587" s="111" t="str">
        <f t="shared" ref="D9587:E9587" si="9585">TRIM(B9587)</f>
        <v>New Hampshire</v>
      </c>
      <c r="E9587" s="111" t="str">
        <f t="shared" si="9585"/>
        <v>Raymond</v>
      </c>
    </row>
    <row r="9588" spans="1:5">
      <c r="A9588" s="3" t="s">
        <v>20005</v>
      </c>
      <c r="B9588" s="110" t="s">
        <v>1354</v>
      </c>
      <c r="C9588" s="111" t="s">
        <v>11566</v>
      </c>
      <c r="D9588" s="111" t="str">
        <f t="shared" ref="D9588:E9588" si="9586">TRIM(B9588)</f>
        <v>New Hampshire</v>
      </c>
      <c r="E9588" s="111" t="str">
        <f t="shared" si="9586"/>
        <v>Rochester</v>
      </c>
    </row>
    <row r="9589" spans="1:5">
      <c r="A9589" s="3" t="s">
        <v>20006</v>
      </c>
      <c r="B9589" s="110" t="s">
        <v>1354</v>
      </c>
      <c r="C9589" s="111" t="s">
        <v>11566</v>
      </c>
      <c r="D9589" s="111" t="str">
        <f t="shared" ref="D9589:E9589" si="9587">TRIM(B9589)</f>
        <v>New Hampshire</v>
      </c>
      <c r="E9589" s="111" t="str">
        <f t="shared" si="9587"/>
        <v>Rochester</v>
      </c>
    </row>
    <row r="9590" spans="1:5">
      <c r="A9590" s="3" t="s">
        <v>20007</v>
      </c>
      <c r="B9590" s="110" t="s">
        <v>1354</v>
      </c>
      <c r="C9590" s="111" t="s">
        <v>451</v>
      </c>
      <c r="D9590" s="111" t="str">
        <f t="shared" ref="D9590:E9590" si="9588">TRIM(B9590)</f>
        <v>New Hampshire</v>
      </c>
      <c r="E9590" s="111" t="str">
        <f t="shared" si="9588"/>
        <v>Salem</v>
      </c>
    </row>
    <row r="9591" spans="1:5">
      <c r="A9591" s="3" t="s">
        <v>4178</v>
      </c>
      <c r="B9591" s="110" t="s">
        <v>1354</v>
      </c>
      <c r="C9591" s="111" t="s">
        <v>451</v>
      </c>
      <c r="D9591" s="111" t="str">
        <f t="shared" ref="D9591:E9591" si="9589">TRIM(B9591)</f>
        <v>New Hampshire</v>
      </c>
      <c r="E9591" s="111" t="str">
        <f t="shared" si="9589"/>
        <v>Salem</v>
      </c>
    </row>
    <row r="9592" spans="1:5">
      <c r="A9592" s="3" t="s">
        <v>20008</v>
      </c>
      <c r="B9592" s="110" t="s">
        <v>1354</v>
      </c>
      <c r="C9592" s="111" t="s">
        <v>20009</v>
      </c>
      <c r="D9592" s="111" t="str">
        <f t="shared" ref="D9592:E9592" si="9590">TRIM(B9592)</f>
        <v>New Hampshire</v>
      </c>
      <c r="E9592" s="111" t="str">
        <f t="shared" si="9590"/>
        <v>Somersworth</v>
      </c>
    </row>
    <row r="9593" spans="1:5">
      <c r="A9593" s="3" t="s">
        <v>20010</v>
      </c>
      <c r="B9593" s="110" t="s">
        <v>1354</v>
      </c>
      <c r="C9593" s="111" t="s">
        <v>11981</v>
      </c>
      <c r="D9593" s="111" t="str">
        <f t="shared" ref="D9593:E9593" si="9591">TRIM(B9593)</f>
        <v>New Hampshire</v>
      </c>
      <c r="E9593" s="111" t="str">
        <f t="shared" si="9591"/>
        <v>Sunapee</v>
      </c>
    </row>
    <row r="9594" spans="1:5">
      <c r="A9594" s="3" t="s">
        <v>20011</v>
      </c>
      <c r="B9594" s="110" t="s">
        <v>1354</v>
      </c>
      <c r="C9594" s="111" t="s">
        <v>11994</v>
      </c>
      <c r="D9594" s="111" t="str">
        <f t="shared" ref="D9594:E9594" si="9592">TRIM(B9594)</f>
        <v>New Hampshire</v>
      </c>
      <c r="E9594" s="111" t="str">
        <f t="shared" si="9592"/>
        <v>Tilton</v>
      </c>
    </row>
    <row r="9595" spans="1:5">
      <c r="A9595" s="3" t="s">
        <v>20012</v>
      </c>
      <c r="B9595" s="110" t="s">
        <v>1354</v>
      </c>
      <c r="C9595" s="111" t="s">
        <v>545</v>
      </c>
      <c r="D9595" s="111" t="str">
        <f t="shared" ref="D9595:E9595" si="9593">TRIM(B9595)</f>
        <v>New Hampshire</v>
      </c>
      <c r="E9595" s="111" t="str">
        <f t="shared" si="9593"/>
        <v>Weare</v>
      </c>
    </row>
    <row r="9596" spans="1:5">
      <c r="A9596" s="3" t="s">
        <v>20013</v>
      </c>
      <c r="B9596" s="110" t="s">
        <v>1354</v>
      </c>
      <c r="C9596" s="111" t="s">
        <v>20014</v>
      </c>
      <c r="D9596" s="111" t="str">
        <f t="shared" ref="D9596:E9596" si="9594">TRIM(B9596)</f>
        <v>New Hampshire</v>
      </c>
      <c r="E9596" s="111" t="str">
        <f t="shared" si="9594"/>
        <v>Whitefield</v>
      </c>
    </row>
    <row r="9597" spans="1:5">
      <c r="A9597" s="3" t="s">
        <v>20015</v>
      </c>
      <c r="B9597" s="110" t="s">
        <v>1354</v>
      </c>
      <c r="C9597" s="111" t="s">
        <v>8766</v>
      </c>
      <c r="D9597" s="111" t="str">
        <f t="shared" ref="D9597:E9597" si="9595">TRIM(B9597)</f>
        <v>New Hampshire</v>
      </c>
      <c r="E9597" s="111" t="str">
        <f t="shared" si="9595"/>
        <v>Wilton</v>
      </c>
    </row>
    <row r="9598" spans="1:5">
      <c r="A9598" s="3" t="s">
        <v>8762</v>
      </c>
      <c r="B9598" s="110" t="s">
        <v>1354</v>
      </c>
      <c r="C9598" s="111" t="s">
        <v>16314</v>
      </c>
      <c r="D9598" s="111" t="str">
        <f t="shared" ref="D9598:E9598" si="9596">TRIM(B9598)</f>
        <v>New Hampshire</v>
      </c>
      <c r="E9598" s="111" t="str">
        <f t="shared" si="9596"/>
        <v>Windham</v>
      </c>
    </row>
    <row r="9599" spans="1:5">
      <c r="A9599" s="3" t="s">
        <v>20016</v>
      </c>
      <c r="B9599" s="110" t="s">
        <v>1354</v>
      </c>
      <c r="C9599" s="111" t="s">
        <v>11965</v>
      </c>
      <c r="D9599" s="111" t="str">
        <f t="shared" ref="D9599:E9599" si="9597">TRIM(B9599)</f>
        <v>New Hampshire</v>
      </c>
      <c r="E9599" s="111" t="str">
        <f t="shared" si="9597"/>
        <v>Wolfeboro</v>
      </c>
    </row>
    <row r="9600" spans="1:5">
      <c r="A9600" s="3" t="s">
        <v>20017</v>
      </c>
      <c r="B9600" s="110" t="s">
        <v>1354</v>
      </c>
      <c r="C9600" s="111" t="s">
        <v>20018</v>
      </c>
      <c r="D9600" s="111" t="str">
        <f t="shared" ref="D9600:E9600" si="9598">TRIM(B9600)</f>
        <v>New Hampshire</v>
      </c>
      <c r="E9600" s="111" t="str">
        <f t="shared" si="9598"/>
        <v>Woodsville</v>
      </c>
    </row>
    <row r="9601" spans="1:5">
      <c r="A9601" s="3" t="s">
        <v>20019</v>
      </c>
      <c r="B9601" s="110" t="s">
        <v>1355</v>
      </c>
      <c r="C9601" s="111" t="s">
        <v>11582</v>
      </c>
      <c r="D9601" s="111" t="str">
        <f t="shared" ref="D9601:E9601" si="9599">TRIM(B9601)</f>
        <v>New Jersey</v>
      </c>
      <c r="E9601" s="111" t="str">
        <f t="shared" si="9599"/>
        <v>Aberdeen</v>
      </c>
    </row>
    <row r="9602" spans="1:5">
      <c r="A9602" s="3" t="s">
        <v>20020</v>
      </c>
      <c r="B9602" s="110" t="s">
        <v>1355</v>
      </c>
      <c r="C9602" s="111" t="s">
        <v>16938</v>
      </c>
      <c r="D9602" s="111" t="str">
        <f t="shared" ref="D9602:E9602" si="9600">TRIM(B9602)</f>
        <v>New Jersey</v>
      </c>
      <c r="E9602" s="111" t="str">
        <f t="shared" si="9600"/>
        <v>Allendale</v>
      </c>
    </row>
    <row r="9603" spans="1:5">
      <c r="A9603" s="3" t="s">
        <v>20021</v>
      </c>
      <c r="B9603" s="110" t="s">
        <v>1355</v>
      </c>
      <c r="C9603" s="111" t="s">
        <v>244</v>
      </c>
      <c r="D9603" s="111" t="str">
        <f t="shared" ref="D9603:E9603" si="9601">TRIM(B9603)</f>
        <v>New Jersey</v>
      </c>
      <c r="E9603" s="111" t="str">
        <f t="shared" si="9601"/>
        <v>Allentown</v>
      </c>
    </row>
    <row r="9604" spans="1:5">
      <c r="A9604" s="3" t="s">
        <v>20022</v>
      </c>
      <c r="B9604" s="110" t="s">
        <v>1355</v>
      </c>
      <c r="C9604" s="111" t="s">
        <v>17709</v>
      </c>
      <c r="D9604" s="111" t="str">
        <f t="shared" ref="D9604:E9604" si="9602">TRIM(B9604)</f>
        <v>New Jersey</v>
      </c>
      <c r="E9604" s="111" t="str">
        <f t="shared" si="9602"/>
        <v>Annandale</v>
      </c>
    </row>
    <row r="9605" spans="1:5">
      <c r="A9605" s="3" t="s">
        <v>20023</v>
      </c>
      <c r="B9605" s="110" t="s">
        <v>1355</v>
      </c>
      <c r="C9605" s="111" t="s">
        <v>20024</v>
      </c>
      <c r="D9605" s="111" t="str">
        <f t="shared" ref="D9605:E9605" si="9603">TRIM(B9605)</f>
        <v>New Jersey</v>
      </c>
      <c r="E9605" s="111" t="str">
        <f t="shared" si="9603"/>
        <v>Asbury Park</v>
      </c>
    </row>
    <row r="9606" spans="1:5">
      <c r="A9606" s="3" t="s">
        <v>20025</v>
      </c>
      <c r="B9606" s="110" t="s">
        <v>1355</v>
      </c>
      <c r="C9606" s="111" t="s">
        <v>20026</v>
      </c>
      <c r="D9606" s="111" t="str">
        <f t="shared" ref="D9606:E9606" si="9604">TRIM(B9606)</f>
        <v>New Jersey</v>
      </c>
      <c r="E9606" s="111" t="str">
        <f t="shared" si="9604"/>
        <v>Atco</v>
      </c>
    </row>
    <row r="9607" spans="1:5">
      <c r="A9607" s="3" t="s">
        <v>20027</v>
      </c>
      <c r="B9607" s="110" t="s">
        <v>1355</v>
      </c>
      <c r="C9607" s="111" t="s">
        <v>20028</v>
      </c>
      <c r="D9607" s="111" t="str">
        <f t="shared" ref="D9607:E9607" si="9605">TRIM(B9607)</f>
        <v>New Jersey</v>
      </c>
      <c r="E9607" s="111" t="str">
        <f t="shared" si="9605"/>
        <v>Atlantic City</v>
      </c>
    </row>
    <row r="9608" spans="1:5">
      <c r="A9608" s="3" t="s">
        <v>20029</v>
      </c>
      <c r="B9608" s="110" t="s">
        <v>1355</v>
      </c>
      <c r="C9608" s="111" t="s">
        <v>14707</v>
      </c>
      <c r="D9608" s="111" t="str">
        <f t="shared" ref="D9608:E9608" si="9606">TRIM(B9608)</f>
        <v>New Jersey</v>
      </c>
      <c r="E9608" s="111" t="str">
        <f t="shared" si="9606"/>
        <v>Audubon</v>
      </c>
    </row>
    <row r="9609" spans="1:5">
      <c r="A9609" s="3" t="s">
        <v>20030</v>
      </c>
      <c r="B9609" s="110" t="s">
        <v>1355</v>
      </c>
      <c r="C9609" s="111" t="s">
        <v>20031</v>
      </c>
      <c r="D9609" s="111" t="str">
        <f t="shared" ref="D9609:E9609" si="9607">TRIM(B9609)</f>
        <v>New Jersey</v>
      </c>
      <c r="E9609" s="111" t="str">
        <f t="shared" si="9607"/>
        <v>Barnegat</v>
      </c>
    </row>
    <row r="9610" spans="1:5">
      <c r="A9610" s="3" t="s">
        <v>20032</v>
      </c>
      <c r="B9610" s="110" t="s">
        <v>1355</v>
      </c>
      <c r="C9610" s="111" t="s">
        <v>12203</v>
      </c>
      <c r="D9610" s="111" t="str">
        <f t="shared" ref="D9610:E9610" si="9608">TRIM(B9610)</f>
        <v>New Jersey</v>
      </c>
      <c r="E9610" s="111" t="str">
        <f t="shared" si="9608"/>
        <v>Basking Ridge</v>
      </c>
    </row>
    <row r="9611" spans="1:5">
      <c r="A9611" s="3" t="s">
        <v>20033</v>
      </c>
      <c r="B9611" s="110" t="s">
        <v>1355</v>
      </c>
      <c r="C9611" s="111" t="s">
        <v>12078</v>
      </c>
      <c r="D9611" s="111" t="str">
        <f t="shared" ref="D9611:E9611" si="9609">TRIM(B9611)</f>
        <v>New Jersey</v>
      </c>
      <c r="E9611" s="111" t="str">
        <f t="shared" si="9609"/>
        <v>Bayonne</v>
      </c>
    </row>
    <row r="9612" spans="1:5">
      <c r="A9612" s="3" t="s">
        <v>20034</v>
      </c>
      <c r="B9612" s="110" t="s">
        <v>1355</v>
      </c>
      <c r="C9612" s="111" t="s">
        <v>12078</v>
      </c>
      <c r="D9612" s="111" t="str">
        <f t="shared" ref="D9612:E9612" si="9610">TRIM(B9612)</f>
        <v>New Jersey</v>
      </c>
      <c r="E9612" s="111" t="str">
        <f t="shared" si="9610"/>
        <v>Bayonne</v>
      </c>
    </row>
    <row r="9613" spans="1:5">
      <c r="A9613" s="3" t="s">
        <v>20035</v>
      </c>
      <c r="B9613" s="110" t="s">
        <v>1355</v>
      </c>
      <c r="C9613" s="111" t="s">
        <v>20036</v>
      </c>
      <c r="D9613" s="111" t="str">
        <f t="shared" ref="D9613:E9613" si="9611">TRIM(B9613)</f>
        <v>New Jersey</v>
      </c>
      <c r="E9613" s="111" t="str">
        <f t="shared" si="9611"/>
        <v>Bayville</v>
      </c>
    </row>
    <row r="9614" spans="1:5">
      <c r="A9614" s="3" t="s">
        <v>16972</v>
      </c>
      <c r="B9614" s="110" t="s">
        <v>1355</v>
      </c>
      <c r="C9614" s="111" t="s">
        <v>10569</v>
      </c>
      <c r="D9614" s="111" t="str">
        <f t="shared" ref="D9614:E9614" si="9612">TRIM(B9614)</f>
        <v>New Jersey</v>
      </c>
      <c r="E9614" s="111" t="str">
        <f t="shared" si="9612"/>
        <v>Belleville</v>
      </c>
    </row>
    <row r="9615" spans="1:5">
      <c r="A9615" s="3" t="s">
        <v>12064</v>
      </c>
      <c r="B9615" s="110" t="s">
        <v>1355</v>
      </c>
      <c r="C9615" s="111" t="s">
        <v>12065</v>
      </c>
      <c r="D9615" s="111" t="str">
        <f t="shared" ref="D9615:E9615" si="9613">TRIM(B9615)</f>
        <v>New Jersey</v>
      </c>
      <c r="E9615" s="111" t="str">
        <f t="shared" si="9613"/>
        <v>Belvidere</v>
      </c>
    </row>
    <row r="9616" spans="1:5">
      <c r="A9616" s="3" t="s">
        <v>20037</v>
      </c>
      <c r="B9616" s="110" t="s">
        <v>1355</v>
      </c>
      <c r="C9616" s="111" t="s">
        <v>20038</v>
      </c>
      <c r="D9616" s="111" t="str">
        <f t="shared" ref="D9616:E9616" si="9614">TRIM(B9616)</f>
        <v>New Jersey</v>
      </c>
      <c r="E9616" s="111" t="str">
        <f t="shared" si="9614"/>
        <v>Bergenfield</v>
      </c>
    </row>
    <row r="9617" spans="1:5">
      <c r="A9617" s="3" t="s">
        <v>20039</v>
      </c>
      <c r="B9617" s="110" t="s">
        <v>1355</v>
      </c>
      <c r="C9617" s="111" t="s">
        <v>12051</v>
      </c>
      <c r="D9617" s="111" t="str">
        <f t="shared" ref="D9617:E9617" si="9615">TRIM(B9617)</f>
        <v>New Jersey</v>
      </c>
      <c r="E9617" s="111" t="str">
        <f t="shared" si="9615"/>
        <v>Berkeley Heights</v>
      </c>
    </row>
    <row r="9618" spans="1:5">
      <c r="A9618" s="3" t="s">
        <v>20040</v>
      </c>
      <c r="B9618" s="110" t="s">
        <v>1355</v>
      </c>
      <c r="C9618" s="111" t="s">
        <v>20041</v>
      </c>
      <c r="D9618" s="111" t="str">
        <f t="shared" ref="D9618:E9618" si="9616">TRIM(B9618)</f>
        <v>New Jersey</v>
      </c>
      <c r="E9618" s="111" t="str">
        <f t="shared" si="9616"/>
        <v>Bernardsville</v>
      </c>
    </row>
    <row r="9619" spans="1:5">
      <c r="A9619" s="3" t="s">
        <v>20042</v>
      </c>
      <c r="B9619" s="110" t="s">
        <v>1355</v>
      </c>
      <c r="C9619" s="111" t="s">
        <v>20043</v>
      </c>
      <c r="D9619" s="111" t="str">
        <f t="shared" ref="D9619:E9619" si="9617">TRIM(B9619)</f>
        <v>New Jersey</v>
      </c>
      <c r="E9619" s="111" t="str">
        <f t="shared" si="9617"/>
        <v>Blackwood</v>
      </c>
    </row>
    <row r="9620" spans="1:5">
      <c r="A9620" s="110" t="s">
        <v>20044</v>
      </c>
      <c r="B9620" s="110" t="s">
        <v>1355</v>
      </c>
      <c r="C9620" s="111" t="s">
        <v>12024</v>
      </c>
      <c r="D9620" s="111" t="str">
        <f t="shared" ref="D9620:E9620" si="9618">TRIM(B9620)</f>
        <v>New Jersey</v>
      </c>
      <c r="E9620" s="111" t="str">
        <f t="shared" si="9618"/>
        <v>Blairstown</v>
      </c>
    </row>
    <row r="9621" spans="1:5">
      <c r="A9621" s="3" t="s">
        <v>8342</v>
      </c>
      <c r="B9621" s="110" t="s">
        <v>1355</v>
      </c>
      <c r="C9621" s="111" t="s">
        <v>8344</v>
      </c>
      <c r="D9621" s="111" t="str">
        <f t="shared" ref="D9621:E9621" si="9619">TRIM(B9621)</f>
        <v>New Jersey</v>
      </c>
      <c r="E9621" s="111" t="str">
        <f t="shared" si="9619"/>
        <v>Bloomfield</v>
      </c>
    </row>
    <row r="9622" spans="1:5">
      <c r="A9622" s="3" t="s">
        <v>20045</v>
      </c>
      <c r="B9622" s="110" t="s">
        <v>1355</v>
      </c>
      <c r="C9622" s="111" t="s">
        <v>20046</v>
      </c>
      <c r="D9622" s="111" t="str">
        <f t="shared" ref="D9622:E9622" si="9620">TRIM(B9622)</f>
        <v>New Jersey</v>
      </c>
      <c r="E9622" s="111" t="str">
        <f t="shared" si="9620"/>
        <v>Bogota</v>
      </c>
    </row>
    <row r="9623" spans="1:5">
      <c r="A9623" s="3" t="s">
        <v>20047</v>
      </c>
      <c r="B9623" s="110" t="s">
        <v>1355</v>
      </c>
      <c r="C9623" s="111" t="s">
        <v>20048</v>
      </c>
      <c r="D9623" s="111" t="str">
        <f t="shared" ref="D9623:E9623" si="9621">TRIM(B9623)</f>
        <v>New Jersey</v>
      </c>
      <c r="E9623" s="111" t="str">
        <f t="shared" si="9621"/>
        <v>Boonton</v>
      </c>
    </row>
    <row r="9624" spans="1:5">
      <c r="A9624" s="3" t="s">
        <v>20049</v>
      </c>
      <c r="B9624" s="110" t="s">
        <v>1355</v>
      </c>
      <c r="C9624" s="111" t="s">
        <v>20050</v>
      </c>
      <c r="D9624" s="111" t="str">
        <f t="shared" ref="D9624:E9624" si="9622">TRIM(B9624)</f>
        <v>New Jersey</v>
      </c>
      <c r="E9624" s="111" t="str">
        <f t="shared" si="9622"/>
        <v>Bordentown</v>
      </c>
    </row>
    <row r="9625" spans="1:5">
      <c r="A9625" s="3" t="s">
        <v>20051</v>
      </c>
      <c r="B9625" s="110" t="s">
        <v>1355</v>
      </c>
      <c r="C9625" s="111" t="s">
        <v>20052</v>
      </c>
      <c r="D9625" s="111" t="str">
        <f t="shared" ref="D9625:E9625" si="9623">TRIM(B9625)</f>
        <v>New Jersey</v>
      </c>
      <c r="E9625" s="111" t="str">
        <f t="shared" si="9623"/>
        <v>Bound Brook</v>
      </c>
    </row>
    <row r="9626" spans="1:5">
      <c r="A9626" s="3" t="s">
        <v>20053</v>
      </c>
      <c r="B9626" s="110" t="s">
        <v>1355</v>
      </c>
      <c r="C9626" s="111" t="s">
        <v>20054</v>
      </c>
      <c r="D9626" s="111" t="str">
        <f t="shared" ref="D9626:E9626" si="9624">TRIM(B9626)</f>
        <v>New Jersey</v>
      </c>
      <c r="E9626" s="111" t="str">
        <f t="shared" si="9624"/>
        <v>Brick</v>
      </c>
    </row>
    <row r="9627" spans="1:5">
      <c r="A9627" s="3" t="s">
        <v>20055</v>
      </c>
      <c r="B9627" s="110" t="s">
        <v>1355</v>
      </c>
      <c r="C9627" s="111" t="s">
        <v>20056</v>
      </c>
      <c r="D9627" s="111" t="str">
        <f t="shared" ref="D9627:E9627" si="9625">TRIM(B9627)</f>
        <v>New Jersey</v>
      </c>
      <c r="E9627" s="111" t="str">
        <f t="shared" si="9625"/>
        <v>Brick Town</v>
      </c>
    </row>
    <row r="9628" spans="1:5">
      <c r="A9628" s="3" t="s">
        <v>20057</v>
      </c>
      <c r="B9628" s="110" t="s">
        <v>1355</v>
      </c>
      <c r="C9628" s="111" t="s">
        <v>20058</v>
      </c>
      <c r="D9628" s="111" t="str">
        <f t="shared" ref="D9628:E9628" si="9626">TRIM(B9628)</f>
        <v>New Jersey</v>
      </c>
      <c r="E9628" s="111" t="str">
        <f t="shared" si="9626"/>
        <v>Bridgeton</v>
      </c>
    </row>
    <row r="9629" spans="1:5">
      <c r="A9629" s="3" t="s">
        <v>20059</v>
      </c>
      <c r="B9629" s="110" t="s">
        <v>1355</v>
      </c>
      <c r="C9629" s="111" t="s">
        <v>20058</v>
      </c>
      <c r="D9629" s="111" t="str">
        <f t="shared" ref="D9629:E9629" si="9627">TRIM(B9629)</f>
        <v>New Jersey</v>
      </c>
      <c r="E9629" s="111" t="str">
        <f t="shared" si="9627"/>
        <v>Bridgeton</v>
      </c>
    </row>
    <row r="9630" spans="1:5">
      <c r="A9630" s="3" t="s">
        <v>20060</v>
      </c>
      <c r="B9630" s="110" t="s">
        <v>1355</v>
      </c>
      <c r="C9630" s="111" t="s">
        <v>16584</v>
      </c>
      <c r="D9630" s="111" t="str">
        <f t="shared" ref="D9630:E9630" si="9628">TRIM(B9630)</f>
        <v>New Jersey</v>
      </c>
      <c r="E9630" s="111" t="str">
        <f t="shared" si="9628"/>
        <v>Bridgewater</v>
      </c>
    </row>
    <row r="9631" spans="1:5">
      <c r="A9631" s="3" t="s">
        <v>20061</v>
      </c>
      <c r="B9631" s="110" t="s">
        <v>1355</v>
      </c>
      <c r="C9631" s="111" t="s">
        <v>20062</v>
      </c>
      <c r="D9631" s="111" t="str">
        <f t="shared" ref="D9631:E9631" si="9629">TRIM(B9631)</f>
        <v>New Jersey</v>
      </c>
      <c r="E9631" s="111" t="str">
        <f t="shared" si="9629"/>
        <v>Buena</v>
      </c>
    </row>
    <row r="9632" spans="1:5">
      <c r="A9632" s="3" t="s">
        <v>20063</v>
      </c>
      <c r="B9632" s="110" t="s">
        <v>1355</v>
      </c>
      <c r="C9632" s="111" t="s">
        <v>7667</v>
      </c>
      <c r="D9632" s="111" t="str">
        <f t="shared" ref="D9632:E9632" si="9630">TRIM(B9632)</f>
        <v>New Jersey</v>
      </c>
      <c r="E9632" s="111" t="str">
        <f t="shared" si="9630"/>
        <v>Burlington</v>
      </c>
    </row>
    <row r="9633" spans="1:5">
      <c r="A9633" s="3" t="s">
        <v>20064</v>
      </c>
      <c r="B9633" s="110" t="s">
        <v>1355</v>
      </c>
      <c r="C9633" s="111" t="s">
        <v>7667</v>
      </c>
      <c r="D9633" s="111" t="str">
        <f t="shared" ref="D9633:E9633" si="9631">TRIM(B9633)</f>
        <v>New Jersey</v>
      </c>
      <c r="E9633" s="111" t="str">
        <f t="shared" si="9631"/>
        <v>Burlington</v>
      </c>
    </row>
    <row r="9634" spans="1:5">
      <c r="A9634" s="3" t="s">
        <v>20065</v>
      </c>
      <c r="B9634" s="110" t="s">
        <v>1355</v>
      </c>
      <c r="C9634" s="111" t="s">
        <v>7667</v>
      </c>
      <c r="D9634" s="111" t="str">
        <f t="shared" ref="D9634:E9634" si="9632">TRIM(B9634)</f>
        <v>New Jersey</v>
      </c>
      <c r="E9634" s="111" t="str">
        <f t="shared" si="9632"/>
        <v>Burlington</v>
      </c>
    </row>
    <row r="9635" spans="1:5">
      <c r="A9635" s="3" t="s">
        <v>10389</v>
      </c>
      <c r="B9635" s="110" t="s">
        <v>1355</v>
      </c>
      <c r="C9635" s="111" t="s">
        <v>1600</v>
      </c>
      <c r="D9635" s="111" t="str">
        <f t="shared" ref="D9635:E9635" si="9633">TRIM(B9635)</f>
        <v>New Jersey</v>
      </c>
      <c r="E9635" s="111" t="str">
        <f t="shared" si="9633"/>
        <v>Butler</v>
      </c>
    </row>
    <row r="9636" spans="1:5">
      <c r="A9636" s="3" t="s">
        <v>20066</v>
      </c>
      <c r="B9636" s="110" t="s">
        <v>1355</v>
      </c>
      <c r="C9636" s="111" t="s">
        <v>773</v>
      </c>
      <c r="D9636" s="111" t="str">
        <f t="shared" ref="D9636:E9636" si="9634">TRIM(B9636)</f>
        <v>New Jersey</v>
      </c>
      <c r="E9636" s="111" t="str">
        <f t="shared" si="9634"/>
        <v>Camden</v>
      </c>
    </row>
    <row r="9637" spans="1:5">
      <c r="A9637" s="3" t="s">
        <v>20067</v>
      </c>
      <c r="B9637" s="110" t="s">
        <v>1355</v>
      </c>
      <c r="C9637" s="111" t="s">
        <v>773</v>
      </c>
      <c r="D9637" s="111" t="str">
        <f t="shared" ref="D9637:E9637" si="9635">TRIM(B9637)</f>
        <v>New Jersey</v>
      </c>
      <c r="E9637" s="111" t="str">
        <f t="shared" si="9635"/>
        <v>Camden</v>
      </c>
    </row>
    <row r="9638" spans="1:5">
      <c r="A9638" s="3" t="s">
        <v>20068</v>
      </c>
      <c r="B9638" s="110" t="s">
        <v>1355</v>
      </c>
      <c r="C9638" s="111" t="s">
        <v>773</v>
      </c>
      <c r="D9638" s="111" t="str">
        <f t="shared" ref="D9638:E9638" si="9636">TRIM(B9638)</f>
        <v>New Jersey</v>
      </c>
      <c r="E9638" s="111" t="str">
        <f t="shared" si="9636"/>
        <v>Camden</v>
      </c>
    </row>
    <row r="9639" spans="1:5">
      <c r="A9639" s="3" t="s">
        <v>20069</v>
      </c>
      <c r="B9639" s="110" t="s">
        <v>1355</v>
      </c>
      <c r="C9639" s="111" t="s">
        <v>773</v>
      </c>
      <c r="D9639" s="111" t="str">
        <f t="shared" ref="D9639:E9639" si="9637">TRIM(B9639)</f>
        <v>New Jersey</v>
      </c>
      <c r="E9639" s="111" t="str">
        <f t="shared" si="9637"/>
        <v>Camden</v>
      </c>
    </row>
    <row r="9640" spans="1:5">
      <c r="A9640" s="3" t="s">
        <v>8935</v>
      </c>
      <c r="B9640" s="110" t="s">
        <v>1355</v>
      </c>
      <c r="C9640" s="111" t="s">
        <v>773</v>
      </c>
      <c r="D9640" s="111" t="str">
        <f t="shared" ref="D9640:E9640" si="9638">TRIM(B9640)</f>
        <v>New Jersey</v>
      </c>
      <c r="E9640" s="111" t="str">
        <f t="shared" si="9638"/>
        <v>Camden</v>
      </c>
    </row>
    <row r="9641" spans="1:5">
      <c r="A9641" s="3" t="s">
        <v>20070</v>
      </c>
      <c r="B9641" s="110" t="s">
        <v>1355</v>
      </c>
      <c r="C9641" s="111" t="s">
        <v>20071</v>
      </c>
      <c r="D9641" s="111" t="str">
        <f t="shared" ref="D9641:E9641" si="9639">TRIM(B9641)</f>
        <v>New Jersey</v>
      </c>
      <c r="E9641" s="111" t="str">
        <f t="shared" si="9639"/>
        <v>Cape May</v>
      </c>
    </row>
    <row r="9642" spans="1:5">
      <c r="A9642" s="3" t="s">
        <v>20072</v>
      </c>
      <c r="B9642" s="110" t="s">
        <v>1355</v>
      </c>
      <c r="C9642" s="113" t="s">
        <v>20073</v>
      </c>
      <c r="D9642" s="111" t="str">
        <f t="shared" ref="D9642:E9642" si="9640">TRIM(B9642)</f>
        <v>New Jersey</v>
      </c>
      <c r="E9642" s="111" t="str">
        <f t="shared" si="9640"/>
        <v>Cape May Court House</v>
      </c>
    </row>
    <row r="9643" spans="1:5">
      <c r="A9643" s="3" t="s">
        <v>20074</v>
      </c>
      <c r="B9643" s="110" t="s">
        <v>1355</v>
      </c>
      <c r="C9643" s="111" t="s">
        <v>20075</v>
      </c>
      <c r="D9643" s="111" t="str">
        <f t="shared" ref="D9643:E9643" si="9641">TRIM(B9643)</f>
        <v>New Jersey</v>
      </c>
      <c r="E9643" s="111" t="str">
        <f t="shared" si="9641"/>
        <v>Carneys Point</v>
      </c>
    </row>
    <row r="9644" spans="1:5">
      <c r="A9644" s="3" t="s">
        <v>20076</v>
      </c>
      <c r="B9644" s="110" t="s">
        <v>1355</v>
      </c>
      <c r="C9644" s="111" t="s">
        <v>20077</v>
      </c>
      <c r="D9644" s="111" t="str">
        <f t="shared" ref="D9644:E9644" si="9642">TRIM(B9644)</f>
        <v>New Jersey</v>
      </c>
      <c r="E9644" s="111" t="str">
        <f t="shared" si="9642"/>
        <v>Carteret</v>
      </c>
    </row>
    <row r="9645" spans="1:5">
      <c r="A9645" s="3" t="s">
        <v>10741</v>
      </c>
      <c r="B9645" s="110" t="s">
        <v>1355</v>
      </c>
      <c r="C9645" s="111" t="s">
        <v>20078</v>
      </c>
      <c r="D9645" s="111" t="str">
        <f t="shared" ref="D9645:E9645" si="9643">TRIM(B9645)</f>
        <v>New Jersey</v>
      </c>
      <c r="E9645" s="111" t="str">
        <f t="shared" si="9643"/>
        <v>Cedar Grove</v>
      </c>
    </row>
    <row r="9646" spans="1:5">
      <c r="A9646" s="3" t="s">
        <v>20079</v>
      </c>
      <c r="B9646" s="110" t="s">
        <v>1355</v>
      </c>
      <c r="C9646" s="111" t="s">
        <v>12220</v>
      </c>
      <c r="D9646" s="111" t="str">
        <f t="shared" ref="D9646:E9646" si="9644">TRIM(B9646)</f>
        <v>New Jersey</v>
      </c>
      <c r="E9646" s="111" t="str">
        <f t="shared" si="9644"/>
        <v>Chatham</v>
      </c>
    </row>
    <row r="9647" spans="1:5">
      <c r="A9647" s="3" t="s">
        <v>20080</v>
      </c>
      <c r="B9647" s="110" t="s">
        <v>1355</v>
      </c>
      <c r="C9647" s="111" t="s">
        <v>20081</v>
      </c>
      <c r="D9647" s="111" t="str">
        <f t="shared" ref="D9647:E9647" si="9645">TRIM(B9647)</f>
        <v>New Jersey</v>
      </c>
      <c r="E9647" s="111" t="str">
        <f t="shared" si="9645"/>
        <v>Cherry Hill</v>
      </c>
    </row>
    <row r="9648" spans="1:5">
      <c r="A9648" s="3" t="s">
        <v>20082</v>
      </c>
      <c r="B9648" s="110" t="s">
        <v>1355</v>
      </c>
      <c r="C9648" s="111" t="s">
        <v>20081</v>
      </c>
      <c r="D9648" s="111" t="str">
        <f t="shared" ref="D9648:E9648" si="9646">TRIM(B9648)</f>
        <v>New Jersey</v>
      </c>
      <c r="E9648" s="111" t="str">
        <f t="shared" si="9646"/>
        <v>Cherry Hill</v>
      </c>
    </row>
    <row r="9649" spans="1:5">
      <c r="A9649" s="3" t="s">
        <v>20083</v>
      </c>
      <c r="B9649" s="110" t="s">
        <v>1355</v>
      </c>
      <c r="C9649" s="111" t="s">
        <v>20081</v>
      </c>
      <c r="D9649" s="111" t="str">
        <f t="shared" ref="D9649:E9649" si="9647">TRIM(B9649)</f>
        <v>New Jersey</v>
      </c>
      <c r="E9649" s="111" t="str">
        <f t="shared" si="9647"/>
        <v>Cherry Hill</v>
      </c>
    </row>
    <row r="9650" spans="1:5">
      <c r="A9650" s="3" t="s">
        <v>20084</v>
      </c>
      <c r="B9650" s="110" t="s">
        <v>1355</v>
      </c>
      <c r="C9650" s="111" t="s">
        <v>2262</v>
      </c>
      <c r="D9650" s="111" t="str">
        <f t="shared" ref="D9650:E9650" si="9648">TRIM(B9650)</f>
        <v>New Jersey</v>
      </c>
      <c r="E9650" s="111" t="str">
        <f t="shared" si="9648"/>
        <v>Chester</v>
      </c>
    </row>
    <row r="9651" spans="1:5">
      <c r="A9651" s="3" t="s">
        <v>20085</v>
      </c>
      <c r="B9651" s="110" t="s">
        <v>1355</v>
      </c>
      <c r="C9651" s="111" t="s">
        <v>20086</v>
      </c>
      <c r="D9651" s="111" t="str">
        <f t="shared" ref="D9651:E9651" si="9649">TRIM(B9651)</f>
        <v>New Jersey</v>
      </c>
      <c r="E9651" s="111" t="str">
        <f t="shared" si="9649"/>
        <v>Cinnaminson</v>
      </c>
    </row>
    <row r="9652" spans="1:5">
      <c r="A9652" s="3" t="s">
        <v>20087</v>
      </c>
      <c r="B9652" s="110" t="s">
        <v>1355</v>
      </c>
      <c r="C9652" s="111" t="s">
        <v>12088</v>
      </c>
      <c r="D9652" s="111" t="str">
        <f t="shared" ref="D9652:E9652" si="9650">TRIM(B9652)</f>
        <v>New Jersey</v>
      </c>
      <c r="E9652" s="111" t="str">
        <f t="shared" si="9650"/>
        <v>Clark</v>
      </c>
    </row>
    <row r="9653" spans="1:5">
      <c r="A9653" s="3" t="s">
        <v>18702</v>
      </c>
      <c r="B9653" s="110" t="s">
        <v>1355</v>
      </c>
      <c r="C9653" s="111" t="s">
        <v>1640</v>
      </c>
      <c r="D9653" s="111" t="str">
        <f t="shared" ref="D9653:E9653" si="9651">TRIM(B9653)</f>
        <v>New Jersey</v>
      </c>
      <c r="E9653" s="111" t="str">
        <f t="shared" si="9651"/>
        <v>Clayton</v>
      </c>
    </row>
    <row r="9654" spans="1:5">
      <c r="A9654" s="3" t="s">
        <v>20088</v>
      </c>
      <c r="B9654" s="110" t="s">
        <v>1355</v>
      </c>
      <c r="C9654" s="111" t="s">
        <v>20089</v>
      </c>
      <c r="D9654" s="111" t="str">
        <f t="shared" ref="D9654:E9654" si="9652">TRIM(B9654)</f>
        <v>New Jersey</v>
      </c>
      <c r="E9654" s="111" t="str">
        <f t="shared" si="9652"/>
        <v>Cliffside Park</v>
      </c>
    </row>
    <row r="9655" spans="1:5">
      <c r="A9655" s="3" t="s">
        <v>20090</v>
      </c>
      <c r="B9655" s="110" t="s">
        <v>1355</v>
      </c>
      <c r="C9655" s="111" t="s">
        <v>12666</v>
      </c>
      <c r="D9655" s="111" t="str">
        <f t="shared" ref="D9655:E9655" si="9653">TRIM(B9655)</f>
        <v>New Jersey</v>
      </c>
      <c r="E9655" s="111" t="str">
        <f t="shared" si="9653"/>
        <v>Clifton</v>
      </c>
    </row>
    <row r="9656" spans="1:5">
      <c r="A9656" s="3" t="s">
        <v>20091</v>
      </c>
      <c r="B9656" s="110" t="s">
        <v>1355</v>
      </c>
      <c r="C9656" s="111" t="s">
        <v>20092</v>
      </c>
      <c r="D9656" s="111" t="str">
        <f t="shared" ref="D9656:E9656" si="9654">TRIM(B9656)</f>
        <v>New Jersey</v>
      </c>
      <c r="E9656" s="111" t="str">
        <f t="shared" si="9654"/>
        <v>Collingswood</v>
      </c>
    </row>
    <row r="9657" spans="1:5">
      <c r="A9657" s="3" t="s">
        <v>20093</v>
      </c>
      <c r="B9657" s="110" t="s">
        <v>1355</v>
      </c>
      <c r="C9657" s="111" t="s">
        <v>20094</v>
      </c>
      <c r="D9657" s="111" t="str">
        <f t="shared" ref="D9657:E9657" si="9655">TRIM(B9657)</f>
        <v>New Jersey</v>
      </c>
      <c r="E9657" s="111" t="str">
        <f t="shared" si="9655"/>
        <v>Colonia</v>
      </c>
    </row>
    <row r="9658" spans="1:5">
      <c r="A9658" s="3" t="s">
        <v>20095</v>
      </c>
      <c r="B9658" s="110" t="s">
        <v>1355</v>
      </c>
      <c r="C9658" s="111" t="s">
        <v>20096</v>
      </c>
      <c r="D9658" s="111" t="str">
        <f t="shared" ref="D9658:E9658" si="9656">TRIM(B9658)</f>
        <v>New Jersey</v>
      </c>
      <c r="E9658" s="111" t="str">
        <f t="shared" si="9656"/>
        <v>Colts Neck</v>
      </c>
    </row>
    <row r="9659" spans="1:5">
      <c r="A9659" s="3" t="s">
        <v>20097</v>
      </c>
      <c r="B9659" s="110" t="s">
        <v>1355</v>
      </c>
      <c r="C9659" s="111" t="s">
        <v>138</v>
      </c>
      <c r="D9659" s="111" t="str">
        <f t="shared" ref="D9659:E9659" si="9657">TRIM(B9659)</f>
        <v>New Jersey</v>
      </c>
      <c r="E9659" s="111" t="str">
        <f t="shared" si="9657"/>
        <v>Columbus</v>
      </c>
    </row>
    <row r="9660" spans="1:5">
      <c r="A9660" s="3" t="s">
        <v>20098</v>
      </c>
      <c r="B9660" s="110" t="s">
        <v>1355</v>
      </c>
      <c r="C9660" s="111" t="s">
        <v>20099</v>
      </c>
      <c r="D9660" s="111" t="str">
        <f t="shared" ref="D9660:E9660" si="9658">TRIM(B9660)</f>
        <v>New Jersey</v>
      </c>
      <c r="E9660" s="111" t="str">
        <f t="shared" si="9658"/>
        <v>Cranford</v>
      </c>
    </row>
    <row r="9661" spans="1:5">
      <c r="A9661" s="3" t="s">
        <v>20100</v>
      </c>
      <c r="B9661" s="110" t="s">
        <v>1355</v>
      </c>
      <c r="C9661" s="111" t="s">
        <v>20101</v>
      </c>
      <c r="D9661" s="111" t="str">
        <f t="shared" ref="D9661:E9661" si="9659">TRIM(B9661)</f>
        <v>New Jersey</v>
      </c>
      <c r="E9661" s="111" t="str">
        <f t="shared" si="9659"/>
        <v>Cresskill</v>
      </c>
    </row>
    <row r="9662" spans="1:5">
      <c r="A9662" s="3" t="s">
        <v>20102</v>
      </c>
      <c r="B9662" s="110" t="s">
        <v>1355</v>
      </c>
      <c r="C9662" s="111" t="s">
        <v>20103</v>
      </c>
      <c r="D9662" s="111" t="str">
        <f t="shared" ref="D9662:E9662" si="9660">TRIM(B9662)</f>
        <v>New Jersey</v>
      </c>
      <c r="E9662" s="111" t="str">
        <f t="shared" si="9660"/>
        <v>Delran</v>
      </c>
    </row>
    <row r="9663" spans="1:5">
      <c r="A9663" s="3" t="s">
        <v>20104</v>
      </c>
      <c r="B9663" s="110" t="s">
        <v>1355</v>
      </c>
      <c r="C9663" s="111" t="s">
        <v>12008</v>
      </c>
      <c r="D9663" s="111" t="str">
        <f t="shared" ref="D9663:E9663" si="9661">TRIM(B9663)</f>
        <v>New Jersey</v>
      </c>
      <c r="E9663" s="111" t="str">
        <f t="shared" si="9661"/>
        <v>Demarest</v>
      </c>
    </row>
    <row r="9664" spans="1:5">
      <c r="A9664" s="3" t="s">
        <v>20105</v>
      </c>
      <c r="B9664" s="110" t="s">
        <v>1355</v>
      </c>
      <c r="C9664" s="111" t="s">
        <v>20106</v>
      </c>
      <c r="D9664" s="111" t="str">
        <f t="shared" ref="D9664:E9664" si="9662">TRIM(B9664)</f>
        <v>New Jersey</v>
      </c>
      <c r="E9664" s="111" t="str">
        <f t="shared" si="9662"/>
        <v>Deptford</v>
      </c>
    </row>
    <row r="9665" spans="1:5">
      <c r="A9665" s="3" t="s">
        <v>3743</v>
      </c>
      <c r="B9665" s="110" t="s">
        <v>1355</v>
      </c>
      <c r="C9665" s="111" t="s">
        <v>3744</v>
      </c>
      <c r="D9665" s="111" t="str">
        <f t="shared" ref="D9665:E9665" si="9663">TRIM(B9665)</f>
        <v>New Jersey</v>
      </c>
      <c r="E9665" s="111" t="str">
        <f t="shared" si="9663"/>
        <v>Dover</v>
      </c>
    </row>
    <row r="9666" spans="1:5">
      <c r="A9666" s="3" t="s">
        <v>20107</v>
      </c>
      <c r="B9666" s="110" t="s">
        <v>1355</v>
      </c>
      <c r="C9666" s="111" t="s">
        <v>20108</v>
      </c>
      <c r="D9666" s="111" t="str">
        <f t="shared" ref="D9666:E9666" si="9664">TRIM(B9666)</f>
        <v>New Jersey</v>
      </c>
      <c r="E9666" s="111" t="str">
        <f t="shared" si="9664"/>
        <v>Dumont</v>
      </c>
    </row>
    <row r="9667" spans="1:5">
      <c r="A9667" s="3" t="s">
        <v>20109</v>
      </c>
      <c r="B9667" s="110" t="s">
        <v>1355</v>
      </c>
      <c r="C9667" s="111" t="s">
        <v>20110</v>
      </c>
      <c r="D9667" s="111" t="str">
        <f t="shared" ref="D9667:E9667" si="9665">TRIM(B9667)</f>
        <v>New Jersey</v>
      </c>
      <c r="E9667" s="111" t="str">
        <f t="shared" si="9665"/>
        <v>Dunellen</v>
      </c>
    </row>
    <row r="9668" spans="1:5">
      <c r="A9668" s="3" t="s">
        <v>20111</v>
      </c>
      <c r="B9668" s="110" t="s">
        <v>1355</v>
      </c>
      <c r="C9668" s="111" t="s">
        <v>20112</v>
      </c>
      <c r="D9668" s="111" t="str">
        <f t="shared" ref="D9668:E9668" si="9666">TRIM(B9668)</f>
        <v>New Jersey</v>
      </c>
      <c r="E9668" s="111" t="str">
        <f t="shared" si="9666"/>
        <v>E Brunswick</v>
      </c>
    </row>
    <row r="9669" spans="1:5">
      <c r="A9669" s="3" t="s">
        <v>20113</v>
      </c>
      <c r="B9669" s="110" t="s">
        <v>1355</v>
      </c>
      <c r="C9669" s="111" t="s">
        <v>20114</v>
      </c>
      <c r="D9669" s="111" t="str">
        <f t="shared" ref="D9669:E9669" si="9667">TRIM(B9669)</f>
        <v>New Jersey</v>
      </c>
      <c r="E9669" s="111" t="str">
        <f t="shared" si="9667"/>
        <v>East Hanover</v>
      </c>
    </row>
    <row r="9670" spans="1:5">
      <c r="A9670" s="3" t="s">
        <v>20115</v>
      </c>
      <c r="B9670" s="110" t="s">
        <v>1355</v>
      </c>
      <c r="C9670" s="111" t="s">
        <v>20116</v>
      </c>
      <c r="D9670" s="111" t="str">
        <f t="shared" ref="D9670:E9670" si="9668">TRIM(B9670)</f>
        <v>New Jersey</v>
      </c>
      <c r="E9670" s="111" t="str">
        <f t="shared" si="9668"/>
        <v>East Orange</v>
      </c>
    </row>
    <row r="9671" spans="1:5">
      <c r="A9671" s="3" t="s">
        <v>20117</v>
      </c>
      <c r="B9671" s="110" t="s">
        <v>1355</v>
      </c>
      <c r="C9671" s="111" t="s">
        <v>20116</v>
      </c>
      <c r="D9671" s="111" t="str">
        <f t="shared" ref="D9671:E9671" si="9669">TRIM(B9671)</f>
        <v>New Jersey</v>
      </c>
      <c r="E9671" s="111" t="str">
        <f t="shared" si="9669"/>
        <v>East Orange</v>
      </c>
    </row>
    <row r="9672" spans="1:5">
      <c r="A9672" s="3" t="s">
        <v>20118</v>
      </c>
      <c r="B9672" s="110" t="s">
        <v>1355</v>
      </c>
      <c r="C9672" s="111" t="s">
        <v>20116</v>
      </c>
      <c r="D9672" s="111" t="str">
        <f t="shared" ref="D9672:E9672" si="9670">TRIM(B9672)</f>
        <v>New Jersey</v>
      </c>
      <c r="E9672" s="111" t="str">
        <f t="shared" si="9670"/>
        <v>East Orange</v>
      </c>
    </row>
    <row r="9673" spans="1:5">
      <c r="A9673" s="3" t="s">
        <v>20119</v>
      </c>
      <c r="B9673" s="110" t="s">
        <v>1355</v>
      </c>
      <c r="C9673" s="111" t="s">
        <v>20120</v>
      </c>
      <c r="D9673" s="111" t="str">
        <f t="shared" ref="D9673:E9673" si="9671">TRIM(B9673)</f>
        <v>New Jersey</v>
      </c>
      <c r="E9673" s="111" t="str">
        <f t="shared" si="9671"/>
        <v>East Rutherford</v>
      </c>
    </row>
    <row r="9674" spans="1:5">
      <c r="A9674" s="3" t="s">
        <v>5088</v>
      </c>
      <c r="B9674" s="110" t="s">
        <v>1355</v>
      </c>
      <c r="C9674" s="111" t="s">
        <v>392</v>
      </c>
      <c r="D9674" s="111" t="str">
        <f t="shared" ref="D9674:E9674" si="9672">TRIM(B9674)</f>
        <v>New Jersey</v>
      </c>
      <c r="E9674" s="111" t="str">
        <f t="shared" si="9672"/>
        <v>Edison</v>
      </c>
    </row>
    <row r="9675" spans="1:5">
      <c r="A9675" s="3" t="s">
        <v>20121</v>
      </c>
      <c r="B9675" s="110" t="s">
        <v>1355</v>
      </c>
      <c r="C9675" s="111" t="s">
        <v>392</v>
      </c>
      <c r="D9675" s="111" t="str">
        <f t="shared" ref="D9675:E9675" si="9673">TRIM(B9675)</f>
        <v>New Jersey</v>
      </c>
      <c r="E9675" s="111" t="str">
        <f t="shared" si="9673"/>
        <v>Edison</v>
      </c>
    </row>
    <row r="9676" spans="1:5">
      <c r="A9676" s="3" t="s">
        <v>20122</v>
      </c>
      <c r="B9676" s="110" t="s">
        <v>1355</v>
      </c>
      <c r="C9676" s="111" t="s">
        <v>12201</v>
      </c>
      <c r="D9676" s="111" t="str">
        <f t="shared" ref="D9676:E9676" si="9674">TRIM(B9676)</f>
        <v>New Jersey</v>
      </c>
      <c r="E9676" s="111" t="str">
        <f t="shared" si="9674"/>
        <v>Egg Harbor City</v>
      </c>
    </row>
    <row r="9677" spans="1:5">
      <c r="A9677" s="3" t="s">
        <v>20123</v>
      </c>
      <c r="B9677" s="110" t="s">
        <v>1355</v>
      </c>
      <c r="C9677" s="113" t="s">
        <v>20124</v>
      </c>
      <c r="D9677" s="111" t="str">
        <f t="shared" ref="D9677:E9677" si="9675">TRIM(B9677)</f>
        <v>New Jersey</v>
      </c>
      <c r="E9677" s="111" t="str">
        <f t="shared" si="9675"/>
        <v>Egg Harbor Township</v>
      </c>
    </row>
    <row r="9678" spans="1:5">
      <c r="A9678" s="3" t="s">
        <v>20125</v>
      </c>
      <c r="B9678" s="110" t="s">
        <v>1355</v>
      </c>
      <c r="C9678" s="111" t="s">
        <v>854</v>
      </c>
      <c r="D9678" s="111" t="str">
        <f t="shared" ref="D9678:E9678" si="9676">TRIM(B9678)</f>
        <v>New Jersey</v>
      </c>
      <c r="E9678" s="111" t="str">
        <f t="shared" si="9676"/>
        <v>Elizabeth</v>
      </c>
    </row>
    <row r="9679" spans="1:5">
      <c r="A9679" s="3" t="s">
        <v>20126</v>
      </c>
      <c r="B9679" s="110" t="s">
        <v>1355</v>
      </c>
      <c r="C9679" s="111" t="s">
        <v>854</v>
      </c>
      <c r="D9679" s="111" t="str">
        <f t="shared" ref="D9679:E9679" si="9677">TRIM(B9679)</f>
        <v>New Jersey</v>
      </c>
      <c r="E9679" s="111" t="str">
        <f t="shared" si="9677"/>
        <v>Elizabeth</v>
      </c>
    </row>
    <row r="9680" spans="1:5">
      <c r="A9680" s="3" t="s">
        <v>20127</v>
      </c>
      <c r="B9680" s="110" t="s">
        <v>1355</v>
      </c>
      <c r="C9680" s="111" t="s">
        <v>854</v>
      </c>
      <c r="D9680" s="111" t="str">
        <f t="shared" ref="D9680:E9680" si="9678">TRIM(B9680)</f>
        <v>New Jersey</v>
      </c>
      <c r="E9680" s="111" t="str">
        <f t="shared" si="9678"/>
        <v>Elizabeth</v>
      </c>
    </row>
    <row r="9681" spans="1:5">
      <c r="A9681" s="3" t="s">
        <v>20128</v>
      </c>
      <c r="B9681" s="110" t="s">
        <v>1355</v>
      </c>
      <c r="C9681" s="111" t="s">
        <v>854</v>
      </c>
      <c r="D9681" s="111" t="str">
        <f t="shared" ref="D9681:E9681" si="9679">TRIM(B9681)</f>
        <v>New Jersey</v>
      </c>
      <c r="E9681" s="111" t="str">
        <f t="shared" si="9679"/>
        <v>Elizabeth</v>
      </c>
    </row>
    <row r="9682" spans="1:5">
      <c r="A9682" s="3" t="s">
        <v>20129</v>
      </c>
      <c r="B9682" s="110" t="s">
        <v>1355</v>
      </c>
      <c r="C9682" s="111" t="s">
        <v>854</v>
      </c>
      <c r="D9682" s="111" t="str">
        <f t="shared" ref="D9682:E9682" si="9680">TRIM(B9682)</f>
        <v>New Jersey</v>
      </c>
      <c r="E9682" s="111" t="str">
        <f t="shared" si="9680"/>
        <v>Elizabeth</v>
      </c>
    </row>
    <row r="9683" spans="1:5">
      <c r="A9683" s="3" t="s">
        <v>20130</v>
      </c>
      <c r="B9683" s="110" t="s">
        <v>1355</v>
      </c>
      <c r="C9683" s="111" t="s">
        <v>854</v>
      </c>
      <c r="D9683" s="111" t="str">
        <f t="shared" ref="D9683:E9683" si="9681">TRIM(B9683)</f>
        <v>New Jersey</v>
      </c>
      <c r="E9683" s="111" t="str">
        <f t="shared" si="9681"/>
        <v>Elizabeth</v>
      </c>
    </row>
    <row r="9684" spans="1:5">
      <c r="A9684" s="3" t="s">
        <v>20131</v>
      </c>
      <c r="B9684" s="110" t="s">
        <v>1355</v>
      </c>
      <c r="C9684" s="111" t="s">
        <v>854</v>
      </c>
      <c r="D9684" s="111" t="str">
        <f t="shared" ref="D9684:E9684" si="9682">TRIM(B9684)</f>
        <v>New Jersey</v>
      </c>
      <c r="E9684" s="111" t="str">
        <f t="shared" si="9682"/>
        <v>Elizabeth</v>
      </c>
    </row>
    <row r="9685" spans="1:5">
      <c r="A9685" s="3" t="s">
        <v>20132</v>
      </c>
      <c r="B9685" s="110" t="s">
        <v>1355</v>
      </c>
      <c r="C9685" s="111" t="s">
        <v>12865</v>
      </c>
      <c r="D9685" s="111" t="str">
        <f t="shared" ref="D9685:E9685" si="9683">TRIM(B9685)</f>
        <v>New Jersey</v>
      </c>
      <c r="E9685" s="111" t="str">
        <f t="shared" si="9683"/>
        <v>Elmwood Park</v>
      </c>
    </row>
    <row r="9686" spans="1:5">
      <c r="A9686" s="3" t="s">
        <v>20133</v>
      </c>
      <c r="B9686" s="110" t="s">
        <v>1355</v>
      </c>
      <c r="C9686" s="111" t="s">
        <v>3763</v>
      </c>
      <c r="D9686" s="111" t="str">
        <f t="shared" ref="D9686:E9686" si="9684">TRIM(B9686)</f>
        <v>New Jersey</v>
      </c>
      <c r="E9686" s="111" t="str">
        <f t="shared" si="9684"/>
        <v>Emerson</v>
      </c>
    </row>
    <row r="9687" spans="1:5">
      <c r="A9687" s="3" t="s">
        <v>20134</v>
      </c>
      <c r="B9687" s="110" t="s">
        <v>1355</v>
      </c>
      <c r="C9687" s="111" t="s">
        <v>7884</v>
      </c>
      <c r="D9687" s="111" t="str">
        <f t="shared" ref="D9687:E9687" si="9685">TRIM(B9687)</f>
        <v>New Jersey</v>
      </c>
      <c r="E9687" s="111" t="str">
        <f t="shared" si="9685"/>
        <v>Englewood</v>
      </c>
    </row>
    <row r="9688" spans="1:5">
      <c r="A9688" s="3" t="s">
        <v>20135</v>
      </c>
      <c r="B9688" s="110" t="s">
        <v>1355</v>
      </c>
      <c r="C9688" s="111" t="s">
        <v>20136</v>
      </c>
      <c r="D9688" s="111" t="str">
        <f t="shared" ref="D9688:E9688" si="9686">TRIM(B9688)</f>
        <v>New Jersey</v>
      </c>
      <c r="E9688" s="111" t="str">
        <f t="shared" si="9686"/>
        <v>Englishtown</v>
      </c>
    </row>
    <row r="9689" spans="1:5">
      <c r="A9689" s="3" t="s">
        <v>20137</v>
      </c>
      <c r="B9689" s="110" t="s">
        <v>1355</v>
      </c>
      <c r="C9689" s="111" t="s">
        <v>20138</v>
      </c>
      <c r="D9689" s="111" t="str">
        <f t="shared" ref="D9689:E9689" si="9687">TRIM(B9689)</f>
        <v>New Jersey</v>
      </c>
      <c r="E9689" s="111" t="str">
        <f t="shared" si="9687"/>
        <v>Erial</v>
      </c>
    </row>
    <row r="9690" spans="1:5">
      <c r="A9690" s="3" t="s">
        <v>19563</v>
      </c>
      <c r="B9690" s="110" t="s">
        <v>1355</v>
      </c>
      <c r="C9690" s="111" t="s">
        <v>12210</v>
      </c>
      <c r="D9690" s="111" t="str">
        <f t="shared" ref="D9690:E9690" si="9688">TRIM(B9690)</f>
        <v>New Jersey</v>
      </c>
      <c r="E9690" s="111" t="str">
        <f t="shared" si="9688"/>
        <v>Ewing</v>
      </c>
    </row>
    <row r="9691" spans="1:5">
      <c r="A9691" s="110" t="s">
        <v>20139</v>
      </c>
      <c r="B9691" s="110" t="s">
        <v>1355</v>
      </c>
      <c r="C9691" s="111" t="s">
        <v>12210</v>
      </c>
      <c r="D9691" s="111" t="str">
        <f t="shared" ref="D9691:E9691" si="9689">TRIM(B9691)</f>
        <v>New Jersey</v>
      </c>
      <c r="E9691" s="111" t="str">
        <f t="shared" si="9689"/>
        <v>Ewing</v>
      </c>
    </row>
    <row r="9692" spans="1:5">
      <c r="A9692" s="3" t="s">
        <v>20140</v>
      </c>
      <c r="B9692" s="110" t="s">
        <v>1355</v>
      </c>
      <c r="C9692" s="111" t="s">
        <v>20141</v>
      </c>
      <c r="D9692" s="111" t="str">
        <f t="shared" ref="D9692:E9692" si="9690">TRIM(B9692)</f>
        <v>New Jersey</v>
      </c>
      <c r="E9692" s="111" t="str">
        <f t="shared" si="9690"/>
        <v>Fair Lawn</v>
      </c>
    </row>
    <row r="9693" spans="1:5">
      <c r="A9693" s="3" t="s">
        <v>17306</v>
      </c>
      <c r="B9693" s="110" t="s">
        <v>1355</v>
      </c>
      <c r="C9693" s="111" t="s">
        <v>16204</v>
      </c>
      <c r="D9693" s="111" t="str">
        <f t="shared" ref="D9693:E9693" si="9691">TRIM(B9693)</f>
        <v>New Jersey</v>
      </c>
      <c r="E9693" s="111" t="str">
        <f t="shared" si="9691"/>
        <v>Farmingdale</v>
      </c>
    </row>
    <row r="9694" spans="1:5">
      <c r="A9694" s="3" t="s">
        <v>20142</v>
      </c>
      <c r="B9694" s="110" t="s">
        <v>1355</v>
      </c>
      <c r="C9694" s="111" t="s">
        <v>468</v>
      </c>
      <c r="D9694" s="111" t="str">
        <f t="shared" ref="D9694:E9694" si="9692">TRIM(B9694)</f>
        <v>New Jersey</v>
      </c>
      <c r="E9694" s="111" t="str">
        <f t="shared" si="9692"/>
        <v>Flanders</v>
      </c>
    </row>
    <row r="9695" spans="1:5">
      <c r="A9695" s="3" t="s">
        <v>20143</v>
      </c>
      <c r="B9695" s="110" t="s">
        <v>1355</v>
      </c>
      <c r="C9695" s="111" t="s">
        <v>20144</v>
      </c>
      <c r="D9695" s="111" t="str">
        <f t="shared" ref="D9695:E9695" si="9693">TRIM(B9695)</f>
        <v>New Jersey</v>
      </c>
      <c r="E9695" s="111" t="str">
        <f t="shared" si="9693"/>
        <v>Flemington</v>
      </c>
    </row>
    <row r="9696" spans="1:5">
      <c r="A9696" s="3" t="s">
        <v>20145</v>
      </c>
      <c r="B9696" s="110" t="s">
        <v>1355</v>
      </c>
      <c r="C9696" s="111" t="s">
        <v>20146</v>
      </c>
      <c r="D9696" s="111" t="str">
        <f t="shared" ref="D9696:E9696" si="9694">TRIM(B9696)</f>
        <v>New Jersey</v>
      </c>
      <c r="E9696" s="111" t="str">
        <f t="shared" si="9694"/>
        <v>Fort Lee</v>
      </c>
    </row>
    <row r="9697" spans="1:5">
      <c r="A9697" s="3" t="s">
        <v>20147</v>
      </c>
      <c r="B9697" s="110" t="s">
        <v>1355</v>
      </c>
      <c r="C9697" s="111" t="s">
        <v>20148</v>
      </c>
      <c r="D9697" s="111" t="str">
        <f t="shared" ref="D9697:E9697" si="9695">TRIM(B9697)</f>
        <v>New Jersey</v>
      </c>
      <c r="E9697" s="111" t="str">
        <f t="shared" si="9695"/>
        <v>Franklin Lakes</v>
      </c>
    </row>
    <row r="9698" spans="1:5">
      <c r="A9698" s="3" t="s">
        <v>20149</v>
      </c>
      <c r="B9698" s="110" t="s">
        <v>1355</v>
      </c>
      <c r="C9698" s="111" t="s">
        <v>20150</v>
      </c>
      <c r="D9698" s="111" t="str">
        <f t="shared" ref="D9698:E9698" si="9696">TRIM(B9698)</f>
        <v>New Jersey</v>
      </c>
      <c r="E9698" s="111" t="str">
        <f t="shared" si="9696"/>
        <v>Franklinville</v>
      </c>
    </row>
    <row r="9699" spans="1:5">
      <c r="A9699" s="3" t="s">
        <v>20151</v>
      </c>
      <c r="B9699" s="110" t="s">
        <v>1355</v>
      </c>
      <c r="C9699" s="111" t="s">
        <v>20152</v>
      </c>
      <c r="D9699" s="111" t="str">
        <f t="shared" ref="D9699:E9699" si="9697">TRIM(B9699)</f>
        <v>New Jersey</v>
      </c>
      <c r="E9699" s="111" t="str">
        <f t="shared" si="9697"/>
        <v>Freehold</v>
      </c>
    </row>
    <row r="9700" spans="1:5">
      <c r="A9700" s="3" t="s">
        <v>20153</v>
      </c>
      <c r="B9700" s="110" t="s">
        <v>1355</v>
      </c>
      <c r="C9700" s="111" t="s">
        <v>20154</v>
      </c>
      <c r="D9700" s="111" t="str">
        <f t="shared" ref="D9700:E9700" si="9698">TRIM(B9700)</f>
        <v>New Jersey</v>
      </c>
      <c r="E9700" s="111" t="str">
        <f t="shared" si="9698"/>
        <v>Freehold Twp.</v>
      </c>
    </row>
    <row r="9701" spans="1:5">
      <c r="A9701" s="3" t="s">
        <v>20155</v>
      </c>
      <c r="B9701" s="110" t="s">
        <v>1355</v>
      </c>
      <c r="C9701" s="111" t="s">
        <v>19322</v>
      </c>
      <c r="D9701" s="111" t="str">
        <f t="shared" ref="D9701:E9701" si="9699">TRIM(B9701)</f>
        <v>New Jersey</v>
      </c>
      <c r="E9701" s="111" t="str">
        <f t="shared" si="9699"/>
        <v>Frenchtown</v>
      </c>
    </row>
    <row r="9702" spans="1:5">
      <c r="A9702" s="3" t="s">
        <v>20156</v>
      </c>
      <c r="B9702" s="110" t="s">
        <v>1355</v>
      </c>
      <c r="C9702" s="111" t="s">
        <v>20157</v>
      </c>
      <c r="D9702" s="111" t="str">
        <f t="shared" ref="D9702:E9702" si="9700">TRIM(B9702)</f>
        <v>New Jersey</v>
      </c>
      <c r="E9702" s="111" t="str">
        <f t="shared" si="9700"/>
        <v>Galloway</v>
      </c>
    </row>
    <row r="9703" spans="1:5">
      <c r="A9703" s="3" t="s">
        <v>20158</v>
      </c>
      <c r="B9703" s="110" t="s">
        <v>1355</v>
      </c>
      <c r="C9703" s="111" t="s">
        <v>20159</v>
      </c>
      <c r="D9703" s="111" t="str">
        <f t="shared" ref="D9703:E9703" si="9701">TRIM(B9703)</f>
        <v>New Jersey</v>
      </c>
      <c r="E9703" s="111" t="str">
        <f t="shared" si="9701"/>
        <v>Garfield</v>
      </c>
    </row>
    <row r="9704" spans="1:5">
      <c r="A9704" s="3" t="s">
        <v>20160</v>
      </c>
      <c r="B9704" s="110" t="s">
        <v>1355</v>
      </c>
      <c r="C9704" s="111" t="s">
        <v>20161</v>
      </c>
      <c r="D9704" s="111" t="str">
        <f t="shared" ref="D9704:E9704" si="9702">TRIM(B9704)</f>
        <v>New Jersey</v>
      </c>
      <c r="E9704" s="111" t="str">
        <f t="shared" si="9702"/>
        <v>Glassboro</v>
      </c>
    </row>
    <row r="9705" spans="1:5">
      <c r="A9705" s="3" t="s">
        <v>20162</v>
      </c>
      <c r="B9705" s="110" t="s">
        <v>1355</v>
      </c>
      <c r="C9705" s="111" t="s">
        <v>20163</v>
      </c>
      <c r="D9705" s="111" t="str">
        <f t="shared" ref="D9705:E9705" si="9703">TRIM(B9705)</f>
        <v>New Jersey</v>
      </c>
      <c r="E9705" s="111" t="str">
        <f t="shared" si="9703"/>
        <v>Glen Gardner</v>
      </c>
    </row>
    <row r="9706" spans="1:5">
      <c r="A9706" s="3" t="s">
        <v>20164</v>
      </c>
      <c r="B9706" s="110" t="s">
        <v>1355</v>
      </c>
      <c r="C9706" s="111" t="s">
        <v>20165</v>
      </c>
      <c r="D9706" s="111" t="str">
        <f t="shared" ref="D9706:E9706" si="9704">TRIM(B9706)</f>
        <v>New Jersey</v>
      </c>
      <c r="E9706" s="111" t="str">
        <f t="shared" si="9704"/>
        <v>Glen Ridge</v>
      </c>
    </row>
    <row r="9707" spans="1:5">
      <c r="A9707" s="3" t="s">
        <v>20166</v>
      </c>
      <c r="B9707" s="110" t="s">
        <v>1355</v>
      </c>
      <c r="C9707" s="111" t="s">
        <v>20167</v>
      </c>
      <c r="D9707" s="111" t="str">
        <f t="shared" ref="D9707:E9707" si="9705">TRIM(B9707)</f>
        <v>New Jersey</v>
      </c>
      <c r="E9707" s="111" t="str">
        <f t="shared" si="9705"/>
        <v>Glen Rock</v>
      </c>
    </row>
    <row r="9708" spans="1:5">
      <c r="A9708" s="3" t="s">
        <v>20168</v>
      </c>
      <c r="B9708" s="110" t="s">
        <v>1355</v>
      </c>
      <c r="C9708" s="111" t="s">
        <v>20169</v>
      </c>
      <c r="D9708" s="111" t="str">
        <f t="shared" ref="D9708:E9708" si="9706">TRIM(B9708)</f>
        <v>New Jersey</v>
      </c>
      <c r="E9708" s="111" t="str">
        <f t="shared" si="9706"/>
        <v>Gloucester City</v>
      </c>
    </row>
    <row r="9709" spans="1:5">
      <c r="A9709" s="3" t="s">
        <v>20170</v>
      </c>
      <c r="B9709" s="110" t="s">
        <v>1355</v>
      </c>
      <c r="C9709" s="111" t="s">
        <v>8601</v>
      </c>
      <c r="D9709" s="111" t="str">
        <f t="shared" ref="D9709:E9709" si="9707">TRIM(B9709)</f>
        <v>New Jersey</v>
      </c>
      <c r="E9709" s="111" t="str">
        <f t="shared" si="9707"/>
        <v>Hackensack</v>
      </c>
    </row>
    <row r="9710" spans="1:5">
      <c r="A9710" s="3" t="s">
        <v>20171</v>
      </c>
      <c r="B9710" s="110" t="s">
        <v>1355</v>
      </c>
      <c r="C9710" s="111" t="s">
        <v>20172</v>
      </c>
      <c r="D9710" s="111" t="str">
        <f t="shared" ref="D9710:E9710" si="9708">TRIM(B9710)</f>
        <v>New Jersey</v>
      </c>
      <c r="E9710" s="111" t="str">
        <f t="shared" si="9708"/>
        <v>Hackettstown</v>
      </c>
    </row>
    <row r="9711" spans="1:5">
      <c r="A9711" s="3" t="s">
        <v>20173</v>
      </c>
      <c r="B9711" s="110" t="s">
        <v>1355</v>
      </c>
      <c r="C9711" s="111" t="s">
        <v>20174</v>
      </c>
      <c r="D9711" s="111" t="str">
        <f t="shared" ref="D9711:E9711" si="9709">TRIM(B9711)</f>
        <v>New Jersey</v>
      </c>
      <c r="E9711" s="111" t="str">
        <f t="shared" si="9709"/>
        <v>Haddon Heights</v>
      </c>
    </row>
    <row r="9712" spans="1:5">
      <c r="A9712" s="3" t="s">
        <v>20175</v>
      </c>
      <c r="B9712" s="110" t="s">
        <v>1355</v>
      </c>
      <c r="C9712" s="111" t="s">
        <v>12109</v>
      </c>
      <c r="D9712" s="111" t="str">
        <f t="shared" ref="D9712:E9712" si="9710">TRIM(B9712)</f>
        <v>New Jersey</v>
      </c>
      <c r="E9712" s="111" t="str">
        <f t="shared" si="9710"/>
        <v>Haddonfield</v>
      </c>
    </row>
    <row r="9713" spans="1:5">
      <c r="A9713" s="3" t="s">
        <v>20176</v>
      </c>
      <c r="B9713" s="110" t="s">
        <v>1355</v>
      </c>
      <c r="C9713" s="111" t="s">
        <v>20177</v>
      </c>
      <c r="D9713" s="111" t="str">
        <f t="shared" ref="D9713:E9713" si="9711">TRIM(B9713)</f>
        <v>New Jersey</v>
      </c>
      <c r="E9713" s="111" t="str">
        <f t="shared" si="9711"/>
        <v>Haledon</v>
      </c>
    </row>
    <row r="9714" spans="1:5">
      <c r="A9714" s="110" t="s">
        <v>20178</v>
      </c>
      <c r="B9714" s="110" t="s">
        <v>1355</v>
      </c>
      <c r="C9714" s="111" t="s">
        <v>344</v>
      </c>
      <c r="D9714" s="111" t="str">
        <f t="shared" ref="D9714:E9714" si="9712">TRIM(B9714)</f>
        <v>New Jersey</v>
      </c>
      <c r="E9714" s="111" t="str">
        <f t="shared" si="9712"/>
        <v>Hamilton</v>
      </c>
    </row>
    <row r="9715" spans="1:5">
      <c r="A9715" s="110" t="s">
        <v>20179</v>
      </c>
      <c r="B9715" s="110" t="s">
        <v>1355</v>
      </c>
      <c r="C9715" s="111" t="s">
        <v>344</v>
      </c>
      <c r="D9715" s="111" t="str">
        <f t="shared" ref="D9715:E9715" si="9713">TRIM(B9715)</f>
        <v>New Jersey</v>
      </c>
      <c r="E9715" s="111" t="str">
        <f t="shared" si="9713"/>
        <v>Hamilton</v>
      </c>
    </row>
    <row r="9716" spans="1:5">
      <c r="A9716" s="110" t="s">
        <v>20180</v>
      </c>
      <c r="B9716" s="110" t="s">
        <v>1355</v>
      </c>
      <c r="C9716" s="111" t="s">
        <v>344</v>
      </c>
      <c r="D9716" s="111" t="str">
        <f t="shared" ref="D9716:E9716" si="9714">TRIM(B9716)</f>
        <v>New Jersey</v>
      </c>
      <c r="E9716" s="111" t="str">
        <f t="shared" si="9714"/>
        <v>Hamilton</v>
      </c>
    </row>
    <row r="9717" spans="1:5">
      <c r="A9717" s="3" t="s">
        <v>20181</v>
      </c>
      <c r="B9717" s="110" t="s">
        <v>1355</v>
      </c>
      <c r="C9717" s="111" t="s">
        <v>12155</v>
      </c>
      <c r="D9717" s="111" t="str">
        <f t="shared" ref="D9717:E9717" si="9715">TRIM(B9717)</f>
        <v>New Jersey</v>
      </c>
      <c r="E9717" s="111" t="str">
        <f t="shared" si="9715"/>
        <v>Hammonton</v>
      </c>
    </row>
    <row r="9718" spans="1:5">
      <c r="A9718" s="3" t="s">
        <v>20182</v>
      </c>
      <c r="B9718" s="110" t="s">
        <v>1355</v>
      </c>
      <c r="C9718" s="113" t="s">
        <v>20183</v>
      </c>
      <c r="D9718" s="111" t="str">
        <f t="shared" ref="D9718:E9718" si="9716">TRIM(B9718)</f>
        <v>New Jersey</v>
      </c>
      <c r="E9718" s="111" t="str">
        <f t="shared" si="9716"/>
        <v>Hardyston Township</v>
      </c>
    </row>
    <row r="9719" spans="1:5">
      <c r="A9719" s="3" t="s">
        <v>3848</v>
      </c>
      <c r="B9719" s="110" t="s">
        <v>1355</v>
      </c>
      <c r="C9719" s="111" t="s">
        <v>3849</v>
      </c>
      <c r="D9719" s="111" t="str">
        <f t="shared" ref="D9719:E9719" si="9717">TRIM(B9719)</f>
        <v>New Jersey</v>
      </c>
      <c r="E9719" s="111" t="str">
        <f t="shared" si="9717"/>
        <v>Harrison</v>
      </c>
    </row>
    <row r="9720" spans="1:5">
      <c r="A9720" s="3" t="s">
        <v>20184</v>
      </c>
      <c r="B9720" s="110" t="s">
        <v>1355</v>
      </c>
      <c r="C9720" s="113" t="s">
        <v>20185</v>
      </c>
      <c r="D9720" s="111" t="str">
        <f t="shared" ref="D9720:E9720" si="9718">TRIM(B9720)</f>
        <v>New Jersey</v>
      </c>
      <c r="E9720" s="111" t="str">
        <f t="shared" si="9718"/>
        <v>Hasbrouck Heights</v>
      </c>
    </row>
    <row r="9721" spans="1:5">
      <c r="A9721" s="3" t="s">
        <v>5234</v>
      </c>
      <c r="B9721" s="110" t="s">
        <v>1355</v>
      </c>
      <c r="C9721" s="111" t="s">
        <v>510</v>
      </c>
      <c r="D9721" s="111" t="str">
        <f t="shared" ref="D9721:E9721" si="9719">TRIM(B9721)</f>
        <v>New Jersey</v>
      </c>
      <c r="E9721" s="111" t="str">
        <f t="shared" si="9719"/>
        <v>Hawthorne</v>
      </c>
    </row>
    <row r="9722" spans="1:5">
      <c r="A9722" s="3" t="s">
        <v>20186</v>
      </c>
      <c r="B9722" s="110" t="s">
        <v>1355</v>
      </c>
      <c r="C9722" s="111" t="s">
        <v>20187</v>
      </c>
      <c r="D9722" s="111" t="str">
        <f t="shared" ref="D9722:E9722" si="9720">TRIM(B9722)</f>
        <v>New Jersey</v>
      </c>
      <c r="E9722" s="111" t="str">
        <f t="shared" si="9720"/>
        <v>Hazlet</v>
      </c>
    </row>
    <row r="9723" spans="1:5">
      <c r="A9723" s="3" t="s">
        <v>13064</v>
      </c>
      <c r="B9723" s="110" t="s">
        <v>1355</v>
      </c>
      <c r="C9723" s="111" t="s">
        <v>13065</v>
      </c>
      <c r="D9723" s="111" t="str">
        <f t="shared" ref="D9723:E9723" si="9721">TRIM(B9723)</f>
        <v>New Jersey</v>
      </c>
      <c r="E9723" s="111" t="str">
        <f t="shared" si="9721"/>
        <v>Highland Park</v>
      </c>
    </row>
    <row r="9724" spans="1:5">
      <c r="A9724" s="110" t="s">
        <v>20188</v>
      </c>
      <c r="B9724" s="110" t="s">
        <v>1355</v>
      </c>
      <c r="C9724" s="111" t="s">
        <v>13629</v>
      </c>
      <c r="D9724" s="111" t="str">
        <f t="shared" ref="D9724:E9724" si="9722">TRIM(B9724)</f>
        <v>New Jersey</v>
      </c>
      <c r="E9724" s="111" t="str">
        <f t="shared" si="9722"/>
        <v>Highlands</v>
      </c>
    </row>
    <row r="9725" spans="1:5">
      <c r="A9725" s="3" t="s">
        <v>20189</v>
      </c>
      <c r="B9725" s="110" t="s">
        <v>1355</v>
      </c>
      <c r="C9725" s="111" t="s">
        <v>12112</v>
      </c>
      <c r="D9725" s="111" t="str">
        <f t="shared" ref="D9725:E9725" si="9723">TRIM(B9725)</f>
        <v>New Jersey</v>
      </c>
      <c r="E9725" s="111" t="str">
        <f t="shared" si="9723"/>
        <v>Hightstown</v>
      </c>
    </row>
    <row r="9726" spans="1:5">
      <c r="A9726" s="3" t="s">
        <v>10151</v>
      </c>
      <c r="B9726" s="110" t="s">
        <v>1355</v>
      </c>
      <c r="C9726" s="111" t="s">
        <v>9279</v>
      </c>
      <c r="D9726" s="111" t="str">
        <f t="shared" ref="D9726:E9726" si="9724">TRIM(B9726)</f>
        <v>New Jersey</v>
      </c>
      <c r="E9726" s="111" t="str">
        <f t="shared" si="9724"/>
        <v>Hillsborough</v>
      </c>
    </row>
    <row r="9727" spans="1:5">
      <c r="A9727" s="3" t="s">
        <v>20190</v>
      </c>
      <c r="B9727" s="110" t="s">
        <v>1355</v>
      </c>
      <c r="C9727" s="111" t="s">
        <v>11457</v>
      </c>
      <c r="D9727" s="111" t="str">
        <f t="shared" ref="D9727:E9727" si="9725">TRIM(B9727)</f>
        <v>New Jersey</v>
      </c>
      <c r="E9727" s="111" t="str">
        <f t="shared" si="9725"/>
        <v>Hillsdale</v>
      </c>
    </row>
    <row r="9728" spans="1:5">
      <c r="A9728" s="3" t="s">
        <v>20191</v>
      </c>
      <c r="B9728" s="110" t="s">
        <v>1355</v>
      </c>
      <c r="C9728" s="111" t="s">
        <v>898</v>
      </c>
      <c r="D9728" s="111" t="str">
        <f t="shared" ref="D9728:E9728" si="9726">TRIM(B9728)</f>
        <v>New Jersey</v>
      </c>
      <c r="E9728" s="111" t="str">
        <f t="shared" si="9726"/>
        <v>Hillside</v>
      </c>
    </row>
    <row r="9729" spans="1:5">
      <c r="A9729" s="3" t="s">
        <v>20192</v>
      </c>
      <c r="B9729" s="110" t="s">
        <v>1355</v>
      </c>
      <c r="C9729" s="111" t="s">
        <v>12180</v>
      </c>
      <c r="D9729" s="111" t="str">
        <f t="shared" ref="D9729:E9729" si="9727">TRIM(B9729)</f>
        <v>New Jersey</v>
      </c>
      <c r="E9729" s="111" t="str">
        <f t="shared" si="9727"/>
        <v>Hoboken</v>
      </c>
    </row>
    <row r="9730" spans="1:5">
      <c r="A9730" s="3" t="s">
        <v>20193</v>
      </c>
      <c r="B9730" s="110" t="s">
        <v>1355</v>
      </c>
      <c r="C9730" s="111" t="s">
        <v>8012</v>
      </c>
      <c r="D9730" s="111" t="str">
        <f t="shared" ref="D9730:E9730" si="9728">TRIM(B9730)</f>
        <v>New Jersey</v>
      </c>
      <c r="E9730" s="111" t="str">
        <f t="shared" si="9728"/>
        <v>Holmdel</v>
      </c>
    </row>
    <row r="9731" spans="1:5">
      <c r="A9731" s="3" t="s">
        <v>20194</v>
      </c>
      <c r="B9731" s="110" t="s">
        <v>1355</v>
      </c>
      <c r="C9731" s="111" t="s">
        <v>20195</v>
      </c>
      <c r="D9731" s="111" t="str">
        <f t="shared" ref="D9731:E9731" si="9729">TRIM(B9731)</f>
        <v>New Jersey</v>
      </c>
      <c r="E9731" s="111" t="str">
        <f t="shared" si="9729"/>
        <v>Hopatcong</v>
      </c>
    </row>
    <row r="9732" spans="1:5">
      <c r="A9732" s="3" t="s">
        <v>5068</v>
      </c>
      <c r="B9732" s="110" t="s">
        <v>1355</v>
      </c>
      <c r="C9732" s="111" t="s">
        <v>1887</v>
      </c>
      <c r="D9732" s="111" t="str">
        <f t="shared" ref="D9732:E9732" si="9730">TRIM(B9732)</f>
        <v>New Jersey</v>
      </c>
      <c r="E9732" s="111" t="str">
        <f t="shared" si="9730"/>
        <v>Irvington</v>
      </c>
    </row>
    <row r="9733" spans="1:5">
      <c r="A9733" s="3" t="s">
        <v>20196</v>
      </c>
      <c r="B9733" s="110" t="s">
        <v>1355</v>
      </c>
      <c r="C9733" s="111" t="s">
        <v>20197</v>
      </c>
      <c r="D9733" s="111" t="str">
        <f t="shared" ref="D9733:E9733" si="9731">TRIM(B9733)</f>
        <v>New Jersey</v>
      </c>
      <c r="E9733" s="111" t="str">
        <f t="shared" si="9731"/>
        <v>Iselin</v>
      </c>
    </row>
    <row r="9734" spans="1:5">
      <c r="A9734" s="3" t="s">
        <v>20198</v>
      </c>
      <c r="B9734" s="110" t="s">
        <v>1355</v>
      </c>
      <c r="C9734" s="111" t="s">
        <v>297</v>
      </c>
      <c r="D9734" s="111" t="str">
        <f t="shared" ref="D9734:E9734" si="9732">TRIM(B9734)</f>
        <v>New Jersey</v>
      </c>
      <c r="E9734" s="111" t="str">
        <f t="shared" si="9732"/>
        <v>Jackson</v>
      </c>
    </row>
    <row r="9735" spans="1:5">
      <c r="A9735" s="3" t="s">
        <v>20199</v>
      </c>
      <c r="B9735" s="110" t="s">
        <v>1355</v>
      </c>
      <c r="C9735" s="111" t="s">
        <v>297</v>
      </c>
      <c r="D9735" s="111" t="str">
        <f t="shared" ref="D9735:E9735" si="9733">TRIM(B9735)</f>
        <v>New Jersey</v>
      </c>
      <c r="E9735" s="111" t="str">
        <f t="shared" si="9733"/>
        <v>Jackson</v>
      </c>
    </row>
    <row r="9736" spans="1:5">
      <c r="A9736" s="3" t="s">
        <v>20200</v>
      </c>
      <c r="B9736" s="110" t="s">
        <v>1355</v>
      </c>
      <c r="C9736" s="111" t="s">
        <v>12147</v>
      </c>
      <c r="D9736" s="111" t="str">
        <f t="shared" ref="D9736:E9736" si="9734">TRIM(B9736)</f>
        <v>New Jersey</v>
      </c>
      <c r="E9736" s="111" t="str">
        <f t="shared" si="9734"/>
        <v>Jersey City</v>
      </c>
    </row>
    <row r="9737" spans="1:5">
      <c r="A9737" s="3" t="s">
        <v>20201</v>
      </c>
      <c r="B9737" s="110" t="s">
        <v>1355</v>
      </c>
      <c r="C9737" s="111" t="s">
        <v>12147</v>
      </c>
      <c r="D9737" s="111" t="str">
        <f t="shared" ref="D9737:E9737" si="9735">TRIM(B9737)</f>
        <v>New Jersey</v>
      </c>
      <c r="E9737" s="111" t="str">
        <f t="shared" si="9735"/>
        <v>Jersey City</v>
      </c>
    </row>
    <row r="9738" spans="1:5">
      <c r="A9738" s="110" t="s">
        <v>20202</v>
      </c>
      <c r="B9738" s="110" t="s">
        <v>1355</v>
      </c>
      <c r="C9738" s="111" t="s">
        <v>12147</v>
      </c>
      <c r="D9738" s="111" t="str">
        <f t="shared" ref="D9738:E9738" si="9736">TRIM(B9738)</f>
        <v>New Jersey</v>
      </c>
      <c r="E9738" s="111" t="str">
        <f t="shared" si="9736"/>
        <v>Jersey City</v>
      </c>
    </row>
    <row r="9739" spans="1:5">
      <c r="A9739" s="3" t="s">
        <v>20203</v>
      </c>
      <c r="B9739" s="110" t="s">
        <v>1355</v>
      </c>
      <c r="C9739" s="111" t="s">
        <v>12147</v>
      </c>
      <c r="D9739" s="111" t="str">
        <f t="shared" ref="D9739:E9739" si="9737">TRIM(B9739)</f>
        <v>New Jersey</v>
      </c>
      <c r="E9739" s="111" t="str">
        <f t="shared" si="9737"/>
        <v>Jersey City</v>
      </c>
    </row>
    <row r="9740" spans="1:5">
      <c r="A9740" s="3" t="s">
        <v>20204</v>
      </c>
      <c r="B9740" s="110" t="s">
        <v>1355</v>
      </c>
      <c r="C9740" s="111" t="s">
        <v>12147</v>
      </c>
      <c r="D9740" s="111" t="str">
        <f t="shared" ref="D9740:E9740" si="9738">TRIM(B9740)</f>
        <v>New Jersey</v>
      </c>
      <c r="E9740" s="111" t="str">
        <f t="shared" si="9738"/>
        <v>Jersey City</v>
      </c>
    </row>
    <row r="9741" spans="1:5">
      <c r="A9741" s="3" t="s">
        <v>2745</v>
      </c>
      <c r="B9741" s="110" t="s">
        <v>1355</v>
      </c>
      <c r="C9741" s="111" t="s">
        <v>12147</v>
      </c>
      <c r="D9741" s="111" t="str">
        <f t="shared" ref="D9741:E9741" si="9739">TRIM(B9741)</f>
        <v>New Jersey</v>
      </c>
      <c r="E9741" s="111" t="str">
        <f t="shared" si="9739"/>
        <v>Jersey City</v>
      </c>
    </row>
    <row r="9742" spans="1:5">
      <c r="A9742" s="3" t="s">
        <v>1925</v>
      </c>
      <c r="B9742" s="110" t="s">
        <v>1355</v>
      </c>
      <c r="C9742" s="111" t="s">
        <v>12147</v>
      </c>
      <c r="D9742" s="111" t="str">
        <f t="shared" ref="D9742:E9742" si="9740">TRIM(B9742)</f>
        <v>New Jersey</v>
      </c>
      <c r="E9742" s="111" t="str">
        <f t="shared" si="9740"/>
        <v>Jersey City</v>
      </c>
    </row>
    <row r="9743" spans="1:5">
      <c r="A9743" s="3" t="s">
        <v>20205</v>
      </c>
      <c r="B9743" s="110" t="s">
        <v>1355</v>
      </c>
      <c r="C9743" s="111" t="s">
        <v>12147</v>
      </c>
      <c r="D9743" s="111" t="str">
        <f t="shared" ref="D9743:E9743" si="9741">TRIM(B9743)</f>
        <v>New Jersey</v>
      </c>
      <c r="E9743" s="111" t="str">
        <f t="shared" si="9741"/>
        <v>Jersey City</v>
      </c>
    </row>
    <row r="9744" spans="1:5">
      <c r="A9744" s="3" t="s">
        <v>20206</v>
      </c>
      <c r="B9744" s="110" t="s">
        <v>1355</v>
      </c>
      <c r="C9744" s="111" t="s">
        <v>12147</v>
      </c>
      <c r="D9744" s="111" t="str">
        <f t="shared" ref="D9744:E9744" si="9742">TRIM(B9744)</f>
        <v>New Jersey</v>
      </c>
      <c r="E9744" s="111" t="str">
        <f t="shared" si="9742"/>
        <v>Jersey City</v>
      </c>
    </row>
    <row r="9745" spans="1:5">
      <c r="A9745" s="3" t="s">
        <v>20207</v>
      </c>
      <c r="B9745" s="110" t="s">
        <v>1355</v>
      </c>
      <c r="C9745" s="111" t="s">
        <v>308</v>
      </c>
      <c r="D9745" s="111" t="str">
        <f t="shared" ref="D9745:E9745" si="9743">TRIM(B9745)</f>
        <v>New Jersey</v>
      </c>
      <c r="E9745" s="111" t="str">
        <f t="shared" si="9743"/>
        <v>Keansburg</v>
      </c>
    </row>
    <row r="9746" spans="1:5">
      <c r="A9746" s="3" t="s">
        <v>20208</v>
      </c>
      <c r="B9746" s="110" t="s">
        <v>1355</v>
      </c>
      <c r="C9746" s="111" t="s">
        <v>2776</v>
      </c>
      <c r="D9746" s="111" t="str">
        <f t="shared" ref="D9746:E9746" si="9744">TRIM(B9746)</f>
        <v>New Jersey</v>
      </c>
      <c r="E9746" s="111" t="str">
        <f t="shared" si="9744"/>
        <v>Kearny</v>
      </c>
    </row>
    <row r="9747" spans="1:5">
      <c r="A9747" s="3" t="s">
        <v>20209</v>
      </c>
      <c r="B9747" s="110" t="s">
        <v>1355</v>
      </c>
      <c r="C9747" s="111" t="s">
        <v>20210</v>
      </c>
      <c r="D9747" s="111" t="str">
        <f t="shared" ref="D9747:E9747" si="9745">TRIM(B9747)</f>
        <v>New Jersey</v>
      </c>
      <c r="E9747" s="111" t="str">
        <f t="shared" si="9745"/>
        <v>Kenilworth</v>
      </c>
    </row>
    <row r="9748" spans="1:5">
      <c r="A9748" s="3" t="s">
        <v>20211</v>
      </c>
      <c r="B9748" s="110" t="s">
        <v>1355</v>
      </c>
      <c r="C9748" s="111" t="s">
        <v>20212</v>
      </c>
      <c r="D9748" s="111" t="str">
        <f t="shared" ref="D9748:E9748" si="9746">TRIM(B9748)</f>
        <v>New Jersey</v>
      </c>
      <c r="E9748" s="111" t="str">
        <f t="shared" si="9746"/>
        <v>Keyport</v>
      </c>
    </row>
    <row r="9749" spans="1:5">
      <c r="A9749" s="3" t="s">
        <v>20213</v>
      </c>
      <c r="B9749" s="110" t="s">
        <v>1355</v>
      </c>
      <c r="C9749" s="111" t="s">
        <v>20214</v>
      </c>
      <c r="D9749" s="111" t="str">
        <f t="shared" ref="D9749:E9749" si="9747">TRIM(B9749)</f>
        <v>New Jersey</v>
      </c>
      <c r="E9749" s="111" t="str">
        <f t="shared" si="9747"/>
        <v>Kinnelon</v>
      </c>
    </row>
    <row r="9750" spans="1:5">
      <c r="A9750" s="3" t="s">
        <v>20215</v>
      </c>
      <c r="B9750" s="110" t="s">
        <v>1355</v>
      </c>
      <c r="C9750" s="111" t="s">
        <v>20216</v>
      </c>
      <c r="D9750" s="111" t="str">
        <f t="shared" ref="D9750:E9750" si="9748">TRIM(B9750)</f>
        <v>New Jersey</v>
      </c>
      <c r="E9750" s="111" t="str">
        <f t="shared" si="9748"/>
        <v>Lake Como</v>
      </c>
    </row>
    <row r="9751" spans="1:5">
      <c r="A9751" s="3" t="s">
        <v>5451</v>
      </c>
      <c r="B9751" s="110" t="s">
        <v>1355</v>
      </c>
      <c r="C9751" s="111" t="s">
        <v>609</v>
      </c>
      <c r="D9751" s="111" t="str">
        <f t="shared" ref="D9751:E9751" si="9749">TRIM(B9751)</f>
        <v>New Jersey</v>
      </c>
      <c r="E9751" s="111" t="str">
        <f t="shared" si="9749"/>
        <v>Lakewood</v>
      </c>
    </row>
    <row r="9752" spans="1:5">
      <c r="A9752" s="3" t="s">
        <v>20217</v>
      </c>
      <c r="B9752" s="110" t="s">
        <v>1355</v>
      </c>
      <c r="C9752" s="111" t="s">
        <v>20218</v>
      </c>
      <c r="D9752" s="111" t="str">
        <f t="shared" ref="D9752:E9752" si="9750">TRIM(B9752)</f>
        <v>New Jersey</v>
      </c>
      <c r="E9752" s="111" t="str">
        <f t="shared" si="9750"/>
        <v>Lambertville</v>
      </c>
    </row>
    <row r="9753" spans="1:5">
      <c r="A9753" s="3" t="s">
        <v>20219</v>
      </c>
      <c r="B9753" s="110" t="s">
        <v>1355</v>
      </c>
      <c r="C9753" s="111" t="s">
        <v>20220</v>
      </c>
      <c r="D9753" s="111" t="str">
        <f t="shared" ref="D9753:E9753" si="9751">TRIM(B9753)</f>
        <v>New Jersey</v>
      </c>
      <c r="E9753" s="111" t="str">
        <f t="shared" si="9751"/>
        <v>Lanoka Harbor</v>
      </c>
    </row>
    <row r="9754" spans="1:5">
      <c r="A9754" s="3" t="s">
        <v>15357</v>
      </c>
      <c r="B9754" s="110" t="s">
        <v>1355</v>
      </c>
      <c r="C9754" s="111" t="s">
        <v>421</v>
      </c>
      <c r="D9754" s="111" t="str">
        <f t="shared" ref="D9754:E9754" si="9752">TRIM(B9754)</f>
        <v>New Jersey</v>
      </c>
      <c r="E9754" s="111" t="str">
        <f t="shared" si="9752"/>
        <v>Lawrenceville</v>
      </c>
    </row>
    <row r="9755" spans="1:5">
      <c r="A9755" s="3" t="s">
        <v>20221</v>
      </c>
      <c r="B9755" s="110" t="s">
        <v>1355</v>
      </c>
      <c r="C9755" s="111" t="s">
        <v>20222</v>
      </c>
      <c r="D9755" s="111" t="str">
        <f t="shared" ref="D9755:E9755" si="9753">TRIM(B9755)</f>
        <v>New Jersey</v>
      </c>
      <c r="E9755" s="111" t="str">
        <f t="shared" si="9753"/>
        <v>Leonia</v>
      </c>
    </row>
    <row r="9756" spans="1:5">
      <c r="A9756" s="3" t="s">
        <v>1926</v>
      </c>
      <c r="B9756" s="110" t="s">
        <v>1355</v>
      </c>
      <c r="C9756" s="111" t="s">
        <v>298</v>
      </c>
      <c r="D9756" s="111" t="str">
        <f t="shared" ref="D9756:E9756" si="9754">TRIM(B9756)</f>
        <v>New Jersey</v>
      </c>
      <c r="E9756" s="111" t="str">
        <f t="shared" si="9754"/>
        <v>Linden</v>
      </c>
    </row>
    <row r="9757" spans="1:5">
      <c r="A9757" s="3" t="s">
        <v>20223</v>
      </c>
      <c r="B9757" s="110" t="s">
        <v>1355</v>
      </c>
      <c r="C9757" s="111" t="s">
        <v>20224</v>
      </c>
      <c r="D9757" s="111" t="str">
        <f t="shared" ref="D9757:E9757" si="9755">TRIM(B9757)</f>
        <v>New Jersey</v>
      </c>
      <c r="E9757" s="111" t="str">
        <f t="shared" si="9755"/>
        <v>Lindenwold</v>
      </c>
    </row>
    <row r="9758" spans="1:5">
      <c r="A9758" s="3" t="s">
        <v>20225</v>
      </c>
      <c r="B9758" s="110" t="s">
        <v>1355</v>
      </c>
      <c r="C9758" s="111" t="s">
        <v>20226</v>
      </c>
      <c r="D9758" s="111" t="str">
        <f t="shared" ref="D9758:E9758" si="9756">TRIM(B9758)</f>
        <v>New Jersey</v>
      </c>
      <c r="E9758" s="111" t="str">
        <f t="shared" si="9756"/>
        <v>Linwood</v>
      </c>
    </row>
    <row r="9759" spans="1:5">
      <c r="A9759" s="3" t="s">
        <v>20227</v>
      </c>
      <c r="B9759" s="110" t="s">
        <v>1355</v>
      </c>
      <c r="C9759" s="111" t="s">
        <v>20228</v>
      </c>
      <c r="D9759" s="111" t="str">
        <f t="shared" ref="D9759:E9759" si="9757">TRIM(B9759)</f>
        <v>New Jersey</v>
      </c>
      <c r="E9759" s="111" t="str">
        <f t="shared" si="9757"/>
        <v>Little Egg Harbor</v>
      </c>
    </row>
    <row r="9760" spans="1:5">
      <c r="A9760" s="3" t="s">
        <v>20229</v>
      </c>
      <c r="B9760" s="110" t="s">
        <v>1355</v>
      </c>
      <c r="C9760" s="111" t="s">
        <v>18016</v>
      </c>
      <c r="D9760" s="111" t="str">
        <f t="shared" ref="D9760:E9760" si="9758">TRIM(B9760)</f>
        <v>New Jersey</v>
      </c>
      <c r="E9760" s="111" t="str">
        <f t="shared" si="9758"/>
        <v>Little Falls</v>
      </c>
    </row>
    <row r="9761" spans="1:5">
      <c r="A9761" s="3" t="s">
        <v>20230</v>
      </c>
      <c r="B9761" s="110" t="s">
        <v>1355</v>
      </c>
      <c r="C9761" s="111" t="s">
        <v>20231</v>
      </c>
      <c r="D9761" s="111" t="str">
        <f t="shared" ref="D9761:E9761" si="9759">TRIM(B9761)</f>
        <v>New Jersey</v>
      </c>
      <c r="E9761" s="111" t="str">
        <f t="shared" si="9759"/>
        <v>Little Silver</v>
      </c>
    </row>
    <row r="9762" spans="1:5">
      <c r="A9762" s="3" t="s">
        <v>5526</v>
      </c>
      <c r="B9762" s="110" t="s">
        <v>1355</v>
      </c>
      <c r="C9762" s="111" t="s">
        <v>5527</v>
      </c>
      <c r="D9762" s="111" t="str">
        <f t="shared" ref="D9762:E9762" si="9760">TRIM(B9762)</f>
        <v>New Jersey</v>
      </c>
      <c r="E9762" s="111" t="str">
        <f t="shared" si="9760"/>
        <v>Livingston</v>
      </c>
    </row>
    <row r="9763" spans="1:5">
      <c r="A9763" s="3" t="s">
        <v>5528</v>
      </c>
      <c r="B9763" s="110" t="s">
        <v>1355</v>
      </c>
      <c r="C9763" s="111" t="s">
        <v>5529</v>
      </c>
      <c r="D9763" s="111" t="str">
        <f t="shared" ref="D9763:E9763" si="9761">TRIM(B9763)</f>
        <v>New Jersey</v>
      </c>
      <c r="E9763" s="111" t="str">
        <f t="shared" si="9761"/>
        <v>Lodi</v>
      </c>
    </row>
    <row r="9764" spans="1:5">
      <c r="A9764" s="3" t="s">
        <v>20232</v>
      </c>
      <c r="B9764" s="110" t="s">
        <v>1355</v>
      </c>
      <c r="C9764" s="111" t="s">
        <v>20233</v>
      </c>
      <c r="D9764" s="111" t="str">
        <f t="shared" ref="D9764:E9764" si="9762">TRIM(B9764)</f>
        <v>New Jersey</v>
      </c>
      <c r="E9764" s="111" t="str">
        <f t="shared" si="9762"/>
        <v>Long Branch</v>
      </c>
    </row>
    <row r="9765" spans="1:5">
      <c r="A9765" s="3" t="s">
        <v>20234</v>
      </c>
      <c r="B9765" s="110" t="s">
        <v>1355</v>
      </c>
      <c r="C9765" s="111" t="s">
        <v>95</v>
      </c>
      <c r="D9765" s="111" t="str">
        <f t="shared" ref="D9765:E9765" si="9763">TRIM(B9765)</f>
        <v>New Jersey</v>
      </c>
      <c r="E9765" s="111" t="str">
        <f t="shared" si="9763"/>
        <v>Lyndhurst</v>
      </c>
    </row>
    <row r="9766" spans="1:5">
      <c r="A9766" s="3" t="s">
        <v>6772</v>
      </c>
      <c r="B9766" s="110" t="s">
        <v>1355</v>
      </c>
      <c r="C9766" s="111" t="s">
        <v>488</v>
      </c>
      <c r="D9766" s="111" t="str">
        <f t="shared" ref="D9766:E9766" si="9764">TRIM(B9766)</f>
        <v>New Jersey</v>
      </c>
      <c r="E9766" s="111" t="str">
        <f t="shared" si="9764"/>
        <v>Madison</v>
      </c>
    </row>
    <row r="9767" spans="1:5">
      <c r="A9767" s="3" t="s">
        <v>20235</v>
      </c>
      <c r="B9767" s="110" t="s">
        <v>1355</v>
      </c>
      <c r="C9767" s="111" t="s">
        <v>20236</v>
      </c>
      <c r="D9767" s="111" t="str">
        <f t="shared" ref="D9767:E9767" si="9765">TRIM(B9767)</f>
        <v>New Jersey</v>
      </c>
      <c r="E9767" s="111" t="str">
        <f t="shared" si="9765"/>
        <v>Mahwah</v>
      </c>
    </row>
    <row r="9768" spans="1:5">
      <c r="A9768" s="3" t="s">
        <v>20237</v>
      </c>
      <c r="B9768" s="110" t="s">
        <v>1355</v>
      </c>
      <c r="C9768" s="111" t="s">
        <v>20238</v>
      </c>
      <c r="D9768" s="111" t="str">
        <f t="shared" ref="D9768:E9768" si="9766">TRIM(B9768)</f>
        <v>New Jersey</v>
      </c>
      <c r="E9768" s="111" t="str">
        <f t="shared" si="9766"/>
        <v>Manahawkin</v>
      </c>
    </row>
    <row r="9769" spans="1:5">
      <c r="A9769" s="3" t="s">
        <v>20239</v>
      </c>
      <c r="B9769" s="110" t="s">
        <v>1355</v>
      </c>
      <c r="C9769" s="111" t="s">
        <v>1243</v>
      </c>
      <c r="D9769" s="111" t="str">
        <f t="shared" ref="D9769:E9769" si="9767">TRIM(B9769)</f>
        <v>New Jersey</v>
      </c>
      <c r="E9769" s="111" t="str">
        <f t="shared" si="9767"/>
        <v>Manasquan</v>
      </c>
    </row>
    <row r="9770" spans="1:5">
      <c r="A9770" s="3" t="s">
        <v>20240</v>
      </c>
      <c r="B9770" s="110" t="s">
        <v>1355</v>
      </c>
      <c r="C9770" s="111" t="s">
        <v>8540</v>
      </c>
      <c r="D9770" s="111" t="str">
        <f t="shared" ref="D9770:E9770" si="9768">TRIM(B9770)</f>
        <v>New Jersey</v>
      </c>
      <c r="E9770" s="111" t="str">
        <f t="shared" si="9768"/>
        <v>Manchester</v>
      </c>
    </row>
    <row r="9771" spans="1:5">
      <c r="A9771" s="3" t="s">
        <v>20241</v>
      </c>
      <c r="B9771" s="110" t="s">
        <v>1355</v>
      </c>
      <c r="C9771" s="111" t="s">
        <v>20242</v>
      </c>
      <c r="D9771" s="111" t="str">
        <f t="shared" ref="D9771:E9771" si="9769">TRIM(B9771)</f>
        <v>New Jersey</v>
      </c>
      <c r="E9771" s="111" t="str">
        <f t="shared" si="9769"/>
        <v>Manville</v>
      </c>
    </row>
    <row r="9772" spans="1:5">
      <c r="A9772" s="3" t="s">
        <v>20243</v>
      </c>
      <c r="B9772" s="110" t="s">
        <v>1355</v>
      </c>
      <c r="C9772" s="111" t="s">
        <v>20244</v>
      </c>
      <c r="D9772" s="111" t="str">
        <f t="shared" ref="D9772:E9772" si="9770">TRIM(B9772)</f>
        <v>New Jersey</v>
      </c>
      <c r="E9772" s="111" t="str">
        <f t="shared" si="9770"/>
        <v>Maple Shade</v>
      </c>
    </row>
    <row r="9773" spans="1:5">
      <c r="A9773" s="3" t="s">
        <v>1870</v>
      </c>
      <c r="B9773" s="110" t="s">
        <v>1355</v>
      </c>
      <c r="C9773" s="111" t="s">
        <v>18934</v>
      </c>
      <c r="D9773" s="111" t="str">
        <f t="shared" ref="D9773:E9773" si="9771">TRIM(B9773)</f>
        <v>New Jersey</v>
      </c>
      <c r="E9773" s="111" t="str">
        <f t="shared" si="9771"/>
        <v>Maplewood</v>
      </c>
    </row>
    <row r="9774" spans="1:5">
      <c r="A9774" s="3" t="s">
        <v>20245</v>
      </c>
      <c r="B9774" s="110" t="s">
        <v>1355</v>
      </c>
      <c r="C9774" s="111" t="s">
        <v>8407</v>
      </c>
      <c r="D9774" s="111" t="str">
        <f t="shared" ref="D9774:E9774" si="9772">TRIM(B9774)</f>
        <v>New Jersey</v>
      </c>
      <c r="E9774" s="111" t="str">
        <f t="shared" si="9772"/>
        <v>Marlboro</v>
      </c>
    </row>
    <row r="9775" spans="1:5">
      <c r="A9775" s="3" t="s">
        <v>1625</v>
      </c>
      <c r="B9775" s="110" t="s">
        <v>1355</v>
      </c>
      <c r="C9775" s="111" t="s">
        <v>20246</v>
      </c>
      <c r="D9775" s="111" t="str">
        <f t="shared" ref="D9775:E9775" si="9773">TRIM(B9775)</f>
        <v>New Jersey</v>
      </c>
      <c r="E9775" s="111" t="str">
        <f t="shared" si="9773"/>
        <v>Marlton</v>
      </c>
    </row>
    <row r="9776" spans="1:5">
      <c r="A9776" s="3" t="s">
        <v>20247</v>
      </c>
      <c r="B9776" s="110" t="s">
        <v>1355</v>
      </c>
      <c r="C9776" s="111" t="s">
        <v>20248</v>
      </c>
      <c r="D9776" s="111" t="str">
        <f t="shared" ref="D9776:E9776" si="9774">TRIM(B9776)</f>
        <v>New Jersey</v>
      </c>
      <c r="E9776" s="111" t="str">
        <f t="shared" si="9774"/>
        <v>Matawan</v>
      </c>
    </row>
    <row r="9777" spans="1:5">
      <c r="A9777" s="3" t="s">
        <v>20249</v>
      </c>
      <c r="B9777" s="110" t="s">
        <v>1355</v>
      </c>
      <c r="C9777" s="111" t="s">
        <v>20250</v>
      </c>
      <c r="D9777" s="111" t="str">
        <f t="shared" ref="D9777:E9777" si="9775">TRIM(B9777)</f>
        <v>New Jersey</v>
      </c>
      <c r="E9777" s="111" t="str">
        <f t="shared" si="9775"/>
        <v>Mays Landing</v>
      </c>
    </row>
    <row r="9778" spans="1:5">
      <c r="A9778" s="3" t="s">
        <v>20251</v>
      </c>
      <c r="B9778" s="110" t="s">
        <v>1355</v>
      </c>
      <c r="C9778" s="111" t="s">
        <v>549</v>
      </c>
      <c r="D9778" s="111" t="str">
        <f t="shared" ref="D9778:E9778" si="9776">TRIM(B9778)</f>
        <v>New Jersey</v>
      </c>
      <c r="E9778" s="111" t="str">
        <f t="shared" si="9776"/>
        <v>Medford</v>
      </c>
    </row>
    <row r="9779" spans="1:5">
      <c r="A9779" s="3" t="s">
        <v>14054</v>
      </c>
      <c r="B9779" s="110" t="s">
        <v>1355</v>
      </c>
      <c r="C9779" s="111" t="s">
        <v>549</v>
      </c>
      <c r="D9779" s="111" t="str">
        <f t="shared" ref="D9779:E9779" si="9777">TRIM(B9779)</f>
        <v>New Jersey</v>
      </c>
      <c r="E9779" s="111" t="str">
        <f t="shared" si="9777"/>
        <v>Medford</v>
      </c>
    </row>
    <row r="9780" spans="1:5">
      <c r="A9780" s="3" t="s">
        <v>20252</v>
      </c>
      <c r="B9780" s="110" t="s">
        <v>1355</v>
      </c>
      <c r="C9780" s="111" t="s">
        <v>20253</v>
      </c>
      <c r="D9780" s="111" t="str">
        <f t="shared" ref="D9780:E9780" si="9778">TRIM(B9780)</f>
        <v>New Jersey</v>
      </c>
      <c r="E9780" s="111" t="str">
        <f t="shared" si="9778"/>
        <v>Mendham</v>
      </c>
    </row>
    <row r="9781" spans="1:5">
      <c r="A9781" s="3" t="s">
        <v>20254</v>
      </c>
      <c r="B9781" s="110" t="s">
        <v>1355</v>
      </c>
      <c r="C9781" s="111" t="s">
        <v>12157</v>
      </c>
      <c r="D9781" s="111" t="str">
        <f t="shared" ref="D9781:E9781" si="9779">TRIM(B9781)</f>
        <v>New Jersey</v>
      </c>
      <c r="E9781" s="111" t="str">
        <f t="shared" si="9779"/>
        <v>Metuchen</v>
      </c>
    </row>
    <row r="9782" spans="1:5">
      <c r="A9782" s="3" t="s">
        <v>20255</v>
      </c>
      <c r="B9782" s="110" t="s">
        <v>1355</v>
      </c>
      <c r="C9782" s="111" t="s">
        <v>20256</v>
      </c>
      <c r="D9782" s="111" t="str">
        <f t="shared" ref="D9782:E9782" si="9780">TRIM(B9782)</f>
        <v>New Jersey</v>
      </c>
      <c r="E9782" s="111" t="str">
        <f t="shared" si="9780"/>
        <v>Middlesex</v>
      </c>
    </row>
    <row r="9783" spans="1:5">
      <c r="A9783" s="3" t="s">
        <v>20257</v>
      </c>
      <c r="B9783" s="110" t="s">
        <v>1355</v>
      </c>
      <c r="C9783" s="111" t="s">
        <v>500</v>
      </c>
      <c r="D9783" s="111" t="str">
        <f t="shared" ref="D9783:E9783" si="9781">TRIM(B9783)</f>
        <v>New Jersey</v>
      </c>
      <c r="E9783" s="111" t="str">
        <f t="shared" si="9781"/>
        <v>Middletown</v>
      </c>
    </row>
    <row r="9784" spans="1:5">
      <c r="A9784" s="3" t="s">
        <v>20258</v>
      </c>
      <c r="B9784" s="110" t="s">
        <v>1355</v>
      </c>
      <c r="C9784" s="111" t="s">
        <v>500</v>
      </c>
      <c r="D9784" s="111" t="str">
        <f t="shared" ref="D9784:E9784" si="9782">TRIM(B9784)</f>
        <v>New Jersey</v>
      </c>
      <c r="E9784" s="111" t="str">
        <f t="shared" si="9782"/>
        <v>Middletown</v>
      </c>
    </row>
    <row r="9785" spans="1:5">
      <c r="A9785" s="3" t="s">
        <v>20259</v>
      </c>
      <c r="B9785" s="110" t="s">
        <v>1355</v>
      </c>
      <c r="C9785" s="111" t="s">
        <v>20260</v>
      </c>
      <c r="D9785" s="111" t="str">
        <f t="shared" ref="D9785:E9785" si="9783">TRIM(B9785)</f>
        <v>New Jersey</v>
      </c>
      <c r="E9785" s="111" t="str">
        <f t="shared" si="9783"/>
        <v>Midland Park</v>
      </c>
    </row>
    <row r="9786" spans="1:5">
      <c r="A9786" s="3" t="s">
        <v>20261</v>
      </c>
      <c r="B9786" s="110" t="s">
        <v>1355</v>
      </c>
      <c r="C9786" s="111" t="s">
        <v>20262</v>
      </c>
      <c r="D9786" s="111" t="str">
        <f t="shared" ref="D9786:E9786" si="9784">TRIM(B9786)</f>
        <v>New Jersey</v>
      </c>
      <c r="E9786" s="111" t="str">
        <f t="shared" si="9784"/>
        <v>Millburn</v>
      </c>
    </row>
    <row r="9787" spans="1:5">
      <c r="A9787" s="3" t="s">
        <v>17870</v>
      </c>
      <c r="B9787" s="110" t="s">
        <v>1355</v>
      </c>
      <c r="C9787" s="111" t="s">
        <v>20263</v>
      </c>
      <c r="D9787" s="111" t="str">
        <f t="shared" ref="D9787:E9787" si="9785">TRIM(B9787)</f>
        <v>New Jersey</v>
      </c>
      <c r="E9787" s="111" t="str">
        <f t="shared" si="9785"/>
        <v>Millville</v>
      </c>
    </row>
    <row r="9788" spans="1:5">
      <c r="A9788" s="3" t="s">
        <v>20264</v>
      </c>
      <c r="B9788" s="110" t="s">
        <v>1355</v>
      </c>
      <c r="C9788" s="111" t="s">
        <v>20263</v>
      </c>
      <c r="D9788" s="111" t="str">
        <f t="shared" ref="D9788:E9788" si="9786">TRIM(B9788)</f>
        <v>New Jersey</v>
      </c>
      <c r="E9788" s="111" t="str">
        <f t="shared" si="9786"/>
        <v>Millville</v>
      </c>
    </row>
    <row r="9789" spans="1:5">
      <c r="A9789" s="3" t="s">
        <v>20265</v>
      </c>
      <c r="B9789" s="110" t="s">
        <v>1355</v>
      </c>
      <c r="C9789" s="113" t="s">
        <v>12098</v>
      </c>
      <c r="D9789" s="111" t="str">
        <f t="shared" ref="D9789:E9789" si="9787">TRIM(B9789)</f>
        <v>New Jersey</v>
      </c>
      <c r="E9789" s="111" t="str">
        <f t="shared" si="9787"/>
        <v>Monmouth Junction</v>
      </c>
    </row>
    <row r="9790" spans="1:5">
      <c r="A9790" s="3" t="s">
        <v>20266</v>
      </c>
      <c r="B9790" s="110" t="s">
        <v>1355</v>
      </c>
      <c r="C9790" s="113" t="s">
        <v>20267</v>
      </c>
      <c r="D9790" s="111" t="str">
        <f t="shared" ref="D9790:E9790" si="9788">TRIM(B9790)</f>
        <v>New Jersey</v>
      </c>
      <c r="E9790" s="111" t="str">
        <f t="shared" si="9788"/>
        <v>Monroe Township</v>
      </c>
    </row>
    <row r="9791" spans="1:5">
      <c r="A9791" s="3" t="s">
        <v>5986</v>
      </c>
      <c r="B9791" s="110" t="s">
        <v>1355</v>
      </c>
      <c r="C9791" s="111" t="s">
        <v>374</v>
      </c>
      <c r="D9791" s="111" t="str">
        <f t="shared" ref="D9791:E9791" si="9789">TRIM(B9791)</f>
        <v>New Jersey</v>
      </c>
      <c r="E9791" s="111" t="str">
        <f t="shared" si="9789"/>
        <v>Montclair</v>
      </c>
    </row>
    <row r="9792" spans="1:5">
      <c r="A9792" s="3" t="s">
        <v>20268</v>
      </c>
      <c r="B9792" s="110" t="s">
        <v>1355</v>
      </c>
      <c r="C9792" s="111" t="s">
        <v>20269</v>
      </c>
      <c r="D9792" s="111" t="str">
        <f t="shared" ref="D9792:E9792" si="9790">TRIM(B9792)</f>
        <v>New Jersey</v>
      </c>
      <c r="E9792" s="111" t="str">
        <f t="shared" si="9790"/>
        <v>Montvale</v>
      </c>
    </row>
    <row r="9793" spans="1:5">
      <c r="A9793" s="3" t="s">
        <v>20270</v>
      </c>
      <c r="B9793" s="110" t="s">
        <v>1355</v>
      </c>
      <c r="C9793" s="111" t="s">
        <v>20271</v>
      </c>
      <c r="D9793" s="111" t="str">
        <f t="shared" ref="D9793:E9793" si="9791">TRIM(B9793)</f>
        <v>New Jersey</v>
      </c>
      <c r="E9793" s="111" t="str">
        <f t="shared" si="9791"/>
        <v>Montville</v>
      </c>
    </row>
    <row r="9794" spans="1:5">
      <c r="A9794" s="3" t="s">
        <v>20272</v>
      </c>
      <c r="B9794" s="110" t="s">
        <v>1355</v>
      </c>
      <c r="C9794" s="111" t="s">
        <v>8926</v>
      </c>
      <c r="D9794" s="111" t="str">
        <f t="shared" ref="D9794:E9794" si="9792">TRIM(B9794)</f>
        <v>New Jersey</v>
      </c>
      <c r="E9794" s="111" t="str">
        <f t="shared" si="9792"/>
        <v>Moorestown</v>
      </c>
    </row>
    <row r="9795" spans="1:5">
      <c r="A9795" s="3" t="s">
        <v>20273</v>
      </c>
      <c r="B9795" s="110" t="s">
        <v>1355</v>
      </c>
      <c r="C9795" s="111" t="s">
        <v>12004</v>
      </c>
      <c r="D9795" s="111" t="str">
        <f t="shared" ref="D9795:E9795" si="9793">TRIM(B9795)</f>
        <v>New Jersey</v>
      </c>
      <c r="E9795" s="111" t="str">
        <f t="shared" si="9793"/>
        <v>Morristown</v>
      </c>
    </row>
    <row r="9796" spans="1:5">
      <c r="A9796" s="3" t="s">
        <v>20274</v>
      </c>
      <c r="B9796" s="110" t="s">
        <v>1355</v>
      </c>
      <c r="C9796" s="111" t="s">
        <v>20275</v>
      </c>
      <c r="D9796" s="111" t="str">
        <f t="shared" ref="D9796:E9796" si="9794">TRIM(B9796)</f>
        <v>New Jersey</v>
      </c>
      <c r="E9796" s="111" t="str">
        <f t="shared" si="9794"/>
        <v>Mount Holly</v>
      </c>
    </row>
    <row r="9797" spans="1:5">
      <c r="A9797" s="3" t="s">
        <v>20276</v>
      </c>
      <c r="B9797" s="110" t="s">
        <v>1355</v>
      </c>
      <c r="C9797" s="111" t="s">
        <v>20277</v>
      </c>
      <c r="D9797" s="111" t="str">
        <f t="shared" ref="D9797:E9797" si="9795">TRIM(B9797)</f>
        <v>New Jersey</v>
      </c>
      <c r="E9797" s="111" t="str">
        <f t="shared" si="9795"/>
        <v>Mountain Lakes</v>
      </c>
    </row>
    <row r="9798" spans="1:5">
      <c r="A9798" s="3" t="s">
        <v>20278</v>
      </c>
      <c r="B9798" s="110" t="s">
        <v>1355</v>
      </c>
      <c r="C9798" s="111" t="s">
        <v>20279</v>
      </c>
      <c r="D9798" s="111" t="str">
        <f t="shared" ref="D9798:E9798" si="9796">TRIM(B9798)</f>
        <v>New Jersey</v>
      </c>
      <c r="E9798" s="111" t="str">
        <f t="shared" si="9796"/>
        <v>Mullica Hill</v>
      </c>
    </row>
    <row r="9799" spans="1:5">
      <c r="A9799" s="3" t="s">
        <v>20280</v>
      </c>
      <c r="B9799" s="110" t="s">
        <v>1355</v>
      </c>
      <c r="C9799" s="111" t="s">
        <v>20281</v>
      </c>
      <c r="D9799" s="111" t="str">
        <f t="shared" ref="D9799:E9799" si="9797">TRIM(B9799)</f>
        <v>New Jersey</v>
      </c>
      <c r="E9799" s="111" t="str">
        <f t="shared" si="9797"/>
        <v>N Bergen</v>
      </c>
    </row>
    <row r="9800" spans="1:5">
      <c r="A9800" s="3" t="s">
        <v>20282</v>
      </c>
      <c r="B9800" s="110" t="s">
        <v>1355</v>
      </c>
      <c r="C9800" s="111" t="s">
        <v>20283</v>
      </c>
      <c r="D9800" s="111" t="str">
        <f t="shared" ref="D9800:E9800" si="9798">TRIM(B9800)</f>
        <v>New Jersey</v>
      </c>
      <c r="E9800" s="111" t="str">
        <f t="shared" si="9798"/>
        <v>Neptune</v>
      </c>
    </row>
    <row r="9801" spans="1:5">
      <c r="A9801" s="3" t="s">
        <v>20284</v>
      </c>
      <c r="B9801" s="110" t="s">
        <v>1355</v>
      </c>
      <c r="C9801" s="112" t="s">
        <v>20285</v>
      </c>
      <c r="D9801" s="111" t="str">
        <f t="shared" ref="D9801:E9801" si="9799">TRIM(B9801)</f>
        <v>New Jersey</v>
      </c>
      <c r="E9801" s="111" t="str">
        <f t="shared" si="9799"/>
        <v>New Brunswick</v>
      </c>
    </row>
    <row r="9802" spans="1:5">
      <c r="A9802" s="3" t="s">
        <v>20286</v>
      </c>
      <c r="B9802" s="110" t="s">
        <v>1355</v>
      </c>
      <c r="C9802" s="111" t="s">
        <v>20287</v>
      </c>
      <c r="D9802" s="111" t="str">
        <f t="shared" ref="D9802:E9802" si="9800">TRIM(B9802)</f>
        <v>New Jersey</v>
      </c>
      <c r="E9802" s="111" t="str">
        <f t="shared" si="9800"/>
        <v>New Egypt</v>
      </c>
    </row>
    <row r="9803" spans="1:5">
      <c r="A9803" s="3" t="s">
        <v>8599</v>
      </c>
      <c r="B9803" s="110" t="s">
        <v>1355</v>
      </c>
      <c r="C9803" s="111" t="s">
        <v>8600</v>
      </c>
      <c r="D9803" s="111" t="str">
        <f t="shared" ref="D9803:E9803" si="9801">TRIM(B9803)</f>
        <v>New Jersey</v>
      </c>
      <c r="E9803" s="111" t="str">
        <f t="shared" si="9801"/>
        <v>New Milford</v>
      </c>
    </row>
    <row r="9804" spans="1:5">
      <c r="A9804" s="3" t="s">
        <v>20288</v>
      </c>
      <c r="B9804" s="110" t="s">
        <v>1355</v>
      </c>
      <c r="C9804" s="111" t="s">
        <v>20289</v>
      </c>
      <c r="D9804" s="111" t="str">
        <f t="shared" ref="D9804:E9804" si="9802">TRIM(B9804)</f>
        <v>New Jersey</v>
      </c>
      <c r="E9804" s="111" t="str">
        <f t="shared" si="9802"/>
        <v>New Providence</v>
      </c>
    </row>
    <row r="9805" spans="1:5">
      <c r="A9805" s="3" t="s">
        <v>20290</v>
      </c>
      <c r="B9805" s="110" t="s">
        <v>1355</v>
      </c>
      <c r="C9805" s="111" t="s">
        <v>499</v>
      </c>
      <c r="D9805" s="111" t="str">
        <f t="shared" ref="D9805:E9805" si="9803">TRIM(B9805)</f>
        <v>New Jersey</v>
      </c>
      <c r="E9805" s="111" t="str">
        <f t="shared" si="9803"/>
        <v>Newark</v>
      </c>
    </row>
    <row r="9806" spans="1:5">
      <c r="A9806" s="3" t="s">
        <v>20291</v>
      </c>
      <c r="B9806" s="110" t="s">
        <v>1355</v>
      </c>
      <c r="C9806" s="111" t="s">
        <v>499</v>
      </c>
      <c r="D9806" s="111" t="str">
        <f t="shared" ref="D9806:E9806" si="9804">TRIM(B9806)</f>
        <v>New Jersey</v>
      </c>
      <c r="E9806" s="111" t="str">
        <f t="shared" si="9804"/>
        <v>Newark</v>
      </c>
    </row>
    <row r="9807" spans="1:5">
      <c r="A9807" s="3" t="s">
        <v>20292</v>
      </c>
      <c r="B9807" s="110" t="s">
        <v>1355</v>
      </c>
      <c r="C9807" s="111" t="s">
        <v>499</v>
      </c>
      <c r="D9807" s="111" t="str">
        <f t="shared" ref="D9807:E9807" si="9805">TRIM(B9807)</f>
        <v>New Jersey</v>
      </c>
      <c r="E9807" s="111" t="str">
        <f t="shared" si="9805"/>
        <v>Newark</v>
      </c>
    </row>
    <row r="9808" spans="1:5">
      <c r="A9808" s="3" t="s">
        <v>20293</v>
      </c>
      <c r="B9808" s="110" t="s">
        <v>1355</v>
      </c>
      <c r="C9808" s="111" t="s">
        <v>499</v>
      </c>
      <c r="D9808" s="111" t="str">
        <f t="shared" ref="D9808:E9808" si="9806">TRIM(B9808)</f>
        <v>New Jersey</v>
      </c>
      <c r="E9808" s="111" t="str">
        <f t="shared" si="9806"/>
        <v>Newark</v>
      </c>
    </row>
    <row r="9809" spans="1:5">
      <c r="A9809" s="3" t="s">
        <v>20294</v>
      </c>
      <c r="B9809" s="110" t="s">
        <v>1355</v>
      </c>
      <c r="C9809" s="111" t="s">
        <v>499</v>
      </c>
      <c r="D9809" s="111" t="str">
        <f t="shared" ref="D9809:E9809" si="9807">TRIM(B9809)</f>
        <v>New Jersey</v>
      </c>
      <c r="E9809" s="111" t="str">
        <f t="shared" si="9807"/>
        <v>Newark</v>
      </c>
    </row>
    <row r="9810" spans="1:5">
      <c r="A9810" s="3" t="s">
        <v>1843</v>
      </c>
      <c r="B9810" s="110" t="s">
        <v>1355</v>
      </c>
      <c r="C9810" s="111" t="s">
        <v>499</v>
      </c>
      <c r="D9810" s="111" t="str">
        <f t="shared" ref="D9810:E9810" si="9808">TRIM(B9810)</f>
        <v>New Jersey</v>
      </c>
      <c r="E9810" s="111" t="str">
        <f t="shared" si="9808"/>
        <v>Newark</v>
      </c>
    </row>
    <row r="9811" spans="1:5">
      <c r="A9811" s="3" t="s">
        <v>20295</v>
      </c>
      <c r="B9811" s="110" t="s">
        <v>1355</v>
      </c>
      <c r="C9811" s="111" t="s">
        <v>499</v>
      </c>
      <c r="D9811" s="111" t="str">
        <f t="shared" ref="D9811:E9811" si="9809">TRIM(B9811)</f>
        <v>New Jersey</v>
      </c>
      <c r="E9811" s="111" t="str">
        <f t="shared" si="9809"/>
        <v>Newark</v>
      </c>
    </row>
    <row r="9812" spans="1:5">
      <c r="A9812" s="3" t="s">
        <v>20296</v>
      </c>
      <c r="B9812" s="110" t="s">
        <v>1355</v>
      </c>
      <c r="C9812" s="111" t="s">
        <v>499</v>
      </c>
      <c r="D9812" s="111" t="str">
        <f t="shared" ref="D9812:E9812" si="9810">TRIM(B9812)</f>
        <v>New Jersey</v>
      </c>
      <c r="E9812" s="111" t="str">
        <f t="shared" si="9810"/>
        <v>Newark</v>
      </c>
    </row>
    <row r="9813" spans="1:5">
      <c r="A9813" s="110" t="s">
        <v>20297</v>
      </c>
      <c r="B9813" s="110" t="s">
        <v>1355</v>
      </c>
      <c r="C9813" s="111" t="s">
        <v>499</v>
      </c>
      <c r="D9813" s="111" t="str">
        <f t="shared" ref="D9813:E9813" si="9811">TRIM(B9813)</f>
        <v>New Jersey</v>
      </c>
      <c r="E9813" s="111" t="str">
        <f t="shared" si="9811"/>
        <v>Newark</v>
      </c>
    </row>
    <row r="9814" spans="1:5">
      <c r="A9814" s="110" t="s">
        <v>20298</v>
      </c>
      <c r="B9814" s="110" t="s">
        <v>1355</v>
      </c>
      <c r="C9814" s="111" t="s">
        <v>499</v>
      </c>
      <c r="D9814" s="111" t="str">
        <f t="shared" ref="D9814:E9814" si="9812">TRIM(B9814)</f>
        <v>New Jersey</v>
      </c>
      <c r="E9814" s="111" t="str">
        <f t="shared" si="9812"/>
        <v>Newark</v>
      </c>
    </row>
    <row r="9815" spans="1:5">
      <c r="A9815" s="3" t="s">
        <v>20299</v>
      </c>
      <c r="B9815" s="110" t="s">
        <v>1355</v>
      </c>
      <c r="C9815" s="111" t="s">
        <v>499</v>
      </c>
      <c r="D9815" s="111" t="str">
        <f t="shared" ref="D9815:E9815" si="9813">TRIM(B9815)</f>
        <v>New Jersey</v>
      </c>
      <c r="E9815" s="111" t="str">
        <f t="shared" si="9813"/>
        <v>Newark</v>
      </c>
    </row>
    <row r="9816" spans="1:5">
      <c r="A9816" s="110" t="s">
        <v>20300</v>
      </c>
      <c r="B9816" s="110" t="s">
        <v>1355</v>
      </c>
      <c r="C9816" s="111" t="s">
        <v>499</v>
      </c>
      <c r="D9816" s="111" t="str">
        <f t="shared" ref="D9816:E9816" si="9814">TRIM(B9816)</f>
        <v>New Jersey</v>
      </c>
      <c r="E9816" s="111" t="str">
        <f t="shared" si="9814"/>
        <v>Newark</v>
      </c>
    </row>
    <row r="9817" spans="1:5">
      <c r="A9817" s="3" t="s">
        <v>20301</v>
      </c>
      <c r="B9817" s="110" t="s">
        <v>1355</v>
      </c>
      <c r="C9817" s="111" t="s">
        <v>499</v>
      </c>
      <c r="D9817" s="111" t="str">
        <f t="shared" ref="D9817:E9817" si="9815">TRIM(B9817)</f>
        <v>New Jersey</v>
      </c>
      <c r="E9817" s="111" t="str">
        <f t="shared" si="9815"/>
        <v>Newark</v>
      </c>
    </row>
    <row r="9818" spans="1:5">
      <c r="A9818" s="3" t="s">
        <v>20302</v>
      </c>
      <c r="B9818" s="110" t="s">
        <v>1355</v>
      </c>
      <c r="C9818" s="111" t="s">
        <v>499</v>
      </c>
      <c r="D9818" s="111" t="str">
        <f t="shared" ref="D9818:E9818" si="9816">TRIM(B9818)</f>
        <v>New Jersey</v>
      </c>
      <c r="E9818" s="111" t="str">
        <f t="shared" si="9816"/>
        <v>Newark</v>
      </c>
    </row>
    <row r="9819" spans="1:5">
      <c r="A9819" s="3" t="s">
        <v>3364</v>
      </c>
      <c r="B9819" s="110" t="s">
        <v>1355</v>
      </c>
      <c r="C9819" s="111" t="s">
        <v>499</v>
      </c>
      <c r="D9819" s="111" t="str">
        <f t="shared" ref="D9819:E9819" si="9817">TRIM(B9819)</f>
        <v>New Jersey</v>
      </c>
      <c r="E9819" s="111" t="str">
        <f t="shared" si="9817"/>
        <v>Newark</v>
      </c>
    </row>
    <row r="9820" spans="1:5">
      <c r="A9820" s="3" t="s">
        <v>20303</v>
      </c>
      <c r="B9820" s="110" t="s">
        <v>1355</v>
      </c>
      <c r="C9820" s="111" t="s">
        <v>499</v>
      </c>
      <c r="D9820" s="111" t="str">
        <f t="shared" ref="D9820:E9820" si="9818">TRIM(B9820)</f>
        <v>New Jersey</v>
      </c>
      <c r="E9820" s="111" t="str">
        <f t="shared" si="9818"/>
        <v>Newark</v>
      </c>
    </row>
    <row r="9821" spans="1:5">
      <c r="A9821" s="3" t="s">
        <v>3821</v>
      </c>
      <c r="B9821" s="110" t="s">
        <v>1355</v>
      </c>
      <c r="C9821" s="111" t="s">
        <v>499</v>
      </c>
      <c r="D9821" s="111" t="str">
        <f t="shared" ref="D9821:E9821" si="9819">TRIM(B9821)</f>
        <v>New Jersey</v>
      </c>
      <c r="E9821" s="111" t="str">
        <f t="shared" si="9819"/>
        <v>Newark</v>
      </c>
    </row>
    <row r="9822" spans="1:5">
      <c r="A9822" s="3" t="s">
        <v>20304</v>
      </c>
      <c r="B9822" s="110" t="s">
        <v>1355</v>
      </c>
      <c r="C9822" s="111" t="s">
        <v>11313</v>
      </c>
      <c r="D9822" s="111" t="str">
        <f t="shared" ref="D9822:E9822" si="9820">TRIM(B9822)</f>
        <v>New Jersey</v>
      </c>
      <c r="E9822" s="111" t="str">
        <f t="shared" si="9820"/>
        <v>Newton</v>
      </c>
    </row>
    <row r="9823" spans="1:5">
      <c r="A9823" s="3" t="s">
        <v>10600</v>
      </c>
      <c r="B9823" s="110" t="s">
        <v>1355</v>
      </c>
      <c r="C9823" s="111" t="s">
        <v>11313</v>
      </c>
      <c r="D9823" s="111" t="str">
        <f t="shared" ref="D9823:E9823" si="9821">TRIM(B9823)</f>
        <v>New Jersey</v>
      </c>
      <c r="E9823" s="111" t="str">
        <f t="shared" si="9821"/>
        <v>Newton</v>
      </c>
    </row>
    <row r="9824" spans="1:5">
      <c r="A9824" s="3" t="s">
        <v>20305</v>
      </c>
      <c r="B9824" s="110" t="s">
        <v>1355</v>
      </c>
      <c r="C9824" s="111" t="s">
        <v>20306</v>
      </c>
      <c r="D9824" s="111" t="str">
        <f t="shared" ref="D9824:E9824" si="9822">TRIM(B9824)</f>
        <v>New Jersey</v>
      </c>
      <c r="E9824" s="111" t="str">
        <f t="shared" si="9822"/>
        <v>North Arlington</v>
      </c>
    </row>
    <row r="9825" spans="1:5">
      <c r="A9825" s="3" t="s">
        <v>20307</v>
      </c>
      <c r="B9825" s="110" t="s">
        <v>1355</v>
      </c>
      <c r="C9825" s="111" t="s">
        <v>20308</v>
      </c>
      <c r="D9825" s="111" t="str">
        <f t="shared" ref="D9825:E9825" si="9823">TRIM(B9825)</f>
        <v>New Jersey</v>
      </c>
      <c r="E9825" s="111" t="str">
        <f t="shared" si="9823"/>
        <v>North Brunswick</v>
      </c>
    </row>
    <row r="9826" spans="1:5">
      <c r="A9826" s="3" t="s">
        <v>20309</v>
      </c>
      <c r="B9826" s="110" t="s">
        <v>1355</v>
      </c>
      <c r="C9826" s="111" t="s">
        <v>20310</v>
      </c>
      <c r="D9826" s="111" t="str">
        <f t="shared" ref="D9826:E9826" si="9824">TRIM(B9826)</f>
        <v>New Jersey</v>
      </c>
      <c r="E9826" s="111" t="str">
        <f t="shared" si="9824"/>
        <v>North Caldwell</v>
      </c>
    </row>
    <row r="9827" spans="1:5">
      <c r="A9827" s="110" t="s">
        <v>20311</v>
      </c>
      <c r="B9827" s="110" t="s">
        <v>1355</v>
      </c>
      <c r="C9827" s="111" t="s">
        <v>20312</v>
      </c>
      <c r="D9827" s="111" t="str">
        <f t="shared" ref="D9827:E9827" si="9825">TRIM(B9827)</f>
        <v>New Jersey</v>
      </c>
      <c r="E9827" s="111" t="str">
        <f t="shared" si="9825"/>
        <v>North Plainfield</v>
      </c>
    </row>
    <row r="9828" spans="1:5">
      <c r="A9828" s="3" t="s">
        <v>20313</v>
      </c>
      <c r="B9828" s="110" t="s">
        <v>1355</v>
      </c>
      <c r="C9828" s="111" t="s">
        <v>20314</v>
      </c>
      <c r="D9828" s="111" t="str">
        <f t="shared" ref="D9828:E9828" si="9826">TRIM(B9828)</f>
        <v>New Jersey</v>
      </c>
      <c r="E9828" s="111" t="str">
        <f t="shared" si="9826"/>
        <v>Nutley</v>
      </c>
    </row>
    <row r="9829" spans="1:5">
      <c r="A9829" s="3" t="s">
        <v>20315</v>
      </c>
      <c r="B9829" s="110" t="s">
        <v>1355</v>
      </c>
      <c r="C9829" s="111" t="s">
        <v>6284</v>
      </c>
      <c r="D9829" s="111" t="str">
        <f t="shared" ref="D9829:E9829" si="9827">TRIM(B9829)</f>
        <v>New Jersey</v>
      </c>
      <c r="E9829" s="111" t="str">
        <f t="shared" si="9827"/>
        <v>Oak Ridge</v>
      </c>
    </row>
    <row r="9830" spans="1:5">
      <c r="A9830" s="3" t="s">
        <v>20316</v>
      </c>
      <c r="B9830" s="110" t="s">
        <v>1355</v>
      </c>
      <c r="C9830" s="111" t="s">
        <v>6122</v>
      </c>
      <c r="D9830" s="111" t="str">
        <f t="shared" ref="D9830:E9830" si="9828">TRIM(B9830)</f>
        <v>New Jersey</v>
      </c>
      <c r="E9830" s="111" t="str">
        <f t="shared" si="9828"/>
        <v>Oakhurst</v>
      </c>
    </row>
    <row r="9831" spans="1:5">
      <c r="A9831" s="3" t="s">
        <v>20317</v>
      </c>
      <c r="B9831" s="110" t="s">
        <v>1355</v>
      </c>
      <c r="C9831" s="111" t="s">
        <v>662</v>
      </c>
      <c r="D9831" s="111" t="str">
        <f t="shared" ref="D9831:E9831" si="9829">TRIM(B9831)</f>
        <v>New Jersey</v>
      </c>
      <c r="E9831" s="111" t="str">
        <f t="shared" si="9829"/>
        <v>Oakland</v>
      </c>
    </row>
    <row r="9832" spans="1:5">
      <c r="A9832" s="3" t="s">
        <v>20318</v>
      </c>
      <c r="B9832" s="110" t="s">
        <v>1355</v>
      </c>
      <c r="C9832" s="111" t="s">
        <v>229</v>
      </c>
      <c r="D9832" s="111" t="str">
        <f t="shared" ref="D9832:E9832" si="9830">TRIM(B9832)</f>
        <v>New Jersey</v>
      </c>
      <c r="E9832" s="111" t="str">
        <f t="shared" si="9830"/>
        <v>Ocean City</v>
      </c>
    </row>
    <row r="9833" spans="1:5">
      <c r="A9833" s="3" t="s">
        <v>20319</v>
      </c>
      <c r="B9833" s="110" t="s">
        <v>1355</v>
      </c>
      <c r="C9833" s="111" t="s">
        <v>20320</v>
      </c>
      <c r="D9833" s="111" t="str">
        <f t="shared" ref="D9833:E9833" si="9831">TRIM(B9833)</f>
        <v>New Jersey</v>
      </c>
      <c r="E9833" s="111" t="str">
        <f t="shared" si="9831"/>
        <v>Old Tappan</v>
      </c>
    </row>
    <row r="9834" spans="1:5">
      <c r="A9834" s="3" t="s">
        <v>20321</v>
      </c>
      <c r="B9834" s="110" t="s">
        <v>1355</v>
      </c>
      <c r="C9834" s="111" t="s">
        <v>1089</v>
      </c>
      <c r="D9834" s="111" t="str">
        <f t="shared" ref="D9834:E9834" si="9832">TRIM(B9834)</f>
        <v>New Jersey</v>
      </c>
      <c r="E9834" s="111" t="str">
        <f t="shared" si="9832"/>
        <v>Oradell</v>
      </c>
    </row>
    <row r="9835" spans="1:5">
      <c r="A9835" s="3" t="s">
        <v>6232</v>
      </c>
      <c r="B9835" s="110" t="s">
        <v>1355</v>
      </c>
      <c r="C9835" s="111" t="s">
        <v>6230</v>
      </c>
      <c r="D9835" s="111" t="str">
        <f t="shared" ref="D9835:E9835" si="9833">TRIM(B9835)</f>
        <v>New Jersey</v>
      </c>
      <c r="E9835" s="111" t="str">
        <f t="shared" si="9833"/>
        <v>Orange</v>
      </c>
    </row>
    <row r="9836" spans="1:5">
      <c r="A9836" s="3" t="s">
        <v>20322</v>
      </c>
      <c r="B9836" s="110" t="s">
        <v>1355</v>
      </c>
      <c r="C9836" s="111" t="s">
        <v>20323</v>
      </c>
      <c r="D9836" s="111" t="str">
        <f t="shared" ref="D9836:E9836" si="9834">TRIM(B9836)</f>
        <v>New Jersey</v>
      </c>
      <c r="E9836" s="111" t="str">
        <f t="shared" si="9834"/>
        <v>Palisades Park</v>
      </c>
    </row>
    <row r="9837" spans="1:5">
      <c r="A9837" s="3" t="s">
        <v>19010</v>
      </c>
      <c r="B9837" s="110" t="s">
        <v>1355</v>
      </c>
      <c r="C9837" s="111" t="s">
        <v>13547</v>
      </c>
      <c r="D9837" s="111" t="str">
        <f t="shared" ref="D9837:E9837" si="9835">TRIM(B9837)</f>
        <v>New Jersey</v>
      </c>
      <c r="E9837" s="111" t="str">
        <f t="shared" si="9835"/>
        <v>Palmyra</v>
      </c>
    </row>
    <row r="9838" spans="1:5">
      <c r="A9838" s="3" t="s">
        <v>20324</v>
      </c>
      <c r="B9838" s="110" t="s">
        <v>1355</v>
      </c>
      <c r="C9838" s="111" t="s">
        <v>12174</v>
      </c>
      <c r="D9838" s="111" t="str">
        <f t="shared" ref="D9838:E9838" si="9836">TRIM(B9838)</f>
        <v>New Jersey</v>
      </c>
      <c r="E9838" s="111" t="str">
        <f t="shared" si="9836"/>
        <v>Paramus</v>
      </c>
    </row>
    <row r="9839" spans="1:5">
      <c r="A9839" s="3" t="s">
        <v>20325</v>
      </c>
      <c r="B9839" s="110" t="s">
        <v>1355</v>
      </c>
      <c r="C9839" s="111" t="s">
        <v>13571</v>
      </c>
      <c r="D9839" s="111" t="str">
        <f t="shared" ref="D9839:E9839" si="9837">TRIM(B9839)</f>
        <v>New Jersey</v>
      </c>
      <c r="E9839" s="111" t="str">
        <f t="shared" si="9837"/>
        <v>Park Ridge</v>
      </c>
    </row>
    <row r="9840" spans="1:5">
      <c r="A9840" s="3" t="s">
        <v>20326</v>
      </c>
      <c r="B9840" s="110" t="s">
        <v>1355</v>
      </c>
      <c r="C9840" s="111" t="s">
        <v>20327</v>
      </c>
      <c r="D9840" s="111" t="str">
        <f t="shared" ref="D9840:E9840" si="9838">TRIM(B9840)</f>
        <v>New Jersey</v>
      </c>
      <c r="E9840" s="111" t="str">
        <f t="shared" si="9838"/>
        <v>Parlin</v>
      </c>
    </row>
    <row r="9841" spans="1:5">
      <c r="A9841" s="3" t="s">
        <v>20328</v>
      </c>
      <c r="B9841" s="110" t="s">
        <v>1355</v>
      </c>
      <c r="C9841" s="111" t="s">
        <v>20329</v>
      </c>
      <c r="D9841" s="111" t="str">
        <f t="shared" ref="D9841:E9841" si="9839">TRIM(B9841)</f>
        <v>New Jersey</v>
      </c>
      <c r="E9841" s="111" t="str">
        <f t="shared" si="9839"/>
        <v>Parsippany</v>
      </c>
    </row>
    <row r="9842" spans="1:5">
      <c r="A9842" s="3" t="s">
        <v>20330</v>
      </c>
      <c r="B9842" s="110" t="s">
        <v>1355</v>
      </c>
      <c r="C9842" s="111" t="s">
        <v>20329</v>
      </c>
      <c r="D9842" s="111" t="str">
        <f t="shared" ref="D9842:E9842" si="9840">TRIM(B9842)</f>
        <v>New Jersey</v>
      </c>
      <c r="E9842" s="111" t="str">
        <f t="shared" si="9840"/>
        <v>Parsippany</v>
      </c>
    </row>
    <row r="9843" spans="1:5">
      <c r="A9843" s="3" t="s">
        <v>20331</v>
      </c>
      <c r="B9843" s="110" t="s">
        <v>1355</v>
      </c>
      <c r="C9843" s="111" t="s">
        <v>12028</v>
      </c>
      <c r="D9843" s="111" t="str">
        <f t="shared" ref="D9843:E9843" si="9841">TRIM(B9843)</f>
        <v>New Jersey</v>
      </c>
      <c r="E9843" s="111" t="str">
        <f t="shared" si="9841"/>
        <v>Passaic</v>
      </c>
    </row>
    <row r="9844" spans="1:5">
      <c r="A9844" s="3" t="s">
        <v>20332</v>
      </c>
      <c r="B9844" s="110" t="s">
        <v>1355</v>
      </c>
      <c r="C9844" s="111" t="s">
        <v>20333</v>
      </c>
      <c r="D9844" s="111" t="str">
        <f t="shared" ref="D9844:E9844" si="9842">TRIM(B9844)</f>
        <v>New Jersey</v>
      </c>
      <c r="E9844" s="111" t="str">
        <f t="shared" si="9842"/>
        <v>Paterson</v>
      </c>
    </row>
    <row r="9845" spans="1:5">
      <c r="A9845" s="3" t="s">
        <v>20334</v>
      </c>
      <c r="B9845" s="110" t="s">
        <v>1355</v>
      </c>
      <c r="C9845" s="111" t="s">
        <v>20333</v>
      </c>
      <c r="D9845" s="111" t="str">
        <f t="shared" ref="D9845:E9845" si="9843">TRIM(B9845)</f>
        <v>New Jersey</v>
      </c>
      <c r="E9845" s="111" t="str">
        <f t="shared" si="9843"/>
        <v>Paterson</v>
      </c>
    </row>
    <row r="9846" spans="1:5">
      <c r="A9846" s="110" t="s">
        <v>20335</v>
      </c>
      <c r="B9846" s="110" t="s">
        <v>1355</v>
      </c>
      <c r="C9846" s="111" t="s">
        <v>20333</v>
      </c>
      <c r="D9846" s="111" t="str">
        <f t="shared" ref="D9846:E9846" si="9844">TRIM(B9846)</f>
        <v>New Jersey</v>
      </c>
      <c r="E9846" s="111" t="str">
        <f t="shared" si="9844"/>
        <v>Paterson</v>
      </c>
    </row>
    <row r="9847" spans="1:5">
      <c r="A9847" s="110" t="s">
        <v>20336</v>
      </c>
      <c r="B9847" s="110" t="s">
        <v>1355</v>
      </c>
      <c r="C9847" s="111" t="s">
        <v>20333</v>
      </c>
      <c r="D9847" s="111" t="str">
        <f t="shared" ref="D9847:E9847" si="9845">TRIM(B9847)</f>
        <v>New Jersey</v>
      </c>
      <c r="E9847" s="111" t="str">
        <f t="shared" si="9845"/>
        <v>Paterson</v>
      </c>
    </row>
    <row r="9848" spans="1:5">
      <c r="A9848" s="110" t="s">
        <v>20337</v>
      </c>
      <c r="B9848" s="110" t="s">
        <v>1355</v>
      </c>
      <c r="C9848" s="111" t="s">
        <v>20333</v>
      </c>
      <c r="D9848" s="111" t="str">
        <f t="shared" ref="D9848:E9848" si="9846">TRIM(B9848)</f>
        <v>New Jersey</v>
      </c>
      <c r="E9848" s="111" t="str">
        <f t="shared" si="9846"/>
        <v>Paterson</v>
      </c>
    </row>
    <row r="9849" spans="1:5">
      <c r="A9849" s="110" t="s">
        <v>20338</v>
      </c>
      <c r="B9849" s="110" t="s">
        <v>1355</v>
      </c>
      <c r="C9849" s="111" t="s">
        <v>20333</v>
      </c>
      <c r="D9849" s="111" t="str">
        <f t="shared" ref="D9849:E9849" si="9847">TRIM(B9849)</f>
        <v>New Jersey</v>
      </c>
      <c r="E9849" s="111" t="str">
        <f t="shared" si="9847"/>
        <v>Paterson</v>
      </c>
    </row>
    <row r="9850" spans="1:5">
      <c r="A9850" s="110" t="s">
        <v>20339</v>
      </c>
      <c r="B9850" s="110" t="s">
        <v>1355</v>
      </c>
      <c r="C9850" s="111" t="s">
        <v>20333</v>
      </c>
      <c r="D9850" s="111" t="str">
        <f t="shared" ref="D9850:E9850" si="9848">TRIM(B9850)</f>
        <v>New Jersey</v>
      </c>
      <c r="E9850" s="111" t="str">
        <f t="shared" si="9848"/>
        <v>Paterson</v>
      </c>
    </row>
    <row r="9851" spans="1:5">
      <c r="A9851" s="110" t="s">
        <v>20340</v>
      </c>
      <c r="B9851" s="110" t="s">
        <v>1355</v>
      </c>
      <c r="C9851" s="111" t="s">
        <v>20333</v>
      </c>
      <c r="D9851" s="111" t="str">
        <f t="shared" ref="D9851:E9851" si="9849">TRIM(B9851)</f>
        <v>New Jersey</v>
      </c>
      <c r="E9851" s="111" t="str">
        <f t="shared" si="9849"/>
        <v>Paterson</v>
      </c>
    </row>
    <row r="9852" spans="1:5">
      <c r="A9852" s="3" t="s">
        <v>20341</v>
      </c>
      <c r="B9852" s="110" t="s">
        <v>1355</v>
      </c>
      <c r="C9852" s="111" t="s">
        <v>20342</v>
      </c>
      <c r="D9852" s="111" t="str">
        <f t="shared" ref="D9852:E9852" si="9850">TRIM(B9852)</f>
        <v>New Jersey</v>
      </c>
      <c r="E9852" s="111" t="str">
        <f t="shared" si="9850"/>
        <v>Paulsboro</v>
      </c>
    </row>
    <row r="9853" spans="1:5">
      <c r="A9853" s="3" t="s">
        <v>20343</v>
      </c>
      <c r="B9853" s="110" t="s">
        <v>1355</v>
      </c>
      <c r="C9853" s="111" t="s">
        <v>20344</v>
      </c>
      <c r="D9853" s="111" t="str">
        <f t="shared" ref="D9853:E9853" si="9851">TRIM(B9853)</f>
        <v>New Jersey</v>
      </c>
      <c r="E9853" s="111" t="str">
        <f t="shared" si="9851"/>
        <v>Pemberton</v>
      </c>
    </row>
    <row r="9854" spans="1:5">
      <c r="A9854" s="3" t="s">
        <v>20345</v>
      </c>
      <c r="B9854" s="110" t="s">
        <v>1355</v>
      </c>
      <c r="C9854" s="111" t="s">
        <v>12196</v>
      </c>
      <c r="D9854" s="111" t="str">
        <f t="shared" ref="D9854:E9854" si="9852">TRIM(B9854)</f>
        <v>New Jersey</v>
      </c>
      <c r="E9854" s="111" t="str">
        <f t="shared" si="9852"/>
        <v>Pennington</v>
      </c>
    </row>
    <row r="9855" spans="1:5">
      <c r="A9855" s="3" t="s">
        <v>20346</v>
      </c>
      <c r="B9855" s="110" t="s">
        <v>1355</v>
      </c>
      <c r="C9855" s="111" t="s">
        <v>12022</v>
      </c>
      <c r="D9855" s="111" t="str">
        <f t="shared" ref="D9855:E9855" si="9853">TRIM(B9855)</f>
        <v>New Jersey</v>
      </c>
      <c r="E9855" s="111" t="str">
        <f t="shared" si="9853"/>
        <v>Pennsauken</v>
      </c>
    </row>
    <row r="9856" spans="1:5">
      <c r="A9856" s="3" t="s">
        <v>20347</v>
      </c>
      <c r="B9856" s="110" t="s">
        <v>1355</v>
      </c>
      <c r="C9856" s="111" t="s">
        <v>20348</v>
      </c>
      <c r="D9856" s="111" t="str">
        <f t="shared" ref="D9856:E9856" si="9854">TRIM(B9856)</f>
        <v>New Jersey</v>
      </c>
      <c r="E9856" s="111" t="str">
        <f t="shared" si="9854"/>
        <v>Pennsville</v>
      </c>
    </row>
    <row r="9857" spans="1:5">
      <c r="A9857" s="3" t="s">
        <v>20349</v>
      </c>
      <c r="B9857" s="110" t="s">
        <v>1355</v>
      </c>
      <c r="C9857" s="111" t="s">
        <v>20350</v>
      </c>
      <c r="D9857" s="111" t="str">
        <f t="shared" ref="D9857:E9857" si="9855">TRIM(B9857)</f>
        <v>New Jersey</v>
      </c>
      <c r="E9857" s="111" t="str">
        <f t="shared" si="9855"/>
        <v>Perth Amboy</v>
      </c>
    </row>
    <row r="9858" spans="1:5">
      <c r="A9858" s="3" t="s">
        <v>20351</v>
      </c>
      <c r="B9858" s="110" t="s">
        <v>1355</v>
      </c>
      <c r="C9858" s="111" t="s">
        <v>20350</v>
      </c>
      <c r="D9858" s="111" t="str">
        <f t="shared" ref="D9858:E9858" si="9856">TRIM(B9858)</f>
        <v>New Jersey</v>
      </c>
      <c r="E9858" s="111" t="str">
        <f t="shared" si="9856"/>
        <v>Perth Amboy</v>
      </c>
    </row>
    <row r="9859" spans="1:5">
      <c r="A9859" s="3" t="s">
        <v>15464</v>
      </c>
      <c r="B9859" s="110" t="s">
        <v>1355</v>
      </c>
      <c r="C9859" s="111" t="s">
        <v>15465</v>
      </c>
      <c r="D9859" s="111" t="str">
        <f t="shared" ref="D9859:E9859" si="9857">TRIM(B9859)</f>
        <v>New Jersey</v>
      </c>
      <c r="E9859" s="111" t="str">
        <f t="shared" si="9857"/>
        <v>Phillipsburg</v>
      </c>
    </row>
    <row r="9860" spans="1:5">
      <c r="A9860" s="3" t="s">
        <v>20352</v>
      </c>
      <c r="B9860" s="110" t="s">
        <v>1355</v>
      </c>
      <c r="C9860" s="111" t="s">
        <v>20353</v>
      </c>
      <c r="D9860" s="111" t="str">
        <f t="shared" ref="D9860:E9860" si="9858">TRIM(B9860)</f>
        <v>New Jersey</v>
      </c>
      <c r="E9860" s="111" t="str">
        <f t="shared" si="9858"/>
        <v>Pine Hill</v>
      </c>
    </row>
    <row r="9861" spans="1:5">
      <c r="A9861" s="3" t="s">
        <v>20354</v>
      </c>
      <c r="B9861" s="110" t="s">
        <v>1355</v>
      </c>
      <c r="C9861" s="111" t="s">
        <v>12015</v>
      </c>
      <c r="D9861" s="111" t="str">
        <f t="shared" ref="D9861:E9861" si="9859">TRIM(B9861)</f>
        <v>New Jersey</v>
      </c>
      <c r="E9861" s="111" t="str">
        <f t="shared" si="9859"/>
        <v>Piscataway</v>
      </c>
    </row>
    <row r="9862" spans="1:5">
      <c r="A9862" s="3" t="s">
        <v>20355</v>
      </c>
      <c r="B9862" s="110" t="s">
        <v>1355</v>
      </c>
      <c r="C9862" s="111" t="s">
        <v>464</v>
      </c>
      <c r="D9862" s="111" t="str">
        <f t="shared" ref="D9862:E9862" si="9860">TRIM(B9862)</f>
        <v>New Jersey</v>
      </c>
      <c r="E9862" s="111" t="str">
        <f t="shared" si="9860"/>
        <v>Pitman</v>
      </c>
    </row>
    <row r="9863" spans="1:5">
      <c r="A9863" s="3" t="s">
        <v>20356</v>
      </c>
      <c r="B9863" s="110" t="s">
        <v>1355</v>
      </c>
      <c r="C9863" s="111" t="s">
        <v>20357</v>
      </c>
      <c r="D9863" s="111" t="str">
        <f t="shared" ref="D9863:E9863" si="9861">TRIM(B9863)</f>
        <v>New Jersey</v>
      </c>
      <c r="E9863" s="111" t="str">
        <f t="shared" si="9861"/>
        <v>Pittsgrove</v>
      </c>
    </row>
    <row r="9864" spans="1:5">
      <c r="A9864" s="3" t="s">
        <v>20358</v>
      </c>
      <c r="B9864" s="110" t="s">
        <v>1355</v>
      </c>
      <c r="C9864" s="111" t="s">
        <v>4652</v>
      </c>
      <c r="D9864" s="111" t="str">
        <f t="shared" ref="D9864:E9864" si="9862">TRIM(B9864)</f>
        <v>New Jersey</v>
      </c>
      <c r="E9864" s="111" t="str">
        <f t="shared" si="9862"/>
        <v>Plainfield</v>
      </c>
    </row>
    <row r="9865" spans="1:5">
      <c r="A9865" s="3" t="s">
        <v>8382</v>
      </c>
      <c r="B9865" s="110" t="s">
        <v>1355</v>
      </c>
      <c r="C9865" s="111" t="s">
        <v>4652</v>
      </c>
      <c r="D9865" s="111" t="str">
        <f t="shared" ref="D9865:E9865" si="9863">TRIM(B9865)</f>
        <v>New Jersey</v>
      </c>
      <c r="E9865" s="111" t="str">
        <f t="shared" si="9863"/>
        <v>Plainfield</v>
      </c>
    </row>
    <row r="9866" spans="1:5">
      <c r="A9866" s="3" t="s">
        <v>20359</v>
      </c>
      <c r="B9866" s="110" t="s">
        <v>1355</v>
      </c>
      <c r="C9866" s="111" t="s">
        <v>4652</v>
      </c>
      <c r="D9866" s="111" t="str">
        <f t="shared" ref="D9866:E9866" si="9864">TRIM(B9866)</f>
        <v>New Jersey</v>
      </c>
      <c r="E9866" s="111" t="str">
        <f t="shared" si="9864"/>
        <v>Plainfield</v>
      </c>
    </row>
    <row r="9867" spans="1:5">
      <c r="A9867" s="3" t="s">
        <v>20360</v>
      </c>
      <c r="B9867" s="110" t="s">
        <v>1355</v>
      </c>
      <c r="C9867" s="111" t="s">
        <v>20361</v>
      </c>
      <c r="D9867" s="111" t="str">
        <f t="shared" ref="D9867:E9867" si="9865">TRIM(B9867)</f>
        <v>New Jersey</v>
      </c>
      <c r="E9867" s="111" t="str">
        <f t="shared" si="9865"/>
        <v>Plainsboro</v>
      </c>
    </row>
    <row r="9868" spans="1:5">
      <c r="A9868" s="110" t="s">
        <v>20362</v>
      </c>
      <c r="B9868" s="110" t="s">
        <v>1355</v>
      </c>
      <c r="C9868" s="111" t="s">
        <v>15027</v>
      </c>
      <c r="D9868" s="111" t="str">
        <f t="shared" ref="D9868:E9868" si="9866">TRIM(B9868)</f>
        <v>New Jersey</v>
      </c>
      <c r="E9868" s="111" t="str">
        <f t="shared" si="9866"/>
        <v>Pleasantville</v>
      </c>
    </row>
    <row r="9869" spans="1:5">
      <c r="A9869" s="3" t="s">
        <v>15026</v>
      </c>
      <c r="B9869" s="110" t="s">
        <v>1355</v>
      </c>
      <c r="C9869" s="111" t="s">
        <v>15027</v>
      </c>
      <c r="D9869" s="111" t="str">
        <f t="shared" ref="D9869:E9869" si="9867">TRIM(B9869)</f>
        <v>New Jersey</v>
      </c>
      <c r="E9869" s="111" t="str">
        <f t="shared" si="9867"/>
        <v>Pleasantville</v>
      </c>
    </row>
    <row r="9870" spans="1:5">
      <c r="A9870" s="3" t="s">
        <v>20363</v>
      </c>
      <c r="B9870" s="110" t="s">
        <v>1355</v>
      </c>
      <c r="C9870" s="111" t="s">
        <v>20364</v>
      </c>
      <c r="D9870" s="111" t="str">
        <f t="shared" ref="D9870:E9870" si="9868">TRIM(B9870)</f>
        <v>New Jersey</v>
      </c>
      <c r="E9870" s="111" t="str">
        <f t="shared" si="9868"/>
        <v>Point Pleasant</v>
      </c>
    </row>
    <row r="9871" spans="1:5">
      <c r="A9871" s="3" t="s">
        <v>20365</v>
      </c>
      <c r="B9871" s="110" t="s">
        <v>1355</v>
      </c>
      <c r="C9871" s="113" t="s">
        <v>20366</v>
      </c>
      <c r="D9871" s="111" t="str">
        <f t="shared" ref="D9871:E9871" si="9869">TRIM(B9871)</f>
        <v>New Jersey</v>
      </c>
      <c r="E9871" s="111" t="str">
        <f t="shared" si="9869"/>
        <v>Point Pleasant Beach</v>
      </c>
    </row>
    <row r="9872" spans="1:5">
      <c r="A9872" s="3" t="s">
        <v>20367</v>
      </c>
      <c r="B9872" s="110" t="s">
        <v>1355</v>
      </c>
      <c r="C9872" s="111" t="s">
        <v>361</v>
      </c>
      <c r="D9872" s="111" t="str">
        <f t="shared" ref="D9872:E9872" si="9870">TRIM(B9872)</f>
        <v>New Jersey</v>
      </c>
      <c r="E9872" s="111" t="str">
        <f t="shared" si="9870"/>
        <v>Pompton Lakes</v>
      </c>
    </row>
    <row r="9873" spans="1:5">
      <c r="A9873" s="3" t="s">
        <v>20368</v>
      </c>
      <c r="B9873" s="110" t="s">
        <v>1355</v>
      </c>
      <c r="C9873" s="111" t="s">
        <v>20369</v>
      </c>
      <c r="D9873" s="111" t="str">
        <f t="shared" ref="D9873:E9873" si="9871">TRIM(B9873)</f>
        <v>New Jersey</v>
      </c>
      <c r="E9873" s="111" t="str">
        <f t="shared" si="9871"/>
        <v>Pompton Plains</v>
      </c>
    </row>
    <row r="9874" spans="1:5">
      <c r="A9874" s="3" t="s">
        <v>13665</v>
      </c>
      <c r="B9874" s="110" t="s">
        <v>1355</v>
      </c>
      <c r="C9874" s="111" t="s">
        <v>6448</v>
      </c>
      <c r="D9874" s="111" t="str">
        <f t="shared" ref="D9874:E9874" si="9872">TRIM(B9874)</f>
        <v>New Jersey</v>
      </c>
      <c r="E9874" s="111" t="str">
        <f t="shared" si="9872"/>
        <v>Princeton</v>
      </c>
    </row>
    <row r="9875" spans="1:5">
      <c r="A9875" s="3" t="s">
        <v>20370</v>
      </c>
      <c r="B9875" s="110" t="s">
        <v>1355</v>
      </c>
      <c r="C9875" s="111" t="s">
        <v>20371</v>
      </c>
      <c r="D9875" s="111" t="str">
        <f t="shared" ref="D9875:E9875" si="9873">TRIM(B9875)</f>
        <v>New Jersey</v>
      </c>
      <c r="E9875" s="111" t="str">
        <f t="shared" si="9873"/>
        <v>Rahway</v>
      </c>
    </row>
    <row r="9876" spans="1:5">
      <c r="A9876" s="3" t="s">
        <v>13674</v>
      </c>
      <c r="B9876" s="110" t="s">
        <v>1355</v>
      </c>
      <c r="C9876" s="111" t="s">
        <v>280</v>
      </c>
      <c r="D9876" s="111" t="str">
        <f t="shared" ref="D9876:E9876" si="9874">TRIM(B9876)</f>
        <v>New Jersey</v>
      </c>
      <c r="E9876" s="111" t="str">
        <f t="shared" si="9874"/>
        <v>Ramsey</v>
      </c>
    </row>
    <row r="9877" spans="1:5">
      <c r="A9877" s="3" t="s">
        <v>16805</v>
      </c>
      <c r="B9877" s="110" t="s">
        <v>1355</v>
      </c>
      <c r="C9877" s="111" t="s">
        <v>15476</v>
      </c>
      <c r="D9877" s="111" t="str">
        <f t="shared" ref="D9877:E9877" si="9875">TRIM(B9877)</f>
        <v>New Jersey</v>
      </c>
      <c r="E9877" s="111" t="str">
        <f t="shared" si="9875"/>
        <v>Randolph</v>
      </c>
    </row>
    <row r="9878" spans="1:5">
      <c r="A9878" s="3" t="s">
        <v>20372</v>
      </c>
      <c r="B9878" s="110" t="s">
        <v>1355</v>
      </c>
      <c r="C9878" s="111" t="s">
        <v>8651</v>
      </c>
      <c r="D9878" s="111" t="str">
        <f t="shared" ref="D9878:E9878" si="9876">TRIM(B9878)</f>
        <v>New Jersey</v>
      </c>
      <c r="E9878" s="111" t="str">
        <f t="shared" si="9876"/>
        <v>Ridgefield</v>
      </c>
    </row>
    <row r="9879" spans="1:5">
      <c r="A9879" s="3" t="s">
        <v>20373</v>
      </c>
      <c r="B9879" s="110" t="s">
        <v>1355</v>
      </c>
      <c r="C9879" s="111" t="s">
        <v>20374</v>
      </c>
      <c r="D9879" s="111" t="str">
        <f t="shared" ref="D9879:E9879" si="9877">TRIM(B9879)</f>
        <v>New Jersey</v>
      </c>
      <c r="E9879" s="111" t="str">
        <f t="shared" si="9877"/>
        <v>Ridgefield Park</v>
      </c>
    </row>
    <row r="9880" spans="1:5">
      <c r="A9880" s="3" t="s">
        <v>20375</v>
      </c>
      <c r="B9880" s="110" t="s">
        <v>1355</v>
      </c>
      <c r="C9880" s="111" t="s">
        <v>20376</v>
      </c>
      <c r="D9880" s="111" t="str">
        <f t="shared" ref="D9880:E9880" si="9878">TRIM(B9880)</f>
        <v>New Jersey</v>
      </c>
      <c r="E9880" s="111" t="str">
        <f t="shared" si="9878"/>
        <v>Ridgewood</v>
      </c>
    </row>
    <row r="9881" spans="1:5">
      <c r="A9881" s="3" t="s">
        <v>3921</v>
      </c>
      <c r="B9881" s="110" t="s">
        <v>1355</v>
      </c>
      <c r="C9881" s="111" t="s">
        <v>260</v>
      </c>
      <c r="D9881" s="111" t="str">
        <f t="shared" ref="D9881:E9881" si="9879">TRIM(B9881)</f>
        <v>New Jersey</v>
      </c>
      <c r="E9881" s="111" t="str">
        <f t="shared" si="9879"/>
        <v>Riverside</v>
      </c>
    </row>
    <row r="9882" spans="1:5">
      <c r="A9882" s="3" t="s">
        <v>20377</v>
      </c>
      <c r="B9882" s="110" t="s">
        <v>1355</v>
      </c>
      <c r="C9882" s="111" t="s">
        <v>20378</v>
      </c>
      <c r="D9882" s="111" t="str">
        <f t="shared" ref="D9882:E9882" si="9880">TRIM(B9882)</f>
        <v>New Jersey</v>
      </c>
      <c r="E9882" s="111" t="str">
        <f t="shared" si="9880"/>
        <v>Robbinsville</v>
      </c>
    </row>
    <row r="9883" spans="1:5">
      <c r="A9883" s="3" t="s">
        <v>20379</v>
      </c>
      <c r="B9883" s="110" t="s">
        <v>1355</v>
      </c>
      <c r="C9883" s="111" t="s">
        <v>20380</v>
      </c>
      <c r="D9883" s="111" t="str">
        <f t="shared" ref="D9883:E9883" si="9881">TRIM(B9883)</f>
        <v>New Jersey</v>
      </c>
      <c r="E9883" s="111" t="str">
        <f t="shared" si="9881"/>
        <v>Rockaway</v>
      </c>
    </row>
    <row r="9884" spans="1:5">
      <c r="A9884" s="3" t="s">
        <v>20381</v>
      </c>
      <c r="B9884" s="110" t="s">
        <v>1355</v>
      </c>
      <c r="C9884" s="111" t="s">
        <v>20380</v>
      </c>
      <c r="D9884" s="111" t="str">
        <f t="shared" ref="D9884:E9884" si="9882">TRIM(B9884)</f>
        <v>New Jersey</v>
      </c>
      <c r="E9884" s="111" t="str">
        <f t="shared" si="9882"/>
        <v>Rockaway</v>
      </c>
    </row>
    <row r="9885" spans="1:5">
      <c r="A9885" s="3" t="s">
        <v>20382</v>
      </c>
      <c r="B9885" s="110" t="s">
        <v>1355</v>
      </c>
      <c r="C9885" s="111" t="s">
        <v>864</v>
      </c>
      <c r="D9885" s="111" t="str">
        <f t="shared" ref="D9885:E9885" si="9883">TRIM(B9885)</f>
        <v>New Jersey</v>
      </c>
      <c r="E9885" s="111" t="str">
        <f t="shared" si="9883"/>
        <v>Roselle</v>
      </c>
    </row>
    <row r="9886" spans="1:5">
      <c r="A9886" s="3" t="s">
        <v>20383</v>
      </c>
      <c r="B9886" s="110" t="s">
        <v>1355</v>
      </c>
      <c r="C9886" s="112" t="s">
        <v>20384</v>
      </c>
      <c r="D9886" s="111" t="str">
        <f t="shared" ref="D9886:E9886" si="9884">TRIM(B9886)</f>
        <v>New Jersey</v>
      </c>
      <c r="E9886" s="111" t="str">
        <f t="shared" si="9884"/>
        <v>Roselle Park</v>
      </c>
    </row>
    <row r="9887" spans="1:5">
      <c r="A9887" s="3" t="s">
        <v>20385</v>
      </c>
      <c r="B9887" s="110" t="s">
        <v>1355</v>
      </c>
      <c r="C9887" s="111" t="s">
        <v>20386</v>
      </c>
      <c r="D9887" s="111" t="str">
        <f t="shared" ref="D9887:E9887" si="9885">TRIM(B9887)</f>
        <v>New Jersey</v>
      </c>
      <c r="E9887" s="111" t="str">
        <f t="shared" si="9885"/>
        <v>Rumson</v>
      </c>
    </row>
    <row r="9888" spans="1:5">
      <c r="A9888" s="3" t="s">
        <v>16591</v>
      </c>
      <c r="B9888" s="110" t="s">
        <v>1355</v>
      </c>
      <c r="C9888" s="111" t="s">
        <v>20387</v>
      </c>
      <c r="D9888" s="111" t="str">
        <f t="shared" ref="D9888:E9888" si="9886">TRIM(B9888)</f>
        <v>New Jersey</v>
      </c>
      <c r="E9888" s="111" t="str">
        <f t="shared" si="9886"/>
        <v>Runnemede</v>
      </c>
    </row>
    <row r="9889" spans="1:5">
      <c r="A9889" s="3" t="s">
        <v>9920</v>
      </c>
      <c r="B9889" s="110" t="s">
        <v>1355</v>
      </c>
      <c r="C9889" s="111" t="s">
        <v>12160</v>
      </c>
      <c r="D9889" s="111" t="str">
        <f t="shared" ref="D9889:E9889" si="9887">TRIM(B9889)</f>
        <v>New Jersey</v>
      </c>
      <c r="E9889" s="111" t="str">
        <f t="shared" si="9887"/>
        <v>Rutherford</v>
      </c>
    </row>
    <row r="9890" spans="1:5">
      <c r="A9890" s="3" t="s">
        <v>20388</v>
      </c>
      <c r="B9890" s="110" t="s">
        <v>1355</v>
      </c>
      <c r="C9890" s="111" t="s">
        <v>20389</v>
      </c>
      <c r="D9890" s="111" t="str">
        <f t="shared" ref="D9890:E9890" si="9888">TRIM(B9890)</f>
        <v>New Jersey</v>
      </c>
      <c r="E9890" s="111" t="str">
        <f t="shared" si="9888"/>
        <v>Saddle Brook</v>
      </c>
    </row>
    <row r="9891" spans="1:5">
      <c r="A9891" s="3" t="s">
        <v>4178</v>
      </c>
      <c r="B9891" s="110" t="s">
        <v>1355</v>
      </c>
      <c r="C9891" s="111" t="s">
        <v>451</v>
      </c>
      <c r="D9891" s="111" t="str">
        <f t="shared" ref="D9891:E9891" si="9889">TRIM(B9891)</f>
        <v>New Jersey</v>
      </c>
      <c r="E9891" s="111" t="str">
        <f t="shared" si="9889"/>
        <v>Salem</v>
      </c>
    </row>
    <row r="9892" spans="1:5">
      <c r="A9892" s="3" t="s">
        <v>20390</v>
      </c>
      <c r="B9892" s="110" t="s">
        <v>1355</v>
      </c>
      <c r="C9892" s="111" t="s">
        <v>569</v>
      </c>
      <c r="D9892" s="111" t="str">
        <f t="shared" ref="D9892:E9892" si="9890">TRIM(B9892)</f>
        <v>New Jersey</v>
      </c>
      <c r="E9892" s="111" t="str">
        <f t="shared" si="9890"/>
        <v>Scotch Plains</v>
      </c>
    </row>
    <row r="9893" spans="1:5">
      <c r="A9893" s="3" t="s">
        <v>20391</v>
      </c>
      <c r="B9893" s="110" t="s">
        <v>1355</v>
      </c>
      <c r="C9893" s="111" t="s">
        <v>20392</v>
      </c>
      <c r="D9893" s="111" t="str">
        <f t="shared" ref="D9893:E9893" si="9891">TRIM(B9893)</f>
        <v>New Jersey</v>
      </c>
      <c r="E9893" s="111" t="str">
        <f t="shared" si="9891"/>
        <v>Secaucus</v>
      </c>
    </row>
    <row r="9894" spans="1:5">
      <c r="A9894" s="3" t="s">
        <v>20393</v>
      </c>
      <c r="B9894" s="110" t="s">
        <v>1355</v>
      </c>
      <c r="C9894" s="111" t="s">
        <v>20394</v>
      </c>
      <c r="D9894" s="111" t="str">
        <f t="shared" ref="D9894:E9894" si="9892">TRIM(B9894)</f>
        <v>New Jersey</v>
      </c>
      <c r="E9894" s="111" t="str">
        <f t="shared" si="9892"/>
        <v>Sewell</v>
      </c>
    </row>
    <row r="9895" spans="1:5">
      <c r="A9895" s="3" t="s">
        <v>7088</v>
      </c>
      <c r="B9895" s="110" t="s">
        <v>1355</v>
      </c>
      <c r="C9895" s="111" t="s">
        <v>20395</v>
      </c>
      <c r="D9895" s="111" t="str">
        <f t="shared" ref="D9895:E9895" si="9893">TRIM(B9895)</f>
        <v>New Jersey</v>
      </c>
      <c r="E9895" s="111" t="str">
        <f t="shared" si="9893"/>
        <v>Skillman</v>
      </c>
    </row>
    <row r="9896" spans="1:5">
      <c r="A9896" s="3" t="s">
        <v>8247</v>
      </c>
      <c r="B9896" s="110" t="s">
        <v>1355</v>
      </c>
      <c r="C9896" s="111" t="s">
        <v>20396</v>
      </c>
      <c r="D9896" s="111" t="str">
        <f t="shared" ref="D9896:E9896" si="9894">TRIM(B9896)</f>
        <v>New Jersey</v>
      </c>
      <c r="E9896" s="111" t="str">
        <f t="shared" si="9894"/>
        <v>Somerdale</v>
      </c>
    </row>
    <row r="9897" spans="1:5">
      <c r="A9897" s="3" t="s">
        <v>20397</v>
      </c>
      <c r="B9897" s="110" t="s">
        <v>1355</v>
      </c>
      <c r="C9897" s="111" t="s">
        <v>20398</v>
      </c>
      <c r="D9897" s="111" t="str">
        <f t="shared" ref="D9897:E9897" si="9895">TRIM(B9897)</f>
        <v>New Jersey</v>
      </c>
      <c r="E9897" s="111" t="str">
        <f t="shared" si="9895"/>
        <v>Somers Point</v>
      </c>
    </row>
    <row r="9898" spans="1:5">
      <c r="A9898" s="3" t="s">
        <v>4937</v>
      </c>
      <c r="B9898" s="110" t="s">
        <v>1355</v>
      </c>
      <c r="C9898" s="111" t="s">
        <v>1068</v>
      </c>
      <c r="D9898" s="111" t="str">
        <f t="shared" ref="D9898:E9898" si="9896">TRIM(B9898)</f>
        <v>New Jersey</v>
      </c>
      <c r="E9898" s="111" t="str">
        <f t="shared" si="9896"/>
        <v>Somerset</v>
      </c>
    </row>
    <row r="9899" spans="1:5">
      <c r="A9899" s="3" t="s">
        <v>16832</v>
      </c>
      <c r="B9899" s="110" t="s">
        <v>1355</v>
      </c>
      <c r="C9899" s="111" t="s">
        <v>2178</v>
      </c>
      <c r="D9899" s="111" t="str">
        <f t="shared" ref="D9899:E9899" si="9897">TRIM(B9899)</f>
        <v>New Jersey</v>
      </c>
      <c r="E9899" s="111" t="str">
        <f t="shared" si="9897"/>
        <v>Somerville</v>
      </c>
    </row>
    <row r="9900" spans="1:5">
      <c r="A9900" s="3" t="s">
        <v>20399</v>
      </c>
      <c r="B9900" s="110" t="s">
        <v>1355</v>
      </c>
      <c r="C9900" s="111" t="s">
        <v>20400</v>
      </c>
      <c r="D9900" s="111" t="str">
        <f t="shared" ref="D9900:E9900" si="9898">TRIM(B9900)</f>
        <v>New Jersey</v>
      </c>
      <c r="E9900" s="111" t="str">
        <f t="shared" si="9898"/>
        <v>South Amboy</v>
      </c>
    </row>
    <row r="9901" spans="1:5">
      <c r="A9901" s="3" t="s">
        <v>20401</v>
      </c>
      <c r="B9901" s="110" t="s">
        <v>1355</v>
      </c>
      <c r="C9901" s="111" t="s">
        <v>20402</v>
      </c>
      <c r="D9901" s="111" t="str">
        <f t="shared" ref="D9901:E9901" si="9899">TRIM(B9901)</f>
        <v>New Jersey</v>
      </c>
      <c r="E9901" s="111" t="str">
        <f t="shared" si="9899"/>
        <v>South Plainfield</v>
      </c>
    </row>
    <row r="9902" spans="1:5">
      <c r="A9902" s="3" t="s">
        <v>16395</v>
      </c>
      <c r="B9902" s="110" t="s">
        <v>1355</v>
      </c>
      <c r="C9902" s="111" t="s">
        <v>12031</v>
      </c>
      <c r="D9902" s="111" t="str">
        <f t="shared" ref="D9902:E9902" si="9900">TRIM(B9902)</f>
        <v>New Jersey</v>
      </c>
      <c r="E9902" s="111" t="str">
        <f t="shared" si="9900"/>
        <v>South River</v>
      </c>
    </row>
    <row r="9903" spans="1:5">
      <c r="A9903" s="3" t="s">
        <v>13824</v>
      </c>
      <c r="B9903" s="110" t="s">
        <v>1355</v>
      </c>
      <c r="C9903" s="111" t="s">
        <v>10334</v>
      </c>
      <c r="D9903" s="111" t="str">
        <f t="shared" ref="D9903:E9903" si="9901">TRIM(B9903)</f>
        <v>New Jersey</v>
      </c>
      <c r="E9903" s="111" t="str">
        <f t="shared" si="9901"/>
        <v>Sparta</v>
      </c>
    </row>
    <row r="9904" spans="1:5">
      <c r="A9904" s="3" t="s">
        <v>20403</v>
      </c>
      <c r="B9904" s="110" t="s">
        <v>1355</v>
      </c>
      <c r="C9904" s="111" t="s">
        <v>20404</v>
      </c>
      <c r="D9904" s="111" t="str">
        <f t="shared" ref="D9904:E9904" si="9902">TRIM(B9904)</f>
        <v>New Jersey</v>
      </c>
      <c r="E9904" s="111" t="str">
        <f t="shared" si="9902"/>
        <v>Spotswood</v>
      </c>
    </row>
    <row r="9905" spans="1:5">
      <c r="A9905" s="3" t="s">
        <v>20405</v>
      </c>
      <c r="B9905" s="110" t="s">
        <v>1355</v>
      </c>
      <c r="C9905" s="111" t="s">
        <v>416</v>
      </c>
      <c r="D9905" s="111" t="str">
        <f t="shared" ref="D9905:E9905" si="9903">TRIM(B9905)</f>
        <v>New Jersey</v>
      </c>
      <c r="E9905" s="111" t="str">
        <f t="shared" si="9903"/>
        <v>Springfield</v>
      </c>
    </row>
    <row r="9906" spans="1:5">
      <c r="A9906" s="3" t="s">
        <v>20406</v>
      </c>
      <c r="B9906" s="110" t="s">
        <v>1355</v>
      </c>
      <c r="C9906" s="111" t="s">
        <v>20407</v>
      </c>
      <c r="D9906" s="111" t="str">
        <f t="shared" ref="D9906:E9906" si="9904">TRIM(B9906)</f>
        <v>New Jersey</v>
      </c>
      <c r="E9906" s="111" t="str">
        <f t="shared" si="9904"/>
        <v>Stanhope</v>
      </c>
    </row>
    <row r="9907" spans="1:5">
      <c r="A9907" s="3" t="s">
        <v>20408</v>
      </c>
      <c r="B9907" s="110" t="s">
        <v>1355</v>
      </c>
      <c r="C9907" s="111" t="s">
        <v>20409</v>
      </c>
      <c r="D9907" s="111" t="str">
        <f t="shared" ref="D9907:E9907" si="9905">TRIM(B9907)</f>
        <v>New Jersey</v>
      </c>
      <c r="E9907" s="111" t="str">
        <f t="shared" si="9905"/>
        <v>Succasunna</v>
      </c>
    </row>
    <row r="9908" spans="1:5">
      <c r="A9908" s="3" t="s">
        <v>2617</v>
      </c>
      <c r="B9908" s="110" t="s">
        <v>1355</v>
      </c>
      <c r="C9908" s="111" t="s">
        <v>12068</v>
      </c>
      <c r="D9908" s="111" t="str">
        <f t="shared" ref="D9908:E9908" si="9906">TRIM(B9908)</f>
        <v>New Jersey</v>
      </c>
      <c r="E9908" s="111" t="str">
        <f t="shared" si="9906"/>
        <v>Summit</v>
      </c>
    </row>
    <row r="9909" spans="1:5">
      <c r="A9909" s="3" t="s">
        <v>20410</v>
      </c>
      <c r="B9909" s="110" t="s">
        <v>1355</v>
      </c>
      <c r="C9909" s="111" t="s">
        <v>450</v>
      </c>
      <c r="D9909" s="111" t="str">
        <f t="shared" ref="D9909:E9909" si="9907">TRIM(B9909)</f>
        <v>New Jersey</v>
      </c>
      <c r="E9909" s="111" t="str">
        <f t="shared" si="9907"/>
        <v>Sussex</v>
      </c>
    </row>
    <row r="9910" spans="1:5">
      <c r="A9910" s="3" t="s">
        <v>13785</v>
      </c>
      <c r="B9910" s="110" t="s">
        <v>1355</v>
      </c>
      <c r="C9910" s="111" t="s">
        <v>20411</v>
      </c>
      <c r="D9910" s="111" t="str">
        <f t="shared" ref="D9910:E9910" si="9908">TRIM(B9910)</f>
        <v>New Jersey</v>
      </c>
      <c r="E9910" s="111" t="str">
        <f t="shared" si="9908"/>
        <v>Tabernacle</v>
      </c>
    </row>
    <row r="9911" spans="1:5">
      <c r="A9911" s="3" t="s">
        <v>20412</v>
      </c>
      <c r="B9911" s="110" t="s">
        <v>1355</v>
      </c>
      <c r="C9911" s="111" t="s">
        <v>12057</v>
      </c>
      <c r="D9911" s="111" t="str">
        <f t="shared" ref="D9911:E9911" si="9909">TRIM(B9911)</f>
        <v>New Jersey</v>
      </c>
      <c r="E9911" s="111" t="str">
        <f t="shared" si="9909"/>
        <v>Teaneck</v>
      </c>
    </row>
    <row r="9912" spans="1:5">
      <c r="A9912" s="3" t="s">
        <v>20413</v>
      </c>
      <c r="B9912" s="110" t="s">
        <v>1355</v>
      </c>
      <c r="C9912" s="111" t="s">
        <v>20414</v>
      </c>
      <c r="D9912" s="111" t="str">
        <f t="shared" ref="D9912:E9912" si="9910">TRIM(B9912)</f>
        <v>New Jersey</v>
      </c>
      <c r="E9912" s="111" t="str">
        <f t="shared" si="9910"/>
        <v>Tenafly</v>
      </c>
    </row>
    <row r="9913" spans="1:5">
      <c r="A9913" s="3" t="s">
        <v>20415</v>
      </c>
      <c r="B9913" s="110" t="s">
        <v>1355</v>
      </c>
      <c r="C9913" s="111" t="s">
        <v>12124</v>
      </c>
      <c r="D9913" s="111" t="str">
        <f t="shared" ref="D9913:E9913" si="9911">TRIM(B9913)</f>
        <v>New Jersey</v>
      </c>
      <c r="E9913" s="111" t="str">
        <f t="shared" si="9911"/>
        <v>Tinton Falls</v>
      </c>
    </row>
    <row r="9914" spans="1:5">
      <c r="A9914" s="3" t="s">
        <v>20416</v>
      </c>
      <c r="B9914" s="110" t="s">
        <v>1355</v>
      </c>
      <c r="C9914" s="111" t="s">
        <v>20417</v>
      </c>
      <c r="D9914" s="111" t="str">
        <f t="shared" ref="D9914:E9914" si="9912">TRIM(B9914)</f>
        <v>New Jersey</v>
      </c>
      <c r="E9914" s="111" t="str">
        <f t="shared" si="9912"/>
        <v>Toms River</v>
      </c>
    </row>
    <row r="9915" spans="1:5">
      <c r="A9915" s="3" t="s">
        <v>20418</v>
      </c>
      <c r="B9915" s="110" t="s">
        <v>1355</v>
      </c>
      <c r="C9915" s="111" t="s">
        <v>20417</v>
      </c>
      <c r="D9915" s="111" t="str">
        <f t="shared" ref="D9915:E9915" si="9913">TRIM(B9915)</f>
        <v>New Jersey</v>
      </c>
      <c r="E9915" s="111" t="str">
        <f t="shared" si="9913"/>
        <v>Toms River</v>
      </c>
    </row>
    <row r="9916" spans="1:5">
      <c r="A9916" s="3" t="s">
        <v>20419</v>
      </c>
      <c r="B9916" s="110" t="s">
        <v>1355</v>
      </c>
      <c r="C9916" s="111" t="s">
        <v>20417</v>
      </c>
      <c r="D9916" s="111" t="str">
        <f t="shared" ref="D9916:E9916" si="9914">TRIM(B9916)</f>
        <v>New Jersey</v>
      </c>
      <c r="E9916" s="111" t="str">
        <f t="shared" si="9914"/>
        <v>Toms River</v>
      </c>
    </row>
    <row r="9917" spans="1:5">
      <c r="A9917" s="3" t="s">
        <v>20420</v>
      </c>
      <c r="B9917" s="110" t="s">
        <v>1355</v>
      </c>
      <c r="C9917" s="113" t="s">
        <v>20421</v>
      </c>
      <c r="D9917" s="111" t="str">
        <f t="shared" ref="D9917:E9917" si="9915">TRIM(B9917)</f>
        <v>New Jersey</v>
      </c>
      <c r="E9917" s="111" t="str">
        <f t="shared" si="9915"/>
        <v>Township Of Washington</v>
      </c>
    </row>
    <row r="9918" spans="1:5">
      <c r="A9918" s="3" t="s">
        <v>20422</v>
      </c>
      <c r="B9918" s="110" t="s">
        <v>1355</v>
      </c>
      <c r="C9918" s="111" t="s">
        <v>10194</v>
      </c>
      <c r="D9918" s="111" t="str">
        <f t="shared" ref="D9918:E9918" si="9916">TRIM(B9918)</f>
        <v>New Jersey</v>
      </c>
      <c r="E9918" s="111" t="str">
        <f t="shared" si="9916"/>
        <v>Trenton</v>
      </c>
    </row>
    <row r="9919" spans="1:5">
      <c r="A9919" s="3" t="s">
        <v>20423</v>
      </c>
      <c r="B9919" s="110" t="s">
        <v>1355</v>
      </c>
      <c r="C9919" s="111" t="s">
        <v>10194</v>
      </c>
      <c r="D9919" s="111" t="str">
        <f t="shared" ref="D9919:E9919" si="9917">TRIM(B9919)</f>
        <v>New Jersey</v>
      </c>
      <c r="E9919" s="111" t="str">
        <f t="shared" si="9917"/>
        <v>Trenton</v>
      </c>
    </row>
    <row r="9920" spans="1:5">
      <c r="A9920" s="3" t="s">
        <v>14909</v>
      </c>
      <c r="B9920" s="110" t="s">
        <v>1355</v>
      </c>
      <c r="C9920" s="112" t="s">
        <v>483</v>
      </c>
      <c r="D9920" s="111" t="str">
        <f t="shared" ref="D9920:E9920" si="9918">TRIM(B9920)</f>
        <v>New Jersey</v>
      </c>
      <c r="E9920" s="111" t="str">
        <f t="shared" si="9918"/>
        <v>Union</v>
      </c>
    </row>
    <row r="9921" spans="1:5">
      <c r="A9921" s="3" t="s">
        <v>17637</v>
      </c>
      <c r="B9921" s="110" t="s">
        <v>1355</v>
      </c>
      <c r="C9921" s="111" t="s">
        <v>7340</v>
      </c>
      <c r="D9921" s="111" t="str">
        <f t="shared" ref="D9921:E9921" si="9919">TRIM(B9921)</f>
        <v>New Jersey</v>
      </c>
      <c r="E9921" s="111" t="str">
        <f t="shared" si="9919"/>
        <v>Union City</v>
      </c>
    </row>
    <row r="9922" spans="1:5">
      <c r="A9922" s="3" t="s">
        <v>20424</v>
      </c>
      <c r="B9922" s="110" t="s">
        <v>1355</v>
      </c>
      <c r="C9922" s="111" t="s">
        <v>8714</v>
      </c>
      <c r="D9922" s="111" t="str">
        <f t="shared" ref="D9922:E9922" si="9920">TRIM(B9922)</f>
        <v>New Jersey</v>
      </c>
      <c r="E9922" s="111" t="str">
        <f t="shared" si="9920"/>
        <v>Vernon</v>
      </c>
    </row>
    <row r="9923" spans="1:5">
      <c r="A9923" s="3" t="s">
        <v>19204</v>
      </c>
      <c r="B9923" s="110" t="s">
        <v>1355</v>
      </c>
      <c r="C9923" s="111" t="s">
        <v>19205</v>
      </c>
      <c r="D9923" s="111" t="str">
        <f t="shared" ref="D9923:E9923" si="9921">TRIM(B9923)</f>
        <v>New Jersey</v>
      </c>
      <c r="E9923" s="111" t="str">
        <f t="shared" si="9921"/>
        <v>Verona</v>
      </c>
    </row>
    <row r="9924" spans="1:5">
      <c r="A9924" s="3" t="s">
        <v>20425</v>
      </c>
      <c r="B9924" s="110" t="s">
        <v>1355</v>
      </c>
      <c r="C9924" s="111" t="s">
        <v>20426</v>
      </c>
      <c r="D9924" s="111" t="str">
        <f t="shared" ref="D9924:E9924" si="9922">TRIM(B9924)</f>
        <v>New Jersey</v>
      </c>
      <c r="E9924" s="111" t="str">
        <f t="shared" si="9922"/>
        <v>Vineland</v>
      </c>
    </row>
    <row r="9925" spans="1:5">
      <c r="A9925" s="3" t="s">
        <v>20427</v>
      </c>
      <c r="B9925" s="110" t="s">
        <v>1355</v>
      </c>
      <c r="C9925" s="111" t="s">
        <v>20428</v>
      </c>
      <c r="D9925" s="111" t="str">
        <f t="shared" ref="D9925:E9925" si="9923">TRIM(B9925)</f>
        <v>New Jersey</v>
      </c>
      <c r="E9925" s="111" t="str">
        <f t="shared" si="9923"/>
        <v>Voorhees</v>
      </c>
    </row>
    <row r="9926" spans="1:5">
      <c r="A9926" s="3" t="s">
        <v>20429</v>
      </c>
      <c r="B9926" s="110" t="s">
        <v>1355</v>
      </c>
      <c r="C9926" s="111" t="s">
        <v>20430</v>
      </c>
      <c r="D9926" s="111" t="str">
        <f t="shared" ref="D9926:E9926" si="9924">TRIM(B9926)</f>
        <v>New Jersey</v>
      </c>
      <c r="E9926" s="111" t="str">
        <f t="shared" si="9924"/>
        <v>Waldwick</v>
      </c>
    </row>
    <row r="9927" spans="1:5">
      <c r="A9927" s="3" t="s">
        <v>20431</v>
      </c>
      <c r="B9927" s="110" t="s">
        <v>1355</v>
      </c>
      <c r="C9927" s="111" t="s">
        <v>20432</v>
      </c>
      <c r="D9927" s="111" t="str">
        <f t="shared" ref="D9927:E9927" si="9925">TRIM(B9927)</f>
        <v>New Jersey</v>
      </c>
      <c r="E9927" s="111" t="str">
        <f t="shared" si="9925"/>
        <v>Wall</v>
      </c>
    </row>
    <row r="9928" spans="1:5">
      <c r="A9928" s="3" t="s">
        <v>20433</v>
      </c>
      <c r="B9928" s="110" t="s">
        <v>1355</v>
      </c>
      <c r="C9928" s="111" t="s">
        <v>20434</v>
      </c>
      <c r="D9928" s="111" t="str">
        <f t="shared" ref="D9928:E9928" si="9926">TRIM(B9928)</f>
        <v>New Jersey</v>
      </c>
      <c r="E9928" s="111" t="str">
        <f t="shared" si="9926"/>
        <v>Wallington</v>
      </c>
    </row>
    <row r="9929" spans="1:5">
      <c r="A9929" s="3" t="s">
        <v>20435</v>
      </c>
      <c r="B9929" s="110" t="s">
        <v>1355</v>
      </c>
      <c r="C9929" s="111" t="s">
        <v>20436</v>
      </c>
      <c r="D9929" s="111" t="str">
        <f t="shared" ref="D9929:E9929" si="9927">TRIM(B9929)</f>
        <v>New Jersey</v>
      </c>
      <c r="E9929" s="111" t="str">
        <f t="shared" si="9927"/>
        <v>Wanaque</v>
      </c>
    </row>
    <row r="9930" spans="1:5">
      <c r="A9930" s="3" t="s">
        <v>20437</v>
      </c>
      <c r="B9930" s="110" t="s">
        <v>1355</v>
      </c>
      <c r="C9930" s="111" t="s">
        <v>4265</v>
      </c>
      <c r="D9930" s="111" t="str">
        <f t="shared" ref="D9930:E9930" si="9928">TRIM(B9930)</f>
        <v>New Jersey</v>
      </c>
      <c r="E9930" s="111" t="str">
        <f t="shared" si="9928"/>
        <v>Warren</v>
      </c>
    </row>
    <row r="9931" spans="1:5">
      <c r="A9931" s="3" t="s">
        <v>20438</v>
      </c>
      <c r="B9931" s="110" t="s">
        <v>1355</v>
      </c>
      <c r="C9931" s="111" t="s">
        <v>276</v>
      </c>
      <c r="D9931" s="111" t="str">
        <f t="shared" ref="D9931:E9931" si="9929">TRIM(B9931)</f>
        <v>New Jersey</v>
      </c>
      <c r="E9931" s="111" t="str">
        <f t="shared" si="9929"/>
        <v>Washington</v>
      </c>
    </row>
    <row r="9932" spans="1:5">
      <c r="A9932" s="3" t="s">
        <v>20439</v>
      </c>
      <c r="B9932" s="110" t="s">
        <v>1355</v>
      </c>
      <c r="C9932" s="111" t="s">
        <v>413</v>
      </c>
      <c r="D9932" s="111" t="str">
        <f t="shared" ref="D9932:E9932" si="9930">TRIM(B9932)</f>
        <v>New Jersey</v>
      </c>
      <c r="E9932" s="111" t="str">
        <f t="shared" si="9930"/>
        <v>Wayne</v>
      </c>
    </row>
    <row r="9933" spans="1:5">
      <c r="A9933" s="3" t="s">
        <v>20440</v>
      </c>
      <c r="B9933" s="110" t="s">
        <v>1355</v>
      </c>
      <c r="C9933" s="111" t="s">
        <v>413</v>
      </c>
      <c r="D9933" s="111" t="str">
        <f t="shared" ref="D9933:E9933" si="9931">TRIM(B9933)</f>
        <v>New Jersey</v>
      </c>
      <c r="E9933" s="111" t="str">
        <f t="shared" si="9931"/>
        <v>Wayne</v>
      </c>
    </row>
    <row r="9934" spans="1:5">
      <c r="A9934" s="3" t="s">
        <v>20441</v>
      </c>
      <c r="B9934" s="110" t="s">
        <v>1355</v>
      </c>
      <c r="C9934" s="111" t="s">
        <v>20442</v>
      </c>
      <c r="D9934" s="111" t="str">
        <f t="shared" ref="D9934:E9934" si="9932">TRIM(B9934)</f>
        <v>New Jersey</v>
      </c>
      <c r="E9934" s="111" t="str">
        <f t="shared" si="9932"/>
        <v>Weehawken</v>
      </c>
    </row>
    <row r="9935" spans="1:5">
      <c r="A9935" s="3" t="s">
        <v>20443</v>
      </c>
      <c r="B9935" s="110" t="s">
        <v>1355</v>
      </c>
      <c r="C9935" s="111" t="s">
        <v>20444</v>
      </c>
      <c r="D9935" s="111" t="str">
        <f t="shared" ref="D9935:E9935" si="9933">TRIM(B9935)</f>
        <v>New Jersey</v>
      </c>
      <c r="E9935" s="111" t="str">
        <f t="shared" si="9933"/>
        <v>West Caldwell</v>
      </c>
    </row>
    <row r="9936" spans="1:5">
      <c r="A9936" s="3" t="s">
        <v>20445</v>
      </c>
      <c r="B9936" s="110" t="s">
        <v>1355</v>
      </c>
      <c r="C9936" s="111" t="s">
        <v>20446</v>
      </c>
      <c r="D9936" s="111" t="str">
        <f t="shared" ref="D9936:E9936" si="9934">TRIM(B9936)</f>
        <v>New Jersey</v>
      </c>
      <c r="E9936" s="111" t="str">
        <f t="shared" si="9934"/>
        <v>West Deptford</v>
      </c>
    </row>
    <row r="9937" spans="1:5">
      <c r="A9937" s="3" t="s">
        <v>20447</v>
      </c>
      <c r="B9937" s="110" t="s">
        <v>1355</v>
      </c>
      <c r="C9937" s="113" t="s">
        <v>20448</v>
      </c>
      <c r="D9937" s="111" t="str">
        <f t="shared" ref="D9937:E9937" si="9935">TRIM(B9937)</f>
        <v>New Jersey</v>
      </c>
      <c r="E9937" s="111" t="str">
        <f t="shared" si="9935"/>
        <v>West Long Branch</v>
      </c>
    </row>
    <row r="9938" spans="1:5">
      <c r="A9938" s="3" t="s">
        <v>20449</v>
      </c>
      <c r="B9938" s="110" t="s">
        <v>1355</v>
      </c>
      <c r="C9938" s="111" t="s">
        <v>20450</v>
      </c>
      <c r="D9938" s="111" t="str">
        <f t="shared" ref="D9938:E9938" si="9936">TRIM(B9938)</f>
        <v>New Jersey</v>
      </c>
      <c r="E9938" s="111" t="str">
        <f t="shared" si="9936"/>
        <v>West Milford</v>
      </c>
    </row>
    <row r="9939" spans="1:5">
      <c r="A9939" s="3" t="s">
        <v>17870</v>
      </c>
      <c r="B9939" s="110" t="s">
        <v>1355</v>
      </c>
      <c r="C9939" s="111" t="s">
        <v>20451</v>
      </c>
      <c r="D9939" s="111" t="str">
        <f t="shared" ref="D9939:E9939" si="9937">TRIM(B9939)</f>
        <v>New Jersey</v>
      </c>
      <c r="E9939" s="111" t="str">
        <f t="shared" si="9937"/>
        <v>West New York</v>
      </c>
    </row>
    <row r="9940" spans="1:5">
      <c r="A9940" s="3" t="s">
        <v>10260</v>
      </c>
      <c r="B9940" s="110" t="s">
        <v>1355</v>
      </c>
      <c r="C9940" s="111" t="s">
        <v>12137</v>
      </c>
      <c r="D9940" s="111" t="str">
        <f t="shared" ref="D9940:E9940" si="9938">TRIM(B9940)</f>
        <v>New Jersey</v>
      </c>
      <c r="E9940" s="111" t="str">
        <f t="shared" si="9938"/>
        <v>West Orange</v>
      </c>
    </row>
    <row r="9941" spans="1:5">
      <c r="A9941" s="3" t="s">
        <v>20452</v>
      </c>
      <c r="B9941" s="110" t="s">
        <v>1355</v>
      </c>
      <c r="C9941" s="111" t="s">
        <v>20453</v>
      </c>
      <c r="D9941" s="111" t="str">
        <f t="shared" ref="D9941:E9941" si="9939">TRIM(B9941)</f>
        <v>New Jersey</v>
      </c>
      <c r="E9941" s="111" t="str">
        <f t="shared" si="9939"/>
        <v>West Windsor</v>
      </c>
    </row>
    <row r="9942" spans="1:5">
      <c r="A9942" s="3" t="s">
        <v>20454</v>
      </c>
      <c r="B9942" s="110" t="s">
        <v>1355</v>
      </c>
      <c r="C9942" s="111" t="s">
        <v>6783</v>
      </c>
      <c r="D9942" s="111" t="str">
        <f t="shared" ref="D9942:E9942" si="9940">TRIM(B9942)</f>
        <v>New Jersey</v>
      </c>
      <c r="E9942" s="111" t="str">
        <f t="shared" si="9940"/>
        <v>Westfield</v>
      </c>
    </row>
    <row r="9943" spans="1:5">
      <c r="A9943" s="3" t="s">
        <v>20455</v>
      </c>
      <c r="B9943" s="110" t="s">
        <v>1355</v>
      </c>
      <c r="C9943" s="111" t="s">
        <v>14015</v>
      </c>
      <c r="D9943" s="111" t="str">
        <f t="shared" ref="D9943:E9943" si="9941">TRIM(B9943)</f>
        <v>New Jersey</v>
      </c>
      <c r="E9943" s="111" t="str">
        <f t="shared" si="9941"/>
        <v>Westmont</v>
      </c>
    </row>
    <row r="9944" spans="1:5">
      <c r="A9944" s="3" t="s">
        <v>20456</v>
      </c>
      <c r="B9944" s="110" t="s">
        <v>1355</v>
      </c>
      <c r="C9944" s="111" t="s">
        <v>20457</v>
      </c>
      <c r="D9944" s="111" t="str">
        <f t="shared" ref="D9944:E9944" si="9942">TRIM(B9944)</f>
        <v>New Jersey</v>
      </c>
      <c r="E9944" s="111" t="str">
        <f t="shared" si="9942"/>
        <v>Whippany</v>
      </c>
    </row>
    <row r="9945" spans="1:5">
      <c r="A9945" s="3" t="s">
        <v>20458</v>
      </c>
      <c r="B9945" s="110" t="s">
        <v>1355</v>
      </c>
      <c r="C9945" s="111" t="s">
        <v>6793</v>
      </c>
      <c r="D9945" s="111" t="str">
        <f t="shared" ref="D9945:E9945" si="9943">TRIM(B9945)</f>
        <v>New Jersey</v>
      </c>
      <c r="E9945" s="111" t="str">
        <f t="shared" si="9943"/>
        <v>Wildwood</v>
      </c>
    </row>
    <row r="9946" spans="1:5">
      <c r="A9946" s="3" t="s">
        <v>20459</v>
      </c>
      <c r="B9946" s="110" t="s">
        <v>1355</v>
      </c>
      <c r="C9946" s="111" t="s">
        <v>11263</v>
      </c>
      <c r="D9946" s="111" t="str">
        <f t="shared" ref="D9946:E9946" si="9944">TRIM(B9946)</f>
        <v>New Jersey</v>
      </c>
      <c r="E9946" s="111" t="str">
        <f t="shared" si="9944"/>
        <v>Williamstown</v>
      </c>
    </row>
    <row r="9947" spans="1:5">
      <c r="A9947" s="3" t="s">
        <v>20460</v>
      </c>
      <c r="B9947" s="110" t="s">
        <v>1355</v>
      </c>
      <c r="C9947" s="111" t="s">
        <v>20461</v>
      </c>
      <c r="D9947" s="111" t="str">
        <f t="shared" ref="D9947:E9947" si="9945">TRIM(B9947)</f>
        <v>New Jersey</v>
      </c>
      <c r="E9947" s="111" t="str">
        <f t="shared" si="9945"/>
        <v>Willingboro</v>
      </c>
    </row>
    <row r="9948" spans="1:5">
      <c r="A9948" s="3" t="s">
        <v>20462</v>
      </c>
      <c r="B9948" s="110" t="s">
        <v>1355</v>
      </c>
      <c r="C9948" s="111" t="s">
        <v>20463</v>
      </c>
      <c r="D9948" s="111" t="str">
        <f t="shared" ref="D9948:E9948" si="9946">TRIM(B9948)</f>
        <v>New Jersey</v>
      </c>
      <c r="E9948" s="111" t="str">
        <f t="shared" si="9946"/>
        <v>Wood Ridge</v>
      </c>
    </row>
    <row r="9949" spans="1:5">
      <c r="A9949" s="3" t="s">
        <v>5346</v>
      </c>
      <c r="B9949" s="110" t="s">
        <v>1355</v>
      </c>
      <c r="C9949" s="111" t="s">
        <v>8785</v>
      </c>
      <c r="D9949" s="111" t="str">
        <f t="shared" ref="D9949:E9949" si="9947">TRIM(B9949)</f>
        <v>New Jersey</v>
      </c>
      <c r="E9949" s="111" t="str">
        <f t="shared" si="9947"/>
        <v>Woodbridge</v>
      </c>
    </row>
    <row r="9950" spans="1:5">
      <c r="A9950" s="3" t="s">
        <v>20464</v>
      </c>
      <c r="B9950" s="110" t="s">
        <v>1355</v>
      </c>
      <c r="C9950" s="111" t="s">
        <v>8789</v>
      </c>
      <c r="D9950" s="111" t="str">
        <f t="shared" ref="D9950:E9950" si="9948">TRIM(B9950)</f>
        <v>New Jersey</v>
      </c>
      <c r="E9950" s="111" t="str">
        <f t="shared" si="9948"/>
        <v>Woodbury</v>
      </c>
    </row>
    <row r="9951" spans="1:5">
      <c r="A9951" s="3" t="s">
        <v>16683</v>
      </c>
      <c r="B9951" s="110" t="s">
        <v>1355</v>
      </c>
      <c r="C9951" s="111" t="s">
        <v>20465</v>
      </c>
      <c r="D9951" s="111" t="str">
        <f t="shared" ref="D9951:E9951" si="9949">TRIM(B9951)</f>
        <v>New Jersey</v>
      </c>
      <c r="E9951" s="111" t="str">
        <f t="shared" si="9949"/>
        <v>Woodbury Hts</v>
      </c>
    </row>
    <row r="9952" spans="1:5">
      <c r="A9952" s="3" t="s">
        <v>20466</v>
      </c>
      <c r="B9952" s="110" t="s">
        <v>1355</v>
      </c>
      <c r="C9952" s="111" t="s">
        <v>20467</v>
      </c>
      <c r="D9952" s="111" t="str">
        <f t="shared" ref="D9952:E9952" si="9950">TRIM(B9952)</f>
        <v>New Jersey</v>
      </c>
      <c r="E9952" s="111" t="str">
        <f t="shared" si="9950"/>
        <v>Woodstown</v>
      </c>
    </row>
    <row r="9953" spans="1:5">
      <c r="A9953" s="3" t="s">
        <v>20468</v>
      </c>
      <c r="B9953" s="110" t="s">
        <v>1355</v>
      </c>
      <c r="C9953" s="111" t="s">
        <v>20469</v>
      </c>
      <c r="D9953" s="111" t="str">
        <f t="shared" ref="D9953:E9953" si="9951">TRIM(B9953)</f>
        <v>New Jersey</v>
      </c>
      <c r="E9953" s="111" t="str">
        <f t="shared" si="9951"/>
        <v>Woolwich Twp</v>
      </c>
    </row>
    <row r="9954" spans="1:5">
      <c r="A9954" s="3" t="s">
        <v>20470</v>
      </c>
      <c r="B9954" s="110" t="s">
        <v>1356</v>
      </c>
      <c r="C9954" s="111" t="s">
        <v>20471</v>
      </c>
      <c r="D9954" s="111" t="str">
        <f t="shared" ref="D9954:E9954" si="9952">TRIM(B9954)</f>
        <v>New Mexico</v>
      </c>
      <c r="E9954" s="111" t="str">
        <f t="shared" si="9952"/>
        <v>Alamogordo</v>
      </c>
    </row>
    <row r="9955" spans="1:5">
      <c r="A9955" s="3" t="s">
        <v>20472</v>
      </c>
      <c r="B9955" s="110" t="s">
        <v>1356</v>
      </c>
      <c r="C9955" s="111" t="s">
        <v>12218</v>
      </c>
      <c r="D9955" s="111" t="str">
        <f t="shared" ref="D9955:E9955" si="9953">TRIM(B9955)</f>
        <v>New Mexico</v>
      </c>
      <c r="E9955" s="111" t="str">
        <f t="shared" si="9953"/>
        <v>Albuquerque</v>
      </c>
    </row>
    <row r="9956" spans="1:5">
      <c r="A9956" s="3" t="s">
        <v>20473</v>
      </c>
      <c r="B9956" s="110" t="s">
        <v>1356</v>
      </c>
      <c r="C9956" s="111" t="s">
        <v>12218</v>
      </c>
      <c r="D9956" s="111" t="str">
        <f t="shared" ref="D9956:E9956" si="9954">TRIM(B9956)</f>
        <v>New Mexico</v>
      </c>
      <c r="E9956" s="111" t="str">
        <f t="shared" si="9954"/>
        <v>Albuquerque</v>
      </c>
    </row>
    <row r="9957" spans="1:5">
      <c r="A9957" s="3" t="s">
        <v>20474</v>
      </c>
      <c r="B9957" s="110" t="s">
        <v>1356</v>
      </c>
      <c r="C9957" s="111" t="s">
        <v>12218</v>
      </c>
      <c r="D9957" s="111" t="str">
        <f t="shared" ref="D9957:E9957" si="9955">TRIM(B9957)</f>
        <v>New Mexico</v>
      </c>
      <c r="E9957" s="111" t="str">
        <f t="shared" si="9955"/>
        <v>Albuquerque</v>
      </c>
    </row>
    <row r="9958" spans="1:5">
      <c r="A9958" s="110" t="s">
        <v>20475</v>
      </c>
      <c r="B9958" s="110" t="s">
        <v>1356</v>
      </c>
      <c r="C9958" s="111" t="s">
        <v>12218</v>
      </c>
      <c r="D9958" s="111" t="str">
        <f t="shared" ref="D9958:E9958" si="9956">TRIM(B9958)</f>
        <v>New Mexico</v>
      </c>
      <c r="E9958" s="111" t="str">
        <f t="shared" si="9956"/>
        <v>Albuquerque</v>
      </c>
    </row>
    <row r="9959" spans="1:5">
      <c r="A9959" s="3" t="s">
        <v>20476</v>
      </c>
      <c r="B9959" s="110" t="s">
        <v>1356</v>
      </c>
      <c r="C9959" s="111" t="s">
        <v>12218</v>
      </c>
      <c r="D9959" s="111" t="str">
        <f t="shared" ref="D9959:E9959" si="9957">TRIM(B9959)</f>
        <v>New Mexico</v>
      </c>
      <c r="E9959" s="111" t="str">
        <f t="shared" si="9957"/>
        <v>Albuquerque</v>
      </c>
    </row>
    <row r="9960" spans="1:5">
      <c r="A9960" s="3" t="s">
        <v>20477</v>
      </c>
      <c r="B9960" s="110" t="s">
        <v>1356</v>
      </c>
      <c r="C9960" s="111" t="s">
        <v>12218</v>
      </c>
      <c r="D9960" s="111" t="str">
        <f t="shared" ref="D9960:E9960" si="9958">TRIM(B9960)</f>
        <v>New Mexico</v>
      </c>
      <c r="E9960" s="111" t="str">
        <f t="shared" si="9958"/>
        <v>Albuquerque</v>
      </c>
    </row>
    <row r="9961" spans="1:5">
      <c r="A9961" s="110" t="s">
        <v>20478</v>
      </c>
      <c r="B9961" s="110" t="s">
        <v>1356</v>
      </c>
      <c r="C9961" s="111" t="s">
        <v>12218</v>
      </c>
      <c r="D9961" s="111" t="str">
        <f t="shared" ref="D9961:E9961" si="9959">TRIM(B9961)</f>
        <v>New Mexico</v>
      </c>
      <c r="E9961" s="111" t="str">
        <f t="shared" si="9959"/>
        <v>Albuquerque</v>
      </c>
    </row>
    <row r="9962" spans="1:5">
      <c r="A9962" s="3" t="s">
        <v>3535</v>
      </c>
      <c r="B9962" s="110" t="s">
        <v>1356</v>
      </c>
      <c r="C9962" s="111" t="s">
        <v>12218</v>
      </c>
      <c r="D9962" s="111" t="str">
        <f t="shared" ref="D9962:E9962" si="9960">TRIM(B9962)</f>
        <v>New Mexico</v>
      </c>
      <c r="E9962" s="111" t="str">
        <f t="shared" si="9960"/>
        <v>Albuquerque</v>
      </c>
    </row>
    <row r="9963" spans="1:5">
      <c r="A9963" s="3" t="s">
        <v>20479</v>
      </c>
      <c r="B9963" s="110" t="s">
        <v>1356</v>
      </c>
      <c r="C9963" s="111" t="s">
        <v>12218</v>
      </c>
      <c r="D9963" s="111" t="str">
        <f t="shared" ref="D9963:E9963" si="9961">TRIM(B9963)</f>
        <v>New Mexico</v>
      </c>
      <c r="E9963" s="111" t="str">
        <f t="shared" si="9961"/>
        <v>Albuquerque</v>
      </c>
    </row>
    <row r="9964" spans="1:5">
      <c r="A9964" s="110" t="s">
        <v>20480</v>
      </c>
      <c r="B9964" s="110" t="s">
        <v>1356</v>
      </c>
      <c r="C9964" s="111" t="s">
        <v>12218</v>
      </c>
      <c r="D9964" s="111" t="str">
        <f t="shared" ref="D9964:E9964" si="9962">TRIM(B9964)</f>
        <v>New Mexico</v>
      </c>
      <c r="E9964" s="111" t="str">
        <f t="shared" si="9962"/>
        <v>Albuquerque</v>
      </c>
    </row>
    <row r="9965" spans="1:5">
      <c r="A9965" s="3" t="s">
        <v>4780</v>
      </c>
      <c r="B9965" s="110" t="s">
        <v>1356</v>
      </c>
      <c r="C9965" s="111" t="s">
        <v>12218</v>
      </c>
      <c r="D9965" s="111" t="str">
        <f t="shared" ref="D9965:E9965" si="9963">TRIM(B9965)</f>
        <v>New Mexico</v>
      </c>
      <c r="E9965" s="111" t="str">
        <f t="shared" si="9963"/>
        <v>Albuquerque</v>
      </c>
    </row>
    <row r="9966" spans="1:5">
      <c r="A9966" s="110" t="s">
        <v>20481</v>
      </c>
      <c r="B9966" s="110" t="s">
        <v>1356</v>
      </c>
      <c r="C9966" s="111" t="s">
        <v>12218</v>
      </c>
      <c r="D9966" s="111" t="str">
        <f t="shared" ref="D9966:E9966" si="9964">TRIM(B9966)</f>
        <v>New Mexico</v>
      </c>
      <c r="E9966" s="111" t="str">
        <f t="shared" si="9964"/>
        <v>Albuquerque</v>
      </c>
    </row>
    <row r="9967" spans="1:5">
      <c r="A9967" s="3" t="s">
        <v>12842</v>
      </c>
      <c r="B9967" s="110" t="s">
        <v>1356</v>
      </c>
      <c r="C9967" s="111" t="s">
        <v>12218</v>
      </c>
      <c r="D9967" s="111" t="str">
        <f t="shared" ref="D9967:E9967" si="9965">TRIM(B9967)</f>
        <v>New Mexico</v>
      </c>
      <c r="E9967" s="111" t="str">
        <f t="shared" si="9965"/>
        <v>Albuquerque</v>
      </c>
    </row>
    <row r="9968" spans="1:5">
      <c r="A9968" s="3" t="s">
        <v>20482</v>
      </c>
      <c r="B9968" s="110" t="s">
        <v>1356</v>
      </c>
      <c r="C9968" s="111" t="s">
        <v>12218</v>
      </c>
      <c r="D9968" s="111" t="str">
        <f t="shared" ref="D9968:E9968" si="9966">TRIM(B9968)</f>
        <v>New Mexico</v>
      </c>
      <c r="E9968" s="111" t="str">
        <f t="shared" si="9966"/>
        <v>Albuquerque</v>
      </c>
    </row>
    <row r="9969" spans="1:5">
      <c r="A9969" s="3" t="s">
        <v>20483</v>
      </c>
      <c r="B9969" s="110" t="s">
        <v>1356</v>
      </c>
      <c r="C9969" s="111" t="s">
        <v>12218</v>
      </c>
      <c r="D9969" s="111" t="str">
        <f t="shared" ref="D9969:E9969" si="9967">TRIM(B9969)</f>
        <v>New Mexico</v>
      </c>
      <c r="E9969" s="111" t="str">
        <f t="shared" si="9967"/>
        <v>Albuquerque</v>
      </c>
    </row>
    <row r="9970" spans="1:5">
      <c r="A9970" s="110" t="s">
        <v>20484</v>
      </c>
      <c r="B9970" s="110" t="s">
        <v>1356</v>
      </c>
      <c r="C9970" s="111" t="s">
        <v>12218</v>
      </c>
      <c r="D9970" s="111" t="str">
        <f t="shared" ref="D9970:E9970" si="9968">TRIM(B9970)</f>
        <v>New Mexico</v>
      </c>
      <c r="E9970" s="111" t="str">
        <f t="shared" si="9968"/>
        <v>Albuquerque</v>
      </c>
    </row>
    <row r="9971" spans="1:5">
      <c r="A9971" s="3" t="s">
        <v>20485</v>
      </c>
      <c r="B9971" s="110" t="s">
        <v>1356</v>
      </c>
      <c r="C9971" s="111" t="s">
        <v>12218</v>
      </c>
      <c r="D9971" s="111" t="str">
        <f t="shared" ref="D9971:E9971" si="9969">TRIM(B9971)</f>
        <v>New Mexico</v>
      </c>
      <c r="E9971" s="111" t="str">
        <f t="shared" si="9969"/>
        <v>Albuquerque</v>
      </c>
    </row>
    <row r="9972" spans="1:5">
      <c r="A9972" s="3" t="s">
        <v>2665</v>
      </c>
      <c r="B9972" s="110" t="s">
        <v>1356</v>
      </c>
      <c r="C9972" s="111" t="s">
        <v>12218</v>
      </c>
      <c r="D9972" s="111" t="str">
        <f t="shared" ref="D9972:E9972" si="9970">TRIM(B9972)</f>
        <v>New Mexico</v>
      </c>
      <c r="E9972" s="111" t="str">
        <f t="shared" si="9970"/>
        <v>Albuquerque</v>
      </c>
    </row>
    <row r="9973" spans="1:5">
      <c r="A9973" s="3" t="s">
        <v>20486</v>
      </c>
      <c r="B9973" s="110" t="s">
        <v>1356</v>
      </c>
      <c r="C9973" s="111" t="s">
        <v>12218</v>
      </c>
      <c r="D9973" s="111" t="str">
        <f t="shared" ref="D9973:E9973" si="9971">TRIM(B9973)</f>
        <v>New Mexico</v>
      </c>
      <c r="E9973" s="111" t="str">
        <f t="shared" si="9971"/>
        <v>Albuquerque</v>
      </c>
    </row>
    <row r="9974" spans="1:5">
      <c r="A9974" s="3" t="s">
        <v>20487</v>
      </c>
      <c r="B9974" s="110" t="s">
        <v>1356</v>
      </c>
      <c r="C9974" s="111" t="s">
        <v>12218</v>
      </c>
      <c r="D9974" s="111" t="str">
        <f t="shared" ref="D9974:E9974" si="9972">TRIM(B9974)</f>
        <v>New Mexico</v>
      </c>
      <c r="E9974" s="111" t="str">
        <f t="shared" si="9972"/>
        <v>Albuquerque</v>
      </c>
    </row>
    <row r="9975" spans="1:5">
      <c r="A9975" s="110" t="s">
        <v>20488</v>
      </c>
      <c r="B9975" s="110" t="s">
        <v>1356</v>
      </c>
      <c r="C9975" s="112" t="s">
        <v>12218</v>
      </c>
      <c r="D9975" s="111" t="str">
        <f t="shared" ref="D9975:E9975" si="9973">TRIM(B9975)</f>
        <v>New Mexico</v>
      </c>
      <c r="E9975" s="111" t="str">
        <f t="shared" si="9973"/>
        <v>Albuquerque</v>
      </c>
    </row>
    <row r="9976" spans="1:5">
      <c r="A9976" s="3" t="s">
        <v>20489</v>
      </c>
      <c r="B9976" s="110" t="s">
        <v>1356</v>
      </c>
      <c r="C9976" s="111" t="s">
        <v>12218</v>
      </c>
      <c r="D9976" s="111" t="str">
        <f t="shared" ref="D9976:E9976" si="9974">TRIM(B9976)</f>
        <v>New Mexico</v>
      </c>
      <c r="E9976" s="111" t="str">
        <f t="shared" si="9974"/>
        <v>Albuquerque</v>
      </c>
    </row>
    <row r="9977" spans="1:5">
      <c r="A9977" s="3" t="s">
        <v>20490</v>
      </c>
      <c r="B9977" s="110" t="s">
        <v>1356</v>
      </c>
      <c r="C9977" s="111" t="s">
        <v>12218</v>
      </c>
      <c r="D9977" s="111" t="str">
        <f t="shared" ref="D9977:E9977" si="9975">TRIM(B9977)</f>
        <v>New Mexico</v>
      </c>
      <c r="E9977" s="111" t="str">
        <f t="shared" si="9975"/>
        <v>Albuquerque</v>
      </c>
    </row>
    <row r="9978" spans="1:5">
      <c r="A9978" s="110" t="s">
        <v>20491</v>
      </c>
      <c r="B9978" s="110" t="s">
        <v>1356</v>
      </c>
      <c r="C9978" s="111" t="s">
        <v>12218</v>
      </c>
      <c r="D9978" s="111" t="str">
        <f t="shared" ref="D9978:E9978" si="9976">TRIM(B9978)</f>
        <v>New Mexico</v>
      </c>
      <c r="E9978" s="111" t="str">
        <f t="shared" si="9976"/>
        <v>Albuquerque</v>
      </c>
    </row>
    <row r="9979" spans="1:5">
      <c r="A9979" s="110" t="s">
        <v>20492</v>
      </c>
      <c r="B9979" s="110" t="s">
        <v>1356</v>
      </c>
      <c r="C9979" s="111" t="s">
        <v>12218</v>
      </c>
      <c r="D9979" s="111" t="str">
        <f t="shared" ref="D9979:E9979" si="9977">TRIM(B9979)</f>
        <v>New Mexico</v>
      </c>
      <c r="E9979" s="111" t="str">
        <f t="shared" si="9977"/>
        <v>Albuquerque</v>
      </c>
    </row>
    <row r="9980" spans="1:5">
      <c r="A9980" s="3" t="s">
        <v>20493</v>
      </c>
      <c r="B9980" s="110" t="s">
        <v>1356</v>
      </c>
      <c r="C9980" s="111" t="s">
        <v>12218</v>
      </c>
      <c r="D9980" s="111" t="str">
        <f t="shared" ref="D9980:E9980" si="9978">TRIM(B9980)</f>
        <v>New Mexico</v>
      </c>
      <c r="E9980" s="111" t="str">
        <f t="shared" si="9978"/>
        <v>Albuquerque</v>
      </c>
    </row>
    <row r="9981" spans="1:5">
      <c r="A9981" s="3" t="s">
        <v>20494</v>
      </c>
      <c r="B9981" s="110" t="s">
        <v>1356</v>
      </c>
      <c r="C9981" s="111" t="s">
        <v>12218</v>
      </c>
      <c r="D9981" s="111" t="str">
        <f t="shared" ref="D9981:E9981" si="9979">TRIM(B9981)</f>
        <v>New Mexico</v>
      </c>
      <c r="E9981" s="111" t="str">
        <f t="shared" si="9979"/>
        <v>Albuquerque</v>
      </c>
    </row>
    <row r="9982" spans="1:5">
      <c r="A9982" s="3" t="s">
        <v>20495</v>
      </c>
      <c r="B9982" s="110" t="s">
        <v>1356</v>
      </c>
      <c r="C9982" s="111" t="s">
        <v>12218</v>
      </c>
      <c r="D9982" s="111" t="str">
        <f t="shared" ref="D9982:E9982" si="9980">TRIM(B9982)</f>
        <v>New Mexico</v>
      </c>
      <c r="E9982" s="111" t="str">
        <f t="shared" si="9980"/>
        <v>Albuquerque</v>
      </c>
    </row>
    <row r="9983" spans="1:5">
      <c r="A9983" s="110" t="s">
        <v>20496</v>
      </c>
      <c r="B9983" s="110" t="s">
        <v>1356</v>
      </c>
      <c r="C9983" s="111" t="s">
        <v>12218</v>
      </c>
      <c r="D9983" s="111" t="str">
        <f t="shared" ref="D9983:E9983" si="9981">TRIM(B9983)</f>
        <v>New Mexico</v>
      </c>
      <c r="E9983" s="111" t="str">
        <f t="shared" si="9981"/>
        <v>Albuquerque</v>
      </c>
    </row>
    <row r="9984" spans="1:5">
      <c r="A9984" s="3" t="s">
        <v>20497</v>
      </c>
      <c r="B9984" s="110" t="s">
        <v>1356</v>
      </c>
      <c r="C9984" s="111" t="s">
        <v>12218</v>
      </c>
      <c r="D9984" s="111" t="str">
        <f t="shared" ref="D9984:E9984" si="9982">TRIM(B9984)</f>
        <v>New Mexico</v>
      </c>
      <c r="E9984" s="111" t="str">
        <f t="shared" si="9982"/>
        <v>Albuquerque</v>
      </c>
    </row>
    <row r="9985" spans="1:5">
      <c r="A9985" s="3" t="s">
        <v>20498</v>
      </c>
      <c r="B9985" s="110" t="s">
        <v>1356</v>
      </c>
      <c r="C9985" s="111" t="s">
        <v>12218</v>
      </c>
      <c r="D9985" s="111" t="str">
        <f t="shared" ref="D9985:E9985" si="9983">TRIM(B9985)</f>
        <v>New Mexico</v>
      </c>
      <c r="E9985" s="111" t="str">
        <f t="shared" si="9983"/>
        <v>Albuquerque</v>
      </c>
    </row>
    <row r="9986" spans="1:5">
      <c r="A9986" s="110" t="s">
        <v>20499</v>
      </c>
      <c r="B9986" s="110" t="s">
        <v>1356</v>
      </c>
      <c r="C9986" s="111" t="s">
        <v>12218</v>
      </c>
      <c r="D9986" s="111" t="str">
        <f t="shared" ref="D9986:E9986" si="9984">TRIM(B9986)</f>
        <v>New Mexico</v>
      </c>
      <c r="E9986" s="111" t="str">
        <f t="shared" si="9984"/>
        <v>Albuquerque</v>
      </c>
    </row>
    <row r="9987" spans="1:5">
      <c r="A9987" s="3" t="s">
        <v>20500</v>
      </c>
      <c r="B9987" s="110" t="s">
        <v>1356</v>
      </c>
      <c r="C9987" s="111" t="s">
        <v>12218</v>
      </c>
      <c r="D9987" s="111" t="str">
        <f t="shared" ref="D9987:E9987" si="9985">TRIM(B9987)</f>
        <v>New Mexico</v>
      </c>
      <c r="E9987" s="111" t="str">
        <f t="shared" si="9985"/>
        <v>Albuquerque</v>
      </c>
    </row>
    <row r="9988" spans="1:5">
      <c r="A9988" s="3" t="s">
        <v>20501</v>
      </c>
      <c r="B9988" s="110" t="s">
        <v>1356</v>
      </c>
      <c r="C9988" s="111" t="s">
        <v>12218</v>
      </c>
      <c r="D9988" s="111" t="str">
        <f t="shared" ref="D9988:E9988" si="9986">TRIM(B9988)</f>
        <v>New Mexico</v>
      </c>
      <c r="E9988" s="111" t="str">
        <f t="shared" si="9986"/>
        <v>Albuquerque</v>
      </c>
    </row>
    <row r="9989" spans="1:5">
      <c r="A9989" s="110" t="s">
        <v>20502</v>
      </c>
      <c r="B9989" s="110" t="s">
        <v>1356</v>
      </c>
      <c r="C9989" s="111" t="s">
        <v>12218</v>
      </c>
      <c r="D9989" s="111" t="str">
        <f t="shared" ref="D9989:E9989" si="9987">TRIM(B9989)</f>
        <v>New Mexico</v>
      </c>
      <c r="E9989" s="111" t="str">
        <f t="shared" si="9987"/>
        <v>Albuquerque</v>
      </c>
    </row>
    <row r="9990" spans="1:5">
      <c r="A9990" s="3" t="s">
        <v>20503</v>
      </c>
      <c r="B9990" s="110" t="s">
        <v>1356</v>
      </c>
      <c r="C9990" s="111" t="s">
        <v>12218</v>
      </c>
      <c r="D9990" s="111" t="str">
        <f t="shared" ref="D9990:E9990" si="9988">TRIM(B9990)</f>
        <v>New Mexico</v>
      </c>
      <c r="E9990" s="111" t="str">
        <f t="shared" si="9988"/>
        <v>Albuquerque</v>
      </c>
    </row>
    <row r="9991" spans="1:5">
      <c r="A9991" s="110" t="s">
        <v>20504</v>
      </c>
      <c r="B9991" s="110" t="s">
        <v>1356</v>
      </c>
      <c r="C9991" s="111" t="s">
        <v>12218</v>
      </c>
      <c r="D9991" s="111" t="str">
        <f t="shared" ref="D9991:E9991" si="9989">TRIM(B9991)</f>
        <v>New Mexico</v>
      </c>
      <c r="E9991" s="111" t="str">
        <f t="shared" si="9989"/>
        <v>Albuquerque</v>
      </c>
    </row>
    <row r="9992" spans="1:5">
      <c r="A9992" s="3" t="s">
        <v>2256</v>
      </c>
      <c r="B9992" s="110" t="s">
        <v>1356</v>
      </c>
      <c r="C9992" s="111" t="s">
        <v>12218</v>
      </c>
      <c r="D9992" s="111" t="str">
        <f t="shared" ref="D9992:E9992" si="9990">TRIM(B9992)</f>
        <v>New Mexico</v>
      </c>
      <c r="E9992" s="111" t="str">
        <f t="shared" si="9990"/>
        <v>Albuquerque</v>
      </c>
    </row>
    <row r="9993" spans="1:5">
      <c r="A9993" s="3" t="s">
        <v>20505</v>
      </c>
      <c r="B9993" s="110" t="s">
        <v>1356</v>
      </c>
      <c r="C9993" s="111" t="s">
        <v>12218</v>
      </c>
      <c r="D9993" s="111" t="str">
        <f t="shared" ref="D9993:E9993" si="9991">TRIM(B9993)</f>
        <v>New Mexico</v>
      </c>
      <c r="E9993" s="111" t="str">
        <f t="shared" si="9991"/>
        <v>Albuquerque</v>
      </c>
    </row>
    <row r="9994" spans="1:5">
      <c r="A9994" s="3" t="s">
        <v>20506</v>
      </c>
      <c r="B9994" s="110" t="s">
        <v>1356</v>
      </c>
      <c r="C9994" s="111" t="s">
        <v>12218</v>
      </c>
      <c r="D9994" s="111" t="str">
        <f t="shared" ref="D9994:E9994" si="9992">TRIM(B9994)</f>
        <v>New Mexico</v>
      </c>
      <c r="E9994" s="111" t="str">
        <f t="shared" si="9992"/>
        <v>Albuquerque</v>
      </c>
    </row>
    <row r="9995" spans="1:5">
      <c r="A9995" s="3" t="s">
        <v>6011</v>
      </c>
      <c r="B9995" s="110" t="s">
        <v>1356</v>
      </c>
      <c r="C9995" s="111" t="s">
        <v>20507</v>
      </c>
      <c r="D9995" s="111" t="str">
        <f t="shared" ref="D9995:E9995" si="9993">TRIM(B9995)</f>
        <v>New Mexico</v>
      </c>
      <c r="E9995" s="111" t="str">
        <f t="shared" si="9993"/>
        <v>Angel Fire</v>
      </c>
    </row>
    <row r="9996" spans="1:5">
      <c r="A9996" s="110" t="s">
        <v>20508</v>
      </c>
      <c r="B9996" s="110" t="s">
        <v>1356</v>
      </c>
      <c r="C9996" s="111" t="s">
        <v>20509</v>
      </c>
      <c r="D9996" s="111" t="str">
        <f t="shared" ref="D9996:E9996" si="9994">TRIM(B9996)</f>
        <v>New Mexico</v>
      </c>
      <c r="E9996" s="111" t="str">
        <f t="shared" si="9994"/>
        <v>Animas</v>
      </c>
    </row>
    <row r="9997" spans="1:5">
      <c r="A9997" s="3" t="s">
        <v>20510</v>
      </c>
      <c r="B9997" s="110" t="s">
        <v>1356</v>
      </c>
      <c r="C9997" s="111" t="s">
        <v>15157</v>
      </c>
      <c r="D9997" s="111" t="str">
        <f t="shared" ref="D9997:E9997" si="9995">TRIM(B9997)</f>
        <v>New Mexico</v>
      </c>
      <c r="E9997" s="111" t="str">
        <f t="shared" si="9995"/>
        <v>Anthony</v>
      </c>
    </row>
    <row r="9998" spans="1:5">
      <c r="A9998" s="3" t="s">
        <v>3224</v>
      </c>
      <c r="B9998" s="110" t="s">
        <v>1356</v>
      </c>
      <c r="C9998" s="111" t="s">
        <v>15157</v>
      </c>
      <c r="D9998" s="111" t="str">
        <f t="shared" ref="D9998:E9998" si="9996">TRIM(B9998)</f>
        <v>New Mexico</v>
      </c>
      <c r="E9998" s="111" t="str">
        <f t="shared" si="9996"/>
        <v>Anthony</v>
      </c>
    </row>
    <row r="9999" spans="1:5">
      <c r="A9999" s="3" t="s">
        <v>20511</v>
      </c>
      <c r="B9999" s="110" t="s">
        <v>1356</v>
      </c>
      <c r="C9999" s="111" t="s">
        <v>15157</v>
      </c>
      <c r="D9999" s="111" t="str">
        <f t="shared" ref="D9999:E9999" si="9997">TRIM(B9999)</f>
        <v>New Mexico</v>
      </c>
      <c r="E9999" s="111" t="str">
        <f t="shared" si="9997"/>
        <v>Anthony</v>
      </c>
    </row>
    <row r="10000" spans="1:5">
      <c r="A10000" s="3" t="s">
        <v>5449</v>
      </c>
      <c r="B10000" s="110" t="s">
        <v>1356</v>
      </c>
      <c r="C10000" s="111" t="s">
        <v>20512</v>
      </c>
      <c r="D10000" s="111" t="str">
        <f t="shared" ref="D10000:E10000" si="9998">TRIM(B10000)</f>
        <v>New Mexico</v>
      </c>
      <c r="E10000" s="111" t="str">
        <f t="shared" si="9998"/>
        <v>Artesia</v>
      </c>
    </row>
    <row r="10001" spans="1:5">
      <c r="A10001" s="3" t="s">
        <v>3531</v>
      </c>
      <c r="B10001" s="110" t="s">
        <v>1356</v>
      </c>
      <c r="C10001" s="111" t="s">
        <v>20513</v>
      </c>
      <c r="D10001" s="111" t="str">
        <f t="shared" ref="D10001:E10001" si="9999">TRIM(B10001)</f>
        <v>New Mexico</v>
      </c>
      <c r="E10001" s="111" t="str">
        <f t="shared" si="9999"/>
        <v>Aztec</v>
      </c>
    </row>
    <row r="10002" spans="1:5">
      <c r="A10002" s="3" t="s">
        <v>20514</v>
      </c>
      <c r="B10002" s="110" t="s">
        <v>1356</v>
      </c>
      <c r="C10002" s="111" t="s">
        <v>19499</v>
      </c>
      <c r="D10002" s="111" t="str">
        <f t="shared" ref="D10002:E10002" si="10000">TRIM(B10002)</f>
        <v>New Mexico</v>
      </c>
      <c r="E10002" s="111" t="str">
        <f t="shared" si="10000"/>
        <v>Bayard</v>
      </c>
    </row>
    <row r="10003" spans="1:5">
      <c r="A10003" s="3" t="s">
        <v>20515</v>
      </c>
      <c r="B10003" s="110" t="s">
        <v>1356</v>
      </c>
      <c r="C10003" s="111" t="s">
        <v>20516</v>
      </c>
      <c r="D10003" s="111" t="str">
        <f t="shared" ref="D10003:E10003" si="10001">TRIM(B10003)</f>
        <v>New Mexico</v>
      </c>
      <c r="E10003" s="111" t="str">
        <f t="shared" si="10001"/>
        <v>Belen</v>
      </c>
    </row>
    <row r="10004" spans="1:5">
      <c r="A10004" s="3" t="s">
        <v>20517</v>
      </c>
      <c r="B10004" s="110" t="s">
        <v>1356</v>
      </c>
      <c r="C10004" s="111" t="s">
        <v>20518</v>
      </c>
      <c r="D10004" s="111" t="str">
        <f t="shared" ref="D10004:E10004" si="10002">TRIM(B10004)</f>
        <v>New Mexico</v>
      </c>
      <c r="E10004" s="111" t="str">
        <f t="shared" si="10002"/>
        <v>Bernalillo</v>
      </c>
    </row>
    <row r="10005" spans="1:5">
      <c r="A10005" s="3" t="s">
        <v>8342</v>
      </c>
      <c r="B10005" s="110" t="s">
        <v>1356</v>
      </c>
      <c r="C10005" s="111" t="s">
        <v>8344</v>
      </c>
      <c r="D10005" s="111" t="str">
        <f t="shared" ref="D10005:E10005" si="10003">TRIM(B10005)</f>
        <v>New Mexico</v>
      </c>
      <c r="E10005" s="111" t="str">
        <f t="shared" si="10003"/>
        <v>Bloomfield</v>
      </c>
    </row>
    <row r="10006" spans="1:5">
      <c r="A10006" s="3" t="s">
        <v>20519</v>
      </c>
      <c r="B10006" s="110" t="s">
        <v>1356</v>
      </c>
      <c r="C10006" s="111" t="s">
        <v>20520</v>
      </c>
      <c r="D10006" s="111" t="str">
        <f t="shared" ref="D10006:E10006" si="10004">TRIM(B10006)</f>
        <v>New Mexico</v>
      </c>
      <c r="E10006" s="111" t="str">
        <f t="shared" si="10004"/>
        <v>Capitan</v>
      </c>
    </row>
    <row r="10007" spans="1:5">
      <c r="A10007" s="3" t="s">
        <v>20521</v>
      </c>
      <c r="B10007" s="110" t="s">
        <v>1356</v>
      </c>
      <c r="C10007" s="111" t="s">
        <v>514</v>
      </c>
      <c r="D10007" s="111" t="str">
        <f t="shared" ref="D10007:E10007" si="10005">TRIM(B10007)</f>
        <v>New Mexico</v>
      </c>
      <c r="E10007" s="111" t="str">
        <f t="shared" si="10005"/>
        <v>Carlsbad</v>
      </c>
    </row>
    <row r="10008" spans="1:5">
      <c r="A10008" s="3" t="s">
        <v>4586</v>
      </c>
      <c r="B10008" s="110" t="s">
        <v>1356</v>
      </c>
      <c r="C10008" s="112" t="s">
        <v>514</v>
      </c>
      <c r="D10008" s="111" t="str">
        <f t="shared" ref="D10008:E10008" si="10006">TRIM(B10008)</f>
        <v>New Mexico</v>
      </c>
      <c r="E10008" s="111" t="str">
        <f t="shared" si="10006"/>
        <v>Carlsbad</v>
      </c>
    </row>
    <row r="10009" spans="1:5">
      <c r="A10009" s="3" t="s">
        <v>20522</v>
      </c>
      <c r="B10009" s="110" t="s">
        <v>1356</v>
      </c>
      <c r="C10009" s="111" t="s">
        <v>20523</v>
      </c>
      <c r="D10009" s="111" t="str">
        <f t="shared" ref="D10009:E10009" si="10007">TRIM(B10009)</f>
        <v>New Mexico</v>
      </c>
      <c r="E10009" s="111" t="str">
        <f t="shared" si="10007"/>
        <v>Carrizozo</v>
      </c>
    </row>
    <row r="10010" spans="1:5">
      <c r="A10010" s="3" t="s">
        <v>20524</v>
      </c>
      <c r="B10010" s="110" t="s">
        <v>1356</v>
      </c>
      <c r="C10010" s="111" t="s">
        <v>20525</v>
      </c>
      <c r="D10010" s="111" t="str">
        <f t="shared" ref="D10010:E10010" si="10008">TRIM(B10010)</f>
        <v>New Mexico</v>
      </c>
      <c r="E10010" s="111" t="str">
        <f t="shared" si="10008"/>
        <v>Casa Blanca</v>
      </c>
    </row>
    <row r="10011" spans="1:5">
      <c r="A10011" s="3" t="s">
        <v>15219</v>
      </c>
      <c r="B10011" s="110" t="s">
        <v>1356</v>
      </c>
      <c r="C10011" s="111" t="s">
        <v>15220</v>
      </c>
      <c r="D10011" s="111" t="str">
        <f t="shared" ref="D10011:E10011" si="10009">TRIM(B10011)</f>
        <v>New Mexico</v>
      </c>
      <c r="E10011" s="111" t="str">
        <f t="shared" si="10009"/>
        <v>Cimarron</v>
      </c>
    </row>
    <row r="10012" spans="1:5">
      <c r="A10012" s="3" t="s">
        <v>18702</v>
      </c>
      <c r="B10012" s="110" t="s">
        <v>1356</v>
      </c>
      <c r="C10012" s="111" t="s">
        <v>1640</v>
      </c>
      <c r="D10012" s="111" t="str">
        <f t="shared" ref="D10012:E10012" si="10010">TRIM(B10012)</f>
        <v>New Mexico</v>
      </c>
      <c r="E10012" s="111" t="str">
        <f t="shared" si="10010"/>
        <v>Clayton</v>
      </c>
    </row>
    <row r="10013" spans="1:5">
      <c r="A10013" s="3" t="s">
        <v>20526</v>
      </c>
      <c r="B10013" s="110" t="s">
        <v>1356</v>
      </c>
      <c r="C10013" s="111" t="s">
        <v>20527</v>
      </c>
      <c r="D10013" s="111" t="str">
        <f t="shared" ref="D10013:E10013" si="10011">TRIM(B10013)</f>
        <v>New Mexico</v>
      </c>
      <c r="E10013" s="111" t="str">
        <f t="shared" si="10011"/>
        <v>Cliff</v>
      </c>
    </row>
    <row r="10014" spans="1:5">
      <c r="A10014" s="3" t="s">
        <v>20528</v>
      </c>
      <c r="B10014" s="110" t="s">
        <v>1356</v>
      </c>
      <c r="C10014" s="111" t="s">
        <v>20529</v>
      </c>
      <c r="D10014" s="111" t="str">
        <f t="shared" ref="D10014:E10014" si="10012">TRIM(B10014)</f>
        <v>New Mexico</v>
      </c>
      <c r="E10014" s="111" t="str">
        <f t="shared" si="10012"/>
        <v>Cloudcroft</v>
      </c>
    </row>
    <row r="10015" spans="1:5">
      <c r="A10015" s="3" t="s">
        <v>4704</v>
      </c>
      <c r="B10015" s="110" t="s">
        <v>1356</v>
      </c>
      <c r="C10015" s="111" t="s">
        <v>4151</v>
      </c>
      <c r="D10015" s="111" t="str">
        <f t="shared" ref="D10015:E10015" si="10013">TRIM(B10015)</f>
        <v>New Mexico</v>
      </c>
      <c r="E10015" s="111" t="str">
        <f t="shared" si="10013"/>
        <v>Clovis</v>
      </c>
    </row>
    <row r="10016" spans="1:5">
      <c r="A10016" s="3" t="s">
        <v>4750</v>
      </c>
      <c r="B10016" s="110" t="s">
        <v>1356</v>
      </c>
      <c r="C10016" s="111" t="s">
        <v>616</v>
      </c>
      <c r="D10016" s="111" t="str">
        <f t="shared" ref="D10016:E10016" si="10014">TRIM(B10016)</f>
        <v>New Mexico</v>
      </c>
      <c r="E10016" s="111" t="str">
        <f t="shared" si="10014"/>
        <v>Corona</v>
      </c>
    </row>
    <row r="10017" spans="1:5">
      <c r="A10017" s="3" t="s">
        <v>20530</v>
      </c>
      <c r="B10017" s="110" t="s">
        <v>1356</v>
      </c>
      <c r="C10017" s="111" t="s">
        <v>20531</v>
      </c>
      <c r="D10017" s="111" t="str">
        <f t="shared" ref="D10017:E10017" si="10015">TRIM(B10017)</f>
        <v>New Mexico</v>
      </c>
      <c r="E10017" s="111" t="str">
        <f t="shared" si="10015"/>
        <v>Crownpoint</v>
      </c>
    </row>
    <row r="10018" spans="1:5">
      <c r="A10018" s="3" t="s">
        <v>18727</v>
      </c>
      <c r="B10018" s="110" t="s">
        <v>1356</v>
      </c>
      <c r="C10018" s="111" t="s">
        <v>12727</v>
      </c>
      <c r="D10018" s="111" t="str">
        <f t="shared" ref="D10018:E10018" si="10016">TRIM(B10018)</f>
        <v>New Mexico</v>
      </c>
      <c r="E10018" s="111" t="str">
        <f t="shared" si="10016"/>
        <v>Cuba</v>
      </c>
    </row>
    <row r="10019" spans="1:5">
      <c r="A10019" s="110" t="s">
        <v>20532</v>
      </c>
      <c r="B10019" s="110" t="s">
        <v>1356</v>
      </c>
      <c r="C10019" s="111" t="s">
        <v>20533</v>
      </c>
      <c r="D10019" s="111" t="str">
        <f t="shared" ref="D10019:E10019" si="10017">TRIM(B10019)</f>
        <v>New Mexico</v>
      </c>
      <c r="E10019" s="111" t="str">
        <f t="shared" si="10017"/>
        <v>Deming</v>
      </c>
    </row>
    <row r="10020" spans="1:5">
      <c r="A10020" s="3" t="s">
        <v>20534</v>
      </c>
      <c r="B10020" s="110" t="s">
        <v>1356</v>
      </c>
      <c r="C10020" s="111" t="s">
        <v>20533</v>
      </c>
      <c r="D10020" s="111" t="str">
        <f t="shared" ref="D10020:E10020" si="10018">TRIM(B10020)</f>
        <v>New Mexico</v>
      </c>
      <c r="E10020" s="111" t="str">
        <f t="shared" si="10018"/>
        <v>Deming</v>
      </c>
    </row>
    <row r="10021" spans="1:5">
      <c r="A10021" s="3" t="s">
        <v>20535</v>
      </c>
      <c r="B10021" s="110" t="s">
        <v>1356</v>
      </c>
      <c r="C10021" s="111" t="s">
        <v>20533</v>
      </c>
      <c r="D10021" s="111" t="str">
        <f t="shared" ref="D10021:E10021" si="10019">TRIM(B10021)</f>
        <v>New Mexico</v>
      </c>
      <c r="E10021" s="111" t="str">
        <f t="shared" si="10019"/>
        <v>Deming</v>
      </c>
    </row>
    <row r="10022" spans="1:5">
      <c r="A10022" s="3" t="s">
        <v>20536</v>
      </c>
      <c r="B10022" s="110" t="s">
        <v>1356</v>
      </c>
      <c r="C10022" s="111" t="s">
        <v>20533</v>
      </c>
      <c r="D10022" s="111" t="str">
        <f t="shared" ref="D10022:E10022" si="10020">TRIM(B10022)</f>
        <v>New Mexico</v>
      </c>
      <c r="E10022" s="111" t="str">
        <f t="shared" si="10020"/>
        <v>Deming</v>
      </c>
    </row>
    <row r="10023" spans="1:5">
      <c r="A10023" s="3" t="s">
        <v>20537</v>
      </c>
      <c r="B10023" s="110" t="s">
        <v>1356</v>
      </c>
      <c r="C10023" s="111" t="s">
        <v>14784</v>
      </c>
      <c r="D10023" s="111" t="str">
        <f t="shared" ref="D10023:E10023" si="10021">TRIM(B10023)</f>
        <v>New Mexico</v>
      </c>
      <c r="E10023" s="111" t="str">
        <f t="shared" si="10021"/>
        <v>Des Moines</v>
      </c>
    </row>
    <row r="10024" spans="1:5">
      <c r="A10024" s="3" t="s">
        <v>15246</v>
      </c>
      <c r="B10024" s="110" t="s">
        <v>1356</v>
      </c>
      <c r="C10024" s="111" t="s">
        <v>10669</v>
      </c>
      <c r="D10024" s="111" t="str">
        <f t="shared" ref="D10024:E10024" si="10022">TRIM(B10024)</f>
        <v>New Mexico</v>
      </c>
      <c r="E10024" s="111" t="str">
        <f t="shared" si="10022"/>
        <v>Dexter</v>
      </c>
    </row>
    <row r="10025" spans="1:5">
      <c r="A10025" s="3" t="s">
        <v>1696</v>
      </c>
      <c r="B10025" s="110" t="s">
        <v>1356</v>
      </c>
      <c r="C10025" s="111" t="s">
        <v>1695</v>
      </c>
      <c r="D10025" s="111" t="str">
        <f t="shared" ref="D10025:E10025" si="10023">TRIM(B10025)</f>
        <v>New Mexico</v>
      </c>
      <c r="E10025" s="111" t="str">
        <f t="shared" si="10023"/>
        <v>Dora</v>
      </c>
    </row>
    <row r="10026" spans="1:5">
      <c r="A10026" s="3" t="s">
        <v>20538</v>
      </c>
      <c r="B10026" s="110" t="s">
        <v>1356</v>
      </c>
      <c r="C10026" s="111" t="s">
        <v>20539</v>
      </c>
      <c r="D10026" s="111" t="str">
        <f t="shared" ref="D10026:E10026" si="10024">TRIM(B10026)</f>
        <v>New Mexico</v>
      </c>
      <c r="E10026" s="111" t="str">
        <f t="shared" si="10024"/>
        <v>Dulce</v>
      </c>
    </row>
    <row r="10027" spans="1:5">
      <c r="A10027" s="3" t="s">
        <v>20540</v>
      </c>
      <c r="B10027" s="110" t="s">
        <v>1356</v>
      </c>
      <c r="C10027" s="111" t="s">
        <v>20541</v>
      </c>
      <c r="D10027" s="111" t="str">
        <f t="shared" ref="D10027:E10027" si="10025">TRIM(B10027)</f>
        <v>New Mexico</v>
      </c>
      <c r="E10027" s="111" t="str">
        <f t="shared" si="10025"/>
        <v>Elida</v>
      </c>
    </row>
    <row r="10028" spans="1:5">
      <c r="A10028" s="3" t="s">
        <v>20542</v>
      </c>
      <c r="B10028" s="110" t="s">
        <v>1356</v>
      </c>
      <c r="C10028" s="111" t="s">
        <v>20543</v>
      </c>
      <c r="D10028" s="111" t="str">
        <f t="shared" ref="D10028:E10028" si="10026">TRIM(B10028)</f>
        <v>New Mexico</v>
      </c>
      <c r="E10028" s="111" t="str">
        <f t="shared" si="10026"/>
        <v>Espanola</v>
      </c>
    </row>
    <row r="10029" spans="1:5">
      <c r="A10029" s="3" t="s">
        <v>4764</v>
      </c>
      <c r="B10029" s="110" t="s">
        <v>1356</v>
      </c>
      <c r="C10029" s="111" t="s">
        <v>20544</v>
      </c>
      <c r="D10029" s="111" t="str">
        <f t="shared" ref="D10029:E10029" si="10027">TRIM(B10029)</f>
        <v>New Mexico</v>
      </c>
      <c r="E10029" s="111" t="str">
        <f t="shared" si="10027"/>
        <v>Estancia</v>
      </c>
    </row>
    <row r="10030" spans="1:5">
      <c r="A10030" s="3" t="s">
        <v>15940</v>
      </c>
      <c r="B10030" s="110" t="s">
        <v>1356</v>
      </c>
      <c r="C10030" s="111" t="s">
        <v>12222</v>
      </c>
      <c r="D10030" s="111" t="str">
        <f t="shared" ref="D10030:E10030" si="10028">TRIM(B10030)</f>
        <v>New Mexico</v>
      </c>
      <c r="E10030" s="111" t="str">
        <f t="shared" si="10028"/>
        <v>Eunice</v>
      </c>
    </row>
    <row r="10031" spans="1:5">
      <c r="A10031" s="3" t="s">
        <v>8466</v>
      </c>
      <c r="B10031" s="110" t="s">
        <v>1356</v>
      </c>
      <c r="C10031" s="111" t="s">
        <v>3773</v>
      </c>
      <c r="D10031" s="111" t="str">
        <f t="shared" ref="D10031:E10031" si="10029">TRIM(B10031)</f>
        <v>New Mexico</v>
      </c>
      <c r="E10031" s="111" t="str">
        <f t="shared" si="10029"/>
        <v>Farmington</v>
      </c>
    </row>
    <row r="10032" spans="1:5">
      <c r="A10032" s="3" t="s">
        <v>20545</v>
      </c>
      <c r="B10032" s="110" t="s">
        <v>1356</v>
      </c>
      <c r="C10032" s="111" t="s">
        <v>3773</v>
      </c>
      <c r="D10032" s="111" t="str">
        <f t="shared" ref="D10032:E10032" si="10030">TRIM(B10032)</f>
        <v>New Mexico</v>
      </c>
      <c r="E10032" s="111" t="str">
        <f t="shared" si="10030"/>
        <v>Farmington</v>
      </c>
    </row>
    <row r="10033" spans="1:5">
      <c r="A10033" s="3" t="s">
        <v>20546</v>
      </c>
      <c r="B10033" s="110" t="s">
        <v>1356</v>
      </c>
      <c r="C10033" s="111" t="s">
        <v>20547</v>
      </c>
      <c r="D10033" s="111" t="str">
        <f t="shared" ref="D10033:E10033" si="10031">TRIM(B10033)</f>
        <v>New Mexico</v>
      </c>
      <c r="E10033" s="111" t="str">
        <f t="shared" si="10031"/>
        <v>Floyd</v>
      </c>
    </row>
    <row r="10034" spans="1:5">
      <c r="A10034" s="3" t="s">
        <v>20548</v>
      </c>
      <c r="B10034" s="110" t="s">
        <v>1356</v>
      </c>
      <c r="C10034" s="111" t="s">
        <v>20549</v>
      </c>
      <c r="D10034" s="111" t="str">
        <f t="shared" ref="D10034:E10034" si="10032">TRIM(B10034)</f>
        <v>New Mexico</v>
      </c>
      <c r="E10034" s="111" t="str">
        <f t="shared" si="10032"/>
        <v>Fort Sumner</v>
      </c>
    </row>
    <row r="10035" spans="1:5">
      <c r="A10035" s="3" t="s">
        <v>3225</v>
      </c>
      <c r="B10035" s="110" t="s">
        <v>1356</v>
      </c>
      <c r="C10035" s="111" t="s">
        <v>20550</v>
      </c>
      <c r="D10035" s="111" t="str">
        <f t="shared" ref="D10035:E10035" si="10033">TRIM(B10035)</f>
        <v>New Mexico</v>
      </c>
      <c r="E10035" s="111" t="str">
        <f t="shared" si="10033"/>
        <v>Gallina</v>
      </c>
    </row>
    <row r="10036" spans="1:5">
      <c r="A10036" s="3" t="s">
        <v>20551</v>
      </c>
      <c r="B10036" s="110" t="s">
        <v>1356</v>
      </c>
      <c r="C10036" s="111" t="s">
        <v>20552</v>
      </c>
      <c r="D10036" s="111" t="str">
        <f t="shared" ref="D10036:E10036" si="10034">TRIM(B10036)</f>
        <v>New Mexico</v>
      </c>
      <c r="E10036" s="111" t="str">
        <f t="shared" si="10034"/>
        <v>Gallup</v>
      </c>
    </row>
    <row r="10037" spans="1:5">
      <c r="A10037" s="3" t="s">
        <v>5761</v>
      </c>
      <c r="B10037" s="110" t="s">
        <v>1356</v>
      </c>
      <c r="C10037" s="111" t="s">
        <v>20552</v>
      </c>
      <c r="D10037" s="111" t="str">
        <f t="shared" ref="D10037:E10037" si="10035">TRIM(B10037)</f>
        <v>New Mexico</v>
      </c>
      <c r="E10037" s="111" t="str">
        <f t="shared" si="10035"/>
        <v>Gallup</v>
      </c>
    </row>
    <row r="10038" spans="1:5">
      <c r="A10038" s="3" t="s">
        <v>20553</v>
      </c>
      <c r="B10038" s="110" t="s">
        <v>1356</v>
      </c>
      <c r="C10038" s="111" t="s">
        <v>20552</v>
      </c>
      <c r="D10038" s="111" t="str">
        <f t="shared" ref="D10038:E10038" si="10036">TRIM(B10038)</f>
        <v>New Mexico</v>
      </c>
      <c r="E10038" s="111" t="str">
        <f t="shared" si="10036"/>
        <v>Gallup</v>
      </c>
    </row>
    <row r="10039" spans="1:5">
      <c r="A10039" s="3" t="s">
        <v>10352</v>
      </c>
      <c r="B10039" s="110" t="s">
        <v>1356</v>
      </c>
      <c r="C10039" s="111" t="s">
        <v>20554</v>
      </c>
      <c r="D10039" s="111" t="str">
        <f t="shared" ref="D10039:E10039" si="10037">TRIM(B10039)</f>
        <v>New Mexico</v>
      </c>
      <c r="E10039" s="111" t="str">
        <f t="shared" si="10037"/>
        <v>Grady</v>
      </c>
    </row>
    <row r="10040" spans="1:5">
      <c r="A10040" s="3" t="s">
        <v>20555</v>
      </c>
      <c r="B10040" s="110" t="s">
        <v>1356</v>
      </c>
      <c r="C10040" s="111" t="s">
        <v>20556</v>
      </c>
      <c r="D10040" s="111" t="str">
        <f t="shared" ref="D10040:E10040" si="10038">TRIM(B10040)</f>
        <v>New Mexico</v>
      </c>
      <c r="E10040" s="111" t="str">
        <f t="shared" si="10038"/>
        <v>Grants</v>
      </c>
    </row>
    <row r="10041" spans="1:5">
      <c r="A10041" s="3" t="s">
        <v>20557</v>
      </c>
      <c r="B10041" s="110" t="s">
        <v>1356</v>
      </c>
      <c r="C10041" s="111" t="s">
        <v>20558</v>
      </c>
      <c r="D10041" s="111" t="str">
        <f t="shared" ref="D10041:E10041" si="10039">TRIM(B10041)</f>
        <v>New Mexico</v>
      </c>
      <c r="E10041" s="111" t="str">
        <f t="shared" si="10039"/>
        <v>Hagerman</v>
      </c>
    </row>
    <row r="10042" spans="1:5">
      <c r="A10042" s="3" t="s">
        <v>20559</v>
      </c>
      <c r="B10042" s="110" t="s">
        <v>1356</v>
      </c>
      <c r="C10042" s="111" t="s">
        <v>20560</v>
      </c>
      <c r="D10042" s="111" t="str">
        <f t="shared" ref="D10042:E10042" si="10040">TRIM(B10042)</f>
        <v>New Mexico</v>
      </c>
      <c r="E10042" s="111" t="str">
        <f t="shared" si="10040"/>
        <v>Hatch</v>
      </c>
    </row>
    <row r="10043" spans="1:5">
      <c r="A10043" s="3" t="s">
        <v>20561</v>
      </c>
      <c r="B10043" s="110" t="s">
        <v>1356</v>
      </c>
      <c r="C10043" s="111" t="s">
        <v>7163</v>
      </c>
      <c r="D10043" s="111" t="str">
        <f t="shared" ref="D10043:E10043" si="10041">TRIM(B10043)</f>
        <v>New Mexico</v>
      </c>
      <c r="E10043" s="111" t="str">
        <f t="shared" si="10041"/>
        <v>Hobbs</v>
      </c>
    </row>
    <row r="10044" spans="1:5">
      <c r="A10044" s="3" t="s">
        <v>20562</v>
      </c>
      <c r="B10044" s="110" t="s">
        <v>1356</v>
      </c>
      <c r="C10044" s="111" t="s">
        <v>20563</v>
      </c>
      <c r="D10044" s="111" t="str">
        <f t="shared" ref="D10044:E10044" si="10042">TRIM(B10044)</f>
        <v>New Mexico</v>
      </c>
      <c r="E10044" s="111" t="str">
        <f t="shared" si="10042"/>
        <v>Hondo</v>
      </c>
    </row>
    <row r="10045" spans="1:5">
      <c r="A10045" s="3" t="s">
        <v>20564</v>
      </c>
      <c r="B10045" s="110" t="s">
        <v>1356</v>
      </c>
      <c r="C10045" s="111" t="s">
        <v>20565</v>
      </c>
      <c r="D10045" s="111" t="str">
        <f t="shared" ref="D10045:E10045" si="10043">TRIM(B10045)</f>
        <v>New Mexico</v>
      </c>
      <c r="E10045" s="111" t="str">
        <f t="shared" si="10043"/>
        <v>House</v>
      </c>
    </row>
    <row r="10046" spans="1:5">
      <c r="A10046" s="3" t="s">
        <v>20566</v>
      </c>
      <c r="B10046" s="110" t="s">
        <v>1356</v>
      </c>
      <c r="C10046" s="111" t="s">
        <v>20567</v>
      </c>
      <c r="D10046" s="111" t="str">
        <f t="shared" ref="D10046:E10046" si="10044">TRIM(B10046)</f>
        <v>New Mexico</v>
      </c>
      <c r="E10046" s="111" t="str">
        <f t="shared" si="10044"/>
        <v>Jal</v>
      </c>
    </row>
    <row r="10047" spans="1:5">
      <c r="A10047" s="3" t="s">
        <v>20568</v>
      </c>
      <c r="B10047" s="110" t="s">
        <v>1356</v>
      </c>
      <c r="C10047" s="111" t="s">
        <v>20569</v>
      </c>
      <c r="D10047" s="111" t="str">
        <f t="shared" ref="D10047:E10047" si="10045">TRIM(B10047)</f>
        <v>New Mexico</v>
      </c>
      <c r="E10047" s="111" t="str">
        <f t="shared" si="10045"/>
        <v>Jemez Pueblo</v>
      </c>
    </row>
    <row r="10048" spans="1:5">
      <c r="A10048" s="3" t="s">
        <v>20570</v>
      </c>
      <c r="B10048" s="110" t="s">
        <v>1356</v>
      </c>
      <c r="C10048" s="111" t="s">
        <v>20569</v>
      </c>
      <c r="D10048" s="111" t="str">
        <f t="shared" ref="D10048:E10048" si="10046">TRIM(B10048)</f>
        <v>New Mexico</v>
      </c>
      <c r="E10048" s="111" t="str">
        <f t="shared" si="10046"/>
        <v>Jemez Pueblo</v>
      </c>
    </row>
    <row r="10049" spans="1:5">
      <c r="A10049" s="3" t="s">
        <v>1843</v>
      </c>
      <c r="B10049" s="110" t="s">
        <v>1356</v>
      </c>
      <c r="C10049" s="111" t="s">
        <v>20571</v>
      </c>
      <c r="D10049" s="111" t="str">
        <f t="shared" ref="D10049:E10049" si="10047">TRIM(B10049)</f>
        <v>New Mexico</v>
      </c>
      <c r="E10049" s="111" t="str">
        <f t="shared" si="10047"/>
        <v>Kirtland</v>
      </c>
    </row>
    <row r="10050" spans="1:5">
      <c r="A10050" s="3" t="s">
        <v>16000</v>
      </c>
      <c r="B10050" s="110" t="s">
        <v>1356</v>
      </c>
      <c r="C10050" s="111" t="s">
        <v>16001</v>
      </c>
      <c r="D10050" s="111" t="str">
        <f t="shared" ref="D10050:E10050" si="10048">TRIM(B10050)</f>
        <v>New Mexico</v>
      </c>
      <c r="E10050" s="111" t="str">
        <f t="shared" si="10048"/>
        <v>Lake Arthur</v>
      </c>
    </row>
    <row r="10051" spans="1:5">
      <c r="A10051" s="110" t="s">
        <v>20572</v>
      </c>
      <c r="B10051" s="110" t="s">
        <v>1356</v>
      </c>
      <c r="C10051" s="111" t="s">
        <v>974</v>
      </c>
      <c r="D10051" s="111" t="str">
        <f t="shared" ref="D10051:E10051" si="10049">TRIM(B10051)</f>
        <v>New Mexico</v>
      </c>
      <c r="E10051" s="111" t="str">
        <f t="shared" si="10049"/>
        <v>Las Cruces</v>
      </c>
    </row>
    <row r="10052" spans="1:5">
      <c r="A10052" s="3" t="s">
        <v>20573</v>
      </c>
      <c r="B10052" s="110" t="s">
        <v>1356</v>
      </c>
      <c r="C10052" s="111" t="s">
        <v>974</v>
      </c>
      <c r="D10052" s="111" t="str">
        <f t="shared" ref="D10052:E10052" si="10050">TRIM(B10052)</f>
        <v>New Mexico</v>
      </c>
      <c r="E10052" s="111" t="str">
        <f t="shared" si="10050"/>
        <v>Las Cruces</v>
      </c>
    </row>
    <row r="10053" spans="1:5">
      <c r="A10053" s="3" t="s">
        <v>2905</v>
      </c>
      <c r="B10053" s="110" t="s">
        <v>1356</v>
      </c>
      <c r="C10053" s="111" t="s">
        <v>974</v>
      </c>
      <c r="D10053" s="111" t="str">
        <f t="shared" ref="D10053:E10053" si="10051">TRIM(B10053)</f>
        <v>New Mexico</v>
      </c>
      <c r="E10053" s="111" t="str">
        <f t="shared" si="10051"/>
        <v>Las Cruces</v>
      </c>
    </row>
    <row r="10054" spans="1:5">
      <c r="A10054" s="3" t="s">
        <v>20535</v>
      </c>
      <c r="B10054" s="110" t="s">
        <v>1356</v>
      </c>
      <c r="C10054" s="111" t="s">
        <v>974</v>
      </c>
      <c r="D10054" s="111" t="str">
        <f t="shared" ref="D10054:E10054" si="10052">TRIM(B10054)</f>
        <v>New Mexico</v>
      </c>
      <c r="E10054" s="111" t="str">
        <f t="shared" si="10052"/>
        <v>Las Cruces</v>
      </c>
    </row>
    <row r="10055" spans="1:5">
      <c r="A10055" s="3" t="s">
        <v>20574</v>
      </c>
      <c r="B10055" s="110" t="s">
        <v>1356</v>
      </c>
      <c r="C10055" s="111" t="s">
        <v>974</v>
      </c>
      <c r="D10055" s="111" t="str">
        <f t="shared" ref="D10055:E10055" si="10053">TRIM(B10055)</f>
        <v>New Mexico</v>
      </c>
      <c r="E10055" s="111" t="str">
        <f t="shared" si="10053"/>
        <v>Las Cruces</v>
      </c>
    </row>
    <row r="10056" spans="1:5">
      <c r="A10056" s="110" t="s">
        <v>20575</v>
      </c>
      <c r="B10056" s="110" t="s">
        <v>1356</v>
      </c>
      <c r="C10056" s="111" t="s">
        <v>974</v>
      </c>
      <c r="D10056" s="111" t="str">
        <f t="shared" ref="D10056:E10056" si="10054">TRIM(B10056)</f>
        <v>New Mexico</v>
      </c>
      <c r="E10056" s="111" t="str">
        <f t="shared" si="10054"/>
        <v>Las Cruces</v>
      </c>
    </row>
    <row r="10057" spans="1:5">
      <c r="A10057" s="3" t="s">
        <v>15769</v>
      </c>
      <c r="B10057" s="110" t="s">
        <v>1356</v>
      </c>
      <c r="C10057" s="111" t="s">
        <v>974</v>
      </c>
      <c r="D10057" s="111" t="str">
        <f t="shared" ref="D10057:E10057" si="10055">TRIM(B10057)</f>
        <v>New Mexico</v>
      </c>
      <c r="E10057" s="111" t="str">
        <f t="shared" si="10055"/>
        <v>Las Cruces</v>
      </c>
    </row>
    <row r="10058" spans="1:5">
      <c r="A10058" s="110" t="s">
        <v>20576</v>
      </c>
      <c r="B10058" s="110" t="s">
        <v>1356</v>
      </c>
      <c r="C10058" s="111" t="s">
        <v>974</v>
      </c>
      <c r="D10058" s="111" t="str">
        <f t="shared" ref="D10058:E10058" si="10056">TRIM(B10058)</f>
        <v>New Mexico</v>
      </c>
      <c r="E10058" s="111" t="str">
        <f t="shared" si="10056"/>
        <v>Las Cruces</v>
      </c>
    </row>
    <row r="10059" spans="1:5">
      <c r="A10059" s="3" t="s">
        <v>20577</v>
      </c>
      <c r="B10059" s="110" t="s">
        <v>1356</v>
      </c>
      <c r="C10059" s="111" t="s">
        <v>974</v>
      </c>
      <c r="D10059" s="111" t="str">
        <f t="shared" ref="D10059:E10059" si="10057">TRIM(B10059)</f>
        <v>New Mexico</v>
      </c>
      <c r="E10059" s="111" t="str">
        <f t="shared" si="10057"/>
        <v>Las Cruces</v>
      </c>
    </row>
    <row r="10060" spans="1:5">
      <c r="A10060" s="3" t="s">
        <v>20578</v>
      </c>
      <c r="B10060" s="110" t="s">
        <v>1356</v>
      </c>
      <c r="C10060" s="111" t="s">
        <v>315</v>
      </c>
      <c r="D10060" s="111" t="str">
        <f t="shared" ref="D10060:E10060" si="10058">TRIM(B10060)</f>
        <v>New Mexico</v>
      </c>
      <c r="E10060" s="111" t="str">
        <f t="shared" si="10058"/>
        <v>Las Vegas</v>
      </c>
    </row>
    <row r="10061" spans="1:5">
      <c r="A10061" s="3" t="s">
        <v>20579</v>
      </c>
      <c r="B10061" s="110" t="s">
        <v>1356</v>
      </c>
      <c r="C10061" s="111" t="s">
        <v>315</v>
      </c>
      <c r="D10061" s="111" t="str">
        <f t="shared" ref="D10061:E10061" si="10059">TRIM(B10061)</f>
        <v>New Mexico</v>
      </c>
      <c r="E10061" s="111" t="str">
        <f t="shared" si="10059"/>
        <v>Las Vegas</v>
      </c>
    </row>
    <row r="10062" spans="1:5">
      <c r="A10062" s="3" t="s">
        <v>15376</v>
      </c>
      <c r="B10062" s="110" t="s">
        <v>1356</v>
      </c>
      <c r="C10062" s="111" t="s">
        <v>14936</v>
      </c>
      <c r="D10062" s="111" t="str">
        <f t="shared" ref="D10062:E10062" si="10060">TRIM(B10062)</f>
        <v>New Mexico</v>
      </c>
      <c r="E10062" s="111" t="str">
        <f t="shared" si="10060"/>
        <v>Logan</v>
      </c>
    </row>
    <row r="10063" spans="1:5">
      <c r="A10063" s="110" t="s">
        <v>20580</v>
      </c>
      <c r="B10063" s="110" t="s">
        <v>1356</v>
      </c>
      <c r="C10063" s="111" t="s">
        <v>14936</v>
      </c>
      <c r="D10063" s="111" t="str">
        <f t="shared" ref="D10063:E10063" si="10061">TRIM(B10063)</f>
        <v>New Mexico</v>
      </c>
      <c r="E10063" s="111" t="str">
        <f t="shared" si="10061"/>
        <v>Logan</v>
      </c>
    </row>
    <row r="10064" spans="1:5">
      <c r="A10064" s="3" t="s">
        <v>20581</v>
      </c>
      <c r="B10064" s="110" t="s">
        <v>1356</v>
      </c>
      <c r="C10064" s="111" t="s">
        <v>20582</v>
      </c>
      <c r="D10064" s="111" t="str">
        <f t="shared" ref="D10064:E10064" si="10062">TRIM(B10064)</f>
        <v>New Mexico</v>
      </c>
      <c r="E10064" s="111" t="str">
        <f t="shared" si="10062"/>
        <v>Lordsburg</v>
      </c>
    </row>
    <row r="10065" spans="1:5">
      <c r="A10065" s="3" t="s">
        <v>20583</v>
      </c>
      <c r="B10065" s="110" t="s">
        <v>1356</v>
      </c>
      <c r="C10065" s="111" t="s">
        <v>20584</v>
      </c>
      <c r="D10065" s="111" t="str">
        <f t="shared" ref="D10065:E10065" si="10063">TRIM(B10065)</f>
        <v>New Mexico</v>
      </c>
      <c r="E10065" s="111" t="str">
        <f t="shared" si="10063"/>
        <v>Los Alamos</v>
      </c>
    </row>
    <row r="10066" spans="1:5">
      <c r="A10066" s="3" t="s">
        <v>20585</v>
      </c>
      <c r="B10066" s="110" t="s">
        <v>1356</v>
      </c>
      <c r="C10066" s="111" t="s">
        <v>20586</v>
      </c>
      <c r="D10066" s="111" t="str">
        <f t="shared" ref="D10066:E10066" si="10064">TRIM(B10066)</f>
        <v>New Mexico</v>
      </c>
      <c r="E10066" s="111" t="str">
        <f t="shared" si="10064"/>
        <v>Los Lunas</v>
      </c>
    </row>
    <row r="10067" spans="1:5">
      <c r="A10067" s="3" t="s">
        <v>6393</v>
      </c>
      <c r="B10067" s="110" t="s">
        <v>1356</v>
      </c>
      <c r="C10067" s="111" t="s">
        <v>20586</v>
      </c>
      <c r="D10067" s="111" t="str">
        <f t="shared" ref="D10067:E10067" si="10065">TRIM(B10067)</f>
        <v>New Mexico</v>
      </c>
      <c r="E10067" s="111" t="str">
        <f t="shared" si="10065"/>
        <v>Los Lunas</v>
      </c>
    </row>
    <row r="10068" spans="1:5">
      <c r="A10068" s="3" t="s">
        <v>20587</v>
      </c>
      <c r="B10068" s="110" t="s">
        <v>1356</v>
      </c>
      <c r="C10068" s="111" t="s">
        <v>20588</v>
      </c>
      <c r="D10068" s="111" t="str">
        <f t="shared" ref="D10068:E10068" si="10066">TRIM(B10068)</f>
        <v>New Mexico</v>
      </c>
      <c r="E10068" s="111" t="str">
        <f t="shared" si="10066"/>
        <v>Loving</v>
      </c>
    </row>
    <row r="10069" spans="1:5">
      <c r="A10069" s="3" t="s">
        <v>20589</v>
      </c>
      <c r="B10069" s="110" t="s">
        <v>1356</v>
      </c>
      <c r="C10069" s="111" t="s">
        <v>20590</v>
      </c>
      <c r="D10069" s="111" t="str">
        <f t="shared" ref="D10069:E10069" si="10067">TRIM(B10069)</f>
        <v>New Mexico</v>
      </c>
      <c r="E10069" s="111" t="str">
        <f t="shared" si="10067"/>
        <v>Lovington</v>
      </c>
    </row>
    <row r="10070" spans="1:5">
      <c r="A10070" s="3" t="s">
        <v>20591</v>
      </c>
      <c r="B10070" s="110" t="s">
        <v>1356</v>
      </c>
      <c r="C10070" s="111" t="s">
        <v>20592</v>
      </c>
      <c r="D10070" s="111" t="str">
        <f t="shared" ref="D10070:E10070" si="10068">TRIM(B10070)</f>
        <v>New Mexico</v>
      </c>
      <c r="E10070" s="111" t="str">
        <f t="shared" si="10068"/>
        <v>Magdalena</v>
      </c>
    </row>
    <row r="10071" spans="1:5">
      <c r="A10071" s="3" t="s">
        <v>19635</v>
      </c>
      <c r="B10071" s="110" t="s">
        <v>1356</v>
      </c>
      <c r="C10071" s="111" t="s">
        <v>5904</v>
      </c>
      <c r="D10071" s="111" t="str">
        <f t="shared" ref="D10071:E10071" si="10069">TRIM(B10071)</f>
        <v>New Mexico</v>
      </c>
      <c r="E10071" s="111" t="str">
        <f t="shared" si="10069"/>
        <v>Maxwell</v>
      </c>
    </row>
    <row r="10072" spans="1:5">
      <c r="A10072" s="3" t="s">
        <v>16738</v>
      </c>
      <c r="B10072" s="110" t="s">
        <v>1356</v>
      </c>
      <c r="C10072" s="111" t="s">
        <v>8874</v>
      </c>
      <c r="D10072" s="111" t="str">
        <f t="shared" ref="D10072:E10072" si="10070">TRIM(B10072)</f>
        <v>New Mexico</v>
      </c>
      <c r="E10072" s="111" t="str">
        <f t="shared" si="10070"/>
        <v>Melrose</v>
      </c>
    </row>
    <row r="10073" spans="1:5">
      <c r="A10073" s="3" t="s">
        <v>20593</v>
      </c>
      <c r="B10073" s="110" t="s">
        <v>1356</v>
      </c>
      <c r="C10073" s="111" t="s">
        <v>18094</v>
      </c>
      <c r="D10073" s="111" t="str">
        <f t="shared" ref="D10073:E10073" si="10071">TRIM(B10073)</f>
        <v>New Mexico</v>
      </c>
      <c r="E10073" s="111" t="str">
        <f t="shared" si="10071"/>
        <v>Mora</v>
      </c>
    </row>
    <row r="10074" spans="1:5">
      <c r="A10074" s="3" t="s">
        <v>20594</v>
      </c>
      <c r="B10074" s="110" t="s">
        <v>1356</v>
      </c>
      <c r="C10074" s="111" t="s">
        <v>20595</v>
      </c>
      <c r="D10074" s="111" t="str">
        <f t="shared" ref="D10074:E10074" si="10072">TRIM(B10074)</f>
        <v>New Mexico</v>
      </c>
      <c r="E10074" s="111" t="str">
        <f t="shared" si="10072"/>
        <v>Moriarty</v>
      </c>
    </row>
    <row r="10075" spans="1:5">
      <c r="A10075" s="3" t="s">
        <v>20596</v>
      </c>
      <c r="B10075" s="110" t="s">
        <v>1356</v>
      </c>
      <c r="C10075" s="111" t="s">
        <v>20597</v>
      </c>
      <c r="D10075" s="111" t="str">
        <f t="shared" ref="D10075:E10075" si="10073">TRIM(B10075)</f>
        <v>New Mexico</v>
      </c>
      <c r="E10075" s="111" t="str">
        <f t="shared" si="10073"/>
        <v>Mosquero</v>
      </c>
    </row>
    <row r="10076" spans="1:5">
      <c r="A10076" s="3" t="s">
        <v>20598</v>
      </c>
      <c r="B10076" s="110" t="s">
        <v>1356</v>
      </c>
      <c r="C10076" s="111" t="s">
        <v>20599</v>
      </c>
      <c r="D10076" s="111" t="str">
        <f t="shared" ref="D10076:E10076" si="10074">TRIM(B10076)</f>
        <v>New Mexico</v>
      </c>
      <c r="E10076" s="111" t="str">
        <f t="shared" si="10074"/>
        <v>Mountainair</v>
      </c>
    </row>
    <row r="10077" spans="1:5">
      <c r="A10077" s="3" t="s">
        <v>20600</v>
      </c>
      <c r="B10077" s="110" t="s">
        <v>1356</v>
      </c>
      <c r="C10077" s="111" t="s">
        <v>20601</v>
      </c>
      <c r="D10077" s="111" t="str">
        <f t="shared" ref="D10077:E10077" si="10075">TRIM(B10077)</f>
        <v>New Mexico</v>
      </c>
      <c r="E10077" s="111" t="str">
        <f t="shared" si="10075"/>
        <v>Navajo</v>
      </c>
    </row>
    <row r="10078" spans="1:5">
      <c r="A10078" s="3" t="s">
        <v>20602</v>
      </c>
      <c r="B10078" s="110" t="s">
        <v>1356</v>
      </c>
      <c r="C10078" s="111" t="s">
        <v>20603</v>
      </c>
      <c r="D10078" s="111" t="str">
        <f t="shared" ref="D10078:E10078" si="10076">TRIM(B10078)</f>
        <v>New Mexico</v>
      </c>
      <c r="E10078" s="111" t="str">
        <f t="shared" si="10076"/>
        <v>Newcomb</v>
      </c>
    </row>
    <row r="10079" spans="1:5">
      <c r="A10079" s="3" t="s">
        <v>20604</v>
      </c>
      <c r="B10079" s="110" t="s">
        <v>1356</v>
      </c>
      <c r="C10079" s="111" t="s">
        <v>20605</v>
      </c>
      <c r="D10079" s="111" t="str">
        <f t="shared" ref="D10079:E10079" si="10077">TRIM(B10079)</f>
        <v>New Mexico</v>
      </c>
      <c r="E10079" s="111" t="str">
        <f t="shared" si="10077"/>
        <v>Ojo Caliente</v>
      </c>
    </row>
    <row r="10080" spans="1:5">
      <c r="A10080" s="3" t="s">
        <v>20606</v>
      </c>
      <c r="B10080" s="110" t="s">
        <v>1356</v>
      </c>
      <c r="C10080" s="111" t="s">
        <v>4541</v>
      </c>
      <c r="D10080" s="111" t="str">
        <f t="shared" ref="D10080:E10080" si="10078">TRIM(B10080)</f>
        <v>New Mexico</v>
      </c>
      <c r="E10080" s="111" t="str">
        <f t="shared" si="10078"/>
        <v>Pecos</v>
      </c>
    </row>
    <row r="10081" spans="1:5">
      <c r="A10081" s="3" t="s">
        <v>20607</v>
      </c>
      <c r="B10081" s="110" t="s">
        <v>1356</v>
      </c>
      <c r="C10081" s="111" t="s">
        <v>20608</v>
      </c>
      <c r="D10081" s="111" t="str">
        <f t="shared" ref="D10081:E10081" si="10079">TRIM(B10081)</f>
        <v>New Mexico</v>
      </c>
      <c r="E10081" s="111" t="str">
        <f t="shared" si="10079"/>
        <v>Penasco</v>
      </c>
    </row>
    <row r="10082" spans="1:5">
      <c r="A10082" s="3" t="s">
        <v>20609</v>
      </c>
      <c r="B10082" s="110" t="s">
        <v>1356</v>
      </c>
      <c r="C10082" s="111" t="s">
        <v>20610</v>
      </c>
      <c r="D10082" s="111" t="str">
        <f t="shared" ref="D10082:E10082" si="10080">TRIM(B10082)</f>
        <v>New Mexico</v>
      </c>
      <c r="E10082" s="111" t="str">
        <f t="shared" si="10080"/>
        <v>Portales</v>
      </c>
    </row>
    <row r="10083" spans="1:5">
      <c r="A10083" s="3" t="s">
        <v>20611</v>
      </c>
      <c r="B10083" s="110" t="s">
        <v>1356</v>
      </c>
      <c r="C10083" s="111" t="s">
        <v>20612</v>
      </c>
      <c r="D10083" s="111" t="str">
        <f t="shared" ref="D10083:E10083" si="10081">TRIM(B10083)</f>
        <v>New Mexico</v>
      </c>
      <c r="E10083" s="111" t="str">
        <f t="shared" si="10081"/>
        <v>Pueblo Pintado</v>
      </c>
    </row>
    <row r="10084" spans="1:5">
      <c r="A10084" s="3" t="s">
        <v>20613</v>
      </c>
      <c r="B10084" s="110" t="s">
        <v>1356</v>
      </c>
      <c r="C10084" s="111" t="s">
        <v>20614</v>
      </c>
      <c r="D10084" s="111" t="str">
        <f t="shared" ref="D10084:E10084" si="10082">TRIM(B10084)</f>
        <v>New Mexico</v>
      </c>
      <c r="E10084" s="111" t="str">
        <f t="shared" si="10082"/>
        <v>Quemado</v>
      </c>
    </row>
    <row r="10085" spans="1:5">
      <c r="A10085" s="3" t="s">
        <v>20615</v>
      </c>
      <c r="B10085" s="110" t="s">
        <v>1356</v>
      </c>
      <c r="C10085" s="111" t="s">
        <v>20616</v>
      </c>
      <c r="D10085" s="111" t="str">
        <f t="shared" ref="D10085:E10085" si="10083">TRIM(B10085)</f>
        <v>New Mexico</v>
      </c>
      <c r="E10085" s="111" t="str">
        <f t="shared" si="10083"/>
        <v>Questa</v>
      </c>
    </row>
    <row r="10086" spans="1:5">
      <c r="A10086" s="3" t="s">
        <v>20617</v>
      </c>
      <c r="B10086" s="110" t="s">
        <v>1356</v>
      </c>
      <c r="C10086" s="111" t="s">
        <v>20618</v>
      </c>
      <c r="D10086" s="111" t="str">
        <f t="shared" ref="D10086:E10086" si="10084">TRIM(B10086)</f>
        <v>New Mexico</v>
      </c>
      <c r="E10086" s="111" t="str">
        <f t="shared" si="10084"/>
        <v>Ramah</v>
      </c>
    </row>
    <row r="10087" spans="1:5">
      <c r="A10087" s="3" t="s">
        <v>20619</v>
      </c>
      <c r="B10087" s="110" t="s">
        <v>1356</v>
      </c>
      <c r="C10087" s="111" t="s">
        <v>20620</v>
      </c>
      <c r="D10087" s="111" t="str">
        <f t="shared" ref="D10087:E10087" si="10085">TRIM(B10087)</f>
        <v>New Mexico</v>
      </c>
      <c r="E10087" s="111" t="str">
        <f t="shared" si="10085"/>
        <v>Raton</v>
      </c>
    </row>
    <row r="10088" spans="1:5">
      <c r="A10088" s="3" t="s">
        <v>20621</v>
      </c>
      <c r="B10088" s="110" t="s">
        <v>1356</v>
      </c>
      <c r="C10088" s="111" t="s">
        <v>10945</v>
      </c>
      <c r="D10088" s="111" t="str">
        <f t="shared" ref="D10088:E10088" si="10086">TRIM(B10088)</f>
        <v>New Mexico</v>
      </c>
      <c r="E10088" s="111" t="str">
        <f t="shared" si="10086"/>
        <v>Reserve</v>
      </c>
    </row>
    <row r="10089" spans="1:5">
      <c r="A10089" s="3" t="s">
        <v>1642</v>
      </c>
      <c r="B10089" s="110" t="s">
        <v>1356</v>
      </c>
      <c r="C10089" s="111" t="s">
        <v>1025</v>
      </c>
      <c r="D10089" s="111" t="str">
        <f t="shared" ref="D10089:E10089" si="10087">TRIM(B10089)</f>
        <v>New Mexico</v>
      </c>
      <c r="E10089" s="111" t="str">
        <f t="shared" si="10087"/>
        <v>Rio Rancho</v>
      </c>
    </row>
    <row r="10090" spans="1:5">
      <c r="A10090" s="3" t="s">
        <v>20622</v>
      </c>
      <c r="B10090" s="110" t="s">
        <v>1356</v>
      </c>
      <c r="C10090" s="111" t="s">
        <v>1025</v>
      </c>
      <c r="D10090" s="111" t="str">
        <f t="shared" ref="D10090:E10090" si="10088">TRIM(B10090)</f>
        <v>New Mexico</v>
      </c>
      <c r="E10090" s="111" t="str">
        <f t="shared" si="10088"/>
        <v>Rio Rancho</v>
      </c>
    </row>
    <row r="10091" spans="1:5">
      <c r="A10091" s="3" t="s">
        <v>20623</v>
      </c>
      <c r="B10091" s="110" t="s">
        <v>1356</v>
      </c>
      <c r="C10091" s="111" t="s">
        <v>1025</v>
      </c>
      <c r="D10091" s="111" t="str">
        <f t="shared" ref="D10091:E10091" si="10089">TRIM(B10091)</f>
        <v>New Mexico</v>
      </c>
      <c r="E10091" s="111" t="str">
        <f t="shared" si="10089"/>
        <v>Rio Rancho</v>
      </c>
    </row>
    <row r="10092" spans="1:5">
      <c r="A10092" s="3" t="s">
        <v>20535</v>
      </c>
      <c r="B10092" s="110" t="s">
        <v>1356</v>
      </c>
      <c r="C10092" s="111" t="s">
        <v>10311</v>
      </c>
      <c r="D10092" s="111" t="str">
        <f t="shared" ref="D10092:E10092" si="10090">TRIM(B10092)</f>
        <v>New Mexico</v>
      </c>
      <c r="E10092" s="111" t="str">
        <f t="shared" si="10090"/>
        <v>Roswell</v>
      </c>
    </row>
    <row r="10093" spans="1:5">
      <c r="A10093" s="3" t="s">
        <v>15283</v>
      </c>
      <c r="B10093" s="110" t="s">
        <v>1356</v>
      </c>
      <c r="C10093" s="111" t="s">
        <v>10311</v>
      </c>
      <c r="D10093" s="111" t="str">
        <f t="shared" ref="D10093:E10093" si="10091">TRIM(B10093)</f>
        <v>New Mexico</v>
      </c>
      <c r="E10093" s="111" t="str">
        <f t="shared" si="10091"/>
        <v>Roswell</v>
      </c>
    </row>
    <row r="10094" spans="1:5">
      <c r="A10094" s="3" t="s">
        <v>11226</v>
      </c>
      <c r="B10094" s="110" t="s">
        <v>1356</v>
      </c>
      <c r="C10094" s="111" t="s">
        <v>10311</v>
      </c>
      <c r="D10094" s="111" t="str">
        <f t="shared" ref="D10094:E10094" si="10092">TRIM(B10094)</f>
        <v>New Mexico</v>
      </c>
      <c r="E10094" s="111" t="str">
        <f t="shared" si="10092"/>
        <v>Roswell</v>
      </c>
    </row>
    <row r="10095" spans="1:5">
      <c r="A10095" s="3" t="s">
        <v>19425</v>
      </c>
      <c r="B10095" s="110" t="s">
        <v>1356</v>
      </c>
      <c r="C10095" s="111" t="s">
        <v>19426</v>
      </c>
      <c r="D10095" s="111" t="str">
        <f t="shared" ref="D10095:E10095" si="10093">TRIM(B10095)</f>
        <v>New Mexico</v>
      </c>
      <c r="E10095" s="111" t="str">
        <f t="shared" si="10093"/>
        <v>Roy</v>
      </c>
    </row>
    <row r="10096" spans="1:5">
      <c r="A10096" s="3" t="s">
        <v>20624</v>
      </c>
      <c r="B10096" s="110" t="s">
        <v>1356</v>
      </c>
      <c r="C10096" s="111" t="s">
        <v>20625</v>
      </c>
      <c r="D10096" s="111" t="str">
        <f t="shared" ref="D10096:E10096" si="10094">TRIM(B10096)</f>
        <v>New Mexico</v>
      </c>
      <c r="E10096" s="111" t="str">
        <f t="shared" si="10094"/>
        <v>Ruidoso</v>
      </c>
    </row>
    <row r="10097" spans="1:5">
      <c r="A10097" s="3" t="s">
        <v>20626</v>
      </c>
      <c r="B10097" s="110" t="s">
        <v>1356</v>
      </c>
      <c r="C10097" s="111" t="s">
        <v>20627</v>
      </c>
      <c r="D10097" s="111" t="str">
        <f t="shared" ref="D10097:E10097" si="10095">TRIM(B10097)</f>
        <v>New Mexico</v>
      </c>
      <c r="E10097" s="111" t="str">
        <f t="shared" si="10095"/>
        <v>San Jon</v>
      </c>
    </row>
    <row r="10098" spans="1:5">
      <c r="A10098" s="3" t="s">
        <v>20628</v>
      </c>
      <c r="B10098" s="110" t="s">
        <v>1356</v>
      </c>
      <c r="C10098" s="111" t="s">
        <v>20629</v>
      </c>
      <c r="D10098" s="111" t="str">
        <f t="shared" ref="D10098:E10098" si="10096">TRIM(B10098)</f>
        <v>New Mexico</v>
      </c>
      <c r="E10098" s="111" t="str">
        <f t="shared" si="10096"/>
        <v>Sandia Park</v>
      </c>
    </row>
    <row r="10099" spans="1:5">
      <c r="A10099" s="3" t="s">
        <v>20630</v>
      </c>
      <c r="B10099" s="110" t="s">
        <v>1356</v>
      </c>
      <c r="C10099" s="111" t="s">
        <v>2892</v>
      </c>
      <c r="D10099" s="111" t="str">
        <f t="shared" ref="D10099:E10099" si="10097">TRIM(B10099)</f>
        <v>New Mexico</v>
      </c>
      <c r="E10099" s="111" t="str">
        <f t="shared" si="10097"/>
        <v>Santa Fe</v>
      </c>
    </row>
    <row r="10100" spans="1:5">
      <c r="A10100" s="3" t="s">
        <v>19346</v>
      </c>
      <c r="B10100" s="110" t="s">
        <v>1356</v>
      </c>
      <c r="C10100" s="111" t="s">
        <v>2892</v>
      </c>
      <c r="D10100" s="111" t="str">
        <f t="shared" ref="D10100:E10100" si="10098">TRIM(B10100)</f>
        <v>New Mexico</v>
      </c>
      <c r="E10100" s="111" t="str">
        <f t="shared" si="10098"/>
        <v>Santa Fe</v>
      </c>
    </row>
    <row r="10101" spans="1:5">
      <c r="A10101" s="110" t="s">
        <v>20631</v>
      </c>
      <c r="B10101" s="110" t="s">
        <v>1356</v>
      </c>
      <c r="C10101" s="111" t="s">
        <v>2892</v>
      </c>
      <c r="D10101" s="111" t="str">
        <f t="shared" ref="D10101:E10101" si="10099">TRIM(B10101)</f>
        <v>New Mexico</v>
      </c>
      <c r="E10101" s="111" t="str">
        <f t="shared" si="10099"/>
        <v>Santa Fe</v>
      </c>
    </row>
    <row r="10102" spans="1:5">
      <c r="A10102" s="110" t="s">
        <v>20632</v>
      </c>
      <c r="B10102" s="110" t="s">
        <v>1356</v>
      </c>
      <c r="C10102" s="111" t="s">
        <v>2892</v>
      </c>
      <c r="D10102" s="111" t="str">
        <f t="shared" ref="D10102:E10102" si="10100">TRIM(B10102)</f>
        <v>New Mexico</v>
      </c>
      <c r="E10102" s="111" t="str">
        <f t="shared" si="10100"/>
        <v>Santa Fe</v>
      </c>
    </row>
    <row r="10103" spans="1:5">
      <c r="A10103" s="110" t="s">
        <v>20633</v>
      </c>
      <c r="B10103" s="110" t="s">
        <v>1356</v>
      </c>
      <c r="C10103" s="111" t="s">
        <v>2892</v>
      </c>
      <c r="D10103" s="111" t="str">
        <f t="shared" ref="D10103:E10103" si="10101">TRIM(B10103)</f>
        <v>New Mexico</v>
      </c>
      <c r="E10103" s="111" t="str">
        <f t="shared" si="10101"/>
        <v>Santa Fe</v>
      </c>
    </row>
    <row r="10104" spans="1:5">
      <c r="A10104" s="110" t="s">
        <v>20634</v>
      </c>
      <c r="B10104" s="110" t="s">
        <v>1356</v>
      </c>
      <c r="C10104" s="111" t="s">
        <v>2892</v>
      </c>
      <c r="D10104" s="111" t="str">
        <f t="shared" ref="D10104:E10104" si="10102">TRIM(B10104)</f>
        <v>New Mexico</v>
      </c>
      <c r="E10104" s="111" t="str">
        <f t="shared" si="10102"/>
        <v>Santa Fe</v>
      </c>
    </row>
    <row r="10105" spans="1:5">
      <c r="A10105" s="3" t="s">
        <v>20635</v>
      </c>
      <c r="B10105" s="110" t="s">
        <v>1356</v>
      </c>
      <c r="C10105" s="111" t="s">
        <v>2892</v>
      </c>
      <c r="D10105" s="111" t="str">
        <f t="shared" ref="D10105:E10105" si="10103">TRIM(B10105)</f>
        <v>New Mexico</v>
      </c>
      <c r="E10105" s="111" t="str">
        <f t="shared" si="10103"/>
        <v>Santa Fe</v>
      </c>
    </row>
    <row r="10106" spans="1:5">
      <c r="A10106" s="110" t="s">
        <v>20636</v>
      </c>
      <c r="B10106" s="110" t="s">
        <v>1356</v>
      </c>
      <c r="C10106" s="111" t="s">
        <v>2892</v>
      </c>
      <c r="D10106" s="111" t="str">
        <f t="shared" ref="D10106:E10106" si="10104">TRIM(B10106)</f>
        <v>New Mexico</v>
      </c>
      <c r="E10106" s="111" t="str">
        <f t="shared" si="10104"/>
        <v>Santa Fe</v>
      </c>
    </row>
    <row r="10107" spans="1:5">
      <c r="A10107" s="3" t="s">
        <v>7069</v>
      </c>
      <c r="B10107" s="110" t="s">
        <v>1356</v>
      </c>
      <c r="C10107" s="111" t="s">
        <v>2892</v>
      </c>
      <c r="D10107" s="111" t="str">
        <f t="shared" ref="D10107:E10107" si="10105">TRIM(B10107)</f>
        <v>New Mexico</v>
      </c>
      <c r="E10107" s="111" t="str">
        <f t="shared" si="10105"/>
        <v>Santa Fe</v>
      </c>
    </row>
    <row r="10108" spans="1:5">
      <c r="A10108" s="110" t="s">
        <v>20637</v>
      </c>
      <c r="B10108" s="110" t="s">
        <v>1356</v>
      </c>
      <c r="C10108" s="111" t="s">
        <v>2892</v>
      </c>
      <c r="D10108" s="111" t="str">
        <f t="shared" ref="D10108:E10108" si="10106">TRIM(B10108)</f>
        <v>New Mexico</v>
      </c>
      <c r="E10108" s="111" t="str">
        <f t="shared" si="10106"/>
        <v>Santa Fe</v>
      </c>
    </row>
    <row r="10109" spans="1:5">
      <c r="A10109" s="110" t="s">
        <v>20638</v>
      </c>
      <c r="B10109" s="110" t="s">
        <v>1356</v>
      </c>
      <c r="C10109" s="111" t="s">
        <v>2892</v>
      </c>
      <c r="D10109" s="111" t="str">
        <f t="shared" ref="D10109:E10109" si="10107">TRIM(B10109)</f>
        <v>New Mexico</v>
      </c>
      <c r="E10109" s="111" t="str">
        <f t="shared" si="10107"/>
        <v>Santa Fe</v>
      </c>
    </row>
    <row r="10110" spans="1:5">
      <c r="A10110" s="3" t="s">
        <v>7093</v>
      </c>
      <c r="B10110" s="110" t="s">
        <v>1356</v>
      </c>
      <c r="C10110" s="111" t="s">
        <v>7085</v>
      </c>
      <c r="D10110" s="111" t="str">
        <f t="shared" ref="D10110:E10110" si="10108">TRIM(B10110)</f>
        <v>New Mexico</v>
      </c>
      <c r="E10110" s="111" t="str">
        <f t="shared" si="10108"/>
        <v>Santa Rosa</v>
      </c>
    </row>
    <row r="10111" spans="1:5">
      <c r="A10111" s="3" t="s">
        <v>6946</v>
      </c>
      <c r="B10111" s="110" t="s">
        <v>1356</v>
      </c>
      <c r="C10111" s="111" t="s">
        <v>20639</v>
      </c>
      <c r="D10111" s="111" t="str">
        <f t="shared" ref="D10111:E10111" si="10109">TRIM(B10111)</f>
        <v>New Mexico</v>
      </c>
      <c r="E10111" s="111" t="str">
        <f t="shared" si="10109"/>
        <v>Santa Teresa</v>
      </c>
    </row>
    <row r="10112" spans="1:5">
      <c r="A10112" s="3" t="s">
        <v>20640</v>
      </c>
      <c r="B10112" s="110" t="s">
        <v>1356</v>
      </c>
      <c r="C10112" s="111" t="s">
        <v>20641</v>
      </c>
      <c r="D10112" s="111" t="str">
        <f t="shared" ref="D10112:E10112" si="10110">TRIM(B10112)</f>
        <v>New Mexico</v>
      </c>
      <c r="E10112" s="111" t="str">
        <f t="shared" si="10110"/>
        <v>Shiprock</v>
      </c>
    </row>
    <row r="10113" spans="1:5">
      <c r="A10113" s="110" t="s">
        <v>20642</v>
      </c>
      <c r="B10113" s="110" t="s">
        <v>1356</v>
      </c>
      <c r="C10113" s="111" t="s">
        <v>20643</v>
      </c>
      <c r="D10113" s="111" t="str">
        <f t="shared" ref="D10113:E10113" si="10111">TRIM(B10113)</f>
        <v>New Mexico</v>
      </c>
      <c r="E10113" s="111" t="str">
        <f t="shared" si="10111"/>
        <v>Silver City</v>
      </c>
    </row>
    <row r="10114" spans="1:5">
      <c r="A10114" s="3" t="s">
        <v>20644</v>
      </c>
      <c r="B10114" s="110" t="s">
        <v>1356</v>
      </c>
      <c r="C10114" s="111" t="s">
        <v>20643</v>
      </c>
      <c r="D10114" s="111" t="str">
        <f t="shared" ref="D10114:E10114" si="10112">TRIM(B10114)</f>
        <v>New Mexico</v>
      </c>
      <c r="E10114" s="111" t="str">
        <f t="shared" si="10112"/>
        <v>Silver City</v>
      </c>
    </row>
    <row r="10115" spans="1:5">
      <c r="A10115" s="3" t="s">
        <v>20645</v>
      </c>
      <c r="B10115" s="110" t="s">
        <v>1356</v>
      </c>
      <c r="C10115" s="111" t="s">
        <v>20646</v>
      </c>
      <c r="D10115" s="111" t="str">
        <f t="shared" ref="D10115:E10115" si="10113">TRIM(B10115)</f>
        <v>New Mexico</v>
      </c>
      <c r="E10115" s="111" t="str">
        <f t="shared" si="10113"/>
        <v>Socorro</v>
      </c>
    </row>
    <row r="10116" spans="1:5">
      <c r="A10116" s="3" t="s">
        <v>20647</v>
      </c>
      <c r="B10116" s="110" t="s">
        <v>1356</v>
      </c>
      <c r="C10116" s="111" t="s">
        <v>20648</v>
      </c>
      <c r="D10116" s="111" t="str">
        <f t="shared" ref="D10116:E10116" si="10114">TRIM(B10116)</f>
        <v>New Mexico</v>
      </c>
      <c r="E10116" s="111" t="str">
        <f t="shared" si="10114"/>
        <v>Springer</v>
      </c>
    </row>
    <row r="10117" spans="1:5">
      <c r="A10117" s="3" t="s">
        <v>19352</v>
      </c>
      <c r="B10117" s="110" t="s">
        <v>1356</v>
      </c>
      <c r="C10117" s="111" t="s">
        <v>20649</v>
      </c>
      <c r="D10117" s="111" t="str">
        <f t="shared" ref="D10117:E10117" si="10115">TRIM(B10117)</f>
        <v>New Mexico</v>
      </c>
      <c r="E10117" s="111" t="str">
        <f t="shared" si="10115"/>
        <v>T Or C</v>
      </c>
    </row>
    <row r="10118" spans="1:5">
      <c r="A10118" s="3" t="s">
        <v>20650</v>
      </c>
      <c r="B10118" s="110" t="s">
        <v>1356</v>
      </c>
      <c r="C10118" s="111" t="s">
        <v>20651</v>
      </c>
      <c r="D10118" s="111" t="str">
        <f t="shared" ref="D10118:E10118" si="10116">TRIM(B10118)</f>
        <v>New Mexico</v>
      </c>
      <c r="E10118" s="111" t="str">
        <f t="shared" si="10116"/>
        <v>Taos</v>
      </c>
    </row>
    <row r="10119" spans="1:5">
      <c r="A10119" s="3" t="s">
        <v>20652</v>
      </c>
      <c r="B10119" s="110" t="s">
        <v>1356</v>
      </c>
      <c r="C10119" s="111" t="s">
        <v>20651</v>
      </c>
      <c r="D10119" s="111" t="str">
        <f t="shared" ref="D10119:E10119" si="10117">TRIM(B10119)</f>
        <v>New Mexico</v>
      </c>
      <c r="E10119" s="111" t="str">
        <f t="shared" si="10117"/>
        <v>Taos</v>
      </c>
    </row>
    <row r="10120" spans="1:5">
      <c r="A10120" s="3" t="s">
        <v>2530</v>
      </c>
      <c r="B10120" s="110" t="s">
        <v>1356</v>
      </c>
      <c r="C10120" s="111" t="s">
        <v>20651</v>
      </c>
      <c r="D10120" s="111" t="str">
        <f t="shared" ref="D10120:E10120" si="10118">TRIM(B10120)</f>
        <v>New Mexico</v>
      </c>
      <c r="E10120" s="111" t="str">
        <f t="shared" si="10118"/>
        <v>Taos</v>
      </c>
    </row>
    <row r="10121" spans="1:5">
      <c r="A10121" s="3" t="s">
        <v>20653</v>
      </c>
      <c r="B10121" s="110" t="s">
        <v>1356</v>
      </c>
      <c r="C10121" s="111" t="s">
        <v>20654</v>
      </c>
      <c r="D10121" s="111" t="str">
        <f t="shared" ref="D10121:E10121" si="10119">TRIM(B10121)</f>
        <v>New Mexico</v>
      </c>
      <c r="E10121" s="111" t="str">
        <f t="shared" si="10119"/>
        <v>Tatum</v>
      </c>
    </row>
    <row r="10122" spans="1:5">
      <c r="A10122" s="3" t="s">
        <v>20655</v>
      </c>
      <c r="B10122" s="110" t="s">
        <v>1356</v>
      </c>
      <c r="C10122" s="111" t="s">
        <v>20656</v>
      </c>
      <c r="D10122" s="111" t="str">
        <f t="shared" ref="D10122:E10122" si="10120">TRIM(B10122)</f>
        <v>New Mexico</v>
      </c>
      <c r="E10122" s="111" t="str">
        <f t="shared" si="10120"/>
        <v>Texico</v>
      </c>
    </row>
    <row r="10123" spans="1:5">
      <c r="A10123" s="3" t="s">
        <v>20657</v>
      </c>
      <c r="B10123" s="110" t="s">
        <v>1356</v>
      </c>
      <c r="C10123" s="111" t="s">
        <v>20658</v>
      </c>
      <c r="D10123" s="111" t="str">
        <f t="shared" ref="D10123:E10123" si="10121">TRIM(B10123)</f>
        <v>New Mexico</v>
      </c>
      <c r="E10123" s="111" t="str">
        <f t="shared" si="10121"/>
        <v>Thoreau</v>
      </c>
    </row>
    <row r="10124" spans="1:5">
      <c r="A10124" s="3" t="s">
        <v>20659</v>
      </c>
      <c r="B10124" s="110" t="s">
        <v>1356</v>
      </c>
      <c r="C10124" s="111" t="s">
        <v>20660</v>
      </c>
      <c r="D10124" s="111" t="str">
        <f t="shared" ref="D10124:E10124" si="10122">TRIM(B10124)</f>
        <v>New Mexico</v>
      </c>
      <c r="E10124" s="111" t="str">
        <f t="shared" si="10122"/>
        <v>Tierra Amarilla</v>
      </c>
    </row>
    <row r="10125" spans="1:5">
      <c r="A10125" s="3" t="s">
        <v>20661</v>
      </c>
      <c r="B10125" s="110" t="s">
        <v>1356</v>
      </c>
      <c r="C10125" s="111" t="s">
        <v>20662</v>
      </c>
      <c r="D10125" s="111" t="str">
        <f t="shared" ref="D10125:E10125" si="10123">TRIM(B10125)</f>
        <v>New Mexico</v>
      </c>
      <c r="E10125" s="111" t="str">
        <f t="shared" si="10123"/>
        <v>Tohatchi</v>
      </c>
    </row>
    <row r="10126" spans="1:5">
      <c r="A10126" s="3" t="s">
        <v>20663</v>
      </c>
      <c r="B10126" s="110" t="s">
        <v>1356</v>
      </c>
      <c r="C10126" s="111" t="s">
        <v>20664</v>
      </c>
      <c r="D10126" s="111" t="str">
        <f t="shared" ref="D10126:E10126" si="10124">TRIM(B10126)</f>
        <v>New Mexico</v>
      </c>
      <c r="E10126" s="111" t="str">
        <f t="shared" si="10124"/>
        <v>Tucumcari</v>
      </c>
    </row>
    <row r="10127" spans="1:5">
      <c r="A10127" s="3" t="s">
        <v>20665</v>
      </c>
      <c r="B10127" s="110" t="s">
        <v>1356</v>
      </c>
      <c r="C10127" s="111" t="s">
        <v>20666</v>
      </c>
      <c r="D10127" s="111" t="str">
        <f t="shared" ref="D10127:E10127" si="10125">TRIM(B10127)</f>
        <v>New Mexico</v>
      </c>
      <c r="E10127" s="111" t="str">
        <f t="shared" si="10125"/>
        <v>Tularosa</v>
      </c>
    </row>
    <row r="10128" spans="1:5">
      <c r="A10128" s="3" t="s">
        <v>20667</v>
      </c>
      <c r="B10128" s="110" t="s">
        <v>1356</v>
      </c>
      <c r="C10128" s="111" t="s">
        <v>20668</v>
      </c>
      <c r="D10128" s="111" t="str">
        <f t="shared" ref="D10128:E10128" si="10126">TRIM(B10128)</f>
        <v>New Mexico</v>
      </c>
      <c r="E10128" s="111" t="str">
        <f t="shared" si="10126"/>
        <v>Vaughn</v>
      </c>
    </row>
    <row r="10129" spans="1:5">
      <c r="A10129" s="3" t="s">
        <v>20669</v>
      </c>
      <c r="B10129" s="110" t="s">
        <v>1356</v>
      </c>
      <c r="C10129" s="111" t="s">
        <v>20670</v>
      </c>
      <c r="D10129" s="111" t="str">
        <f t="shared" ref="D10129:E10129" si="10127">TRIM(B10129)</f>
        <v>New Mexico</v>
      </c>
      <c r="E10129" s="111" t="str">
        <f t="shared" si="10127"/>
        <v>Wagon Mound</v>
      </c>
    </row>
    <row r="10130" spans="1:5">
      <c r="A10130" s="3" t="s">
        <v>20671</v>
      </c>
      <c r="B10130" s="110" t="s">
        <v>1356</v>
      </c>
      <c r="C10130" s="111" t="s">
        <v>20672</v>
      </c>
      <c r="D10130" s="111" t="str">
        <f t="shared" ref="D10130:E10130" si="10128">TRIM(B10130)</f>
        <v>New Mexico</v>
      </c>
      <c r="E10130" s="111" t="str">
        <f t="shared" si="10128"/>
        <v>Zuni</v>
      </c>
    </row>
    <row r="10131" spans="1:5">
      <c r="A10131" s="3" t="s">
        <v>20673</v>
      </c>
      <c r="B10131" s="110" t="s">
        <v>1356</v>
      </c>
      <c r="C10131" s="111" t="s">
        <v>20672</v>
      </c>
      <c r="D10131" s="111" t="str">
        <f t="shared" ref="D10131:E10131" si="10129">TRIM(B10131)</f>
        <v>New Mexico</v>
      </c>
      <c r="E10131" s="111" t="str">
        <f t="shared" si="10129"/>
        <v>Zuni</v>
      </c>
    </row>
    <row r="10132" spans="1:5">
      <c r="A10132" s="3" t="s">
        <v>20674</v>
      </c>
      <c r="B10132" s="110" t="s">
        <v>188</v>
      </c>
      <c r="C10132" s="111" t="s">
        <v>20675</v>
      </c>
      <c r="D10132" s="111" t="str">
        <f t="shared" ref="D10132:E10132" si="10130">TRIM(B10132)</f>
        <v>New York</v>
      </c>
      <c r="E10132" s="111" t="str">
        <f t="shared" si="10130"/>
        <v>Accord</v>
      </c>
    </row>
    <row r="10133" spans="1:5">
      <c r="A10133" s="3" t="s">
        <v>20676</v>
      </c>
      <c r="B10133" s="110" t="s">
        <v>188</v>
      </c>
      <c r="C10133" s="111" t="s">
        <v>16539</v>
      </c>
      <c r="D10133" s="111" t="str">
        <f t="shared" ref="D10133:E10133" si="10131">TRIM(B10133)</f>
        <v>New York</v>
      </c>
      <c r="E10133" s="111" t="str">
        <f t="shared" si="10131"/>
        <v>Adams</v>
      </c>
    </row>
    <row r="10134" spans="1:5">
      <c r="A10134" s="3" t="s">
        <v>20677</v>
      </c>
      <c r="B10134" s="110" t="s">
        <v>188</v>
      </c>
      <c r="C10134" s="111" t="s">
        <v>1478</v>
      </c>
      <c r="D10134" s="111" t="str">
        <f t="shared" ref="D10134:E10134" si="10132">TRIM(B10134)</f>
        <v>New York</v>
      </c>
      <c r="E10134" s="111" t="str">
        <f t="shared" si="10132"/>
        <v>Addison</v>
      </c>
    </row>
    <row r="10135" spans="1:5">
      <c r="A10135" s="3" t="s">
        <v>20678</v>
      </c>
      <c r="B10135" s="110" t="s">
        <v>188</v>
      </c>
      <c r="C10135" s="111" t="s">
        <v>14683</v>
      </c>
      <c r="D10135" s="111" t="str">
        <f t="shared" ref="D10135:E10135" si="10133">TRIM(B10135)</f>
        <v>New York</v>
      </c>
      <c r="E10135" s="111" t="str">
        <f t="shared" si="10133"/>
        <v>Afton</v>
      </c>
    </row>
    <row r="10136" spans="1:5">
      <c r="A10136" s="3" t="s">
        <v>7571</v>
      </c>
      <c r="B10136" s="110" t="s">
        <v>188</v>
      </c>
      <c r="C10136" s="111" t="s">
        <v>614</v>
      </c>
      <c r="D10136" s="111" t="str">
        <f t="shared" ref="D10136:E10136" si="10134">TRIM(B10136)</f>
        <v>New York</v>
      </c>
      <c r="E10136" s="111" t="str">
        <f t="shared" si="10134"/>
        <v>Akron</v>
      </c>
    </row>
    <row r="10137" spans="1:5">
      <c r="A10137" s="3" t="s">
        <v>4305</v>
      </c>
      <c r="B10137" s="110" t="s">
        <v>188</v>
      </c>
      <c r="C10137" s="111" t="s">
        <v>182</v>
      </c>
      <c r="D10137" s="111" t="str">
        <f t="shared" ref="D10137:E10137" si="10135">TRIM(B10137)</f>
        <v>New York</v>
      </c>
      <c r="E10137" s="111" t="str">
        <f t="shared" si="10135"/>
        <v>Albany</v>
      </c>
    </row>
    <row r="10138" spans="1:5">
      <c r="A10138" s="3" t="s">
        <v>20679</v>
      </c>
      <c r="B10138" s="110" t="s">
        <v>188</v>
      </c>
      <c r="C10138" s="111" t="s">
        <v>182</v>
      </c>
      <c r="D10138" s="111" t="str">
        <f t="shared" ref="D10138:E10138" si="10136">TRIM(B10138)</f>
        <v>New York</v>
      </c>
      <c r="E10138" s="111" t="str">
        <f t="shared" si="10136"/>
        <v>Albany</v>
      </c>
    </row>
    <row r="10139" spans="1:5">
      <c r="A10139" s="3" t="s">
        <v>20680</v>
      </c>
      <c r="B10139" s="110" t="s">
        <v>188</v>
      </c>
      <c r="C10139" s="111" t="s">
        <v>182</v>
      </c>
      <c r="D10139" s="111" t="str">
        <f t="shared" ref="D10139:E10139" si="10137">TRIM(B10139)</f>
        <v>New York</v>
      </c>
      <c r="E10139" s="111" t="str">
        <f t="shared" si="10137"/>
        <v>Albany</v>
      </c>
    </row>
    <row r="10140" spans="1:5">
      <c r="A10140" s="3" t="s">
        <v>20681</v>
      </c>
      <c r="B10140" s="110" t="s">
        <v>188</v>
      </c>
      <c r="C10140" s="111" t="s">
        <v>182</v>
      </c>
      <c r="D10140" s="111" t="str">
        <f t="shared" ref="D10140:E10140" si="10138">TRIM(B10140)</f>
        <v>New York</v>
      </c>
      <c r="E10140" s="111" t="str">
        <f t="shared" si="10138"/>
        <v>Albany</v>
      </c>
    </row>
    <row r="10141" spans="1:5">
      <c r="A10141" s="3" t="s">
        <v>20682</v>
      </c>
      <c r="B10141" s="110" t="s">
        <v>188</v>
      </c>
      <c r="C10141" s="111" t="s">
        <v>11950</v>
      </c>
      <c r="D10141" s="111" t="str">
        <f t="shared" ref="D10141:E10141" si="10139">TRIM(B10141)</f>
        <v>New York</v>
      </c>
      <c r="E10141" s="111" t="str">
        <f t="shared" si="10139"/>
        <v>Albion</v>
      </c>
    </row>
    <row r="10142" spans="1:5">
      <c r="A10142" s="3" t="s">
        <v>20683</v>
      </c>
      <c r="B10142" s="110" t="s">
        <v>188</v>
      </c>
      <c r="C10142" s="111" t="s">
        <v>17706</v>
      </c>
      <c r="D10142" s="111" t="str">
        <f t="shared" ref="D10142:E10142" si="10140">TRIM(B10142)</f>
        <v>New York</v>
      </c>
      <c r="E10142" s="111" t="str">
        <f t="shared" si="10140"/>
        <v>Alden</v>
      </c>
    </row>
    <row r="10143" spans="1:5">
      <c r="A10143" s="3" t="s">
        <v>20684</v>
      </c>
      <c r="B10143" s="110" t="s">
        <v>188</v>
      </c>
      <c r="C10143" s="111" t="s">
        <v>20685</v>
      </c>
      <c r="D10143" s="111" t="str">
        <f t="shared" ref="D10143:E10143" si="10141">TRIM(B10143)</f>
        <v>New York</v>
      </c>
      <c r="E10143" s="111" t="str">
        <f t="shared" si="10141"/>
        <v>Alexander</v>
      </c>
    </row>
    <row r="10144" spans="1:5">
      <c r="A10144" s="3" t="s">
        <v>20686</v>
      </c>
      <c r="B10144" s="110" t="s">
        <v>188</v>
      </c>
      <c r="C10144" s="111" t="s">
        <v>20687</v>
      </c>
      <c r="D10144" s="111" t="str">
        <f t="shared" ref="D10144:E10144" si="10142">TRIM(B10144)</f>
        <v>New York</v>
      </c>
      <c r="E10144" s="111" t="str">
        <f t="shared" si="10142"/>
        <v>Alexandria Bay</v>
      </c>
    </row>
    <row r="10145" spans="1:5">
      <c r="A10145" s="3" t="s">
        <v>20688</v>
      </c>
      <c r="B10145" s="110" t="s">
        <v>188</v>
      </c>
      <c r="C10145" s="111" t="s">
        <v>20689</v>
      </c>
      <c r="D10145" s="111" t="str">
        <f t="shared" ref="D10145:E10145" si="10143">TRIM(B10145)</f>
        <v>New York</v>
      </c>
      <c r="E10145" s="111" t="str">
        <f t="shared" si="10143"/>
        <v>Allegany</v>
      </c>
    </row>
    <row r="10146" spans="1:5">
      <c r="A10146" s="3" t="s">
        <v>20690</v>
      </c>
      <c r="B10146" s="110" t="s">
        <v>188</v>
      </c>
      <c r="C10146" s="111" t="s">
        <v>20691</v>
      </c>
      <c r="D10146" s="111" t="str">
        <f t="shared" ref="D10146:E10146" si="10144">TRIM(B10146)</f>
        <v>New York</v>
      </c>
      <c r="E10146" s="111" t="str">
        <f t="shared" si="10144"/>
        <v>Almond</v>
      </c>
    </row>
    <row r="10147" spans="1:5">
      <c r="A10147" s="3" t="s">
        <v>20692</v>
      </c>
      <c r="B10147" s="110" t="s">
        <v>188</v>
      </c>
      <c r="C10147" s="112" t="s">
        <v>20693</v>
      </c>
      <c r="D10147" s="111" t="str">
        <f t="shared" ref="D10147:E10147" si="10145">TRIM(B10147)</f>
        <v>New York</v>
      </c>
      <c r="E10147" s="111" t="str">
        <f t="shared" si="10145"/>
        <v>Amenia</v>
      </c>
    </row>
    <row r="10148" spans="1:5">
      <c r="A10148" s="3" t="s">
        <v>20694</v>
      </c>
      <c r="B10148" s="110" t="s">
        <v>188</v>
      </c>
      <c r="C10148" s="111" t="s">
        <v>16546</v>
      </c>
      <c r="D10148" s="111" t="str">
        <f t="shared" ref="D10148:E10148" si="10146">TRIM(B10148)</f>
        <v>New York</v>
      </c>
      <c r="E10148" s="111" t="str">
        <f t="shared" si="10146"/>
        <v>Amherst</v>
      </c>
    </row>
    <row r="10149" spans="1:5">
      <c r="A10149" s="3" t="s">
        <v>20695</v>
      </c>
      <c r="B10149" s="110" t="s">
        <v>188</v>
      </c>
      <c r="C10149" s="111" t="s">
        <v>16546</v>
      </c>
      <c r="D10149" s="111" t="str">
        <f t="shared" ref="D10149:E10149" si="10147">TRIM(B10149)</f>
        <v>New York</v>
      </c>
      <c r="E10149" s="111" t="str">
        <f t="shared" si="10147"/>
        <v>Amherst</v>
      </c>
    </row>
    <row r="10150" spans="1:5">
      <c r="A10150" s="3" t="s">
        <v>20696</v>
      </c>
      <c r="B10150" s="110" t="s">
        <v>188</v>
      </c>
      <c r="C10150" s="111" t="s">
        <v>572</v>
      </c>
      <c r="D10150" s="111" t="str">
        <f t="shared" ref="D10150:E10150" si="10148">TRIM(B10150)</f>
        <v>New York</v>
      </c>
      <c r="E10150" s="111" t="str">
        <f t="shared" si="10148"/>
        <v>Amityville</v>
      </c>
    </row>
    <row r="10151" spans="1:5">
      <c r="A10151" s="3" t="s">
        <v>20697</v>
      </c>
      <c r="B10151" s="110" t="s">
        <v>188</v>
      </c>
      <c r="C10151" s="111" t="s">
        <v>20698</v>
      </c>
      <c r="D10151" s="111" t="str">
        <f t="shared" ref="D10151:E10151" si="10149">TRIM(B10151)</f>
        <v>New York</v>
      </c>
      <c r="E10151" s="111" t="str">
        <f t="shared" si="10149"/>
        <v>Amsterdam</v>
      </c>
    </row>
    <row r="10152" spans="1:5">
      <c r="A10152" s="3" t="s">
        <v>20699</v>
      </c>
      <c r="B10152" s="110" t="s">
        <v>188</v>
      </c>
      <c r="C10152" s="111" t="s">
        <v>14094</v>
      </c>
      <c r="D10152" s="111" t="str">
        <f t="shared" ref="D10152:E10152" si="10150">TRIM(B10152)</f>
        <v>New York</v>
      </c>
      <c r="E10152" s="111" t="str">
        <f t="shared" si="10150"/>
        <v>Angola</v>
      </c>
    </row>
    <row r="10153" spans="1:5">
      <c r="A10153" s="3" t="s">
        <v>20700</v>
      </c>
      <c r="B10153" s="110" t="s">
        <v>188</v>
      </c>
      <c r="C10153" s="111" t="s">
        <v>20701</v>
      </c>
      <c r="D10153" s="111" t="str">
        <f t="shared" ref="D10153:E10153" si="10151">TRIM(B10153)</f>
        <v>New York</v>
      </c>
      <c r="E10153" s="111" t="str">
        <f t="shared" si="10151"/>
        <v>Ardsley</v>
      </c>
    </row>
    <row r="10154" spans="1:5">
      <c r="A10154" s="3" t="s">
        <v>20702</v>
      </c>
      <c r="B10154" s="110" t="s">
        <v>188</v>
      </c>
      <c r="C10154" s="111" t="s">
        <v>1698</v>
      </c>
      <c r="D10154" s="111" t="str">
        <f t="shared" ref="D10154:E10154" si="10152">TRIM(B10154)</f>
        <v>New York</v>
      </c>
      <c r="E10154" s="111" t="str">
        <f t="shared" si="10152"/>
        <v>Argyle</v>
      </c>
    </row>
    <row r="10155" spans="1:5">
      <c r="A10155" s="3" t="s">
        <v>20703</v>
      </c>
      <c r="B10155" s="110" t="s">
        <v>188</v>
      </c>
      <c r="C10155" s="111" t="s">
        <v>20704</v>
      </c>
      <c r="D10155" s="111" t="str">
        <f t="shared" ref="D10155:E10155" si="10153">TRIM(B10155)</f>
        <v>New York</v>
      </c>
      <c r="E10155" s="111" t="str">
        <f t="shared" si="10153"/>
        <v>Armonk</v>
      </c>
    </row>
    <row r="10156" spans="1:5">
      <c r="A10156" s="3" t="s">
        <v>20705</v>
      </c>
      <c r="B10156" s="110" t="s">
        <v>188</v>
      </c>
      <c r="C10156" s="111" t="s">
        <v>14106</v>
      </c>
      <c r="D10156" s="111" t="str">
        <f t="shared" ref="D10156:E10156" si="10154">TRIM(B10156)</f>
        <v>New York</v>
      </c>
      <c r="E10156" s="111" t="str">
        <f t="shared" si="10154"/>
        <v>Attica</v>
      </c>
    </row>
    <row r="10157" spans="1:5">
      <c r="A10157" s="3" t="s">
        <v>1532</v>
      </c>
      <c r="B10157" s="110" t="s">
        <v>188</v>
      </c>
      <c r="C10157" s="111" t="s">
        <v>211</v>
      </c>
      <c r="D10157" s="111" t="str">
        <f t="shared" ref="D10157:E10157" si="10155">TRIM(B10157)</f>
        <v>New York</v>
      </c>
      <c r="E10157" s="111" t="str">
        <f t="shared" si="10155"/>
        <v>Auburn</v>
      </c>
    </row>
    <row r="10158" spans="1:5">
      <c r="A10158" s="110" t="s">
        <v>20706</v>
      </c>
      <c r="B10158" s="110" t="s">
        <v>188</v>
      </c>
      <c r="C10158" s="111" t="s">
        <v>353</v>
      </c>
      <c r="D10158" s="111" t="str">
        <f t="shared" ref="D10158:E10158" si="10156">TRIM(B10158)</f>
        <v>New York</v>
      </c>
      <c r="E10158" s="111" t="str">
        <f t="shared" si="10156"/>
        <v>Aurora</v>
      </c>
    </row>
    <row r="10159" spans="1:5">
      <c r="A10159" s="3" t="s">
        <v>20707</v>
      </c>
      <c r="B10159" s="110" t="s">
        <v>188</v>
      </c>
      <c r="C10159" s="111" t="s">
        <v>20708</v>
      </c>
      <c r="D10159" s="111" t="str">
        <f t="shared" ref="D10159:E10159" si="10157">TRIM(B10159)</f>
        <v>New York</v>
      </c>
      <c r="E10159" s="111" t="str">
        <f t="shared" si="10157"/>
        <v>Averill Park</v>
      </c>
    </row>
    <row r="10160" spans="1:5">
      <c r="A10160" s="3" t="s">
        <v>8330</v>
      </c>
      <c r="B10160" s="110" t="s">
        <v>188</v>
      </c>
      <c r="C10160" s="111" t="s">
        <v>8331</v>
      </c>
      <c r="D10160" s="111" t="str">
        <f t="shared" ref="D10160:E10160" si="10158">TRIM(B10160)</f>
        <v>New York</v>
      </c>
      <c r="E10160" s="111" t="str">
        <f t="shared" si="10158"/>
        <v>Avon</v>
      </c>
    </row>
    <row r="10161" spans="1:5">
      <c r="A10161" s="3" t="s">
        <v>20709</v>
      </c>
      <c r="B10161" s="110" t="s">
        <v>188</v>
      </c>
      <c r="C10161" s="111" t="s">
        <v>20710</v>
      </c>
      <c r="D10161" s="111" t="str">
        <f t="shared" ref="D10161:E10161" si="10159">TRIM(B10161)</f>
        <v>New York</v>
      </c>
      <c r="E10161" s="111" t="str">
        <f t="shared" si="10159"/>
        <v>Babylon</v>
      </c>
    </row>
    <row r="10162" spans="1:5">
      <c r="A10162" s="3" t="s">
        <v>20711</v>
      </c>
      <c r="B10162" s="110" t="s">
        <v>188</v>
      </c>
      <c r="C10162" s="111" t="s">
        <v>10420</v>
      </c>
      <c r="D10162" s="111" t="str">
        <f t="shared" ref="D10162:E10162" si="10160">TRIM(B10162)</f>
        <v>New York</v>
      </c>
      <c r="E10162" s="111" t="str">
        <f t="shared" si="10160"/>
        <v>Bainbridge</v>
      </c>
    </row>
    <row r="10163" spans="1:5">
      <c r="A10163" s="3" t="s">
        <v>16957</v>
      </c>
      <c r="B10163" s="110" t="s">
        <v>188</v>
      </c>
      <c r="C10163" s="111" t="s">
        <v>8950</v>
      </c>
      <c r="D10163" s="111" t="str">
        <f t="shared" ref="D10163:E10163" si="10161">TRIM(B10163)</f>
        <v>New York</v>
      </c>
      <c r="E10163" s="111" t="str">
        <f t="shared" si="10161"/>
        <v>Baldwin</v>
      </c>
    </row>
    <row r="10164" spans="1:5">
      <c r="A10164" s="3" t="s">
        <v>20712</v>
      </c>
      <c r="B10164" s="110" t="s">
        <v>188</v>
      </c>
      <c r="C10164" s="111" t="s">
        <v>20713</v>
      </c>
      <c r="D10164" s="111" t="str">
        <f t="shared" ref="D10164:E10164" si="10162">TRIM(B10164)</f>
        <v>New York</v>
      </c>
      <c r="E10164" s="111" t="str">
        <f t="shared" si="10162"/>
        <v>Baldwinsville</v>
      </c>
    </row>
    <row r="10165" spans="1:5">
      <c r="A10165" s="3" t="s">
        <v>20714</v>
      </c>
      <c r="B10165" s="110" t="s">
        <v>188</v>
      </c>
      <c r="C10165" s="111" t="s">
        <v>376</v>
      </c>
      <c r="D10165" s="111" t="str">
        <f t="shared" ref="D10165:E10165" si="10163">TRIM(B10165)</f>
        <v>New York</v>
      </c>
      <c r="E10165" s="111" t="str">
        <f t="shared" si="10163"/>
        <v>Ballston Spa</v>
      </c>
    </row>
    <row r="10166" spans="1:5">
      <c r="A10166" s="3" t="s">
        <v>20715</v>
      </c>
      <c r="B10166" s="110" t="s">
        <v>188</v>
      </c>
      <c r="C10166" s="111" t="s">
        <v>20716</v>
      </c>
      <c r="D10166" s="111" t="str">
        <f t="shared" ref="D10166:E10166" si="10164">TRIM(B10166)</f>
        <v>New York</v>
      </c>
      <c r="E10166" s="111" t="str">
        <f t="shared" si="10164"/>
        <v>Barker</v>
      </c>
    </row>
    <row r="10167" spans="1:5">
      <c r="A10167" s="3" t="s">
        <v>20717</v>
      </c>
      <c r="B10167" s="110" t="s">
        <v>188</v>
      </c>
      <c r="C10167" s="111" t="s">
        <v>12041</v>
      </c>
      <c r="D10167" s="111" t="str">
        <f t="shared" ref="D10167:E10167" si="10165">TRIM(B10167)</f>
        <v>New York</v>
      </c>
      <c r="E10167" s="111" t="str">
        <f t="shared" si="10165"/>
        <v>Batavia</v>
      </c>
    </row>
    <row r="10168" spans="1:5">
      <c r="A10168" s="3" t="s">
        <v>20718</v>
      </c>
      <c r="B10168" s="110" t="s">
        <v>188</v>
      </c>
      <c r="C10168" s="111" t="s">
        <v>16170</v>
      </c>
      <c r="D10168" s="111" t="str">
        <f t="shared" ref="D10168:E10168" si="10166">TRIM(B10168)</f>
        <v>New York</v>
      </c>
      <c r="E10168" s="111" t="str">
        <f t="shared" si="10166"/>
        <v>Bath</v>
      </c>
    </row>
    <row r="10169" spans="1:5">
      <c r="A10169" s="3" t="s">
        <v>20719</v>
      </c>
      <c r="B10169" s="110" t="s">
        <v>188</v>
      </c>
      <c r="C10169" s="111" t="s">
        <v>20720</v>
      </c>
      <c r="D10169" s="111" t="str">
        <f t="shared" ref="D10169:E10169" si="10167">TRIM(B10169)</f>
        <v>New York</v>
      </c>
      <c r="E10169" s="111" t="str">
        <f t="shared" si="10167"/>
        <v>Bay Shore</v>
      </c>
    </row>
    <row r="10170" spans="1:5">
      <c r="A10170" s="3" t="s">
        <v>20721</v>
      </c>
      <c r="B10170" s="110" t="s">
        <v>188</v>
      </c>
      <c r="C10170" s="111" t="s">
        <v>20722</v>
      </c>
      <c r="D10170" s="111" t="str">
        <f t="shared" ref="D10170:E10170" si="10168">TRIM(B10170)</f>
        <v>New York</v>
      </c>
      <c r="E10170" s="111" t="str">
        <f t="shared" si="10168"/>
        <v>Bayport</v>
      </c>
    </row>
    <row r="10171" spans="1:5">
      <c r="A10171" s="3" t="s">
        <v>9890</v>
      </c>
      <c r="B10171" s="110" t="s">
        <v>188</v>
      </c>
      <c r="C10171" s="111" t="s">
        <v>20723</v>
      </c>
      <c r="D10171" s="111" t="str">
        <f t="shared" ref="D10171:E10171" si="10169">TRIM(B10171)</f>
        <v>New York</v>
      </c>
      <c r="E10171" s="111" t="str">
        <f t="shared" si="10169"/>
        <v>Bayside</v>
      </c>
    </row>
    <row r="10172" spans="1:5">
      <c r="A10172" s="3" t="s">
        <v>20724</v>
      </c>
      <c r="B10172" s="110" t="s">
        <v>188</v>
      </c>
      <c r="C10172" s="111" t="s">
        <v>20723</v>
      </c>
      <c r="D10172" s="111" t="str">
        <f t="shared" ref="D10172:E10172" si="10170">TRIM(B10172)</f>
        <v>New York</v>
      </c>
      <c r="E10172" s="111" t="str">
        <f t="shared" si="10170"/>
        <v>Bayside</v>
      </c>
    </row>
    <row r="10173" spans="1:5">
      <c r="A10173" s="3" t="s">
        <v>20725</v>
      </c>
      <c r="B10173" s="110" t="s">
        <v>188</v>
      </c>
      <c r="C10173" s="111" t="s">
        <v>20726</v>
      </c>
      <c r="D10173" s="111" t="str">
        <f t="shared" ref="D10173:E10173" si="10171">TRIM(B10173)</f>
        <v>New York</v>
      </c>
      <c r="E10173" s="111" t="str">
        <f t="shared" si="10171"/>
        <v>Beacon</v>
      </c>
    </row>
    <row r="10174" spans="1:5">
      <c r="A10174" s="3" t="s">
        <v>20727</v>
      </c>
      <c r="B10174" s="110" t="s">
        <v>188</v>
      </c>
      <c r="C10174" s="111" t="s">
        <v>20728</v>
      </c>
      <c r="D10174" s="111" t="str">
        <f t="shared" ref="D10174:E10174" si="10172">TRIM(B10174)</f>
        <v>New York</v>
      </c>
      <c r="E10174" s="111" t="str">
        <f t="shared" si="10172"/>
        <v>Beaver Falls</v>
      </c>
    </row>
    <row r="10175" spans="1:5">
      <c r="A10175" s="3" t="s">
        <v>20729</v>
      </c>
      <c r="B10175" s="110" t="s">
        <v>188</v>
      </c>
      <c r="C10175" s="111" t="s">
        <v>14119</v>
      </c>
      <c r="D10175" s="111" t="str">
        <f t="shared" ref="D10175:E10175" si="10173">TRIM(B10175)</f>
        <v>New York</v>
      </c>
      <c r="E10175" s="111" t="str">
        <f t="shared" si="10173"/>
        <v>Bedford</v>
      </c>
    </row>
    <row r="10176" spans="1:5">
      <c r="A10176" s="3" t="s">
        <v>20730</v>
      </c>
      <c r="B10176" s="110" t="s">
        <v>188</v>
      </c>
      <c r="C10176" s="111" t="s">
        <v>20731</v>
      </c>
      <c r="D10176" s="111" t="str">
        <f t="shared" ref="D10176:E10176" si="10174">TRIM(B10176)</f>
        <v>New York</v>
      </c>
      <c r="E10176" s="111" t="str">
        <f t="shared" si="10174"/>
        <v>Bellerose</v>
      </c>
    </row>
    <row r="10177" spans="1:5">
      <c r="A10177" s="3" t="s">
        <v>7824</v>
      </c>
      <c r="B10177" s="110" t="s">
        <v>188</v>
      </c>
      <c r="C10177" s="112" t="s">
        <v>20732</v>
      </c>
      <c r="D10177" s="111" t="str">
        <f t="shared" ref="D10177:E10177" si="10175">TRIM(B10177)</f>
        <v>New York</v>
      </c>
      <c r="E10177" s="111" t="str">
        <f t="shared" si="10175"/>
        <v>Bellmore</v>
      </c>
    </row>
    <row r="10178" spans="1:5">
      <c r="A10178" s="3" t="s">
        <v>20733</v>
      </c>
      <c r="B10178" s="110" t="s">
        <v>188</v>
      </c>
      <c r="C10178" s="111" t="s">
        <v>20732</v>
      </c>
      <c r="D10178" s="111" t="str">
        <f t="shared" ref="D10178:E10178" si="10176">TRIM(B10178)</f>
        <v>New York</v>
      </c>
      <c r="E10178" s="111" t="str">
        <f t="shared" si="10176"/>
        <v>Bellmore</v>
      </c>
    </row>
    <row r="10179" spans="1:5">
      <c r="A10179" s="3" t="s">
        <v>20734</v>
      </c>
      <c r="B10179" s="110" t="s">
        <v>188</v>
      </c>
      <c r="C10179" s="111" t="s">
        <v>20735</v>
      </c>
      <c r="D10179" s="111" t="str">
        <f t="shared" ref="D10179:E10179" si="10177">TRIM(B10179)</f>
        <v>New York</v>
      </c>
      <c r="E10179" s="111" t="str">
        <f t="shared" si="10177"/>
        <v>Bemus Point</v>
      </c>
    </row>
    <row r="10180" spans="1:5">
      <c r="A10180" s="3" t="s">
        <v>20736</v>
      </c>
      <c r="B10180" s="110" t="s">
        <v>188</v>
      </c>
      <c r="C10180" s="111" t="s">
        <v>20737</v>
      </c>
      <c r="D10180" s="111" t="str">
        <f t="shared" ref="D10180:E10180" si="10178">TRIM(B10180)</f>
        <v>New York</v>
      </c>
      <c r="E10180" s="111" t="str">
        <f t="shared" si="10178"/>
        <v>Bergen</v>
      </c>
    </row>
    <row r="10181" spans="1:5">
      <c r="A10181" s="3" t="s">
        <v>20738</v>
      </c>
      <c r="B10181" s="110" t="s">
        <v>188</v>
      </c>
      <c r="C10181" s="111" t="s">
        <v>14127</v>
      </c>
      <c r="D10181" s="111" t="str">
        <f t="shared" ref="D10181:E10181" si="10179">TRIM(B10181)</f>
        <v>New York</v>
      </c>
      <c r="E10181" s="111" t="str">
        <f t="shared" si="10179"/>
        <v>Berne</v>
      </c>
    </row>
    <row r="10182" spans="1:5">
      <c r="A10182" s="3" t="s">
        <v>20739</v>
      </c>
      <c r="B10182" s="110" t="s">
        <v>188</v>
      </c>
      <c r="C10182" s="111" t="s">
        <v>20740</v>
      </c>
      <c r="D10182" s="111" t="str">
        <f t="shared" ref="D10182:E10182" si="10180">TRIM(B10182)</f>
        <v>New York</v>
      </c>
      <c r="E10182" s="111" t="str">
        <f t="shared" si="10180"/>
        <v>Bethpage</v>
      </c>
    </row>
    <row r="10183" spans="1:5">
      <c r="A10183" s="3" t="s">
        <v>20741</v>
      </c>
      <c r="B10183" s="110" t="s">
        <v>188</v>
      </c>
      <c r="C10183" s="111" t="s">
        <v>20742</v>
      </c>
      <c r="D10183" s="111" t="str">
        <f t="shared" ref="D10183:E10183" si="10181">TRIM(B10183)</f>
        <v>New York</v>
      </c>
      <c r="E10183" s="111" t="str">
        <f t="shared" si="10181"/>
        <v>Binghamton</v>
      </c>
    </row>
    <row r="10184" spans="1:5">
      <c r="A10184" s="3" t="s">
        <v>20743</v>
      </c>
      <c r="B10184" s="110" t="s">
        <v>188</v>
      </c>
      <c r="C10184" s="111" t="s">
        <v>20742</v>
      </c>
      <c r="D10184" s="111" t="str">
        <f t="shared" ref="D10184:E10184" si="10182">TRIM(B10184)</f>
        <v>New York</v>
      </c>
      <c r="E10184" s="111" t="str">
        <f t="shared" si="10182"/>
        <v>Binghamton</v>
      </c>
    </row>
    <row r="10185" spans="1:5">
      <c r="A10185" s="3" t="s">
        <v>20744</v>
      </c>
      <c r="B10185" s="110" t="s">
        <v>188</v>
      </c>
      <c r="C10185" s="111" t="s">
        <v>20742</v>
      </c>
      <c r="D10185" s="111" t="str">
        <f t="shared" ref="D10185:E10185" si="10183">TRIM(B10185)</f>
        <v>New York</v>
      </c>
      <c r="E10185" s="111" t="str">
        <f t="shared" si="10183"/>
        <v>Binghamton</v>
      </c>
    </row>
    <row r="10186" spans="1:5">
      <c r="A10186" s="3" t="s">
        <v>8342</v>
      </c>
      <c r="B10186" s="110" t="s">
        <v>188</v>
      </c>
      <c r="C10186" s="111" t="s">
        <v>8344</v>
      </c>
      <c r="D10186" s="111" t="str">
        <f t="shared" ref="D10186:E10186" si="10184">TRIM(B10186)</f>
        <v>New York</v>
      </c>
      <c r="E10186" s="111" t="str">
        <f t="shared" si="10184"/>
        <v>Bloomfield</v>
      </c>
    </row>
    <row r="10187" spans="1:5">
      <c r="A10187" s="3" t="s">
        <v>20745</v>
      </c>
      <c r="B10187" s="110" t="s">
        <v>188</v>
      </c>
      <c r="C10187" s="111" t="s">
        <v>20746</v>
      </c>
      <c r="D10187" s="111" t="str">
        <f t="shared" ref="D10187:E10187" si="10185">TRIM(B10187)</f>
        <v>New York</v>
      </c>
      <c r="E10187" s="111" t="str">
        <f t="shared" si="10185"/>
        <v>Bohemia</v>
      </c>
    </row>
    <row r="10188" spans="1:5">
      <c r="A10188" s="3" t="s">
        <v>20747</v>
      </c>
      <c r="B10188" s="110" t="s">
        <v>188</v>
      </c>
      <c r="C10188" s="111" t="s">
        <v>20748</v>
      </c>
      <c r="D10188" s="111" t="str">
        <f t="shared" ref="D10188:E10188" si="10186">TRIM(B10188)</f>
        <v>New York</v>
      </c>
      <c r="E10188" s="111" t="str">
        <f t="shared" si="10186"/>
        <v>Boiceville</v>
      </c>
    </row>
    <row r="10189" spans="1:5">
      <c r="A10189" s="3" t="s">
        <v>20749</v>
      </c>
      <c r="B10189" s="110" t="s">
        <v>188</v>
      </c>
      <c r="C10189" s="111" t="s">
        <v>6989</v>
      </c>
      <c r="D10189" s="111" t="str">
        <f t="shared" ref="D10189:E10189" si="10187">TRIM(B10189)</f>
        <v>New York</v>
      </c>
      <c r="E10189" s="111" t="str">
        <f t="shared" si="10187"/>
        <v>Bolivar</v>
      </c>
    </row>
    <row r="10190" spans="1:5">
      <c r="A10190" s="3" t="s">
        <v>20750</v>
      </c>
      <c r="B10190" s="110" t="s">
        <v>188</v>
      </c>
      <c r="C10190" s="111" t="s">
        <v>4505</v>
      </c>
      <c r="D10190" s="111" t="str">
        <f t="shared" ref="D10190:E10190" si="10188">TRIM(B10190)</f>
        <v>New York</v>
      </c>
      <c r="E10190" s="111" t="str">
        <f t="shared" si="10188"/>
        <v>Boonville</v>
      </c>
    </row>
    <row r="10191" spans="1:5">
      <c r="A10191" s="3" t="s">
        <v>20751</v>
      </c>
      <c r="B10191" s="110" t="s">
        <v>188</v>
      </c>
      <c r="C10191" s="111" t="s">
        <v>20752</v>
      </c>
      <c r="D10191" s="111" t="str">
        <f t="shared" ref="D10191:E10191" si="10189">TRIM(B10191)</f>
        <v>New York</v>
      </c>
      <c r="E10191" s="111" t="str">
        <f t="shared" si="10189"/>
        <v>Brasher Falls</v>
      </c>
    </row>
    <row r="10192" spans="1:5">
      <c r="A10192" s="3" t="s">
        <v>18652</v>
      </c>
      <c r="B10192" s="110" t="s">
        <v>188</v>
      </c>
      <c r="C10192" s="111" t="s">
        <v>3554</v>
      </c>
      <c r="D10192" s="111" t="str">
        <f t="shared" ref="D10192:E10192" si="10190">TRIM(B10192)</f>
        <v>New York</v>
      </c>
      <c r="E10192" s="111" t="str">
        <f t="shared" si="10190"/>
        <v>Brentwood</v>
      </c>
    </row>
    <row r="10193" spans="1:5">
      <c r="A10193" s="3" t="s">
        <v>15187</v>
      </c>
      <c r="B10193" s="110" t="s">
        <v>188</v>
      </c>
      <c r="C10193" s="111" t="s">
        <v>7198</v>
      </c>
      <c r="D10193" s="111" t="str">
        <f t="shared" ref="D10193:E10193" si="10191">TRIM(B10193)</f>
        <v>New York</v>
      </c>
      <c r="E10193" s="111" t="str">
        <f t="shared" si="10191"/>
        <v>Brewster</v>
      </c>
    </row>
    <row r="10194" spans="1:5">
      <c r="A10194" s="3" t="s">
        <v>20753</v>
      </c>
      <c r="B10194" s="110" t="s">
        <v>188</v>
      </c>
      <c r="C10194" s="111" t="s">
        <v>20754</v>
      </c>
      <c r="D10194" s="111" t="str">
        <f t="shared" ref="D10194:E10194" si="10192">TRIM(B10194)</f>
        <v>New York</v>
      </c>
      <c r="E10194" s="111" t="str">
        <f t="shared" si="10192"/>
        <v>Briarcliff Manor</v>
      </c>
    </row>
    <row r="10195" spans="1:5">
      <c r="A10195" s="3" t="s">
        <v>20755</v>
      </c>
      <c r="B10195" s="110" t="s">
        <v>188</v>
      </c>
      <c r="C10195" s="111" t="s">
        <v>20756</v>
      </c>
      <c r="D10195" s="111" t="str">
        <f t="shared" ref="D10195:E10195" si="10193">TRIM(B10195)</f>
        <v>New York</v>
      </c>
      <c r="E10195" s="111" t="str">
        <f t="shared" si="10193"/>
        <v>Broadalbin</v>
      </c>
    </row>
    <row r="10196" spans="1:5">
      <c r="A10196" s="3" t="s">
        <v>20757</v>
      </c>
      <c r="B10196" s="110" t="s">
        <v>188</v>
      </c>
      <c r="C10196" s="111" t="s">
        <v>20758</v>
      </c>
      <c r="D10196" s="111" t="str">
        <f t="shared" ref="D10196:E10196" si="10194">TRIM(B10196)</f>
        <v>New York</v>
      </c>
      <c r="E10196" s="111" t="str">
        <f t="shared" si="10194"/>
        <v>Brockport</v>
      </c>
    </row>
    <row r="10197" spans="1:5">
      <c r="A10197" s="3" t="s">
        <v>20759</v>
      </c>
      <c r="B10197" s="110" t="s">
        <v>188</v>
      </c>
      <c r="C10197" s="111" t="s">
        <v>20760</v>
      </c>
      <c r="D10197" s="111" t="str">
        <f t="shared" ref="D10197:E10197" si="10195">TRIM(B10197)</f>
        <v>New York</v>
      </c>
      <c r="E10197" s="111" t="str">
        <f t="shared" si="10195"/>
        <v>Brocton</v>
      </c>
    </row>
    <row r="10198" spans="1:5">
      <c r="A10198" s="3" t="s">
        <v>20761</v>
      </c>
      <c r="B10198" s="110" t="s">
        <v>188</v>
      </c>
      <c r="C10198" s="111" t="s">
        <v>553</v>
      </c>
      <c r="D10198" s="111" t="str">
        <f t="shared" ref="D10198:E10198" si="10196">TRIM(B10198)</f>
        <v>New York</v>
      </c>
      <c r="E10198" s="111" t="str">
        <f t="shared" si="10196"/>
        <v>Bronx</v>
      </c>
    </row>
    <row r="10199" spans="1:5">
      <c r="A10199" s="3" t="s">
        <v>20762</v>
      </c>
      <c r="B10199" s="110" t="s">
        <v>188</v>
      </c>
      <c r="C10199" s="111" t="s">
        <v>553</v>
      </c>
      <c r="D10199" s="111" t="str">
        <f t="shared" ref="D10199:E10199" si="10197">TRIM(B10199)</f>
        <v>New York</v>
      </c>
      <c r="E10199" s="111" t="str">
        <f t="shared" si="10197"/>
        <v>Bronx</v>
      </c>
    </row>
    <row r="10200" spans="1:5">
      <c r="A10200" s="3" t="s">
        <v>20763</v>
      </c>
      <c r="B10200" s="110" t="s">
        <v>188</v>
      </c>
      <c r="C10200" s="111" t="s">
        <v>553</v>
      </c>
      <c r="D10200" s="111" t="str">
        <f t="shared" ref="D10200:E10200" si="10198">TRIM(B10200)</f>
        <v>New York</v>
      </c>
      <c r="E10200" s="111" t="str">
        <f t="shared" si="10198"/>
        <v>Bronx</v>
      </c>
    </row>
    <row r="10201" spans="1:5">
      <c r="A10201" s="3" t="s">
        <v>20764</v>
      </c>
      <c r="B10201" s="110" t="s">
        <v>188</v>
      </c>
      <c r="C10201" s="111" t="s">
        <v>553</v>
      </c>
      <c r="D10201" s="111" t="str">
        <f t="shared" ref="D10201:E10201" si="10199">TRIM(B10201)</f>
        <v>New York</v>
      </c>
      <c r="E10201" s="111" t="str">
        <f t="shared" si="10199"/>
        <v>Bronx</v>
      </c>
    </row>
    <row r="10202" spans="1:5">
      <c r="A10202" s="3" t="s">
        <v>20765</v>
      </c>
      <c r="B10202" s="110" t="s">
        <v>188</v>
      </c>
      <c r="C10202" s="111" t="s">
        <v>553</v>
      </c>
      <c r="D10202" s="111" t="str">
        <f t="shared" ref="D10202:E10202" si="10200">TRIM(B10202)</f>
        <v>New York</v>
      </c>
      <c r="E10202" s="111" t="str">
        <f t="shared" si="10200"/>
        <v>Bronx</v>
      </c>
    </row>
    <row r="10203" spans="1:5">
      <c r="A10203" s="3" t="s">
        <v>20766</v>
      </c>
      <c r="B10203" s="110" t="s">
        <v>188</v>
      </c>
      <c r="C10203" s="111" t="s">
        <v>553</v>
      </c>
      <c r="D10203" s="111" t="str">
        <f t="shared" ref="D10203:E10203" si="10201">TRIM(B10203)</f>
        <v>New York</v>
      </c>
      <c r="E10203" s="111" t="str">
        <f t="shared" si="10201"/>
        <v>Bronx</v>
      </c>
    </row>
    <row r="10204" spans="1:5">
      <c r="A10204" s="3" t="s">
        <v>20767</v>
      </c>
      <c r="B10204" s="110" t="s">
        <v>188</v>
      </c>
      <c r="C10204" s="111" t="s">
        <v>553</v>
      </c>
      <c r="D10204" s="111" t="str">
        <f t="shared" ref="D10204:E10204" si="10202">TRIM(B10204)</f>
        <v>New York</v>
      </c>
      <c r="E10204" s="111" t="str">
        <f t="shared" si="10202"/>
        <v>Bronx</v>
      </c>
    </row>
    <row r="10205" spans="1:5">
      <c r="A10205" s="3" t="s">
        <v>20768</v>
      </c>
      <c r="B10205" s="110" t="s">
        <v>188</v>
      </c>
      <c r="C10205" s="111" t="s">
        <v>553</v>
      </c>
      <c r="D10205" s="111" t="str">
        <f t="shared" ref="D10205:E10205" si="10203">TRIM(B10205)</f>
        <v>New York</v>
      </c>
      <c r="E10205" s="111" t="str">
        <f t="shared" si="10203"/>
        <v>Bronx</v>
      </c>
    </row>
    <row r="10206" spans="1:5">
      <c r="A10206" s="3" t="s">
        <v>20769</v>
      </c>
      <c r="B10206" s="110" t="s">
        <v>188</v>
      </c>
      <c r="C10206" s="112" t="s">
        <v>553</v>
      </c>
      <c r="D10206" s="111" t="str">
        <f t="shared" ref="D10206:E10206" si="10204">TRIM(B10206)</f>
        <v>New York</v>
      </c>
      <c r="E10206" s="111" t="str">
        <f t="shared" si="10204"/>
        <v>Bronx</v>
      </c>
    </row>
    <row r="10207" spans="1:5">
      <c r="A10207" s="3" t="s">
        <v>20770</v>
      </c>
      <c r="B10207" s="110" t="s">
        <v>188</v>
      </c>
      <c r="C10207" s="111" t="s">
        <v>553</v>
      </c>
      <c r="D10207" s="111" t="str">
        <f t="shared" ref="D10207:E10207" si="10205">TRIM(B10207)</f>
        <v>New York</v>
      </c>
      <c r="E10207" s="111" t="str">
        <f t="shared" si="10205"/>
        <v>Bronx</v>
      </c>
    </row>
    <row r="10208" spans="1:5">
      <c r="A10208" s="3" t="s">
        <v>20771</v>
      </c>
      <c r="B10208" s="110" t="s">
        <v>188</v>
      </c>
      <c r="C10208" s="111" t="s">
        <v>553</v>
      </c>
      <c r="D10208" s="111" t="str">
        <f t="shared" ref="D10208:E10208" si="10206">TRIM(B10208)</f>
        <v>New York</v>
      </c>
      <c r="E10208" s="111" t="str">
        <f t="shared" si="10206"/>
        <v>Bronx</v>
      </c>
    </row>
    <row r="10209" spans="1:5">
      <c r="A10209" s="3" t="s">
        <v>20772</v>
      </c>
      <c r="B10209" s="110" t="s">
        <v>188</v>
      </c>
      <c r="C10209" s="111" t="s">
        <v>553</v>
      </c>
      <c r="D10209" s="111" t="str">
        <f t="shared" ref="D10209:E10209" si="10207">TRIM(B10209)</f>
        <v>New York</v>
      </c>
      <c r="E10209" s="111" t="str">
        <f t="shared" si="10207"/>
        <v>Bronx</v>
      </c>
    </row>
    <row r="10210" spans="1:5">
      <c r="A10210" s="110" t="s">
        <v>20773</v>
      </c>
      <c r="B10210" s="110" t="s">
        <v>188</v>
      </c>
      <c r="C10210" s="111" t="s">
        <v>553</v>
      </c>
      <c r="D10210" s="111" t="str">
        <f t="shared" ref="D10210:E10210" si="10208">TRIM(B10210)</f>
        <v>New York</v>
      </c>
      <c r="E10210" s="111" t="str">
        <f t="shared" si="10208"/>
        <v>Bronx</v>
      </c>
    </row>
    <row r="10211" spans="1:5">
      <c r="A10211" s="3" t="s">
        <v>20774</v>
      </c>
      <c r="B10211" s="110" t="s">
        <v>188</v>
      </c>
      <c r="C10211" s="111" t="s">
        <v>553</v>
      </c>
      <c r="D10211" s="111" t="str">
        <f t="shared" ref="D10211:E10211" si="10209">TRIM(B10211)</f>
        <v>New York</v>
      </c>
      <c r="E10211" s="111" t="str">
        <f t="shared" si="10209"/>
        <v>Bronx</v>
      </c>
    </row>
    <row r="10212" spans="1:5">
      <c r="A10212" s="3" t="s">
        <v>20775</v>
      </c>
      <c r="B10212" s="110" t="s">
        <v>188</v>
      </c>
      <c r="C10212" s="111" t="s">
        <v>553</v>
      </c>
      <c r="D10212" s="111" t="str">
        <f t="shared" ref="D10212:E10212" si="10210">TRIM(B10212)</f>
        <v>New York</v>
      </c>
      <c r="E10212" s="111" t="str">
        <f t="shared" si="10210"/>
        <v>Bronx</v>
      </c>
    </row>
    <row r="10213" spans="1:5">
      <c r="A10213" s="3" t="s">
        <v>20776</v>
      </c>
      <c r="B10213" s="110" t="s">
        <v>188</v>
      </c>
      <c r="C10213" s="111" t="s">
        <v>553</v>
      </c>
      <c r="D10213" s="111" t="str">
        <f t="shared" ref="D10213:E10213" si="10211">TRIM(B10213)</f>
        <v>New York</v>
      </c>
      <c r="E10213" s="111" t="str">
        <f t="shared" si="10211"/>
        <v>Bronx</v>
      </c>
    </row>
    <row r="10214" spans="1:5">
      <c r="A10214" s="3" t="s">
        <v>20777</v>
      </c>
      <c r="B10214" s="110" t="s">
        <v>188</v>
      </c>
      <c r="C10214" s="111" t="s">
        <v>553</v>
      </c>
      <c r="D10214" s="111" t="str">
        <f t="shared" ref="D10214:E10214" si="10212">TRIM(B10214)</f>
        <v>New York</v>
      </c>
      <c r="E10214" s="111" t="str">
        <f t="shared" si="10212"/>
        <v>Bronx</v>
      </c>
    </row>
    <row r="10215" spans="1:5">
      <c r="A10215" s="3" t="s">
        <v>20778</v>
      </c>
      <c r="B10215" s="110" t="s">
        <v>188</v>
      </c>
      <c r="C10215" s="111" t="s">
        <v>553</v>
      </c>
      <c r="D10215" s="111" t="str">
        <f t="shared" ref="D10215:E10215" si="10213">TRIM(B10215)</f>
        <v>New York</v>
      </c>
      <c r="E10215" s="111" t="str">
        <f t="shared" si="10213"/>
        <v>Bronx</v>
      </c>
    </row>
    <row r="10216" spans="1:5">
      <c r="A10216" s="3" t="s">
        <v>20779</v>
      </c>
      <c r="B10216" s="110" t="s">
        <v>188</v>
      </c>
      <c r="C10216" s="111" t="s">
        <v>553</v>
      </c>
      <c r="D10216" s="111" t="str">
        <f t="shared" ref="D10216:E10216" si="10214">TRIM(B10216)</f>
        <v>New York</v>
      </c>
      <c r="E10216" s="111" t="str">
        <f t="shared" si="10214"/>
        <v>Bronx</v>
      </c>
    </row>
    <row r="10217" spans="1:5">
      <c r="A10217" s="3" t="s">
        <v>20780</v>
      </c>
      <c r="B10217" s="110" t="s">
        <v>188</v>
      </c>
      <c r="C10217" s="111" t="s">
        <v>553</v>
      </c>
      <c r="D10217" s="111" t="str">
        <f t="shared" ref="D10217:E10217" si="10215">TRIM(B10217)</f>
        <v>New York</v>
      </c>
      <c r="E10217" s="111" t="str">
        <f t="shared" si="10215"/>
        <v>Bronx</v>
      </c>
    </row>
    <row r="10218" spans="1:5">
      <c r="A10218" s="3" t="s">
        <v>20781</v>
      </c>
      <c r="B10218" s="110" t="s">
        <v>188</v>
      </c>
      <c r="C10218" s="111" t="s">
        <v>553</v>
      </c>
      <c r="D10218" s="111" t="str">
        <f t="shared" ref="D10218:E10218" si="10216">TRIM(B10218)</f>
        <v>New York</v>
      </c>
      <c r="E10218" s="111" t="str">
        <f t="shared" si="10216"/>
        <v>Bronx</v>
      </c>
    </row>
    <row r="10219" spans="1:5">
      <c r="A10219" s="3" t="s">
        <v>20782</v>
      </c>
      <c r="B10219" s="110" t="s">
        <v>188</v>
      </c>
      <c r="C10219" s="111" t="s">
        <v>553</v>
      </c>
      <c r="D10219" s="111" t="str">
        <f t="shared" ref="D10219:E10219" si="10217">TRIM(B10219)</f>
        <v>New York</v>
      </c>
      <c r="E10219" s="111" t="str">
        <f t="shared" si="10217"/>
        <v>Bronx</v>
      </c>
    </row>
    <row r="10220" spans="1:5">
      <c r="A10220" s="3" t="s">
        <v>20783</v>
      </c>
      <c r="B10220" s="110" t="s">
        <v>188</v>
      </c>
      <c r="C10220" s="111" t="s">
        <v>553</v>
      </c>
      <c r="D10220" s="111" t="str">
        <f t="shared" ref="D10220:E10220" si="10218">TRIM(B10220)</f>
        <v>New York</v>
      </c>
      <c r="E10220" s="111" t="str">
        <f t="shared" si="10218"/>
        <v>Bronx</v>
      </c>
    </row>
    <row r="10221" spans="1:5">
      <c r="A10221" s="3" t="s">
        <v>20784</v>
      </c>
      <c r="B10221" s="110" t="s">
        <v>188</v>
      </c>
      <c r="C10221" s="111" t="s">
        <v>553</v>
      </c>
      <c r="D10221" s="111" t="str">
        <f t="shared" ref="D10221:E10221" si="10219">TRIM(B10221)</f>
        <v>New York</v>
      </c>
      <c r="E10221" s="111" t="str">
        <f t="shared" si="10219"/>
        <v>Bronx</v>
      </c>
    </row>
    <row r="10222" spans="1:5">
      <c r="A10222" s="3" t="s">
        <v>20785</v>
      </c>
      <c r="B10222" s="110" t="s">
        <v>188</v>
      </c>
      <c r="C10222" s="111" t="s">
        <v>553</v>
      </c>
      <c r="D10222" s="111" t="str">
        <f t="shared" ref="D10222:E10222" si="10220">TRIM(B10222)</f>
        <v>New York</v>
      </c>
      <c r="E10222" s="111" t="str">
        <f t="shared" si="10220"/>
        <v>Bronx</v>
      </c>
    </row>
    <row r="10223" spans="1:5">
      <c r="A10223" s="3" t="s">
        <v>20786</v>
      </c>
      <c r="B10223" s="110" t="s">
        <v>188</v>
      </c>
      <c r="C10223" s="111" t="s">
        <v>553</v>
      </c>
      <c r="D10223" s="111" t="str">
        <f t="shared" ref="D10223:E10223" si="10221">TRIM(B10223)</f>
        <v>New York</v>
      </c>
      <c r="E10223" s="111" t="str">
        <f t="shared" si="10221"/>
        <v>Bronx</v>
      </c>
    </row>
    <row r="10224" spans="1:5">
      <c r="A10224" s="3" t="s">
        <v>20787</v>
      </c>
      <c r="B10224" s="110" t="s">
        <v>188</v>
      </c>
      <c r="C10224" s="111" t="s">
        <v>553</v>
      </c>
      <c r="D10224" s="111" t="str">
        <f t="shared" ref="D10224:E10224" si="10222">TRIM(B10224)</f>
        <v>New York</v>
      </c>
      <c r="E10224" s="111" t="str">
        <f t="shared" si="10222"/>
        <v>Bronx</v>
      </c>
    </row>
    <row r="10225" spans="1:5">
      <c r="A10225" s="3" t="s">
        <v>20788</v>
      </c>
      <c r="B10225" s="110" t="s">
        <v>188</v>
      </c>
      <c r="C10225" s="111" t="s">
        <v>553</v>
      </c>
      <c r="D10225" s="111" t="str">
        <f t="shared" ref="D10225:E10225" si="10223">TRIM(B10225)</f>
        <v>New York</v>
      </c>
      <c r="E10225" s="111" t="str">
        <f t="shared" si="10223"/>
        <v>Bronx</v>
      </c>
    </row>
    <row r="10226" spans="1:5">
      <c r="A10226" s="3" t="s">
        <v>20789</v>
      </c>
      <c r="B10226" s="110" t="s">
        <v>188</v>
      </c>
      <c r="C10226" s="111" t="s">
        <v>553</v>
      </c>
      <c r="D10226" s="111" t="str">
        <f t="shared" ref="D10226:E10226" si="10224">TRIM(B10226)</f>
        <v>New York</v>
      </c>
      <c r="E10226" s="111" t="str">
        <f t="shared" si="10224"/>
        <v>Bronx</v>
      </c>
    </row>
    <row r="10227" spans="1:5">
      <c r="A10227" s="110" t="s">
        <v>20790</v>
      </c>
      <c r="B10227" s="110" t="s">
        <v>188</v>
      </c>
      <c r="C10227" s="111" t="s">
        <v>553</v>
      </c>
      <c r="D10227" s="111" t="str">
        <f t="shared" ref="D10227:E10227" si="10225">TRIM(B10227)</f>
        <v>New York</v>
      </c>
      <c r="E10227" s="111" t="str">
        <f t="shared" si="10225"/>
        <v>Bronx</v>
      </c>
    </row>
    <row r="10228" spans="1:5">
      <c r="A10228" s="110" t="s">
        <v>20791</v>
      </c>
      <c r="B10228" s="110" t="s">
        <v>188</v>
      </c>
      <c r="C10228" s="111" t="s">
        <v>553</v>
      </c>
      <c r="D10228" s="111" t="str">
        <f t="shared" ref="D10228:E10228" si="10226">TRIM(B10228)</f>
        <v>New York</v>
      </c>
      <c r="E10228" s="111" t="str">
        <f t="shared" si="10226"/>
        <v>Bronx</v>
      </c>
    </row>
    <row r="10229" spans="1:5">
      <c r="A10229" s="3" t="s">
        <v>20792</v>
      </c>
      <c r="B10229" s="110" t="s">
        <v>188</v>
      </c>
      <c r="C10229" s="111" t="s">
        <v>553</v>
      </c>
      <c r="D10229" s="111" t="str">
        <f t="shared" ref="D10229:E10229" si="10227">TRIM(B10229)</f>
        <v>New York</v>
      </c>
      <c r="E10229" s="111" t="str">
        <f t="shared" si="10227"/>
        <v>Bronx</v>
      </c>
    </row>
    <row r="10230" spans="1:5">
      <c r="A10230" s="3" t="s">
        <v>20793</v>
      </c>
      <c r="B10230" s="110" t="s">
        <v>188</v>
      </c>
      <c r="C10230" s="111" t="s">
        <v>553</v>
      </c>
      <c r="D10230" s="111" t="str">
        <f t="shared" ref="D10230:E10230" si="10228">TRIM(B10230)</f>
        <v>New York</v>
      </c>
      <c r="E10230" s="111" t="str">
        <f t="shared" si="10228"/>
        <v>Bronx</v>
      </c>
    </row>
    <row r="10231" spans="1:5">
      <c r="A10231" s="110" t="s">
        <v>20794</v>
      </c>
      <c r="B10231" s="110" t="s">
        <v>188</v>
      </c>
      <c r="C10231" s="111" t="s">
        <v>553</v>
      </c>
      <c r="D10231" s="111" t="str">
        <f t="shared" ref="D10231:E10231" si="10229">TRIM(B10231)</f>
        <v>New York</v>
      </c>
      <c r="E10231" s="111" t="str">
        <f t="shared" si="10229"/>
        <v>Bronx</v>
      </c>
    </row>
    <row r="10232" spans="1:5">
      <c r="A10232" s="3" t="s">
        <v>20795</v>
      </c>
      <c r="B10232" s="110" t="s">
        <v>188</v>
      </c>
      <c r="C10232" s="111" t="s">
        <v>553</v>
      </c>
      <c r="D10232" s="111" t="str">
        <f t="shared" ref="D10232:E10232" si="10230">TRIM(B10232)</f>
        <v>New York</v>
      </c>
      <c r="E10232" s="111" t="str">
        <f t="shared" si="10230"/>
        <v>Bronx</v>
      </c>
    </row>
    <row r="10233" spans="1:5">
      <c r="A10233" s="3" t="s">
        <v>20796</v>
      </c>
      <c r="B10233" s="110" t="s">
        <v>188</v>
      </c>
      <c r="C10233" s="111" t="s">
        <v>553</v>
      </c>
      <c r="D10233" s="111" t="str">
        <f t="shared" ref="D10233:E10233" si="10231">TRIM(B10233)</f>
        <v>New York</v>
      </c>
      <c r="E10233" s="111" t="str">
        <f t="shared" si="10231"/>
        <v>Bronx</v>
      </c>
    </row>
    <row r="10234" spans="1:5">
      <c r="A10234" s="110" t="s">
        <v>20797</v>
      </c>
      <c r="B10234" s="110" t="s">
        <v>188</v>
      </c>
      <c r="C10234" s="111" t="s">
        <v>553</v>
      </c>
      <c r="D10234" s="111" t="str">
        <f t="shared" ref="D10234:E10234" si="10232">TRIM(B10234)</f>
        <v>New York</v>
      </c>
      <c r="E10234" s="111" t="str">
        <f t="shared" si="10232"/>
        <v>Bronx</v>
      </c>
    </row>
    <row r="10235" spans="1:5">
      <c r="A10235" s="110" t="s">
        <v>20798</v>
      </c>
      <c r="B10235" s="110" t="s">
        <v>188</v>
      </c>
      <c r="C10235" s="111" t="s">
        <v>553</v>
      </c>
      <c r="D10235" s="111" t="str">
        <f t="shared" ref="D10235:E10235" si="10233">TRIM(B10235)</f>
        <v>New York</v>
      </c>
      <c r="E10235" s="111" t="str">
        <f t="shared" si="10233"/>
        <v>Bronx</v>
      </c>
    </row>
    <row r="10236" spans="1:5">
      <c r="A10236" s="110" t="s">
        <v>20799</v>
      </c>
      <c r="B10236" s="110" t="s">
        <v>188</v>
      </c>
      <c r="C10236" s="111" t="s">
        <v>553</v>
      </c>
      <c r="D10236" s="111" t="str">
        <f t="shared" ref="D10236:E10236" si="10234">TRIM(B10236)</f>
        <v>New York</v>
      </c>
      <c r="E10236" s="111" t="str">
        <f t="shared" si="10234"/>
        <v>Bronx</v>
      </c>
    </row>
    <row r="10237" spans="1:5">
      <c r="A10237" s="3" t="s">
        <v>20800</v>
      </c>
      <c r="B10237" s="110" t="s">
        <v>188</v>
      </c>
      <c r="C10237" s="111" t="s">
        <v>553</v>
      </c>
      <c r="D10237" s="111" t="str">
        <f t="shared" ref="D10237:E10237" si="10235">TRIM(B10237)</f>
        <v>New York</v>
      </c>
      <c r="E10237" s="111" t="str">
        <f t="shared" si="10235"/>
        <v>Bronx</v>
      </c>
    </row>
    <row r="10238" spans="1:5">
      <c r="A10238" s="3" t="s">
        <v>20801</v>
      </c>
      <c r="B10238" s="110" t="s">
        <v>188</v>
      </c>
      <c r="C10238" s="111" t="s">
        <v>553</v>
      </c>
      <c r="D10238" s="111" t="str">
        <f t="shared" ref="D10238:E10238" si="10236">TRIM(B10238)</f>
        <v>New York</v>
      </c>
      <c r="E10238" s="111" t="str">
        <f t="shared" si="10236"/>
        <v>Bronx</v>
      </c>
    </row>
    <row r="10239" spans="1:5">
      <c r="A10239" s="3" t="s">
        <v>20802</v>
      </c>
      <c r="B10239" s="110" t="s">
        <v>188</v>
      </c>
      <c r="C10239" s="111" t="s">
        <v>553</v>
      </c>
      <c r="D10239" s="111" t="str">
        <f t="shared" ref="D10239:E10239" si="10237">TRIM(B10239)</f>
        <v>New York</v>
      </c>
      <c r="E10239" s="111" t="str">
        <f t="shared" si="10237"/>
        <v>Bronx</v>
      </c>
    </row>
    <row r="10240" spans="1:5">
      <c r="A10240" s="3" t="s">
        <v>20803</v>
      </c>
      <c r="B10240" s="110" t="s">
        <v>188</v>
      </c>
      <c r="C10240" s="111" t="s">
        <v>553</v>
      </c>
      <c r="D10240" s="111" t="str">
        <f t="shared" ref="D10240:E10240" si="10238">TRIM(B10240)</f>
        <v>New York</v>
      </c>
      <c r="E10240" s="111" t="str">
        <f t="shared" si="10238"/>
        <v>Bronx</v>
      </c>
    </row>
    <row r="10241" spans="1:5">
      <c r="A10241" s="3" t="s">
        <v>20804</v>
      </c>
      <c r="B10241" s="110" t="s">
        <v>188</v>
      </c>
      <c r="C10241" s="111" t="s">
        <v>553</v>
      </c>
      <c r="D10241" s="111" t="str">
        <f t="shared" ref="D10241:E10241" si="10239">TRIM(B10241)</f>
        <v>New York</v>
      </c>
      <c r="E10241" s="111" t="str">
        <f t="shared" si="10239"/>
        <v>Bronx</v>
      </c>
    </row>
    <row r="10242" spans="1:5">
      <c r="A10242" s="3" t="s">
        <v>20805</v>
      </c>
      <c r="B10242" s="110" t="s">
        <v>188</v>
      </c>
      <c r="C10242" s="111" t="s">
        <v>553</v>
      </c>
      <c r="D10242" s="111" t="str">
        <f t="shared" ref="D10242:E10242" si="10240">TRIM(B10242)</f>
        <v>New York</v>
      </c>
      <c r="E10242" s="111" t="str">
        <f t="shared" si="10240"/>
        <v>Bronx</v>
      </c>
    </row>
    <row r="10243" spans="1:5">
      <c r="A10243" s="110" t="s">
        <v>20806</v>
      </c>
      <c r="B10243" s="110" t="s">
        <v>188</v>
      </c>
      <c r="C10243" s="111" t="s">
        <v>553</v>
      </c>
      <c r="D10243" s="111" t="str">
        <f t="shared" ref="D10243:E10243" si="10241">TRIM(B10243)</f>
        <v>New York</v>
      </c>
      <c r="E10243" s="111" t="str">
        <f t="shared" si="10241"/>
        <v>Bronx</v>
      </c>
    </row>
    <row r="10244" spans="1:5">
      <c r="A10244" s="3" t="s">
        <v>20807</v>
      </c>
      <c r="B10244" s="110" t="s">
        <v>188</v>
      </c>
      <c r="C10244" s="111" t="s">
        <v>553</v>
      </c>
      <c r="D10244" s="111" t="str">
        <f t="shared" ref="D10244:E10244" si="10242">TRIM(B10244)</f>
        <v>New York</v>
      </c>
      <c r="E10244" s="111" t="str">
        <f t="shared" si="10242"/>
        <v>Bronx</v>
      </c>
    </row>
    <row r="10245" spans="1:5">
      <c r="A10245" s="110" t="s">
        <v>20808</v>
      </c>
      <c r="B10245" s="110" t="s">
        <v>188</v>
      </c>
      <c r="C10245" s="111" t="s">
        <v>553</v>
      </c>
      <c r="D10245" s="111" t="str">
        <f t="shared" ref="D10245:E10245" si="10243">TRIM(B10245)</f>
        <v>New York</v>
      </c>
      <c r="E10245" s="111" t="str">
        <f t="shared" si="10243"/>
        <v>Bronx</v>
      </c>
    </row>
    <row r="10246" spans="1:5">
      <c r="A10246" s="110" t="s">
        <v>20809</v>
      </c>
      <c r="B10246" s="110" t="s">
        <v>188</v>
      </c>
      <c r="C10246" s="111" t="s">
        <v>553</v>
      </c>
      <c r="D10246" s="111" t="str">
        <f t="shared" ref="D10246:E10246" si="10244">TRIM(B10246)</f>
        <v>New York</v>
      </c>
      <c r="E10246" s="111" t="str">
        <f t="shared" si="10244"/>
        <v>Bronx</v>
      </c>
    </row>
    <row r="10247" spans="1:5">
      <c r="A10247" s="110" t="s">
        <v>20810</v>
      </c>
      <c r="B10247" s="110" t="s">
        <v>188</v>
      </c>
      <c r="C10247" s="111" t="s">
        <v>553</v>
      </c>
      <c r="D10247" s="111" t="str">
        <f t="shared" ref="D10247:E10247" si="10245">TRIM(B10247)</f>
        <v>New York</v>
      </c>
      <c r="E10247" s="111" t="str">
        <f t="shared" si="10245"/>
        <v>Bronx</v>
      </c>
    </row>
    <row r="10248" spans="1:5">
      <c r="A10248" s="3" t="s">
        <v>20811</v>
      </c>
      <c r="B10248" s="110" t="s">
        <v>188</v>
      </c>
      <c r="C10248" s="111" t="s">
        <v>553</v>
      </c>
      <c r="D10248" s="111" t="str">
        <f t="shared" ref="D10248:E10248" si="10246">TRIM(B10248)</f>
        <v>New York</v>
      </c>
      <c r="E10248" s="111" t="str">
        <f t="shared" si="10246"/>
        <v>Bronx</v>
      </c>
    </row>
    <row r="10249" spans="1:5">
      <c r="A10249" s="3" t="s">
        <v>9482</v>
      </c>
      <c r="B10249" s="110" t="s">
        <v>188</v>
      </c>
      <c r="C10249" s="111" t="s">
        <v>553</v>
      </c>
      <c r="D10249" s="111" t="str">
        <f t="shared" ref="D10249:E10249" si="10247">TRIM(B10249)</f>
        <v>New York</v>
      </c>
      <c r="E10249" s="111" t="str">
        <f t="shared" si="10247"/>
        <v>Bronx</v>
      </c>
    </row>
    <row r="10250" spans="1:5">
      <c r="A10250" s="110" t="s">
        <v>20812</v>
      </c>
      <c r="B10250" s="110" t="s">
        <v>188</v>
      </c>
      <c r="C10250" s="111" t="s">
        <v>553</v>
      </c>
      <c r="D10250" s="111" t="str">
        <f t="shared" ref="D10250:E10250" si="10248">TRIM(B10250)</f>
        <v>New York</v>
      </c>
      <c r="E10250" s="111" t="str">
        <f t="shared" si="10248"/>
        <v>Bronx</v>
      </c>
    </row>
    <row r="10251" spans="1:5">
      <c r="A10251" s="110" t="s">
        <v>20813</v>
      </c>
      <c r="B10251" s="110" t="s">
        <v>188</v>
      </c>
      <c r="C10251" s="111" t="s">
        <v>553</v>
      </c>
      <c r="D10251" s="111" t="str">
        <f t="shared" ref="D10251:E10251" si="10249">TRIM(B10251)</f>
        <v>New York</v>
      </c>
      <c r="E10251" s="111" t="str">
        <f t="shared" si="10249"/>
        <v>Bronx</v>
      </c>
    </row>
    <row r="10252" spans="1:5">
      <c r="A10252" s="3" t="s">
        <v>20814</v>
      </c>
      <c r="B10252" s="110" t="s">
        <v>188</v>
      </c>
      <c r="C10252" s="111" t="s">
        <v>553</v>
      </c>
      <c r="D10252" s="111" t="str">
        <f t="shared" ref="D10252:E10252" si="10250">TRIM(B10252)</f>
        <v>New York</v>
      </c>
      <c r="E10252" s="111" t="str">
        <f t="shared" si="10250"/>
        <v>Bronx</v>
      </c>
    </row>
    <row r="10253" spans="1:5">
      <c r="A10253" s="3" t="s">
        <v>20815</v>
      </c>
      <c r="B10253" s="110" t="s">
        <v>188</v>
      </c>
      <c r="C10253" s="111" t="s">
        <v>553</v>
      </c>
      <c r="D10253" s="111" t="str">
        <f t="shared" ref="D10253:E10253" si="10251">TRIM(B10253)</f>
        <v>New York</v>
      </c>
      <c r="E10253" s="111" t="str">
        <f t="shared" si="10251"/>
        <v>Bronx</v>
      </c>
    </row>
    <row r="10254" spans="1:5">
      <c r="A10254" s="110" t="s">
        <v>20816</v>
      </c>
      <c r="B10254" s="110" t="s">
        <v>188</v>
      </c>
      <c r="C10254" s="111" t="s">
        <v>553</v>
      </c>
      <c r="D10254" s="111" t="str">
        <f t="shared" ref="D10254:E10254" si="10252">TRIM(B10254)</f>
        <v>New York</v>
      </c>
      <c r="E10254" s="111" t="str">
        <f t="shared" si="10252"/>
        <v>Bronx</v>
      </c>
    </row>
    <row r="10255" spans="1:5">
      <c r="A10255" s="110" t="s">
        <v>20817</v>
      </c>
      <c r="B10255" s="110" t="s">
        <v>188</v>
      </c>
      <c r="C10255" s="111" t="s">
        <v>553</v>
      </c>
      <c r="D10255" s="111" t="str">
        <f t="shared" ref="D10255:E10255" si="10253">TRIM(B10255)</f>
        <v>New York</v>
      </c>
      <c r="E10255" s="111" t="str">
        <f t="shared" si="10253"/>
        <v>Bronx</v>
      </c>
    </row>
    <row r="10256" spans="1:5">
      <c r="A10256" s="3" t="s">
        <v>20818</v>
      </c>
      <c r="B10256" s="110" t="s">
        <v>188</v>
      </c>
      <c r="C10256" s="111" t="s">
        <v>553</v>
      </c>
      <c r="D10256" s="111" t="str">
        <f t="shared" ref="D10256:E10256" si="10254">TRIM(B10256)</f>
        <v>New York</v>
      </c>
      <c r="E10256" s="111" t="str">
        <f t="shared" si="10254"/>
        <v>Bronx</v>
      </c>
    </row>
    <row r="10257" spans="1:5">
      <c r="A10257" s="3" t="s">
        <v>20819</v>
      </c>
      <c r="B10257" s="110" t="s">
        <v>188</v>
      </c>
      <c r="C10257" s="111" t="s">
        <v>553</v>
      </c>
      <c r="D10257" s="111" t="str">
        <f t="shared" ref="D10257:E10257" si="10255">TRIM(B10257)</f>
        <v>New York</v>
      </c>
      <c r="E10257" s="111" t="str">
        <f t="shared" si="10255"/>
        <v>Bronx</v>
      </c>
    </row>
    <row r="10258" spans="1:5">
      <c r="A10258" s="3" t="s">
        <v>20820</v>
      </c>
      <c r="B10258" s="110" t="s">
        <v>188</v>
      </c>
      <c r="C10258" s="111" t="s">
        <v>553</v>
      </c>
      <c r="D10258" s="111" t="str">
        <f t="shared" ref="D10258:E10258" si="10256">TRIM(B10258)</f>
        <v>New York</v>
      </c>
      <c r="E10258" s="111" t="str">
        <f t="shared" si="10256"/>
        <v>Bronx</v>
      </c>
    </row>
    <row r="10259" spans="1:5">
      <c r="A10259" s="3" t="s">
        <v>20821</v>
      </c>
      <c r="B10259" s="110" t="s">
        <v>188</v>
      </c>
      <c r="C10259" s="111" t="s">
        <v>553</v>
      </c>
      <c r="D10259" s="111" t="str">
        <f t="shared" ref="D10259:E10259" si="10257">TRIM(B10259)</f>
        <v>New York</v>
      </c>
      <c r="E10259" s="111" t="str">
        <f t="shared" si="10257"/>
        <v>Bronx</v>
      </c>
    </row>
    <row r="10260" spans="1:5">
      <c r="A10260" s="3" t="s">
        <v>20822</v>
      </c>
      <c r="B10260" s="110" t="s">
        <v>188</v>
      </c>
      <c r="C10260" s="111" t="s">
        <v>553</v>
      </c>
      <c r="D10260" s="111" t="str">
        <f t="shared" ref="D10260:E10260" si="10258">TRIM(B10260)</f>
        <v>New York</v>
      </c>
      <c r="E10260" s="111" t="str">
        <f t="shared" si="10258"/>
        <v>Bronx</v>
      </c>
    </row>
    <row r="10261" spans="1:5">
      <c r="A10261" s="3" t="s">
        <v>20823</v>
      </c>
      <c r="B10261" s="110" t="s">
        <v>188</v>
      </c>
      <c r="C10261" s="111" t="s">
        <v>553</v>
      </c>
      <c r="D10261" s="111" t="str">
        <f t="shared" ref="D10261:E10261" si="10259">TRIM(B10261)</f>
        <v>New York</v>
      </c>
      <c r="E10261" s="111" t="str">
        <f t="shared" si="10259"/>
        <v>Bronx</v>
      </c>
    </row>
    <row r="10262" spans="1:5">
      <c r="A10262" s="3" t="s">
        <v>20824</v>
      </c>
      <c r="B10262" s="110" t="s">
        <v>188</v>
      </c>
      <c r="C10262" s="111" t="s">
        <v>553</v>
      </c>
      <c r="D10262" s="111" t="str">
        <f t="shared" ref="D10262:E10262" si="10260">TRIM(B10262)</f>
        <v>New York</v>
      </c>
      <c r="E10262" s="111" t="str">
        <f t="shared" si="10260"/>
        <v>Bronx</v>
      </c>
    </row>
    <row r="10263" spans="1:5">
      <c r="A10263" s="3" t="s">
        <v>20825</v>
      </c>
      <c r="B10263" s="110" t="s">
        <v>188</v>
      </c>
      <c r="C10263" s="111" t="s">
        <v>553</v>
      </c>
      <c r="D10263" s="111" t="str">
        <f t="shared" ref="D10263:E10263" si="10261">TRIM(B10263)</f>
        <v>New York</v>
      </c>
      <c r="E10263" s="111" t="str">
        <f t="shared" si="10261"/>
        <v>Bronx</v>
      </c>
    </row>
    <row r="10264" spans="1:5">
      <c r="A10264" s="3" t="s">
        <v>20826</v>
      </c>
      <c r="B10264" s="110" t="s">
        <v>188</v>
      </c>
      <c r="C10264" s="111" t="s">
        <v>553</v>
      </c>
      <c r="D10264" s="111" t="str">
        <f t="shared" ref="D10264:E10264" si="10262">TRIM(B10264)</f>
        <v>New York</v>
      </c>
      <c r="E10264" s="111" t="str">
        <f t="shared" si="10262"/>
        <v>Bronx</v>
      </c>
    </row>
    <row r="10265" spans="1:5">
      <c r="A10265" s="3" t="s">
        <v>20827</v>
      </c>
      <c r="B10265" s="110" t="s">
        <v>188</v>
      </c>
      <c r="C10265" s="111" t="s">
        <v>553</v>
      </c>
      <c r="D10265" s="111" t="str">
        <f t="shared" ref="D10265:E10265" si="10263">TRIM(B10265)</f>
        <v>New York</v>
      </c>
      <c r="E10265" s="111" t="str">
        <f t="shared" si="10263"/>
        <v>Bronx</v>
      </c>
    </row>
    <row r="10266" spans="1:5">
      <c r="A10266" s="3" t="s">
        <v>20828</v>
      </c>
      <c r="B10266" s="110" t="s">
        <v>188</v>
      </c>
      <c r="C10266" s="111" t="s">
        <v>553</v>
      </c>
      <c r="D10266" s="111" t="str">
        <f t="shared" ref="D10266:E10266" si="10264">TRIM(B10266)</f>
        <v>New York</v>
      </c>
      <c r="E10266" s="111" t="str">
        <f t="shared" si="10264"/>
        <v>Bronx</v>
      </c>
    </row>
    <row r="10267" spans="1:5">
      <c r="A10267" s="3" t="s">
        <v>20829</v>
      </c>
      <c r="B10267" s="110" t="s">
        <v>188</v>
      </c>
      <c r="C10267" s="111" t="s">
        <v>553</v>
      </c>
      <c r="D10267" s="111" t="str">
        <f t="shared" ref="D10267:E10267" si="10265">TRIM(B10267)</f>
        <v>New York</v>
      </c>
      <c r="E10267" s="111" t="str">
        <f t="shared" si="10265"/>
        <v>Bronx</v>
      </c>
    </row>
    <row r="10268" spans="1:5">
      <c r="A10268" s="3" t="s">
        <v>20830</v>
      </c>
      <c r="B10268" s="110" t="s">
        <v>188</v>
      </c>
      <c r="C10268" s="111" t="s">
        <v>553</v>
      </c>
      <c r="D10268" s="111" t="str">
        <f t="shared" ref="D10268:E10268" si="10266">TRIM(B10268)</f>
        <v>New York</v>
      </c>
      <c r="E10268" s="111" t="str">
        <f t="shared" si="10266"/>
        <v>Bronx</v>
      </c>
    </row>
    <row r="10269" spans="1:5">
      <c r="A10269" s="3" t="s">
        <v>20831</v>
      </c>
      <c r="B10269" s="110" t="s">
        <v>188</v>
      </c>
      <c r="C10269" s="111" t="s">
        <v>553</v>
      </c>
      <c r="D10269" s="111" t="str">
        <f t="shared" ref="D10269:E10269" si="10267">TRIM(B10269)</f>
        <v>New York</v>
      </c>
      <c r="E10269" s="111" t="str">
        <f t="shared" si="10267"/>
        <v>Bronx</v>
      </c>
    </row>
    <row r="10270" spans="1:5">
      <c r="A10270" s="3" t="s">
        <v>20832</v>
      </c>
      <c r="B10270" s="110" t="s">
        <v>188</v>
      </c>
      <c r="C10270" s="111" t="s">
        <v>553</v>
      </c>
      <c r="D10270" s="111" t="str">
        <f t="shared" ref="D10270:E10270" si="10268">TRIM(B10270)</f>
        <v>New York</v>
      </c>
      <c r="E10270" s="111" t="str">
        <f t="shared" si="10268"/>
        <v>Bronx</v>
      </c>
    </row>
    <row r="10271" spans="1:5">
      <c r="A10271" s="3" t="s">
        <v>20833</v>
      </c>
      <c r="B10271" s="110" t="s">
        <v>188</v>
      </c>
      <c r="C10271" s="111" t="s">
        <v>553</v>
      </c>
      <c r="D10271" s="111" t="str">
        <f t="shared" ref="D10271:E10271" si="10269">TRIM(B10271)</f>
        <v>New York</v>
      </c>
      <c r="E10271" s="111" t="str">
        <f t="shared" si="10269"/>
        <v>Bronx</v>
      </c>
    </row>
    <row r="10272" spans="1:5">
      <c r="A10272" s="3" t="s">
        <v>20834</v>
      </c>
      <c r="B10272" s="110" t="s">
        <v>188</v>
      </c>
      <c r="C10272" s="111" t="s">
        <v>553</v>
      </c>
      <c r="D10272" s="111" t="str">
        <f t="shared" ref="D10272:E10272" si="10270">TRIM(B10272)</f>
        <v>New York</v>
      </c>
      <c r="E10272" s="111" t="str">
        <f t="shared" si="10270"/>
        <v>Bronx</v>
      </c>
    </row>
    <row r="10273" spans="1:5">
      <c r="A10273" s="3" t="s">
        <v>20835</v>
      </c>
      <c r="B10273" s="110" t="s">
        <v>188</v>
      </c>
      <c r="C10273" s="111" t="s">
        <v>553</v>
      </c>
      <c r="D10273" s="111" t="str">
        <f t="shared" ref="D10273:E10273" si="10271">TRIM(B10273)</f>
        <v>New York</v>
      </c>
      <c r="E10273" s="111" t="str">
        <f t="shared" si="10271"/>
        <v>Bronx</v>
      </c>
    </row>
    <row r="10274" spans="1:5">
      <c r="A10274" s="3" t="s">
        <v>20836</v>
      </c>
      <c r="B10274" s="110" t="s">
        <v>188</v>
      </c>
      <c r="C10274" s="111" t="s">
        <v>553</v>
      </c>
      <c r="D10274" s="111" t="str">
        <f t="shared" ref="D10274:E10274" si="10272">TRIM(B10274)</f>
        <v>New York</v>
      </c>
      <c r="E10274" s="111" t="str">
        <f t="shared" si="10272"/>
        <v>Bronx</v>
      </c>
    </row>
    <row r="10275" spans="1:5">
      <c r="A10275" s="3" t="s">
        <v>20837</v>
      </c>
      <c r="B10275" s="110" t="s">
        <v>188</v>
      </c>
      <c r="C10275" s="111" t="s">
        <v>553</v>
      </c>
      <c r="D10275" s="111" t="str">
        <f t="shared" ref="D10275:E10275" si="10273">TRIM(B10275)</f>
        <v>New York</v>
      </c>
      <c r="E10275" s="111" t="str">
        <f t="shared" si="10273"/>
        <v>Bronx</v>
      </c>
    </row>
    <row r="10276" spans="1:5">
      <c r="A10276" s="110" t="s">
        <v>20838</v>
      </c>
      <c r="B10276" s="110" t="s">
        <v>188</v>
      </c>
      <c r="C10276" s="111" t="s">
        <v>553</v>
      </c>
      <c r="D10276" s="111" t="str">
        <f t="shared" ref="D10276:E10276" si="10274">TRIM(B10276)</f>
        <v>New York</v>
      </c>
      <c r="E10276" s="111" t="str">
        <f t="shared" si="10274"/>
        <v>Bronx</v>
      </c>
    </row>
    <row r="10277" spans="1:5">
      <c r="A10277" s="3" t="s">
        <v>20839</v>
      </c>
      <c r="B10277" s="110" t="s">
        <v>188</v>
      </c>
      <c r="C10277" s="112" t="s">
        <v>553</v>
      </c>
      <c r="D10277" s="111" t="str">
        <f t="shared" ref="D10277:E10277" si="10275">TRIM(B10277)</f>
        <v>New York</v>
      </c>
      <c r="E10277" s="111" t="str">
        <f t="shared" si="10275"/>
        <v>Bronx</v>
      </c>
    </row>
    <row r="10278" spans="1:5">
      <c r="A10278" s="3" t="s">
        <v>20840</v>
      </c>
      <c r="B10278" s="110" t="s">
        <v>188</v>
      </c>
      <c r="C10278" s="111" t="s">
        <v>553</v>
      </c>
      <c r="D10278" s="111" t="str">
        <f t="shared" ref="D10278:E10278" si="10276">TRIM(B10278)</f>
        <v>New York</v>
      </c>
      <c r="E10278" s="111" t="str">
        <f t="shared" si="10276"/>
        <v>Bronx</v>
      </c>
    </row>
    <row r="10279" spans="1:5">
      <c r="A10279" s="3" t="s">
        <v>20841</v>
      </c>
      <c r="B10279" s="110" t="s">
        <v>188</v>
      </c>
      <c r="C10279" s="111" t="s">
        <v>553</v>
      </c>
      <c r="D10279" s="111" t="str">
        <f t="shared" ref="D10279:E10279" si="10277">TRIM(B10279)</f>
        <v>New York</v>
      </c>
      <c r="E10279" s="111" t="str">
        <f t="shared" si="10277"/>
        <v>Bronx</v>
      </c>
    </row>
    <row r="10280" spans="1:5">
      <c r="A10280" s="110" t="s">
        <v>20842</v>
      </c>
      <c r="B10280" s="110" t="s">
        <v>188</v>
      </c>
      <c r="C10280" s="111" t="s">
        <v>553</v>
      </c>
      <c r="D10280" s="111" t="str">
        <f t="shared" ref="D10280:E10280" si="10278">TRIM(B10280)</f>
        <v>New York</v>
      </c>
      <c r="E10280" s="111" t="str">
        <f t="shared" si="10278"/>
        <v>Bronx</v>
      </c>
    </row>
    <row r="10281" spans="1:5">
      <c r="A10281" s="3" t="s">
        <v>20843</v>
      </c>
      <c r="B10281" s="110" t="s">
        <v>188</v>
      </c>
      <c r="C10281" s="111" t="s">
        <v>553</v>
      </c>
      <c r="D10281" s="111" t="str">
        <f t="shared" ref="D10281:E10281" si="10279">TRIM(B10281)</f>
        <v>New York</v>
      </c>
      <c r="E10281" s="111" t="str">
        <f t="shared" si="10279"/>
        <v>Bronx</v>
      </c>
    </row>
    <row r="10282" spans="1:5">
      <c r="A10282" s="3" t="s">
        <v>20844</v>
      </c>
      <c r="B10282" s="110" t="s">
        <v>188</v>
      </c>
      <c r="C10282" s="111" t="s">
        <v>553</v>
      </c>
      <c r="D10282" s="111" t="str">
        <f t="shared" ref="D10282:E10282" si="10280">TRIM(B10282)</f>
        <v>New York</v>
      </c>
      <c r="E10282" s="111" t="str">
        <f t="shared" si="10280"/>
        <v>Bronx</v>
      </c>
    </row>
    <row r="10283" spans="1:5">
      <c r="A10283" s="3" t="s">
        <v>20845</v>
      </c>
      <c r="B10283" s="110" t="s">
        <v>188</v>
      </c>
      <c r="C10283" s="111" t="s">
        <v>553</v>
      </c>
      <c r="D10283" s="111" t="str">
        <f t="shared" ref="D10283:E10283" si="10281">TRIM(B10283)</f>
        <v>New York</v>
      </c>
      <c r="E10283" s="111" t="str">
        <f t="shared" si="10281"/>
        <v>Bronx</v>
      </c>
    </row>
    <row r="10284" spans="1:5">
      <c r="A10284" s="3" t="s">
        <v>20846</v>
      </c>
      <c r="B10284" s="110" t="s">
        <v>188</v>
      </c>
      <c r="C10284" s="111" t="s">
        <v>553</v>
      </c>
      <c r="D10284" s="111" t="str">
        <f t="shared" ref="D10284:E10284" si="10282">TRIM(B10284)</f>
        <v>New York</v>
      </c>
      <c r="E10284" s="111" t="str">
        <f t="shared" si="10282"/>
        <v>Bronx</v>
      </c>
    </row>
    <row r="10285" spans="1:5">
      <c r="A10285" s="3" t="s">
        <v>20847</v>
      </c>
      <c r="B10285" s="110" t="s">
        <v>188</v>
      </c>
      <c r="C10285" s="111" t="s">
        <v>553</v>
      </c>
      <c r="D10285" s="111" t="str">
        <f t="shared" ref="D10285:E10285" si="10283">TRIM(B10285)</f>
        <v>New York</v>
      </c>
      <c r="E10285" s="111" t="str">
        <f t="shared" si="10283"/>
        <v>Bronx</v>
      </c>
    </row>
    <row r="10286" spans="1:5">
      <c r="A10286" s="3" t="s">
        <v>20848</v>
      </c>
      <c r="B10286" s="110" t="s">
        <v>188</v>
      </c>
      <c r="C10286" s="111" t="s">
        <v>553</v>
      </c>
      <c r="D10286" s="111" t="str">
        <f t="shared" ref="D10286:E10286" si="10284">TRIM(B10286)</f>
        <v>New York</v>
      </c>
      <c r="E10286" s="111" t="str">
        <f t="shared" si="10284"/>
        <v>Bronx</v>
      </c>
    </row>
    <row r="10287" spans="1:5">
      <c r="A10287" s="3" t="s">
        <v>20849</v>
      </c>
      <c r="B10287" s="110" t="s">
        <v>188</v>
      </c>
      <c r="C10287" s="111" t="s">
        <v>553</v>
      </c>
      <c r="D10287" s="111" t="str">
        <f t="shared" ref="D10287:E10287" si="10285">TRIM(B10287)</f>
        <v>New York</v>
      </c>
      <c r="E10287" s="111" t="str">
        <f t="shared" si="10285"/>
        <v>Bronx</v>
      </c>
    </row>
    <row r="10288" spans="1:5">
      <c r="A10288" s="3" t="s">
        <v>20850</v>
      </c>
      <c r="B10288" s="110" t="s">
        <v>188</v>
      </c>
      <c r="C10288" s="111" t="s">
        <v>553</v>
      </c>
      <c r="D10288" s="111" t="str">
        <f t="shared" ref="D10288:E10288" si="10286">TRIM(B10288)</f>
        <v>New York</v>
      </c>
      <c r="E10288" s="111" t="str">
        <f t="shared" si="10286"/>
        <v>Bronx</v>
      </c>
    </row>
    <row r="10289" spans="1:5">
      <c r="A10289" s="110" t="s">
        <v>20851</v>
      </c>
      <c r="B10289" s="110" t="s">
        <v>188</v>
      </c>
      <c r="C10289" s="111" t="s">
        <v>553</v>
      </c>
      <c r="D10289" s="111" t="str">
        <f t="shared" ref="D10289:E10289" si="10287">TRIM(B10289)</f>
        <v>New York</v>
      </c>
      <c r="E10289" s="111" t="str">
        <f t="shared" si="10287"/>
        <v>Bronx</v>
      </c>
    </row>
    <row r="10290" spans="1:5">
      <c r="A10290" s="3" t="s">
        <v>20852</v>
      </c>
      <c r="B10290" s="110" t="s">
        <v>188</v>
      </c>
      <c r="C10290" s="111" t="s">
        <v>553</v>
      </c>
      <c r="D10290" s="111" t="str">
        <f t="shared" ref="D10290:E10290" si="10288">TRIM(B10290)</f>
        <v>New York</v>
      </c>
      <c r="E10290" s="111" t="str">
        <f t="shared" si="10288"/>
        <v>Bronx</v>
      </c>
    </row>
    <row r="10291" spans="1:5">
      <c r="A10291" s="3" t="s">
        <v>20853</v>
      </c>
      <c r="B10291" s="110" t="s">
        <v>188</v>
      </c>
      <c r="C10291" s="111" t="s">
        <v>553</v>
      </c>
      <c r="D10291" s="111" t="str">
        <f t="shared" ref="D10291:E10291" si="10289">TRIM(B10291)</f>
        <v>New York</v>
      </c>
      <c r="E10291" s="111" t="str">
        <f t="shared" si="10289"/>
        <v>Bronx</v>
      </c>
    </row>
    <row r="10292" spans="1:5">
      <c r="A10292" s="110" t="s">
        <v>20854</v>
      </c>
      <c r="B10292" s="110" t="s">
        <v>188</v>
      </c>
      <c r="C10292" s="111" t="s">
        <v>553</v>
      </c>
      <c r="D10292" s="111" t="str">
        <f t="shared" ref="D10292:E10292" si="10290">TRIM(B10292)</f>
        <v>New York</v>
      </c>
      <c r="E10292" s="111" t="str">
        <f t="shared" si="10290"/>
        <v>Bronx</v>
      </c>
    </row>
    <row r="10293" spans="1:5">
      <c r="A10293" s="3" t="s">
        <v>20855</v>
      </c>
      <c r="B10293" s="110" t="s">
        <v>188</v>
      </c>
      <c r="C10293" s="111" t="s">
        <v>553</v>
      </c>
      <c r="D10293" s="111" t="str">
        <f t="shared" ref="D10293:E10293" si="10291">TRIM(B10293)</f>
        <v>New York</v>
      </c>
      <c r="E10293" s="111" t="str">
        <f t="shared" si="10291"/>
        <v>Bronx</v>
      </c>
    </row>
    <row r="10294" spans="1:5">
      <c r="A10294" s="3" t="s">
        <v>20856</v>
      </c>
      <c r="B10294" s="110" t="s">
        <v>188</v>
      </c>
      <c r="C10294" s="111" t="s">
        <v>553</v>
      </c>
      <c r="D10294" s="111" t="str">
        <f t="shared" ref="D10294:E10294" si="10292">TRIM(B10294)</f>
        <v>New York</v>
      </c>
      <c r="E10294" s="111" t="str">
        <f t="shared" si="10292"/>
        <v>Bronx</v>
      </c>
    </row>
    <row r="10295" spans="1:5">
      <c r="A10295" s="3" t="s">
        <v>20857</v>
      </c>
      <c r="B10295" s="110" t="s">
        <v>188</v>
      </c>
      <c r="C10295" s="111" t="s">
        <v>553</v>
      </c>
      <c r="D10295" s="111" t="str">
        <f t="shared" ref="D10295:E10295" si="10293">TRIM(B10295)</f>
        <v>New York</v>
      </c>
      <c r="E10295" s="111" t="str">
        <f t="shared" si="10293"/>
        <v>Bronx</v>
      </c>
    </row>
    <row r="10296" spans="1:5">
      <c r="A10296" s="3" t="s">
        <v>20858</v>
      </c>
      <c r="B10296" s="110" t="s">
        <v>188</v>
      </c>
      <c r="C10296" s="111" t="s">
        <v>553</v>
      </c>
      <c r="D10296" s="111" t="str">
        <f t="shared" ref="D10296:E10296" si="10294">TRIM(B10296)</f>
        <v>New York</v>
      </c>
      <c r="E10296" s="111" t="str">
        <f t="shared" si="10294"/>
        <v>Bronx</v>
      </c>
    </row>
    <row r="10297" spans="1:5">
      <c r="A10297" s="3" t="s">
        <v>20859</v>
      </c>
      <c r="B10297" s="110" t="s">
        <v>188</v>
      </c>
      <c r="C10297" s="111" t="s">
        <v>553</v>
      </c>
      <c r="D10297" s="111" t="str">
        <f t="shared" ref="D10297:E10297" si="10295">TRIM(B10297)</f>
        <v>New York</v>
      </c>
      <c r="E10297" s="111" t="str">
        <f t="shared" si="10295"/>
        <v>Bronx</v>
      </c>
    </row>
    <row r="10298" spans="1:5">
      <c r="A10298" s="3" t="s">
        <v>20860</v>
      </c>
      <c r="B10298" s="110" t="s">
        <v>188</v>
      </c>
      <c r="C10298" s="111" t="s">
        <v>553</v>
      </c>
      <c r="D10298" s="111" t="str">
        <f t="shared" ref="D10298:E10298" si="10296">TRIM(B10298)</f>
        <v>New York</v>
      </c>
      <c r="E10298" s="111" t="str">
        <f t="shared" si="10296"/>
        <v>Bronx</v>
      </c>
    </row>
    <row r="10299" spans="1:5">
      <c r="A10299" s="3" t="s">
        <v>20861</v>
      </c>
      <c r="B10299" s="110" t="s">
        <v>188</v>
      </c>
      <c r="C10299" s="111" t="s">
        <v>553</v>
      </c>
      <c r="D10299" s="111" t="str">
        <f t="shared" ref="D10299:E10299" si="10297">TRIM(B10299)</f>
        <v>New York</v>
      </c>
      <c r="E10299" s="111" t="str">
        <f t="shared" si="10297"/>
        <v>Bronx</v>
      </c>
    </row>
    <row r="10300" spans="1:5">
      <c r="A10300" s="3" t="s">
        <v>20862</v>
      </c>
      <c r="B10300" s="110" t="s">
        <v>188</v>
      </c>
      <c r="C10300" s="111" t="s">
        <v>553</v>
      </c>
      <c r="D10300" s="111" t="str">
        <f t="shared" ref="D10300:E10300" si="10298">TRIM(B10300)</f>
        <v>New York</v>
      </c>
      <c r="E10300" s="111" t="str">
        <f t="shared" si="10298"/>
        <v>Bronx</v>
      </c>
    </row>
    <row r="10301" spans="1:5">
      <c r="A10301" s="3" t="s">
        <v>20863</v>
      </c>
      <c r="B10301" s="110" t="s">
        <v>188</v>
      </c>
      <c r="C10301" s="111" t="s">
        <v>553</v>
      </c>
      <c r="D10301" s="111" t="str">
        <f t="shared" ref="D10301:E10301" si="10299">TRIM(B10301)</f>
        <v>New York</v>
      </c>
      <c r="E10301" s="111" t="str">
        <f t="shared" si="10299"/>
        <v>Bronx</v>
      </c>
    </row>
    <row r="10302" spans="1:5">
      <c r="A10302" s="3" t="s">
        <v>20864</v>
      </c>
      <c r="B10302" s="110" t="s">
        <v>188</v>
      </c>
      <c r="C10302" s="111" t="s">
        <v>553</v>
      </c>
      <c r="D10302" s="111" t="str">
        <f t="shared" ref="D10302:E10302" si="10300">TRIM(B10302)</f>
        <v>New York</v>
      </c>
      <c r="E10302" s="111" t="str">
        <f t="shared" si="10300"/>
        <v>Bronx</v>
      </c>
    </row>
    <row r="10303" spans="1:5">
      <c r="A10303" s="3" t="s">
        <v>20865</v>
      </c>
      <c r="B10303" s="110" t="s">
        <v>188</v>
      </c>
      <c r="C10303" s="111" t="s">
        <v>553</v>
      </c>
      <c r="D10303" s="111" t="str">
        <f t="shared" ref="D10303:E10303" si="10301">TRIM(B10303)</f>
        <v>New York</v>
      </c>
      <c r="E10303" s="111" t="str">
        <f t="shared" si="10301"/>
        <v>Bronx</v>
      </c>
    </row>
    <row r="10304" spans="1:5">
      <c r="A10304" s="3" t="s">
        <v>20866</v>
      </c>
      <c r="B10304" s="110" t="s">
        <v>188</v>
      </c>
      <c r="C10304" s="111" t="s">
        <v>553</v>
      </c>
      <c r="D10304" s="111" t="str">
        <f t="shared" ref="D10304:E10304" si="10302">TRIM(B10304)</f>
        <v>New York</v>
      </c>
      <c r="E10304" s="111" t="str">
        <f t="shared" si="10302"/>
        <v>Bronx</v>
      </c>
    </row>
    <row r="10305" spans="1:5">
      <c r="A10305" s="3" t="s">
        <v>20867</v>
      </c>
      <c r="B10305" s="110" t="s">
        <v>188</v>
      </c>
      <c r="C10305" s="111" t="s">
        <v>553</v>
      </c>
      <c r="D10305" s="111" t="str">
        <f t="shared" ref="D10305:E10305" si="10303">TRIM(B10305)</f>
        <v>New York</v>
      </c>
      <c r="E10305" s="111" t="str">
        <f t="shared" si="10303"/>
        <v>Bronx</v>
      </c>
    </row>
    <row r="10306" spans="1:5">
      <c r="A10306" s="110" t="s">
        <v>20868</v>
      </c>
      <c r="B10306" s="110" t="s">
        <v>188</v>
      </c>
      <c r="C10306" s="111" t="s">
        <v>553</v>
      </c>
      <c r="D10306" s="111" t="str">
        <f t="shared" ref="D10306:E10306" si="10304">TRIM(B10306)</f>
        <v>New York</v>
      </c>
      <c r="E10306" s="111" t="str">
        <f t="shared" si="10304"/>
        <v>Bronx</v>
      </c>
    </row>
    <row r="10307" spans="1:5">
      <c r="A10307" s="3" t="s">
        <v>20869</v>
      </c>
      <c r="B10307" s="110" t="s">
        <v>188</v>
      </c>
      <c r="C10307" s="111" t="s">
        <v>553</v>
      </c>
      <c r="D10307" s="111" t="str">
        <f t="shared" ref="D10307:E10307" si="10305">TRIM(B10307)</f>
        <v>New York</v>
      </c>
      <c r="E10307" s="111" t="str">
        <f t="shared" si="10305"/>
        <v>Bronx</v>
      </c>
    </row>
    <row r="10308" spans="1:5">
      <c r="A10308" s="110" t="s">
        <v>20870</v>
      </c>
      <c r="B10308" s="110" t="s">
        <v>188</v>
      </c>
      <c r="C10308" s="111" t="s">
        <v>553</v>
      </c>
      <c r="D10308" s="111" t="str">
        <f t="shared" ref="D10308:E10308" si="10306">TRIM(B10308)</f>
        <v>New York</v>
      </c>
      <c r="E10308" s="111" t="str">
        <f t="shared" si="10306"/>
        <v>Bronx</v>
      </c>
    </row>
    <row r="10309" spans="1:5">
      <c r="A10309" s="110" t="s">
        <v>20871</v>
      </c>
      <c r="B10309" s="110" t="s">
        <v>188</v>
      </c>
      <c r="C10309" s="111" t="s">
        <v>553</v>
      </c>
      <c r="D10309" s="111" t="str">
        <f t="shared" ref="D10309:E10309" si="10307">TRIM(B10309)</f>
        <v>New York</v>
      </c>
      <c r="E10309" s="111" t="str">
        <f t="shared" si="10307"/>
        <v>Bronx</v>
      </c>
    </row>
    <row r="10310" spans="1:5">
      <c r="A10310" s="110" t="s">
        <v>20872</v>
      </c>
      <c r="B10310" s="110" t="s">
        <v>188</v>
      </c>
      <c r="C10310" s="111" t="s">
        <v>553</v>
      </c>
      <c r="D10310" s="111" t="str">
        <f t="shared" ref="D10310:E10310" si="10308">TRIM(B10310)</f>
        <v>New York</v>
      </c>
      <c r="E10310" s="111" t="str">
        <f t="shared" si="10308"/>
        <v>Bronx</v>
      </c>
    </row>
    <row r="10311" spans="1:5">
      <c r="A10311" s="3" t="s">
        <v>20873</v>
      </c>
      <c r="B10311" s="110" t="s">
        <v>188</v>
      </c>
      <c r="C10311" s="111" t="s">
        <v>553</v>
      </c>
      <c r="D10311" s="111" t="str">
        <f t="shared" ref="D10311:E10311" si="10309">TRIM(B10311)</f>
        <v>New York</v>
      </c>
      <c r="E10311" s="111" t="str">
        <f t="shared" si="10309"/>
        <v>Bronx</v>
      </c>
    </row>
    <row r="10312" spans="1:5">
      <c r="A10312" s="3" t="s">
        <v>20874</v>
      </c>
      <c r="B10312" s="110" t="s">
        <v>188</v>
      </c>
      <c r="C10312" s="111" t="s">
        <v>553</v>
      </c>
      <c r="D10312" s="111" t="str">
        <f t="shared" ref="D10312:E10312" si="10310">TRIM(B10312)</f>
        <v>New York</v>
      </c>
      <c r="E10312" s="111" t="str">
        <f t="shared" si="10310"/>
        <v>Bronx</v>
      </c>
    </row>
    <row r="10313" spans="1:5">
      <c r="A10313" s="110" t="s">
        <v>20875</v>
      </c>
      <c r="B10313" s="110" t="s">
        <v>188</v>
      </c>
      <c r="C10313" s="111" t="s">
        <v>553</v>
      </c>
      <c r="D10313" s="111" t="str">
        <f t="shared" ref="D10313:E10313" si="10311">TRIM(B10313)</f>
        <v>New York</v>
      </c>
      <c r="E10313" s="111" t="str">
        <f t="shared" si="10311"/>
        <v>Bronx</v>
      </c>
    </row>
    <row r="10314" spans="1:5">
      <c r="A10314" s="110" t="s">
        <v>20876</v>
      </c>
      <c r="B10314" s="110" t="s">
        <v>188</v>
      </c>
      <c r="C10314" s="111" t="s">
        <v>553</v>
      </c>
      <c r="D10314" s="111" t="str">
        <f t="shared" ref="D10314:E10314" si="10312">TRIM(B10314)</f>
        <v>New York</v>
      </c>
      <c r="E10314" s="111" t="str">
        <f t="shared" si="10312"/>
        <v>Bronx</v>
      </c>
    </row>
    <row r="10315" spans="1:5">
      <c r="A10315" s="3" t="s">
        <v>20877</v>
      </c>
      <c r="B10315" s="110" t="s">
        <v>188</v>
      </c>
      <c r="C10315" s="111" t="s">
        <v>553</v>
      </c>
      <c r="D10315" s="111" t="str">
        <f t="shared" ref="D10315:E10315" si="10313">TRIM(B10315)</f>
        <v>New York</v>
      </c>
      <c r="E10315" s="111" t="str">
        <f t="shared" si="10313"/>
        <v>Bronx</v>
      </c>
    </row>
    <row r="10316" spans="1:5">
      <c r="A10316" s="3" t="s">
        <v>20878</v>
      </c>
      <c r="B10316" s="110" t="s">
        <v>188</v>
      </c>
      <c r="C10316" s="111" t="s">
        <v>553</v>
      </c>
      <c r="D10316" s="111" t="str">
        <f t="shared" ref="D10316:E10316" si="10314">TRIM(B10316)</f>
        <v>New York</v>
      </c>
      <c r="E10316" s="111" t="str">
        <f t="shared" si="10314"/>
        <v>Bronx</v>
      </c>
    </row>
    <row r="10317" spans="1:5">
      <c r="A10317" s="3" t="s">
        <v>20879</v>
      </c>
      <c r="B10317" s="110" t="s">
        <v>188</v>
      </c>
      <c r="C10317" s="111" t="s">
        <v>553</v>
      </c>
      <c r="D10317" s="111" t="str">
        <f t="shared" ref="D10317:E10317" si="10315">TRIM(B10317)</f>
        <v>New York</v>
      </c>
      <c r="E10317" s="111" t="str">
        <f t="shared" si="10315"/>
        <v>Bronx</v>
      </c>
    </row>
    <row r="10318" spans="1:5">
      <c r="A10318" s="3" t="s">
        <v>20880</v>
      </c>
      <c r="B10318" s="110" t="s">
        <v>188</v>
      </c>
      <c r="C10318" s="111" t="s">
        <v>553</v>
      </c>
      <c r="D10318" s="111" t="str">
        <f t="shared" ref="D10318:E10318" si="10316">TRIM(B10318)</f>
        <v>New York</v>
      </c>
      <c r="E10318" s="111" t="str">
        <f t="shared" si="10316"/>
        <v>Bronx</v>
      </c>
    </row>
    <row r="10319" spans="1:5">
      <c r="A10319" s="3" t="s">
        <v>20881</v>
      </c>
      <c r="B10319" s="110" t="s">
        <v>188</v>
      </c>
      <c r="C10319" s="111" t="s">
        <v>553</v>
      </c>
      <c r="D10319" s="111" t="str">
        <f t="shared" ref="D10319:E10319" si="10317">TRIM(B10319)</f>
        <v>New York</v>
      </c>
      <c r="E10319" s="111" t="str">
        <f t="shared" si="10317"/>
        <v>Bronx</v>
      </c>
    </row>
    <row r="10320" spans="1:5">
      <c r="A10320" s="3" t="s">
        <v>20882</v>
      </c>
      <c r="B10320" s="110" t="s">
        <v>188</v>
      </c>
      <c r="C10320" s="111" t="s">
        <v>553</v>
      </c>
      <c r="D10320" s="111" t="str">
        <f t="shared" ref="D10320:E10320" si="10318">TRIM(B10320)</f>
        <v>New York</v>
      </c>
      <c r="E10320" s="111" t="str">
        <f t="shared" si="10318"/>
        <v>Bronx</v>
      </c>
    </row>
    <row r="10321" spans="1:5">
      <c r="A10321" s="110" t="s">
        <v>20883</v>
      </c>
      <c r="B10321" s="110" t="s">
        <v>188</v>
      </c>
      <c r="C10321" s="111" t="s">
        <v>553</v>
      </c>
      <c r="D10321" s="111" t="str">
        <f t="shared" ref="D10321:E10321" si="10319">TRIM(B10321)</f>
        <v>New York</v>
      </c>
      <c r="E10321" s="111" t="str">
        <f t="shared" si="10319"/>
        <v>Bronx</v>
      </c>
    </row>
    <row r="10322" spans="1:5">
      <c r="A10322" s="3" t="s">
        <v>20884</v>
      </c>
      <c r="B10322" s="110" t="s">
        <v>188</v>
      </c>
      <c r="C10322" s="111" t="s">
        <v>20885</v>
      </c>
      <c r="D10322" s="111" t="str">
        <f t="shared" ref="D10322:E10322" si="10320">TRIM(B10322)</f>
        <v>New York</v>
      </c>
      <c r="E10322" s="111" t="str">
        <f t="shared" si="10320"/>
        <v>Bronxville</v>
      </c>
    </row>
    <row r="10323" spans="1:5">
      <c r="A10323" s="3" t="s">
        <v>20886</v>
      </c>
      <c r="B10323" s="110" t="s">
        <v>188</v>
      </c>
      <c r="C10323" s="111" t="s">
        <v>10460</v>
      </c>
      <c r="D10323" s="111" t="str">
        <f t="shared" ref="D10323:E10323" si="10321">TRIM(B10323)</f>
        <v>New York</v>
      </c>
      <c r="E10323" s="111" t="str">
        <f t="shared" si="10321"/>
        <v>Brookhaven</v>
      </c>
    </row>
    <row r="10324" spans="1:5">
      <c r="A10324" s="3" t="s">
        <v>6888</v>
      </c>
      <c r="B10324" s="110" t="s">
        <v>188</v>
      </c>
      <c r="C10324" s="111" t="s">
        <v>326</v>
      </c>
      <c r="D10324" s="111" t="str">
        <f t="shared" ref="D10324:E10324" si="10322">TRIM(B10324)</f>
        <v>New York</v>
      </c>
      <c r="E10324" s="111" t="str">
        <f t="shared" si="10322"/>
        <v>Brooklyn</v>
      </c>
    </row>
    <row r="10325" spans="1:5">
      <c r="A10325" s="3" t="s">
        <v>20887</v>
      </c>
      <c r="B10325" s="110" t="s">
        <v>188</v>
      </c>
      <c r="C10325" s="111" t="s">
        <v>326</v>
      </c>
      <c r="D10325" s="111" t="str">
        <f t="shared" ref="D10325:E10325" si="10323">TRIM(B10325)</f>
        <v>New York</v>
      </c>
      <c r="E10325" s="111" t="str">
        <f t="shared" si="10323"/>
        <v>Brooklyn</v>
      </c>
    </row>
    <row r="10326" spans="1:5">
      <c r="A10326" s="3" t="s">
        <v>20888</v>
      </c>
      <c r="B10326" s="110" t="s">
        <v>188</v>
      </c>
      <c r="C10326" s="111" t="s">
        <v>326</v>
      </c>
      <c r="D10326" s="111" t="str">
        <f t="shared" ref="D10326:E10326" si="10324">TRIM(B10326)</f>
        <v>New York</v>
      </c>
      <c r="E10326" s="111" t="str">
        <f t="shared" si="10324"/>
        <v>Brooklyn</v>
      </c>
    </row>
    <row r="10327" spans="1:5">
      <c r="A10327" s="3" t="s">
        <v>20889</v>
      </c>
      <c r="B10327" s="110" t="s">
        <v>188</v>
      </c>
      <c r="C10327" s="111" t="s">
        <v>326</v>
      </c>
      <c r="D10327" s="111" t="str">
        <f t="shared" ref="D10327:E10327" si="10325">TRIM(B10327)</f>
        <v>New York</v>
      </c>
      <c r="E10327" s="111" t="str">
        <f t="shared" si="10325"/>
        <v>Brooklyn</v>
      </c>
    </row>
    <row r="10328" spans="1:5">
      <c r="A10328" s="3" t="s">
        <v>20890</v>
      </c>
      <c r="B10328" s="110" t="s">
        <v>188</v>
      </c>
      <c r="C10328" s="111" t="s">
        <v>326</v>
      </c>
      <c r="D10328" s="111" t="str">
        <f t="shared" ref="D10328:E10328" si="10326">TRIM(B10328)</f>
        <v>New York</v>
      </c>
      <c r="E10328" s="111" t="str">
        <f t="shared" si="10326"/>
        <v>Brooklyn</v>
      </c>
    </row>
    <row r="10329" spans="1:5">
      <c r="A10329" s="3" t="s">
        <v>20891</v>
      </c>
      <c r="B10329" s="110" t="s">
        <v>188</v>
      </c>
      <c r="C10329" s="111" t="s">
        <v>326</v>
      </c>
      <c r="D10329" s="111" t="str">
        <f t="shared" ref="D10329:E10329" si="10327">TRIM(B10329)</f>
        <v>New York</v>
      </c>
      <c r="E10329" s="111" t="str">
        <f t="shared" si="10327"/>
        <v>Brooklyn</v>
      </c>
    </row>
    <row r="10330" spans="1:5">
      <c r="A10330" s="3" t="s">
        <v>20892</v>
      </c>
      <c r="B10330" s="110" t="s">
        <v>188</v>
      </c>
      <c r="C10330" s="111" t="s">
        <v>326</v>
      </c>
      <c r="D10330" s="111" t="str">
        <f t="shared" ref="D10330:E10330" si="10328">TRIM(B10330)</f>
        <v>New York</v>
      </c>
      <c r="E10330" s="111" t="str">
        <f t="shared" si="10328"/>
        <v>Brooklyn</v>
      </c>
    </row>
    <row r="10331" spans="1:5">
      <c r="A10331" s="110" t="s">
        <v>20893</v>
      </c>
      <c r="B10331" s="110" t="s">
        <v>188</v>
      </c>
      <c r="C10331" s="111" t="s">
        <v>326</v>
      </c>
      <c r="D10331" s="111" t="str">
        <f t="shared" ref="D10331:E10331" si="10329">TRIM(B10331)</f>
        <v>New York</v>
      </c>
      <c r="E10331" s="111" t="str">
        <f t="shared" si="10329"/>
        <v>Brooklyn</v>
      </c>
    </row>
    <row r="10332" spans="1:5">
      <c r="A10332" s="3" t="s">
        <v>20894</v>
      </c>
      <c r="B10332" s="110" t="s">
        <v>188</v>
      </c>
      <c r="C10332" s="111" t="s">
        <v>326</v>
      </c>
      <c r="D10332" s="111" t="str">
        <f t="shared" ref="D10332:E10332" si="10330">TRIM(B10332)</f>
        <v>New York</v>
      </c>
      <c r="E10332" s="111" t="str">
        <f t="shared" si="10330"/>
        <v>Brooklyn</v>
      </c>
    </row>
    <row r="10333" spans="1:5">
      <c r="A10333" s="3" t="s">
        <v>20895</v>
      </c>
      <c r="B10333" s="110" t="s">
        <v>188</v>
      </c>
      <c r="C10333" s="111" t="s">
        <v>326</v>
      </c>
      <c r="D10333" s="111" t="str">
        <f t="shared" ref="D10333:E10333" si="10331">TRIM(B10333)</f>
        <v>New York</v>
      </c>
      <c r="E10333" s="111" t="str">
        <f t="shared" si="10331"/>
        <v>Brooklyn</v>
      </c>
    </row>
    <row r="10334" spans="1:5">
      <c r="A10334" s="3" t="s">
        <v>20896</v>
      </c>
      <c r="B10334" s="110" t="s">
        <v>188</v>
      </c>
      <c r="C10334" s="111" t="s">
        <v>326</v>
      </c>
      <c r="D10334" s="111" t="str">
        <f t="shared" ref="D10334:E10334" si="10332">TRIM(B10334)</f>
        <v>New York</v>
      </c>
      <c r="E10334" s="111" t="str">
        <f t="shared" si="10332"/>
        <v>Brooklyn</v>
      </c>
    </row>
    <row r="10335" spans="1:5">
      <c r="A10335" s="110" t="s">
        <v>20897</v>
      </c>
      <c r="B10335" s="110" t="s">
        <v>188</v>
      </c>
      <c r="C10335" s="111" t="s">
        <v>326</v>
      </c>
      <c r="D10335" s="111" t="str">
        <f t="shared" ref="D10335:E10335" si="10333">TRIM(B10335)</f>
        <v>New York</v>
      </c>
      <c r="E10335" s="111" t="str">
        <f t="shared" si="10333"/>
        <v>Brooklyn</v>
      </c>
    </row>
    <row r="10336" spans="1:5">
      <c r="A10336" s="3" t="s">
        <v>20898</v>
      </c>
      <c r="B10336" s="110" t="s">
        <v>188</v>
      </c>
      <c r="C10336" s="111" t="s">
        <v>326</v>
      </c>
      <c r="D10336" s="111" t="str">
        <f t="shared" ref="D10336:E10336" si="10334">TRIM(B10336)</f>
        <v>New York</v>
      </c>
      <c r="E10336" s="111" t="str">
        <f t="shared" si="10334"/>
        <v>Brooklyn</v>
      </c>
    </row>
    <row r="10337" spans="1:5">
      <c r="A10337" s="3" t="s">
        <v>20899</v>
      </c>
      <c r="B10337" s="110" t="s">
        <v>188</v>
      </c>
      <c r="C10337" s="111" t="s">
        <v>326</v>
      </c>
      <c r="D10337" s="111" t="str">
        <f t="shared" ref="D10337:E10337" si="10335">TRIM(B10337)</f>
        <v>New York</v>
      </c>
      <c r="E10337" s="111" t="str">
        <f t="shared" si="10335"/>
        <v>Brooklyn</v>
      </c>
    </row>
    <row r="10338" spans="1:5">
      <c r="A10338" s="3" t="s">
        <v>20900</v>
      </c>
      <c r="B10338" s="110" t="s">
        <v>188</v>
      </c>
      <c r="C10338" s="111" t="s">
        <v>326</v>
      </c>
      <c r="D10338" s="111" t="str">
        <f t="shared" ref="D10338:E10338" si="10336">TRIM(B10338)</f>
        <v>New York</v>
      </c>
      <c r="E10338" s="111" t="str">
        <f t="shared" si="10336"/>
        <v>Brooklyn</v>
      </c>
    </row>
    <row r="10339" spans="1:5">
      <c r="A10339" s="3" t="s">
        <v>20901</v>
      </c>
      <c r="B10339" s="110" t="s">
        <v>188</v>
      </c>
      <c r="C10339" s="112" t="s">
        <v>326</v>
      </c>
      <c r="D10339" s="111" t="str">
        <f t="shared" ref="D10339:E10339" si="10337">TRIM(B10339)</f>
        <v>New York</v>
      </c>
      <c r="E10339" s="111" t="str">
        <f t="shared" si="10337"/>
        <v>Brooklyn</v>
      </c>
    </row>
    <row r="10340" spans="1:5">
      <c r="A10340" s="3" t="s">
        <v>20902</v>
      </c>
      <c r="B10340" s="110" t="s">
        <v>188</v>
      </c>
      <c r="C10340" s="111" t="s">
        <v>326</v>
      </c>
      <c r="D10340" s="111" t="str">
        <f t="shared" ref="D10340:E10340" si="10338">TRIM(B10340)</f>
        <v>New York</v>
      </c>
      <c r="E10340" s="111" t="str">
        <f t="shared" si="10338"/>
        <v>Brooklyn</v>
      </c>
    </row>
    <row r="10341" spans="1:5">
      <c r="A10341" s="110" t="s">
        <v>20903</v>
      </c>
      <c r="B10341" s="110" t="s">
        <v>188</v>
      </c>
      <c r="C10341" s="111" t="s">
        <v>326</v>
      </c>
      <c r="D10341" s="111" t="str">
        <f t="shared" ref="D10341:E10341" si="10339">TRIM(B10341)</f>
        <v>New York</v>
      </c>
      <c r="E10341" s="111" t="str">
        <f t="shared" si="10339"/>
        <v>Brooklyn</v>
      </c>
    </row>
    <row r="10342" spans="1:5">
      <c r="A10342" s="3" t="s">
        <v>20904</v>
      </c>
      <c r="B10342" s="110" t="s">
        <v>188</v>
      </c>
      <c r="C10342" s="111" t="s">
        <v>326</v>
      </c>
      <c r="D10342" s="111" t="str">
        <f t="shared" ref="D10342:E10342" si="10340">TRIM(B10342)</f>
        <v>New York</v>
      </c>
      <c r="E10342" s="111" t="str">
        <f t="shared" si="10340"/>
        <v>Brooklyn</v>
      </c>
    </row>
    <row r="10343" spans="1:5">
      <c r="A10343" s="110" t="s">
        <v>20905</v>
      </c>
      <c r="B10343" s="110" t="s">
        <v>188</v>
      </c>
      <c r="C10343" s="111" t="s">
        <v>326</v>
      </c>
      <c r="D10343" s="111" t="str">
        <f t="shared" ref="D10343:E10343" si="10341">TRIM(B10343)</f>
        <v>New York</v>
      </c>
      <c r="E10343" s="111" t="str">
        <f t="shared" si="10341"/>
        <v>Brooklyn</v>
      </c>
    </row>
    <row r="10344" spans="1:5">
      <c r="A10344" s="3" t="s">
        <v>20906</v>
      </c>
      <c r="B10344" s="110" t="s">
        <v>188</v>
      </c>
      <c r="C10344" s="111" t="s">
        <v>326</v>
      </c>
      <c r="D10344" s="111" t="str">
        <f t="shared" ref="D10344:E10344" si="10342">TRIM(B10344)</f>
        <v>New York</v>
      </c>
      <c r="E10344" s="111" t="str">
        <f t="shared" si="10342"/>
        <v>Brooklyn</v>
      </c>
    </row>
    <row r="10345" spans="1:5">
      <c r="A10345" s="3" t="s">
        <v>20907</v>
      </c>
      <c r="B10345" s="110" t="s">
        <v>188</v>
      </c>
      <c r="C10345" s="111" t="s">
        <v>326</v>
      </c>
      <c r="D10345" s="111" t="str">
        <f t="shared" ref="D10345:E10345" si="10343">TRIM(B10345)</f>
        <v>New York</v>
      </c>
      <c r="E10345" s="111" t="str">
        <f t="shared" si="10343"/>
        <v>Brooklyn</v>
      </c>
    </row>
    <row r="10346" spans="1:5">
      <c r="A10346" s="3" t="s">
        <v>20908</v>
      </c>
      <c r="B10346" s="110" t="s">
        <v>188</v>
      </c>
      <c r="C10346" s="111" t="s">
        <v>326</v>
      </c>
      <c r="D10346" s="111" t="str">
        <f t="shared" ref="D10346:E10346" si="10344">TRIM(B10346)</f>
        <v>New York</v>
      </c>
      <c r="E10346" s="111" t="str">
        <f t="shared" si="10344"/>
        <v>Brooklyn</v>
      </c>
    </row>
    <row r="10347" spans="1:5">
      <c r="A10347" s="3" t="s">
        <v>20909</v>
      </c>
      <c r="B10347" s="110" t="s">
        <v>188</v>
      </c>
      <c r="C10347" s="111" t="s">
        <v>326</v>
      </c>
      <c r="D10347" s="111" t="str">
        <f t="shared" ref="D10347:E10347" si="10345">TRIM(B10347)</f>
        <v>New York</v>
      </c>
      <c r="E10347" s="111" t="str">
        <f t="shared" si="10345"/>
        <v>Brooklyn</v>
      </c>
    </row>
    <row r="10348" spans="1:5">
      <c r="A10348" s="110" t="s">
        <v>20910</v>
      </c>
      <c r="B10348" s="110" t="s">
        <v>188</v>
      </c>
      <c r="C10348" s="111" t="s">
        <v>326</v>
      </c>
      <c r="D10348" s="111" t="str">
        <f t="shared" ref="D10348:E10348" si="10346">TRIM(B10348)</f>
        <v>New York</v>
      </c>
      <c r="E10348" s="111" t="str">
        <f t="shared" si="10346"/>
        <v>Brooklyn</v>
      </c>
    </row>
    <row r="10349" spans="1:5">
      <c r="A10349" s="3" t="s">
        <v>20911</v>
      </c>
      <c r="B10349" s="110" t="s">
        <v>188</v>
      </c>
      <c r="C10349" s="111" t="s">
        <v>326</v>
      </c>
      <c r="D10349" s="111" t="str">
        <f t="shared" ref="D10349:E10349" si="10347">TRIM(B10349)</f>
        <v>New York</v>
      </c>
      <c r="E10349" s="111" t="str">
        <f t="shared" si="10347"/>
        <v>Brooklyn</v>
      </c>
    </row>
    <row r="10350" spans="1:5">
      <c r="A10350" s="3" t="s">
        <v>20912</v>
      </c>
      <c r="B10350" s="110" t="s">
        <v>188</v>
      </c>
      <c r="C10350" s="111" t="s">
        <v>326</v>
      </c>
      <c r="D10350" s="111" t="str">
        <f t="shared" ref="D10350:E10350" si="10348">TRIM(B10350)</f>
        <v>New York</v>
      </c>
      <c r="E10350" s="111" t="str">
        <f t="shared" si="10348"/>
        <v>Brooklyn</v>
      </c>
    </row>
    <row r="10351" spans="1:5">
      <c r="A10351" s="3" t="s">
        <v>20913</v>
      </c>
      <c r="B10351" s="110" t="s">
        <v>188</v>
      </c>
      <c r="C10351" s="111" t="s">
        <v>326</v>
      </c>
      <c r="D10351" s="111" t="str">
        <f t="shared" ref="D10351:E10351" si="10349">TRIM(B10351)</f>
        <v>New York</v>
      </c>
      <c r="E10351" s="111" t="str">
        <f t="shared" si="10349"/>
        <v>Brooklyn</v>
      </c>
    </row>
    <row r="10352" spans="1:5">
      <c r="A10352" s="110" t="s">
        <v>20914</v>
      </c>
      <c r="B10352" s="110" t="s">
        <v>188</v>
      </c>
      <c r="C10352" s="111" t="s">
        <v>326</v>
      </c>
      <c r="D10352" s="111" t="str">
        <f t="shared" ref="D10352:E10352" si="10350">TRIM(B10352)</f>
        <v>New York</v>
      </c>
      <c r="E10352" s="111" t="str">
        <f t="shared" si="10350"/>
        <v>Brooklyn</v>
      </c>
    </row>
    <row r="10353" spans="1:5">
      <c r="A10353" s="3" t="s">
        <v>20915</v>
      </c>
      <c r="B10353" s="110" t="s">
        <v>188</v>
      </c>
      <c r="C10353" s="111" t="s">
        <v>326</v>
      </c>
      <c r="D10353" s="111" t="str">
        <f t="shared" ref="D10353:E10353" si="10351">TRIM(B10353)</f>
        <v>New York</v>
      </c>
      <c r="E10353" s="111" t="str">
        <f t="shared" si="10351"/>
        <v>Brooklyn</v>
      </c>
    </row>
    <row r="10354" spans="1:5">
      <c r="A10354" s="110" t="s">
        <v>20916</v>
      </c>
      <c r="B10354" s="110" t="s">
        <v>188</v>
      </c>
      <c r="C10354" s="111" t="s">
        <v>326</v>
      </c>
      <c r="D10354" s="111" t="str">
        <f t="shared" ref="D10354:E10354" si="10352">TRIM(B10354)</f>
        <v>New York</v>
      </c>
      <c r="E10354" s="111" t="str">
        <f t="shared" si="10352"/>
        <v>Brooklyn</v>
      </c>
    </row>
    <row r="10355" spans="1:5">
      <c r="A10355" s="110" t="s">
        <v>20917</v>
      </c>
      <c r="B10355" s="110" t="s">
        <v>188</v>
      </c>
      <c r="C10355" s="111" t="s">
        <v>326</v>
      </c>
      <c r="D10355" s="111" t="str">
        <f t="shared" ref="D10355:E10355" si="10353">TRIM(B10355)</f>
        <v>New York</v>
      </c>
      <c r="E10355" s="111" t="str">
        <f t="shared" si="10353"/>
        <v>Brooklyn</v>
      </c>
    </row>
    <row r="10356" spans="1:5">
      <c r="A10356" s="3" t="s">
        <v>20918</v>
      </c>
      <c r="B10356" s="110" t="s">
        <v>188</v>
      </c>
      <c r="C10356" s="111" t="s">
        <v>326</v>
      </c>
      <c r="D10356" s="111" t="str">
        <f t="shared" ref="D10356:E10356" si="10354">TRIM(B10356)</f>
        <v>New York</v>
      </c>
      <c r="E10356" s="111" t="str">
        <f t="shared" si="10354"/>
        <v>Brooklyn</v>
      </c>
    </row>
    <row r="10357" spans="1:5">
      <c r="A10357" s="110" t="s">
        <v>20919</v>
      </c>
      <c r="B10357" s="110" t="s">
        <v>188</v>
      </c>
      <c r="C10357" s="111" t="s">
        <v>326</v>
      </c>
      <c r="D10357" s="111" t="str">
        <f t="shared" ref="D10357:E10357" si="10355">TRIM(B10357)</f>
        <v>New York</v>
      </c>
      <c r="E10357" s="111" t="str">
        <f t="shared" si="10355"/>
        <v>Brooklyn</v>
      </c>
    </row>
    <row r="10358" spans="1:5">
      <c r="A10358" s="110" t="s">
        <v>20920</v>
      </c>
      <c r="B10358" s="110" t="s">
        <v>188</v>
      </c>
      <c r="C10358" s="111" t="s">
        <v>326</v>
      </c>
      <c r="D10358" s="111" t="str">
        <f t="shared" ref="D10358:E10358" si="10356">TRIM(B10358)</f>
        <v>New York</v>
      </c>
      <c r="E10358" s="111" t="str">
        <f t="shared" si="10356"/>
        <v>Brooklyn</v>
      </c>
    </row>
    <row r="10359" spans="1:5">
      <c r="A10359" s="110" t="s">
        <v>20921</v>
      </c>
      <c r="B10359" s="110" t="s">
        <v>188</v>
      </c>
      <c r="C10359" s="111" t="s">
        <v>326</v>
      </c>
      <c r="D10359" s="111" t="str">
        <f t="shared" ref="D10359:E10359" si="10357">TRIM(B10359)</f>
        <v>New York</v>
      </c>
      <c r="E10359" s="111" t="str">
        <f t="shared" si="10357"/>
        <v>Brooklyn</v>
      </c>
    </row>
    <row r="10360" spans="1:5">
      <c r="A10360" s="110" t="s">
        <v>20922</v>
      </c>
      <c r="B10360" s="110" t="s">
        <v>188</v>
      </c>
      <c r="C10360" s="111" t="s">
        <v>326</v>
      </c>
      <c r="D10360" s="111" t="str">
        <f t="shared" ref="D10360:E10360" si="10358">TRIM(B10360)</f>
        <v>New York</v>
      </c>
      <c r="E10360" s="111" t="str">
        <f t="shared" si="10358"/>
        <v>Brooklyn</v>
      </c>
    </row>
    <row r="10361" spans="1:5">
      <c r="A10361" s="110" t="s">
        <v>20923</v>
      </c>
      <c r="B10361" s="110" t="s">
        <v>188</v>
      </c>
      <c r="C10361" s="111" t="s">
        <v>326</v>
      </c>
      <c r="D10361" s="111" t="str">
        <f t="shared" ref="D10361:E10361" si="10359">TRIM(B10361)</f>
        <v>New York</v>
      </c>
      <c r="E10361" s="111" t="str">
        <f t="shared" si="10359"/>
        <v>Brooklyn</v>
      </c>
    </row>
    <row r="10362" spans="1:5">
      <c r="A10362" s="3" t="s">
        <v>20924</v>
      </c>
      <c r="B10362" s="110" t="s">
        <v>188</v>
      </c>
      <c r="C10362" s="111" t="s">
        <v>326</v>
      </c>
      <c r="D10362" s="111" t="str">
        <f t="shared" ref="D10362:E10362" si="10360">TRIM(B10362)</f>
        <v>New York</v>
      </c>
      <c r="E10362" s="111" t="str">
        <f t="shared" si="10360"/>
        <v>Brooklyn</v>
      </c>
    </row>
    <row r="10363" spans="1:5">
      <c r="A10363" s="3" t="s">
        <v>20925</v>
      </c>
      <c r="B10363" s="110" t="s">
        <v>188</v>
      </c>
      <c r="C10363" s="111" t="s">
        <v>326</v>
      </c>
      <c r="D10363" s="111" t="str">
        <f t="shared" ref="D10363:E10363" si="10361">TRIM(B10363)</f>
        <v>New York</v>
      </c>
      <c r="E10363" s="111" t="str">
        <f t="shared" si="10361"/>
        <v>Brooklyn</v>
      </c>
    </row>
    <row r="10364" spans="1:5">
      <c r="A10364" s="3" t="s">
        <v>20926</v>
      </c>
      <c r="B10364" s="110" t="s">
        <v>188</v>
      </c>
      <c r="C10364" s="111" t="s">
        <v>326</v>
      </c>
      <c r="D10364" s="111" t="str">
        <f t="shared" ref="D10364:E10364" si="10362">TRIM(B10364)</f>
        <v>New York</v>
      </c>
      <c r="E10364" s="111" t="str">
        <f t="shared" si="10362"/>
        <v>Brooklyn</v>
      </c>
    </row>
    <row r="10365" spans="1:5">
      <c r="A10365" s="3" t="s">
        <v>20927</v>
      </c>
      <c r="B10365" s="110" t="s">
        <v>188</v>
      </c>
      <c r="C10365" s="111" t="s">
        <v>326</v>
      </c>
      <c r="D10365" s="111" t="str">
        <f t="shared" ref="D10365:E10365" si="10363">TRIM(B10365)</f>
        <v>New York</v>
      </c>
      <c r="E10365" s="111" t="str">
        <f t="shared" si="10363"/>
        <v>Brooklyn</v>
      </c>
    </row>
    <row r="10366" spans="1:5">
      <c r="A10366" s="3" t="s">
        <v>20928</v>
      </c>
      <c r="B10366" s="110" t="s">
        <v>188</v>
      </c>
      <c r="C10366" s="111" t="s">
        <v>326</v>
      </c>
      <c r="D10366" s="111" t="str">
        <f t="shared" ref="D10366:E10366" si="10364">TRIM(B10366)</f>
        <v>New York</v>
      </c>
      <c r="E10366" s="111" t="str">
        <f t="shared" si="10364"/>
        <v>Brooklyn</v>
      </c>
    </row>
    <row r="10367" spans="1:5">
      <c r="A10367" s="3" t="s">
        <v>20929</v>
      </c>
      <c r="B10367" s="110" t="s">
        <v>188</v>
      </c>
      <c r="C10367" s="111" t="s">
        <v>326</v>
      </c>
      <c r="D10367" s="111" t="str">
        <f t="shared" ref="D10367:E10367" si="10365">TRIM(B10367)</f>
        <v>New York</v>
      </c>
      <c r="E10367" s="111" t="str">
        <f t="shared" si="10365"/>
        <v>Brooklyn</v>
      </c>
    </row>
    <row r="10368" spans="1:5">
      <c r="A10368" s="110" t="s">
        <v>20930</v>
      </c>
      <c r="B10368" s="110" t="s">
        <v>188</v>
      </c>
      <c r="C10368" s="111" t="s">
        <v>326</v>
      </c>
      <c r="D10368" s="111" t="str">
        <f t="shared" ref="D10368:E10368" si="10366">TRIM(B10368)</f>
        <v>New York</v>
      </c>
      <c r="E10368" s="111" t="str">
        <f t="shared" si="10366"/>
        <v>Brooklyn</v>
      </c>
    </row>
    <row r="10369" spans="1:5">
      <c r="A10369" s="3" t="s">
        <v>20931</v>
      </c>
      <c r="B10369" s="110" t="s">
        <v>188</v>
      </c>
      <c r="C10369" s="111" t="s">
        <v>326</v>
      </c>
      <c r="D10369" s="111" t="str">
        <f t="shared" ref="D10369:E10369" si="10367">TRIM(B10369)</f>
        <v>New York</v>
      </c>
      <c r="E10369" s="111" t="str">
        <f t="shared" si="10367"/>
        <v>Brooklyn</v>
      </c>
    </row>
    <row r="10370" spans="1:5">
      <c r="A10370" s="110" t="s">
        <v>20932</v>
      </c>
      <c r="B10370" s="110" t="s">
        <v>188</v>
      </c>
      <c r="C10370" s="111" t="s">
        <v>326</v>
      </c>
      <c r="D10370" s="111" t="str">
        <f t="shared" ref="D10370:E10370" si="10368">TRIM(B10370)</f>
        <v>New York</v>
      </c>
      <c r="E10370" s="111" t="str">
        <f t="shared" si="10368"/>
        <v>Brooklyn</v>
      </c>
    </row>
    <row r="10371" spans="1:5">
      <c r="A10371" s="110" t="s">
        <v>20933</v>
      </c>
      <c r="B10371" s="110" t="s">
        <v>188</v>
      </c>
      <c r="C10371" s="111" t="s">
        <v>326</v>
      </c>
      <c r="D10371" s="111" t="str">
        <f t="shared" ref="D10371:E10371" si="10369">TRIM(B10371)</f>
        <v>New York</v>
      </c>
      <c r="E10371" s="111" t="str">
        <f t="shared" si="10369"/>
        <v>Brooklyn</v>
      </c>
    </row>
    <row r="10372" spans="1:5">
      <c r="A10372" s="3" t="s">
        <v>20934</v>
      </c>
      <c r="B10372" s="110" t="s">
        <v>188</v>
      </c>
      <c r="C10372" s="111" t="s">
        <v>326</v>
      </c>
      <c r="D10372" s="111" t="str">
        <f t="shared" ref="D10372:E10372" si="10370">TRIM(B10372)</f>
        <v>New York</v>
      </c>
      <c r="E10372" s="111" t="str">
        <f t="shared" si="10370"/>
        <v>Brooklyn</v>
      </c>
    </row>
    <row r="10373" spans="1:5">
      <c r="A10373" s="110" t="s">
        <v>20935</v>
      </c>
      <c r="B10373" s="110" t="s">
        <v>188</v>
      </c>
      <c r="C10373" s="111" t="s">
        <v>326</v>
      </c>
      <c r="D10373" s="111" t="str">
        <f t="shared" ref="D10373:E10373" si="10371">TRIM(B10373)</f>
        <v>New York</v>
      </c>
      <c r="E10373" s="111" t="str">
        <f t="shared" si="10371"/>
        <v>Brooklyn</v>
      </c>
    </row>
    <row r="10374" spans="1:5">
      <c r="A10374" s="3" t="s">
        <v>20936</v>
      </c>
      <c r="B10374" s="110" t="s">
        <v>188</v>
      </c>
      <c r="C10374" s="111" t="s">
        <v>326</v>
      </c>
      <c r="D10374" s="111" t="str">
        <f t="shared" ref="D10374:E10374" si="10372">TRIM(B10374)</f>
        <v>New York</v>
      </c>
      <c r="E10374" s="111" t="str">
        <f t="shared" si="10372"/>
        <v>Brooklyn</v>
      </c>
    </row>
    <row r="10375" spans="1:5">
      <c r="A10375" s="3" t="s">
        <v>20937</v>
      </c>
      <c r="B10375" s="110" t="s">
        <v>188</v>
      </c>
      <c r="C10375" s="111" t="s">
        <v>326</v>
      </c>
      <c r="D10375" s="111" t="str">
        <f t="shared" ref="D10375:E10375" si="10373">TRIM(B10375)</f>
        <v>New York</v>
      </c>
      <c r="E10375" s="111" t="str">
        <f t="shared" si="10373"/>
        <v>Brooklyn</v>
      </c>
    </row>
    <row r="10376" spans="1:5">
      <c r="A10376" s="3" t="s">
        <v>20938</v>
      </c>
      <c r="B10376" s="110" t="s">
        <v>188</v>
      </c>
      <c r="C10376" s="111" t="s">
        <v>326</v>
      </c>
      <c r="D10376" s="111" t="str">
        <f t="shared" ref="D10376:E10376" si="10374">TRIM(B10376)</f>
        <v>New York</v>
      </c>
      <c r="E10376" s="111" t="str">
        <f t="shared" si="10374"/>
        <v>Brooklyn</v>
      </c>
    </row>
    <row r="10377" spans="1:5">
      <c r="A10377" s="3" t="s">
        <v>20939</v>
      </c>
      <c r="B10377" s="110" t="s">
        <v>188</v>
      </c>
      <c r="C10377" s="111" t="s">
        <v>326</v>
      </c>
      <c r="D10377" s="111" t="str">
        <f t="shared" ref="D10377:E10377" si="10375">TRIM(B10377)</f>
        <v>New York</v>
      </c>
      <c r="E10377" s="111" t="str">
        <f t="shared" si="10375"/>
        <v>Brooklyn</v>
      </c>
    </row>
    <row r="10378" spans="1:5">
      <c r="A10378" s="3" t="s">
        <v>20940</v>
      </c>
      <c r="B10378" s="110" t="s">
        <v>188</v>
      </c>
      <c r="C10378" s="111" t="s">
        <v>326</v>
      </c>
      <c r="D10378" s="111" t="str">
        <f t="shared" ref="D10378:E10378" si="10376">TRIM(B10378)</f>
        <v>New York</v>
      </c>
      <c r="E10378" s="111" t="str">
        <f t="shared" si="10376"/>
        <v>Brooklyn</v>
      </c>
    </row>
    <row r="10379" spans="1:5">
      <c r="A10379" s="3" t="s">
        <v>20941</v>
      </c>
      <c r="B10379" s="110" t="s">
        <v>188</v>
      </c>
      <c r="C10379" s="111" t="s">
        <v>326</v>
      </c>
      <c r="D10379" s="111" t="str">
        <f t="shared" ref="D10379:E10379" si="10377">TRIM(B10379)</f>
        <v>New York</v>
      </c>
      <c r="E10379" s="111" t="str">
        <f t="shared" si="10377"/>
        <v>Brooklyn</v>
      </c>
    </row>
    <row r="10380" spans="1:5">
      <c r="A10380" s="3" t="s">
        <v>20942</v>
      </c>
      <c r="B10380" s="110" t="s">
        <v>188</v>
      </c>
      <c r="C10380" s="111" t="s">
        <v>326</v>
      </c>
      <c r="D10380" s="111" t="str">
        <f t="shared" ref="D10380:E10380" si="10378">TRIM(B10380)</f>
        <v>New York</v>
      </c>
      <c r="E10380" s="111" t="str">
        <f t="shared" si="10378"/>
        <v>Brooklyn</v>
      </c>
    </row>
    <row r="10381" spans="1:5">
      <c r="A10381" s="110" t="s">
        <v>20943</v>
      </c>
      <c r="B10381" s="110" t="s">
        <v>188</v>
      </c>
      <c r="C10381" s="111" t="s">
        <v>326</v>
      </c>
      <c r="D10381" s="111" t="str">
        <f t="shared" ref="D10381:E10381" si="10379">TRIM(B10381)</f>
        <v>New York</v>
      </c>
      <c r="E10381" s="111" t="str">
        <f t="shared" si="10379"/>
        <v>Brooklyn</v>
      </c>
    </row>
    <row r="10382" spans="1:5">
      <c r="A10382" s="3" t="s">
        <v>20944</v>
      </c>
      <c r="B10382" s="110" t="s">
        <v>188</v>
      </c>
      <c r="C10382" s="111" t="s">
        <v>326</v>
      </c>
      <c r="D10382" s="111" t="str">
        <f t="shared" ref="D10382:E10382" si="10380">TRIM(B10382)</f>
        <v>New York</v>
      </c>
      <c r="E10382" s="111" t="str">
        <f t="shared" si="10380"/>
        <v>Brooklyn</v>
      </c>
    </row>
    <row r="10383" spans="1:5">
      <c r="A10383" s="3" t="s">
        <v>20945</v>
      </c>
      <c r="B10383" s="110" t="s">
        <v>188</v>
      </c>
      <c r="C10383" s="111" t="s">
        <v>326</v>
      </c>
      <c r="D10383" s="111" t="str">
        <f t="shared" ref="D10383:E10383" si="10381">TRIM(B10383)</f>
        <v>New York</v>
      </c>
      <c r="E10383" s="111" t="str">
        <f t="shared" si="10381"/>
        <v>Brooklyn</v>
      </c>
    </row>
    <row r="10384" spans="1:5">
      <c r="A10384" s="3" t="s">
        <v>20946</v>
      </c>
      <c r="B10384" s="110" t="s">
        <v>188</v>
      </c>
      <c r="C10384" s="111" t="s">
        <v>326</v>
      </c>
      <c r="D10384" s="111" t="str">
        <f t="shared" ref="D10384:E10384" si="10382">TRIM(B10384)</f>
        <v>New York</v>
      </c>
      <c r="E10384" s="111" t="str">
        <f t="shared" si="10382"/>
        <v>Brooklyn</v>
      </c>
    </row>
    <row r="10385" spans="1:5">
      <c r="A10385" s="3" t="s">
        <v>20947</v>
      </c>
      <c r="B10385" s="110" t="s">
        <v>188</v>
      </c>
      <c r="C10385" s="111" t="s">
        <v>326</v>
      </c>
      <c r="D10385" s="111" t="str">
        <f t="shared" ref="D10385:E10385" si="10383">TRIM(B10385)</f>
        <v>New York</v>
      </c>
      <c r="E10385" s="111" t="str">
        <f t="shared" si="10383"/>
        <v>Brooklyn</v>
      </c>
    </row>
    <row r="10386" spans="1:5">
      <c r="A10386" s="3" t="s">
        <v>20948</v>
      </c>
      <c r="B10386" s="110" t="s">
        <v>188</v>
      </c>
      <c r="C10386" s="111" t="s">
        <v>326</v>
      </c>
      <c r="D10386" s="111" t="str">
        <f t="shared" ref="D10386:E10386" si="10384">TRIM(B10386)</f>
        <v>New York</v>
      </c>
      <c r="E10386" s="111" t="str">
        <f t="shared" si="10384"/>
        <v>Brooklyn</v>
      </c>
    </row>
    <row r="10387" spans="1:5">
      <c r="A10387" s="3" t="s">
        <v>20949</v>
      </c>
      <c r="B10387" s="110" t="s">
        <v>188</v>
      </c>
      <c r="C10387" s="111" t="s">
        <v>326</v>
      </c>
      <c r="D10387" s="111" t="str">
        <f t="shared" ref="D10387:E10387" si="10385">TRIM(B10387)</f>
        <v>New York</v>
      </c>
      <c r="E10387" s="111" t="str">
        <f t="shared" si="10385"/>
        <v>Brooklyn</v>
      </c>
    </row>
    <row r="10388" spans="1:5">
      <c r="A10388" s="3" t="s">
        <v>20950</v>
      </c>
      <c r="B10388" s="110" t="s">
        <v>188</v>
      </c>
      <c r="C10388" s="111" t="s">
        <v>326</v>
      </c>
      <c r="D10388" s="111" t="str">
        <f t="shared" ref="D10388:E10388" si="10386">TRIM(B10388)</f>
        <v>New York</v>
      </c>
      <c r="E10388" s="111" t="str">
        <f t="shared" si="10386"/>
        <v>Brooklyn</v>
      </c>
    </row>
    <row r="10389" spans="1:5">
      <c r="A10389" s="3" t="s">
        <v>20951</v>
      </c>
      <c r="B10389" s="110" t="s">
        <v>188</v>
      </c>
      <c r="C10389" s="111" t="s">
        <v>326</v>
      </c>
      <c r="D10389" s="111" t="str">
        <f t="shared" ref="D10389:E10389" si="10387">TRIM(B10389)</f>
        <v>New York</v>
      </c>
      <c r="E10389" s="111" t="str">
        <f t="shared" si="10387"/>
        <v>Brooklyn</v>
      </c>
    </row>
    <row r="10390" spans="1:5">
      <c r="A10390" s="3" t="s">
        <v>20952</v>
      </c>
      <c r="B10390" s="110" t="s">
        <v>188</v>
      </c>
      <c r="C10390" s="111" t="s">
        <v>326</v>
      </c>
      <c r="D10390" s="111" t="str">
        <f t="shared" ref="D10390:E10390" si="10388">TRIM(B10390)</f>
        <v>New York</v>
      </c>
      <c r="E10390" s="111" t="str">
        <f t="shared" si="10388"/>
        <v>Brooklyn</v>
      </c>
    </row>
    <row r="10391" spans="1:5">
      <c r="A10391" s="3" t="s">
        <v>20953</v>
      </c>
      <c r="B10391" s="110" t="s">
        <v>188</v>
      </c>
      <c r="C10391" s="111" t="s">
        <v>326</v>
      </c>
      <c r="D10391" s="111" t="str">
        <f t="shared" ref="D10391:E10391" si="10389">TRIM(B10391)</f>
        <v>New York</v>
      </c>
      <c r="E10391" s="111" t="str">
        <f t="shared" si="10389"/>
        <v>Brooklyn</v>
      </c>
    </row>
    <row r="10392" spans="1:5">
      <c r="A10392" s="3" t="s">
        <v>20954</v>
      </c>
      <c r="B10392" s="110" t="s">
        <v>188</v>
      </c>
      <c r="C10392" s="111" t="s">
        <v>326</v>
      </c>
      <c r="D10392" s="111" t="str">
        <f t="shared" ref="D10392:E10392" si="10390">TRIM(B10392)</f>
        <v>New York</v>
      </c>
      <c r="E10392" s="111" t="str">
        <f t="shared" si="10390"/>
        <v>Brooklyn</v>
      </c>
    </row>
    <row r="10393" spans="1:5">
      <c r="A10393" s="3" t="s">
        <v>20955</v>
      </c>
      <c r="B10393" s="110" t="s">
        <v>188</v>
      </c>
      <c r="C10393" s="111" t="s">
        <v>326</v>
      </c>
      <c r="D10393" s="111" t="str">
        <f t="shared" ref="D10393:E10393" si="10391">TRIM(B10393)</f>
        <v>New York</v>
      </c>
      <c r="E10393" s="111" t="str">
        <f t="shared" si="10391"/>
        <v>Brooklyn</v>
      </c>
    </row>
    <row r="10394" spans="1:5">
      <c r="A10394" s="3" t="s">
        <v>20956</v>
      </c>
      <c r="B10394" s="110" t="s">
        <v>188</v>
      </c>
      <c r="C10394" s="111" t="s">
        <v>326</v>
      </c>
      <c r="D10394" s="111" t="str">
        <f t="shared" ref="D10394:E10394" si="10392">TRIM(B10394)</f>
        <v>New York</v>
      </c>
      <c r="E10394" s="111" t="str">
        <f t="shared" si="10392"/>
        <v>Brooklyn</v>
      </c>
    </row>
    <row r="10395" spans="1:5">
      <c r="A10395" s="3" t="s">
        <v>20957</v>
      </c>
      <c r="B10395" s="110" t="s">
        <v>188</v>
      </c>
      <c r="C10395" s="111" t="s">
        <v>326</v>
      </c>
      <c r="D10395" s="111" t="str">
        <f t="shared" ref="D10395:E10395" si="10393">TRIM(B10395)</f>
        <v>New York</v>
      </c>
      <c r="E10395" s="111" t="str">
        <f t="shared" si="10393"/>
        <v>Brooklyn</v>
      </c>
    </row>
    <row r="10396" spans="1:5">
      <c r="A10396" s="3" t="s">
        <v>20958</v>
      </c>
      <c r="B10396" s="110" t="s">
        <v>188</v>
      </c>
      <c r="C10396" s="111" t="s">
        <v>326</v>
      </c>
      <c r="D10396" s="111" t="str">
        <f t="shared" ref="D10396:E10396" si="10394">TRIM(B10396)</f>
        <v>New York</v>
      </c>
      <c r="E10396" s="111" t="str">
        <f t="shared" si="10394"/>
        <v>Brooklyn</v>
      </c>
    </row>
    <row r="10397" spans="1:5">
      <c r="A10397" s="3" t="s">
        <v>20959</v>
      </c>
      <c r="B10397" s="110" t="s">
        <v>188</v>
      </c>
      <c r="C10397" s="111" t="s">
        <v>326</v>
      </c>
      <c r="D10397" s="111" t="str">
        <f t="shared" ref="D10397:E10397" si="10395">TRIM(B10397)</f>
        <v>New York</v>
      </c>
      <c r="E10397" s="111" t="str">
        <f t="shared" si="10395"/>
        <v>Brooklyn</v>
      </c>
    </row>
    <row r="10398" spans="1:5">
      <c r="A10398" s="3" t="s">
        <v>20960</v>
      </c>
      <c r="B10398" s="110" t="s">
        <v>188</v>
      </c>
      <c r="C10398" s="111" t="s">
        <v>326</v>
      </c>
      <c r="D10398" s="111" t="str">
        <f t="shared" ref="D10398:E10398" si="10396">TRIM(B10398)</f>
        <v>New York</v>
      </c>
      <c r="E10398" s="111" t="str">
        <f t="shared" si="10396"/>
        <v>Brooklyn</v>
      </c>
    </row>
    <row r="10399" spans="1:5">
      <c r="A10399" s="3" t="s">
        <v>20961</v>
      </c>
      <c r="B10399" s="110" t="s">
        <v>188</v>
      </c>
      <c r="C10399" s="111" t="s">
        <v>326</v>
      </c>
      <c r="D10399" s="111" t="str">
        <f t="shared" ref="D10399:E10399" si="10397">TRIM(B10399)</f>
        <v>New York</v>
      </c>
      <c r="E10399" s="111" t="str">
        <f t="shared" si="10397"/>
        <v>Brooklyn</v>
      </c>
    </row>
    <row r="10400" spans="1:5">
      <c r="A10400" s="110" t="s">
        <v>20962</v>
      </c>
      <c r="B10400" s="110" t="s">
        <v>188</v>
      </c>
      <c r="C10400" s="111" t="s">
        <v>326</v>
      </c>
      <c r="D10400" s="111" t="str">
        <f t="shared" ref="D10400:E10400" si="10398">TRIM(B10400)</f>
        <v>New York</v>
      </c>
      <c r="E10400" s="111" t="str">
        <f t="shared" si="10398"/>
        <v>Brooklyn</v>
      </c>
    </row>
    <row r="10401" spans="1:5">
      <c r="A10401" s="110" t="s">
        <v>20963</v>
      </c>
      <c r="B10401" s="110" t="s">
        <v>188</v>
      </c>
      <c r="C10401" s="111" t="s">
        <v>326</v>
      </c>
      <c r="D10401" s="111" t="str">
        <f t="shared" ref="D10401:E10401" si="10399">TRIM(B10401)</f>
        <v>New York</v>
      </c>
      <c r="E10401" s="111" t="str">
        <f t="shared" si="10399"/>
        <v>Brooklyn</v>
      </c>
    </row>
    <row r="10402" spans="1:5">
      <c r="A10402" s="3" t="s">
        <v>20964</v>
      </c>
      <c r="B10402" s="110" t="s">
        <v>188</v>
      </c>
      <c r="C10402" s="111" t="s">
        <v>326</v>
      </c>
      <c r="D10402" s="111" t="str">
        <f t="shared" ref="D10402:E10402" si="10400">TRIM(B10402)</f>
        <v>New York</v>
      </c>
      <c r="E10402" s="111" t="str">
        <f t="shared" si="10400"/>
        <v>Brooklyn</v>
      </c>
    </row>
    <row r="10403" spans="1:5">
      <c r="A10403" s="110" t="s">
        <v>20965</v>
      </c>
      <c r="B10403" s="110" t="s">
        <v>188</v>
      </c>
      <c r="C10403" s="111" t="s">
        <v>326</v>
      </c>
      <c r="D10403" s="111" t="str">
        <f t="shared" ref="D10403:E10403" si="10401">TRIM(B10403)</f>
        <v>New York</v>
      </c>
      <c r="E10403" s="111" t="str">
        <f t="shared" si="10401"/>
        <v>Brooklyn</v>
      </c>
    </row>
    <row r="10404" spans="1:5">
      <c r="A10404" s="110" t="s">
        <v>20966</v>
      </c>
      <c r="B10404" s="110" t="s">
        <v>188</v>
      </c>
      <c r="C10404" s="111" t="s">
        <v>326</v>
      </c>
      <c r="D10404" s="111" t="str">
        <f t="shared" ref="D10404:E10404" si="10402">TRIM(B10404)</f>
        <v>New York</v>
      </c>
      <c r="E10404" s="111" t="str">
        <f t="shared" si="10402"/>
        <v>Brooklyn</v>
      </c>
    </row>
    <row r="10405" spans="1:5">
      <c r="A10405" s="3" t="s">
        <v>20967</v>
      </c>
      <c r="B10405" s="110" t="s">
        <v>188</v>
      </c>
      <c r="C10405" s="111" t="s">
        <v>326</v>
      </c>
      <c r="D10405" s="111" t="str">
        <f t="shared" ref="D10405:E10405" si="10403">TRIM(B10405)</f>
        <v>New York</v>
      </c>
      <c r="E10405" s="111" t="str">
        <f t="shared" si="10403"/>
        <v>Brooklyn</v>
      </c>
    </row>
    <row r="10406" spans="1:5">
      <c r="A10406" s="110" t="s">
        <v>20968</v>
      </c>
      <c r="B10406" s="110" t="s">
        <v>188</v>
      </c>
      <c r="C10406" s="111" t="s">
        <v>326</v>
      </c>
      <c r="D10406" s="111" t="str">
        <f t="shared" ref="D10406:E10406" si="10404">TRIM(B10406)</f>
        <v>New York</v>
      </c>
      <c r="E10406" s="111" t="str">
        <f t="shared" si="10404"/>
        <v>Brooklyn</v>
      </c>
    </row>
    <row r="10407" spans="1:5">
      <c r="A10407" s="3" t="s">
        <v>20969</v>
      </c>
      <c r="B10407" s="110" t="s">
        <v>188</v>
      </c>
      <c r="C10407" s="111" t="s">
        <v>326</v>
      </c>
      <c r="D10407" s="111" t="str">
        <f t="shared" ref="D10407:E10407" si="10405">TRIM(B10407)</f>
        <v>New York</v>
      </c>
      <c r="E10407" s="111" t="str">
        <f t="shared" si="10405"/>
        <v>Brooklyn</v>
      </c>
    </row>
    <row r="10408" spans="1:5">
      <c r="A10408" s="110" t="s">
        <v>20970</v>
      </c>
      <c r="B10408" s="110" t="s">
        <v>188</v>
      </c>
      <c r="C10408" s="111" t="s">
        <v>326</v>
      </c>
      <c r="D10408" s="111" t="str">
        <f t="shared" ref="D10408:E10408" si="10406">TRIM(B10408)</f>
        <v>New York</v>
      </c>
      <c r="E10408" s="111" t="str">
        <f t="shared" si="10406"/>
        <v>Brooklyn</v>
      </c>
    </row>
    <row r="10409" spans="1:5">
      <c r="A10409" s="3" t="s">
        <v>20971</v>
      </c>
      <c r="B10409" s="110" t="s">
        <v>188</v>
      </c>
      <c r="C10409" s="111" t="s">
        <v>326</v>
      </c>
      <c r="D10409" s="111" t="str">
        <f t="shared" ref="D10409:E10409" si="10407">TRIM(B10409)</f>
        <v>New York</v>
      </c>
      <c r="E10409" s="111" t="str">
        <f t="shared" si="10407"/>
        <v>Brooklyn</v>
      </c>
    </row>
    <row r="10410" spans="1:5">
      <c r="A10410" s="110" t="s">
        <v>20972</v>
      </c>
      <c r="B10410" s="110" t="s">
        <v>188</v>
      </c>
      <c r="C10410" s="111" t="s">
        <v>326</v>
      </c>
      <c r="D10410" s="111" t="str">
        <f t="shared" ref="D10410:E10410" si="10408">TRIM(B10410)</f>
        <v>New York</v>
      </c>
      <c r="E10410" s="111" t="str">
        <f t="shared" si="10408"/>
        <v>Brooklyn</v>
      </c>
    </row>
    <row r="10411" spans="1:5">
      <c r="A10411" s="3" t="s">
        <v>20973</v>
      </c>
      <c r="B10411" s="110" t="s">
        <v>188</v>
      </c>
      <c r="C10411" s="111" t="s">
        <v>326</v>
      </c>
      <c r="D10411" s="111" t="str">
        <f t="shared" ref="D10411:E10411" si="10409">TRIM(B10411)</f>
        <v>New York</v>
      </c>
      <c r="E10411" s="111" t="str">
        <f t="shared" si="10409"/>
        <v>Brooklyn</v>
      </c>
    </row>
    <row r="10412" spans="1:5">
      <c r="A10412" s="3" t="s">
        <v>20974</v>
      </c>
      <c r="B10412" s="110" t="s">
        <v>188</v>
      </c>
      <c r="C10412" s="111" t="s">
        <v>326</v>
      </c>
      <c r="D10412" s="111" t="str">
        <f t="shared" ref="D10412:E10412" si="10410">TRIM(B10412)</f>
        <v>New York</v>
      </c>
      <c r="E10412" s="111" t="str">
        <f t="shared" si="10410"/>
        <v>Brooklyn</v>
      </c>
    </row>
    <row r="10413" spans="1:5">
      <c r="A10413" s="3" t="s">
        <v>20975</v>
      </c>
      <c r="B10413" s="110" t="s">
        <v>188</v>
      </c>
      <c r="C10413" s="111" t="s">
        <v>326</v>
      </c>
      <c r="D10413" s="111" t="str">
        <f t="shared" ref="D10413:E10413" si="10411">TRIM(B10413)</f>
        <v>New York</v>
      </c>
      <c r="E10413" s="111" t="str">
        <f t="shared" si="10411"/>
        <v>Brooklyn</v>
      </c>
    </row>
    <row r="10414" spans="1:5">
      <c r="A10414" s="3" t="s">
        <v>20976</v>
      </c>
      <c r="B10414" s="110" t="s">
        <v>188</v>
      </c>
      <c r="C10414" s="111" t="s">
        <v>326</v>
      </c>
      <c r="D10414" s="111" t="str">
        <f t="shared" ref="D10414:E10414" si="10412">TRIM(B10414)</f>
        <v>New York</v>
      </c>
      <c r="E10414" s="111" t="str">
        <f t="shared" si="10412"/>
        <v>Brooklyn</v>
      </c>
    </row>
    <row r="10415" spans="1:5">
      <c r="A10415" s="3" t="s">
        <v>20977</v>
      </c>
      <c r="B10415" s="110" t="s">
        <v>188</v>
      </c>
      <c r="C10415" s="111" t="s">
        <v>326</v>
      </c>
      <c r="D10415" s="111" t="str">
        <f t="shared" ref="D10415:E10415" si="10413">TRIM(B10415)</f>
        <v>New York</v>
      </c>
      <c r="E10415" s="111" t="str">
        <f t="shared" si="10413"/>
        <v>Brooklyn</v>
      </c>
    </row>
    <row r="10416" spans="1:5">
      <c r="A10416" s="3" t="s">
        <v>20978</v>
      </c>
      <c r="B10416" s="110" t="s">
        <v>188</v>
      </c>
      <c r="C10416" s="111" t="s">
        <v>326</v>
      </c>
      <c r="D10416" s="111" t="str">
        <f t="shared" ref="D10416:E10416" si="10414">TRIM(B10416)</f>
        <v>New York</v>
      </c>
      <c r="E10416" s="111" t="str">
        <f t="shared" si="10414"/>
        <v>Brooklyn</v>
      </c>
    </row>
    <row r="10417" spans="1:5">
      <c r="A10417" s="3" t="s">
        <v>20979</v>
      </c>
      <c r="B10417" s="110" t="s">
        <v>188</v>
      </c>
      <c r="C10417" s="111" t="s">
        <v>326</v>
      </c>
      <c r="D10417" s="111" t="str">
        <f t="shared" ref="D10417:E10417" si="10415">TRIM(B10417)</f>
        <v>New York</v>
      </c>
      <c r="E10417" s="111" t="str">
        <f t="shared" si="10415"/>
        <v>Brooklyn</v>
      </c>
    </row>
    <row r="10418" spans="1:5">
      <c r="A10418" s="3" t="s">
        <v>20980</v>
      </c>
      <c r="B10418" s="110" t="s">
        <v>188</v>
      </c>
      <c r="C10418" s="111" t="s">
        <v>326</v>
      </c>
      <c r="D10418" s="111" t="str">
        <f t="shared" ref="D10418:E10418" si="10416">TRIM(B10418)</f>
        <v>New York</v>
      </c>
      <c r="E10418" s="111" t="str">
        <f t="shared" si="10416"/>
        <v>Brooklyn</v>
      </c>
    </row>
    <row r="10419" spans="1:5">
      <c r="A10419" s="3" t="s">
        <v>20981</v>
      </c>
      <c r="B10419" s="110" t="s">
        <v>188</v>
      </c>
      <c r="C10419" s="111" t="s">
        <v>326</v>
      </c>
      <c r="D10419" s="111" t="str">
        <f t="shared" ref="D10419:E10419" si="10417">TRIM(B10419)</f>
        <v>New York</v>
      </c>
      <c r="E10419" s="111" t="str">
        <f t="shared" si="10417"/>
        <v>Brooklyn</v>
      </c>
    </row>
    <row r="10420" spans="1:5">
      <c r="A10420" s="3" t="s">
        <v>20982</v>
      </c>
      <c r="B10420" s="110" t="s">
        <v>188</v>
      </c>
      <c r="C10420" s="111" t="s">
        <v>326</v>
      </c>
      <c r="D10420" s="111" t="str">
        <f t="shared" ref="D10420:E10420" si="10418">TRIM(B10420)</f>
        <v>New York</v>
      </c>
      <c r="E10420" s="111" t="str">
        <f t="shared" si="10418"/>
        <v>Brooklyn</v>
      </c>
    </row>
    <row r="10421" spans="1:5">
      <c r="A10421" s="3" t="s">
        <v>20983</v>
      </c>
      <c r="B10421" s="110" t="s">
        <v>188</v>
      </c>
      <c r="C10421" s="111" t="s">
        <v>326</v>
      </c>
      <c r="D10421" s="111" t="str">
        <f t="shared" ref="D10421:E10421" si="10419">TRIM(B10421)</f>
        <v>New York</v>
      </c>
      <c r="E10421" s="111" t="str">
        <f t="shared" si="10419"/>
        <v>Brooklyn</v>
      </c>
    </row>
    <row r="10422" spans="1:5">
      <c r="A10422" s="110" t="s">
        <v>20984</v>
      </c>
      <c r="B10422" s="110" t="s">
        <v>188</v>
      </c>
      <c r="C10422" s="111" t="s">
        <v>326</v>
      </c>
      <c r="D10422" s="111" t="str">
        <f t="shared" ref="D10422:E10422" si="10420">TRIM(B10422)</f>
        <v>New York</v>
      </c>
      <c r="E10422" s="111" t="str">
        <f t="shared" si="10420"/>
        <v>Brooklyn</v>
      </c>
    </row>
    <row r="10423" spans="1:5">
      <c r="A10423" s="3" t="s">
        <v>20985</v>
      </c>
      <c r="B10423" s="110" t="s">
        <v>188</v>
      </c>
      <c r="C10423" s="111" t="s">
        <v>326</v>
      </c>
      <c r="D10423" s="111" t="str">
        <f t="shared" ref="D10423:E10423" si="10421">TRIM(B10423)</f>
        <v>New York</v>
      </c>
      <c r="E10423" s="111" t="str">
        <f t="shared" si="10421"/>
        <v>Brooklyn</v>
      </c>
    </row>
    <row r="10424" spans="1:5">
      <c r="A10424" s="3" t="s">
        <v>20986</v>
      </c>
      <c r="B10424" s="110" t="s">
        <v>188</v>
      </c>
      <c r="C10424" s="111" t="s">
        <v>326</v>
      </c>
      <c r="D10424" s="111" t="str">
        <f t="shared" ref="D10424:E10424" si="10422">TRIM(B10424)</f>
        <v>New York</v>
      </c>
      <c r="E10424" s="111" t="str">
        <f t="shared" si="10422"/>
        <v>Brooklyn</v>
      </c>
    </row>
    <row r="10425" spans="1:5">
      <c r="A10425" s="3" t="s">
        <v>20987</v>
      </c>
      <c r="B10425" s="110" t="s">
        <v>188</v>
      </c>
      <c r="C10425" s="111" t="s">
        <v>326</v>
      </c>
      <c r="D10425" s="111" t="str">
        <f t="shared" ref="D10425:E10425" si="10423">TRIM(B10425)</f>
        <v>New York</v>
      </c>
      <c r="E10425" s="111" t="str">
        <f t="shared" si="10423"/>
        <v>Brooklyn</v>
      </c>
    </row>
    <row r="10426" spans="1:5">
      <c r="A10426" s="3" t="s">
        <v>20988</v>
      </c>
      <c r="B10426" s="110" t="s">
        <v>188</v>
      </c>
      <c r="C10426" s="111" t="s">
        <v>326</v>
      </c>
      <c r="D10426" s="111" t="str">
        <f t="shared" ref="D10426:E10426" si="10424">TRIM(B10426)</f>
        <v>New York</v>
      </c>
      <c r="E10426" s="111" t="str">
        <f t="shared" si="10424"/>
        <v>Brooklyn</v>
      </c>
    </row>
    <row r="10427" spans="1:5">
      <c r="A10427" s="3" t="s">
        <v>20989</v>
      </c>
      <c r="B10427" s="110" t="s">
        <v>188</v>
      </c>
      <c r="C10427" s="111" t="s">
        <v>326</v>
      </c>
      <c r="D10427" s="111" t="str">
        <f t="shared" ref="D10427:E10427" si="10425">TRIM(B10427)</f>
        <v>New York</v>
      </c>
      <c r="E10427" s="111" t="str">
        <f t="shared" si="10425"/>
        <v>Brooklyn</v>
      </c>
    </row>
    <row r="10428" spans="1:5">
      <c r="A10428" s="3" t="s">
        <v>20990</v>
      </c>
      <c r="B10428" s="110" t="s">
        <v>188</v>
      </c>
      <c r="C10428" s="111" t="s">
        <v>326</v>
      </c>
      <c r="D10428" s="111" t="str">
        <f t="shared" ref="D10428:E10428" si="10426">TRIM(B10428)</f>
        <v>New York</v>
      </c>
      <c r="E10428" s="111" t="str">
        <f t="shared" si="10426"/>
        <v>Brooklyn</v>
      </c>
    </row>
    <row r="10429" spans="1:5">
      <c r="A10429" s="110" t="s">
        <v>20991</v>
      </c>
      <c r="B10429" s="110" t="s">
        <v>188</v>
      </c>
      <c r="C10429" s="111" t="s">
        <v>326</v>
      </c>
      <c r="D10429" s="111" t="str">
        <f t="shared" ref="D10429:E10429" si="10427">TRIM(B10429)</f>
        <v>New York</v>
      </c>
      <c r="E10429" s="111" t="str">
        <f t="shared" si="10427"/>
        <v>Brooklyn</v>
      </c>
    </row>
    <row r="10430" spans="1:5">
      <c r="A10430" s="3" t="s">
        <v>20992</v>
      </c>
      <c r="B10430" s="110" t="s">
        <v>188</v>
      </c>
      <c r="C10430" s="111" t="s">
        <v>326</v>
      </c>
      <c r="D10430" s="111" t="str">
        <f t="shared" ref="D10430:E10430" si="10428">TRIM(B10430)</f>
        <v>New York</v>
      </c>
      <c r="E10430" s="111" t="str">
        <f t="shared" si="10428"/>
        <v>Brooklyn</v>
      </c>
    </row>
    <row r="10431" spans="1:5">
      <c r="A10431" s="3" t="s">
        <v>20993</v>
      </c>
      <c r="B10431" s="110" t="s">
        <v>188</v>
      </c>
      <c r="C10431" s="111" t="s">
        <v>326</v>
      </c>
      <c r="D10431" s="111" t="str">
        <f t="shared" ref="D10431:E10431" si="10429">TRIM(B10431)</f>
        <v>New York</v>
      </c>
      <c r="E10431" s="111" t="str">
        <f t="shared" si="10429"/>
        <v>Brooklyn</v>
      </c>
    </row>
    <row r="10432" spans="1:5">
      <c r="A10432" s="110" t="s">
        <v>20994</v>
      </c>
      <c r="B10432" s="110" t="s">
        <v>188</v>
      </c>
      <c r="C10432" s="111" t="s">
        <v>326</v>
      </c>
      <c r="D10432" s="111" t="str">
        <f t="shared" ref="D10432:E10432" si="10430">TRIM(B10432)</f>
        <v>New York</v>
      </c>
      <c r="E10432" s="111" t="str">
        <f t="shared" si="10430"/>
        <v>Brooklyn</v>
      </c>
    </row>
    <row r="10433" spans="1:5">
      <c r="A10433" s="3" t="s">
        <v>20995</v>
      </c>
      <c r="B10433" s="110" t="s">
        <v>188</v>
      </c>
      <c r="C10433" s="111" t="s">
        <v>326</v>
      </c>
      <c r="D10433" s="111" t="str">
        <f t="shared" ref="D10433:E10433" si="10431">TRIM(B10433)</f>
        <v>New York</v>
      </c>
      <c r="E10433" s="111" t="str">
        <f t="shared" si="10431"/>
        <v>Brooklyn</v>
      </c>
    </row>
    <row r="10434" spans="1:5">
      <c r="A10434" s="110" t="s">
        <v>20996</v>
      </c>
      <c r="B10434" s="110" t="s">
        <v>188</v>
      </c>
      <c r="C10434" s="111" t="s">
        <v>326</v>
      </c>
      <c r="D10434" s="111" t="str">
        <f t="shared" ref="D10434:E10434" si="10432">TRIM(B10434)</f>
        <v>New York</v>
      </c>
      <c r="E10434" s="111" t="str">
        <f t="shared" si="10432"/>
        <v>Brooklyn</v>
      </c>
    </row>
    <row r="10435" spans="1:5">
      <c r="A10435" s="3" t="s">
        <v>20997</v>
      </c>
      <c r="B10435" s="110" t="s">
        <v>188</v>
      </c>
      <c r="C10435" s="111" t="s">
        <v>326</v>
      </c>
      <c r="D10435" s="111" t="str">
        <f t="shared" ref="D10435:E10435" si="10433">TRIM(B10435)</f>
        <v>New York</v>
      </c>
      <c r="E10435" s="111" t="str">
        <f t="shared" si="10433"/>
        <v>Brooklyn</v>
      </c>
    </row>
    <row r="10436" spans="1:5">
      <c r="A10436" s="3" t="s">
        <v>20998</v>
      </c>
      <c r="B10436" s="110" t="s">
        <v>188</v>
      </c>
      <c r="C10436" s="111" t="s">
        <v>326</v>
      </c>
      <c r="D10436" s="111" t="str">
        <f t="shared" ref="D10436:E10436" si="10434">TRIM(B10436)</f>
        <v>New York</v>
      </c>
      <c r="E10436" s="111" t="str">
        <f t="shared" si="10434"/>
        <v>Brooklyn</v>
      </c>
    </row>
    <row r="10437" spans="1:5">
      <c r="A10437" s="3" t="s">
        <v>20999</v>
      </c>
      <c r="B10437" s="110" t="s">
        <v>188</v>
      </c>
      <c r="C10437" s="111" t="s">
        <v>326</v>
      </c>
      <c r="D10437" s="111" t="str">
        <f t="shared" ref="D10437:E10437" si="10435">TRIM(B10437)</f>
        <v>New York</v>
      </c>
      <c r="E10437" s="111" t="str">
        <f t="shared" si="10435"/>
        <v>Brooklyn</v>
      </c>
    </row>
    <row r="10438" spans="1:5">
      <c r="A10438" s="110" t="s">
        <v>21000</v>
      </c>
      <c r="B10438" s="110" t="s">
        <v>188</v>
      </c>
      <c r="C10438" s="111" t="s">
        <v>326</v>
      </c>
      <c r="D10438" s="111" t="str">
        <f t="shared" ref="D10438:E10438" si="10436">TRIM(B10438)</f>
        <v>New York</v>
      </c>
      <c r="E10438" s="111" t="str">
        <f t="shared" si="10436"/>
        <v>Brooklyn</v>
      </c>
    </row>
    <row r="10439" spans="1:5">
      <c r="A10439" s="3" t="s">
        <v>21001</v>
      </c>
      <c r="B10439" s="110" t="s">
        <v>188</v>
      </c>
      <c r="C10439" s="111" t="s">
        <v>326</v>
      </c>
      <c r="D10439" s="111" t="str">
        <f t="shared" ref="D10439:E10439" si="10437">TRIM(B10439)</f>
        <v>New York</v>
      </c>
      <c r="E10439" s="111" t="str">
        <f t="shared" si="10437"/>
        <v>Brooklyn</v>
      </c>
    </row>
    <row r="10440" spans="1:5">
      <c r="A10440" s="110" t="s">
        <v>21002</v>
      </c>
      <c r="B10440" s="110" t="s">
        <v>188</v>
      </c>
      <c r="C10440" s="111" t="s">
        <v>326</v>
      </c>
      <c r="D10440" s="111" t="str">
        <f t="shared" ref="D10440:E10440" si="10438">TRIM(B10440)</f>
        <v>New York</v>
      </c>
      <c r="E10440" s="111" t="str">
        <f t="shared" si="10438"/>
        <v>Brooklyn</v>
      </c>
    </row>
    <row r="10441" spans="1:5">
      <c r="A10441" s="110" t="s">
        <v>21003</v>
      </c>
      <c r="B10441" s="110" t="s">
        <v>188</v>
      </c>
      <c r="C10441" s="111" t="s">
        <v>326</v>
      </c>
      <c r="D10441" s="111" t="str">
        <f t="shared" ref="D10441:E10441" si="10439">TRIM(B10441)</f>
        <v>New York</v>
      </c>
      <c r="E10441" s="111" t="str">
        <f t="shared" si="10439"/>
        <v>Brooklyn</v>
      </c>
    </row>
    <row r="10442" spans="1:5">
      <c r="A10442" s="110" t="s">
        <v>21004</v>
      </c>
      <c r="B10442" s="110" t="s">
        <v>188</v>
      </c>
      <c r="C10442" s="111" t="s">
        <v>326</v>
      </c>
      <c r="D10442" s="111" t="str">
        <f t="shared" ref="D10442:E10442" si="10440">TRIM(B10442)</f>
        <v>New York</v>
      </c>
      <c r="E10442" s="111" t="str">
        <f t="shared" si="10440"/>
        <v>Brooklyn</v>
      </c>
    </row>
    <row r="10443" spans="1:5">
      <c r="A10443" s="110" t="s">
        <v>21005</v>
      </c>
      <c r="B10443" s="110" t="s">
        <v>188</v>
      </c>
      <c r="C10443" s="111" t="s">
        <v>326</v>
      </c>
      <c r="D10443" s="111" t="str">
        <f t="shared" ref="D10443:E10443" si="10441">TRIM(B10443)</f>
        <v>New York</v>
      </c>
      <c r="E10443" s="111" t="str">
        <f t="shared" si="10441"/>
        <v>Brooklyn</v>
      </c>
    </row>
    <row r="10444" spans="1:5">
      <c r="A10444" s="3" t="s">
        <v>21006</v>
      </c>
      <c r="B10444" s="110" t="s">
        <v>188</v>
      </c>
      <c r="C10444" s="111" t="s">
        <v>326</v>
      </c>
      <c r="D10444" s="111" t="str">
        <f t="shared" ref="D10444:E10444" si="10442">TRIM(B10444)</f>
        <v>New York</v>
      </c>
      <c r="E10444" s="111" t="str">
        <f t="shared" si="10442"/>
        <v>Brooklyn</v>
      </c>
    </row>
    <row r="10445" spans="1:5">
      <c r="A10445" s="3" t="s">
        <v>21007</v>
      </c>
      <c r="B10445" s="110" t="s">
        <v>188</v>
      </c>
      <c r="C10445" s="111" t="s">
        <v>326</v>
      </c>
      <c r="D10445" s="111" t="str">
        <f t="shared" ref="D10445:E10445" si="10443">TRIM(B10445)</f>
        <v>New York</v>
      </c>
      <c r="E10445" s="111" t="str">
        <f t="shared" si="10443"/>
        <v>Brooklyn</v>
      </c>
    </row>
    <row r="10446" spans="1:5">
      <c r="A10446" s="3" t="s">
        <v>21008</v>
      </c>
      <c r="B10446" s="110" t="s">
        <v>188</v>
      </c>
      <c r="C10446" s="111" t="s">
        <v>326</v>
      </c>
      <c r="D10446" s="111" t="str">
        <f t="shared" ref="D10446:E10446" si="10444">TRIM(B10446)</f>
        <v>New York</v>
      </c>
      <c r="E10446" s="111" t="str">
        <f t="shared" si="10444"/>
        <v>Brooklyn</v>
      </c>
    </row>
    <row r="10447" spans="1:5">
      <c r="A10447" s="3" t="s">
        <v>21009</v>
      </c>
      <c r="B10447" s="110" t="s">
        <v>188</v>
      </c>
      <c r="C10447" s="111" t="s">
        <v>326</v>
      </c>
      <c r="D10447" s="111" t="str">
        <f t="shared" ref="D10447:E10447" si="10445">TRIM(B10447)</f>
        <v>New York</v>
      </c>
      <c r="E10447" s="111" t="str">
        <f t="shared" si="10445"/>
        <v>Brooklyn</v>
      </c>
    </row>
    <row r="10448" spans="1:5">
      <c r="A10448" s="110" t="s">
        <v>21010</v>
      </c>
      <c r="B10448" s="110" t="s">
        <v>188</v>
      </c>
      <c r="C10448" s="111" t="s">
        <v>326</v>
      </c>
      <c r="D10448" s="111" t="str">
        <f t="shared" ref="D10448:E10448" si="10446">TRIM(B10448)</f>
        <v>New York</v>
      </c>
      <c r="E10448" s="111" t="str">
        <f t="shared" si="10446"/>
        <v>Brooklyn</v>
      </c>
    </row>
    <row r="10449" spans="1:5">
      <c r="A10449" s="3" t="s">
        <v>21011</v>
      </c>
      <c r="B10449" s="110" t="s">
        <v>188</v>
      </c>
      <c r="C10449" s="111" t="s">
        <v>326</v>
      </c>
      <c r="D10449" s="111" t="str">
        <f t="shared" ref="D10449:E10449" si="10447">TRIM(B10449)</f>
        <v>New York</v>
      </c>
      <c r="E10449" s="111" t="str">
        <f t="shared" si="10447"/>
        <v>Brooklyn</v>
      </c>
    </row>
    <row r="10450" spans="1:5">
      <c r="A10450" s="110" t="s">
        <v>21012</v>
      </c>
      <c r="B10450" s="110" t="s">
        <v>188</v>
      </c>
      <c r="C10450" s="111" t="s">
        <v>326</v>
      </c>
      <c r="D10450" s="111" t="str">
        <f t="shared" ref="D10450:E10450" si="10448">TRIM(B10450)</f>
        <v>New York</v>
      </c>
      <c r="E10450" s="111" t="str">
        <f t="shared" si="10448"/>
        <v>Brooklyn</v>
      </c>
    </row>
    <row r="10451" spans="1:5">
      <c r="A10451" s="3" t="s">
        <v>21013</v>
      </c>
      <c r="B10451" s="110" t="s">
        <v>188</v>
      </c>
      <c r="C10451" s="111" t="s">
        <v>21014</v>
      </c>
      <c r="D10451" s="111" t="str">
        <f t="shared" ref="D10451:E10451" si="10449">TRIM(B10451)</f>
        <v>New York</v>
      </c>
      <c r="E10451" s="111" t="str">
        <f t="shared" si="10449"/>
        <v>Brushton</v>
      </c>
    </row>
    <row r="10452" spans="1:5">
      <c r="A10452" s="3" t="s">
        <v>21015</v>
      </c>
      <c r="B10452" s="110" t="s">
        <v>188</v>
      </c>
      <c r="C10452" s="111" t="s">
        <v>12129</v>
      </c>
      <c r="D10452" s="111" t="str">
        <f t="shared" ref="D10452:E10452" si="10450">TRIM(B10452)</f>
        <v>New York</v>
      </c>
      <c r="E10452" s="111" t="str">
        <f t="shared" si="10450"/>
        <v>Buffalo</v>
      </c>
    </row>
    <row r="10453" spans="1:5">
      <c r="A10453" s="110" t="s">
        <v>21016</v>
      </c>
      <c r="B10453" s="110" t="s">
        <v>188</v>
      </c>
      <c r="C10453" s="111" t="s">
        <v>12129</v>
      </c>
      <c r="D10453" s="111" t="str">
        <f t="shared" ref="D10453:E10453" si="10451">TRIM(B10453)</f>
        <v>New York</v>
      </c>
      <c r="E10453" s="111" t="str">
        <f t="shared" si="10451"/>
        <v>Buffalo</v>
      </c>
    </row>
    <row r="10454" spans="1:5">
      <c r="A10454" s="110" t="s">
        <v>21017</v>
      </c>
      <c r="B10454" s="110" t="s">
        <v>188</v>
      </c>
      <c r="C10454" s="111" t="s">
        <v>12129</v>
      </c>
      <c r="D10454" s="111" t="str">
        <f t="shared" ref="D10454:E10454" si="10452">TRIM(B10454)</f>
        <v>New York</v>
      </c>
      <c r="E10454" s="111" t="str">
        <f t="shared" si="10452"/>
        <v>Buffalo</v>
      </c>
    </row>
    <row r="10455" spans="1:5">
      <c r="A10455" s="110" t="s">
        <v>21018</v>
      </c>
      <c r="B10455" s="110" t="s">
        <v>188</v>
      </c>
      <c r="C10455" s="111" t="s">
        <v>12129</v>
      </c>
      <c r="D10455" s="111" t="str">
        <f t="shared" ref="D10455:E10455" si="10453">TRIM(B10455)</f>
        <v>New York</v>
      </c>
      <c r="E10455" s="111" t="str">
        <f t="shared" si="10453"/>
        <v>Buffalo</v>
      </c>
    </row>
    <row r="10456" spans="1:5">
      <c r="A10456" s="110" t="s">
        <v>21019</v>
      </c>
      <c r="B10456" s="110" t="s">
        <v>188</v>
      </c>
      <c r="C10456" s="111" t="s">
        <v>12129</v>
      </c>
      <c r="D10456" s="111" t="str">
        <f t="shared" ref="D10456:E10456" si="10454">TRIM(B10456)</f>
        <v>New York</v>
      </c>
      <c r="E10456" s="111" t="str">
        <f t="shared" si="10454"/>
        <v>Buffalo</v>
      </c>
    </row>
    <row r="10457" spans="1:5">
      <c r="A10457" s="3" t="s">
        <v>21020</v>
      </c>
      <c r="B10457" s="110" t="s">
        <v>188</v>
      </c>
      <c r="C10457" s="111" t="s">
        <v>12129</v>
      </c>
      <c r="D10457" s="111" t="str">
        <f t="shared" ref="D10457:E10457" si="10455">TRIM(B10457)</f>
        <v>New York</v>
      </c>
      <c r="E10457" s="111" t="str">
        <f t="shared" si="10455"/>
        <v>Buffalo</v>
      </c>
    </row>
    <row r="10458" spans="1:5">
      <c r="A10458" s="110" t="s">
        <v>21021</v>
      </c>
      <c r="B10458" s="110" t="s">
        <v>188</v>
      </c>
      <c r="C10458" s="111" t="s">
        <v>12129</v>
      </c>
      <c r="D10458" s="111" t="str">
        <f t="shared" ref="D10458:E10458" si="10456">TRIM(B10458)</f>
        <v>New York</v>
      </c>
      <c r="E10458" s="111" t="str">
        <f t="shared" si="10456"/>
        <v>Buffalo</v>
      </c>
    </row>
    <row r="10459" spans="1:5">
      <c r="A10459" s="3" t="s">
        <v>21022</v>
      </c>
      <c r="B10459" s="110" t="s">
        <v>188</v>
      </c>
      <c r="C10459" s="111" t="s">
        <v>12129</v>
      </c>
      <c r="D10459" s="111" t="str">
        <f t="shared" ref="D10459:E10459" si="10457">TRIM(B10459)</f>
        <v>New York</v>
      </c>
      <c r="E10459" s="111" t="str">
        <f t="shared" si="10457"/>
        <v>Buffalo</v>
      </c>
    </row>
    <row r="10460" spans="1:5">
      <c r="A10460" s="3" t="s">
        <v>21023</v>
      </c>
      <c r="B10460" s="110" t="s">
        <v>188</v>
      </c>
      <c r="C10460" s="111" t="s">
        <v>12129</v>
      </c>
      <c r="D10460" s="111" t="str">
        <f t="shared" ref="D10460:E10460" si="10458">TRIM(B10460)</f>
        <v>New York</v>
      </c>
      <c r="E10460" s="111" t="str">
        <f t="shared" si="10458"/>
        <v>Buffalo</v>
      </c>
    </row>
    <row r="10461" spans="1:5">
      <c r="A10461" s="110" t="s">
        <v>21024</v>
      </c>
      <c r="B10461" s="110" t="s">
        <v>188</v>
      </c>
      <c r="C10461" s="111" t="s">
        <v>12129</v>
      </c>
      <c r="D10461" s="111" t="str">
        <f t="shared" ref="D10461:E10461" si="10459">TRIM(B10461)</f>
        <v>New York</v>
      </c>
      <c r="E10461" s="111" t="str">
        <f t="shared" si="10459"/>
        <v>Buffalo</v>
      </c>
    </row>
    <row r="10462" spans="1:5">
      <c r="A10462" s="3" t="s">
        <v>21025</v>
      </c>
      <c r="B10462" s="110" t="s">
        <v>188</v>
      </c>
      <c r="C10462" s="111" t="s">
        <v>12129</v>
      </c>
      <c r="D10462" s="111" t="str">
        <f t="shared" ref="D10462:E10462" si="10460">TRIM(B10462)</f>
        <v>New York</v>
      </c>
      <c r="E10462" s="111" t="str">
        <f t="shared" si="10460"/>
        <v>Buffalo</v>
      </c>
    </row>
    <row r="10463" spans="1:5">
      <c r="A10463" s="110" t="s">
        <v>21026</v>
      </c>
      <c r="B10463" s="110" t="s">
        <v>188</v>
      </c>
      <c r="C10463" s="111" t="s">
        <v>12129</v>
      </c>
      <c r="D10463" s="111" t="str">
        <f t="shared" ref="D10463:E10463" si="10461">TRIM(B10463)</f>
        <v>New York</v>
      </c>
      <c r="E10463" s="111" t="str">
        <f t="shared" si="10461"/>
        <v>Buffalo</v>
      </c>
    </row>
    <row r="10464" spans="1:5">
      <c r="A10464" s="3" t="s">
        <v>21027</v>
      </c>
      <c r="B10464" s="110" t="s">
        <v>188</v>
      </c>
      <c r="C10464" s="111" t="s">
        <v>12129</v>
      </c>
      <c r="D10464" s="111" t="str">
        <f t="shared" ref="D10464:E10464" si="10462">TRIM(B10464)</f>
        <v>New York</v>
      </c>
      <c r="E10464" s="111" t="str">
        <f t="shared" si="10462"/>
        <v>Buffalo</v>
      </c>
    </row>
    <row r="10465" spans="1:5">
      <c r="A10465" s="3" t="s">
        <v>21028</v>
      </c>
      <c r="B10465" s="110" t="s">
        <v>188</v>
      </c>
      <c r="C10465" s="111" t="s">
        <v>12129</v>
      </c>
      <c r="D10465" s="111" t="str">
        <f t="shared" ref="D10465:E10465" si="10463">TRIM(B10465)</f>
        <v>New York</v>
      </c>
      <c r="E10465" s="111" t="str">
        <f t="shared" si="10463"/>
        <v>Buffalo</v>
      </c>
    </row>
    <row r="10466" spans="1:5">
      <c r="A10466" s="110" t="s">
        <v>21029</v>
      </c>
      <c r="B10466" s="110" t="s">
        <v>188</v>
      </c>
      <c r="C10466" s="111" t="s">
        <v>12129</v>
      </c>
      <c r="D10466" s="111" t="str">
        <f t="shared" ref="D10466:E10466" si="10464">TRIM(B10466)</f>
        <v>New York</v>
      </c>
      <c r="E10466" s="111" t="str">
        <f t="shared" si="10464"/>
        <v>Buffalo</v>
      </c>
    </row>
    <row r="10467" spans="1:5">
      <c r="A10467" s="3" t="s">
        <v>7894</v>
      </c>
      <c r="B10467" s="110" t="s">
        <v>188</v>
      </c>
      <c r="C10467" s="111" t="s">
        <v>12129</v>
      </c>
      <c r="D10467" s="111" t="str">
        <f t="shared" ref="D10467:E10467" si="10465">TRIM(B10467)</f>
        <v>New York</v>
      </c>
      <c r="E10467" s="111" t="str">
        <f t="shared" si="10465"/>
        <v>Buffalo</v>
      </c>
    </row>
    <row r="10468" spans="1:5">
      <c r="A10468" s="110" t="s">
        <v>21030</v>
      </c>
      <c r="B10468" s="110" t="s">
        <v>188</v>
      </c>
      <c r="C10468" s="111" t="s">
        <v>12129</v>
      </c>
      <c r="D10468" s="111" t="str">
        <f t="shared" ref="D10468:E10468" si="10466">TRIM(B10468)</f>
        <v>New York</v>
      </c>
      <c r="E10468" s="111" t="str">
        <f t="shared" si="10466"/>
        <v>Buffalo</v>
      </c>
    </row>
    <row r="10469" spans="1:5">
      <c r="A10469" s="3" t="s">
        <v>21031</v>
      </c>
      <c r="B10469" s="110" t="s">
        <v>188</v>
      </c>
      <c r="C10469" s="111" t="s">
        <v>21032</v>
      </c>
      <c r="D10469" s="111" t="str">
        <f t="shared" ref="D10469:E10469" si="10467">TRIM(B10469)</f>
        <v>New York</v>
      </c>
      <c r="E10469" s="111" t="str">
        <f t="shared" si="10467"/>
        <v>Burnt Hills</v>
      </c>
    </row>
    <row r="10470" spans="1:5">
      <c r="A10470" s="3" t="s">
        <v>21033</v>
      </c>
      <c r="B10470" s="110" t="s">
        <v>188</v>
      </c>
      <c r="C10470" s="111" t="s">
        <v>10484</v>
      </c>
      <c r="D10470" s="111" t="str">
        <f t="shared" ref="D10470:E10470" si="10468">TRIM(B10470)</f>
        <v>New York</v>
      </c>
      <c r="E10470" s="111" t="str">
        <f t="shared" si="10468"/>
        <v>Cairo</v>
      </c>
    </row>
    <row r="10471" spans="1:5">
      <c r="A10471" s="3" t="s">
        <v>21034</v>
      </c>
      <c r="B10471" s="110" t="s">
        <v>188</v>
      </c>
      <c r="C10471" s="111" t="s">
        <v>2063</v>
      </c>
      <c r="D10471" s="111" t="str">
        <f t="shared" ref="D10471:E10471" si="10469">TRIM(B10471)</f>
        <v>New York</v>
      </c>
      <c r="E10471" s="111" t="str">
        <f t="shared" si="10469"/>
        <v>Caledonia</v>
      </c>
    </row>
    <row r="10472" spans="1:5">
      <c r="A10472" s="3" t="s">
        <v>21035</v>
      </c>
      <c r="B10472" s="110" t="s">
        <v>188</v>
      </c>
      <c r="C10472" s="111" t="s">
        <v>21036</v>
      </c>
      <c r="D10472" s="111" t="str">
        <f t="shared" ref="D10472:E10472" si="10470">TRIM(B10472)</f>
        <v>New York</v>
      </c>
      <c r="E10472" s="111" t="str">
        <f t="shared" si="10470"/>
        <v>Cambria Heights</v>
      </c>
    </row>
    <row r="10473" spans="1:5">
      <c r="A10473" s="110" t="s">
        <v>21037</v>
      </c>
      <c r="B10473" s="110" t="s">
        <v>188</v>
      </c>
      <c r="C10473" s="111" t="s">
        <v>21036</v>
      </c>
      <c r="D10473" s="111" t="str">
        <f t="shared" ref="D10473:E10473" si="10471">TRIM(B10473)</f>
        <v>New York</v>
      </c>
      <c r="E10473" s="111" t="str">
        <f t="shared" si="10471"/>
        <v>Cambria Heights</v>
      </c>
    </row>
    <row r="10474" spans="1:5">
      <c r="A10474" s="3" t="s">
        <v>21038</v>
      </c>
      <c r="B10474" s="110" t="s">
        <v>188</v>
      </c>
      <c r="C10474" s="111" t="s">
        <v>11260</v>
      </c>
      <c r="D10474" s="111" t="str">
        <f t="shared" ref="D10474:E10474" si="10472">TRIM(B10474)</f>
        <v>New York</v>
      </c>
      <c r="E10474" s="111" t="str">
        <f t="shared" si="10472"/>
        <v>Cambridge</v>
      </c>
    </row>
    <row r="10475" spans="1:5">
      <c r="A10475" s="3" t="s">
        <v>21039</v>
      </c>
      <c r="B10475" s="110" t="s">
        <v>188</v>
      </c>
      <c r="C10475" s="111" t="s">
        <v>773</v>
      </c>
      <c r="D10475" s="111" t="str">
        <f t="shared" ref="D10475:E10475" si="10473">TRIM(B10475)</f>
        <v>New York</v>
      </c>
      <c r="E10475" s="111" t="str">
        <f t="shared" si="10473"/>
        <v>Camden</v>
      </c>
    </row>
    <row r="10476" spans="1:5">
      <c r="A10476" s="3" t="s">
        <v>21040</v>
      </c>
      <c r="B10476" s="110" t="s">
        <v>188</v>
      </c>
      <c r="C10476" s="111" t="s">
        <v>7575</v>
      </c>
      <c r="D10476" s="111" t="str">
        <f t="shared" ref="D10476:E10476" si="10474">TRIM(B10476)</f>
        <v>New York</v>
      </c>
      <c r="E10476" s="111" t="str">
        <f t="shared" si="10474"/>
        <v>Camillus</v>
      </c>
    </row>
    <row r="10477" spans="1:5">
      <c r="A10477" s="3" t="s">
        <v>21041</v>
      </c>
      <c r="B10477" s="110" t="s">
        <v>188</v>
      </c>
      <c r="C10477" s="111" t="s">
        <v>4578</v>
      </c>
      <c r="D10477" s="111" t="str">
        <f t="shared" ref="D10477:E10477" si="10475">TRIM(B10477)</f>
        <v>New York</v>
      </c>
      <c r="E10477" s="111" t="str">
        <f t="shared" si="10475"/>
        <v>Campbell</v>
      </c>
    </row>
    <row r="10478" spans="1:5">
      <c r="A10478" s="3" t="s">
        <v>21042</v>
      </c>
      <c r="B10478" s="110" t="s">
        <v>188</v>
      </c>
      <c r="C10478" s="111" t="s">
        <v>21043</v>
      </c>
      <c r="D10478" s="111" t="str">
        <f t="shared" ref="D10478:E10478" si="10476">TRIM(B10478)</f>
        <v>New York</v>
      </c>
      <c r="E10478" s="111" t="str">
        <f t="shared" si="10476"/>
        <v>Canajoharie</v>
      </c>
    </row>
    <row r="10479" spans="1:5">
      <c r="A10479" s="3" t="s">
        <v>21044</v>
      </c>
      <c r="B10479" s="110" t="s">
        <v>188</v>
      </c>
      <c r="C10479" s="111" t="s">
        <v>21045</v>
      </c>
      <c r="D10479" s="111" t="str">
        <f t="shared" ref="D10479:E10479" si="10477">TRIM(B10479)</f>
        <v>New York</v>
      </c>
      <c r="E10479" s="111" t="str">
        <f t="shared" si="10477"/>
        <v>Canandaigua</v>
      </c>
    </row>
    <row r="10480" spans="1:5">
      <c r="A10480" s="3" t="s">
        <v>21046</v>
      </c>
      <c r="B10480" s="110" t="s">
        <v>188</v>
      </c>
      <c r="C10480" s="111" t="s">
        <v>21047</v>
      </c>
      <c r="D10480" s="111" t="str">
        <f t="shared" ref="D10480:E10480" si="10478">TRIM(B10480)</f>
        <v>New York</v>
      </c>
      <c r="E10480" s="111" t="str">
        <f t="shared" si="10478"/>
        <v>Canastota</v>
      </c>
    </row>
    <row r="10481" spans="1:5">
      <c r="A10481" s="3" t="s">
        <v>21048</v>
      </c>
      <c r="B10481" s="110" t="s">
        <v>188</v>
      </c>
      <c r="C10481" s="111" t="s">
        <v>21049</v>
      </c>
      <c r="D10481" s="111" t="str">
        <f t="shared" ref="D10481:E10481" si="10479">TRIM(B10481)</f>
        <v>New York</v>
      </c>
      <c r="E10481" s="111" t="str">
        <f t="shared" si="10479"/>
        <v>Candor</v>
      </c>
    </row>
    <row r="10482" spans="1:5">
      <c r="A10482" s="3" t="s">
        <v>21050</v>
      </c>
      <c r="B10482" s="110" t="s">
        <v>188</v>
      </c>
      <c r="C10482" s="111" t="s">
        <v>21051</v>
      </c>
      <c r="D10482" s="111" t="str">
        <f t="shared" ref="D10482:E10482" si="10480">TRIM(B10482)</f>
        <v>New York</v>
      </c>
      <c r="E10482" s="111" t="str">
        <f t="shared" si="10480"/>
        <v>Canisteo</v>
      </c>
    </row>
    <row r="10483" spans="1:5">
      <c r="A10483" s="3" t="s">
        <v>21052</v>
      </c>
      <c r="B10483" s="110" t="s">
        <v>188</v>
      </c>
      <c r="C10483" s="111" t="s">
        <v>1205</v>
      </c>
      <c r="D10483" s="111" t="str">
        <f t="shared" ref="D10483:E10483" si="10481">TRIM(B10483)</f>
        <v>New York</v>
      </c>
      <c r="E10483" s="111" t="str">
        <f t="shared" si="10481"/>
        <v>Canton</v>
      </c>
    </row>
    <row r="10484" spans="1:5">
      <c r="A10484" s="3" t="s">
        <v>21053</v>
      </c>
      <c r="B10484" s="110" t="s">
        <v>188</v>
      </c>
      <c r="C10484" s="111" t="s">
        <v>21054</v>
      </c>
      <c r="D10484" s="111" t="str">
        <f t="shared" ref="D10484:E10484" si="10482">TRIM(B10484)</f>
        <v>New York</v>
      </c>
      <c r="E10484" s="111" t="str">
        <f t="shared" si="10482"/>
        <v>Carle Place</v>
      </c>
    </row>
    <row r="10485" spans="1:5">
      <c r="A10485" s="3" t="s">
        <v>4590</v>
      </c>
      <c r="B10485" s="110" t="s">
        <v>188</v>
      </c>
      <c r="C10485" s="111" t="s">
        <v>542</v>
      </c>
      <c r="D10485" s="111" t="str">
        <f t="shared" ref="D10485:E10485" si="10483">TRIM(B10485)</f>
        <v>New York</v>
      </c>
      <c r="E10485" s="111" t="str">
        <f t="shared" si="10483"/>
        <v>Carmel</v>
      </c>
    </row>
    <row r="10486" spans="1:5">
      <c r="A10486" s="3" t="s">
        <v>21055</v>
      </c>
      <c r="B10486" s="110" t="s">
        <v>188</v>
      </c>
      <c r="C10486" s="111" t="s">
        <v>12189</v>
      </c>
      <c r="D10486" s="111" t="str">
        <f t="shared" ref="D10486:E10486" si="10484">TRIM(B10486)</f>
        <v>New York</v>
      </c>
      <c r="E10486" s="111" t="str">
        <f t="shared" si="10484"/>
        <v>Carthage</v>
      </c>
    </row>
    <row r="10487" spans="1:5">
      <c r="A10487" s="3" t="s">
        <v>21056</v>
      </c>
      <c r="B10487" s="110" t="s">
        <v>188</v>
      </c>
      <c r="C10487" s="111" t="s">
        <v>21057</v>
      </c>
      <c r="D10487" s="111" t="str">
        <f t="shared" ref="D10487:E10487" si="10485">TRIM(B10487)</f>
        <v>New York</v>
      </c>
      <c r="E10487" s="111" t="str">
        <f t="shared" si="10485"/>
        <v>Castleton</v>
      </c>
    </row>
    <row r="10488" spans="1:5">
      <c r="A10488" s="3" t="s">
        <v>21058</v>
      </c>
      <c r="B10488" s="110" t="s">
        <v>188</v>
      </c>
      <c r="C10488" s="111" t="s">
        <v>21059</v>
      </c>
      <c r="D10488" s="111" t="str">
        <f t="shared" ref="D10488:E10488" si="10486">TRIM(B10488)</f>
        <v>New York</v>
      </c>
      <c r="E10488" s="111" t="str">
        <f t="shared" si="10486"/>
        <v>Cato</v>
      </c>
    </row>
    <row r="10489" spans="1:5">
      <c r="A10489" s="3" t="s">
        <v>21060</v>
      </c>
      <c r="B10489" s="110" t="s">
        <v>188</v>
      </c>
      <c r="C10489" s="111" t="s">
        <v>21061</v>
      </c>
      <c r="D10489" s="111" t="str">
        <f t="shared" ref="D10489:E10489" si="10487">TRIM(B10489)</f>
        <v>New York</v>
      </c>
      <c r="E10489" s="111" t="str">
        <f t="shared" si="10487"/>
        <v>Catskill</v>
      </c>
    </row>
    <row r="10490" spans="1:5">
      <c r="A10490" s="3" t="s">
        <v>21062</v>
      </c>
      <c r="B10490" s="110" t="s">
        <v>188</v>
      </c>
      <c r="C10490" s="111" t="s">
        <v>21063</v>
      </c>
      <c r="D10490" s="111" t="str">
        <f t="shared" ref="D10490:E10490" si="10488">TRIM(B10490)</f>
        <v>New York</v>
      </c>
      <c r="E10490" s="111" t="str">
        <f t="shared" si="10488"/>
        <v>Cattaraugus</v>
      </c>
    </row>
    <row r="10491" spans="1:5">
      <c r="A10491" s="3" t="s">
        <v>21064</v>
      </c>
      <c r="B10491" s="110" t="s">
        <v>188</v>
      </c>
      <c r="C10491" s="111" t="s">
        <v>21065</v>
      </c>
      <c r="D10491" s="111" t="str">
        <f t="shared" ref="D10491:E10491" si="10489">TRIM(B10491)</f>
        <v>New York</v>
      </c>
      <c r="E10491" s="111" t="str">
        <f t="shared" si="10489"/>
        <v>Cazenovia</v>
      </c>
    </row>
    <row r="10492" spans="1:5">
      <c r="A10492" s="3" t="s">
        <v>21066</v>
      </c>
      <c r="B10492" s="110" t="s">
        <v>188</v>
      </c>
      <c r="C10492" s="111" t="s">
        <v>21067</v>
      </c>
      <c r="D10492" s="111" t="str">
        <f t="shared" ref="D10492:E10492" si="10490">TRIM(B10492)</f>
        <v>New York</v>
      </c>
      <c r="E10492" s="111" t="str">
        <f t="shared" si="10490"/>
        <v>Cedarhurst</v>
      </c>
    </row>
    <row r="10493" spans="1:5">
      <c r="A10493" s="3" t="s">
        <v>21068</v>
      </c>
      <c r="B10493" s="110" t="s">
        <v>188</v>
      </c>
      <c r="C10493" s="111" t="s">
        <v>21069</v>
      </c>
      <c r="D10493" s="111" t="str">
        <f t="shared" ref="D10493:E10493" si="10491">TRIM(B10493)</f>
        <v>New York</v>
      </c>
      <c r="E10493" s="111" t="str">
        <f t="shared" si="10491"/>
        <v>Center Moriches</v>
      </c>
    </row>
    <row r="10494" spans="1:5">
      <c r="A10494" s="3" t="s">
        <v>21070</v>
      </c>
      <c r="B10494" s="110" t="s">
        <v>188</v>
      </c>
      <c r="C10494" s="111" t="s">
        <v>21071</v>
      </c>
      <c r="D10494" s="111" t="str">
        <f t="shared" ref="D10494:E10494" si="10492">TRIM(B10494)</f>
        <v>New York</v>
      </c>
      <c r="E10494" s="111" t="str">
        <f t="shared" si="10492"/>
        <v>Centereach</v>
      </c>
    </row>
    <row r="10495" spans="1:5">
      <c r="A10495" s="3" t="s">
        <v>21072</v>
      </c>
      <c r="B10495" s="110" t="s">
        <v>188</v>
      </c>
      <c r="C10495" s="111" t="s">
        <v>21073</v>
      </c>
      <c r="D10495" s="111" t="str">
        <f t="shared" ref="D10495:E10495" si="10493">TRIM(B10495)</f>
        <v>New York</v>
      </c>
      <c r="E10495" s="111" t="str">
        <f t="shared" si="10493"/>
        <v>Central Islip</v>
      </c>
    </row>
    <row r="10496" spans="1:5">
      <c r="A10496" s="3" t="s">
        <v>21074</v>
      </c>
      <c r="B10496" s="110" t="s">
        <v>188</v>
      </c>
      <c r="C10496" s="111" t="s">
        <v>21075</v>
      </c>
      <c r="D10496" s="111" t="str">
        <f t="shared" ref="D10496:E10496" si="10494">TRIM(B10496)</f>
        <v>New York</v>
      </c>
      <c r="E10496" s="111" t="str">
        <f t="shared" si="10494"/>
        <v>Central Square</v>
      </c>
    </row>
    <row r="10497" spans="1:5">
      <c r="A10497" s="3" t="s">
        <v>21076</v>
      </c>
      <c r="B10497" s="110" t="s">
        <v>188</v>
      </c>
      <c r="C10497" s="111" t="s">
        <v>21077</v>
      </c>
      <c r="D10497" s="111" t="str">
        <f t="shared" ref="D10497:E10497" si="10495">TRIM(B10497)</f>
        <v>New York</v>
      </c>
      <c r="E10497" s="111" t="str">
        <f t="shared" si="10495"/>
        <v>Central Valley</v>
      </c>
    </row>
    <row r="10498" spans="1:5">
      <c r="A10498" s="3" t="s">
        <v>21078</v>
      </c>
      <c r="B10498" s="110" t="s">
        <v>188</v>
      </c>
      <c r="C10498" s="111" t="s">
        <v>21079</v>
      </c>
      <c r="D10498" s="111" t="str">
        <f t="shared" ref="D10498:E10498" si="10496">TRIM(B10498)</f>
        <v>New York</v>
      </c>
      <c r="E10498" s="111" t="str">
        <f t="shared" si="10496"/>
        <v>Chappaqua</v>
      </c>
    </row>
    <row r="10499" spans="1:5">
      <c r="A10499" s="3" t="s">
        <v>21080</v>
      </c>
      <c r="B10499" s="110" t="s">
        <v>188</v>
      </c>
      <c r="C10499" s="111" t="s">
        <v>21081</v>
      </c>
      <c r="D10499" s="111" t="str">
        <f t="shared" ref="D10499:E10499" si="10497">TRIM(B10499)</f>
        <v>New York</v>
      </c>
      <c r="E10499" s="111" t="str">
        <f t="shared" si="10497"/>
        <v>Chateaugay</v>
      </c>
    </row>
    <row r="10500" spans="1:5">
      <c r="A10500" s="3" t="s">
        <v>20079</v>
      </c>
      <c r="B10500" s="110" t="s">
        <v>188</v>
      </c>
      <c r="C10500" s="111" t="s">
        <v>12220</v>
      </c>
      <c r="D10500" s="111" t="str">
        <f t="shared" ref="D10500:E10500" si="10498">TRIM(B10500)</f>
        <v>New York</v>
      </c>
      <c r="E10500" s="111" t="str">
        <f t="shared" si="10498"/>
        <v>Chatham</v>
      </c>
    </row>
    <row r="10501" spans="1:5">
      <c r="A10501" s="3" t="s">
        <v>21082</v>
      </c>
      <c r="B10501" s="110" t="s">
        <v>188</v>
      </c>
      <c r="C10501" s="111" t="s">
        <v>21083</v>
      </c>
      <c r="D10501" s="111" t="str">
        <f t="shared" ref="D10501:E10501" si="10499">TRIM(B10501)</f>
        <v>New York</v>
      </c>
      <c r="E10501" s="111" t="str">
        <f t="shared" si="10499"/>
        <v>Chazy</v>
      </c>
    </row>
    <row r="10502" spans="1:5">
      <c r="A10502" s="3" t="s">
        <v>21084</v>
      </c>
      <c r="B10502" s="110" t="s">
        <v>188</v>
      </c>
      <c r="C10502" s="111" t="s">
        <v>21085</v>
      </c>
      <c r="D10502" s="111" t="str">
        <f t="shared" ref="D10502:E10502" si="10500">TRIM(B10502)</f>
        <v>New York</v>
      </c>
      <c r="E10502" s="111" t="str">
        <f t="shared" si="10500"/>
        <v>Cheektowaga</v>
      </c>
    </row>
    <row r="10503" spans="1:5">
      <c r="A10503" s="3" t="s">
        <v>21086</v>
      </c>
      <c r="B10503" s="110" t="s">
        <v>188</v>
      </c>
      <c r="C10503" s="111" t="s">
        <v>21085</v>
      </c>
      <c r="D10503" s="111" t="str">
        <f t="shared" ref="D10503:E10503" si="10501">TRIM(B10503)</f>
        <v>New York</v>
      </c>
      <c r="E10503" s="111" t="str">
        <f t="shared" si="10501"/>
        <v>Cheektowaga</v>
      </c>
    </row>
    <row r="10504" spans="1:5">
      <c r="A10504" s="3" t="s">
        <v>21087</v>
      </c>
      <c r="B10504" s="110" t="s">
        <v>188</v>
      </c>
      <c r="C10504" s="111" t="s">
        <v>21085</v>
      </c>
      <c r="D10504" s="111" t="str">
        <f t="shared" ref="D10504:E10504" si="10502">TRIM(B10504)</f>
        <v>New York</v>
      </c>
      <c r="E10504" s="111" t="str">
        <f t="shared" si="10502"/>
        <v>Cheektowaga</v>
      </c>
    </row>
    <row r="10505" spans="1:5">
      <c r="A10505" s="3" t="s">
        <v>3051</v>
      </c>
      <c r="B10505" s="110" t="s">
        <v>188</v>
      </c>
      <c r="C10505" s="111" t="s">
        <v>21085</v>
      </c>
      <c r="D10505" s="111" t="str">
        <f t="shared" ref="D10505:E10505" si="10503">TRIM(B10505)</f>
        <v>New York</v>
      </c>
      <c r="E10505" s="111" t="str">
        <f t="shared" si="10503"/>
        <v>Cheektowaga</v>
      </c>
    </row>
    <row r="10506" spans="1:5">
      <c r="A10506" s="3" t="s">
        <v>21088</v>
      </c>
      <c r="B10506" s="110" t="s">
        <v>188</v>
      </c>
      <c r="C10506" s="111" t="s">
        <v>21089</v>
      </c>
      <c r="D10506" s="111" t="str">
        <f t="shared" ref="D10506:E10506" si="10504">TRIM(B10506)</f>
        <v>New York</v>
      </c>
      <c r="E10506" s="111" t="str">
        <f t="shared" si="10504"/>
        <v>Cherry Plain</v>
      </c>
    </row>
    <row r="10507" spans="1:5">
      <c r="A10507" s="3" t="s">
        <v>21090</v>
      </c>
      <c r="B10507" s="110" t="s">
        <v>188</v>
      </c>
      <c r="C10507" s="111" t="s">
        <v>2262</v>
      </c>
      <c r="D10507" s="111" t="str">
        <f t="shared" ref="D10507:E10507" si="10505">TRIM(B10507)</f>
        <v>New York</v>
      </c>
      <c r="E10507" s="111" t="str">
        <f t="shared" si="10505"/>
        <v>Chester</v>
      </c>
    </row>
    <row r="10508" spans="1:5">
      <c r="A10508" s="3" t="s">
        <v>21091</v>
      </c>
      <c r="B10508" s="110" t="s">
        <v>188</v>
      </c>
      <c r="C10508" s="111" t="s">
        <v>21092</v>
      </c>
      <c r="D10508" s="111" t="str">
        <f t="shared" ref="D10508:E10508" si="10506">TRIM(B10508)</f>
        <v>New York</v>
      </c>
      <c r="E10508" s="111" t="str">
        <f t="shared" si="10506"/>
        <v>Chittenango</v>
      </c>
    </row>
    <row r="10509" spans="1:5">
      <c r="A10509" s="3" t="s">
        <v>21093</v>
      </c>
      <c r="B10509" s="110" t="s">
        <v>188</v>
      </c>
      <c r="C10509" s="111" t="s">
        <v>21094</v>
      </c>
      <c r="D10509" s="111" t="str">
        <f t="shared" ref="D10509:E10509" si="10507">TRIM(B10509)</f>
        <v>New York</v>
      </c>
      <c r="E10509" s="111" t="str">
        <f t="shared" si="10507"/>
        <v>Churchville</v>
      </c>
    </row>
    <row r="10510" spans="1:5">
      <c r="A10510" s="3" t="s">
        <v>21095</v>
      </c>
      <c r="B10510" s="110" t="s">
        <v>188</v>
      </c>
      <c r="C10510" s="111" t="s">
        <v>10691</v>
      </c>
      <c r="D10510" s="111" t="str">
        <f t="shared" ref="D10510:E10510" si="10508">TRIM(B10510)</f>
        <v>New York</v>
      </c>
      <c r="E10510" s="111" t="str">
        <f t="shared" si="10508"/>
        <v>Cicero</v>
      </c>
    </row>
    <row r="10511" spans="1:5">
      <c r="A10511" s="3" t="s">
        <v>21096</v>
      </c>
      <c r="B10511" s="110" t="s">
        <v>188</v>
      </c>
      <c r="C10511" s="111" t="s">
        <v>21097</v>
      </c>
      <c r="D10511" s="111" t="str">
        <f t="shared" ref="D10511:E10511" si="10509">TRIM(B10511)</f>
        <v>New York</v>
      </c>
      <c r="E10511" s="111" t="str">
        <f t="shared" si="10509"/>
        <v>Cincinnatus</v>
      </c>
    </row>
    <row r="10512" spans="1:5">
      <c r="A10512" s="3" t="s">
        <v>21098</v>
      </c>
      <c r="B10512" s="110" t="s">
        <v>188</v>
      </c>
      <c r="C10512" s="111" t="s">
        <v>14751</v>
      </c>
      <c r="D10512" s="111" t="str">
        <f t="shared" ref="D10512:E10512" si="10510">TRIM(B10512)</f>
        <v>New York</v>
      </c>
      <c r="E10512" s="111" t="str">
        <f t="shared" si="10510"/>
        <v>Clarence</v>
      </c>
    </row>
    <row r="10513" spans="1:5">
      <c r="A10513" s="3" t="s">
        <v>21099</v>
      </c>
      <c r="B10513" s="110" t="s">
        <v>188</v>
      </c>
      <c r="C10513" s="111" t="s">
        <v>1640</v>
      </c>
      <c r="D10513" s="111" t="str">
        <f t="shared" ref="D10513:E10513" si="10511">TRIM(B10513)</f>
        <v>New York</v>
      </c>
      <c r="E10513" s="111" t="str">
        <f t="shared" si="10511"/>
        <v>Clayton</v>
      </c>
    </row>
    <row r="10514" spans="1:5">
      <c r="A10514" s="3" t="s">
        <v>21100</v>
      </c>
      <c r="B10514" s="110" t="s">
        <v>188</v>
      </c>
      <c r="C10514" s="111" t="s">
        <v>21101</v>
      </c>
      <c r="D10514" s="111" t="str">
        <f t="shared" ref="D10514:E10514" si="10512">TRIM(B10514)</f>
        <v>New York</v>
      </c>
      <c r="E10514" s="111" t="str">
        <f t="shared" si="10512"/>
        <v>Clifton Park</v>
      </c>
    </row>
    <row r="10515" spans="1:5">
      <c r="A10515" s="3" t="s">
        <v>21102</v>
      </c>
      <c r="B10515" s="110" t="s">
        <v>188</v>
      </c>
      <c r="C10515" s="112" t="s">
        <v>21103</v>
      </c>
      <c r="D10515" s="111" t="str">
        <f t="shared" ref="D10515:E10515" si="10513">TRIM(B10515)</f>
        <v>New York</v>
      </c>
      <c r="E10515" s="111" t="str">
        <f t="shared" si="10513"/>
        <v>Clifton Springs</v>
      </c>
    </row>
    <row r="10516" spans="1:5">
      <c r="A10516" s="3" t="s">
        <v>16602</v>
      </c>
      <c r="B10516" s="110" t="s">
        <v>188</v>
      </c>
      <c r="C10516" s="111" t="s">
        <v>3697</v>
      </c>
      <c r="D10516" s="111" t="str">
        <f t="shared" ref="D10516:E10516" si="10514">TRIM(B10516)</f>
        <v>New York</v>
      </c>
      <c r="E10516" s="111" t="str">
        <f t="shared" si="10514"/>
        <v>Clinton</v>
      </c>
    </row>
    <row r="10517" spans="1:5">
      <c r="A10517" s="3" t="s">
        <v>21104</v>
      </c>
      <c r="B10517" s="110" t="s">
        <v>188</v>
      </c>
      <c r="C10517" s="111" t="s">
        <v>21105</v>
      </c>
      <c r="D10517" s="111" t="str">
        <f t="shared" ref="D10517:E10517" si="10515">TRIM(B10517)</f>
        <v>New York</v>
      </c>
      <c r="E10517" s="111" t="str">
        <f t="shared" si="10515"/>
        <v>Clintonville</v>
      </c>
    </row>
    <row r="10518" spans="1:5">
      <c r="A10518" s="3" t="s">
        <v>21106</v>
      </c>
      <c r="B10518" s="110" t="s">
        <v>188</v>
      </c>
      <c r="C10518" s="111" t="s">
        <v>15226</v>
      </c>
      <c r="D10518" s="111" t="str">
        <f t="shared" ref="D10518:E10518" si="10516">TRIM(B10518)</f>
        <v>New York</v>
      </c>
      <c r="E10518" s="111" t="str">
        <f t="shared" si="10516"/>
        <v>Clyde</v>
      </c>
    </row>
    <row r="10519" spans="1:5">
      <c r="A10519" s="3" t="s">
        <v>21107</v>
      </c>
      <c r="B10519" s="110" t="s">
        <v>188</v>
      </c>
      <c r="C10519" s="111" t="s">
        <v>21108</v>
      </c>
      <c r="D10519" s="111" t="str">
        <f t="shared" ref="D10519:E10519" si="10517">TRIM(B10519)</f>
        <v>New York</v>
      </c>
      <c r="E10519" s="111" t="str">
        <f t="shared" si="10517"/>
        <v>Cohoes</v>
      </c>
    </row>
    <row r="10520" spans="1:5">
      <c r="A10520" s="3" t="s">
        <v>21109</v>
      </c>
      <c r="B10520" s="110" t="s">
        <v>188</v>
      </c>
      <c r="C10520" s="111" t="s">
        <v>17822</v>
      </c>
      <c r="D10520" s="111" t="str">
        <f t="shared" ref="D10520:E10520" si="10518">TRIM(B10520)</f>
        <v>New York</v>
      </c>
      <c r="E10520" s="111" t="str">
        <f t="shared" si="10518"/>
        <v>Cold Spring</v>
      </c>
    </row>
    <row r="10521" spans="1:5">
      <c r="A10521" s="3" t="s">
        <v>21110</v>
      </c>
      <c r="B10521" s="110" t="s">
        <v>188</v>
      </c>
      <c r="C10521" s="113" t="s">
        <v>21111</v>
      </c>
      <c r="D10521" s="111" t="str">
        <f t="shared" ref="D10521:E10521" si="10519">TRIM(B10521)</f>
        <v>New York</v>
      </c>
      <c r="E10521" s="111" t="str">
        <f t="shared" si="10519"/>
        <v>Cold Spring Harbor</v>
      </c>
    </row>
    <row r="10522" spans="1:5">
      <c r="A10522" s="3" t="s">
        <v>21112</v>
      </c>
      <c r="B10522" s="110" t="s">
        <v>188</v>
      </c>
      <c r="C10522" s="111" t="s">
        <v>21113</v>
      </c>
      <c r="D10522" s="111" t="str">
        <f t="shared" ref="D10522:E10522" si="10520">TRIM(B10522)</f>
        <v>New York</v>
      </c>
      <c r="E10522" s="111" t="str">
        <f t="shared" si="10520"/>
        <v>Commack</v>
      </c>
    </row>
    <row r="10523" spans="1:5">
      <c r="A10523" s="3" t="s">
        <v>21114</v>
      </c>
      <c r="B10523" s="110" t="s">
        <v>188</v>
      </c>
      <c r="C10523" s="111" t="s">
        <v>21115</v>
      </c>
      <c r="D10523" s="111" t="str">
        <f t="shared" ref="D10523:E10523" si="10521">TRIM(B10523)</f>
        <v>New York</v>
      </c>
      <c r="E10523" s="111" t="str">
        <f t="shared" si="10521"/>
        <v>Conklin</v>
      </c>
    </row>
    <row r="10524" spans="1:5">
      <c r="A10524" s="3" t="s">
        <v>21116</v>
      </c>
      <c r="B10524" s="110" t="s">
        <v>188</v>
      </c>
      <c r="C10524" s="111" t="s">
        <v>21117</v>
      </c>
      <c r="D10524" s="111" t="str">
        <f t="shared" ref="D10524:E10524" si="10522">TRIM(B10524)</f>
        <v>New York</v>
      </c>
      <c r="E10524" s="111" t="str">
        <f t="shared" si="10522"/>
        <v>Cooperstown</v>
      </c>
    </row>
    <row r="10525" spans="1:5">
      <c r="A10525" s="3" t="s">
        <v>21118</v>
      </c>
      <c r="B10525" s="110" t="s">
        <v>188</v>
      </c>
      <c r="C10525" s="111" t="s">
        <v>21119</v>
      </c>
      <c r="D10525" s="111" t="str">
        <f t="shared" ref="D10525:E10525" si="10523">TRIM(B10525)</f>
        <v>New York</v>
      </c>
      <c r="E10525" s="111" t="str">
        <f t="shared" si="10523"/>
        <v>Copiague</v>
      </c>
    </row>
    <row r="10526" spans="1:5">
      <c r="A10526" s="3" t="s">
        <v>21120</v>
      </c>
      <c r="B10526" s="110" t="s">
        <v>188</v>
      </c>
      <c r="C10526" s="111" t="s">
        <v>21121</v>
      </c>
      <c r="D10526" s="111" t="str">
        <f t="shared" ref="D10526:E10526" si="10524">TRIM(B10526)</f>
        <v>New York</v>
      </c>
      <c r="E10526" s="111" t="str">
        <f t="shared" si="10524"/>
        <v>Corfu</v>
      </c>
    </row>
    <row r="10527" spans="1:5">
      <c r="A10527" s="3" t="s">
        <v>18403</v>
      </c>
      <c r="B10527" s="110" t="s">
        <v>188</v>
      </c>
      <c r="C10527" s="111" t="s">
        <v>16190</v>
      </c>
      <c r="D10527" s="111" t="str">
        <f t="shared" ref="D10527:E10527" si="10525">TRIM(B10527)</f>
        <v>New York</v>
      </c>
      <c r="E10527" s="111" t="str">
        <f t="shared" si="10525"/>
        <v>Corinth</v>
      </c>
    </row>
    <row r="10528" spans="1:5">
      <c r="A10528" s="3" t="s">
        <v>21122</v>
      </c>
      <c r="B10528" s="110" t="s">
        <v>188</v>
      </c>
      <c r="C10528" s="111" t="s">
        <v>3707</v>
      </c>
      <c r="D10528" s="111" t="str">
        <f t="shared" ref="D10528:E10528" si="10526">TRIM(B10528)</f>
        <v>New York</v>
      </c>
      <c r="E10528" s="111" t="str">
        <f t="shared" si="10526"/>
        <v>Corning</v>
      </c>
    </row>
    <row r="10529" spans="1:5">
      <c r="A10529" s="3" t="s">
        <v>21123</v>
      </c>
      <c r="B10529" s="110" t="s">
        <v>188</v>
      </c>
      <c r="C10529" s="111" t="s">
        <v>616</v>
      </c>
      <c r="D10529" s="111" t="str">
        <f t="shared" ref="D10529:E10529" si="10527">TRIM(B10529)</f>
        <v>New York</v>
      </c>
      <c r="E10529" s="111" t="str">
        <f t="shared" si="10527"/>
        <v>Corona</v>
      </c>
    </row>
    <row r="10530" spans="1:5">
      <c r="A10530" s="3" t="s">
        <v>21124</v>
      </c>
      <c r="B10530" s="110" t="s">
        <v>188</v>
      </c>
      <c r="C10530" s="111" t="s">
        <v>21125</v>
      </c>
      <c r="D10530" s="111" t="str">
        <f t="shared" ref="D10530:E10530" si="10528">TRIM(B10530)</f>
        <v>New York</v>
      </c>
      <c r="E10530" s="111" t="str">
        <f t="shared" si="10528"/>
        <v>Cortland</v>
      </c>
    </row>
    <row r="10531" spans="1:5">
      <c r="A10531" s="3" t="s">
        <v>21126</v>
      </c>
      <c r="B10531" s="110" t="s">
        <v>188</v>
      </c>
      <c r="C10531" s="111" t="s">
        <v>21127</v>
      </c>
      <c r="D10531" s="111" t="str">
        <f t="shared" ref="D10531:E10531" si="10529">TRIM(B10531)</f>
        <v>New York</v>
      </c>
      <c r="E10531" s="111" t="str">
        <f t="shared" si="10529"/>
        <v>Cortlandt Manor</v>
      </c>
    </row>
    <row r="10532" spans="1:5">
      <c r="A10532" s="3" t="s">
        <v>21128</v>
      </c>
      <c r="B10532" s="110" t="s">
        <v>188</v>
      </c>
      <c r="C10532" s="111" t="s">
        <v>21129</v>
      </c>
      <c r="D10532" s="111" t="str">
        <f t="shared" ref="D10532:E10532" si="10530">TRIM(B10532)</f>
        <v>New York</v>
      </c>
      <c r="E10532" s="111" t="str">
        <f t="shared" si="10530"/>
        <v>Coxsackie</v>
      </c>
    </row>
    <row r="10533" spans="1:5">
      <c r="A10533" s="3" t="s">
        <v>21130</v>
      </c>
      <c r="B10533" s="110" t="s">
        <v>188</v>
      </c>
      <c r="C10533" s="111" t="s">
        <v>21131</v>
      </c>
      <c r="D10533" s="111" t="str">
        <f t="shared" ref="D10533:E10533" si="10531">TRIM(B10533)</f>
        <v>New York</v>
      </c>
      <c r="E10533" s="111" t="str">
        <f t="shared" si="10531"/>
        <v>Craryville</v>
      </c>
    </row>
    <row r="10534" spans="1:5">
      <c r="A10534" s="3" t="s">
        <v>21132</v>
      </c>
      <c r="B10534" s="110" t="s">
        <v>188</v>
      </c>
      <c r="C10534" s="113" t="s">
        <v>21133</v>
      </c>
      <c r="D10534" s="111" t="str">
        <f t="shared" ref="D10534:E10534" si="10532">TRIM(B10534)</f>
        <v>New York</v>
      </c>
      <c r="E10534" s="111" t="str">
        <f t="shared" si="10532"/>
        <v>Croton On Hudson</v>
      </c>
    </row>
    <row r="10535" spans="1:5">
      <c r="A10535" s="3" t="s">
        <v>21134</v>
      </c>
      <c r="B10535" s="110" t="s">
        <v>188</v>
      </c>
      <c r="C10535" s="111" t="s">
        <v>12727</v>
      </c>
      <c r="D10535" s="111" t="str">
        <f t="shared" ref="D10535:E10535" si="10533">TRIM(B10535)</f>
        <v>New York</v>
      </c>
      <c r="E10535" s="111" t="str">
        <f t="shared" si="10533"/>
        <v>Cuba</v>
      </c>
    </row>
    <row r="10536" spans="1:5">
      <c r="A10536" s="3" t="s">
        <v>17098</v>
      </c>
      <c r="B10536" s="110" t="s">
        <v>188</v>
      </c>
      <c r="C10536" s="111" t="s">
        <v>17099</v>
      </c>
      <c r="D10536" s="111" t="str">
        <f t="shared" ref="D10536:E10536" si="10534">TRIM(B10536)</f>
        <v>New York</v>
      </c>
      <c r="E10536" s="111" t="str">
        <f t="shared" si="10534"/>
        <v>Dansville</v>
      </c>
    </row>
    <row r="10537" spans="1:5">
      <c r="A10537" s="3" t="s">
        <v>21135</v>
      </c>
      <c r="B10537" s="110" t="s">
        <v>188</v>
      </c>
      <c r="C10537" s="111" t="s">
        <v>21136</v>
      </c>
      <c r="D10537" s="111" t="str">
        <f t="shared" ref="D10537:E10537" si="10535">TRIM(B10537)</f>
        <v>New York</v>
      </c>
      <c r="E10537" s="111" t="str">
        <f t="shared" si="10535"/>
        <v>Deer Park</v>
      </c>
    </row>
    <row r="10538" spans="1:5">
      <c r="A10538" s="3" t="s">
        <v>21137</v>
      </c>
      <c r="B10538" s="110" t="s">
        <v>188</v>
      </c>
      <c r="C10538" s="111" t="s">
        <v>21138</v>
      </c>
      <c r="D10538" s="111" t="str">
        <f t="shared" ref="D10538:E10538" si="10536">TRIM(B10538)</f>
        <v>New York</v>
      </c>
      <c r="E10538" s="111" t="str">
        <f t="shared" si="10536"/>
        <v>Delanson</v>
      </c>
    </row>
    <row r="10539" spans="1:5">
      <c r="A10539" s="3" t="s">
        <v>21139</v>
      </c>
      <c r="B10539" s="110" t="s">
        <v>188</v>
      </c>
      <c r="C10539" s="111" t="s">
        <v>4827</v>
      </c>
      <c r="D10539" s="111" t="str">
        <f t="shared" ref="D10539:E10539" si="10537">TRIM(B10539)</f>
        <v>New York</v>
      </c>
      <c r="E10539" s="111" t="str">
        <f t="shared" si="10537"/>
        <v>Delhi</v>
      </c>
    </row>
    <row r="10540" spans="1:5">
      <c r="A10540" s="3" t="s">
        <v>21140</v>
      </c>
      <c r="B10540" s="110" t="s">
        <v>188</v>
      </c>
      <c r="C10540" s="111" t="s">
        <v>8809</v>
      </c>
      <c r="D10540" s="111" t="str">
        <f t="shared" ref="D10540:E10540" si="10538">TRIM(B10540)</f>
        <v>New York</v>
      </c>
      <c r="E10540" s="111" t="str">
        <f t="shared" si="10538"/>
        <v>Delmar</v>
      </c>
    </row>
    <row r="10541" spans="1:5">
      <c r="A10541" s="3" t="s">
        <v>21141</v>
      </c>
      <c r="B10541" s="110" t="s">
        <v>188</v>
      </c>
      <c r="C10541" s="111" t="s">
        <v>21142</v>
      </c>
      <c r="D10541" s="111" t="str">
        <f t="shared" ref="D10541:E10541" si="10539">TRIM(B10541)</f>
        <v>New York</v>
      </c>
      <c r="E10541" s="111" t="str">
        <f t="shared" si="10539"/>
        <v>Depew</v>
      </c>
    </row>
    <row r="10542" spans="1:5">
      <c r="A10542" s="3" t="s">
        <v>21143</v>
      </c>
      <c r="B10542" s="110" t="s">
        <v>188</v>
      </c>
      <c r="C10542" s="111" t="s">
        <v>21144</v>
      </c>
      <c r="D10542" s="111" t="str">
        <f t="shared" ref="D10542:E10542" si="10540">TRIM(B10542)</f>
        <v>New York</v>
      </c>
      <c r="E10542" s="111" t="str">
        <f t="shared" si="10540"/>
        <v>Deposit</v>
      </c>
    </row>
    <row r="10543" spans="1:5">
      <c r="A10543" s="3" t="s">
        <v>21145</v>
      </c>
      <c r="B10543" s="110" t="s">
        <v>188</v>
      </c>
      <c r="C10543" s="111" t="s">
        <v>21146</v>
      </c>
      <c r="D10543" s="111" t="str">
        <f t="shared" ref="D10543:E10543" si="10541">TRIM(B10543)</f>
        <v>New York</v>
      </c>
      <c r="E10543" s="111" t="str">
        <f t="shared" si="10541"/>
        <v>Deruyter</v>
      </c>
    </row>
    <row r="10544" spans="1:5">
      <c r="A10544" s="3" t="s">
        <v>21147</v>
      </c>
      <c r="B10544" s="110" t="s">
        <v>188</v>
      </c>
      <c r="C10544" s="111" t="s">
        <v>3736</v>
      </c>
      <c r="D10544" s="111" t="str">
        <f t="shared" ref="D10544:E10544" si="10542">TRIM(B10544)</f>
        <v>New York</v>
      </c>
      <c r="E10544" s="111" t="str">
        <f t="shared" si="10542"/>
        <v>Dewitt</v>
      </c>
    </row>
    <row r="10545" spans="1:5">
      <c r="A10545" s="3" t="s">
        <v>21148</v>
      </c>
      <c r="B10545" s="110" t="s">
        <v>188</v>
      </c>
      <c r="C10545" s="111" t="s">
        <v>10669</v>
      </c>
      <c r="D10545" s="111" t="str">
        <f t="shared" ref="D10545:E10545" si="10543">TRIM(B10545)</f>
        <v>New York</v>
      </c>
      <c r="E10545" s="111" t="str">
        <f t="shared" si="10543"/>
        <v>Dexter</v>
      </c>
    </row>
    <row r="10546" spans="1:5">
      <c r="A10546" s="3" t="s">
        <v>21149</v>
      </c>
      <c r="B10546" s="110" t="s">
        <v>188</v>
      </c>
      <c r="C10546" s="111" t="s">
        <v>21150</v>
      </c>
      <c r="D10546" s="111" t="str">
        <f t="shared" ref="D10546:E10546" si="10544">TRIM(B10546)</f>
        <v>New York</v>
      </c>
      <c r="E10546" s="111" t="str">
        <f t="shared" si="10544"/>
        <v>Dix Hills</v>
      </c>
    </row>
    <row r="10547" spans="1:5">
      <c r="A10547" s="3" t="s">
        <v>21151</v>
      </c>
      <c r="B10547" s="110" t="s">
        <v>188</v>
      </c>
      <c r="C10547" s="111" t="s">
        <v>21150</v>
      </c>
      <c r="D10547" s="111" t="str">
        <f t="shared" ref="D10547:E10547" si="10545">TRIM(B10547)</f>
        <v>New York</v>
      </c>
      <c r="E10547" s="111" t="str">
        <f t="shared" si="10545"/>
        <v>Dix Hills</v>
      </c>
    </row>
    <row r="10548" spans="1:5">
      <c r="A10548" s="3" t="s">
        <v>21152</v>
      </c>
      <c r="B10548" s="110" t="s">
        <v>188</v>
      </c>
      <c r="C10548" s="111" t="s">
        <v>12539</v>
      </c>
      <c r="D10548" s="111" t="str">
        <f t="shared" ref="D10548:E10548" si="10546">TRIM(B10548)</f>
        <v>New York</v>
      </c>
      <c r="E10548" s="111" t="str">
        <f t="shared" si="10546"/>
        <v>Dobbs Ferry</v>
      </c>
    </row>
    <row r="10549" spans="1:5">
      <c r="A10549" s="3" t="s">
        <v>21153</v>
      </c>
      <c r="B10549" s="110" t="s">
        <v>188</v>
      </c>
      <c r="C10549" s="111" t="s">
        <v>21154</v>
      </c>
      <c r="D10549" s="111" t="str">
        <f t="shared" ref="D10549:E10549" si="10547">TRIM(B10549)</f>
        <v>New York</v>
      </c>
      <c r="E10549" s="111" t="str">
        <f t="shared" si="10547"/>
        <v>Dolgeville</v>
      </c>
    </row>
    <row r="10550" spans="1:5">
      <c r="A10550" s="3" t="s">
        <v>3743</v>
      </c>
      <c r="B10550" s="110" t="s">
        <v>188</v>
      </c>
      <c r="C10550" s="111" t="s">
        <v>21155</v>
      </c>
      <c r="D10550" s="111" t="str">
        <f t="shared" ref="D10550:E10550" si="10548">TRIM(B10550)</f>
        <v>New York</v>
      </c>
      <c r="E10550" s="111" t="str">
        <f t="shared" si="10548"/>
        <v>Dover Plains</v>
      </c>
    </row>
    <row r="10551" spans="1:5">
      <c r="A10551" s="3" t="s">
        <v>17152</v>
      </c>
      <c r="B10551" s="110" t="s">
        <v>188</v>
      </c>
      <c r="C10551" s="111" t="s">
        <v>17153</v>
      </c>
      <c r="D10551" s="111" t="str">
        <f t="shared" ref="D10551:E10551" si="10549">TRIM(B10551)</f>
        <v>New York</v>
      </c>
      <c r="E10551" s="111" t="str">
        <f t="shared" si="10549"/>
        <v>Dryden</v>
      </c>
    </row>
    <row r="10552" spans="1:5">
      <c r="A10552" s="3" t="s">
        <v>21156</v>
      </c>
      <c r="B10552" s="110" t="s">
        <v>188</v>
      </c>
      <c r="C10552" s="111" t="s">
        <v>487</v>
      </c>
      <c r="D10552" s="111" t="str">
        <f t="shared" ref="D10552:E10552" si="10550">TRIM(B10552)</f>
        <v>New York</v>
      </c>
      <c r="E10552" s="111" t="str">
        <f t="shared" si="10550"/>
        <v>Dundee</v>
      </c>
    </row>
    <row r="10553" spans="1:5">
      <c r="A10553" s="3" t="s">
        <v>21157</v>
      </c>
      <c r="B10553" s="110" t="s">
        <v>188</v>
      </c>
      <c r="C10553" s="111" t="s">
        <v>21158</v>
      </c>
      <c r="D10553" s="111" t="str">
        <f t="shared" ref="D10553:E10553" si="10551">TRIM(B10553)</f>
        <v>New York</v>
      </c>
      <c r="E10553" s="111" t="str">
        <f t="shared" si="10551"/>
        <v>Dunkirk</v>
      </c>
    </row>
    <row r="10554" spans="1:5">
      <c r="A10554" s="3" t="s">
        <v>21159</v>
      </c>
      <c r="B10554" s="110" t="s">
        <v>188</v>
      </c>
      <c r="C10554" s="111" t="s">
        <v>21160</v>
      </c>
      <c r="D10554" s="111" t="str">
        <f t="shared" ref="D10554:E10554" si="10552">TRIM(B10554)</f>
        <v>New York</v>
      </c>
      <c r="E10554" s="111" t="str">
        <f t="shared" si="10552"/>
        <v>East Amherst</v>
      </c>
    </row>
    <row r="10555" spans="1:5">
      <c r="A10555" s="3" t="s">
        <v>21161</v>
      </c>
      <c r="B10555" s="110" t="s">
        <v>188</v>
      </c>
      <c r="C10555" s="111" t="s">
        <v>21162</v>
      </c>
      <c r="D10555" s="111" t="str">
        <f t="shared" ref="D10555:E10555" si="10553">TRIM(B10555)</f>
        <v>New York</v>
      </c>
      <c r="E10555" s="111" t="str">
        <f t="shared" si="10553"/>
        <v>East Aurora</v>
      </c>
    </row>
    <row r="10556" spans="1:5">
      <c r="A10556" s="3" t="s">
        <v>1870</v>
      </c>
      <c r="B10556" s="110" t="s">
        <v>188</v>
      </c>
      <c r="C10556" s="111" t="s">
        <v>21163</v>
      </c>
      <c r="D10556" s="111" t="str">
        <f t="shared" ref="D10556:E10556" si="10554">TRIM(B10556)</f>
        <v>New York</v>
      </c>
      <c r="E10556" s="111" t="str">
        <f t="shared" si="10554"/>
        <v>East Greenbush</v>
      </c>
    </row>
    <row r="10557" spans="1:5">
      <c r="A10557" s="3" t="s">
        <v>8426</v>
      </c>
      <c r="B10557" s="110" t="s">
        <v>188</v>
      </c>
      <c r="C10557" s="111" t="s">
        <v>8427</v>
      </c>
      <c r="D10557" s="111" t="str">
        <f t="shared" ref="D10557:E10557" si="10555">TRIM(B10557)</f>
        <v>New York</v>
      </c>
      <c r="E10557" s="111" t="str">
        <f t="shared" si="10555"/>
        <v>East Hampton</v>
      </c>
    </row>
    <row r="10558" spans="1:5">
      <c r="A10558" s="3" t="s">
        <v>21164</v>
      </c>
      <c r="B10558" s="110" t="s">
        <v>188</v>
      </c>
      <c r="C10558" s="111" t="s">
        <v>449</v>
      </c>
      <c r="D10558" s="111" t="str">
        <f t="shared" ref="D10558:E10558" si="10556">TRIM(B10558)</f>
        <v>New York</v>
      </c>
      <c r="E10558" s="111" t="str">
        <f t="shared" si="10556"/>
        <v>East Meadow</v>
      </c>
    </row>
    <row r="10559" spans="1:5">
      <c r="A10559" s="3" t="s">
        <v>21165</v>
      </c>
      <c r="B10559" s="110" t="s">
        <v>188</v>
      </c>
      <c r="C10559" s="111" t="s">
        <v>12494</v>
      </c>
      <c r="D10559" s="111" t="str">
        <f t="shared" ref="D10559:E10559" si="10557">TRIM(B10559)</f>
        <v>New York</v>
      </c>
      <c r="E10559" s="111" t="str">
        <f t="shared" si="10557"/>
        <v>East Rochester</v>
      </c>
    </row>
    <row r="10560" spans="1:5">
      <c r="A10560" s="3" t="s">
        <v>21166</v>
      </c>
      <c r="B10560" s="110" t="s">
        <v>188</v>
      </c>
      <c r="C10560" s="111" t="s">
        <v>21167</v>
      </c>
      <c r="D10560" s="111" t="str">
        <f t="shared" ref="D10560:E10560" si="10558">TRIM(B10560)</f>
        <v>New York</v>
      </c>
      <c r="E10560" s="111" t="str">
        <f t="shared" si="10558"/>
        <v>East Rockaway</v>
      </c>
    </row>
    <row r="10561" spans="1:5">
      <c r="A10561" s="3" t="s">
        <v>21168</v>
      </c>
      <c r="B10561" s="110" t="s">
        <v>188</v>
      </c>
      <c r="C10561" s="111" t="s">
        <v>21169</v>
      </c>
      <c r="D10561" s="111" t="str">
        <f t="shared" ref="D10561:E10561" si="10559">TRIM(B10561)</f>
        <v>New York</v>
      </c>
      <c r="E10561" s="111" t="str">
        <f t="shared" si="10559"/>
        <v>East Setauket</v>
      </c>
    </row>
    <row r="10562" spans="1:5">
      <c r="A10562" s="3" t="s">
        <v>21170</v>
      </c>
      <c r="B10562" s="110" t="s">
        <v>188</v>
      </c>
      <c r="C10562" s="111" t="s">
        <v>12286</v>
      </c>
      <c r="D10562" s="111" t="str">
        <f t="shared" ref="D10562:E10562" si="10560">TRIM(B10562)</f>
        <v>New York</v>
      </c>
      <c r="E10562" s="111" t="str">
        <f t="shared" si="10560"/>
        <v>East Syracuse</v>
      </c>
    </row>
    <row r="10563" spans="1:5">
      <c r="A10563" s="3" t="s">
        <v>21171</v>
      </c>
      <c r="B10563" s="110" t="s">
        <v>188</v>
      </c>
      <c r="C10563" s="111" t="s">
        <v>21172</v>
      </c>
      <c r="D10563" s="111" t="str">
        <f t="shared" ref="D10563:E10563" si="10561">TRIM(B10563)</f>
        <v>New York</v>
      </c>
      <c r="E10563" s="111" t="str">
        <f t="shared" si="10561"/>
        <v>Eastchester</v>
      </c>
    </row>
    <row r="10564" spans="1:5">
      <c r="A10564" s="3" t="s">
        <v>21173</v>
      </c>
      <c r="B10564" s="110" t="s">
        <v>188</v>
      </c>
      <c r="C10564" s="111" t="s">
        <v>21172</v>
      </c>
      <c r="D10564" s="111" t="str">
        <f t="shared" ref="D10564:E10564" si="10562">TRIM(B10564)</f>
        <v>New York</v>
      </c>
      <c r="E10564" s="111" t="str">
        <f t="shared" si="10562"/>
        <v>Eastchester</v>
      </c>
    </row>
    <row r="10565" spans="1:5">
      <c r="A10565" s="3" t="s">
        <v>21174</v>
      </c>
      <c r="B10565" s="110" t="s">
        <v>188</v>
      </c>
      <c r="C10565" s="111" t="s">
        <v>21175</v>
      </c>
      <c r="D10565" s="111" t="str">
        <f t="shared" ref="D10565:E10565" si="10563">TRIM(B10565)</f>
        <v>New York</v>
      </c>
      <c r="E10565" s="111" t="str">
        <f t="shared" si="10563"/>
        <v>Eden</v>
      </c>
    </row>
    <row r="10566" spans="1:5">
      <c r="A10566" s="3" t="s">
        <v>21176</v>
      </c>
      <c r="B10566" s="110" t="s">
        <v>188</v>
      </c>
      <c r="C10566" s="111" t="s">
        <v>1721</v>
      </c>
      <c r="D10566" s="111" t="str">
        <f t="shared" ref="D10566:E10566" si="10564">TRIM(B10566)</f>
        <v>New York</v>
      </c>
      <c r="E10566" s="111" t="str">
        <f t="shared" si="10564"/>
        <v>Elba</v>
      </c>
    </row>
    <row r="10567" spans="1:5">
      <c r="A10567" s="3" t="s">
        <v>21177</v>
      </c>
      <c r="B10567" s="110" t="s">
        <v>188</v>
      </c>
      <c r="C10567" s="111" t="s">
        <v>21178</v>
      </c>
      <c r="D10567" s="111" t="str">
        <f t="shared" ref="D10567:E10567" si="10565">TRIM(B10567)</f>
        <v>New York</v>
      </c>
      <c r="E10567" s="111" t="str">
        <f t="shared" si="10565"/>
        <v>Eldred</v>
      </c>
    </row>
    <row r="10568" spans="1:5">
      <c r="A10568" s="3" t="s">
        <v>21179</v>
      </c>
      <c r="B10568" s="110" t="s">
        <v>188</v>
      </c>
      <c r="C10568" s="111" t="s">
        <v>21180</v>
      </c>
      <c r="D10568" s="111" t="str">
        <f t="shared" ref="D10568:E10568" si="10566">TRIM(B10568)</f>
        <v>New York</v>
      </c>
      <c r="E10568" s="111" t="str">
        <f t="shared" si="10566"/>
        <v>Ellenburg Depot</v>
      </c>
    </row>
    <row r="10569" spans="1:5">
      <c r="A10569" s="3" t="s">
        <v>21181</v>
      </c>
      <c r="B10569" s="110" t="s">
        <v>188</v>
      </c>
      <c r="C10569" s="111" t="s">
        <v>21182</v>
      </c>
      <c r="D10569" s="111" t="str">
        <f t="shared" ref="D10569:E10569" si="10567">TRIM(B10569)</f>
        <v>New York</v>
      </c>
      <c r="E10569" s="111" t="str">
        <f t="shared" si="10567"/>
        <v>Ellenville</v>
      </c>
    </row>
    <row r="10570" spans="1:5">
      <c r="A10570" s="3" t="s">
        <v>21183</v>
      </c>
      <c r="B10570" s="110" t="s">
        <v>188</v>
      </c>
      <c r="C10570" s="111" t="s">
        <v>21184</v>
      </c>
      <c r="D10570" s="111" t="str">
        <f t="shared" ref="D10570:E10570" si="10568">TRIM(B10570)</f>
        <v>New York</v>
      </c>
      <c r="E10570" s="111" t="str">
        <f t="shared" si="10568"/>
        <v>Ellicottville</v>
      </c>
    </row>
    <row r="10571" spans="1:5">
      <c r="A10571" s="3" t="s">
        <v>21185</v>
      </c>
      <c r="B10571" s="110" t="s">
        <v>188</v>
      </c>
      <c r="C10571" s="111" t="s">
        <v>21186</v>
      </c>
      <c r="D10571" s="111" t="str">
        <f t="shared" ref="D10571:E10571" si="10569">TRIM(B10571)</f>
        <v>New York</v>
      </c>
      <c r="E10571" s="111" t="str">
        <f t="shared" si="10569"/>
        <v>Elma</v>
      </c>
    </row>
    <row r="10572" spans="1:5">
      <c r="A10572" s="3" t="s">
        <v>21187</v>
      </c>
      <c r="B10572" s="110" t="s">
        <v>188</v>
      </c>
      <c r="C10572" s="111" t="s">
        <v>12312</v>
      </c>
      <c r="D10572" s="111" t="str">
        <f t="shared" ref="D10572:E10572" si="10570">TRIM(B10572)</f>
        <v>New York</v>
      </c>
      <c r="E10572" s="111" t="str">
        <f t="shared" si="10570"/>
        <v>Elmhurst</v>
      </c>
    </row>
    <row r="10573" spans="1:5">
      <c r="A10573" s="3" t="s">
        <v>21188</v>
      </c>
      <c r="B10573" s="110" t="s">
        <v>188</v>
      </c>
      <c r="C10573" s="111" t="s">
        <v>12312</v>
      </c>
      <c r="D10573" s="111" t="str">
        <f t="shared" ref="D10573:E10573" si="10571">TRIM(B10573)</f>
        <v>New York</v>
      </c>
      <c r="E10573" s="111" t="str">
        <f t="shared" si="10571"/>
        <v>Elmhurst</v>
      </c>
    </row>
    <row r="10574" spans="1:5">
      <c r="A10574" s="3" t="s">
        <v>21189</v>
      </c>
      <c r="B10574" s="110" t="s">
        <v>188</v>
      </c>
      <c r="C10574" s="111" t="s">
        <v>12312</v>
      </c>
      <c r="D10574" s="111" t="str">
        <f t="shared" ref="D10574:E10574" si="10572">TRIM(B10574)</f>
        <v>New York</v>
      </c>
      <c r="E10574" s="111" t="str">
        <f t="shared" si="10572"/>
        <v>Elmhurst</v>
      </c>
    </row>
    <row r="10575" spans="1:5">
      <c r="A10575" s="3" t="s">
        <v>8657</v>
      </c>
      <c r="B10575" s="110" t="s">
        <v>188</v>
      </c>
      <c r="C10575" s="111" t="s">
        <v>12312</v>
      </c>
      <c r="D10575" s="111" t="str">
        <f t="shared" ref="D10575:E10575" si="10573">TRIM(B10575)</f>
        <v>New York</v>
      </c>
      <c r="E10575" s="111" t="str">
        <f t="shared" si="10573"/>
        <v>Elmhurst</v>
      </c>
    </row>
    <row r="10576" spans="1:5">
      <c r="A10576" s="3" t="s">
        <v>21190</v>
      </c>
      <c r="B10576" s="110" t="s">
        <v>188</v>
      </c>
      <c r="C10576" s="111" t="s">
        <v>12312</v>
      </c>
      <c r="D10576" s="111" t="str">
        <f t="shared" ref="D10576:E10576" si="10574">TRIM(B10576)</f>
        <v>New York</v>
      </c>
      <c r="E10576" s="111" t="str">
        <f t="shared" si="10574"/>
        <v>Elmhurst</v>
      </c>
    </row>
    <row r="10577" spans="1:5">
      <c r="A10577" s="3" t="s">
        <v>21191</v>
      </c>
      <c r="B10577" s="110" t="s">
        <v>188</v>
      </c>
      <c r="C10577" s="111" t="s">
        <v>21192</v>
      </c>
      <c r="D10577" s="111" t="str">
        <f t="shared" ref="D10577:E10577" si="10575">TRIM(B10577)</f>
        <v>New York</v>
      </c>
      <c r="E10577" s="111" t="str">
        <f t="shared" si="10575"/>
        <v>Elmira</v>
      </c>
    </row>
    <row r="10578" spans="1:5">
      <c r="A10578" s="3" t="s">
        <v>21193</v>
      </c>
      <c r="B10578" s="110" t="s">
        <v>188</v>
      </c>
      <c r="C10578" s="111" t="s">
        <v>21194</v>
      </c>
      <c r="D10578" s="111" t="str">
        <f t="shared" ref="D10578:E10578" si="10576">TRIM(B10578)</f>
        <v>New York</v>
      </c>
      <c r="E10578" s="111" t="str">
        <f t="shared" si="10576"/>
        <v>Elmira Heights</v>
      </c>
    </row>
    <row r="10579" spans="1:5">
      <c r="A10579" s="3" t="s">
        <v>21195</v>
      </c>
      <c r="B10579" s="110" t="s">
        <v>188</v>
      </c>
      <c r="C10579" s="111" t="s">
        <v>21196</v>
      </c>
      <c r="D10579" s="111" t="str">
        <f t="shared" ref="D10579:E10579" si="10577">TRIM(B10579)</f>
        <v>New York</v>
      </c>
      <c r="E10579" s="111" t="str">
        <f t="shared" si="10577"/>
        <v>Elmont</v>
      </c>
    </row>
    <row r="10580" spans="1:5">
      <c r="A10580" s="3" t="s">
        <v>21197</v>
      </c>
      <c r="B10580" s="110" t="s">
        <v>188</v>
      </c>
      <c r="C10580" s="111" t="s">
        <v>21198</v>
      </c>
      <c r="D10580" s="111" t="str">
        <f t="shared" ref="D10580:E10580" si="10578">TRIM(B10580)</f>
        <v>New York</v>
      </c>
      <c r="E10580" s="111" t="str">
        <f t="shared" si="10578"/>
        <v>Elmsford</v>
      </c>
    </row>
    <row r="10581" spans="1:5">
      <c r="A10581" s="3" t="s">
        <v>21199</v>
      </c>
      <c r="B10581" s="110" t="s">
        <v>188</v>
      </c>
      <c r="C10581" s="111" t="s">
        <v>14300</v>
      </c>
      <c r="D10581" s="111" t="str">
        <f t="shared" ref="D10581:E10581" si="10579">TRIM(B10581)</f>
        <v>New York</v>
      </c>
      <c r="E10581" s="111" t="str">
        <f t="shared" si="10579"/>
        <v>Elwood</v>
      </c>
    </row>
    <row r="10582" spans="1:5">
      <c r="A10582" s="3" t="s">
        <v>21200</v>
      </c>
      <c r="B10582" s="110" t="s">
        <v>188</v>
      </c>
      <c r="C10582" s="111" t="s">
        <v>21201</v>
      </c>
      <c r="D10582" s="111" t="str">
        <f t="shared" ref="D10582:E10582" si="10580">TRIM(B10582)</f>
        <v>New York</v>
      </c>
      <c r="E10582" s="111" t="str">
        <f t="shared" si="10580"/>
        <v>Endicott</v>
      </c>
    </row>
    <row r="10583" spans="1:5">
      <c r="A10583" s="3" t="s">
        <v>21202</v>
      </c>
      <c r="B10583" s="110" t="s">
        <v>188</v>
      </c>
      <c r="C10583" s="111" t="s">
        <v>21203</v>
      </c>
      <c r="D10583" s="111" t="str">
        <f t="shared" ref="D10583:E10583" si="10581">TRIM(B10583)</f>
        <v>New York</v>
      </c>
      <c r="E10583" s="111" t="str">
        <f t="shared" si="10581"/>
        <v>Endwell</v>
      </c>
    </row>
    <row r="10584" spans="1:5">
      <c r="A10584" s="3" t="s">
        <v>21204</v>
      </c>
      <c r="B10584" s="110" t="s">
        <v>188</v>
      </c>
      <c r="C10584" s="111" t="s">
        <v>21205</v>
      </c>
      <c r="D10584" s="111" t="str">
        <f t="shared" ref="D10584:E10584" si="10582">TRIM(B10584)</f>
        <v>New York</v>
      </c>
      <c r="E10584" s="111" t="str">
        <f t="shared" si="10582"/>
        <v>Fabius</v>
      </c>
    </row>
    <row r="10585" spans="1:5">
      <c r="A10585" s="3" t="s">
        <v>21206</v>
      </c>
      <c r="B10585" s="110" t="s">
        <v>188</v>
      </c>
      <c r="C10585" s="111" t="s">
        <v>21207</v>
      </c>
      <c r="D10585" s="111" t="str">
        <f t="shared" ref="D10585:E10585" si="10583">TRIM(B10585)</f>
        <v>New York</v>
      </c>
      <c r="E10585" s="111" t="str">
        <f t="shared" si="10583"/>
        <v>Fairport</v>
      </c>
    </row>
    <row r="10586" spans="1:5">
      <c r="A10586" s="3" t="s">
        <v>21208</v>
      </c>
      <c r="B10586" s="110" t="s">
        <v>188</v>
      </c>
      <c r="C10586" s="111" t="s">
        <v>21209</v>
      </c>
      <c r="D10586" s="111" t="str">
        <f t="shared" ref="D10586:E10586" si="10584">TRIM(B10586)</f>
        <v>New York</v>
      </c>
      <c r="E10586" s="111" t="str">
        <f t="shared" si="10584"/>
        <v>Falconer</v>
      </c>
    </row>
    <row r="10587" spans="1:5">
      <c r="A10587" s="3" t="s">
        <v>21210</v>
      </c>
      <c r="B10587" s="110" t="s">
        <v>188</v>
      </c>
      <c r="C10587" s="111" t="s">
        <v>21211</v>
      </c>
      <c r="D10587" s="111" t="str">
        <f t="shared" ref="D10587:E10587" si="10585">TRIM(B10587)</f>
        <v>New York</v>
      </c>
      <c r="E10587" s="111" t="str">
        <f t="shared" si="10585"/>
        <v>Fallsburg</v>
      </c>
    </row>
    <row r="10588" spans="1:5">
      <c r="A10588" s="3" t="s">
        <v>21212</v>
      </c>
      <c r="B10588" s="110" t="s">
        <v>188</v>
      </c>
      <c r="C10588" s="111" t="s">
        <v>12515</v>
      </c>
      <c r="D10588" s="111" t="str">
        <f t="shared" ref="D10588:E10588" si="10586">TRIM(B10588)</f>
        <v>New York</v>
      </c>
      <c r="E10588" s="111" t="str">
        <f t="shared" si="10586"/>
        <v>Far Rockaway</v>
      </c>
    </row>
    <row r="10589" spans="1:5">
      <c r="A10589" s="3" t="s">
        <v>21213</v>
      </c>
      <c r="B10589" s="110" t="s">
        <v>188</v>
      </c>
      <c r="C10589" s="111" t="s">
        <v>12515</v>
      </c>
      <c r="D10589" s="111" t="str">
        <f t="shared" ref="D10589:E10589" si="10587">TRIM(B10589)</f>
        <v>New York</v>
      </c>
      <c r="E10589" s="111" t="str">
        <f t="shared" si="10587"/>
        <v>Far Rockaway</v>
      </c>
    </row>
    <row r="10590" spans="1:5">
      <c r="A10590" s="3" t="s">
        <v>21214</v>
      </c>
      <c r="B10590" s="110" t="s">
        <v>188</v>
      </c>
      <c r="C10590" s="111" t="s">
        <v>12515</v>
      </c>
      <c r="D10590" s="111" t="str">
        <f t="shared" ref="D10590:E10590" si="10588">TRIM(B10590)</f>
        <v>New York</v>
      </c>
      <c r="E10590" s="111" t="str">
        <f t="shared" si="10588"/>
        <v>Far Rockaway</v>
      </c>
    </row>
    <row r="10591" spans="1:5">
      <c r="A10591" s="3" t="s">
        <v>21215</v>
      </c>
      <c r="B10591" s="110" t="s">
        <v>188</v>
      </c>
      <c r="C10591" s="111" t="s">
        <v>16204</v>
      </c>
      <c r="D10591" s="111" t="str">
        <f t="shared" ref="D10591:E10591" si="10589">TRIM(B10591)</f>
        <v>New York</v>
      </c>
      <c r="E10591" s="111" t="str">
        <f t="shared" si="10589"/>
        <v>Farmingdale</v>
      </c>
    </row>
    <row r="10592" spans="1:5">
      <c r="A10592" s="3" t="s">
        <v>21216</v>
      </c>
      <c r="B10592" s="110" t="s">
        <v>188</v>
      </c>
      <c r="C10592" s="111" t="s">
        <v>21217</v>
      </c>
      <c r="D10592" s="111" t="str">
        <f t="shared" ref="D10592:E10592" si="10590">TRIM(B10592)</f>
        <v>New York</v>
      </c>
      <c r="E10592" s="111" t="str">
        <f t="shared" si="10590"/>
        <v>Farmingville</v>
      </c>
    </row>
    <row r="10593" spans="1:5">
      <c r="A10593" s="3" t="s">
        <v>21218</v>
      </c>
      <c r="B10593" s="110" t="s">
        <v>188</v>
      </c>
      <c r="C10593" s="111" t="s">
        <v>21219</v>
      </c>
      <c r="D10593" s="111" t="str">
        <f t="shared" ref="D10593:E10593" si="10591">TRIM(B10593)</f>
        <v>New York</v>
      </c>
      <c r="E10593" s="111" t="str">
        <f t="shared" si="10591"/>
        <v>Floral Park</v>
      </c>
    </row>
    <row r="10594" spans="1:5">
      <c r="A10594" s="3" t="s">
        <v>21220</v>
      </c>
      <c r="B10594" s="110" t="s">
        <v>188</v>
      </c>
      <c r="C10594" s="111" t="s">
        <v>21219</v>
      </c>
      <c r="D10594" s="111" t="str">
        <f t="shared" ref="D10594:E10594" si="10592">TRIM(B10594)</f>
        <v>New York</v>
      </c>
      <c r="E10594" s="111" t="str">
        <f t="shared" si="10592"/>
        <v>Floral Park</v>
      </c>
    </row>
    <row r="10595" spans="1:5">
      <c r="A10595" s="110" t="s">
        <v>21221</v>
      </c>
      <c r="B10595" s="110" t="s">
        <v>188</v>
      </c>
      <c r="C10595" s="111" t="s">
        <v>1328</v>
      </c>
      <c r="D10595" s="111" t="str">
        <f t="shared" ref="D10595:E10595" si="10593">TRIM(B10595)</f>
        <v>New York</v>
      </c>
      <c r="E10595" s="111" t="str">
        <f t="shared" si="10593"/>
        <v>Florida</v>
      </c>
    </row>
    <row r="10596" spans="1:5">
      <c r="A10596" s="110" t="s">
        <v>21222</v>
      </c>
      <c r="B10596" s="110" t="s">
        <v>188</v>
      </c>
      <c r="C10596" s="111" t="s">
        <v>318</v>
      </c>
      <c r="D10596" s="111" t="str">
        <f t="shared" ref="D10596:E10596" si="10594">TRIM(B10596)</f>
        <v>New York</v>
      </c>
      <c r="E10596" s="111" t="str">
        <f t="shared" si="10594"/>
        <v>Flushing</v>
      </c>
    </row>
    <row r="10597" spans="1:5">
      <c r="A10597" s="3" t="s">
        <v>17205</v>
      </c>
      <c r="B10597" s="110" t="s">
        <v>188</v>
      </c>
      <c r="C10597" s="111" t="s">
        <v>318</v>
      </c>
      <c r="D10597" s="111" t="str">
        <f t="shared" ref="D10597:E10597" si="10595">TRIM(B10597)</f>
        <v>New York</v>
      </c>
      <c r="E10597" s="111" t="str">
        <f t="shared" si="10595"/>
        <v>Flushing</v>
      </c>
    </row>
    <row r="10598" spans="1:5">
      <c r="A10598" s="3" t="s">
        <v>21223</v>
      </c>
      <c r="B10598" s="110" t="s">
        <v>188</v>
      </c>
      <c r="C10598" s="111" t="s">
        <v>318</v>
      </c>
      <c r="D10598" s="111" t="str">
        <f t="shared" ref="D10598:E10598" si="10596">TRIM(B10598)</f>
        <v>New York</v>
      </c>
      <c r="E10598" s="111" t="str">
        <f t="shared" si="10596"/>
        <v>Flushing</v>
      </c>
    </row>
    <row r="10599" spans="1:5">
      <c r="A10599" s="3" t="s">
        <v>21224</v>
      </c>
      <c r="B10599" s="110" t="s">
        <v>188</v>
      </c>
      <c r="C10599" s="111" t="s">
        <v>318</v>
      </c>
      <c r="D10599" s="111" t="str">
        <f t="shared" ref="D10599:E10599" si="10597">TRIM(B10599)</f>
        <v>New York</v>
      </c>
      <c r="E10599" s="111" t="str">
        <f t="shared" si="10597"/>
        <v>Flushing</v>
      </c>
    </row>
    <row r="10600" spans="1:5">
      <c r="A10600" s="3" t="s">
        <v>21225</v>
      </c>
      <c r="B10600" s="110" t="s">
        <v>188</v>
      </c>
      <c r="C10600" s="111" t="s">
        <v>318</v>
      </c>
      <c r="D10600" s="111" t="str">
        <f t="shared" ref="D10600:E10600" si="10598">TRIM(B10600)</f>
        <v>New York</v>
      </c>
      <c r="E10600" s="111" t="str">
        <f t="shared" si="10598"/>
        <v>Flushing</v>
      </c>
    </row>
    <row r="10601" spans="1:5">
      <c r="A10601" s="3" t="s">
        <v>21226</v>
      </c>
      <c r="B10601" s="110" t="s">
        <v>188</v>
      </c>
      <c r="C10601" s="111" t="s">
        <v>318</v>
      </c>
      <c r="D10601" s="111" t="str">
        <f t="shared" ref="D10601:E10601" si="10599">TRIM(B10601)</f>
        <v>New York</v>
      </c>
      <c r="E10601" s="111" t="str">
        <f t="shared" si="10599"/>
        <v>Flushing</v>
      </c>
    </row>
    <row r="10602" spans="1:5">
      <c r="A10602" s="3" t="s">
        <v>21227</v>
      </c>
      <c r="B10602" s="110" t="s">
        <v>188</v>
      </c>
      <c r="C10602" s="111" t="s">
        <v>318</v>
      </c>
      <c r="D10602" s="111" t="str">
        <f t="shared" ref="D10602:E10602" si="10600">TRIM(B10602)</f>
        <v>New York</v>
      </c>
      <c r="E10602" s="111" t="str">
        <f t="shared" si="10600"/>
        <v>Flushing</v>
      </c>
    </row>
    <row r="10603" spans="1:5">
      <c r="A10603" s="110" t="s">
        <v>21228</v>
      </c>
      <c r="B10603" s="110" t="s">
        <v>188</v>
      </c>
      <c r="C10603" s="111" t="s">
        <v>318</v>
      </c>
      <c r="D10603" s="111" t="str">
        <f t="shared" ref="D10603:E10603" si="10601">TRIM(B10603)</f>
        <v>New York</v>
      </c>
      <c r="E10603" s="111" t="str">
        <f t="shared" si="10601"/>
        <v>Flushing</v>
      </c>
    </row>
    <row r="10604" spans="1:5">
      <c r="A10604" s="3" t="s">
        <v>21229</v>
      </c>
      <c r="B10604" s="110" t="s">
        <v>188</v>
      </c>
      <c r="C10604" s="111" t="s">
        <v>318</v>
      </c>
      <c r="D10604" s="111" t="str">
        <f t="shared" ref="D10604:E10604" si="10602">TRIM(B10604)</f>
        <v>New York</v>
      </c>
      <c r="E10604" s="111" t="str">
        <f t="shared" si="10602"/>
        <v>Flushing</v>
      </c>
    </row>
    <row r="10605" spans="1:5">
      <c r="A10605" s="3" t="s">
        <v>21230</v>
      </c>
      <c r="B10605" s="110" t="s">
        <v>188</v>
      </c>
      <c r="C10605" s="111" t="s">
        <v>318</v>
      </c>
      <c r="D10605" s="111" t="str">
        <f t="shared" ref="D10605:E10605" si="10603">TRIM(B10605)</f>
        <v>New York</v>
      </c>
      <c r="E10605" s="111" t="str">
        <f t="shared" si="10603"/>
        <v>Flushing</v>
      </c>
    </row>
    <row r="10606" spans="1:5">
      <c r="A10606" s="3" t="s">
        <v>13254</v>
      </c>
      <c r="B10606" s="110" t="s">
        <v>188</v>
      </c>
      <c r="C10606" s="111" t="s">
        <v>318</v>
      </c>
      <c r="D10606" s="111" t="str">
        <f t="shared" ref="D10606:E10606" si="10604">TRIM(B10606)</f>
        <v>New York</v>
      </c>
      <c r="E10606" s="111" t="str">
        <f t="shared" si="10604"/>
        <v>Flushing</v>
      </c>
    </row>
    <row r="10607" spans="1:5">
      <c r="A10607" s="110" t="s">
        <v>21231</v>
      </c>
      <c r="B10607" s="110" t="s">
        <v>188</v>
      </c>
      <c r="C10607" s="111" t="s">
        <v>318</v>
      </c>
      <c r="D10607" s="111" t="str">
        <f t="shared" ref="D10607:E10607" si="10605">TRIM(B10607)</f>
        <v>New York</v>
      </c>
      <c r="E10607" s="111" t="str">
        <f t="shared" si="10605"/>
        <v>Flushing</v>
      </c>
    </row>
    <row r="10608" spans="1:5">
      <c r="A10608" s="3" t="s">
        <v>21232</v>
      </c>
      <c r="B10608" s="110" t="s">
        <v>188</v>
      </c>
      <c r="C10608" s="111" t="s">
        <v>21233</v>
      </c>
      <c r="D10608" s="111" t="str">
        <f t="shared" ref="D10608:E10608" si="10606">TRIM(B10608)</f>
        <v>New York</v>
      </c>
      <c r="E10608" s="111" t="str">
        <f t="shared" si="10606"/>
        <v>Fonda</v>
      </c>
    </row>
    <row r="10609" spans="1:5">
      <c r="A10609" s="3" t="s">
        <v>21234</v>
      </c>
      <c r="B10609" s="110" t="s">
        <v>188</v>
      </c>
      <c r="C10609" s="111" t="s">
        <v>21235</v>
      </c>
      <c r="D10609" s="111" t="str">
        <f t="shared" ref="D10609:E10609" si="10607">TRIM(B10609)</f>
        <v>New York</v>
      </c>
      <c r="E10609" s="111" t="str">
        <f t="shared" si="10607"/>
        <v>Forest Hills</v>
      </c>
    </row>
    <row r="10610" spans="1:5">
      <c r="A10610" s="3" t="s">
        <v>21236</v>
      </c>
      <c r="B10610" s="110" t="s">
        <v>188</v>
      </c>
      <c r="C10610" s="111" t="s">
        <v>5048</v>
      </c>
      <c r="D10610" s="111" t="str">
        <f t="shared" ref="D10610:E10610" si="10608">TRIM(B10610)</f>
        <v>New York</v>
      </c>
      <c r="E10610" s="111" t="str">
        <f t="shared" si="10608"/>
        <v>Forestville</v>
      </c>
    </row>
    <row r="10611" spans="1:5">
      <c r="A10611" s="3" t="s">
        <v>21237</v>
      </c>
      <c r="B10611" s="110" t="s">
        <v>188</v>
      </c>
      <c r="C10611" s="111" t="s">
        <v>21238</v>
      </c>
      <c r="D10611" s="111" t="str">
        <f t="shared" ref="D10611:E10611" si="10609">TRIM(B10611)</f>
        <v>New York</v>
      </c>
      <c r="E10611" s="111" t="str">
        <f t="shared" si="10609"/>
        <v>Fort Ann</v>
      </c>
    </row>
    <row r="10612" spans="1:5">
      <c r="A10612" s="3" t="s">
        <v>21239</v>
      </c>
      <c r="B10612" s="110" t="s">
        <v>188</v>
      </c>
      <c r="C10612" s="111" t="s">
        <v>21240</v>
      </c>
      <c r="D10612" s="111" t="str">
        <f t="shared" ref="D10612:E10612" si="10610">TRIM(B10612)</f>
        <v>New York</v>
      </c>
      <c r="E10612" s="111" t="str">
        <f t="shared" si="10610"/>
        <v>Fort Covington</v>
      </c>
    </row>
    <row r="10613" spans="1:5">
      <c r="A10613" s="3" t="s">
        <v>21241</v>
      </c>
      <c r="B10613" s="110" t="s">
        <v>188</v>
      </c>
      <c r="C10613" s="111" t="s">
        <v>21242</v>
      </c>
      <c r="D10613" s="111" t="str">
        <f t="shared" ref="D10613:E10613" si="10611">TRIM(B10613)</f>
        <v>New York</v>
      </c>
      <c r="E10613" s="111" t="str">
        <f t="shared" si="10611"/>
        <v>Fort Plain</v>
      </c>
    </row>
    <row r="10614" spans="1:5">
      <c r="A10614" s="3" t="s">
        <v>21243</v>
      </c>
      <c r="B10614" s="110" t="s">
        <v>188</v>
      </c>
      <c r="C10614" s="111" t="s">
        <v>12913</v>
      </c>
      <c r="D10614" s="111" t="str">
        <f t="shared" ref="D10614:E10614" si="10612">TRIM(B10614)</f>
        <v>New York</v>
      </c>
      <c r="E10614" s="111" t="str">
        <f t="shared" si="10612"/>
        <v>Frankfort</v>
      </c>
    </row>
    <row r="10615" spans="1:5">
      <c r="A10615" s="3" t="s">
        <v>21244</v>
      </c>
      <c r="B10615" s="110" t="s">
        <v>188</v>
      </c>
      <c r="C10615" s="111" t="s">
        <v>21245</v>
      </c>
      <c r="D10615" s="111" t="str">
        <f t="shared" ref="D10615:E10615" si="10613">TRIM(B10615)</f>
        <v>New York</v>
      </c>
      <c r="E10615" s="111" t="str">
        <f t="shared" si="10613"/>
        <v>Franklin Square</v>
      </c>
    </row>
    <row r="10616" spans="1:5">
      <c r="A10616" s="3" t="s">
        <v>21246</v>
      </c>
      <c r="B10616" s="110" t="s">
        <v>188</v>
      </c>
      <c r="C10616" s="111" t="s">
        <v>21245</v>
      </c>
      <c r="D10616" s="111" t="str">
        <f t="shared" ref="D10616:E10616" si="10614">TRIM(B10616)</f>
        <v>New York</v>
      </c>
      <c r="E10616" s="111" t="str">
        <f t="shared" si="10614"/>
        <v>Franklin Square</v>
      </c>
    </row>
    <row r="10617" spans="1:5">
      <c r="A10617" s="3" t="s">
        <v>21247</v>
      </c>
      <c r="B10617" s="110" t="s">
        <v>188</v>
      </c>
      <c r="C10617" s="111" t="s">
        <v>20150</v>
      </c>
      <c r="D10617" s="111" t="str">
        <f t="shared" ref="D10617:E10617" si="10615">TRIM(B10617)</f>
        <v>New York</v>
      </c>
      <c r="E10617" s="111" t="str">
        <f t="shared" si="10615"/>
        <v>Franklinville</v>
      </c>
    </row>
    <row r="10618" spans="1:5">
      <c r="A10618" s="3" t="s">
        <v>2635</v>
      </c>
      <c r="B10618" s="110" t="s">
        <v>188</v>
      </c>
      <c r="C10618" s="111" t="s">
        <v>2636</v>
      </c>
      <c r="D10618" s="111" t="str">
        <f t="shared" ref="D10618:E10618" si="10616">TRIM(B10618)</f>
        <v>New York</v>
      </c>
      <c r="E10618" s="111" t="str">
        <f t="shared" si="10616"/>
        <v>Fredonia</v>
      </c>
    </row>
    <row r="10619" spans="1:5">
      <c r="A10619" s="3" t="s">
        <v>12923</v>
      </c>
      <c r="B10619" s="110" t="s">
        <v>188</v>
      </c>
      <c r="C10619" s="111" t="s">
        <v>9246</v>
      </c>
      <c r="D10619" s="111" t="str">
        <f t="shared" ref="D10619:E10619" si="10617">TRIM(B10619)</f>
        <v>New York</v>
      </c>
      <c r="E10619" s="111" t="str">
        <f t="shared" si="10617"/>
        <v>Freeport</v>
      </c>
    </row>
    <row r="10620" spans="1:5">
      <c r="A10620" s="3" t="s">
        <v>21248</v>
      </c>
      <c r="B10620" s="110" t="s">
        <v>188</v>
      </c>
      <c r="C10620" s="111" t="s">
        <v>12489</v>
      </c>
      <c r="D10620" s="111" t="str">
        <f t="shared" ref="D10620:E10620" si="10618">TRIM(B10620)</f>
        <v>New York</v>
      </c>
      <c r="E10620" s="111" t="str">
        <f t="shared" si="10618"/>
        <v>Fresh Meadows</v>
      </c>
    </row>
    <row r="10621" spans="1:5">
      <c r="A10621" s="3" t="s">
        <v>21249</v>
      </c>
      <c r="B10621" s="110" t="s">
        <v>188</v>
      </c>
      <c r="C10621" s="111" t="s">
        <v>21250</v>
      </c>
      <c r="D10621" s="111" t="str">
        <f t="shared" ref="D10621:E10621" si="10619">TRIM(B10621)</f>
        <v>New York</v>
      </c>
      <c r="E10621" s="111" t="str">
        <f t="shared" si="10619"/>
        <v>Frewsburg</v>
      </c>
    </row>
    <row r="10622" spans="1:5">
      <c r="A10622" s="3" t="s">
        <v>21251</v>
      </c>
      <c r="B10622" s="110" t="s">
        <v>188</v>
      </c>
      <c r="C10622" s="111" t="s">
        <v>12926</v>
      </c>
      <c r="D10622" s="111" t="str">
        <f t="shared" ref="D10622:E10622" si="10620">TRIM(B10622)</f>
        <v>New York</v>
      </c>
      <c r="E10622" s="111" t="str">
        <f t="shared" si="10620"/>
        <v>Fulton</v>
      </c>
    </row>
    <row r="10623" spans="1:5">
      <c r="A10623" s="3" t="s">
        <v>21252</v>
      </c>
      <c r="B10623" s="110" t="s">
        <v>188</v>
      </c>
      <c r="C10623" s="111" t="s">
        <v>291</v>
      </c>
      <c r="D10623" s="111" t="str">
        <f t="shared" ref="D10623:E10623" si="10621">TRIM(B10623)</f>
        <v>New York</v>
      </c>
      <c r="E10623" s="111" t="str">
        <f t="shared" si="10621"/>
        <v>Gainesville</v>
      </c>
    </row>
    <row r="10624" spans="1:5">
      <c r="A10624" s="3" t="s">
        <v>21253</v>
      </c>
      <c r="B10624" s="110" t="s">
        <v>188</v>
      </c>
      <c r="C10624" s="111" t="s">
        <v>21254</v>
      </c>
      <c r="D10624" s="111" t="str">
        <f t="shared" ref="D10624:E10624" si="10622">TRIM(B10624)</f>
        <v>New York</v>
      </c>
      <c r="E10624" s="111" t="str">
        <f t="shared" si="10622"/>
        <v>Galway</v>
      </c>
    </row>
    <row r="10625" spans="1:5">
      <c r="A10625" s="3" t="s">
        <v>15271</v>
      </c>
      <c r="B10625" s="110" t="s">
        <v>188</v>
      </c>
      <c r="C10625" s="111" t="s">
        <v>15272</v>
      </c>
      <c r="D10625" s="111" t="str">
        <f t="shared" ref="D10625:E10625" si="10623">TRIM(B10625)</f>
        <v>New York</v>
      </c>
      <c r="E10625" s="111" t="str">
        <f t="shared" si="10623"/>
        <v>Garden City</v>
      </c>
    </row>
    <row r="10626" spans="1:5">
      <c r="A10626" s="3" t="s">
        <v>21255</v>
      </c>
      <c r="B10626" s="110" t="s">
        <v>188</v>
      </c>
      <c r="C10626" s="113" t="s">
        <v>21256</v>
      </c>
      <c r="D10626" s="111" t="str">
        <f t="shared" ref="D10626:E10626" si="10624">TRIM(B10626)</f>
        <v>New York</v>
      </c>
      <c r="E10626" s="111" t="str">
        <f t="shared" si="10624"/>
        <v>Garden City Park</v>
      </c>
    </row>
    <row r="10627" spans="1:5">
      <c r="A10627" s="3" t="s">
        <v>21257</v>
      </c>
      <c r="B10627" s="110" t="s">
        <v>188</v>
      </c>
      <c r="C10627" s="111" t="s">
        <v>12948</v>
      </c>
      <c r="D10627" s="111" t="str">
        <f t="shared" ref="D10627:E10627" si="10625">TRIM(B10627)</f>
        <v>New York</v>
      </c>
      <c r="E10627" s="111" t="str">
        <f t="shared" si="10625"/>
        <v>Geneseo</v>
      </c>
    </row>
    <row r="10628" spans="1:5">
      <c r="A10628" s="3" t="s">
        <v>1772</v>
      </c>
      <c r="B10628" s="110" t="s">
        <v>188</v>
      </c>
      <c r="C10628" s="111" t="s">
        <v>1773</v>
      </c>
      <c r="D10628" s="111" t="str">
        <f t="shared" ref="D10628:E10628" si="10626">TRIM(B10628)</f>
        <v>New York</v>
      </c>
      <c r="E10628" s="111" t="str">
        <f t="shared" si="10626"/>
        <v>Geneva</v>
      </c>
    </row>
    <row r="10629" spans="1:5">
      <c r="A10629" s="3" t="s">
        <v>21258</v>
      </c>
      <c r="B10629" s="110" t="s">
        <v>188</v>
      </c>
      <c r="C10629" s="111" t="s">
        <v>1157</v>
      </c>
      <c r="D10629" s="111" t="str">
        <f t="shared" ref="D10629:E10629" si="10627">TRIM(B10629)</f>
        <v>New York</v>
      </c>
      <c r="E10629" s="111" t="str">
        <f t="shared" si="10627"/>
        <v>Germantown</v>
      </c>
    </row>
    <row r="10630" spans="1:5">
      <c r="A10630" s="3" t="s">
        <v>21259</v>
      </c>
      <c r="B10630" s="110" t="s">
        <v>188</v>
      </c>
      <c r="C10630" s="111" t="s">
        <v>21260</v>
      </c>
      <c r="D10630" s="111" t="str">
        <f t="shared" ref="D10630:E10630" si="10628">TRIM(B10630)</f>
        <v>New York</v>
      </c>
      <c r="E10630" s="111" t="str">
        <f t="shared" si="10628"/>
        <v>Gilbertsville</v>
      </c>
    </row>
    <row r="10631" spans="1:5">
      <c r="A10631" s="3" t="s">
        <v>21261</v>
      </c>
      <c r="B10631" s="110" t="s">
        <v>188</v>
      </c>
      <c r="C10631" s="111" t="s">
        <v>21262</v>
      </c>
      <c r="D10631" s="111" t="str">
        <f t="shared" ref="D10631:E10631" si="10629">TRIM(B10631)</f>
        <v>New York</v>
      </c>
      <c r="E10631" s="111" t="str">
        <f t="shared" si="10629"/>
        <v>Glen Cove</v>
      </c>
    </row>
    <row r="10632" spans="1:5">
      <c r="A10632" s="3" t="s">
        <v>21263</v>
      </c>
      <c r="B10632" s="110" t="s">
        <v>188</v>
      </c>
      <c r="C10632" s="111" t="s">
        <v>601</v>
      </c>
      <c r="D10632" s="111" t="str">
        <f t="shared" ref="D10632:E10632" si="10630">TRIM(B10632)</f>
        <v>New York</v>
      </c>
      <c r="E10632" s="111" t="str">
        <f t="shared" si="10630"/>
        <v>Glen Head</v>
      </c>
    </row>
    <row r="10633" spans="1:5">
      <c r="A10633" s="3" t="s">
        <v>21264</v>
      </c>
      <c r="B10633" s="110" t="s">
        <v>188</v>
      </c>
      <c r="C10633" s="111" t="s">
        <v>21265</v>
      </c>
      <c r="D10633" s="111" t="str">
        <f t="shared" ref="D10633:E10633" si="10631">TRIM(B10633)</f>
        <v>New York</v>
      </c>
      <c r="E10633" s="111" t="str">
        <f t="shared" si="10631"/>
        <v>Glens Falls</v>
      </c>
    </row>
    <row r="10634" spans="1:5">
      <c r="A10634" s="3" t="s">
        <v>21266</v>
      </c>
      <c r="B10634" s="110" t="s">
        <v>188</v>
      </c>
      <c r="C10634" s="111" t="s">
        <v>21267</v>
      </c>
      <c r="D10634" s="111" t="str">
        <f t="shared" ref="D10634:E10634" si="10632">TRIM(B10634)</f>
        <v>New York</v>
      </c>
      <c r="E10634" s="111" t="str">
        <f t="shared" si="10632"/>
        <v>Gloversville</v>
      </c>
    </row>
    <row r="10635" spans="1:5">
      <c r="A10635" s="3" t="s">
        <v>21268</v>
      </c>
      <c r="B10635" s="110" t="s">
        <v>188</v>
      </c>
      <c r="C10635" s="111" t="s">
        <v>1796</v>
      </c>
      <c r="D10635" s="111" t="str">
        <f t="shared" ref="D10635:E10635" si="10633">TRIM(B10635)</f>
        <v>New York</v>
      </c>
      <c r="E10635" s="111" t="str">
        <f t="shared" si="10633"/>
        <v>Goshen</v>
      </c>
    </row>
    <row r="10636" spans="1:5">
      <c r="A10636" s="3" t="s">
        <v>21269</v>
      </c>
      <c r="B10636" s="110" t="s">
        <v>188</v>
      </c>
      <c r="C10636" s="111" t="s">
        <v>21270</v>
      </c>
      <c r="D10636" s="111" t="str">
        <f t="shared" ref="D10636:E10636" si="10634">TRIM(B10636)</f>
        <v>New York</v>
      </c>
      <c r="E10636" s="111" t="str">
        <f t="shared" si="10634"/>
        <v>Gouverneur</v>
      </c>
    </row>
    <row r="10637" spans="1:5">
      <c r="A10637" s="3" t="s">
        <v>21271</v>
      </c>
      <c r="B10637" s="110" t="s">
        <v>188</v>
      </c>
      <c r="C10637" s="111" t="s">
        <v>21272</v>
      </c>
      <c r="D10637" s="111" t="str">
        <f t="shared" ref="D10637:E10637" si="10635">TRIM(B10637)</f>
        <v>New York</v>
      </c>
      <c r="E10637" s="111" t="str">
        <f t="shared" si="10635"/>
        <v>Gowanda</v>
      </c>
    </row>
    <row r="10638" spans="1:5">
      <c r="A10638" s="110" t="s">
        <v>21273</v>
      </c>
      <c r="B10638" s="110" t="s">
        <v>188</v>
      </c>
      <c r="C10638" s="111" t="s">
        <v>21274</v>
      </c>
      <c r="D10638" s="111" t="str">
        <f t="shared" ref="D10638:E10638" si="10636">TRIM(B10638)</f>
        <v>New York</v>
      </c>
      <c r="E10638" s="111" t="str">
        <f t="shared" si="10636"/>
        <v>Grahamsville</v>
      </c>
    </row>
    <row r="10639" spans="1:5">
      <c r="A10639" s="3" t="s">
        <v>19587</v>
      </c>
      <c r="B10639" s="110" t="s">
        <v>188</v>
      </c>
      <c r="C10639" s="111" t="s">
        <v>19588</v>
      </c>
      <c r="D10639" s="111" t="str">
        <f t="shared" ref="D10639:E10639" si="10637">TRIM(B10639)</f>
        <v>New York</v>
      </c>
      <c r="E10639" s="111" t="str">
        <f t="shared" si="10637"/>
        <v>Grand Island</v>
      </c>
    </row>
    <row r="10640" spans="1:5">
      <c r="A10640" s="3" t="s">
        <v>21275</v>
      </c>
      <c r="B10640" s="110" t="s">
        <v>188</v>
      </c>
      <c r="C10640" s="111" t="s">
        <v>12988</v>
      </c>
      <c r="D10640" s="111" t="str">
        <f t="shared" ref="D10640:E10640" si="10638">TRIM(B10640)</f>
        <v>New York</v>
      </c>
      <c r="E10640" s="111" t="str">
        <f t="shared" si="10638"/>
        <v>Granville</v>
      </c>
    </row>
    <row r="10641" spans="1:5">
      <c r="A10641" s="3" t="s">
        <v>21276</v>
      </c>
      <c r="B10641" s="110" t="s">
        <v>188</v>
      </c>
      <c r="C10641" s="111" t="s">
        <v>21277</v>
      </c>
      <c r="D10641" s="111" t="str">
        <f t="shared" ref="D10641:E10641" si="10639">TRIM(B10641)</f>
        <v>New York</v>
      </c>
      <c r="E10641" s="111" t="str">
        <f t="shared" si="10639"/>
        <v>Great Neck</v>
      </c>
    </row>
    <row r="10642" spans="1:5">
      <c r="A10642" s="3" t="s">
        <v>21278</v>
      </c>
      <c r="B10642" s="110" t="s">
        <v>188</v>
      </c>
      <c r="C10642" s="111" t="s">
        <v>21277</v>
      </c>
      <c r="D10642" s="111" t="str">
        <f t="shared" ref="D10642:E10642" si="10640">TRIM(B10642)</f>
        <v>New York</v>
      </c>
      <c r="E10642" s="111" t="str">
        <f t="shared" si="10640"/>
        <v>Great Neck</v>
      </c>
    </row>
    <row r="10643" spans="1:5">
      <c r="A10643" s="3" t="s">
        <v>21279</v>
      </c>
      <c r="B10643" s="110" t="s">
        <v>188</v>
      </c>
      <c r="C10643" s="111" t="s">
        <v>14850</v>
      </c>
      <c r="D10643" s="111" t="str">
        <f t="shared" ref="D10643:E10643" si="10641">TRIM(B10643)</f>
        <v>New York</v>
      </c>
      <c r="E10643" s="111" t="str">
        <f t="shared" si="10641"/>
        <v>Greene</v>
      </c>
    </row>
    <row r="10644" spans="1:5">
      <c r="A10644" s="3" t="s">
        <v>21280</v>
      </c>
      <c r="B10644" s="110" t="s">
        <v>188</v>
      </c>
      <c r="C10644" s="111" t="s">
        <v>21281</v>
      </c>
      <c r="D10644" s="111" t="str">
        <f t="shared" ref="D10644:E10644" si="10642">TRIM(B10644)</f>
        <v>New York</v>
      </c>
      <c r="E10644" s="111" t="str">
        <f t="shared" si="10642"/>
        <v>Greenlawn</v>
      </c>
    </row>
    <row r="10645" spans="1:5">
      <c r="A10645" s="3" t="s">
        <v>21282</v>
      </c>
      <c r="B10645" s="110" t="s">
        <v>188</v>
      </c>
      <c r="C10645" s="111" t="s">
        <v>21283</v>
      </c>
      <c r="D10645" s="111" t="str">
        <f t="shared" ref="D10645:E10645" si="10643">TRIM(B10645)</f>
        <v>New York</v>
      </c>
      <c r="E10645" s="111" t="str">
        <f t="shared" si="10643"/>
        <v>Greenport</v>
      </c>
    </row>
    <row r="10646" spans="1:5">
      <c r="A10646" s="3" t="s">
        <v>1803</v>
      </c>
      <c r="B10646" s="110" t="s">
        <v>188</v>
      </c>
      <c r="C10646" s="111" t="s">
        <v>1804</v>
      </c>
      <c r="D10646" s="111" t="str">
        <f t="shared" ref="D10646:E10646" si="10644">TRIM(B10646)</f>
        <v>New York</v>
      </c>
      <c r="E10646" s="111" t="str">
        <f t="shared" si="10644"/>
        <v>Greenville</v>
      </c>
    </row>
    <row r="10647" spans="1:5">
      <c r="A10647" s="3" t="s">
        <v>21284</v>
      </c>
      <c r="B10647" s="110" t="s">
        <v>188</v>
      </c>
      <c r="C10647" s="111" t="s">
        <v>8476</v>
      </c>
      <c r="D10647" s="111" t="str">
        <f t="shared" ref="D10647:E10647" si="10645">TRIM(B10647)</f>
        <v>New York</v>
      </c>
      <c r="E10647" s="111" t="str">
        <f t="shared" si="10645"/>
        <v>Greenwich</v>
      </c>
    </row>
    <row r="10648" spans="1:5">
      <c r="A10648" s="3" t="s">
        <v>21285</v>
      </c>
      <c r="B10648" s="110" t="s">
        <v>188</v>
      </c>
      <c r="C10648" s="111" t="s">
        <v>8481</v>
      </c>
      <c r="D10648" s="111" t="str">
        <f t="shared" ref="D10648:E10648" si="10646">TRIM(B10648)</f>
        <v>New York</v>
      </c>
      <c r="E10648" s="111" t="str">
        <f t="shared" si="10646"/>
        <v>Groton</v>
      </c>
    </row>
    <row r="10649" spans="1:5">
      <c r="A10649" s="3" t="s">
        <v>21286</v>
      </c>
      <c r="B10649" s="110" t="s">
        <v>188</v>
      </c>
      <c r="C10649" s="113" t="s">
        <v>21287</v>
      </c>
      <c r="D10649" s="111" t="str">
        <f t="shared" ref="D10649:E10649" si="10647">TRIM(B10649)</f>
        <v>New York</v>
      </c>
      <c r="E10649" s="111" t="str">
        <f t="shared" si="10647"/>
        <v>Guilderland Center</v>
      </c>
    </row>
    <row r="10650" spans="1:5">
      <c r="A10650" s="3" t="s">
        <v>21288</v>
      </c>
      <c r="B10650" s="110" t="s">
        <v>188</v>
      </c>
      <c r="C10650" s="111" t="s">
        <v>3836</v>
      </c>
      <c r="D10650" s="111" t="str">
        <f t="shared" ref="D10650:E10650" si="10648">TRIM(B10650)</f>
        <v>New York</v>
      </c>
      <c r="E10650" s="111" t="str">
        <f t="shared" si="10648"/>
        <v>Hamburg</v>
      </c>
    </row>
    <row r="10651" spans="1:5">
      <c r="A10651" s="3" t="s">
        <v>3835</v>
      </c>
      <c r="B10651" s="110" t="s">
        <v>188</v>
      </c>
      <c r="C10651" s="111" t="s">
        <v>3836</v>
      </c>
      <c r="D10651" s="111" t="str">
        <f t="shared" ref="D10651:E10651" si="10649">TRIM(B10651)</f>
        <v>New York</v>
      </c>
      <c r="E10651" s="111" t="str">
        <f t="shared" si="10649"/>
        <v>Hamburg</v>
      </c>
    </row>
    <row r="10652" spans="1:5">
      <c r="A10652" s="3" t="s">
        <v>21289</v>
      </c>
      <c r="B10652" s="110" t="s">
        <v>188</v>
      </c>
      <c r="C10652" s="111" t="s">
        <v>344</v>
      </c>
      <c r="D10652" s="111" t="str">
        <f t="shared" ref="D10652:E10652" si="10650">TRIM(B10652)</f>
        <v>New York</v>
      </c>
      <c r="E10652" s="111" t="str">
        <f t="shared" si="10650"/>
        <v>Hamilton</v>
      </c>
    </row>
    <row r="10653" spans="1:5">
      <c r="A10653" s="3" t="s">
        <v>21290</v>
      </c>
      <c r="B10653" s="110" t="s">
        <v>188</v>
      </c>
      <c r="C10653" s="111" t="s">
        <v>21291</v>
      </c>
      <c r="D10653" s="111" t="str">
        <f t="shared" ref="D10653:E10653" si="10651">TRIM(B10653)</f>
        <v>New York</v>
      </c>
      <c r="E10653" s="111" t="str">
        <f t="shared" si="10651"/>
        <v>Hammondsport</v>
      </c>
    </row>
    <row r="10654" spans="1:5">
      <c r="A10654" s="3" t="s">
        <v>21292</v>
      </c>
      <c r="B10654" s="110" t="s">
        <v>188</v>
      </c>
      <c r="C10654" s="111" t="s">
        <v>21293</v>
      </c>
      <c r="D10654" s="111" t="str">
        <f t="shared" ref="D10654:E10654" si="10652">TRIM(B10654)</f>
        <v>New York</v>
      </c>
      <c r="E10654" s="111" t="str">
        <f t="shared" si="10652"/>
        <v>Hampton Bays</v>
      </c>
    </row>
    <row r="10655" spans="1:5">
      <c r="A10655" s="3" t="s">
        <v>21294</v>
      </c>
      <c r="B10655" s="110" t="s">
        <v>188</v>
      </c>
      <c r="C10655" s="111" t="s">
        <v>16429</v>
      </c>
      <c r="D10655" s="111" t="str">
        <f t="shared" ref="D10655:E10655" si="10653">TRIM(B10655)</f>
        <v>New York</v>
      </c>
      <c r="E10655" s="111" t="str">
        <f t="shared" si="10653"/>
        <v>Hancock</v>
      </c>
    </row>
    <row r="10656" spans="1:5">
      <c r="A10656" s="3" t="s">
        <v>21295</v>
      </c>
      <c r="B10656" s="110" t="s">
        <v>188</v>
      </c>
      <c r="C10656" s="111" t="s">
        <v>18814</v>
      </c>
      <c r="D10656" s="111" t="str">
        <f t="shared" ref="D10656:E10656" si="10654">TRIM(B10656)</f>
        <v>New York</v>
      </c>
      <c r="E10656" s="111" t="str">
        <f t="shared" si="10654"/>
        <v>Hannibal</v>
      </c>
    </row>
    <row r="10657" spans="1:5">
      <c r="A10657" s="3" t="s">
        <v>21296</v>
      </c>
      <c r="B10657" s="110" t="s">
        <v>188</v>
      </c>
      <c r="C10657" s="111" t="s">
        <v>21297</v>
      </c>
      <c r="D10657" s="111" t="str">
        <f t="shared" ref="D10657:E10657" si="10655">TRIM(B10657)</f>
        <v>New York</v>
      </c>
      <c r="E10657" s="111" t="str">
        <f t="shared" si="10655"/>
        <v>Harpursville</v>
      </c>
    </row>
    <row r="10658" spans="1:5">
      <c r="A10658" s="3" t="s">
        <v>3848</v>
      </c>
      <c r="B10658" s="110" t="s">
        <v>188</v>
      </c>
      <c r="C10658" s="111" t="s">
        <v>3849</v>
      </c>
      <c r="D10658" s="111" t="str">
        <f t="shared" ref="D10658:E10658" si="10656">TRIM(B10658)</f>
        <v>New York</v>
      </c>
      <c r="E10658" s="111" t="str">
        <f t="shared" si="10656"/>
        <v>Harrison</v>
      </c>
    </row>
    <row r="10659" spans="1:5">
      <c r="A10659" s="3" t="s">
        <v>21298</v>
      </c>
      <c r="B10659" s="110" t="s">
        <v>188</v>
      </c>
      <c r="C10659" s="111" t="s">
        <v>21299</v>
      </c>
      <c r="D10659" s="111" t="str">
        <f t="shared" ref="D10659:E10659" si="10657">TRIM(B10659)</f>
        <v>New York</v>
      </c>
      <c r="E10659" s="111" t="str">
        <f t="shared" si="10657"/>
        <v>Harrisville</v>
      </c>
    </row>
    <row r="10660" spans="1:5">
      <c r="A10660" s="3" t="s">
        <v>21300</v>
      </c>
      <c r="B10660" s="110" t="s">
        <v>188</v>
      </c>
      <c r="C10660" s="111" t="s">
        <v>1832</v>
      </c>
      <c r="D10660" s="111" t="str">
        <f t="shared" ref="D10660:E10660" si="10658">TRIM(B10660)</f>
        <v>New York</v>
      </c>
      <c r="E10660" s="111" t="str">
        <f t="shared" si="10658"/>
        <v>Hartford</v>
      </c>
    </row>
    <row r="10661" spans="1:5">
      <c r="A10661" s="3" t="s">
        <v>21301</v>
      </c>
      <c r="B10661" s="110" t="s">
        <v>188</v>
      </c>
      <c r="C10661" s="111" t="s">
        <v>12408</v>
      </c>
      <c r="D10661" s="111" t="str">
        <f t="shared" ref="D10661:E10661" si="10659">TRIM(B10661)</f>
        <v>New York</v>
      </c>
      <c r="E10661" s="111" t="str">
        <f t="shared" si="10659"/>
        <v>Hartsdale</v>
      </c>
    </row>
    <row r="10662" spans="1:5">
      <c r="A10662" s="3" t="s">
        <v>17289</v>
      </c>
      <c r="B10662" s="110" t="s">
        <v>188</v>
      </c>
      <c r="C10662" s="113" t="s">
        <v>21302</v>
      </c>
      <c r="D10662" s="111" t="str">
        <f t="shared" ref="D10662:E10662" si="10660">TRIM(B10662)</f>
        <v>New York</v>
      </c>
      <c r="E10662" s="111" t="str">
        <f t="shared" si="10660"/>
        <v>Hastings On Hudson</v>
      </c>
    </row>
    <row r="10663" spans="1:5">
      <c r="A10663" s="3" t="s">
        <v>21303</v>
      </c>
      <c r="B10663" s="110" t="s">
        <v>188</v>
      </c>
      <c r="C10663" s="111" t="s">
        <v>21304</v>
      </c>
      <c r="D10663" s="111" t="str">
        <f t="shared" ref="D10663:E10663" si="10661">TRIM(B10663)</f>
        <v>New York</v>
      </c>
      <c r="E10663" s="111" t="str">
        <f t="shared" si="10661"/>
        <v>Hauppauge</v>
      </c>
    </row>
    <row r="10664" spans="1:5">
      <c r="A10664" s="3" t="s">
        <v>14794</v>
      </c>
      <c r="B10664" s="110" t="s">
        <v>188</v>
      </c>
      <c r="C10664" s="111" t="s">
        <v>12317</v>
      </c>
      <c r="D10664" s="111" t="str">
        <f t="shared" ref="D10664:E10664" si="10662">TRIM(B10664)</f>
        <v>New York</v>
      </c>
      <c r="E10664" s="111" t="str">
        <f t="shared" si="10662"/>
        <v>Hempstead</v>
      </c>
    </row>
    <row r="10665" spans="1:5">
      <c r="A10665" s="3" t="s">
        <v>21305</v>
      </c>
      <c r="B10665" s="110" t="s">
        <v>188</v>
      </c>
      <c r="C10665" s="112" t="s">
        <v>21306</v>
      </c>
      <c r="D10665" s="111" t="str">
        <f t="shared" ref="D10665:E10665" si="10663">TRIM(B10665)</f>
        <v>New York</v>
      </c>
      <c r="E10665" s="111" t="str">
        <f t="shared" si="10663"/>
        <v>Henrietta</v>
      </c>
    </row>
    <row r="10666" spans="1:5">
      <c r="A10666" s="3" t="s">
        <v>21307</v>
      </c>
      <c r="B10666" s="110" t="s">
        <v>188</v>
      </c>
      <c r="C10666" s="111" t="s">
        <v>21308</v>
      </c>
      <c r="D10666" s="111" t="str">
        <f t="shared" ref="D10666:E10666" si="10664">TRIM(B10666)</f>
        <v>New York</v>
      </c>
      <c r="E10666" s="111" t="str">
        <f t="shared" si="10664"/>
        <v>Herkimer</v>
      </c>
    </row>
    <row r="10667" spans="1:5">
      <c r="A10667" s="3" t="s">
        <v>21309</v>
      </c>
      <c r="B10667" s="110" t="s">
        <v>188</v>
      </c>
      <c r="C10667" s="111" t="s">
        <v>16219</v>
      </c>
      <c r="D10667" s="111" t="str">
        <f t="shared" ref="D10667:E10667" si="10665">TRIM(B10667)</f>
        <v>New York</v>
      </c>
      <c r="E10667" s="111" t="str">
        <f t="shared" si="10665"/>
        <v>Hermon</v>
      </c>
    </row>
    <row r="10668" spans="1:5">
      <c r="A10668" s="3" t="s">
        <v>21310</v>
      </c>
      <c r="B10668" s="110" t="s">
        <v>188</v>
      </c>
      <c r="C10668" s="111" t="s">
        <v>21311</v>
      </c>
      <c r="D10668" s="111" t="str">
        <f t="shared" ref="D10668:E10668" si="10666">TRIM(B10668)</f>
        <v>New York</v>
      </c>
      <c r="E10668" s="111" t="str">
        <f t="shared" si="10666"/>
        <v>Hewlett</v>
      </c>
    </row>
    <row r="10669" spans="1:5">
      <c r="A10669" s="3" t="s">
        <v>21312</v>
      </c>
      <c r="B10669" s="110" t="s">
        <v>188</v>
      </c>
      <c r="C10669" s="111" t="s">
        <v>21313</v>
      </c>
      <c r="D10669" s="111" t="str">
        <f t="shared" ref="D10669:E10669" si="10667">TRIM(B10669)</f>
        <v>New York</v>
      </c>
      <c r="E10669" s="111" t="str">
        <f t="shared" si="10667"/>
        <v>Hicksville</v>
      </c>
    </row>
    <row r="10670" spans="1:5">
      <c r="A10670" s="3" t="s">
        <v>2665</v>
      </c>
      <c r="B10670" s="110" t="s">
        <v>188</v>
      </c>
      <c r="C10670" s="111" t="s">
        <v>234</v>
      </c>
      <c r="D10670" s="111" t="str">
        <f t="shared" ref="D10670:E10670" si="10668">TRIM(B10670)</f>
        <v>New York</v>
      </c>
      <c r="E10670" s="111" t="str">
        <f t="shared" si="10668"/>
        <v>Highland</v>
      </c>
    </row>
    <row r="10671" spans="1:5">
      <c r="A10671" s="3" t="s">
        <v>21314</v>
      </c>
      <c r="B10671" s="110" t="s">
        <v>188</v>
      </c>
      <c r="C10671" s="111" t="s">
        <v>21315</v>
      </c>
      <c r="D10671" s="111" t="str">
        <f t="shared" ref="D10671:E10671" si="10669">TRIM(B10671)</f>
        <v>New York</v>
      </c>
      <c r="E10671" s="111" t="str">
        <f t="shared" si="10669"/>
        <v>Highland Falls</v>
      </c>
    </row>
    <row r="10672" spans="1:5">
      <c r="A10672" s="3" t="s">
        <v>21316</v>
      </c>
      <c r="B10672" s="110" t="s">
        <v>188</v>
      </c>
      <c r="C10672" s="111" t="s">
        <v>21317</v>
      </c>
      <c r="D10672" s="111" t="str">
        <f t="shared" ref="D10672:E10672" si="10670">TRIM(B10672)</f>
        <v>New York</v>
      </c>
      <c r="E10672" s="111" t="str">
        <f t="shared" si="10670"/>
        <v>Hilton</v>
      </c>
    </row>
    <row r="10673" spans="1:5">
      <c r="A10673" s="3" t="s">
        <v>17298</v>
      </c>
      <c r="B10673" s="110" t="s">
        <v>188</v>
      </c>
      <c r="C10673" s="111" t="s">
        <v>11430</v>
      </c>
      <c r="D10673" s="111" t="str">
        <f t="shared" ref="D10673:E10673" si="10671">TRIM(B10673)</f>
        <v>New York</v>
      </c>
      <c r="E10673" s="111" t="str">
        <f t="shared" si="10671"/>
        <v>Holland</v>
      </c>
    </row>
    <row r="10674" spans="1:5">
      <c r="A10674" s="3" t="s">
        <v>21318</v>
      </c>
      <c r="B10674" s="110" t="s">
        <v>188</v>
      </c>
      <c r="C10674" s="111" t="s">
        <v>21319</v>
      </c>
      <c r="D10674" s="111" t="str">
        <f t="shared" ref="D10674:E10674" si="10672">TRIM(B10674)</f>
        <v>New York</v>
      </c>
      <c r="E10674" s="111" t="str">
        <f t="shared" si="10672"/>
        <v>Holland Patent</v>
      </c>
    </row>
    <row r="10675" spans="1:5">
      <c r="A10675" s="3" t="s">
        <v>21320</v>
      </c>
      <c r="B10675" s="110" t="s">
        <v>188</v>
      </c>
      <c r="C10675" s="111" t="s">
        <v>21321</v>
      </c>
      <c r="D10675" s="111" t="str">
        <f t="shared" ref="D10675:E10675" si="10673">TRIM(B10675)</f>
        <v>New York</v>
      </c>
      <c r="E10675" s="111" t="str">
        <f t="shared" si="10673"/>
        <v>Holley</v>
      </c>
    </row>
    <row r="10676" spans="1:5">
      <c r="A10676" s="3" t="s">
        <v>21322</v>
      </c>
      <c r="B10676" s="110" t="s">
        <v>188</v>
      </c>
      <c r="C10676" s="111" t="s">
        <v>19951</v>
      </c>
      <c r="D10676" s="111" t="str">
        <f t="shared" ref="D10676:E10676" si="10674">TRIM(B10676)</f>
        <v>New York</v>
      </c>
      <c r="E10676" s="111" t="str">
        <f t="shared" si="10674"/>
        <v>Hollis</v>
      </c>
    </row>
    <row r="10677" spans="1:5">
      <c r="A10677" s="3" t="s">
        <v>21323</v>
      </c>
      <c r="B10677" s="110" t="s">
        <v>188</v>
      </c>
      <c r="C10677" s="111" t="s">
        <v>239</v>
      </c>
      <c r="D10677" s="111" t="str">
        <f t="shared" ref="D10677:E10677" si="10675">TRIM(B10677)</f>
        <v>New York</v>
      </c>
      <c r="E10677" s="111" t="str">
        <f t="shared" si="10675"/>
        <v>Homer</v>
      </c>
    </row>
    <row r="10678" spans="1:5">
      <c r="A10678" s="3" t="s">
        <v>21324</v>
      </c>
      <c r="B10678" s="110" t="s">
        <v>188</v>
      </c>
      <c r="C10678" s="111" t="s">
        <v>21325</v>
      </c>
      <c r="D10678" s="111" t="str">
        <f t="shared" ref="D10678:E10678" si="10676">TRIM(B10678)</f>
        <v>New York</v>
      </c>
      <c r="E10678" s="111" t="str">
        <f t="shared" si="10676"/>
        <v>Honeoye</v>
      </c>
    </row>
    <row r="10679" spans="1:5">
      <c r="A10679" s="3" t="s">
        <v>21326</v>
      </c>
      <c r="B10679" s="110" t="s">
        <v>188</v>
      </c>
      <c r="C10679" s="111" t="s">
        <v>21327</v>
      </c>
      <c r="D10679" s="111" t="str">
        <f t="shared" ref="D10679:E10679" si="10677">TRIM(B10679)</f>
        <v>New York</v>
      </c>
      <c r="E10679" s="111" t="str">
        <f t="shared" si="10677"/>
        <v>Honeoye Falls</v>
      </c>
    </row>
    <row r="10680" spans="1:5">
      <c r="A10680" s="3" t="s">
        <v>21328</v>
      </c>
      <c r="B10680" s="110" t="s">
        <v>188</v>
      </c>
      <c r="C10680" s="111" t="s">
        <v>21329</v>
      </c>
      <c r="D10680" s="111" t="str">
        <f t="shared" ref="D10680:E10680" si="10678">TRIM(B10680)</f>
        <v>New York</v>
      </c>
      <c r="E10680" s="111" t="str">
        <f t="shared" si="10678"/>
        <v>Hoosick Falls</v>
      </c>
    </row>
    <row r="10681" spans="1:5">
      <c r="A10681" s="3" t="s">
        <v>21330</v>
      </c>
      <c r="B10681" s="110" t="s">
        <v>188</v>
      </c>
      <c r="C10681" s="113" t="s">
        <v>21331</v>
      </c>
      <c r="D10681" s="111" t="str">
        <f t="shared" ref="D10681:E10681" si="10679">TRIM(B10681)</f>
        <v>New York</v>
      </c>
      <c r="E10681" s="111" t="str">
        <f t="shared" si="10679"/>
        <v>Hopewell Junction</v>
      </c>
    </row>
    <row r="10682" spans="1:5">
      <c r="A10682" s="3" t="s">
        <v>21332</v>
      </c>
      <c r="B10682" s="110" t="s">
        <v>188</v>
      </c>
      <c r="C10682" s="111" t="s">
        <v>21333</v>
      </c>
      <c r="D10682" s="111" t="str">
        <f t="shared" ref="D10682:E10682" si="10680">TRIM(B10682)</f>
        <v>New York</v>
      </c>
      <c r="E10682" s="111" t="str">
        <f t="shared" si="10680"/>
        <v>Hornell</v>
      </c>
    </row>
    <row r="10683" spans="1:5">
      <c r="A10683" s="3" t="s">
        <v>21334</v>
      </c>
      <c r="B10683" s="110" t="s">
        <v>188</v>
      </c>
      <c r="C10683" s="111" t="s">
        <v>21335</v>
      </c>
      <c r="D10683" s="111" t="str">
        <f t="shared" ref="D10683:E10683" si="10681">TRIM(B10683)</f>
        <v>New York</v>
      </c>
      <c r="E10683" s="111" t="str">
        <f t="shared" si="10681"/>
        <v>Horseheads</v>
      </c>
    </row>
    <row r="10684" spans="1:5">
      <c r="A10684" s="3" t="s">
        <v>9374</v>
      </c>
      <c r="B10684" s="110" t="s">
        <v>188</v>
      </c>
      <c r="C10684" s="111" t="s">
        <v>886</v>
      </c>
      <c r="D10684" s="111" t="str">
        <f t="shared" ref="D10684:E10684" si="10682">TRIM(B10684)</f>
        <v>New York</v>
      </c>
      <c r="E10684" s="111" t="str">
        <f t="shared" si="10682"/>
        <v>Hudson</v>
      </c>
    </row>
    <row r="10685" spans="1:5">
      <c r="A10685" s="3" t="s">
        <v>21336</v>
      </c>
      <c r="B10685" s="110" t="s">
        <v>188</v>
      </c>
      <c r="C10685" s="111" t="s">
        <v>21337</v>
      </c>
      <c r="D10685" s="111" t="str">
        <f t="shared" ref="D10685:E10685" si="10683">TRIM(B10685)</f>
        <v>New York</v>
      </c>
      <c r="E10685" s="111" t="str">
        <f t="shared" si="10683"/>
        <v>Hudson Falls</v>
      </c>
    </row>
    <row r="10686" spans="1:5">
      <c r="A10686" s="3" t="s">
        <v>16109</v>
      </c>
      <c r="B10686" s="110" t="s">
        <v>188</v>
      </c>
      <c r="C10686" s="111" t="s">
        <v>1053</v>
      </c>
      <c r="D10686" s="111" t="str">
        <f t="shared" ref="D10686:E10686" si="10684">TRIM(B10686)</f>
        <v>New York</v>
      </c>
      <c r="E10686" s="111" t="str">
        <f t="shared" si="10684"/>
        <v>Huntington</v>
      </c>
    </row>
    <row r="10687" spans="1:5">
      <c r="A10687" s="3" t="s">
        <v>16365</v>
      </c>
      <c r="B10687" s="110" t="s">
        <v>188</v>
      </c>
      <c r="C10687" s="113" t="s">
        <v>12476</v>
      </c>
      <c r="D10687" s="111" t="str">
        <f t="shared" ref="D10687:E10687" si="10685">TRIM(B10687)</f>
        <v>New York</v>
      </c>
      <c r="E10687" s="111" t="str">
        <f t="shared" si="10685"/>
        <v>Huntington Station</v>
      </c>
    </row>
    <row r="10688" spans="1:5">
      <c r="A10688" s="3" t="s">
        <v>21338</v>
      </c>
      <c r="B10688" s="110" t="s">
        <v>188</v>
      </c>
      <c r="C10688" s="111" t="s">
        <v>16688</v>
      </c>
      <c r="D10688" s="111" t="str">
        <f t="shared" ref="D10688:E10688" si="10686">TRIM(B10688)</f>
        <v>New York</v>
      </c>
      <c r="E10688" s="111" t="str">
        <f t="shared" si="10686"/>
        <v>Hyde Park</v>
      </c>
    </row>
    <row r="10689" spans="1:5">
      <c r="A10689" s="3" t="s">
        <v>21339</v>
      </c>
      <c r="B10689" s="110" t="s">
        <v>188</v>
      </c>
      <c r="C10689" s="111" t="s">
        <v>21340</v>
      </c>
      <c r="D10689" s="111" t="str">
        <f t="shared" ref="D10689:E10689" si="10687">TRIM(B10689)</f>
        <v>New York</v>
      </c>
      <c r="E10689" s="111" t="str">
        <f t="shared" si="10687"/>
        <v>Ilion</v>
      </c>
    </row>
    <row r="10690" spans="1:5">
      <c r="A10690" s="3" t="s">
        <v>5068</v>
      </c>
      <c r="B10690" s="110" t="s">
        <v>188</v>
      </c>
      <c r="C10690" s="111" t="s">
        <v>1887</v>
      </c>
      <c r="D10690" s="111" t="str">
        <f t="shared" ref="D10690:E10690" si="10688">TRIM(B10690)</f>
        <v>New York</v>
      </c>
      <c r="E10690" s="111" t="str">
        <f t="shared" si="10688"/>
        <v>Irvington</v>
      </c>
    </row>
    <row r="10691" spans="1:5">
      <c r="A10691" s="3" t="s">
        <v>21341</v>
      </c>
      <c r="B10691" s="110" t="s">
        <v>188</v>
      </c>
      <c r="C10691" s="111" t="s">
        <v>21342</v>
      </c>
      <c r="D10691" s="111" t="str">
        <f t="shared" ref="D10691:E10691" si="10689">TRIM(B10691)</f>
        <v>New York</v>
      </c>
      <c r="E10691" s="111" t="str">
        <f t="shared" si="10689"/>
        <v>Islip</v>
      </c>
    </row>
    <row r="10692" spans="1:5">
      <c r="A10692" s="3" t="s">
        <v>21343</v>
      </c>
      <c r="B10692" s="110" t="s">
        <v>188</v>
      </c>
      <c r="C10692" s="111" t="s">
        <v>21344</v>
      </c>
      <c r="D10692" s="111" t="str">
        <f t="shared" ref="D10692:E10692" si="10690">TRIM(B10692)</f>
        <v>New York</v>
      </c>
      <c r="E10692" s="111" t="str">
        <f t="shared" si="10690"/>
        <v>Islip Terrace</v>
      </c>
    </row>
    <row r="10693" spans="1:5">
      <c r="A10693" s="3" t="s">
        <v>21345</v>
      </c>
      <c r="B10693" s="110" t="s">
        <v>188</v>
      </c>
      <c r="C10693" s="111" t="s">
        <v>12309</v>
      </c>
      <c r="D10693" s="111" t="str">
        <f t="shared" ref="D10693:E10693" si="10691">TRIM(B10693)</f>
        <v>New York</v>
      </c>
      <c r="E10693" s="111" t="str">
        <f t="shared" si="10691"/>
        <v>Ithaca</v>
      </c>
    </row>
    <row r="10694" spans="1:5">
      <c r="A10694" s="110" t="s">
        <v>21346</v>
      </c>
      <c r="B10694" s="110" t="s">
        <v>188</v>
      </c>
      <c r="C10694" s="111" t="s">
        <v>12309</v>
      </c>
      <c r="D10694" s="111" t="str">
        <f t="shared" ref="D10694:E10694" si="10692">TRIM(B10694)</f>
        <v>New York</v>
      </c>
      <c r="E10694" s="111" t="str">
        <f t="shared" si="10692"/>
        <v>Ithaca</v>
      </c>
    </row>
    <row r="10695" spans="1:5">
      <c r="A10695" s="3" t="s">
        <v>21347</v>
      </c>
      <c r="B10695" s="110" t="s">
        <v>188</v>
      </c>
      <c r="C10695" s="111" t="s">
        <v>12536</v>
      </c>
      <c r="D10695" s="111" t="str">
        <f t="shared" ref="D10695:E10695" si="10693">TRIM(B10695)</f>
        <v>New York</v>
      </c>
      <c r="E10695" s="111" t="str">
        <f t="shared" si="10693"/>
        <v>Jamaica</v>
      </c>
    </row>
    <row r="10696" spans="1:5">
      <c r="A10696" s="3" t="s">
        <v>21348</v>
      </c>
      <c r="B10696" s="110" t="s">
        <v>188</v>
      </c>
      <c r="C10696" s="111" t="s">
        <v>12536</v>
      </c>
      <c r="D10696" s="111" t="str">
        <f t="shared" ref="D10696:E10696" si="10694">TRIM(B10696)</f>
        <v>New York</v>
      </c>
      <c r="E10696" s="111" t="str">
        <f t="shared" si="10694"/>
        <v>Jamaica</v>
      </c>
    </row>
    <row r="10697" spans="1:5">
      <c r="A10697" s="3" t="s">
        <v>21349</v>
      </c>
      <c r="B10697" s="110" t="s">
        <v>188</v>
      </c>
      <c r="C10697" s="111" t="s">
        <v>12536</v>
      </c>
      <c r="D10697" s="111" t="str">
        <f t="shared" ref="D10697:E10697" si="10695">TRIM(B10697)</f>
        <v>New York</v>
      </c>
      <c r="E10697" s="111" t="str">
        <f t="shared" si="10695"/>
        <v>Jamaica</v>
      </c>
    </row>
    <row r="10698" spans="1:5">
      <c r="A10698" s="3" t="s">
        <v>1736</v>
      </c>
      <c r="B10698" s="110" t="s">
        <v>188</v>
      </c>
      <c r="C10698" s="111" t="s">
        <v>12536</v>
      </c>
      <c r="D10698" s="111" t="str">
        <f t="shared" ref="D10698:E10698" si="10696">TRIM(B10698)</f>
        <v>New York</v>
      </c>
      <c r="E10698" s="111" t="str">
        <f t="shared" si="10696"/>
        <v>Jamaica</v>
      </c>
    </row>
    <row r="10699" spans="1:5">
      <c r="A10699" s="3" t="s">
        <v>21350</v>
      </c>
      <c r="B10699" s="110" t="s">
        <v>188</v>
      </c>
      <c r="C10699" s="112" t="s">
        <v>12536</v>
      </c>
      <c r="D10699" s="111" t="str">
        <f t="shared" ref="D10699:E10699" si="10697">TRIM(B10699)</f>
        <v>New York</v>
      </c>
      <c r="E10699" s="111" t="str">
        <f t="shared" si="10697"/>
        <v>Jamaica</v>
      </c>
    </row>
    <row r="10700" spans="1:5">
      <c r="A10700" s="3" t="s">
        <v>21351</v>
      </c>
      <c r="B10700" s="110" t="s">
        <v>188</v>
      </c>
      <c r="C10700" s="111" t="s">
        <v>12536</v>
      </c>
      <c r="D10700" s="111" t="str">
        <f t="shared" ref="D10700:E10700" si="10698">TRIM(B10700)</f>
        <v>New York</v>
      </c>
      <c r="E10700" s="111" t="str">
        <f t="shared" si="10698"/>
        <v>Jamaica</v>
      </c>
    </row>
    <row r="10701" spans="1:5">
      <c r="A10701" s="110" t="s">
        <v>21352</v>
      </c>
      <c r="B10701" s="110" t="s">
        <v>188</v>
      </c>
      <c r="C10701" s="111" t="s">
        <v>12536</v>
      </c>
      <c r="D10701" s="111" t="str">
        <f t="shared" ref="D10701:E10701" si="10699">TRIM(B10701)</f>
        <v>New York</v>
      </c>
      <c r="E10701" s="111" t="str">
        <f t="shared" si="10699"/>
        <v>Jamaica</v>
      </c>
    </row>
    <row r="10702" spans="1:5">
      <c r="A10702" s="3" t="s">
        <v>21353</v>
      </c>
      <c r="B10702" s="110" t="s">
        <v>188</v>
      </c>
      <c r="C10702" s="111" t="s">
        <v>12536</v>
      </c>
      <c r="D10702" s="111" t="str">
        <f t="shared" ref="D10702:E10702" si="10700">TRIM(B10702)</f>
        <v>New York</v>
      </c>
      <c r="E10702" s="111" t="str">
        <f t="shared" si="10700"/>
        <v>Jamaica</v>
      </c>
    </row>
    <row r="10703" spans="1:5">
      <c r="A10703" s="110" t="s">
        <v>21354</v>
      </c>
      <c r="B10703" s="110" t="s">
        <v>188</v>
      </c>
      <c r="C10703" s="111" t="s">
        <v>12536</v>
      </c>
      <c r="D10703" s="111" t="str">
        <f t="shared" ref="D10703:E10703" si="10701">TRIM(B10703)</f>
        <v>New York</v>
      </c>
      <c r="E10703" s="111" t="str">
        <f t="shared" si="10701"/>
        <v>Jamaica</v>
      </c>
    </row>
    <row r="10704" spans="1:5">
      <c r="A10704" s="110" t="s">
        <v>21355</v>
      </c>
      <c r="B10704" s="110" t="s">
        <v>188</v>
      </c>
      <c r="C10704" s="111" t="s">
        <v>12536</v>
      </c>
      <c r="D10704" s="111" t="str">
        <f t="shared" ref="D10704:E10704" si="10702">TRIM(B10704)</f>
        <v>New York</v>
      </c>
      <c r="E10704" s="111" t="str">
        <f t="shared" si="10702"/>
        <v>Jamaica</v>
      </c>
    </row>
    <row r="10705" spans="1:5">
      <c r="A10705" s="3" t="s">
        <v>21356</v>
      </c>
      <c r="B10705" s="110" t="s">
        <v>188</v>
      </c>
      <c r="C10705" s="111" t="s">
        <v>12536</v>
      </c>
      <c r="D10705" s="111" t="str">
        <f t="shared" ref="D10705:E10705" si="10703">TRIM(B10705)</f>
        <v>New York</v>
      </c>
      <c r="E10705" s="111" t="str">
        <f t="shared" si="10703"/>
        <v>Jamaica</v>
      </c>
    </row>
    <row r="10706" spans="1:5">
      <c r="A10706" s="3" t="s">
        <v>21357</v>
      </c>
      <c r="B10706" s="110" t="s">
        <v>188</v>
      </c>
      <c r="C10706" s="111" t="s">
        <v>12536</v>
      </c>
      <c r="D10706" s="111" t="str">
        <f t="shared" ref="D10706:E10706" si="10704">TRIM(B10706)</f>
        <v>New York</v>
      </c>
      <c r="E10706" s="111" t="str">
        <f t="shared" si="10704"/>
        <v>Jamaica</v>
      </c>
    </row>
    <row r="10707" spans="1:5">
      <c r="A10707" s="110" t="s">
        <v>21358</v>
      </c>
      <c r="B10707" s="110" t="s">
        <v>188</v>
      </c>
      <c r="C10707" s="111" t="s">
        <v>12536</v>
      </c>
      <c r="D10707" s="111" t="str">
        <f t="shared" ref="D10707:E10707" si="10705">TRIM(B10707)</f>
        <v>New York</v>
      </c>
      <c r="E10707" s="111" t="str">
        <f t="shared" si="10705"/>
        <v>Jamaica</v>
      </c>
    </row>
    <row r="10708" spans="1:5">
      <c r="A10708" s="3" t="s">
        <v>21359</v>
      </c>
      <c r="B10708" s="110" t="s">
        <v>188</v>
      </c>
      <c r="C10708" s="111" t="s">
        <v>12536</v>
      </c>
      <c r="D10708" s="111" t="str">
        <f t="shared" ref="D10708:E10708" si="10706">TRIM(B10708)</f>
        <v>New York</v>
      </c>
      <c r="E10708" s="111" t="str">
        <f t="shared" si="10706"/>
        <v>Jamaica</v>
      </c>
    </row>
    <row r="10709" spans="1:5">
      <c r="A10709" s="110" t="s">
        <v>21360</v>
      </c>
      <c r="B10709" s="110" t="s">
        <v>188</v>
      </c>
      <c r="C10709" s="111" t="s">
        <v>12536</v>
      </c>
      <c r="D10709" s="111" t="str">
        <f t="shared" ref="D10709:E10709" si="10707">TRIM(B10709)</f>
        <v>New York</v>
      </c>
      <c r="E10709" s="111" t="str">
        <f t="shared" si="10707"/>
        <v>Jamaica</v>
      </c>
    </row>
    <row r="10710" spans="1:5">
      <c r="A10710" s="3" t="s">
        <v>21361</v>
      </c>
      <c r="B10710" s="110" t="s">
        <v>188</v>
      </c>
      <c r="C10710" s="111" t="s">
        <v>18854</v>
      </c>
      <c r="D10710" s="111" t="str">
        <f t="shared" ref="D10710:E10710" si="10708">TRIM(B10710)</f>
        <v>New York</v>
      </c>
      <c r="E10710" s="111" t="str">
        <f t="shared" si="10708"/>
        <v>Jamestown</v>
      </c>
    </row>
    <row r="10711" spans="1:5">
      <c r="A10711" s="3" t="s">
        <v>21362</v>
      </c>
      <c r="B10711" s="110" t="s">
        <v>188</v>
      </c>
      <c r="C10711" s="111" t="s">
        <v>18854</v>
      </c>
      <c r="D10711" s="111" t="str">
        <f t="shared" ref="D10711:E10711" si="10709">TRIM(B10711)</f>
        <v>New York</v>
      </c>
      <c r="E10711" s="111" t="str">
        <f t="shared" si="10709"/>
        <v>Jamestown</v>
      </c>
    </row>
    <row r="10712" spans="1:5">
      <c r="A10712" s="3" t="s">
        <v>21363</v>
      </c>
      <c r="B10712" s="110" t="s">
        <v>188</v>
      </c>
      <c r="C10712" s="111" t="s">
        <v>263</v>
      </c>
      <c r="D10712" s="111" t="str">
        <f t="shared" ref="D10712:E10712" si="10710">TRIM(B10712)</f>
        <v>New York</v>
      </c>
      <c r="E10712" s="111" t="str">
        <f t="shared" si="10710"/>
        <v>Jasper</v>
      </c>
    </row>
    <row r="10713" spans="1:5">
      <c r="A10713" s="3" t="s">
        <v>21364</v>
      </c>
      <c r="B10713" s="110" t="s">
        <v>188</v>
      </c>
      <c r="C10713" s="111" t="s">
        <v>21365</v>
      </c>
      <c r="D10713" s="111" t="str">
        <f t="shared" ref="D10713:E10713" si="10711">TRIM(B10713)</f>
        <v>New York</v>
      </c>
      <c r="E10713" s="111" t="str">
        <f t="shared" si="10711"/>
        <v>Jericho</v>
      </c>
    </row>
    <row r="10714" spans="1:5">
      <c r="A10714" s="3" t="s">
        <v>21366</v>
      </c>
      <c r="B10714" s="110" t="s">
        <v>188</v>
      </c>
      <c r="C10714" s="111" t="s">
        <v>6545</v>
      </c>
      <c r="D10714" s="111" t="str">
        <f t="shared" ref="D10714:E10714" si="10712">TRIM(B10714)</f>
        <v>New York</v>
      </c>
      <c r="E10714" s="111" t="str">
        <f t="shared" si="10712"/>
        <v>Johnson City</v>
      </c>
    </row>
    <row r="10715" spans="1:5">
      <c r="A10715" s="3" t="s">
        <v>21367</v>
      </c>
      <c r="B10715" s="110" t="s">
        <v>188</v>
      </c>
      <c r="C10715" s="111" t="s">
        <v>8000</v>
      </c>
      <c r="D10715" s="111" t="str">
        <f t="shared" ref="D10715:E10715" si="10713">TRIM(B10715)</f>
        <v>New York</v>
      </c>
      <c r="E10715" s="111" t="str">
        <f t="shared" si="10713"/>
        <v>Johnstown</v>
      </c>
    </row>
    <row r="10716" spans="1:5">
      <c r="A10716" s="3" t="s">
        <v>21368</v>
      </c>
      <c r="B10716" s="110" t="s">
        <v>188</v>
      </c>
      <c r="C10716" s="111" t="s">
        <v>17977</v>
      </c>
      <c r="D10716" s="111" t="str">
        <f t="shared" ref="D10716:E10716" si="10714">TRIM(B10716)</f>
        <v>New York</v>
      </c>
      <c r="E10716" s="111" t="str">
        <f t="shared" si="10714"/>
        <v>Jordan</v>
      </c>
    </row>
    <row r="10717" spans="1:5">
      <c r="A10717" s="3" t="s">
        <v>21369</v>
      </c>
      <c r="B10717" s="110" t="s">
        <v>188</v>
      </c>
      <c r="C10717" s="111" t="s">
        <v>12530</v>
      </c>
      <c r="D10717" s="111" t="str">
        <f t="shared" ref="D10717:E10717" si="10715">TRIM(B10717)</f>
        <v>New York</v>
      </c>
      <c r="E10717" s="111" t="str">
        <f t="shared" si="10715"/>
        <v>Katonah</v>
      </c>
    </row>
    <row r="10718" spans="1:5">
      <c r="A10718" s="3" t="s">
        <v>21370</v>
      </c>
      <c r="B10718" s="110" t="s">
        <v>188</v>
      </c>
      <c r="C10718" s="111" t="s">
        <v>21371</v>
      </c>
      <c r="D10718" s="111" t="str">
        <f t="shared" ref="D10718:E10718" si="10716">TRIM(B10718)</f>
        <v>New York</v>
      </c>
      <c r="E10718" s="111" t="str">
        <f t="shared" si="10716"/>
        <v>Kendall</v>
      </c>
    </row>
    <row r="10719" spans="1:5">
      <c r="A10719" s="3" t="s">
        <v>21372</v>
      </c>
      <c r="B10719" s="110" t="s">
        <v>188</v>
      </c>
      <c r="C10719" s="111" t="s">
        <v>21373</v>
      </c>
      <c r="D10719" s="111" t="str">
        <f t="shared" ref="D10719:E10719" si="10717">TRIM(B10719)</f>
        <v>New York</v>
      </c>
      <c r="E10719" s="111" t="str">
        <f t="shared" si="10717"/>
        <v>Kings Park</v>
      </c>
    </row>
    <row r="10720" spans="1:5">
      <c r="A10720" s="3" t="s">
        <v>3916</v>
      </c>
      <c r="B10720" s="110" t="s">
        <v>188</v>
      </c>
      <c r="C10720" s="111" t="s">
        <v>3917</v>
      </c>
      <c r="D10720" s="111" t="str">
        <f t="shared" ref="D10720:E10720" si="10718">TRIM(B10720)</f>
        <v>New York</v>
      </c>
      <c r="E10720" s="111" t="str">
        <f t="shared" si="10718"/>
        <v>Kingston</v>
      </c>
    </row>
    <row r="10721" spans="1:5">
      <c r="A10721" s="3" t="s">
        <v>21374</v>
      </c>
      <c r="B10721" s="110" t="s">
        <v>188</v>
      </c>
      <c r="C10721" s="111" t="s">
        <v>21375</v>
      </c>
      <c r="D10721" s="111" t="str">
        <f t="shared" ref="D10721:E10721" si="10719">TRIM(B10721)</f>
        <v>New York</v>
      </c>
      <c r="E10721" s="111" t="str">
        <f t="shared" si="10719"/>
        <v>Lackawanna</v>
      </c>
    </row>
    <row r="10722" spans="1:5">
      <c r="A10722" s="3" t="s">
        <v>21376</v>
      </c>
      <c r="B10722" s="110" t="s">
        <v>188</v>
      </c>
      <c r="C10722" s="111" t="s">
        <v>236</v>
      </c>
      <c r="D10722" s="111" t="str">
        <f t="shared" ref="D10722:E10722" si="10720">TRIM(B10722)</f>
        <v>New York</v>
      </c>
      <c r="E10722" s="111" t="str">
        <f t="shared" si="10720"/>
        <v>Lafayette</v>
      </c>
    </row>
    <row r="10723" spans="1:5">
      <c r="A10723" s="3" t="s">
        <v>6555</v>
      </c>
      <c r="B10723" s="110" t="s">
        <v>188</v>
      </c>
      <c r="C10723" s="111" t="s">
        <v>21377</v>
      </c>
      <c r="D10723" s="111" t="str">
        <f t="shared" ref="D10723:E10723" si="10721">TRIM(B10723)</f>
        <v>New York</v>
      </c>
      <c r="E10723" s="111" t="str">
        <f t="shared" si="10721"/>
        <v>Lagrangeville</v>
      </c>
    </row>
    <row r="10724" spans="1:5">
      <c r="A10724" s="3" t="s">
        <v>21378</v>
      </c>
      <c r="B10724" s="110" t="s">
        <v>188</v>
      </c>
      <c r="C10724" s="111" t="s">
        <v>21379</v>
      </c>
      <c r="D10724" s="111" t="str">
        <f t="shared" ref="D10724:E10724" si="10722">TRIM(B10724)</f>
        <v>New York</v>
      </c>
      <c r="E10724" s="111" t="str">
        <f t="shared" si="10722"/>
        <v>Lake George</v>
      </c>
    </row>
    <row r="10725" spans="1:5">
      <c r="A10725" s="3" t="s">
        <v>21380</v>
      </c>
      <c r="B10725" s="110" t="s">
        <v>188</v>
      </c>
      <c r="C10725" s="111" t="s">
        <v>21381</v>
      </c>
      <c r="D10725" s="111" t="str">
        <f t="shared" ref="D10725:E10725" si="10723">TRIM(B10725)</f>
        <v>New York</v>
      </c>
      <c r="E10725" s="111" t="str">
        <f t="shared" si="10723"/>
        <v>Lake Huntington</v>
      </c>
    </row>
    <row r="10726" spans="1:5">
      <c r="A10726" s="3" t="s">
        <v>21382</v>
      </c>
      <c r="B10726" s="110" t="s">
        <v>188</v>
      </c>
      <c r="C10726" s="111" t="s">
        <v>21383</v>
      </c>
      <c r="D10726" s="111" t="str">
        <f t="shared" ref="D10726:E10726" si="10724">TRIM(B10726)</f>
        <v>New York</v>
      </c>
      <c r="E10726" s="111" t="str">
        <f t="shared" si="10724"/>
        <v>Lake Luzerne</v>
      </c>
    </row>
    <row r="10727" spans="1:5">
      <c r="A10727" s="3" t="s">
        <v>21384</v>
      </c>
      <c r="B10727" s="110" t="s">
        <v>188</v>
      </c>
      <c r="C10727" s="111" t="s">
        <v>9494</v>
      </c>
      <c r="D10727" s="111" t="str">
        <f t="shared" ref="D10727:E10727" si="10725">TRIM(B10727)</f>
        <v>New York</v>
      </c>
      <c r="E10727" s="111" t="str">
        <f t="shared" si="10725"/>
        <v>Lake Placid</v>
      </c>
    </row>
    <row r="10728" spans="1:5">
      <c r="A10728" s="3" t="s">
        <v>21385</v>
      </c>
      <c r="B10728" s="110" t="s">
        <v>188</v>
      </c>
      <c r="C10728" s="113" t="s">
        <v>21386</v>
      </c>
      <c r="D10728" s="111" t="str">
        <f t="shared" ref="D10728:E10728" si="10726">TRIM(B10728)</f>
        <v>New York</v>
      </c>
      <c r="E10728" s="111" t="str">
        <f t="shared" si="10726"/>
        <v>Lake Ronkonkoma</v>
      </c>
    </row>
    <row r="10729" spans="1:5">
      <c r="A10729" s="3" t="s">
        <v>5460</v>
      </c>
      <c r="B10729" s="110" t="s">
        <v>188</v>
      </c>
      <c r="C10729" s="111" t="s">
        <v>61</v>
      </c>
      <c r="D10729" s="111" t="str">
        <f t="shared" ref="D10729:E10729" si="10727">TRIM(B10729)</f>
        <v>New York</v>
      </c>
      <c r="E10729" s="111" t="str">
        <f t="shared" si="10727"/>
        <v>Lancaster</v>
      </c>
    </row>
    <row r="10730" spans="1:5">
      <c r="A10730" s="3" t="s">
        <v>21387</v>
      </c>
      <c r="B10730" s="110" t="s">
        <v>188</v>
      </c>
      <c r="C10730" s="111" t="s">
        <v>10544</v>
      </c>
      <c r="D10730" s="111" t="str">
        <f t="shared" ref="D10730:E10730" si="10728">TRIM(B10730)</f>
        <v>New York</v>
      </c>
      <c r="E10730" s="111" t="str">
        <f t="shared" si="10728"/>
        <v>Lansing</v>
      </c>
    </row>
    <row r="10731" spans="1:5">
      <c r="A10731" s="3" t="s">
        <v>21388</v>
      </c>
      <c r="B10731" s="110" t="s">
        <v>188</v>
      </c>
      <c r="C10731" s="111" t="s">
        <v>21389</v>
      </c>
      <c r="D10731" s="111" t="str">
        <f t="shared" ref="D10731:E10731" si="10729">TRIM(B10731)</f>
        <v>New York</v>
      </c>
      <c r="E10731" s="111" t="str">
        <f t="shared" si="10729"/>
        <v>Latham</v>
      </c>
    </row>
    <row r="10732" spans="1:5">
      <c r="A10732" s="3" t="s">
        <v>21390</v>
      </c>
      <c r="B10732" s="110" t="s">
        <v>188</v>
      </c>
      <c r="C10732" s="111" t="s">
        <v>13188</v>
      </c>
      <c r="D10732" s="111" t="str">
        <f t="shared" ref="D10732:E10732" si="10730">TRIM(B10732)</f>
        <v>New York</v>
      </c>
      <c r="E10732" s="111" t="str">
        <f t="shared" si="10730"/>
        <v>Le Roy</v>
      </c>
    </row>
    <row r="10733" spans="1:5">
      <c r="A10733" s="3" t="s">
        <v>21391</v>
      </c>
      <c r="B10733" s="110" t="s">
        <v>188</v>
      </c>
      <c r="C10733" s="111" t="s">
        <v>21392</v>
      </c>
      <c r="D10733" s="111" t="str">
        <f t="shared" ref="D10733:E10733" si="10731">TRIM(B10733)</f>
        <v>New York</v>
      </c>
      <c r="E10733" s="111" t="str">
        <f t="shared" si="10731"/>
        <v>Levittown</v>
      </c>
    </row>
    <row r="10734" spans="1:5">
      <c r="A10734" s="3" t="s">
        <v>21393</v>
      </c>
      <c r="B10734" s="110" t="s">
        <v>188</v>
      </c>
      <c r="C10734" s="111" t="s">
        <v>21392</v>
      </c>
      <c r="D10734" s="111" t="str">
        <f t="shared" ref="D10734:E10734" si="10732">TRIM(B10734)</f>
        <v>New York</v>
      </c>
      <c r="E10734" s="111" t="str">
        <f t="shared" si="10732"/>
        <v>Levittown</v>
      </c>
    </row>
    <row r="10735" spans="1:5">
      <c r="A10735" s="3" t="s">
        <v>21394</v>
      </c>
      <c r="B10735" s="110" t="s">
        <v>188</v>
      </c>
      <c r="C10735" s="111" t="s">
        <v>21392</v>
      </c>
      <c r="D10735" s="111" t="str">
        <f t="shared" ref="D10735:E10735" si="10733">TRIM(B10735)</f>
        <v>New York</v>
      </c>
      <c r="E10735" s="111" t="str">
        <f t="shared" si="10733"/>
        <v>Levittown</v>
      </c>
    </row>
    <row r="10736" spans="1:5">
      <c r="A10736" s="3" t="s">
        <v>2745</v>
      </c>
      <c r="B10736" s="110" t="s">
        <v>188</v>
      </c>
      <c r="C10736" s="111" t="s">
        <v>6684</v>
      </c>
      <c r="D10736" s="111" t="str">
        <f t="shared" ref="D10736:E10736" si="10734">TRIM(B10736)</f>
        <v>New York</v>
      </c>
      <c r="E10736" s="111" t="str">
        <f t="shared" si="10734"/>
        <v>Liberty</v>
      </c>
    </row>
    <row r="10737" spans="1:5">
      <c r="A10737" s="3" t="s">
        <v>21395</v>
      </c>
      <c r="B10737" s="110" t="s">
        <v>188</v>
      </c>
      <c r="C10737" s="111" t="s">
        <v>21396</v>
      </c>
      <c r="D10737" s="111" t="str">
        <f t="shared" ref="D10737:E10737" si="10735">TRIM(B10737)</f>
        <v>New York</v>
      </c>
      <c r="E10737" s="111" t="str">
        <f t="shared" si="10735"/>
        <v>Lincolndale</v>
      </c>
    </row>
    <row r="10738" spans="1:5">
      <c r="A10738" s="3" t="s">
        <v>21397</v>
      </c>
      <c r="B10738" s="110" t="s">
        <v>188</v>
      </c>
      <c r="C10738" s="111" t="s">
        <v>21398</v>
      </c>
      <c r="D10738" s="111" t="str">
        <f t="shared" ref="D10738:E10738" si="10736">TRIM(B10738)</f>
        <v>New York</v>
      </c>
      <c r="E10738" s="111" t="str">
        <f t="shared" si="10736"/>
        <v>Lindenhurst</v>
      </c>
    </row>
    <row r="10739" spans="1:5">
      <c r="A10739" s="3" t="s">
        <v>21399</v>
      </c>
      <c r="B10739" s="110" t="s">
        <v>188</v>
      </c>
      <c r="C10739" s="111" t="s">
        <v>18016</v>
      </c>
      <c r="D10739" s="111" t="str">
        <f t="shared" ref="D10739:E10739" si="10737">TRIM(B10739)</f>
        <v>New York</v>
      </c>
      <c r="E10739" s="111" t="str">
        <f t="shared" si="10737"/>
        <v>Little Falls</v>
      </c>
    </row>
    <row r="10740" spans="1:5">
      <c r="A10740" s="3" t="s">
        <v>21400</v>
      </c>
      <c r="B10740" s="110" t="s">
        <v>188</v>
      </c>
      <c r="C10740" s="111" t="s">
        <v>21401</v>
      </c>
      <c r="D10740" s="111" t="str">
        <f t="shared" ref="D10740:E10740" si="10738">TRIM(B10740)</f>
        <v>New York</v>
      </c>
      <c r="E10740" s="111" t="str">
        <f t="shared" si="10738"/>
        <v>Liverpool</v>
      </c>
    </row>
    <row r="10741" spans="1:5">
      <c r="A10741" s="3" t="s">
        <v>21402</v>
      </c>
      <c r="B10741" s="110" t="s">
        <v>188</v>
      </c>
      <c r="C10741" s="113" t="s">
        <v>21403</v>
      </c>
      <c r="D10741" s="111" t="str">
        <f t="shared" ref="D10741:E10741" si="10739">TRIM(B10741)</f>
        <v>New York</v>
      </c>
      <c r="E10741" s="111" t="str">
        <f t="shared" si="10739"/>
        <v>Livingston Manor</v>
      </c>
    </row>
    <row r="10742" spans="1:5">
      <c r="A10742" s="3" t="s">
        <v>21404</v>
      </c>
      <c r="B10742" s="110" t="s">
        <v>188</v>
      </c>
      <c r="C10742" s="111" t="s">
        <v>16016</v>
      </c>
      <c r="D10742" s="111" t="str">
        <f t="shared" ref="D10742:E10742" si="10740">TRIM(B10742)</f>
        <v>New York</v>
      </c>
      <c r="E10742" s="111" t="str">
        <f t="shared" si="10740"/>
        <v>Livonia</v>
      </c>
    </row>
    <row r="10743" spans="1:5">
      <c r="A10743" s="3" t="s">
        <v>21405</v>
      </c>
      <c r="B10743" s="110" t="s">
        <v>188</v>
      </c>
      <c r="C10743" s="111" t="s">
        <v>12367</v>
      </c>
      <c r="D10743" s="111" t="str">
        <f t="shared" ref="D10743:E10743" si="10741">TRIM(B10743)</f>
        <v>New York</v>
      </c>
      <c r="E10743" s="111" t="str">
        <f t="shared" si="10741"/>
        <v>Lockport</v>
      </c>
    </row>
    <row r="10744" spans="1:5">
      <c r="A10744" s="3" t="s">
        <v>21406</v>
      </c>
      <c r="B10744" s="110" t="s">
        <v>188</v>
      </c>
      <c r="C10744" s="111" t="s">
        <v>12367</v>
      </c>
      <c r="D10744" s="111" t="str">
        <f t="shared" ref="D10744:E10744" si="10742">TRIM(B10744)</f>
        <v>New York</v>
      </c>
      <c r="E10744" s="111" t="str">
        <f t="shared" si="10742"/>
        <v>Lockport</v>
      </c>
    </row>
    <row r="10745" spans="1:5">
      <c r="A10745" s="3" t="s">
        <v>21407</v>
      </c>
      <c r="B10745" s="110" t="s">
        <v>188</v>
      </c>
      <c r="C10745" s="111" t="s">
        <v>12343</v>
      </c>
      <c r="D10745" s="111" t="str">
        <f t="shared" ref="D10745:E10745" si="10743">TRIM(B10745)</f>
        <v>New York</v>
      </c>
      <c r="E10745" s="111" t="str">
        <f t="shared" si="10743"/>
        <v>Locust Valley</v>
      </c>
    </row>
    <row r="10746" spans="1:5">
      <c r="A10746" s="3" t="s">
        <v>21408</v>
      </c>
      <c r="B10746" s="110" t="s">
        <v>188</v>
      </c>
      <c r="C10746" s="111" t="s">
        <v>528</v>
      </c>
      <c r="D10746" s="111" t="str">
        <f t="shared" ref="D10746:E10746" si="10744">TRIM(B10746)</f>
        <v>New York</v>
      </c>
      <c r="E10746" s="111" t="str">
        <f t="shared" si="10744"/>
        <v>Long Beach</v>
      </c>
    </row>
    <row r="10747" spans="1:5">
      <c r="A10747" s="3" t="s">
        <v>21409</v>
      </c>
      <c r="B10747" s="110" t="s">
        <v>188</v>
      </c>
      <c r="C10747" s="111" t="s">
        <v>21410</v>
      </c>
      <c r="D10747" s="111" t="str">
        <f t="shared" ref="D10747:E10747" si="10745">TRIM(B10747)</f>
        <v>New York</v>
      </c>
      <c r="E10747" s="111" t="str">
        <f t="shared" si="10745"/>
        <v>Long Island City</v>
      </c>
    </row>
    <row r="10748" spans="1:5">
      <c r="A10748" s="3" t="s">
        <v>21411</v>
      </c>
      <c r="B10748" s="110" t="s">
        <v>188</v>
      </c>
      <c r="C10748" s="111" t="s">
        <v>21410</v>
      </c>
      <c r="D10748" s="111" t="str">
        <f t="shared" ref="D10748:E10748" si="10746">TRIM(B10748)</f>
        <v>New York</v>
      </c>
      <c r="E10748" s="111" t="str">
        <f t="shared" si="10746"/>
        <v>Long Island City</v>
      </c>
    </row>
    <row r="10749" spans="1:5">
      <c r="A10749" s="110" t="s">
        <v>21412</v>
      </c>
      <c r="B10749" s="110" t="s">
        <v>188</v>
      </c>
      <c r="C10749" s="111" t="s">
        <v>21410</v>
      </c>
      <c r="D10749" s="111" t="str">
        <f t="shared" ref="D10749:E10749" si="10747">TRIM(B10749)</f>
        <v>New York</v>
      </c>
      <c r="E10749" s="111" t="str">
        <f t="shared" si="10747"/>
        <v>Long Island City</v>
      </c>
    </row>
    <row r="10750" spans="1:5">
      <c r="A10750" s="3" t="s">
        <v>21413</v>
      </c>
      <c r="B10750" s="110" t="s">
        <v>188</v>
      </c>
      <c r="C10750" s="111" t="s">
        <v>21410</v>
      </c>
      <c r="D10750" s="111" t="str">
        <f t="shared" ref="D10750:E10750" si="10748">TRIM(B10750)</f>
        <v>New York</v>
      </c>
      <c r="E10750" s="111" t="str">
        <f t="shared" si="10748"/>
        <v>Long Island City</v>
      </c>
    </row>
    <row r="10751" spans="1:5">
      <c r="A10751" s="3" t="s">
        <v>21414</v>
      </c>
      <c r="B10751" s="110" t="s">
        <v>188</v>
      </c>
      <c r="C10751" s="111" t="s">
        <v>21410</v>
      </c>
      <c r="D10751" s="111" t="str">
        <f t="shared" ref="D10751:E10751" si="10749">TRIM(B10751)</f>
        <v>New York</v>
      </c>
      <c r="E10751" s="111" t="str">
        <f t="shared" si="10749"/>
        <v>Long Island City</v>
      </c>
    </row>
    <row r="10752" spans="1:5">
      <c r="A10752" s="3" t="s">
        <v>21415</v>
      </c>
      <c r="B10752" s="110" t="s">
        <v>188</v>
      </c>
      <c r="C10752" s="111" t="s">
        <v>21410</v>
      </c>
      <c r="D10752" s="111" t="str">
        <f t="shared" ref="D10752:E10752" si="10750">TRIM(B10752)</f>
        <v>New York</v>
      </c>
      <c r="E10752" s="111" t="str">
        <f t="shared" si="10750"/>
        <v>Long Island City</v>
      </c>
    </row>
    <row r="10753" spans="1:5">
      <c r="A10753" s="3" t="s">
        <v>21416</v>
      </c>
      <c r="B10753" s="110" t="s">
        <v>188</v>
      </c>
      <c r="C10753" s="111" t="s">
        <v>21410</v>
      </c>
      <c r="D10753" s="111" t="str">
        <f t="shared" ref="D10753:E10753" si="10751">TRIM(B10753)</f>
        <v>New York</v>
      </c>
      <c r="E10753" s="111" t="str">
        <f t="shared" si="10751"/>
        <v>Long Island City</v>
      </c>
    </row>
    <row r="10754" spans="1:5">
      <c r="A10754" s="3" t="s">
        <v>21417</v>
      </c>
      <c r="B10754" s="110" t="s">
        <v>188</v>
      </c>
      <c r="C10754" s="111" t="s">
        <v>21410</v>
      </c>
      <c r="D10754" s="111" t="str">
        <f t="shared" ref="D10754:E10754" si="10752">TRIM(B10754)</f>
        <v>New York</v>
      </c>
      <c r="E10754" s="111" t="str">
        <f t="shared" si="10752"/>
        <v>Long Island City</v>
      </c>
    </row>
    <row r="10755" spans="1:5">
      <c r="A10755" s="3" t="s">
        <v>21418</v>
      </c>
      <c r="B10755" s="110" t="s">
        <v>188</v>
      </c>
      <c r="C10755" s="111" t="s">
        <v>21410</v>
      </c>
      <c r="D10755" s="111" t="str">
        <f t="shared" ref="D10755:E10755" si="10753">TRIM(B10755)</f>
        <v>New York</v>
      </c>
      <c r="E10755" s="111" t="str">
        <f t="shared" si="10753"/>
        <v>Long Island City</v>
      </c>
    </row>
    <row r="10756" spans="1:5">
      <c r="A10756" s="3" t="s">
        <v>21419</v>
      </c>
      <c r="B10756" s="110" t="s">
        <v>188</v>
      </c>
      <c r="C10756" s="111" t="s">
        <v>21410</v>
      </c>
      <c r="D10756" s="111" t="str">
        <f t="shared" ref="D10756:E10756" si="10754">TRIM(B10756)</f>
        <v>New York</v>
      </c>
      <c r="E10756" s="111" t="str">
        <f t="shared" si="10754"/>
        <v>Long Island City</v>
      </c>
    </row>
    <row r="10757" spans="1:5">
      <c r="A10757" s="3" t="s">
        <v>21420</v>
      </c>
      <c r="B10757" s="110" t="s">
        <v>188</v>
      </c>
      <c r="C10757" s="111" t="s">
        <v>21410</v>
      </c>
      <c r="D10757" s="111" t="str">
        <f t="shared" ref="D10757:E10757" si="10755">TRIM(B10757)</f>
        <v>New York</v>
      </c>
      <c r="E10757" s="111" t="str">
        <f t="shared" si="10755"/>
        <v>Long Island City</v>
      </c>
    </row>
    <row r="10758" spans="1:5">
      <c r="A10758" s="110" t="s">
        <v>21421</v>
      </c>
      <c r="B10758" s="110" t="s">
        <v>188</v>
      </c>
      <c r="C10758" s="111" t="s">
        <v>21410</v>
      </c>
      <c r="D10758" s="111" t="str">
        <f t="shared" ref="D10758:E10758" si="10756">TRIM(B10758)</f>
        <v>New York</v>
      </c>
      <c r="E10758" s="111" t="str">
        <f t="shared" si="10756"/>
        <v>Long Island City</v>
      </c>
    </row>
    <row r="10759" spans="1:5">
      <c r="A10759" s="3" t="s">
        <v>21422</v>
      </c>
      <c r="B10759" s="110" t="s">
        <v>188</v>
      </c>
      <c r="C10759" s="111" t="s">
        <v>21410</v>
      </c>
      <c r="D10759" s="111" t="str">
        <f t="shared" ref="D10759:E10759" si="10757">TRIM(B10759)</f>
        <v>New York</v>
      </c>
      <c r="E10759" s="111" t="str">
        <f t="shared" si="10757"/>
        <v>Long Island City</v>
      </c>
    </row>
    <row r="10760" spans="1:5">
      <c r="A10760" s="110" t="s">
        <v>21423</v>
      </c>
      <c r="B10760" s="110" t="s">
        <v>188</v>
      </c>
      <c r="C10760" s="111" t="s">
        <v>21410</v>
      </c>
      <c r="D10760" s="111" t="str">
        <f t="shared" ref="D10760:E10760" si="10758">TRIM(B10760)</f>
        <v>New York</v>
      </c>
      <c r="E10760" s="111" t="str">
        <f t="shared" si="10758"/>
        <v>Long Island City</v>
      </c>
    </row>
    <row r="10761" spans="1:5">
      <c r="A10761" s="3" t="s">
        <v>21424</v>
      </c>
      <c r="B10761" s="110" t="s">
        <v>188</v>
      </c>
      <c r="C10761" s="111" t="s">
        <v>3529</v>
      </c>
      <c r="D10761" s="111" t="str">
        <f t="shared" ref="D10761:E10761" si="10759">TRIM(B10761)</f>
        <v>New York</v>
      </c>
      <c r="E10761" s="111" t="str">
        <f t="shared" si="10759"/>
        <v>Lowville</v>
      </c>
    </row>
    <row r="10762" spans="1:5">
      <c r="A10762" s="3" t="s">
        <v>21425</v>
      </c>
      <c r="B10762" s="110" t="s">
        <v>188</v>
      </c>
      <c r="C10762" s="111" t="s">
        <v>21426</v>
      </c>
      <c r="D10762" s="111" t="str">
        <f t="shared" ref="D10762:E10762" si="10760">TRIM(B10762)</f>
        <v>New York</v>
      </c>
      <c r="E10762" s="111" t="str">
        <f t="shared" si="10760"/>
        <v>Lynbrook</v>
      </c>
    </row>
    <row r="10763" spans="1:5">
      <c r="A10763" s="3" t="s">
        <v>21427</v>
      </c>
      <c r="B10763" s="110" t="s">
        <v>188</v>
      </c>
      <c r="C10763" s="111" t="s">
        <v>21428</v>
      </c>
      <c r="D10763" s="111" t="str">
        <f t="shared" ref="D10763:E10763" si="10761">TRIM(B10763)</f>
        <v>New York</v>
      </c>
      <c r="E10763" s="111" t="str">
        <f t="shared" si="10761"/>
        <v>Lyndonville</v>
      </c>
    </row>
    <row r="10764" spans="1:5">
      <c r="A10764" s="3" t="s">
        <v>21429</v>
      </c>
      <c r="B10764" s="110" t="s">
        <v>188</v>
      </c>
      <c r="C10764" s="111" t="s">
        <v>8090</v>
      </c>
      <c r="D10764" s="111" t="str">
        <f t="shared" ref="D10764:E10764" si="10762">TRIM(B10764)</f>
        <v>New York</v>
      </c>
      <c r="E10764" s="111" t="str">
        <f t="shared" si="10762"/>
        <v>Lyons</v>
      </c>
    </row>
    <row r="10765" spans="1:5">
      <c r="A10765" s="3" t="s">
        <v>21430</v>
      </c>
      <c r="B10765" s="110" t="s">
        <v>188</v>
      </c>
      <c r="C10765" s="111" t="s">
        <v>14940</v>
      </c>
      <c r="D10765" s="111" t="str">
        <f t="shared" ref="D10765:E10765" si="10763">TRIM(B10765)</f>
        <v>New York</v>
      </c>
      <c r="E10765" s="111" t="str">
        <f t="shared" si="10763"/>
        <v>Madrid</v>
      </c>
    </row>
    <row r="10766" spans="1:5">
      <c r="A10766" s="3" t="s">
        <v>21431</v>
      </c>
      <c r="B10766" s="110" t="s">
        <v>188</v>
      </c>
      <c r="C10766" s="111" t="s">
        <v>21432</v>
      </c>
      <c r="D10766" s="111" t="str">
        <f t="shared" ref="D10766:E10766" si="10764">TRIM(B10766)</f>
        <v>New York</v>
      </c>
      <c r="E10766" s="111" t="str">
        <f t="shared" si="10764"/>
        <v>Mahopac</v>
      </c>
    </row>
    <row r="10767" spans="1:5">
      <c r="A10767" s="3" t="s">
        <v>21433</v>
      </c>
      <c r="B10767" s="110" t="s">
        <v>188</v>
      </c>
      <c r="C10767" s="111" t="s">
        <v>21434</v>
      </c>
      <c r="D10767" s="111" t="str">
        <f t="shared" ref="D10767:E10767" si="10765">TRIM(B10767)</f>
        <v>New York</v>
      </c>
      <c r="E10767" s="111" t="str">
        <f t="shared" si="10765"/>
        <v>Malone</v>
      </c>
    </row>
    <row r="10768" spans="1:5">
      <c r="A10768" s="3" t="s">
        <v>21435</v>
      </c>
      <c r="B10768" s="110" t="s">
        <v>188</v>
      </c>
      <c r="C10768" s="111" t="s">
        <v>21436</v>
      </c>
      <c r="D10768" s="111" t="str">
        <f t="shared" ref="D10768:E10768" si="10766">TRIM(B10768)</f>
        <v>New York</v>
      </c>
      <c r="E10768" s="111" t="str">
        <f t="shared" si="10766"/>
        <v>Malverne</v>
      </c>
    </row>
    <row r="10769" spans="1:5">
      <c r="A10769" s="3" t="s">
        <v>21437</v>
      </c>
      <c r="B10769" s="110" t="s">
        <v>188</v>
      </c>
      <c r="C10769" s="111" t="s">
        <v>21438</v>
      </c>
      <c r="D10769" s="111" t="str">
        <f t="shared" ref="D10769:E10769" si="10767">TRIM(B10769)</f>
        <v>New York</v>
      </c>
      <c r="E10769" s="111" t="str">
        <f t="shared" si="10767"/>
        <v>Mamaroneck</v>
      </c>
    </row>
    <row r="10770" spans="1:5">
      <c r="A10770" s="3" t="s">
        <v>21439</v>
      </c>
      <c r="B10770" s="110" t="s">
        <v>188</v>
      </c>
      <c r="C10770" s="111" t="s">
        <v>21438</v>
      </c>
      <c r="D10770" s="111" t="str">
        <f t="shared" ref="D10770:E10770" si="10768">TRIM(B10770)</f>
        <v>New York</v>
      </c>
      <c r="E10770" s="111" t="str">
        <f t="shared" si="10768"/>
        <v>Mamaroneck</v>
      </c>
    </row>
    <row r="10771" spans="1:5">
      <c r="A10771" s="110" t="s">
        <v>21440</v>
      </c>
      <c r="B10771" s="110" t="s">
        <v>188</v>
      </c>
      <c r="C10771" s="111" t="s">
        <v>21441</v>
      </c>
      <c r="D10771" s="111" t="str">
        <f t="shared" ref="D10771:E10771" si="10769">TRIM(B10771)</f>
        <v>New York</v>
      </c>
      <c r="E10771" s="111" t="str">
        <f t="shared" si="10769"/>
        <v>Manhasset</v>
      </c>
    </row>
    <row r="10772" spans="1:5">
      <c r="A10772" s="3" t="s">
        <v>21442</v>
      </c>
      <c r="B10772" s="110" t="s">
        <v>188</v>
      </c>
      <c r="C10772" s="111" t="s">
        <v>13261</v>
      </c>
      <c r="D10772" s="111" t="str">
        <f t="shared" ref="D10772:E10772" si="10770">TRIM(B10772)</f>
        <v>New York</v>
      </c>
      <c r="E10772" s="111" t="str">
        <f t="shared" si="10770"/>
        <v>Manlius</v>
      </c>
    </row>
    <row r="10773" spans="1:5">
      <c r="A10773" s="3" t="s">
        <v>21443</v>
      </c>
      <c r="B10773" s="110" t="s">
        <v>188</v>
      </c>
      <c r="C10773" s="111" t="s">
        <v>21444</v>
      </c>
      <c r="D10773" s="111" t="str">
        <f t="shared" ref="D10773:E10773" si="10771">TRIM(B10773)</f>
        <v>New York</v>
      </c>
      <c r="E10773" s="111" t="str">
        <f t="shared" si="10771"/>
        <v>Manorville</v>
      </c>
    </row>
    <row r="10774" spans="1:5">
      <c r="A10774" s="3" t="s">
        <v>21445</v>
      </c>
      <c r="B10774" s="110" t="s">
        <v>188</v>
      </c>
      <c r="C10774" s="111" t="s">
        <v>9581</v>
      </c>
      <c r="D10774" s="111" t="str">
        <f t="shared" ref="D10774:E10774" si="10772">TRIM(B10774)</f>
        <v>New York</v>
      </c>
      <c r="E10774" s="111" t="str">
        <f t="shared" si="10772"/>
        <v>Marathon</v>
      </c>
    </row>
    <row r="10775" spans="1:5">
      <c r="A10775" s="3" t="s">
        <v>17388</v>
      </c>
      <c r="B10775" s="110" t="s">
        <v>188</v>
      </c>
      <c r="C10775" s="111" t="s">
        <v>17389</v>
      </c>
      <c r="D10775" s="111" t="str">
        <f t="shared" ref="D10775:E10775" si="10773">TRIM(B10775)</f>
        <v>New York</v>
      </c>
      <c r="E10775" s="111" t="str">
        <f t="shared" si="10773"/>
        <v>Marcellus</v>
      </c>
    </row>
    <row r="10776" spans="1:5">
      <c r="A10776" s="3" t="s">
        <v>21446</v>
      </c>
      <c r="B10776" s="110" t="s">
        <v>188</v>
      </c>
      <c r="C10776" s="111" t="s">
        <v>21447</v>
      </c>
      <c r="D10776" s="111" t="str">
        <f t="shared" ref="D10776:E10776" si="10774">TRIM(B10776)</f>
        <v>New York</v>
      </c>
      <c r="E10776" s="111" t="str">
        <f t="shared" si="10774"/>
        <v>Marcy</v>
      </c>
    </row>
    <row r="10777" spans="1:5">
      <c r="A10777" s="3" t="s">
        <v>21448</v>
      </c>
      <c r="B10777" s="110" t="s">
        <v>188</v>
      </c>
      <c r="C10777" s="111" t="s">
        <v>3995</v>
      </c>
      <c r="D10777" s="111" t="str">
        <f t="shared" ref="D10777:E10777" si="10775">TRIM(B10777)</f>
        <v>New York</v>
      </c>
      <c r="E10777" s="111" t="str">
        <f t="shared" si="10775"/>
        <v>Marion</v>
      </c>
    </row>
    <row r="10778" spans="1:5">
      <c r="A10778" s="3" t="s">
        <v>21449</v>
      </c>
      <c r="B10778" s="110" t="s">
        <v>188</v>
      </c>
      <c r="C10778" s="111" t="s">
        <v>8407</v>
      </c>
      <c r="D10778" s="111" t="str">
        <f t="shared" ref="D10778:E10778" si="10776">TRIM(B10778)</f>
        <v>New York</v>
      </c>
      <c r="E10778" s="111" t="str">
        <f t="shared" si="10776"/>
        <v>Marlboro</v>
      </c>
    </row>
    <row r="10779" spans="1:5">
      <c r="A10779" s="3" t="s">
        <v>21450</v>
      </c>
      <c r="B10779" s="110" t="s">
        <v>188</v>
      </c>
      <c r="C10779" s="111" t="s">
        <v>21451</v>
      </c>
      <c r="D10779" s="111" t="str">
        <f t="shared" ref="D10779:E10779" si="10777">TRIM(B10779)</f>
        <v>New York</v>
      </c>
      <c r="E10779" s="111" t="str">
        <f t="shared" si="10777"/>
        <v>Massapequa</v>
      </c>
    </row>
    <row r="10780" spans="1:5">
      <c r="A10780" s="3" t="s">
        <v>21452</v>
      </c>
      <c r="B10780" s="110" t="s">
        <v>188</v>
      </c>
      <c r="C10780" s="111" t="s">
        <v>21451</v>
      </c>
      <c r="D10780" s="111" t="str">
        <f t="shared" ref="D10780:E10780" si="10778">TRIM(B10780)</f>
        <v>New York</v>
      </c>
      <c r="E10780" s="111" t="str">
        <f t="shared" si="10778"/>
        <v>Massapequa</v>
      </c>
    </row>
    <row r="10781" spans="1:5">
      <c r="A10781" s="3" t="s">
        <v>21453</v>
      </c>
      <c r="B10781" s="110" t="s">
        <v>188</v>
      </c>
      <c r="C10781" s="111" t="s">
        <v>21454</v>
      </c>
      <c r="D10781" s="111" t="str">
        <f t="shared" ref="D10781:E10781" si="10779">TRIM(B10781)</f>
        <v>New York</v>
      </c>
      <c r="E10781" s="111" t="str">
        <f t="shared" si="10779"/>
        <v>Massena</v>
      </c>
    </row>
    <row r="10782" spans="1:5">
      <c r="A10782" s="3" t="s">
        <v>21455</v>
      </c>
      <c r="B10782" s="110" t="s">
        <v>188</v>
      </c>
      <c r="C10782" s="111" t="s">
        <v>21456</v>
      </c>
      <c r="D10782" s="111" t="str">
        <f t="shared" ref="D10782:E10782" si="10780">TRIM(B10782)</f>
        <v>New York</v>
      </c>
      <c r="E10782" s="111" t="str">
        <f t="shared" si="10780"/>
        <v>Mastic Beach</v>
      </c>
    </row>
    <row r="10783" spans="1:5">
      <c r="A10783" s="3" t="s">
        <v>21457</v>
      </c>
      <c r="B10783" s="110" t="s">
        <v>188</v>
      </c>
      <c r="C10783" s="111" t="s">
        <v>21458</v>
      </c>
      <c r="D10783" s="111" t="str">
        <f t="shared" ref="D10783:E10783" si="10781">TRIM(B10783)</f>
        <v>New York</v>
      </c>
      <c r="E10783" s="111" t="str">
        <f t="shared" si="10781"/>
        <v>Mattituck</v>
      </c>
    </row>
    <row r="10784" spans="1:5">
      <c r="A10784" s="3" t="s">
        <v>21459</v>
      </c>
      <c r="B10784" s="110" t="s">
        <v>188</v>
      </c>
      <c r="C10784" s="111" t="s">
        <v>15768</v>
      </c>
      <c r="D10784" s="111" t="str">
        <f t="shared" ref="D10784:E10784" si="10782">TRIM(B10784)</f>
        <v>New York</v>
      </c>
      <c r="E10784" s="111" t="str">
        <f t="shared" si="10782"/>
        <v>Mayfield</v>
      </c>
    </row>
    <row r="10785" spans="1:5">
      <c r="A10785" s="110" t="s">
        <v>21460</v>
      </c>
      <c r="B10785" s="110" t="s">
        <v>188</v>
      </c>
      <c r="C10785" s="111" t="s">
        <v>17403</v>
      </c>
      <c r="D10785" s="111" t="str">
        <f t="shared" ref="D10785:E10785" si="10783">TRIM(B10785)</f>
        <v>New York</v>
      </c>
      <c r="E10785" s="111" t="str">
        <f t="shared" si="10783"/>
        <v>Mayville</v>
      </c>
    </row>
    <row r="10786" spans="1:5">
      <c r="A10786" s="110" t="s">
        <v>21461</v>
      </c>
      <c r="B10786" s="110" t="s">
        <v>188</v>
      </c>
      <c r="C10786" s="111" t="s">
        <v>21462</v>
      </c>
      <c r="D10786" s="111" t="str">
        <f t="shared" ref="D10786:E10786" si="10784">TRIM(B10786)</f>
        <v>New York</v>
      </c>
      <c r="E10786" s="111" t="str">
        <f t="shared" si="10784"/>
        <v>Mcgraw</v>
      </c>
    </row>
    <row r="10787" spans="1:5">
      <c r="A10787" s="3" t="s">
        <v>21463</v>
      </c>
      <c r="B10787" s="110" t="s">
        <v>188</v>
      </c>
      <c r="C10787" s="111" t="s">
        <v>12267</v>
      </c>
      <c r="D10787" s="111" t="str">
        <f t="shared" ref="D10787:E10787" si="10785">TRIM(B10787)</f>
        <v>New York</v>
      </c>
      <c r="E10787" s="111" t="str">
        <f t="shared" si="10785"/>
        <v>Mechanicville</v>
      </c>
    </row>
    <row r="10788" spans="1:5">
      <c r="A10788" s="3" t="s">
        <v>21464</v>
      </c>
      <c r="B10788" s="110" t="s">
        <v>188</v>
      </c>
      <c r="C10788" s="111" t="s">
        <v>549</v>
      </c>
      <c r="D10788" s="111" t="str">
        <f t="shared" ref="D10788:E10788" si="10786">TRIM(B10788)</f>
        <v>New York</v>
      </c>
      <c r="E10788" s="111" t="str">
        <f t="shared" si="10786"/>
        <v>Medford</v>
      </c>
    </row>
    <row r="10789" spans="1:5">
      <c r="A10789" s="3" t="s">
        <v>21465</v>
      </c>
      <c r="B10789" s="110" t="s">
        <v>188</v>
      </c>
      <c r="C10789" s="111" t="s">
        <v>2947</v>
      </c>
      <c r="D10789" s="111" t="str">
        <f t="shared" ref="D10789:E10789" si="10787">TRIM(B10789)</f>
        <v>New York</v>
      </c>
      <c r="E10789" s="111" t="str">
        <f t="shared" si="10787"/>
        <v>Medina</v>
      </c>
    </row>
    <row r="10790" spans="1:5">
      <c r="A10790" s="3" t="s">
        <v>21466</v>
      </c>
      <c r="B10790" s="110" t="s">
        <v>188</v>
      </c>
      <c r="C10790" s="111" t="s">
        <v>21467</v>
      </c>
      <c r="D10790" s="111" t="str">
        <f t="shared" ref="D10790:E10790" si="10788">TRIM(B10790)</f>
        <v>New York</v>
      </c>
      <c r="E10790" s="111" t="str">
        <f t="shared" si="10788"/>
        <v>Merrick</v>
      </c>
    </row>
    <row r="10791" spans="1:5">
      <c r="A10791" s="3" t="s">
        <v>18951</v>
      </c>
      <c r="B10791" s="110" t="s">
        <v>188</v>
      </c>
      <c r="C10791" s="111" t="s">
        <v>11808</v>
      </c>
      <c r="D10791" s="111" t="str">
        <f t="shared" ref="D10791:E10791" si="10789">TRIM(B10791)</f>
        <v>New York</v>
      </c>
      <c r="E10791" s="111" t="str">
        <f t="shared" si="10789"/>
        <v>Mexico</v>
      </c>
    </row>
    <row r="10792" spans="1:5">
      <c r="A10792" s="3" t="s">
        <v>21468</v>
      </c>
      <c r="B10792" s="110" t="s">
        <v>188</v>
      </c>
      <c r="C10792" s="111" t="s">
        <v>21469</v>
      </c>
      <c r="D10792" s="111" t="str">
        <f t="shared" ref="D10792:E10792" si="10790">TRIM(B10792)</f>
        <v>New York</v>
      </c>
      <c r="E10792" s="111" t="str">
        <f t="shared" si="10790"/>
        <v>Middle Island</v>
      </c>
    </row>
    <row r="10793" spans="1:5">
      <c r="A10793" s="3" t="s">
        <v>21470</v>
      </c>
      <c r="B10793" s="110" t="s">
        <v>188</v>
      </c>
      <c r="C10793" s="111" t="s">
        <v>21471</v>
      </c>
      <c r="D10793" s="111" t="str">
        <f t="shared" ref="D10793:E10793" si="10791">TRIM(B10793)</f>
        <v>New York</v>
      </c>
      <c r="E10793" s="111" t="str">
        <f t="shared" si="10791"/>
        <v>Middleburgh</v>
      </c>
    </row>
    <row r="10794" spans="1:5">
      <c r="A10794" s="3" t="s">
        <v>21472</v>
      </c>
      <c r="B10794" s="110" t="s">
        <v>188</v>
      </c>
      <c r="C10794" s="111" t="s">
        <v>21473</v>
      </c>
      <c r="D10794" s="111" t="str">
        <f t="shared" ref="D10794:E10794" si="10792">TRIM(B10794)</f>
        <v>New York</v>
      </c>
      <c r="E10794" s="111" t="str">
        <f t="shared" si="10792"/>
        <v>Middleport</v>
      </c>
    </row>
    <row r="10795" spans="1:5">
      <c r="A10795" s="3" t="s">
        <v>5945</v>
      </c>
      <c r="B10795" s="110" t="s">
        <v>188</v>
      </c>
      <c r="C10795" s="111" t="s">
        <v>500</v>
      </c>
      <c r="D10795" s="111" t="str">
        <f t="shared" ref="D10795:E10795" si="10793">TRIM(B10795)</f>
        <v>New York</v>
      </c>
      <c r="E10795" s="111" t="str">
        <f t="shared" si="10793"/>
        <v>Middletown</v>
      </c>
    </row>
    <row r="10796" spans="1:5">
      <c r="A10796" s="3" t="s">
        <v>21474</v>
      </c>
      <c r="B10796" s="110" t="s">
        <v>188</v>
      </c>
      <c r="C10796" s="111" t="s">
        <v>1957</v>
      </c>
      <c r="D10796" s="111" t="str">
        <f t="shared" ref="D10796:E10796" si="10794">TRIM(B10796)</f>
        <v>New York</v>
      </c>
      <c r="E10796" s="111" t="str">
        <f t="shared" si="10794"/>
        <v>Millbrook</v>
      </c>
    </row>
    <row r="10797" spans="1:5">
      <c r="A10797" s="3" t="s">
        <v>21475</v>
      </c>
      <c r="B10797" s="110" t="s">
        <v>188</v>
      </c>
      <c r="C10797" s="111" t="s">
        <v>21476</v>
      </c>
      <c r="D10797" s="111" t="str">
        <f t="shared" ref="D10797:E10797" si="10795">TRIM(B10797)</f>
        <v>New York</v>
      </c>
      <c r="E10797" s="111" t="str">
        <f t="shared" si="10795"/>
        <v>Miller Place</v>
      </c>
    </row>
    <row r="10798" spans="1:5">
      <c r="A10798" s="3" t="s">
        <v>21477</v>
      </c>
      <c r="B10798" s="110" t="s">
        <v>188</v>
      </c>
      <c r="C10798" s="111" t="s">
        <v>439</v>
      </c>
      <c r="D10798" s="111" t="str">
        <f t="shared" ref="D10798:E10798" si="10796">TRIM(B10798)</f>
        <v>New York</v>
      </c>
      <c r="E10798" s="111" t="str">
        <f t="shared" si="10796"/>
        <v>Montgomery</v>
      </c>
    </row>
    <row r="10799" spans="1:5">
      <c r="A10799" s="3" t="s">
        <v>4042</v>
      </c>
      <c r="B10799" s="110" t="s">
        <v>188</v>
      </c>
      <c r="C10799" s="111" t="s">
        <v>4040</v>
      </c>
      <c r="D10799" s="111" t="str">
        <f t="shared" ref="D10799:E10799" si="10797">TRIM(B10799)</f>
        <v>New York</v>
      </c>
      <c r="E10799" s="111" t="str">
        <f t="shared" si="10797"/>
        <v>Monticello</v>
      </c>
    </row>
    <row r="10800" spans="1:5">
      <c r="A10800" s="3" t="s">
        <v>21478</v>
      </c>
      <c r="B10800" s="110" t="s">
        <v>188</v>
      </c>
      <c r="C10800" s="111" t="s">
        <v>8117</v>
      </c>
      <c r="D10800" s="111" t="str">
        <f t="shared" ref="D10800:E10800" si="10798">TRIM(B10800)</f>
        <v>New York</v>
      </c>
      <c r="E10800" s="111" t="str">
        <f t="shared" si="10798"/>
        <v>Montrose</v>
      </c>
    </row>
    <row r="10801" spans="1:5">
      <c r="A10801" s="3" t="s">
        <v>21479</v>
      </c>
      <c r="B10801" s="110" t="s">
        <v>188</v>
      </c>
      <c r="C10801" s="111" t="s">
        <v>14976</v>
      </c>
      <c r="D10801" s="111" t="str">
        <f t="shared" ref="D10801:E10801" si="10799">TRIM(B10801)</f>
        <v>New York</v>
      </c>
      <c r="E10801" s="111" t="str">
        <f t="shared" si="10799"/>
        <v>Moravia</v>
      </c>
    </row>
    <row r="10802" spans="1:5">
      <c r="A10802" s="3" t="s">
        <v>21480</v>
      </c>
      <c r="B10802" s="110" t="s">
        <v>188</v>
      </c>
      <c r="C10802" s="111" t="s">
        <v>440</v>
      </c>
      <c r="D10802" s="111" t="str">
        <f t="shared" ref="D10802:E10802" si="10800">TRIM(B10802)</f>
        <v>New York</v>
      </c>
      <c r="E10802" s="111" t="str">
        <f t="shared" si="10800"/>
        <v>Morrisville</v>
      </c>
    </row>
    <row r="10803" spans="1:5">
      <c r="A10803" s="3" t="s">
        <v>21481</v>
      </c>
      <c r="B10803" s="110" t="s">
        <v>188</v>
      </c>
      <c r="C10803" s="111" t="s">
        <v>17436</v>
      </c>
      <c r="D10803" s="111" t="str">
        <f t="shared" ref="D10803:E10803" si="10801">TRIM(B10803)</f>
        <v>New York</v>
      </c>
      <c r="E10803" s="111" t="str">
        <f t="shared" si="10801"/>
        <v>Mount Morris</v>
      </c>
    </row>
    <row r="10804" spans="1:5">
      <c r="A10804" s="3" t="s">
        <v>21482</v>
      </c>
      <c r="B10804" s="110" t="s">
        <v>188</v>
      </c>
      <c r="C10804" s="111" t="s">
        <v>21483</v>
      </c>
      <c r="D10804" s="111" t="str">
        <f t="shared" ref="D10804:E10804" si="10802">TRIM(B10804)</f>
        <v>New York</v>
      </c>
      <c r="E10804" s="111" t="str">
        <f t="shared" si="10802"/>
        <v>Mount Sinai</v>
      </c>
    </row>
    <row r="10805" spans="1:5">
      <c r="A10805" s="3" t="s">
        <v>13395</v>
      </c>
      <c r="B10805" s="110" t="s">
        <v>188</v>
      </c>
      <c r="C10805" s="111" t="s">
        <v>6798</v>
      </c>
      <c r="D10805" s="111" t="str">
        <f t="shared" ref="D10805:E10805" si="10803">TRIM(B10805)</f>
        <v>New York</v>
      </c>
      <c r="E10805" s="111" t="str">
        <f t="shared" si="10803"/>
        <v>Mount Vernon</v>
      </c>
    </row>
    <row r="10806" spans="1:5">
      <c r="A10806" s="110" t="s">
        <v>21484</v>
      </c>
      <c r="B10806" s="110" t="s">
        <v>188</v>
      </c>
      <c r="C10806" s="111" t="s">
        <v>6798</v>
      </c>
      <c r="D10806" s="111" t="str">
        <f t="shared" ref="D10806:E10806" si="10804">TRIM(B10806)</f>
        <v>New York</v>
      </c>
      <c r="E10806" s="111" t="str">
        <f t="shared" si="10804"/>
        <v>Mount Vernon</v>
      </c>
    </row>
    <row r="10807" spans="1:5">
      <c r="A10807" s="3" t="s">
        <v>21485</v>
      </c>
      <c r="B10807" s="110" t="s">
        <v>188</v>
      </c>
      <c r="C10807" s="111" t="s">
        <v>21486</v>
      </c>
      <c r="D10807" s="111" t="str">
        <f t="shared" ref="D10807:E10807" si="10805">TRIM(B10807)</f>
        <v>New York</v>
      </c>
      <c r="E10807" s="111" t="str">
        <f t="shared" si="10805"/>
        <v>Nanuet</v>
      </c>
    </row>
    <row r="10808" spans="1:5">
      <c r="A10808" s="3" t="s">
        <v>9755</v>
      </c>
      <c r="B10808" s="110" t="s">
        <v>188</v>
      </c>
      <c r="C10808" s="111" t="s">
        <v>354</v>
      </c>
      <c r="D10808" s="111" t="str">
        <f t="shared" ref="D10808:E10808" si="10806">TRIM(B10808)</f>
        <v>New York</v>
      </c>
      <c r="E10808" s="111" t="str">
        <f t="shared" si="10806"/>
        <v>Naples</v>
      </c>
    </row>
    <row r="10809" spans="1:5">
      <c r="A10809" s="3" t="s">
        <v>21487</v>
      </c>
      <c r="B10809" s="110" t="s">
        <v>188</v>
      </c>
      <c r="C10809" s="111" t="s">
        <v>21488</v>
      </c>
      <c r="D10809" s="111" t="str">
        <f t="shared" ref="D10809:E10809" si="10807">TRIM(B10809)</f>
        <v>New York</v>
      </c>
      <c r="E10809" s="111" t="str">
        <f t="shared" si="10807"/>
        <v>Nedrow</v>
      </c>
    </row>
    <row r="10810" spans="1:5">
      <c r="A10810" s="3" t="s">
        <v>21489</v>
      </c>
      <c r="B10810" s="110" t="s">
        <v>188</v>
      </c>
      <c r="C10810" s="111" t="s">
        <v>21490</v>
      </c>
      <c r="D10810" s="111" t="str">
        <f t="shared" ref="D10810:E10810" si="10808">TRIM(B10810)</f>
        <v>New York</v>
      </c>
      <c r="E10810" s="111" t="str">
        <f t="shared" si="10808"/>
        <v>New City</v>
      </c>
    </row>
    <row r="10811" spans="1:5">
      <c r="A10811" s="3" t="s">
        <v>21491</v>
      </c>
      <c r="B10811" s="110" t="s">
        <v>188</v>
      </c>
      <c r="C10811" s="111" t="s">
        <v>21492</v>
      </c>
      <c r="D10811" s="111" t="str">
        <f t="shared" ref="D10811:E10811" si="10809">TRIM(B10811)</f>
        <v>New York</v>
      </c>
      <c r="E10811" s="111" t="str">
        <f t="shared" si="10809"/>
        <v>New Hartford</v>
      </c>
    </row>
    <row r="10812" spans="1:5">
      <c r="A10812" s="3" t="s">
        <v>21493</v>
      </c>
      <c r="B10812" s="110" t="s">
        <v>188</v>
      </c>
      <c r="C10812" s="111" t="s">
        <v>21494</v>
      </c>
      <c r="D10812" s="111" t="str">
        <f t="shared" ref="D10812:E10812" si="10810">TRIM(B10812)</f>
        <v>New York</v>
      </c>
      <c r="E10812" s="111" t="str">
        <f t="shared" si="10810"/>
        <v>New Hyde Park</v>
      </c>
    </row>
    <row r="10813" spans="1:5">
      <c r="A10813" s="3" t="s">
        <v>21495</v>
      </c>
      <c r="B10813" s="110" t="s">
        <v>188</v>
      </c>
      <c r="C10813" s="111" t="s">
        <v>21494</v>
      </c>
      <c r="D10813" s="111" t="str">
        <f t="shared" ref="D10813:E10813" si="10811">TRIM(B10813)</f>
        <v>New York</v>
      </c>
      <c r="E10813" s="111" t="str">
        <f t="shared" si="10811"/>
        <v>New Hyde Park</v>
      </c>
    </row>
    <row r="10814" spans="1:5">
      <c r="A10814" s="3" t="s">
        <v>21496</v>
      </c>
      <c r="B10814" s="110" t="s">
        <v>188</v>
      </c>
      <c r="C10814" s="111" t="s">
        <v>12324</v>
      </c>
      <c r="D10814" s="111" t="str">
        <f t="shared" ref="D10814:E10814" si="10812">TRIM(B10814)</f>
        <v>New York</v>
      </c>
      <c r="E10814" s="111" t="str">
        <f t="shared" si="10812"/>
        <v>New Lebanon</v>
      </c>
    </row>
    <row r="10815" spans="1:5">
      <c r="A10815" s="3" t="s">
        <v>21497</v>
      </c>
      <c r="B10815" s="110" t="s">
        <v>188</v>
      </c>
      <c r="C10815" s="111" t="s">
        <v>21498</v>
      </c>
      <c r="D10815" s="111" t="str">
        <f t="shared" ref="D10815:E10815" si="10813">TRIM(B10815)</f>
        <v>New York</v>
      </c>
      <c r="E10815" s="111" t="str">
        <f t="shared" si="10813"/>
        <v>New Paltz</v>
      </c>
    </row>
    <row r="10816" spans="1:5">
      <c r="A10816" s="3" t="s">
        <v>21499</v>
      </c>
      <c r="B10816" s="110" t="s">
        <v>188</v>
      </c>
      <c r="C10816" s="111" t="s">
        <v>8159</v>
      </c>
      <c r="D10816" s="111" t="str">
        <f t="shared" ref="D10816:E10816" si="10814">TRIM(B10816)</f>
        <v>New York</v>
      </c>
      <c r="E10816" s="111" t="str">
        <f t="shared" si="10814"/>
        <v>New Rochelle</v>
      </c>
    </row>
    <row r="10817" spans="1:5">
      <c r="A10817" s="3" t="s">
        <v>21500</v>
      </c>
      <c r="B10817" s="110" t="s">
        <v>188</v>
      </c>
      <c r="C10817" s="111" t="s">
        <v>21501</v>
      </c>
      <c r="D10817" s="111" t="str">
        <f t="shared" ref="D10817:E10817" si="10815">TRIM(B10817)</f>
        <v>New York</v>
      </c>
      <c r="E10817" s="111" t="str">
        <f t="shared" si="10815"/>
        <v>New Windsor</v>
      </c>
    </row>
    <row r="10818" spans="1:5">
      <c r="A10818" s="3" t="s">
        <v>21502</v>
      </c>
      <c r="B10818" s="110" t="s">
        <v>188</v>
      </c>
      <c r="C10818" s="111" t="s">
        <v>188</v>
      </c>
      <c r="D10818" s="111" t="str">
        <f t="shared" ref="D10818:E10818" si="10816">TRIM(B10818)</f>
        <v>New York</v>
      </c>
      <c r="E10818" s="111" t="str">
        <f t="shared" si="10816"/>
        <v>New York</v>
      </c>
    </row>
    <row r="10819" spans="1:5">
      <c r="A10819" s="3" t="s">
        <v>16331</v>
      </c>
      <c r="B10819" s="110" t="s">
        <v>188</v>
      </c>
      <c r="C10819" s="111" t="s">
        <v>188</v>
      </c>
      <c r="D10819" s="111" t="str">
        <f t="shared" ref="D10819:E10819" si="10817">TRIM(B10819)</f>
        <v>New York</v>
      </c>
      <c r="E10819" s="111" t="str">
        <f t="shared" si="10817"/>
        <v>New York</v>
      </c>
    </row>
    <row r="10820" spans="1:5">
      <c r="A10820" s="3" t="s">
        <v>21503</v>
      </c>
      <c r="B10820" s="110" t="s">
        <v>188</v>
      </c>
      <c r="C10820" s="111" t="s">
        <v>188</v>
      </c>
      <c r="D10820" s="111" t="str">
        <f t="shared" ref="D10820:E10820" si="10818">TRIM(B10820)</f>
        <v>New York</v>
      </c>
      <c r="E10820" s="111" t="str">
        <f t="shared" si="10818"/>
        <v>New York</v>
      </c>
    </row>
    <row r="10821" spans="1:5">
      <c r="A10821" s="3" t="s">
        <v>20725</v>
      </c>
      <c r="B10821" s="110" t="s">
        <v>188</v>
      </c>
      <c r="C10821" s="111" t="s">
        <v>188</v>
      </c>
      <c r="D10821" s="111" t="str">
        <f t="shared" ref="D10821:E10821" si="10819">TRIM(B10821)</f>
        <v>New York</v>
      </c>
      <c r="E10821" s="111" t="str">
        <f t="shared" si="10819"/>
        <v>New York</v>
      </c>
    </row>
    <row r="10822" spans="1:5">
      <c r="A10822" s="3" t="s">
        <v>21504</v>
      </c>
      <c r="B10822" s="110" t="s">
        <v>188</v>
      </c>
      <c r="C10822" s="111" t="s">
        <v>188</v>
      </c>
      <c r="D10822" s="111" t="str">
        <f t="shared" ref="D10822:E10822" si="10820">TRIM(B10822)</f>
        <v>New York</v>
      </c>
      <c r="E10822" s="111" t="str">
        <f t="shared" si="10820"/>
        <v>New York</v>
      </c>
    </row>
    <row r="10823" spans="1:5">
      <c r="A10823" s="3" t="s">
        <v>21505</v>
      </c>
      <c r="B10823" s="110" t="s">
        <v>188</v>
      </c>
      <c r="C10823" s="111" t="s">
        <v>188</v>
      </c>
      <c r="D10823" s="111" t="str">
        <f t="shared" ref="D10823:E10823" si="10821">TRIM(B10823)</f>
        <v>New York</v>
      </c>
      <c r="E10823" s="111" t="str">
        <f t="shared" si="10821"/>
        <v>New York</v>
      </c>
    </row>
    <row r="10824" spans="1:5">
      <c r="A10824" s="3" t="s">
        <v>21506</v>
      </c>
      <c r="B10824" s="110" t="s">
        <v>188</v>
      </c>
      <c r="C10824" s="111" t="s">
        <v>188</v>
      </c>
      <c r="D10824" s="111" t="str">
        <f t="shared" ref="D10824:E10824" si="10822">TRIM(B10824)</f>
        <v>New York</v>
      </c>
      <c r="E10824" s="111" t="str">
        <f t="shared" si="10822"/>
        <v>New York</v>
      </c>
    </row>
    <row r="10825" spans="1:5">
      <c r="A10825" s="3" t="s">
        <v>21507</v>
      </c>
      <c r="B10825" s="110" t="s">
        <v>188</v>
      </c>
      <c r="C10825" s="111" t="s">
        <v>188</v>
      </c>
      <c r="D10825" s="111" t="str">
        <f t="shared" ref="D10825:E10825" si="10823">TRIM(B10825)</f>
        <v>New York</v>
      </c>
      <c r="E10825" s="111" t="str">
        <f t="shared" si="10823"/>
        <v>New York</v>
      </c>
    </row>
    <row r="10826" spans="1:5">
      <c r="A10826" s="110" t="s">
        <v>21508</v>
      </c>
      <c r="B10826" s="110" t="s">
        <v>188</v>
      </c>
      <c r="C10826" s="111" t="s">
        <v>188</v>
      </c>
      <c r="D10826" s="111" t="str">
        <f t="shared" ref="D10826:E10826" si="10824">TRIM(B10826)</f>
        <v>New York</v>
      </c>
      <c r="E10826" s="111" t="str">
        <f t="shared" si="10824"/>
        <v>New York</v>
      </c>
    </row>
    <row r="10827" spans="1:5">
      <c r="A10827" s="3" t="s">
        <v>21509</v>
      </c>
      <c r="B10827" s="110" t="s">
        <v>188</v>
      </c>
      <c r="C10827" s="111" t="s">
        <v>188</v>
      </c>
      <c r="D10827" s="111" t="str">
        <f t="shared" ref="D10827:E10827" si="10825">TRIM(B10827)</f>
        <v>New York</v>
      </c>
      <c r="E10827" s="111" t="str">
        <f t="shared" si="10825"/>
        <v>New York</v>
      </c>
    </row>
    <row r="10828" spans="1:5">
      <c r="A10828" s="110" t="s">
        <v>21510</v>
      </c>
      <c r="B10828" s="110" t="s">
        <v>188</v>
      </c>
      <c r="C10828" s="111" t="s">
        <v>188</v>
      </c>
      <c r="D10828" s="111" t="str">
        <f t="shared" ref="D10828:E10828" si="10826">TRIM(B10828)</f>
        <v>New York</v>
      </c>
      <c r="E10828" s="111" t="str">
        <f t="shared" si="10826"/>
        <v>New York</v>
      </c>
    </row>
    <row r="10829" spans="1:5">
      <c r="A10829" s="3" t="s">
        <v>21511</v>
      </c>
      <c r="B10829" s="110" t="s">
        <v>188</v>
      </c>
      <c r="C10829" s="111" t="s">
        <v>188</v>
      </c>
      <c r="D10829" s="111" t="str">
        <f t="shared" ref="D10829:E10829" si="10827">TRIM(B10829)</f>
        <v>New York</v>
      </c>
      <c r="E10829" s="111" t="str">
        <f t="shared" si="10827"/>
        <v>New York</v>
      </c>
    </row>
    <row r="10830" spans="1:5">
      <c r="A10830" s="110" t="s">
        <v>21512</v>
      </c>
      <c r="B10830" s="110" t="s">
        <v>188</v>
      </c>
      <c r="C10830" s="111" t="s">
        <v>188</v>
      </c>
      <c r="D10830" s="111" t="str">
        <f t="shared" ref="D10830:E10830" si="10828">TRIM(B10830)</f>
        <v>New York</v>
      </c>
      <c r="E10830" s="111" t="str">
        <f t="shared" si="10828"/>
        <v>New York</v>
      </c>
    </row>
    <row r="10831" spans="1:5">
      <c r="A10831" s="110" t="s">
        <v>21513</v>
      </c>
      <c r="B10831" s="110" t="s">
        <v>188</v>
      </c>
      <c r="C10831" s="111" t="s">
        <v>188</v>
      </c>
      <c r="D10831" s="111" t="str">
        <f t="shared" ref="D10831:E10831" si="10829">TRIM(B10831)</f>
        <v>New York</v>
      </c>
      <c r="E10831" s="111" t="str">
        <f t="shared" si="10829"/>
        <v>New York</v>
      </c>
    </row>
    <row r="10832" spans="1:5">
      <c r="A10832" s="110" t="s">
        <v>21514</v>
      </c>
      <c r="B10832" s="110" t="s">
        <v>188</v>
      </c>
      <c r="C10832" s="111" t="s">
        <v>188</v>
      </c>
      <c r="D10832" s="111" t="str">
        <f t="shared" ref="D10832:E10832" si="10830">TRIM(B10832)</f>
        <v>New York</v>
      </c>
      <c r="E10832" s="111" t="str">
        <f t="shared" si="10830"/>
        <v>New York</v>
      </c>
    </row>
    <row r="10833" spans="1:5">
      <c r="A10833" s="3" t="s">
        <v>21515</v>
      </c>
      <c r="B10833" s="110" t="s">
        <v>188</v>
      </c>
      <c r="C10833" s="111" t="s">
        <v>188</v>
      </c>
      <c r="D10833" s="111" t="str">
        <f t="shared" ref="D10833:E10833" si="10831">TRIM(B10833)</f>
        <v>New York</v>
      </c>
      <c r="E10833" s="111" t="str">
        <f t="shared" si="10831"/>
        <v>New York</v>
      </c>
    </row>
    <row r="10834" spans="1:5">
      <c r="A10834" s="3" t="s">
        <v>4879</v>
      </c>
      <c r="B10834" s="110" t="s">
        <v>188</v>
      </c>
      <c r="C10834" s="111" t="s">
        <v>188</v>
      </c>
      <c r="D10834" s="111" t="str">
        <f t="shared" ref="D10834:E10834" si="10832">TRIM(B10834)</f>
        <v>New York</v>
      </c>
      <c r="E10834" s="111" t="str">
        <f t="shared" si="10832"/>
        <v>New York</v>
      </c>
    </row>
    <row r="10835" spans="1:5">
      <c r="A10835" s="3" t="s">
        <v>21516</v>
      </c>
      <c r="B10835" s="110" t="s">
        <v>188</v>
      </c>
      <c r="C10835" s="111" t="s">
        <v>188</v>
      </c>
      <c r="D10835" s="111" t="str">
        <f t="shared" ref="D10835:E10835" si="10833">TRIM(B10835)</f>
        <v>New York</v>
      </c>
      <c r="E10835" s="111" t="str">
        <f t="shared" si="10833"/>
        <v>New York</v>
      </c>
    </row>
    <row r="10836" spans="1:5">
      <c r="A10836" s="3" t="s">
        <v>21517</v>
      </c>
      <c r="B10836" s="110" t="s">
        <v>188</v>
      </c>
      <c r="C10836" s="111" t="s">
        <v>188</v>
      </c>
      <c r="D10836" s="111" t="str">
        <f t="shared" ref="D10836:E10836" si="10834">TRIM(B10836)</f>
        <v>New York</v>
      </c>
      <c r="E10836" s="111" t="str">
        <f t="shared" si="10834"/>
        <v>New York</v>
      </c>
    </row>
    <row r="10837" spans="1:5">
      <c r="A10837" s="3" t="s">
        <v>21518</v>
      </c>
      <c r="B10837" s="110" t="s">
        <v>188</v>
      </c>
      <c r="C10837" s="111" t="s">
        <v>188</v>
      </c>
      <c r="D10837" s="111" t="str">
        <f t="shared" ref="D10837:E10837" si="10835">TRIM(B10837)</f>
        <v>New York</v>
      </c>
      <c r="E10837" s="111" t="str">
        <f t="shared" si="10835"/>
        <v>New York</v>
      </c>
    </row>
    <row r="10838" spans="1:5">
      <c r="A10838" s="110" t="s">
        <v>21519</v>
      </c>
      <c r="B10838" s="110" t="s">
        <v>188</v>
      </c>
      <c r="C10838" s="111" t="s">
        <v>188</v>
      </c>
      <c r="D10838" s="111" t="str">
        <f t="shared" ref="D10838:E10838" si="10836">TRIM(B10838)</f>
        <v>New York</v>
      </c>
      <c r="E10838" s="111" t="str">
        <f t="shared" si="10836"/>
        <v>New York</v>
      </c>
    </row>
    <row r="10839" spans="1:5">
      <c r="A10839" s="3" t="s">
        <v>21520</v>
      </c>
      <c r="B10839" s="110" t="s">
        <v>188</v>
      </c>
      <c r="C10839" s="111" t="s">
        <v>188</v>
      </c>
      <c r="D10839" s="111" t="str">
        <f t="shared" ref="D10839:E10839" si="10837">TRIM(B10839)</f>
        <v>New York</v>
      </c>
      <c r="E10839" s="111" t="str">
        <f t="shared" si="10837"/>
        <v>New York</v>
      </c>
    </row>
    <row r="10840" spans="1:5">
      <c r="A10840" s="3" t="s">
        <v>21521</v>
      </c>
      <c r="B10840" s="110" t="s">
        <v>188</v>
      </c>
      <c r="C10840" s="112" t="s">
        <v>188</v>
      </c>
      <c r="D10840" s="111" t="str">
        <f t="shared" ref="D10840:E10840" si="10838">TRIM(B10840)</f>
        <v>New York</v>
      </c>
      <c r="E10840" s="111" t="str">
        <f t="shared" si="10838"/>
        <v>New York</v>
      </c>
    </row>
    <row r="10841" spans="1:5">
      <c r="A10841" s="3" t="s">
        <v>21522</v>
      </c>
      <c r="B10841" s="110" t="s">
        <v>188</v>
      </c>
      <c r="C10841" s="111" t="s">
        <v>188</v>
      </c>
      <c r="D10841" s="111" t="str">
        <f t="shared" ref="D10841:E10841" si="10839">TRIM(B10841)</f>
        <v>New York</v>
      </c>
      <c r="E10841" s="111" t="str">
        <f t="shared" si="10839"/>
        <v>New York</v>
      </c>
    </row>
    <row r="10842" spans="1:5">
      <c r="A10842" s="3" t="s">
        <v>21523</v>
      </c>
      <c r="B10842" s="110" t="s">
        <v>188</v>
      </c>
      <c r="C10842" s="111" t="s">
        <v>188</v>
      </c>
      <c r="D10842" s="111" t="str">
        <f t="shared" ref="D10842:E10842" si="10840">TRIM(B10842)</f>
        <v>New York</v>
      </c>
      <c r="E10842" s="111" t="str">
        <f t="shared" si="10840"/>
        <v>New York</v>
      </c>
    </row>
    <row r="10843" spans="1:5">
      <c r="A10843" s="3" t="s">
        <v>21524</v>
      </c>
      <c r="B10843" s="110" t="s">
        <v>188</v>
      </c>
      <c r="C10843" s="111" t="s">
        <v>188</v>
      </c>
      <c r="D10843" s="111" t="str">
        <f t="shared" ref="D10843:E10843" si="10841">TRIM(B10843)</f>
        <v>New York</v>
      </c>
      <c r="E10843" s="111" t="str">
        <f t="shared" si="10841"/>
        <v>New York</v>
      </c>
    </row>
    <row r="10844" spans="1:5">
      <c r="A10844" s="110" t="s">
        <v>21525</v>
      </c>
      <c r="B10844" s="110" t="s">
        <v>188</v>
      </c>
      <c r="C10844" s="111" t="s">
        <v>188</v>
      </c>
      <c r="D10844" s="111" t="str">
        <f t="shared" ref="D10844:E10844" si="10842">TRIM(B10844)</f>
        <v>New York</v>
      </c>
      <c r="E10844" s="111" t="str">
        <f t="shared" si="10842"/>
        <v>New York</v>
      </c>
    </row>
    <row r="10845" spans="1:5">
      <c r="A10845" s="3" t="s">
        <v>21526</v>
      </c>
      <c r="B10845" s="110" t="s">
        <v>188</v>
      </c>
      <c r="C10845" s="111" t="s">
        <v>188</v>
      </c>
      <c r="D10845" s="111" t="str">
        <f t="shared" ref="D10845:E10845" si="10843">TRIM(B10845)</f>
        <v>New York</v>
      </c>
      <c r="E10845" s="111" t="str">
        <f t="shared" si="10843"/>
        <v>New York</v>
      </c>
    </row>
    <row r="10846" spans="1:5">
      <c r="A10846" s="3" t="s">
        <v>21527</v>
      </c>
      <c r="B10846" s="110" t="s">
        <v>188</v>
      </c>
      <c r="C10846" s="111" t="s">
        <v>188</v>
      </c>
      <c r="D10846" s="111" t="str">
        <f t="shared" ref="D10846:E10846" si="10844">TRIM(B10846)</f>
        <v>New York</v>
      </c>
      <c r="E10846" s="111" t="str">
        <f t="shared" si="10844"/>
        <v>New York</v>
      </c>
    </row>
    <row r="10847" spans="1:5">
      <c r="A10847" s="3" t="s">
        <v>21528</v>
      </c>
      <c r="B10847" s="110" t="s">
        <v>188</v>
      </c>
      <c r="C10847" s="111" t="s">
        <v>188</v>
      </c>
      <c r="D10847" s="111" t="str">
        <f t="shared" ref="D10847:E10847" si="10845">TRIM(B10847)</f>
        <v>New York</v>
      </c>
      <c r="E10847" s="111" t="str">
        <f t="shared" si="10845"/>
        <v>New York</v>
      </c>
    </row>
    <row r="10848" spans="1:5">
      <c r="A10848" s="3" t="s">
        <v>21529</v>
      </c>
      <c r="B10848" s="110" t="s">
        <v>188</v>
      </c>
      <c r="C10848" s="111" t="s">
        <v>188</v>
      </c>
      <c r="D10848" s="111" t="str">
        <f t="shared" ref="D10848:E10848" si="10846">TRIM(B10848)</f>
        <v>New York</v>
      </c>
      <c r="E10848" s="111" t="str">
        <f t="shared" si="10846"/>
        <v>New York</v>
      </c>
    </row>
    <row r="10849" spans="1:5">
      <c r="A10849" s="3" t="s">
        <v>21530</v>
      </c>
      <c r="B10849" s="110" t="s">
        <v>188</v>
      </c>
      <c r="C10849" s="111" t="s">
        <v>188</v>
      </c>
      <c r="D10849" s="111" t="str">
        <f t="shared" ref="D10849:E10849" si="10847">TRIM(B10849)</f>
        <v>New York</v>
      </c>
      <c r="E10849" s="111" t="str">
        <f t="shared" si="10847"/>
        <v>New York</v>
      </c>
    </row>
    <row r="10850" spans="1:5">
      <c r="A10850" s="110" t="s">
        <v>21531</v>
      </c>
      <c r="B10850" s="110" t="s">
        <v>188</v>
      </c>
      <c r="C10850" s="111" t="s">
        <v>188</v>
      </c>
      <c r="D10850" s="111" t="str">
        <f t="shared" ref="D10850:E10850" si="10848">TRIM(B10850)</f>
        <v>New York</v>
      </c>
      <c r="E10850" s="111" t="str">
        <f t="shared" si="10848"/>
        <v>New York</v>
      </c>
    </row>
    <row r="10851" spans="1:5">
      <c r="A10851" s="3" t="s">
        <v>21532</v>
      </c>
      <c r="B10851" s="110" t="s">
        <v>188</v>
      </c>
      <c r="C10851" s="111" t="s">
        <v>188</v>
      </c>
      <c r="D10851" s="111" t="str">
        <f t="shared" ref="D10851:E10851" si="10849">TRIM(B10851)</f>
        <v>New York</v>
      </c>
      <c r="E10851" s="111" t="str">
        <f t="shared" si="10849"/>
        <v>New York</v>
      </c>
    </row>
    <row r="10852" spans="1:5">
      <c r="A10852" s="3" t="s">
        <v>21533</v>
      </c>
      <c r="B10852" s="110" t="s">
        <v>188</v>
      </c>
      <c r="C10852" s="111" t="s">
        <v>188</v>
      </c>
      <c r="D10852" s="111" t="str">
        <f t="shared" ref="D10852:E10852" si="10850">TRIM(B10852)</f>
        <v>New York</v>
      </c>
      <c r="E10852" s="111" t="str">
        <f t="shared" si="10850"/>
        <v>New York</v>
      </c>
    </row>
    <row r="10853" spans="1:5">
      <c r="A10853" s="3" t="s">
        <v>21534</v>
      </c>
      <c r="B10853" s="110" t="s">
        <v>188</v>
      </c>
      <c r="C10853" s="111" t="s">
        <v>188</v>
      </c>
      <c r="D10853" s="111" t="str">
        <f t="shared" ref="D10853:E10853" si="10851">TRIM(B10853)</f>
        <v>New York</v>
      </c>
      <c r="E10853" s="111" t="str">
        <f t="shared" si="10851"/>
        <v>New York</v>
      </c>
    </row>
    <row r="10854" spans="1:5">
      <c r="A10854" s="3" t="s">
        <v>21535</v>
      </c>
      <c r="B10854" s="110" t="s">
        <v>188</v>
      </c>
      <c r="C10854" s="111" t="s">
        <v>188</v>
      </c>
      <c r="D10854" s="111" t="str">
        <f t="shared" ref="D10854:E10854" si="10852">TRIM(B10854)</f>
        <v>New York</v>
      </c>
      <c r="E10854" s="111" t="str">
        <f t="shared" si="10852"/>
        <v>New York</v>
      </c>
    </row>
    <row r="10855" spans="1:5">
      <c r="A10855" s="3" t="s">
        <v>21536</v>
      </c>
      <c r="B10855" s="110" t="s">
        <v>188</v>
      </c>
      <c r="C10855" s="112" t="s">
        <v>188</v>
      </c>
      <c r="D10855" s="111" t="str">
        <f t="shared" ref="D10855:E10855" si="10853">TRIM(B10855)</f>
        <v>New York</v>
      </c>
      <c r="E10855" s="111" t="str">
        <f t="shared" si="10853"/>
        <v>New York</v>
      </c>
    </row>
    <row r="10856" spans="1:5">
      <c r="A10856" s="3" t="s">
        <v>21537</v>
      </c>
      <c r="B10856" s="110" t="s">
        <v>188</v>
      </c>
      <c r="C10856" s="111" t="s">
        <v>188</v>
      </c>
      <c r="D10856" s="111" t="str">
        <f t="shared" ref="D10856:E10856" si="10854">TRIM(B10856)</f>
        <v>New York</v>
      </c>
      <c r="E10856" s="111" t="str">
        <f t="shared" si="10854"/>
        <v>New York</v>
      </c>
    </row>
    <row r="10857" spans="1:5">
      <c r="A10857" s="3" t="s">
        <v>21538</v>
      </c>
      <c r="B10857" s="110" t="s">
        <v>188</v>
      </c>
      <c r="C10857" s="111" t="s">
        <v>188</v>
      </c>
      <c r="D10857" s="111" t="str">
        <f t="shared" ref="D10857:E10857" si="10855">TRIM(B10857)</f>
        <v>New York</v>
      </c>
      <c r="E10857" s="111" t="str">
        <f t="shared" si="10855"/>
        <v>New York</v>
      </c>
    </row>
    <row r="10858" spans="1:5">
      <c r="A10858" s="3" t="s">
        <v>21539</v>
      </c>
      <c r="B10858" s="110" t="s">
        <v>188</v>
      </c>
      <c r="C10858" s="111" t="s">
        <v>188</v>
      </c>
      <c r="D10858" s="111" t="str">
        <f t="shared" ref="D10858:E10858" si="10856">TRIM(B10858)</f>
        <v>New York</v>
      </c>
      <c r="E10858" s="111" t="str">
        <f t="shared" si="10856"/>
        <v>New York</v>
      </c>
    </row>
    <row r="10859" spans="1:5">
      <c r="A10859" s="3" t="s">
        <v>21540</v>
      </c>
      <c r="B10859" s="110" t="s">
        <v>188</v>
      </c>
      <c r="C10859" s="111" t="s">
        <v>188</v>
      </c>
      <c r="D10859" s="111" t="str">
        <f t="shared" ref="D10859:E10859" si="10857">TRIM(B10859)</f>
        <v>New York</v>
      </c>
      <c r="E10859" s="111" t="str">
        <f t="shared" si="10857"/>
        <v>New York</v>
      </c>
    </row>
    <row r="10860" spans="1:5">
      <c r="A10860" s="3" t="s">
        <v>21541</v>
      </c>
      <c r="B10860" s="110" t="s">
        <v>188</v>
      </c>
      <c r="C10860" s="111" t="s">
        <v>188</v>
      </c>
      <c r="D10860" s="111" t="str">
        <f t="shared" ref="D10860:E10860" si="10858">TRIM(B10860)</f>
        <v>New York</v>
      </c>
      <c r="E10860" s="111" t="str">
        <f t="shared" si="10858"/>
        <v>New York</v>
      </c>
    </row>
    <row r="10861" spans="1:5">
      <c r="A10861" s="3" t="s">
        <v>21542</v>
      </c>
      <c r="B10861" s="110" t="s">
        <v>188</v>
      </c>
      <c r="C10861" s="111" t="s">
        <v>188</v>
      </c>
      <c r="D10861" s="111" t="str">
        <f t="shared" ref="D10861:E10861" si="10859">TRIM(B10861)</f>
        <v>New York</v>
      </c>
      <c r="E10861" s="111" t="str">
        <f t="shared" si="10859"/>
        <v>New York</v>
      </c>
    </row>
    <row r="10862" spans="1:5">
      <c r="A10862" s="3" t="s">
        <v>21543</v>
      </c>
      <c r="B10862" s="110" t="s">
        <v>188</v>
      </c>
      <c r="C10862" s="111" t="s">
        <v>188</v>
      </c>
      <c r="D10862" s="111" t="str">
        <f t="shared" ref="D10862:E10862" si="10860">TRIM(B10862)</f>
        <v>New York</v>
      </c>
      <c r="E10862" s="111" t="str">
        <f t="shared" si="10860"/>
        <v>New York</v>
      </c>
    </row>
    <row r="10863" spans="1:5">
      <c r="A10863" s="3" t="s">
        <v>21544</v>
      </c>
      <c r="B10863" s="110" t="s">
        <v>188</v>
      </c>
      <c r="C10863" s="111" t="s">
        <v>188</v>
      </c>
      <c r="D10863" s="111" t="str">
        <f t="shared" ref="D10863:E10863" si="10861">TRIM(B10863)</f>
        <v>New York</v>
      </c>
      <c r="E10863" s="111" t="str">
        <f t="shared" si="10861"/>
        <v>New York</v>
      </c>
    </row>
    <row r="10864" spans="1:5">
      <c r="A10864" s="3" t="s">
        <v>21545</v>
      </c>
      <c r="B10864" s="110" t="s">
        <v>188</v>
      </c>
      <c r="C10864" s="111" t="s">
        <v>188</v>
      </c>
      <c r="D10864" s="111" t="str">
        <f t="shared" ref="D10864:E10864" si="10862">TRIM(B10864)</f>
        <v>New York</v>
      </c>
      <c r="E10864" s="111" t="str">
        <f t="shared" si="10862"/>
        <v>New York</v>
      </c>
    </row>
    <row r="10865" spans="1:5">
      <c r="A10865" s="3" t="s">
        <v>21546</v>
      </c>
      <c r="B10865" s="110" t="s">
        <v>188</v>
      </c>
      <c r="C10865" s="111" t="s">
        <v>188</v>
      </c>
      <c r="D10865" s="111" t="str">
        <f t="shared" ref="D10865:E10865" si="10863">TRIM(B10865)</f>
        <v>New York</v>
      </c>
      <c r="E10865" s="111" t="str">
        <f t="shared" si="10863"/>
        <v>New York</v>
      </c>
    </row>
    <row r="10866" spans="1:5">
      <c r="A10866" s="3" t="s">
        <v>21547</v>
      </c>
      <c r="B10866" s="110" t="s">
        <v>188</v>
      </c>
      <c r="C10866" s="111" t="s">
        <v>188</v>
      </c>
      <c r="D10866" s="111" t="str">
        <f t="shared" ref="D10866:E10866" si="10864">TRIM(B10866)</f>
        <v>New York</v>
      </c>
      <c r="E10866" s="111" t="str">
        <f t="shared" si="10864"/>
        <v>New York</v>
      </c>
    </row>
    <row r="10867" spans="1:5">
      <c r="A10867" s="3" t="s">
        <v>2727</v>
      </c>
      <c r="B10867" s="110" t="s">
        <v>188</v>
      </c>
      <c r="C10867" s="111" t="s">
        <v>188</v>
      </c>
      <c r="D10867" s="111" t="str">
        <f t="shared" ref="D10867:E10867" si="10865">TRIM(B10867)</f>
        <v>New York</v>
      </c>
      <c r="E10867" s="111" t="str">
        <f t="shared" si="10865"/>
        <v>New York</v>
      </c>
    </row>
    <row r="10868" spans="1:5">
      <c r="A10868" s="110" t="s">
        <v>21548</v>
      </c>
      <c r="B10868" s="110" t="s">
        <v>188</v>
      </c>
      <c r="C10868" s="111" t="s">
        <v>188</v>
      </c>
      <c r="D10868" s="111" t="str">
        <f t="shared" ref="D10868:E10868" si="10866">TRIM(B10868)</f>
        <v>New York</v>
      </c>
      <c r="E10868" s="111" t="str">
        <f t="shared" si="10866"/>
        <v>New York</v>
      </c>
    </row>
    <row r="10869" spans="1:5">
      <c r="A10869" s="110" t="s">
        <v>21549</v>
      </c>
      <c r="B10869" s="110" t="s">
        <v>188</v>
      </c>
      <c r="C10869" s="111" t="s">
        <v>188</v>
      </c>
      <c r="D10869" s="111" t="str">
        <f t="shared" ref="D10869:E10869" si="10867">TRIM(B10869)</f>
        <v>New York</v>
      </c>
      <c r="E10869" s="111" t="str">
        <f t="shared" si="10867"/>
        <v>New York</v>
      </c>
    </row>
    <row r="10870" spans="1:5">
      <c r="A10870" s="3" t="s">
        <v>21550</v>
      </c>
      <c r="B10870" s="110" t="s">
        <v>188</v>
      </c>
      <c r="C10870" s="111" t="s">
        <v>188</v>
      </c>
      <c r="D10870" s="111" t="str">
        <f t="shared" ref="D10870:E10870" si="10868">TRIM(B10870)</f>
        <v>New York</v>
      </c>
      <c r="E10870" s="111" t="str">
        <f t="shared" si="10868"/>
        <v>New York</v>
      </c>
    </row>
    <row r="10871" spans="1:5">
      <c r="A10871" s="3" t="s">
        <v>21551</v>
      </c>
      <c r="B10871" s="110" t="s">
        <v>188</v>
      </c>
      <c r="C10871" s="111" t="s">
        <v>188</v>
      </c>
      <c r="D10871" s="111" t="str">
        <f t="shared" ref="D10871:E10871" si="10869">TRIM(B10871)</f>
        <v>New York</v>
      </c>
      <c r="E10871" s="111" t="str">
        <f t="shared" si="10869"/>
        <v>New York</v>
      </c>
    </row>
    <row r="10872" spans="1:5">
      <c r="A10872" s="3" t="s">
        <v>21552</v>
      </c>
      <c r="B10872" s="110" t="s">
        <v>188</v>
      </c>
      <c r="C10872" s="111" t="s">
        <v>188</v>
      </c>
      <c r="D10872" s="111" t="str">
        <f t="shared" ref="D10872:E10872" si="10870">TRIM(B10872)</f>
        <v>New York</v>
      </c>
      <c r="E10872" s="111" t="str">
        <f t="shared" si="10870"/>
        <v>New York</v>
      </c>
    </row>
    <row r="10873" spans="1:5">
      <c r="A10873" s="110" t="s">
        <v>21553</v>
      </c>
      <c r="B10873" s="110" t="s">
        <v>188</v>
      </c>
      <c r="C10873" s="111" t="s">
        <v>188</v>
      </c>
      <c r="D10873" s="111" t="str">
        <f t="shared" ref="D10873:E10873" si="10871">TRIM(B10873)</f>
        <v>New York</v>
      </c>
      <c r="E10873" s="111" t="str">
        <f t="shared" si="10871"/>
        <v>New York</v>
      </c>
    </row>
    <row r="10874" spans="1:5">
      <c r="A10874" s="3" t="s">
        <v>21554</v>
      </c>
      <c r="B10874" s="110" t="s">
        <v>188</v>
      </c>
      <c r="C10874" s="111" t="s">
        <v>188</v>
      </c>
      <c r="D10874" s="111" t="str">
        <f t="shared" ref="D10874:E10874" si="10872">TRIM(B10874)</f>
        <v>New York</v>
      </c>
      <c r="E10874" s="111" t="str">
        <f t="shared" si="10872"/>
        <v>New York</v>
      </c>
    </row>
    <row r="10875" spans="1:5">
      <c r="A10875" s="3" t="s">
        <v>21555</v>
      </c>
      <c r="B10875" s="110" t="s">
        <v>188</v>
      </c>
      <c r="C10875" s="111" t="s">
        <v>188</v>
      </c>
      <c r="D10875" s="111" t="str">
        <f t="shared" ref="D10875:E10875" si="10873">TRIM(B10875)</f>
        <v>New York</v>
      </c>
      <c r="E10875" s="111" t="str">
        <f t="shared" si="10873"/>
        <v>New York</v>
      </c>
    </row>
    <row r="10876" spans="1:5">
      <c r="A10876" s="3" t="s">
        <v>21556</v>
      </c>
      <c r="B10876" s="110" t="s">
        <v>188</v>
      </c>
      <c r="C10876" s="111" t="s">
        <v>188</v>
      </c>
      <c r="D10876" s="111" t="str">
        <f t="shared" ref="D10876:E10876" si="10874">TRIM(B10876)</f>
        <v>New York</v>
      </c>
      <c r="E10876" s="111" t="str">
        <f t="shared" si="10874"/>
        <v>New York</v>
      </c>
    </row>
    <row r="10877" spans="1:5">
      <c r="A10877" s="3" t="s">
        <v>21557</v>
      </c>
      <c r="B10877" s="110" t="s">
        <v>188</v>
      </c>
      <c r="C10877" s="111" t="s">
        <v>188</v>
      </c>
      <c r="D10877" s="111" t="str">
        <f t="shared" ref="D10877:E10877" si="10875">TRIM(B10877)</f>
        <v>New York</v>
      </c>
      <c r="E10877" s="111" t="str">
        <f t="shared" si="10875"/>
        <v>New York</v>
      </c>
    </row>
    <row r="10878" spans="1:5">
      <c r="A10878" s="110" t="s">
        <v>21558</v>
      </c>
      <c r="B10878" s="110" t="s">
        <v>188</v>
      </c>
      <c r="C10878" s="111" t="s">
        <v>188</v>
      </c>
      <c r="D10878" s="111" t="str">
        <f t="shared" ref="D10878:E10878" si="10876">TRIM(B10878)</f>
        <v>New York</v>
      </c>
      <c r="E10878" s="111" t="str">
        <f t="shared" si="10876"/>
        <v>New York</v>
      </c>
    </row>
    <row r="10879" spans="1:5">
      <c r="A10879" s="3" t="s">
        <v>21559</v>
      </c>
      <c r="B10879" s="110" t="s">
        <v>188</v>
      </c>
      <c r="C10879" s="111" t="s">
        <v>188</v>
      </c>
      <c r="D10879" s="111" t="str">
        <f t="shared" ref="D10879:E10879" si="10877">TRIM(B10879)</f>
        <v>New York</v>
      </c>
      <c r="E10879" s="111" t="str">
        <f t="shared" si="10877"/>
        <v>New York</v>
      </c>
    </row>
    <row r="10880" spans="1:5">
      <c r="A10880" s="3" t="s">
        <v>21560</v>
      </c>
      <c r="B10880" s="110" t="s">
        <v>188</v>
      </c>
      <c r="C10880" s="111" t="s">
        <v>188</v>
      </c>
      <c r="D10880" s="111" t="str">
        <f t="shared" ref="D10880:E10880" si="10878">TRIM(B10880)</f>
        <v>New York</v>
      </c>
      <c r="E10880" s="111" t="str">
        <f t="shared" si="10878"/>
        <v>New York</v>
      </c>
    </row>
    <row r="10881" spans="1:5">
      <c r="A10881" s="3" t="s">
        <v>21561</v>
      </c>
      <c r="B10881" s="110" t="s">
        <v>188</v>
      </c>
      <c r="C10881" s="111" t="s">
        <v>188</v>
      </c>
      <c r="D10881" s="111" t="str">
        <f t="shared" ref="D10881:E10881" si="10879">TRIM(B10881)</f>
        <v>New York</v>
      </c>
      <c r="E10881" s="111" t="str">
        <f t="shared" si="10879"/>
        <v>New York</v>
      </c>
    </row>
    <row r="10882" spans="1:5">
      <c r="A10882" s="3" t="s">
        <v>21562</v>
      </c>
      <c r="B10882" s="110" t="s">
        <v>188</v>
      </c>
      <c r="C10882" s="111" t="s">
        <v>188</v>
      </c>
      <c r="D10882" s="111" t="str">
        <f t="shared" ref="D10882:E10882" si="10880">TRIM(B10882)</f>
        <v>New York</v>
      </c>
      <c r="E10882" s="111" t="str">
        <f t="shared" si="10880"/>
        <v>New York</v>
      </c>
    </row>
    <row r="10883" spans="1:5">
      <c r="A10883" s="3" t="s">
        <v>21563</v>
      </c>
      <c r="B10883" s="110" t="s">
        <v>188</v>
      </c>
      <c r="C10883" s="111" t="s">
        <v>188</v>
      </c>
      <c r="D10883" s="111" t="str">
        <f t="shared" ref="D10883:E10883" si="10881">TRIM(B10883)</f>
        <v>New York</v>
      </c>
      <c r="E10883" s="111" t="str">
        <f t="shared" si="10881"/>
        <v>New York</v>
      </c>
    </row>
    <row r="10884" spans="1:5">
      <c r="A10884" s="110" t="s">
        <v>21564</v>
      </c>
      <c r="B10884" s="110" t="s">
        <v>188</v>
      </c>
      <c r="C10884" s="111" t="s">
        <v>188</v>
      </c>
      <c r="D10884" s="111" t="str">
        <f t="shared" ref="D10884:E10884" si="10882">TRIM(B10884)</f>
        <v>New York</v>
      </c>
      <c r="E10884" s="111" t="str">
        <f t="shared" si="10882"/>
        <v>New York</v>
      </c>
    </row>
    <row r="10885" spans="1:5">
      <c r="A10885" s="3" t="s">
        <v>21565</v>
      </c>
      <c r="B10885" s="110" t="s">
        <v>188</v>
      </c>
      <c r="C10885" s="111" t="s">
        <v>188</v>
      </c>
      <c r="D10885" s="111" t="str">
        <f t="shared" ref="D10885:E10885" si="10883">TRIM(B10885)</f>
        <v>New York</v>
      </c>
      <c r="E10885" s="111" t="str">
        <f t="shared" si="10883"/>
        <v>New York</v>
      </c>
    </row>
    <row r="10886" spans="1:5">
      <c r="A10886" s="3" t="s">
        <v>21566</v>
      </c>
      <c r="B10886" s="110" t="s">
        <v>188</v>
      </c>
      <c r="C10886" s="111" t="s">
        <v>188</v>
      </c>
      <c r="D10886" s="111" t="str">
        <f t="shared" ref="D10886:E10886" si="10884">TRIM(B10886)</f>
        <v>New York</v>
      </c>
      <c r="E10886" s="111" t="str">
        <f t="shared" si="10884"/>
        <v>New York</v>
      </c>
    </row>
    <row r="10887" spans="1:5">
      <c r="A10887" s="3" t="s">
        <v>21567</v>
      </c>
      <c r="B10887" s="110" t="s">
        <v>188</v>
      </c>
      <c r="C10887" s="111" t="s">
        <v>188</v>
      </c>
      <c r="D10887" s="111" t="str">
        <f t="shared" ref="D10887:E10887" si="10885">TRIM(B10887)</f>
        <v>New York</v>
      </c>
      <c r="E10887" s="111" t="str">
        <f t="shared" si="10885"/>
        <v>New York</v>
      </c>
    </row>
    <row r="10888" spans="1:5">
      <c r="A10888" s="3" t="s">
        <v>21568</v>
      </c>
      <c r="B10888" s="110" t="s">
        <v>188</v>
      </c>
      <c r="C10888" s="111" t="s">
        <v>188</v>
      </c>
      <c r="D10888" s="111" t="str">
        <f t="shared" ref="D10888:E10888" si="10886">TRIM(B10888)</f>
        <v>New York</v>
      </c>
      <c r="E10888" s="111" t="str">
        <f t="shared" si="10886"/>
        <v>New York</v>
      </c>
    </row>
    <row r="10889" spans="1:5">
      <c r="A10889" s="3" t="s">
        <v>21569</v>
      </c>
      <c r="B10889" s="110" t="s">
        <v>188</v>
      </c>
      <c r="C10889" s="111" t="s">
        <v>188</v>
      </c>
      <c r="D10889" s="111" t="str">
        <f t="shared" ref="D10889:E10889" si="10887">TRIM(B10889)</f>
        <v>New York</v>
      </c>
      <c r="E10889" s="111" t="str">
        <f t="shared" si="10887"/>
        <v>New York</v>
      </c>
    </row>
    <row r="10890" spans="1:5">
      <c r="A10890" s="3" t="s">
        <v>21570</v>
      </c>
      <c r="B10890" s="110" t="s">
        <v>188</v>
      </c>
      <c r="C10890" s="111" t="s">
        <v>188</v>
      </c>
      <c r="D10890" s="111" t="str">
        <f t="shared" ref="D10890:E10890" si="10888">TRIM(B10890)</f>
        <v>New York</v>
      </c>
      <c r="E10890" s="111" t="str">
        <f t="shared" si="10888"/>
        <v>New York</v>
      </c>
    </row>
    <row r="10891" spans="1:5">
      <c r="A10891" s="3" t="s">
        <v>2753</v>
      </c>
      <c r="B10891" s="110" t="s">
        <v>188</v>
      </c>
      <c r="C10891" s="111" t="s">
        <v>188</v>
      </c>
      <c r="D10891" s="111" t="str">
        <f t="shared" ref="D10891:E10891" si="10889">TRIM(B10891)</f>
        <v>New York</v>
      </c>
      <c r="E10891" s="111" t="str">
        <f t="shared" si="10889"/>
        <v>New York</v>
      </c>
    </row>
    <row r="10892" spans="1:5">
      <c r="A10892" s="3" t="s">
        <v>21571</v>
      </c>
      <c r="B10892" s="110" t="s">
        <v>188</v>
      </c>
      <c r="C10892" s="111" t="s">
        <v>188</v>
      </c>
      <c r="D10892" s="111" t="str">
        <f t="shared" ref="D10892:E10892" si="10890">TRIM(B10892)</f>
        <v>New York</v>
      </c>
      <c r="E10892" s="111" t="str">
        <f t="shared" si="10890"/>
        <v>New York</v>
      </c>
    </row>
    <row r="10893" spans="1:5">
      <c r="A10893" s="3" t="s">
        <v>21572</v>
      </c>
      <c r="B10893" s="110" t="s">
        <v>188</v>
      </c>
      <c r="C10893" s="111" t="s">
        <v>188</v>
      </c>
      <c r="D10893" s="111" t="str">
        <f t="shared" ref="D10893:E10893" si="10891">TRIM(B10893)</f>
        <v>New York</v>
      </c>
      <c r="E10893" s="111" t="str">
        <f t="shared" si="10891"/>
        <v>New York</v>
      </c>
    </row>
    <row r="10894" spans="1:5">
      <c r="A10894" s="3" t="s">
        <v>21573</v>
      </c>
      <c r="B10894" s="110" t="s">
        <v>188</v>
      </c>
      <c r="C10894" s="111" t="s">
        <v>188</v>
      </c>
      <c r="D10894" s="111" t="str">
        <f t="shared" ref="D10894:E10894" si="10892">TRIM(B10894)</f>
        <v>New York</v>
      </c>
      <c r="E10894" s="111" t="str">
        <f t="shared" si="10892"/>
        <v>New York</v>
      </c>
    </row>
    <row r="10895" spans="1:5">
      <c r="A10895" s="3" t="s">
        <v>21574</v>
      </c>
      <c r="B10895" s="110" t="s">
        <v>188</v>
      </c>
      <c r="C10895" s="111" t="s">
        <v>188</v>
      </c>
      <c r="D10895" s="111" t="str">
        <f t="shared" ref="D10895:E10895" si="10893">TRIM(B10895)</f>
        <v>New York</v>
      </c>
      <c r="E10895" s="111" t="str">
        <f t="shared" si="10893"/>
        <v>New York</v>
      </c>
    </row>
    <row r="10896" spans="1:5">
      <c r="A10896" s="3" t="s">
        <v>21575</v>
      </c>
      <c r="B10896" s="110" t="s">
        <v>188</v>
      </c>
      <c r="C10896" s="111" t="s">
        <v>188</v>
      </c>
      <c r="D10896" s="111" t="str">
        <f t="shared" ref="D10896:E10896" si="10894">TRIM(B10896)</f>
        <v>New York</v>
      </c>
      <c r="E10896" s="111" t="str">
        <f t="shared" si="10894"/>
        <v>New York</v>
      </c>
    </row>
    <row r="10897" spans="1:5">
      <c r="A10897" s="3" t="s">
        <v>21576</v>
      </c>
      <c r="B10897" s="110" t="s">
        <v>188</v>
      </c>
      <c r="C10897" s="111" t="s">
        <v>188</v>
      </c>
      <c r="D10897" s="111" t="str">
        <f t="shared" ref="D10897:E10897" si="10895">TRIM(B10897)</f>
        <v>New York</v>
      </c>
      <c r="E10897" s="111" t="str">
        <f t="shared" si="10895"/>
        <v>New York</v>
      </c>
    </row>
    <row r="10898" spans="1:5">
      <c r="A10898" s="110" t="s">
        <v>21577</v>
      </c>
      <c r="B10898" s="110" t="s">
        <v>188</v>
      </c>
      <c r="C10898" s="111" t="s">
        <v>188</v>
      </c>
      <c r="D10898" s="111" t="str">
        <f t="shared" ref="D10898:E10898" si="10896">TRIM(B10898)</f>
        <v>New York</v>
      </c>
      <c r="E10898" s="111" t="str">
        <f t="shared" si="10896"/>
        <v>New York</v>
      </c>
    </row>
    <row r="10899" spans="1:5">
      <c r="A10899" s="3" t="s">
        <v>21578</v>
      </c>
      <c r="B10899" s="110" t="s">
        <v>188</v>
      </c>
      <c r="C10899" s="111" t="s">
        <v>188</v>
      </c>
      <c r="D10899" s="111" t="str">
        <f t="shared" ref="D10899:E10899" si="10897">TRIM(B10899)</f>
        <v>New York</v>
      </c>
      <c r="E10899" s="111" t="str">
        <f t="shared" si="10897"/>
        <v>New York</v>
      </c>
    </row>
    <row r="10900" spans="1:5">
      <c r="A10900" s="110" t="s">
        <v>21579</v>
      </c>
      <c r="B10900" s="110" t="s">
        <v>188</v>
      </c>
      <c r="C10900" s="111" t="s">
        <v>188</v>
      </c>
      <c r="D10900" s="111" t="str">
        <f t="shared" ref="D10900:E10900" si="10898">TRIM(B10900)</f>
        <v>New York</v>
      </c>
      <c r="E10900" s="111" t="str">
        <f t="shared" si="10898"/>
        <v>New York</v>
      </c>
    </row>
    <row r="10901" spans="1:5">
      <c r="A10901" s="110" t="s">
        <v>21580</v>
      </c>
      <c r="B10901" s="110" t="s">
        <v>188</v>
      </c>
      <c r="C10901" s="111" t="s">
        <v>188</v>
      </c>
      <c r="D10901" s="111" t="str">
        <f t="shared" ref="D10901:E10901" si="10899">TRIM(B10901)</f>
        <v>New York</v>
      </c>
      <c r="E10901" s="111" t="str">
        <f t="shared" si="10899"/>
        <v>New York</v>
      </c>
    </row>
    <row r="10902" spans="1:5">
      <c r="A10902" s="3" t="s">
        <v>21581</v>
      </c>
      <c r="B10902" s="110" t="s">
        <v>188</v>
      </c>
      <c r="C10902" s="111" t="s">
        <v>188</v>
      </c>
      <c r="D10902" s="111" t="str">
        <f t="shared" ref="D10902:E10902" si="10900">TRIM(B10902)</f>
        <v>New York</v>
      </c>
      <c r="E10902" s="111" t="str">
        <f t="shared" si="10900"/>
        <v>New York</v>
      </c>
    </row>
    <row r="10903" spans="1:5">
      <c r="A10903" s="3" t="s">
        <v>9878</v>
      </c>
      <c r="B10903" s="110" t="s">
        <v>188</v>
      </c>
      <c r="C10903" s="111" t="s">
        <v>188</v>
      </c>
      <c r="D10903" s="111" t="str">
        <f t="shared" ref="D10903:E10903" si="10901">TRIM(B10903)</f>
        <v>New York</v>
      </c>
      <c r="E10903" s="111" t="str">
        <f t="shared" si="10901"/>
        <v>New York</v>
      </c>
    </row>
    <row r="10904" spans="1:5">
      <c r="A10904" s="3" t="s">
        <v>21582</v>
      </c>
      <c r="B10904" s="110" t="s">
        <v>188</v>
      </c>
      <c r="C10904" s="111" t="s">
        <v>188</v>
      </c>
      <c r="D10904" s="111" t="str">
        <f t="shared" ref="D10904:E10904" si="10902">TRIM(B10904)</f>
        <v>New York</v>
      </c>
      <c r="E10904" s="111" t="str">
        <f t="shared" si="10902"/>
        <v>New York</v>
      </c>
    </row>
    <row r="10905" spans="1:5">
      <c r="A10905" s="3" t="s">
        <v>21583</v>
      </c>
      <c r="B10905" s="110" t="s">
        <v>188</v>
      </c>
      <c r="C10905" s="111" t="s">
        <v>188</v>
      </c>
      <c r="D10905" s="111" t="str">
        <f t="shared" ref="D10905:E10905" si="10903">TRIM(B10905)</f>
        <v>New York</v>
      </c>
      <c r="E10905" s="111" t="str">
        <f t="shared" si="10903"/>
        <v>New York</v>
      </c>
    </row>
    <row r="10906" spans="1:5">
      <c r="A10906" s="110" t="s">
        <v>21584</v>
      </c>
      <c r="B10906" s="110" t="s">
        <v>188</v>
      </c>
      <c r="C10906" s="111" t="s">
        <v>188</v>
      </c>
      <c r="D10906" s="111" t="str">
        <f t="shared" ref="D10906:E10906" si="10904">TRIM(B10906)</f>
        <v>New York</v>
      </c>
      <c r="E10906" s="111" t="str">
        <f t="shared" si="10904"/>
        <v>New York</v>
      </c>
    </row>
    <row r="10907" spans="1:5">
      <c r="A10907" s="3" t="s">
        <v>21585</v>
      </c>
      <c r="B10907" s="110" t="s">
        <v>188</v>
      </c>
      <c r="C10907" s="111" t="s">
        <v>188</v>
      </c>
      <c r="D10907" s="111" t="str">
        <f t="shared" ref="D10907:E10907" si="10905">TRIM(B10907)</f>
        <v>New York</v>
      </c>
      <c r="E10907" s="111" t="str">
        <f t="shared" si="10905"/>
        <v>New York</v>
      </c>
    </row>
    <row r="10908" spans="1:5">
      <c r="A10908" s="3" t="s">
        <v>21586</v>
      </c>
      <c r="B10908" s="110" t="s">
        <v>188</v>
      </c>
      <c r="C10908" s="111" t="s">
        <v>188</v>
      </c>
      <c r="D10908" s="111" t="str">
        <f t="shared" ref="D10908:E10908" si="10906">TRIM(B10908)</f>
        <v>New York</v>
      </c>
      <c r="E10908" s="111" t="str">
        <f t="shared" si="10906"/>
        <v>New York</v>
      </c>
    </row>
    <row r="10909" spans="1:5">
      <c r="A10909" s="3" t="s">
        <v>21587</v>
      </c>
      <c r="B10909" s="110" t="s">
        <v>188</v>
      </c>
      <c r="C10909" s="111" t="s">
        <v>188</v>
      </c>
      <c r="D10909" s="111" t="str">
        <f t="shared" ref="D10909:E10909" si="10907">TRIM(B10909)</f>
        <v>New York</v>
      </c>
      <c r="E10909" s="111" t="str">
        <f t="shared" si="10907"/>
        <v>New York</v>
      </c>
    </row>
    <row r="10910" spans="1:5">
      <c r="A10910" s="3" t="s">
        <v>21588</v>
      </c>
      <c r="B10910" s="110" t="s">
        <v>188</v>
      </c>
      <c r="C10910" s="111" t="s">
        <v>188</v>
      </c>
      <c r="D10910" s="111" t="str">
        <f t="shared" ref="D10910:E10910" si="10908">TRIM(B10910)</f>
        <v>New York</v>
      </c>
      <c r="E10910" s="111" t="str">
        <f t="shared" si="10908"/>
        <v>New York</v>
      </c>
    </row>
    <row r="10911" spans="1:5">
      <c r="A10911" s="3" t="s">
        <v>21589</v>
      </c>
      <c r="B10911" s="110" t="s">
        <v>188</v>
      </c>
      <c r="C10911" s="112" t="s">
        <v>188</v>
      </c>
      <c r="D10911" s="111" t="str">
        <f t="shared" ref="D10911:E10911" si="10909">TRIM(B10911)</f>
        <v>New York</v>
      </c>
      <c r="E10911" s="111" t="str">
        <f t="shared" si="10909"/>
        <v>New York</v>
      </c>
    </row>
    <row r="10912" spans="1:5">
      <c r="A10912" s="3" t="s">
        <v>21590</v>
      </c>
      <c r="B10912" s="110" t="s">
        <v>188</v>
      </c>
      <c r="C10912" s="111" t="s">
        <v>188</v>
      </c>
      <c r="D10912" s="111" t="str">
        <f t="shared" ref="D10912:E10912" si="10910">TRIM(B10912)</f>
        <v>New York</v>
      </c>
      <c r="E10912" s="111" t="str">
        <f t="shared" si="10910"/>
        <v>New York</v>
      </c>
    </row>
    <row r="10913" spans="1:5">
      <c r="A10913" s="3" t="s">
        <v>21591</v>
      </c>
      <c r="B10913" s="110" t="s">
        <v>188</v>
      </c>
      <c r="C10913" s="111" t="s">
        <v>188</v>
      </c>
      <c r="D10913" s="111" t="str">
        <f t="shared" ref="D10913:E10913" si="10911">TRIM(B10913)</f>
        <v>New York</v>
      </c>
      <c r="E10913" s="111" t="str">
        <f t="shared" si="10911"/>
        <v>New York</v>
      </c>
    </row>
    <row r="10914" spans="1:5">
      <c r="A10914" s="110" t="s">
        <v>21592</v>
      </c>
      <c r="B10914" s="110" t="s">
        <v>188</v>
      </c>
      <c r="C10914" s="111" t="s">
        <v>188</v>
      </c>
      <c r="D10914" s="111" t="str">
        <f t="shared" ref="D10914:E10914" si="10912">TRIM(B10914)</f>
        <v>New York</v>
      </c>
      <c r="E10914" s="111" t="str">
        <f t="shared" si="10912"/>
        <v>New York</v>
      </c>
    </row>
    <row r="10915" spans="1:5">
      <c r="A10915" s="3" t="s">
        <v>21593</v>
      </c>
      <c r="B10915" s="110" t="s">
        <v>188</v>
      </c>
      <c r="C10915" s="111" t="s">
        <v>188</v>
      </c>
      <c r="D10915" s="111" t="str">
        <f t="shared" ref="D10915:E10915" si="10913">TRIM(B10915)</f>
        <v>New York</v>
      </c>
      <c r="E10915" s="111" t="str">
        <f t="shared" si="10913"/>
        <v>New York</v>
      </c>
    </row>
    <row r="10916" spans="1:5">
      <c r="A10916" s="3" t="s">
        <v>21594</v>
      </c>
      <c r="B10916" s="110" t="s">
        <v>188</v>
      </c>
      <c r="C10916" s="111" t="s">
        <v>188</v>
      </c>
      <c r="D10916" s="111" t="str">
        <f t="shared" ref="D10916:E10916" si="10914">TRIM(B10916)</f>
        <v>New York</v>
      </c>
      <c r="E10916" s="111" t="str">
        <f t="shared" si="10914"/>
        <v>New York</v>
      </c>
    </row>
    <row r="10917" spans="1:5">
      <c r="A10917" s="3" t="s">
        <v>21595</v>
      </c>
      <c r="B10917" s="110" t="s">
        <v>188</v>
      </c>
      <c r="C10917" s="111" t="s">
        <v>188</v>
      </c>
      <c r="D10917" s="111" t="str">
        <f t="shared" ref="D10917:E10917" si="10915">TRIM(B10917)</f>
        <v>New York</v>
      </c>
      <c r="E10917" s="111" t="str">
        <f t="shared" si="10915"/>
        <v>New York</v>
      </c>
    </row>
    <row r="10918" spans="1:5">
      <c r="A10918" s="110" t="s">
        <v>21596</v>
      </c>
      <c r="B10918" s="110" t="s">
        <v>188</v>
      </c>
      <c r="C10918" s="111" t="s">
        <v>188</v>
      </c>
      <c r="D10918" s="111" t="str">
        <f t="shared" ref="D10918:E10918" si="10916">TRIM(B10918)</f>
        <v>New York</v>
      </c>
      <c r="E10918" s="111" t="str">
        <f t="shared" si="10916"/>
        <v>New York</v>
      </c>
    </row>
    <row r="10919" spans="1:5">
      <c r="A10919" s="110" t="s">
        <v>21597</v>
      </c>
      <c r="B10919" s="110" t="s">
        <v>188</v>
      </c>
      <c r="C10919" s="111" t="s">
        <v>188</v>
      </c>
      <c r="D10919" s="111" t="str">
        <f t="shared" ref="D10919:E10919" si="10917">TRIM(B10919)</f>
        <v>New York</v>
      </c>
      <c r="E10919" s="111" t="str">
        <f t="shared" si="10917"/>
        <v>New York</v>
      </c>
    </row>
    <row r="10920" spans="1:5">
      <c r="A10920" s="110" t="s">
        <v>21598</v>
      </c>
      <c r="B10920" s="110" t="s">
        <v>188</v>
      </c>
      <c r="C10920" s="111" t="s">
        <v>188</v>
      </c>
      <c r="D10920" s="111" t="str">
        <f t="shared" ref="D10920:E10920" si="10918">TRIM(B10920)</f>
        <v>New York</v>
      </c>
      <c r="E10920" s="111" t="str">
        <f t="shared" si="10918"/>
        <v>New York</v>
      </c>
    </row>
    <row r="10921" spans="1:5">
      <c r="A10921" s="110" t="s">
        <v>21599</v>
      </c>
      <c r="B10921" s="110" t="s">
        <v>188</v>
      </c>
      <c r="C10921" s="111" t="s">
        <v>188</v>
      </c>
      <c r="D10921" s="111" t="str">
        <f t="shared" ref="D10921:E10921" si="10919">TRIM(B10921)</f>
        <v>New York</v>
      </c>
      <c r="E10921" s="111" t="str">
        <f t="shared" si="10919"/>
        <v>New York</v>
      </c>
    </row>
    <row r="10922" spans="1:5">
      <c r="A10922" s="3" t="s">
        <v>9809</v>
      </c>
      <c r="B10922" s="110" t="s">
        <v>188</v>
      </c>
      <c r="C10922" s="111" t="s">
        <v>188</v>
      </c>
      <c r="D10922" s="111" t="str">
        <f t="shared" ref="D10922:E10922" si="10920">TRIM(B10922)</f>
        <v>New York</v>
      </c>
      <c r="E10922" s="111" t="str">
        <f t="shared" si="10920"/>
        <v>New York</v>
      </c>
    </row>
    <row r="10923" spans="1:5">
      <c r="A10923" s="110" t="s">
        <v>21600</v>
      </c>
      <c r="B10923" s="110" t="s">
        <v>188</v>
      </c>
      <c r="C10923" s="111" t="s">
        <v>188</v>
      </c>
      <c r="D10923" s="111" t="str">
        <f t="shared" ref="D10923:E10923" si="10921">TRIM(B10923)</f>
        <v>New York</v>
      </c>
      <c r="E10923" s="111" t="str">
        <f t="shared" si="10921"/>
        <v>New York</v>
      </c>
    </row>
    <row r="10924" spans="1:5">
      <c r="A10924" s="110" t="s">
        <v>21601</v>
      </c>
      <c r="B10924" s="110" t="s">
        <v>188</v>
      </c>
      <c r="C10924" s="111" t="s">
        <v>188</v>
      </c>
      <c r="D10924" s="111" t="str">
        <f t="shared" ref="D10924:E10924" si="10922">TRIM(B10924)</f>
        <v>New York</v>
      </c>
      <c r="E10924" s="111" t="str">
        <f t="shared" si="10922"/>
        <v>New York</v>
      </c>
    </row>
    <row r="10925" spans="1:5">
      <c r="A10925" s="3" t="s">
        <v>21602</v>
      </c>
      <c r="B10925" s="110" t="s">
        <v>188</v>
      </c>
      <c r="C10925" s="111" t="s">
        <v>18116</v>
      </c>
      <c r="D10925" s="111" t="str">
        <f t="shared" ref="D10925:E10925" si="10923">TRIM(B10925)</f>
        <v>New York</v>
      </c>
      <c r="E10925" s="111" t="str">
        <f t="shared" si="10923"/>
        <v>New York Mills</v>
      </c>
    </row>
    <row r="10926" spans="1:5">
      <c r="A10926" s="3" t="s">
        <v>21603</v>
      </c>
      <c r="B10926" s="110" t="s">
        <v>188</v>
      </c>
      <c r="C10926" s="111" t="s">
        <v>499</v>
      </c>
      <c r="D10926" s="111" t="str">
        <f t="shared" ref="D10926:E10926" si="10924">TRIM(B10926)</f>
        <v>New York</v>
      </c>
      <c r="E10926" s="111" t="str">
        <f t="shared" si="10924"/>
        <v>Newark</v>
      </c>
    </row>
    <row r="10927" spans="1:5">
      <c r="A10927" s="3" t="s">
        <v>21604</v>
      </c>
      <c r="B10927" s="110" t="s">
        <v>188</v>
      </c>
      <c r="C10927" s="111" t="s">
        <v>21605</v>
      </c>
      <c r="D10927" s="111" t="str">
        <f t="shared" ref="D10927:E10927" si="10925">TRIM(B10927)</f>
        <v>New York</v>
      </c>
      <c r="E10927" s="111" t="str">
        <f t="shared" si="10925"/>
        <v>Newark Valley</v>
      </c>
    </row>
    <row r="10928" spans="1:5">
      <c r="A10928" s="3" t="s">
        <v>21606</v>
      </c>
      <c r="B10928" s="110" t="s">
        <v>188</v>
      </c>
      <c r="C10928" s="111" t="s">
        <v>14533</v>
      </c>
      <c r="D10928" s="111" t="str">
        <f t="shared" ref="D10928:E10928" si="10926">TRIM(B10928)</f>
        <v>New York</v>
      </c>
      <c r="E10928" s="111" t="str">
        <f t="shared" si="10926"/>
        <v>Newburgh</v>
      </c>
    </row>
    <row r="10929" spans="1:5">
      <c r="A10929" s="3" t="s">
        <v>21607</v>
      </c>
      <c r="B10929" s="110" t="s">
        <v>188</v>
      </c>
      <c r="C10929" s="111" t="s">
        <v>21608</v>
      </c>
      <c r="D10929" s="111" t="str">
        <f t="shared" ref="D10929:E10929" si="10927">TRIM(B10929)</f>
        <v>New York</v>
      </c>
      <c r="E10929" s="111" t="str">
        <f t="shared" si="10927"/>
        <v>Newfane</v>
      </c>
    </row>
    <row r="10930" spans="1:5">
      <c r="A10930" s="3" t="s">
        <v>21609</v>
      </c>
      <c r="B10930" s="110" t="s">
        <v>188</v>
      </c>
      <c r="C10930" s="111" t="s">
        <v>8356</v>
      </c>
      <c r="D10930" s="111" t="str">
        <f t="shared" ref="D10930:E10930" si="10928">TRIM(B10930)</f>
        <v>New York</v>
      </c>
      <c r="E10930" s="111" t="str">
        <f t="shared" si="10928"/>
        <v>Newfield</v>
      </c>
    </row>
    <row r="10931" spans="1:5">
      <c r="A10931" s="3" t="s">
        <v>21610</v>
      </c>
      <c r="B10931" s="110" t="s">
        <v>188</v>
      </c>
      <c r="C10931" s="111" t="s">
        <v>4078</v>
      </c>
      <c r="D10931" s="111" t="str">
        <f t="shared" ref="D10931:E10931" si="10929">TRIM(B10931)</f>
        <v>New York</v>
      </c>
      <c r="E10931" s="111" t="str">
        <f t="shared" si="10929"/>
        <v>Newport</v>
      </c>
    </row>
    <row r="10932" spans="1:5">
      <c r="A10932" s="3" t="s">
        <v>21611</v>
      </c>
      <c r="B10932" s="110" t="s">
        <v>188</v>
      </c>
      <c r="C10932" s="111" t="s">
        <v>21612</v>
      </c>
      <c r="D10932" s="111" t="str">
        <f t="shared" ref="D10932:E10932" si="10930">TRIM(B10932)</f>
        <v>New York</v>
      </c>
      <c r="E10932" s="111" t="str">
        <f t="shared" si="10930"/>
        <v>Niagara Falls</v>
      </c>
    </row>
    <row r="10933" spans="1:5">
      <c r="A10933" s="3" t="s">
        <v>21613</v>
      </c>
      <c r="B10933" s="110" t="s">
        <v>188</v>
      </c>
      <c r="C10933" s="111" t="s">
        <v>21614</v>
      </c>
      <c r="D10933" s="111" t="str">
        <f t="shared" ref="D10933:E10933" si="10931">TRIM(B10933)</f>
        <v>New York</v>
      </c>
      <c r="E10933" s="111" t="str">
        <f t="shared" si="10931"/>
        <v>North Babylon</v>
      </c>
    </row>
    <row r="10934" spans="1:5">
      <c r="A10934" s="3" t="s">
        <v>21615</v>
      </c>
      <c r="B10934" s="110" t="s">
        <v>188</v>
      </c>
      <c r="C10934" s="111" t="s">
        <v>21616</v>
      </c>
      <c r="D10934" s="111" t="str">
        <f t="shared" ref="D10934:E10934" si="10932">TRIM(B10934)</f>
        <v>New York</v>
      </c>
      <c r="E10934" s="111" t="str">
        <f t="shared" si="10932"/>
        <v>North Collins</v>
      </c>
    </row>
    <row r="10935" spans="1:5">
      <c r="A10935" s="3" t="s">
        <v>21617</v>
      </c>
      <c r="B10935" s="110" t="s">
        <v>188</v>
      </c>
      <c r="C10935" s="111" t="s">
        <v>21618</v>
      </c>
      <c r="D10935" s="111" t="str">
        <f t="shared" ref="D10935:E10935" si="10933">TRIM(B10935)</f>
        <v>New York</v>
      </c>
      <c r="E10935" s="111" t="str">
        <f t="shared" si="10933"/>
        <v>North Salem</v>
      </c>
    </row>
    <row r="10936" spans="1:5">
      <c r="A10936" s="3" t="s">
        <v>21619</v>
      </c>
      <c r="B10936" s="110" t="s">
        <v>188</v>
      </c>
      <c r="C10936" s="113" t="s">
        <v>21620</v>
      </c>
      <c r="D10936" s="111" t="str">
        <f t="shared" ref="D10936:E10936" si="10934">TRIM(B10936)</f>
        <v>New York</v>
      </c>
      <c r="E10936" s="111" t="str">
        <f t="shared" si="10934"/>
        <v>North Tonawanda</v>
      </c>
    </row>
    <row r="10937" spans="1:5">
      <c r="A10937" s="3" t="s">
        <v>21621</v>
      </c>
      <c r="B10937" s="110" t="s">
        <v>188</v>
      </c>
      <c r="C10937" s="111" t="s">
        <v>2027</v>
      </c>
      <c r="D10937" s="111" t="str">
        <f t="shared" ref="D10937:E10937" si="10935">TRIM(B10937)</f>
        <v>New York</v>
      </c>
      <c r="E10937" s="111" t="str">
        <f t="shared" si="10935"/>
        <v>Northport</v>
      </c>
    </row>
    <row r="10938" spans="1:5">
      <c r="A10938" s="3" t="s">
        <v>17467</v>
      </c>
      <c r="B10938" s="110" t="s">
        <v>188</v>
      </c>
      <c r="C10938" s="111" t="s">
        <v>17468</v>
      </c>
      <c r="D10938" s="111" t="str">
        <f t="shared" ref="D10938:E10938" si="10936">TRIM(B10938)</f>
        <v>New York</v>
      </c>
      <c r="E10938" s="111" t="str">
        <f t="shared" si="10936"/>
        <v>Northville</v>
      </c>
    </row>
    <row r="10939" spans="1:5">
      <c r="A10939" s="3" t="s">
        <v>15428</v>
      </c>
      <c r="B10939" s="110" t="s">
        <v>188</v>
      </c>
      <c r="C10939" s="111" t="s">
        <v>342</v>
      </c>
      <c r="D10939" s="111" t="str">
        <f t="shared" ref="D10939:E10939" si="10937">TRIM(B10939)</f>
        <v>New York</v>
      </c>
      <c r="E10939" s="111" t="str">
        <f t="shared" si="10937"/>
        <v>Norwich</v>
      </c>
    </row>
    <row r="10940" spans="1:5">
      <c r="A10940" s="110" t="s">
        <v>21622</v>
      </c>
      <c r="B10940" s="110" t="s">
        <v>188</v>
      </c>
      <c r="C10940" s="111" t="s">
        <v>16792</v>
      </c>
      <c r="D10940" s="111" t="str">
        <f t="shared" ref="D10940:E10940" si="10938">TRIM(B10940)</f>
        <v>New York</v>
      </c>
      <c r="E10940" s="111" t="str">
        <f t="shared" si="10938"/>
        <v>Norwood</v>
      </c>
    </row>
    <row r="10941" spans="1:5">
      <c r="A10941" s="110" t="s">
        <v>21623</v>
      </c>
      <c r="B10941" s="110" t="s">
        <v>188</v>
      </c>
      <c r="C10941" s="111" t="s">
        <v>21624</v>
      </c>
      <c r="D10941" s="111" t="str">
        <f t="shared" ref="D10941:E10941" si="10939">TRIM(B10941)</f>
        <v>New York</v>
      </c>
      <c r="E10941" s="111" t="str">
        <f t="shared" si="10939"/>
        <v>Nunda</v>
      </c>
    </row>
    <row r="10942" spans="1:5">
      <c r="A10942" s="3" t="s">
        <v>21625</v>
      </c>
      <c r="B10942" s="110" t="s">
        <v>188</v>
      </c>
      <c r="C10942" s="111" t="s">
        <v>21626</v>
      </c>
      <c r="D10942" s="111" t="str">
        <f t="shared" ref="D10942:E10942" si="10940">TRIM(B10942)</f>
        <v>New York</v>
      </c>
      <c r="E10942" s="111" t="str">
        <f t="shared" si="10940"/>
        <v>Nyack</v>
      </c>
    </row>
    <row r="10943" spans="1:5">
      <c r="A10943" s="3" t="s">
        <v>21627</v>
      </c>
      <c r="B10943" s="110" t="s">
        <v>188</v>
      </c>
      <c r="C10943" s="111" t="s">
        <v>21628</v>
      </c>
      <c r="D10943" s="111" t="str">
        <f t="shared" ref="D10943:E10943" si="10941">TRIM(B10943)</f>
        <v>New York</v>
      </c>
      <c r="E10943" s="111" t="str">
        <f t="shared" si="10941"/>
        <v>Oakfield</v>
      </c>
    </row>
    <row r="10944" spans="1:5">
      <c r="A10944" s="3" t="s">
        <v>21629</v>
      </c>
      <c r="B10944" s="110" t="s">
        <v>188</v>
      </c>
      <c r="C10944" s="111" t="s">
        <v>6204</v>
      </c>
      <c r="D10944" s="111" t="str">
        <f t="shared" ref="D10944:E10944" si="10942">TRIM(B10944)</f>
        <v>New York</v>
      </c>
      <c r="E10944" s="111" t="str">
        <f t="shared" si="10942"/>
        <v>Oceanside</v>
      </c>
    </row>
    <row r="10945" spans="1:5">
      <c r="A10945" s="3" t="s">
        <v>21630</v>
      </c>
      <c r="B10945" s="110" t="s">
        <v>188</v>
      </c>
      <c r="C10945" s="111" t="s">
        <v>6204</v>
      </c>
      <c r="D10945" s="111" t="str">
        <f t="shared" ref="D10945:E10945" si="10943">TRIM(B10945)</f>
        <v>New York</v>
      </c>
      <c r="E10945" s="111" t="str">
        <f t="shared" si="10943"/>
        <v>Oceanside</v>
      </c>
    </row>
    <row r="10946" spans="1:5">
      <c r="A10946" s="3" t="s">
        <v>21631</v>
      </c>
      <c r="B10946" s="110" t="s">
        <v>188</v>
      </c>
      <c r="C10946" s="111" t="s">
        <v>1073</v>
      </c>
      <c r="D10946" s="111" t="str">
        <f t="shared" ref="D10946:E10946" si="10944">TRIM(B10946)</f>
        <v>New York</v>
      </c>
      <c r="E10946" s="111" t="str">
        <f t="shared" si="10944"/>
        <v>Odessa</v>
      </c>
    </row>
    <row r="10947" spans="1:5">
      <c r="A10947" s="3" t="s">
        <v>21632</v>
      </c>
      <c r="B10947" s="110" t="s">
        <v>188</v>
      </c>
      <c r="C10947" s="111" t="s">
        <v>21633</v>
      </c>
      <c r="D10947" s="111" t="str">
        <f t="shared" ref="D10947:E10947" si="10945">TRIM(B10947)</f>
        <v>New York</v>
      </c>
      <c r="E10947" s="111" t="str">
        <f t="shared" si="10945"/>
        <v>Ogdensburg</v>
      </c>
    </row>
    <row r="10948" spans="1:5">
      <c r="A10948" s="3" t="s">
        <v>21634</v>
      </c>
      <c r="B10948" s="110" t="s">
        <v>188</v>
      </c>
      <c r="C10948" s="111" t="s">
        <v>21635</v>
      </c>
      <c r="D10948" s="111" t="str">
        <f t="shared" ref="D10948:E10948" si="10946">TRIM(B10948)</f>
        <v>New York</v>
      </c>
      <c r="E10948" s="111" t="str">
        <f t="shared" si="10946"/>
        <v>Old Westbury</v>
      </c>
    </row>
    <row r="10949" spans="1:5">
      <c r="A10949" s="110" t="s">
        <v>21636</v>
      </c>
      <c r="B10949" s="110" t="s">
        <v>188</v>
      </c>
      <c r="C10949" s="111" t="s">
        <v>21635</v>
      </c>
      <c r="D10949" s="111" t="str">
        <f t="shared" ref="D10949:E10949" si="10947">TRIM(B10949)</f>
        <v>New York</v>
      </c>
      <c r="E10949" s="111" t="str">
        <f t="shared" si="10947"/>
        <v>Old Westbury</v>
      </c>
    </row>
    <row r="10950" spans="1:5">
      <c r="A10950" s="3" t="s">
        <v>21637</v>
      </c>
      <c r="B10950" s="110" t="s">
        <v>188</v>
      </c>
      <c r="C10950" s="111" t="s">
        <v>21638</v>
      </c>
      <c r="D10950" s="111" t="str">
        <f t="shared" ref="D10950:E10950" si="10948">TRIM(B10950)</f>
        <v>New York</v>
      </c>
      <c r="E10950" s="111" t="str">
        <f t="shared" si="10948"/>
        <v>Olean</v>
      </c>
    </row>
    <row r="10951" spans="1:5">
      <c r="A10951" s="3" t="s">
        <v>21639</v>
      </c>
      <c r="B10951" s="110" t="s">
        <v>188</v>
      </c>
      <c r="C10951" s="111" t="s">
        <v>12369</v>
      </c>
      <c r="D10951" s="111" t="str">
        <f t="shared" ref="D10951:E10951" si="10949">TRIM(B10951)</f>
        <v>New York</v>
      </c>
      <c r="E10951" s="111" t="str">
        <f t="shared" si="10949"/>
        <v>Oneida</v>
      </c>
    </row>
    <row r="10952" spans="1:5">
      <c r="A10952" s="3" t="s">
        <v>21640</v>
      </c>
      <c r="B10952" s="110" t="s">
        <v>188</v>
      </c>
      <c r="C10952" s="111" t="s">
        <v>2046</v>
      </c>
      <c r="D10952" s="111" t="str">
        <f t="shared" ref="D10952:E10952" si="10950">TRIM(B10952)</f>
        <v>New York</v>
      </c>
      <c r="E10952" s="111" t="str">
        <f t="shared" si="10950"/>
        <v>Oneonta</v>
      </c>
    </row>
    <row r="10953" spans="1:5">
      <c r="A10953" s="3" t="s">
        <v>21641</v>
      </c>
      <c r="B10953" s="110" t="s">
        <v>188</v>
      </c>
      <c r="C10953" s="111" t="s">
        <v>21642</v>
      </c>
      <c r="D10953" s="111" t="str">
        <f t="shared" ref="D10953:E10953" si="10951">TRIM(B10953)</f>
        <v>New York</v>
      </c>
      <c r="E10953" s="111" t="str">
        <f t="shared" si="10951"/>
        <v>Ontario Center</v>
      </c>
    </row>
    <row r="10954" spans="1:5">
      <c r="A10954" s="3" t="s">
        <v>21643</v>
      </c>
      <c r="B10954" s="110" t="s">
        <v>188</v>
      </c>
      <c r="C10954" s="111" t="s">
        <v>21644</v>
      </c>
      <c r="D10954" s="111" t="str">
        <f t="shared" ref="D10954:E10954" si="10952">TRIM(B10954)</f>
        <v>New York</v>
      </c>
      <c r="E10954" s="111" t="str">
        <f t="shared" si="10952"/>
        <v>Orangeburg</v>
      </c>
    </row>
    <row r="10955" spans="1:5">
      <c r="A10955" s="3" t="s">
        <v>21645</v>
      </c>
      <c r="B10955" s="110" t="s">
        <v>188</v>
      </c>
      <c r="C10955" s="111" t="s">
        <v>21646</v>
      </c>
      <c r="D10955" s="111" t="str">
        <f t="shared" ref="D10955:E10955" si="10953">TRIM(B10955)</f>
        <v>New York</v>
      </c>
      <c r="E10955" s="111" t="str">
        <f t="shared" si="10953"/>
        <v>Orchard Park</v>
      </c>
    </row>
    <row r="10956" spans="1:5">
      <c r="A10956" s="3" t="s">
        <v>21647</v>
      </c>
      <c r="B10956" s="110" t="s">
        <v>188</v>
      </c>
      <c r="C10956" s="111" t="s">
        <v>21648</v>
      </c>
      <c r="D10956" s="111" t="str">
        <f t="shared" ref="D10956:E10956" si="10954">TRIM(B10956)</f>
        <v>New York</v>
      </c>
      <c r="E10956" s="111" t="str">
        <f t="shared" si="10954"/>
        <v>Oriskany</v>
      </c>
    </row>
    <row r="10957" spans="1:5">
      <c r="A10957" s="3" t="s">
        <v>21649</v>
      </c>
      <c r="B10957" s="110" t="s">
        <v>188</v>
      </c>
      <c r="C10957" s="111" t="s">
        <v>21650</v>
      </c>
      <c r="D10957" s="111" t="str">
        <f t="shared" ref="D10957:E10957" si="10955">TRIM(B10957)</f>
        <v>New York</v>
      </c>
      <c r="E10957" s="111" t="str">
        <f t="shared" si="10955"/>
        <v>Ossining</v>
      </c>
    </row>
    <row r="10958" spans="1:5">
      <c r="A10958" s="3" t="s">
        <v>13531</v>
      </c>
      <c r="B10958" s="110" t="s">
        <v>188</v>
      </c>
      <c r="C10958" s="111" t="s">
        <v>13528</v>
      </c>
      <c r="D10958" s="111" t="str">
        <f t="shared" ref="D10958:E10958" si="10956">TRIM(B10958)</f>
        <v>New York</v>
      </c>
      <c r="E10958" s="111" t="str">
        <f t="shared" si="10956"/>
        <v>Oswego</v>
      </c>
    </row>
    <row r="10959" spans="1:5">
      <c r="A10959" s="3" t="s">
        <v>21651</v>
      </c>
      <c r="B10959" s="110" t="s">
        <v>188</v>
      </c>
      <c r="C10959" s="111" t="s">
        <v>21652</v>
      </c>
      <c r="D10959" s="111" t="str">
        <f t="shared" ref="D10959:E10959" si="10957">TRIM(B10959)</f>
        <v>New York</v>
      </c>
      <c r="E10959" s="111" t="str">
        <f t="shared" si="10957"/>
        <v>Otego</v>
      </c>
    </row>
    <row r="10960" spans="1:5">
      <c r="A10960" s="3" t="s">
        <v>21653</v>
      </c>
      <c r="B10960" s="110" t="s">
        <v>188</v>
      </c>
      <c r="C10960" s="111" t="s">
        <v>8163</v>
      </c>
      <c r="D10960" s="111" t="str">
        <f t="shared" ref="D10960:E10960" si="10958">TRIM(B10960)</f>
        <v>New York</v>
      </c>
      <c r="E10960" s="111" t="str">
        <f t="shared" si="10958"/>
        <v>Ovid</v>
      </c>
    </row>
    <row r="10961" spans="1:5">
      <c r="A10961" s="3" t="s">
        <v>21654</v>
      </c>
      <c r="B10961" s="110" t="s">
        <v>188</v>
      </c>
      <c r="C10961" s="111" t="s">
        <v>21655</v>
      </c>
      <c r="D10961" s="111" t="str">
        <f t="shared" ref="D10961:E10961" si="10959">TRIM(B10961)</f>
        <v>New York</v>
      </c>
      <c r="E10961" s="111" t="str">
        <f t="shared" si="10959"/>
        <v>Owego</v>
      </c>
    </row>
    <row r="10962" spans="1:5">
      <c r="A10962" s="3" t="s">
        <v>21656</v>
      </c>
      <c r="B10962" s="110" t="s">
        <v>188</v>
      </c>
      <c r="C10962" s="111" t="s">
        <v>279</v>
      </c>
      <c r="D10962" s="111" t="str">
        <f t="shared" ref="D10962:E10962" si="10960">TRIM(B10962)</f>
        <v>New York</v>
      </c>
      <c r="E10962" s="111" t="str">
        <f t="shared" si="10960"/>
        <v>Oxford</v>
      </c>
    </row>
    <row r="10963" spans="1:5">
      <c r="A10963" s="3" t="s">
        <v>21657</v>
      </c>
      <c r="B10963" s="110" t="s">
        <v>188</v>
      </c>
      <c r="C10963" s="111" t="s">
        <v>21658</v>
      </c>
      <c r="D10963" s="111" t="str">
        <f t="shared" ref="D10963:E10963" si="10961">TRIM(B10963)</f>
        <v>New York</v>
      </c>
      <c r="E10963" s="111" t="str">
        <f t="shared" si="10961"/>
        <v>Oyster Bay</v>
      </c>
    </row>
    <row r="10964" spans="1:5">
      <c r="A10964" s="3" t="s">
        <v>21659</v>
      </c>
      <c r="B10964" s="110" t="s">
        <v>188</v>
      </c>
      <c r="C10964" s="111" t="s">
        <v>21660</v>
      </c>
      <c r="D10964" s="111" t="str">
        <f t="shared" ref="D10964:E10964" si="10962">TRIM(B10964)</f>
        <v>New York</v>
      </c>
      <c r="E10964" s="111" t="str">
        <f t="shared" si="10962"/>
        <v>Ozone Park</v>
      </c>
    </row>
    <row r="10965" spans="1:5">
      <c r="A10965" s="3" t="s">
        <v>21661</v>
      </c>
      <c r="B10965" s="110" t="s">
        <v>188</v>
      </c>
      <c r="C10965" s="111" t="s">
        <v>21660</v>
      </c>
      <c r="D10965" s="111" t="str">
        <f t="shared" ref="D10965:E10965" si="10963">TRIM(B10965)</f>
        <v>New York</v>
      </c>
      <c r="E10965" s="111" t="str">
        <f t="shared" si="10963"/>
        <v>Ozone Park</v>
      </c>
    </row>
    <row r="10966" spans="1:5">
      <c r="A10966" s="3" t="s">
        <v>21662</v>
      </c>
      <c r="B10966" s="110" t="s">
        <v>188</v>
      </c>
      <c r="C10966" s="111" t="s">
        <v>13547</v>
      </c>
      <c r="D10966" s="111" t="str">
        <f t="shared" ref="D10966:E10966" si="10964">TRIM(B10966)</f>
        <v>New York</v>
      </c>
      <c r="E10966" s="111" t="str">
        <f t="shared" si="10964"/>
        <v>Palmyra</v>
      </c>
    </row>
    <row r="10967" spans="1:5">
      <c r="A10967" s="3" t="s">
        <v>21663</v>
      </c>
      <c r="B10967" s="110" t="s">
        <v>188</v>
      </c>
      <c r="C10967" s="111" t="s">
        <v>21664</v>
      </c>
      <c r="D10967" s="111" t="str">
        <f t="shared" ref="D10967:E10967" si="10965">TRIM(B10967)</f>
        <v>New York</v>
      </c>
      <c r="E10967" s="111" t="str">
        <f t="shared" si="10965"/>
        <v>Panama</v>
      </c>
    </row>
    <row r="10968" spans="1:5">
      <c r="A10968" s="3" t="s">
        <v>21665</v>
      </c>
      <c r="B10968" s="110" t="s">
        <v>188</v>
      </c>
      <c r="C10968" s="111" t="s">
        <v>21666</v>
      </c>
      <c r="D10968" s="111" t="str">
        <f t="shared" ref="D10968:E10968" si="10966">TRIM(B10968)</f>
        <v>New York</v>
      </c>
      <c r="E10968" s="111" t="str">
        <f t="shared" si="10966"/>
        <v>Parish</v>
      </c>
    </row>
    <row r="10969" spans="1:5">
      <c r="A10969" s="3" t="s">
        <v>21667</v>
      </c>
      <c r="B10969" s="110" t="s">
        <v>188</v>
      </c>
      <c r="C10969" s="111" t="s">
        <v>21668</v>
      </c>
      <c r="D10969" s="111" t="str">
        <f t="shared" ref="D10969:E10969" si="10967">TRIM(B10969)</f>
        <v>New York</v>
      </c>
      <c r="E10969" s="111" t="str">
        <f t="shared" si="10967"/>
        <v>Parishville</v>
      </c>
    </row>
    <row r="10970" spans="1:5">
      <c r="A10970" s="3" t="s">
        <v>21669</v>
      </c>
      <c r="B10970" s="110" t="s">
        <v>188</v>
      </c>
      <c r="C10970" s="111" t="s">
        <v>21670</v>
      </c>
      <c r="D10970" s="111" t="str">
        <f t="shared" ref="D10970:E10970" si="10968">TRIM(B10970)</f>
        <v>New York</v>
      </c>
      <c r="E10970" s="111" t="str">
        <f t="shared" si="10968"/>
        <v>Pavilion</v>
      </c>
    </row>
    <row r="10971" spans="1:5">
      <c r="A10971" s="3" t="s">
        <v>21671</v>
      </c>
      <c r="B10971" s="110" t="s">
        <v>188</v>
      </c>
      <c r="C10971" s="111" t="s">
        <v>21672</v>
      </c>
      <c r="D10971" s="111" t="str">
        <f t="shared" ref="D10971:E10971" si="10969">TRIM(B10971)</f>
        <v>New York</v>
      </c>
      <c r="E10971" s="111" t="str">
        <f t="shared" si="10969"/>
        <v>Pawling</v>
      </c>
    </row>
    <row r="10972" spans="1:5">
      <c r="A10972" s="3" t="s">
        <v>16086</v>
      </c>
      <c r="B10972" s="110" t="s">
        <v>188</v>
      </c>
      <c r="C10972" s="111" t="s">
        <v>16087</v>
      </c>
      <c r="D10972" s="111" t="str">
        <f t="shared" ref="D10972:E10972" si="10970">TRIM(B10972)</f>
        <v>New York</v>
      </c>
      <c r="E10972" s="111" t="str">
        <f t="shared" si="10970"/>
        <v>Pearl River</v>
      </c>
    </row>
    <row r="10973" spans="1:5">
      <c r="A10973" s="3" t="s">
        <v>21673</v>
      </c>
      <c r="B10973" s="110" t="s">
        <v>188</v>
      </c>
      <c r="C10973" s="111" t="s">
        <v>21674</v>
      </c>
      <c r="D10973" s="111" t="str">
        <f t="shared" ref="D10973:E10973" si="10971">TRIM(B10973)</f>
        <v>New York</v>
      </c>
      <c r="E10973" s="111" t="str">
        <f t="shared" si="10971"/>
        <v>Peekskill</v>
      </c>
    </row>
    <row r="10974" spans="1:5">
      <c r="A10974" s="3" t="s">
        <v>21675</v>
      </c>
      <c r="B10974" s="110" t="s">
        <v>188</v>
      </c>
      <c r="C10974" s="111" t="s">
        <v>2079</v>
      </c>
      <c r="D10974" s="111" t="str">
        <f t="shared" ref="D10974:E10974" si="10972">TRIM(B10974)</f>
        <v>New York</v>
      </c>
      <c r="E10974" s="111" t="str">
        <f t="shared" si="10972"/>
        <v>Pelham</v>
      </c>
    </row>
    <row r="10975" spans="1:5">
      <c r="A10975" s="3" t="s">
        <v>21676</v>
      </c>
      <c r="B10975" s="110" t="s">
        <v>188</v>
      </c>
      <c r="C10975" s="111" t="s">
        <v>12314</v>
      </c>
      <c r="D10975" s="111" t="str">
        <f t="shared" ref="D10975:E10975" si="10973">TRIM(B10975)</f>
        <v>New York</v>
      </c>
      <c r="E10975" s="111" t="str">
        <f t="shared" si="10973"/>
        <v>Penfield</v>
      </c>
    </row>
    <row r="10976" spans="1:5">
      <c r="A10976" s="3" t="s">
        <v>21677</v>
      </c>
      <c r="B10976" s="110" t="s">
        <v>188</v>
      </c>
      <c r="C10976" s="111" t="s">
        <v>21678</v>
      </c>
      <c r="D10976" s="111" t="str">
        <f t="shared" ref="D10976:E10976" si="10974">TRIM(B10976)</f>
        <v>New York</v>
      </c>
      <c r="E10976" s="111" t="str">
        <f t="shared" si="10974"/>
        <v>Penn Yan</v>
      </c>
    </row>
    <row r="10977" spans="1:5">
      <c r="A10977" s="3" t="s">
        <v>21679</v>
      </c>
      <c r="B10977" s="110" t="s">
        <v>188</v>
      </c>
      <c r="C10977" s="111" t="s">
        <v>9957</v>
      </c>
      <c r="D10977" s="111" t="str">
        <f t="shared" ref="D10977:E10977" si="10975">TRIM(B10977)</f>
        <v>New York</v>
      </c>
      <c r="E10977" s="111" t="str">
        <f t="shared" si="10975"/>
        <v>Perry</v>
      </c>
    </row>
    <row r="10978" spans="1:5">
      <c r="A10978" s="3" t="s">
        <v>21680</v>
      </c>
      <c r="B10978" s="110" t="s">
        <v>188</v>
      </c>
      <c r="C10978" s="111" t="s">
        <v>10629</v>
      </c>
      <c r="D10978" s="111" t="str">
        <f t="shared" ref="D10978:E10978" si="10976">TRIM(B10978)</f>
        <v>New York</v>
      </c>
      <c r="E10978" s="111" t="str">
        <f t="shared" si="10976"/>
        <v>Peru</v>
      </c>
    </row>
    <row r="10979" spans="1:5">
      <c r="A10979" s="3" t="s">
        <v>8804</v>
      </c>
      <c r="B10979" s="110" t="s">
        <v>188</v>
      </c>
      <c r="C10979" s="111" t="s">
        <v>539</v>
      </c>
      <c r="D10979" s="111" t="str">
        <f t="shared" ref="D10979:E10979" si="10977">TRIM(B10979)</f>
        <v>New York</v>
      </c>
      <c r="E10979" s="111" t="str">
        <f t="shared" si="10977"/>
        <v>Philadelphia</v>
      </c>
    </row>
    <row r="10980" spans="1:5">
      <c r="A10980" s="3" t="s">
        <v>21681</v>
      </c>
      <c r="B10980" s="110" t="s">
        <v>188</v>
      </c>
      <c r="C10980" s="111" t="s">
        <v>1075</v>
      </c>
      <c r="D10980" s="111" t="str">
        <f t="shared" ref="D10980:E10980" si="10978">TRIM(B10980)</f>
        <v>New York</v>
      </c>
      <c r="E10980" s="111" t="str">
        <f t="shared" si="10978"/>
        <v>Phoenix</v>
      </c>
    </row>
    <row r="10981" spans="1:5">
      <c r="A10981" s="3" t="s">
        <v>21682</v>
      </c>
      <c r="B10981" s="110" t="s">
        <v>188</v>
      </c>
      <c r="C10981" s="111" t="s">
        <v>21683</v>
      </c>
      <c r="D10981" s="111" t="str">
        <f t="shared" ref="D10981:E10981" si="10979">TRIM(B10981)</f>
        <v>New York</v>
      </c>
      <c r="E10981" s="111" t="str">
        <f t="shared" si="10979"/>
        <v>Pine Bush</v>
      </c>
    </row>
    <row r="10982" spans="1:5">
      <c r="A10982" s="3" t="s">
        <v>21684</v>
      </c>
      <c r="B10982" s="110" t="s">
        <v>188</v>
      </c>
      <c r="C10982" s="111" t="s">
        <v>21685</v>
      </c>
      <c r="D10982" s="111" t="str">
        <f t="shared" ref="D10982:E10982" si="10980">TRIM(B10982)</f>
        <v>New York</v>
      </c>
      <c r="E10982" s="111" t="str">
        <f t="shared" si="10980"/>
        <v>Pine Plains</v>
      </c>
    </row>
    <row r="10983" spans="1:5">
      <c r="A10983" s="3" t="s">
        <v>21686</v>
      </c>
      <c r="B10983" s="110" t="s">
        <v>188</v>
      </c>
      <c r="C10983" s="111" t="s">
        <v>17511</v>
      </c>
      <c r="D10983" s="111" t="str">
        <f t="shared" ref="D10983:E10983" si="10981">TRIM(B10983)</f>
        <v>New York</v>
      </c>
      <c r="E10983" s="111" t="str">
        <f t="shared" si="10981"/>
        <v>Pittsford</v>
      </c>
    </row>
    <row r="10984" spans="1:5">
      <c r="A10984" s="3" t="s">
        <v>21687</v>
      </c>
      <c r="B10984" s="110" t="s">
        <v>188</v>
      </c>
      <c r="C10984" s="111" t="s">
        <v>17511</v>
      </c>
      <c r="D10984" s="111" t="str">
        <f t="shared" ref="D10984:E10984" si="10982">TRIM(B10984)</f>
        <v>New York</v>
      </c>
      <c r="E10984" s="111" t="str">
        <f t="shared" si="10982"/>
        <v>Pittsford</v>
      </c>
    </row>
    <row r="10985" spans="1:5">
      <c r="A10985" s="3" t="s">
        <v>21688</v>
      </c>
      <c r="B10985" s="110" t="s">
        <v>188</v>
      </c>
      <c r="C10985" s="111" t="s">
        <v>18174</v>
      </c>
      <c r="D10985" s="111" t="str">
        <f t="shared" ref="D10985:E10985" si="10983">TRIM(B10985)</f>
        <v>New York</v>
      </c>
      <c r="E10985" s="111" t="str">
        <f t="shared" si="10983"/>
        <v>Plainview</v>
      </c>
    </row>
    <row r="10986" spans="1:5">
      <c r="A10986" s="3" t="s">
        <v>21689</v>
      </c>
      <c r="B10986" s="110" t="s">
        <v>188</v>
      </c>
      <c r="C10986" s="111" t="s">
        <v>21690</v>
      </c>
      <c r="D10986" s="111" t="str">
        <f t="shared" ref="D10986:E10986" si="10984">TRIM(B10986)</f>
        <v>New York</v>
      </c>
      <c r="E10986" s="111" t="str">
        <f t="shared" si="10984"/>
        <v>Plattsburgh</v>
      </c>
    </row>
    <row r="10987" spans="1:5">
      <c r="A10987" s="3" t="s">
        <v>15026</v>
      </c>
      <c r="B10987" s="110" t="s">
        <v>188</v>
      </c>
      <c r="C10987" s="111" t="s">
        <v>15027</v>
      </c>
      <c r="D10987" s="111" t="str">
        <f t="shared" ref="D10987:E10987" si="10985">TRIM(B10987)</f>
        <v>New York</v>
      </c>
      <c r="E10987" s="111" t="str">
        <f t="shared" si="10985"/>
        <v>Pleasantville</v>
      </c>
    </row>
    <row r="10988" spans="1:5">
      <c r="A10988" s="3" t="s">
        <v>21691</v>
      </c>
      <c r="B10988" s="110" t="s">
        <v>188</v>
      </c>
      <c r="C10988" s="111" t="s">
        <v>16265</v>
      </c>
      <c r="D10988" s="111" t="str">
        <f t="shared" ref="D10988:E10988" si="10986">TRIM(B10988)</f>
        <v>New York</v>
      </c>
      <c r="E10988" s="111" t="str">
        <f t="shared" si="10986"/>
        <v>Poland</v>
      </c>
    </row>
    <row r="10989" spans="1:5">
      <c r="A10989" s="3" t="s">
        <v>21692</v>
      </c>
      <c r="B10989" s="110" t="s">
        <v>188</v>
      </c>
      <c r="C10989" s="111" t="s">
        <v>13663</v>
      </c>
      <c r="D10989" s="111" t="str">
        <f t="shared" ref="D10989:E10989" si="10987">TRIM(B10989)</f>
        <v>New York</v>
      </c>
      <c r="E10989" s="111" t="str">
        <f t="shared" si="10987"/>
        <v>Port Byron</v>
      </c>
    </row>
    <row r="10990" spans="1:5">
      <c r="A10990" s="3" t="s">
        <v>21693</v>
      </c>
      <c r="B10990" s="110" t="s">
        <v>188</v>
      </c>
      <c r="C10990" s="111" t="s">
        <v>21694</v>
      </c>
      <c r="D10990" s="111" t="str">
        <f t="shared" ref="D10990:E10990" si="10988">TRIM(B10990)</f>
        <v>New York</v>
      </c>
      <c r="E10990" s="111" t="str">
        <f t="shared" si="10988"/>
        <v>Port Chester</v>
      </c>
    </row>
    <row r="10991" spans="1:5">
      <c r="A10991" s="3" t="s">
        <v>21695</v>
      </c>
      <c r="B10991" s="110" t="s">
        <v>188</v>
      </c>
      <c r="C10991" s="111" t="s">
        <v>21696</v>
      </c>
      <c r="D10991" s="111" t="str">
        <f t="shared" ref="D10991:E10991" si="10989">TRIM(B10991)</f>
        <v>New York</v>
      </c>
      <c r="E10991" s="111" t="str">
        <f t="shared" si="10989"/>
        <v>Port Henry</v>
      </c>
    </row>
    <row r="10992" spans="1:5">
      <c r="A10992" s="3" t="s">
        <v>21697</v>
      </c>
      <c r="B10992" s="110" t="s">
        <v>188</v>
      </c>
      <c r="C10992" s="111" t="s">
        <v>21698</v>
      </c>
      <c r="D10992" s="111" t="str">
        <f t="shared" ref="D10992:E10992" si="10990">TRIM(B10992)</f>
        <v>New York</v>
      </c>
      <c r="E10992" s="111" t="str">
        <f t="shared" si="10990"/>
        <v>Port Jefferson</v>
      </c>
    </row>
    <row r="10993" spans="1:5">
      <c r="A10993" s="3" t="s">
        <v>21699</v>
      </c>
      <c r="B10993" s="110" t="s">
        <v>188</v>
      </c>
      <c r="C10993" s="113" t="s">
        <v>21700</v>
      </c>
      <c r="D10993" s="111" t="str">
        <f t="shared" ref="D10993:E10993" si="10991">TRIM(B10993)</f>
        <v>New York</v>
      </c>
      <c r="E10993" s="111" t="str">
        <f t="shared" si="10991"/>
        <v>Port Jefferson Station</v>
      </c>
    </row>
    <row r="10994" spans="1:5">
      <c r="A10994" s="3" t="s">
        <v>21701</v>
      </c>
      <c r="B10994" s="110" t="s">
        <v>188</v>
      </c>
      <c r="C10994" s="111" t="s">
        <v>21702</v>
      </c>
      <c r="D10994" s="111" t="str">
        <f t="shared" ref="D10994:E10994" si="10992">TRIM(B10994)</f>
        <v>New York</v>
      </c>
      <c r="E10994" s="111" t="str">
        <f t="shared" si="10992"/>
        <v>Port Jervis</v>
      </c>
    </row>
    <row r="10995" spans="1:5">
      <c r="A10995" s="3" t="s">
        <v>21703</v>
      </c>
      <c r="B10995" s="110" t="s">
        <v>188</v>
      </c>
      <c r="C10995" s="111" t="s">
        <v>21704</v>
      </c>
      <c r="D10995" s="111" t="str">
        <f t="shared" ref="D10995:E10995" si="10993">TRIM(B10995)</f>
        <v>New York</v>
      </c>
      <c r="E10995" s="111" t="str">
        <f t="shared" si="10993"/>
        <v>Port Washington</v>
      </c>
    </row>
    <row r="10996" spans="1:5">
      <c r="A10996" s="3" t="s">
        <v>21705</v>
      </c>
      <c r="B10996" s="110" t="s">
        <v>188</v>
      </c>
      <c r="C10996" s="111" t="s">
        <v>21706</v>
      </c>
      <c r="D10996" s="111" t="str">
        <f t="shared" ref="D10996:E10996" si="10994">TRIM(B10996)</f>
        <v>New York</v>
      </c>
      <c r="E10996" s="111" t="str">
        <f t="shared" si="10994"/>
        <v>Portville</v>
      </c>
    </row>
    <row r="10997" spans="1:5">
      <c r="A10997" s="3" t="s">
        <v>21707</v>
      </c>
      <c r="B10997" s="110" t="s">
        <v>188</v>
      </c>
      <c r="C10997" s="111" t="s">
        <v>21708</v>
      </c>
      <c r="D10997" s="111" t="str">
        <f t="shared" ref="D10997:E10997" si="10995">TRIM(B10997)</f>
        <v>New York</v>
      </c>
      <c r="E10997" s="111" t="str">
        <f t="shared" si="10995"/>
        <v>Potsdam</v>
      </c>
    </row>
    <row r="10998" spans="1:5">
      <c r="A10998" s="3" t="s">
        <v>21709</v>
      </c>
      <c r="B10998" s="110" t="s">
        <v>188</v>
      </c>
      <c r="C10998" s="111" t="s">
        <v>12442</v>
      </c>
      <c r="D10998" s="111" t="str">
        <f t="shared" ref="D10998:E10998" si="10996">TRIM(B10998)</f>
        <v>New York</v>
      </c>
      <c r="E10998" s="111" t="str">
        <f t="shared" si="10996"/>
        <v>Poughkeepsie</v>
      </c>
    </row>
    <row r="10999" spans="1:5">
      <c r="A10999" s="3" t="s">
        <v>21710</v>
      </c>
      <c r="B10999" s="110" t="s">
        <v>188</v>
      </c>
      <c r="C10999" s="111" t="s">
        <v>12442</v>
      </c>
      <c r="D10999" s="111" t="str">
        <f t="shared" ref="D10999:E10999" si="10997">TRIM(B10999)</f>
        <v>New York</v>
      </c>
      <c r="E10999" s="111" t="str">
        <f t="shared" si="10997"/>
        <v>Poughkeepsie</v>
      </c>
    </row>
    <row r="11000" spans="1:5">
      <c r="A11000" s="3" t="s">
        <v>21711</v>
      </c>
      <c r="B11000" s="110" t="s">
        <v>188</v>
      </c>
      <c r="C11000" s="111" t="s">
        <v>21712</v>
      </c>
      <c r="D11000" s="111" t="str">
        <f t="shared" ref="D11000:E11000" si="10998">TRIM(B11000)</f>
        <v>New York</v>
      </c>
      <c r="E11000" s="111" t="str">
        <f t="shared" si="10998"/>
        <v>Pulaski</v>
      </c>
    </row>
    <row r="11001" spans="1:5">
      <c r="A11001" s="3" t="s">
        <v>21713</v>
      </c>
      <c r="B11001" s="110" t="s">
        <v>188</v>
      </c>
      <c r="C11001" s="111" t="s">
        <v>21714</v>
      </c>
      <c r="D11001" s="111" t="str">
        <f t="shared" ref="D11001:E11001" si="10999">TRIM(B11001)</f>
        <v>New York</v>
      </c>
      <c r="E11001" s="111" t="str">
        <f t="shared" si="10999"/>
        <v>Putnam Valley</v>
      </c>
    </row>
    <row r="11002" spans="1:5">
      <c r="A11002" s="3" t="s">
        <v>21715</v>
      </c>
      <c r="B11002" s="110" t="s">
        <v>188</v>
      </c>
      <c r="C11002" s="111" t="s">
        <v>21716</v>
      </c>
      <c r="D11002" s="111" t="str">
        <f t="shared" ref="D11002:E11002" si="11000">TRIM(B11002)</f>
        <v>New York</v>
      </c>
      <c r="E11002" s="111" t="str">
        <f t="shared" si="11000"/>
        <v>Queens Village</v>
      </c>
    </row>
    <row r="11003" spans="1:5">
      <c r="A11003" s="3" t="s">
        <v>21717</v>
      </c>
      <c r="B11003" s="110" t="s">
        <v>188</v>
      </c>
      <c r="C11003" s="111" t="s">
        <v>21718</v>
      </c>
      <c r="D11003" s="111" t="str">
        <f t="shared" ref="D11003:E11003" si="11001">TRIM(B11003)</f>
        <v>New York</v>
      </c>
      <c r="E11003" s="111" t="str">
        <f t="shared" si="11001"/>
        <v>Queensbury</v>
      </c>
    </row>
    <row r="11004" spans="1:5">
      <c r="A11004" s="3" t="s">
        <v>21719</v>
      </c>
      <c r="B11004" s="110" t="s">
        <v>188</v>
      </c>
      <c r="C11004" s="111" t="s">
        <v>15476</v>
      </c>
      <c r="D11004" s="111" t="str">
        <f t="shared" ref="D11004:E11004" si="11002">TRIM(B11004)</f>
        <v>New York</v>
      </c>
      <c r="E11004" s="111" t="str">
        <f t="shared" si="11002"/>
        <v>Randolph</v>
      </c>
    </row>
    <row r="11005" spans="1:5">
      <c r="A11005" s="3" t="s">
        <v>21720</v>
      </c>
      <c r="B11005" s="110" t="s">
        <v>188</v>
      </c>
      <c r="C11005" s="111" t="s">
        <v>21721</v>
      </c>
      <c r="D11005" s="111" t="str">
        <f t="shared" ref="D11005:E11005" si="11003">TRIM(B11005)</f>
        <v>New York</v>
      </c>
      <c r="E11005" s="111" t="str">
        <f t="shared" si="11003"/>
        <v>Ravena</v>
      </c>
    </row>
    <row r="11006" spans="1:5">
      <c r="A11006" s="3" t="s">
        <v>21722</v>
      </c>
      <c r="B11006" s="110" t="s">
        <v>188</v>
      </c>
      <c r="C11006" s="111" t="s">
        <v>21723</v>
      </c>
      <c r="D11006" s="111" t="str">
        <f t="shared" ref="D11006:E11006" si="11004">TRIM(B11006)</f>
        <v>New York</v>
      </c>
      <c r="E11006" s="111" t="str">
        <f t="shared" si="11004"/>
        <v>Red Creek</v>
      </c>
    </row>
    <row r="11007" spans="1:5">
      <c r="A11007" s="3" t="s">
        <v>21724</v>
      </c>
      <c r="B11007" s="110" t="s">
        <v>188</v>
      </c>
      <c r="C11007" s="111" t="s">
        <v>21725</v>
      </c>
      <c r="D11007" s="111" t="str">
        <f t="shared" ref="D11007:E11007" si="11005">TRIM(B11007)</f>
        <v>New York</v>
      </c>
      <c r="E11007" s="111" t="str">
        <f t="shared" si="11005"/>
        <v>Red Hook</v>
      </c>
    </row>
    <row r="11008" spans="1:5">
      <c r="A11008" s="110" t="s">
        <v>21726</v>
      </c>
      <c r="B11008" s="110" t="s">
        <v>188</v>
      </c>
      <c r="C11008" s="111" t="s">
        <v>21727</v>
      </c>
      <c r="D11008" s="111" t="str">
        <f t="shared" ref="D11008:E11008" si="11006">TRIM(B11008)</f>
        <v>New York</v>
      </c>
      <c r="E11008" s="111" t="str">
        <f t="shared" si="11006"/>
        <v>Rego Park</v>
      </c>
    </row>
    <row r="11009" spans="1:5">
      <c r="A11009" s="3" t="s">
        <v>21728</v>
      </c>
      <c r="B11009" s="110" t="s">
        <v>188</v>
      </c>
      <c r="C11009" s="111" t="s">
        <v>21727</v>
      </c>
      <c r="D11009" s="111" t="str">
        <f t="shared" ref="D11009:E11009" si="11007">TRIM(B11009)</f>
        <v>New York</v>
      </c>
      <c r="E11009" s="111" t="str">
        <f t="shared" si="11007"/>
        <v>Rego Park</v>
      </c>
    </row>
    <row r="11010" spans="1:5">
      <c r="A11010" s="3" t="s">
        <v>21729</v>
      </c>
      <c r="B11010" s="110" t="s">
        <v>188</v>
      </c>
      <c r="C11010" s="111" t="s">
        <v>10759</v>
      </c>
      <c r="D11010" s="111" t="str">
        <f t="shared" ref="D11010:E11010" si="11008">TRIM(B11010)</f>
        <v>New York</v>
      </c>
      <c r="E11010" s="111" t="str">
        <f t="shared" si="11008"/>
        <v>Remsen</v>
      </c>
    </row>
    <row r="11011" spans="1:5">
      <c r="A11011" s="3" t="s">
        <v>21730</v>
      </c>
      <c r="B11011" s="110" t="s">
        <v>188</v>
      </c>
      <c r="C11011" s="111" t="s">
        <v>12327</v>
      </c>
      <c r="D11011" s="111" t="str">
        <f t="shared" ref="D11011:E11011" si="11009">TRIM(B11011)</f>
        <v>New York</v>
      </c>
      <c r="E11011" s="111" t="str">
        <f t="shared" si="11009"/>
        <v>Rensselaer</v>
      </c>
    </row>
    <row r="11012" spans="1:5">
      <c r="A11012" s="3" t="s">
        <v>21731</v>
      </c>
      <c r="B11012" s="110" t="s">
        <v>188</v>
      </c>
      <c r="C11012" s="111" t="s">
        <v>21732</v>
      </c>
      <c r="D11012" s="111" t="str">
        <f t="shared" ref="D11012:E11012" si="11010">TRIM(B11012)</f>
        <v>New York</v>
      </c>
      <c r="E11012" s="111" t="str">
        <f t="shared" si="11010"/>
        <v>Retsof</v>
      </c>
    </row>
    <row r="11013" spans="1:5">
      <c r="A11013" s="3" t="s">
        <v>21733</v>
      </c>
      <c r="B11013" s="110" t="s">
        <v>188</v>
      </c>
      <c r="C11013" s="111" t="s">
        <v>21734</v>
      </c>
      <c r="D11013" s="111" t="str">
        <f t="shared" ref="D11013:E11013" si="11011">TRIM(B11013)</f>
        <v>New York</v>
      </c>
      <c r="E11013" s="111" t="str">
        <f t="shared" si="11011"/>
        <v>Rhinebeck</v>
      </c>
    </row>
    <row r="11014" spans="1:5">
      <c r="A11014" s="3" t="s">
        <v>21735</v>
      </c>
      <c r="B11014" s="110" t="s">
        <v>188</v>
      </c>
      <c r="C11014" s="111" t="s">
        <v>21736</v>
      </c>
      <c r="D11014" s="111" t="str">
        <f t="shared" ref="D11014:E11014" si="11012">TRIM(B11014)</f>
        <v>New York</v>
      </c>
      <c r="E11014" s="111" t="str">
        <f t="shared" si="11012"/>
        <v>Richfield Springs</v>
      </c>
    </row>
    <row r="11015" spans="1:5">
      <c r="A11015" s="3" t="s">
        <v>21737</v>
      </c>
      <c r="B11015" s="110" t="s">
        <v>188</v>
      </c>
      <c r="C11015" s="111" t="s">
        <v>11185</v>
      </c>
      <c r="D11015" s="111" t="str">
        <f t="shared" ref="D11015:E11015" si="11013">TRIM(B11015)</f>
        <v>New York</v>
      </c>
      <c r="E11015" s="111" t="str">
        <f t="shared" si="11013"/>
        <v>Richmond Hill</v>
      </c>
    </row>
    <row r="11016" spans="1:5">
      <c r="A11016" s="3" t="s">
        <v>11184</v>
      </c>
      <c r="B11016" s="110" t="s">
        <v>188</v>
      </c>
      <c r="C11016" s="111" t="s">
        <v>11185</v>
      </c>
      <c r="D11016" s="111" t="str">
        <f t="shared" ref="D11016:E11016" si="11014">TRIM(B11016)</f>
        <v>New York</v>
      </c>
      <c r="E11016" s="111" t="str">
        <f t="shared" si="11014"/>
        <v>Richmond Hill</v>
      </c>
    </row>
    <row r="11017" spans="1:5">
      <c r="A11017" s="3" t="s">
        <v>21738</v>
      </c>
      <c r="B11017" s="110" t="s">
        <v>188</v>
      </c>
      <c r="C11017" s="111" t="s">
        <v>20376</v>
      </c>
      <c r="D11017" s="111" t="str">
        <f t="shared" ref="D11017:E11017" si="11015">TRIM(B11017)</f>
        <v>New York</v>
      </c>
      <c r="E11017" s="111" t="str">
        <f t="shared" si="11015"/>
        <v>Ridgewood</v>
      </c>
    </row>
    <row r="11018" spans="1:5">
      <c r="A11018" s="3" t="s">
        <v>21739</v>
      </c>
      <c r="B11018" s="110" t="s">
        <v>188</v>
      </c>
      <c r="C11018" s="111" t="s">
        <v>579</v>
      </c>
      <c r="D11018" s="111" t="str">
        <f t="shared" ref="D11018:E11018" si="11016">TRIM(B11018)</f>
        <v>New York</v>
      </c>
      <c r="E11018" s="111" t="str">
        <f t="shared" si="11016"/>
        <v>Riverhead</v>
      </c>
    </row>
    <row r="11019" spans="1:5">
      <c r="A11019" s="3" t="s">
        <v>2934</v>
      </c>
      <c r="B11019" s="110" t="s">
        <v>188</v>
      </c>
      <c r="C11019" s="111" t="s">
        <v>11566</v>
      </c>
      <c r="D11019" s="111" t="str">
        <f t="shared" ref="D11019:E11019" si="11017">TRIM(B11019)</f>
        <v>New York</v>
      </c>
      <c r="E11019" s="111" t="str">
        <f t="shared" si="11017"/>
        <v>Rochester</v>
      </c>
    </row>
    <row r="11020" spans="1:5">
      <c r="A11020" s="3" t="s">
        <v>21740</v>
      </c>
      <c r="B11020" s="110" t="s">
        <v>188</v>
      </c>
      <c r="C11020" s="111" t="s">
        <v>11566</v>
      </c>
      <c r="D11020" s="111" t="str">
        <f t="shared" ref="D11020:E11020" si="11018">TRIM(B11020)</f>
        <v>New York</v>
      </c>
      <c r="E11020" s="111" t="str">
        <f t="shared" si="11018"/>
        <v>Rochester</v>
      </c>
    </row>
    <row r="11021" spans="1:5">
      <c r="A11021" s="3" t="s">
        <v>7648</v>
      </c>
      <c r="B11021" s="110" t="s">
        <v>188</v>
      </c>
      <c r="C11021" s="111" t="s">
        <v>11566</v>
      </c>
      <c r="D11021" s="111" t="str">
        <f t="shared" ref="D11021:E11021" si="11019">TRIM(B11021)</f>
        <v>New York</v>
      </c>
      <c r="E11021" s="111" t="str">
        <f t="shared" si="11019"/>
        <v>Rochester</v>
      </c>
    </row>
    <row r="11022" spans="1:5">
      <c r="A11022" s="3" t="s">
        <v>21741</v>
      </c>
      <c r="B11022" s="110" t="s">
        <v>188</v>
      </c>
      <c r="C11022" s="111" t="s">
        <v>11566</v>
      </c>
      <c r="D11022" s="111" t="str">
        <f t="shared" ref="D11022:E11022" si="11020">TRIM(B11022)</f>
        <v>New York</v>
      </c>
      <c r="E11022" s="111" t="str">
        <f t="shared" si="11020"/>
        <v>Rochester</v>
      </c>
    </row>
    <row r="11023" spans="1:5">
      <c r="A11023" s="3" t="s">
        <v>21742</v>
      </c>
      <c r="B11023" s="110" t="s">
        <v>188</v>
      </c>
      <c r="C11023" s="111" t="s">
        <v>11566</v>
      </c>
      <c r="D11023" s="111" t="str">
        <f t="shared" ref="D11023:E11023" si="11021">TRIM(B11023)</f>
        <v>New York</v>
      </c>
      <c r="E11023" s="111" t="str">
        <f t="shared" si="11021"/>
        <v>Rochester</v>
      </c>
    </row>
    <row r="11024" spans="1:5">
      <c r="A11024" s="3" t="s">
        <v>21743</v>
      </c>
      <c r="B11024" s="110" t="s">
        <v>188</v>
      </c>
      <c r="C11024" s="111" t="s">
        <v>11566</v>
      </c>
      <c r="D11024" s="111" t="str">
        <f t="shared" ref="D11024:E11024" si="11022">TRIM(B11024)</f>
        <v>New York</v>
      </c>
      <c r="E11024" s="111" t="str">
        <f t="shared" si="11022"/>
        <v>Rochester</v>
      </c>
    </row>
    <row r="11025" spans="1:5">
      <c r="A11025" s="3" t="s">
        <v>21744</v>
      </c>
      <c r="B11025" s="110" t="s">
        <v>188</v>
      </c>
      <c r="C11025" s="111" t="s">
        <v>11566</v>
      </c>
      <c r="D11025" s="111" t="str">
        <f t="shared" ref="D11025:E11025" si="11023">TRIM(B11025)</f>
        <v>New York</v>
      </c>
      <c r="E11025" s="111" t="str">
        <f t="shared" si="11023"/>
        <v>Rochester</v>
      </c>
    </row>
    <row r="11026" spans="1:5">
      <c r="A11026" s="3" t="s">
        <v>21745</v>
      </c>
      <c r="B11026" s="110" t="s">
        <v>188</v>
      </c>
      <c r="C11026" s="111" t="s">
        <v>11566</v>
      </c>
      <c r="D11026" s="111" t="str">
        <f t="shared" ref="D11026:E11026" si="11024">TRIM(B11026)</f>
        <v>New York</v>
      </c>
      <c r="E11026" s="111" t="str">
        <f t="shared" si="11024"/>
        <v>Rochester</v>
      </c>
    </row>
    <row r="11027" spans="1:5">
      <c r="A11027" s="3" t="s">
        <v>21746</v>
      </c>
      <c r="B11027" s="110" t="s">
        <v>188</v>
      </c>
      <c r="C11027" s="111" t="s">
        <v>11566</v>
      </c>
      <c r="D11027" s="111" t="str">
        <f t="shared" ref="D11027:E11027" si="11025">TRIM(B11027)</f>
        <v>New York</v>
      </c>
      <c r="E11027" s="111" t="str">
        <f t="shared" si="11025"/>
        <v>Rochester</v>
      </c>
    </row>
    <row r="11028" spans="1:5">
      <c r="A11028" s="3" t="s">
        <v>6081</v>
      </c>
      <c r="B11028" s="110" t="s">
        <v>188</v>
      </c>
      <c r="C11028" s="111" t="s">
        <v>11566</v>
      </c>
      <c r="D11028" s="111" t="str">
        <f t="shared" ref="D11028:E11028" si="11026">TRIM(B11028)</f>
        <v>New York</v>
      </c>
      <c r="E11028" s="111" t="str">
        <f t="shared" si="11026"/>
        <v>Rochester</v>
      </c>
    </row>
    <row r="11029" spans="1:5">
      <c r="A11029" s="3" t="s">
        <v>21747</v>
      </c>
      <c r="B11029" s="110" t="s">
        <v>188</v>
      </c>
      <c r="C11029" s="111" t="s">
        <v>11566</v>
      </c>
      <c r="D11029" s="111" t="str">
        <f t="shared" ref="D11029:E11029" si="11027">TRIM(B11029)</f>
        <v>New York</v>
      </c>
      <c r="E11029" s="111" t="str">
        <f t="shared" si="11027"/>
        <v>Rochester</v>
      </c>
    </row>
    <row r="11030" spans="1:5">
      <c r="A11030" s="3" t="s">
        <v>21748</v>
      </c>
      <c r="B11030" s="110" t="s">
        <v>188</v>
      </c>
      <c r="C11030" s="111" t="s">
        <v>11566</v>
      </c>
      <c r="D11030" s="111" t="str">
        <f t="shared" ref="D11030:E11030" si="11028">TRIM(B11030)</f>
        <v>New York</v>
      </c>
      <c r="E11030" s="111" t="str">
        <f t="shared" si="11028"/>
        <v>Rochester</v>
      </c>
    </row>
    <row r="11031" spans="1:5">
      <c r="A11031" s="3" t="s">
        <v>21749</v>
      </c>
      <c r="B11031" s="110" t="s">
        <v>188</v>
      </c>
      <c r="C11031" s="111" t="s">
        <v>11566</v>
      </c>
      <c r="D11031" s="111" t="str">
        <f t="shared" ref="D11031:E11031" si="11029">TRIM(B11031)</f>
        <v>New York</v>
      </c>
      <c r="E11031" s="111" t="str">
        <f t="shared" si="11029"/>
        <v>Rochester</v>
      </c>
    </row>
    <row r="11032" spans="1:5">
      <c r="A11032" s="3" t="s">
        <v>21750</v>
      </c>
      <c r="B11032" s="110" t="s">
        <v>188</v>
      </c>
      <c r="C11032" s="111" t="s">
        <v>11566</v>
      </c>
      <c r="D11032" s="111" t="str">
        <f t="shared" ref="D11032:E11032" si="11030">TRIM(B11032)</f>
        <v>New York</v>
      </c>
      <c r="E11032" s="111" t="str">
        <f t="shared" si="11030"/>
        <v>Rochester</v>
      </c>
    </row>
    <row r="11033" spans="1:5">
      <c r="A11033" s="3" t="s">
        <v>9864</v>
      </c>
      <c r="B11033" s="110" t="s">
        <v>188</v>
      </c>
      <c r="C11033" s="111" t="s">
        <v>11566</v>
      </c>
      <c r="D11033" s="111" t="str">
        <f t="shared" ref="D11033:E11033" si="11031">TRIM(B11033)</f>
        <v>New York</v>
      </c>
      <c r="E11033" s="111" t="str">
        <f t="shared" si="11031"/>
        <v>Rochester</v>
      </c>
    </row>
    <row r="11034" spans="1:5">
      <c r="A11034" s="3" t="s">
        <v>21751</v>
      </c>
      <c r="B11034" s="110" t="s">
        <v>188</v>
      </c>
      <c r="C11034" s="111" t="s">
        <v>11566</v>
      </c>
      <c r="D11034" s="111" t="str">
        <f t="shared" ref="D11034:E11034" si="11032">TRIM(B11034)</f>
        <v>New York</v>
      </c>
      <c r="E11034" s="111" t="str">
        <f t="shared" si="11032"/>
        <v>Rochester</v>
      </c>
    </row>
    <row r="11035" spans="1:5">
      <c r="A11035" s="110" t="s">
        <v>21752</v>
      </c>
      <c r="B11035" s="110" t="s">
        <v>188</v>
      </c>
      <c r="C11035" s="111" t="s">
        <v>11566</v>
      </c>
      <c r="D11035" s="111" t="str">
        <f t="shared" ref="D11035:E11035" si="11033">TRIM(B11035)</f>
        <v>New York</v>
      </c>
      <c r="E11035" s="111" t="str">
        <f t="shared" si="11033"/>
        <v>Rochester</v>
      </c>
    </row>
    <row r="11036" spans="1:5">
      <c r="A11036" s="110" t="s">
        <v>21753</v>
      </c>
      <c r="B11036" s="110" t="s">
        <v>188</v>
      </c>
      <c r="C11036" s="111" t="s">
        <v>11566</v>
      </c>
      <c r="D11036" s="111" t="str">
        <f t="shared" ref="D11036:E11036" si="11034">TRIM(B11036)</f>
        <v>New York</v>
      </c>
      <c r="E11036" s="111" t="str">
        <f t="shared" si="11034"/>
        <v>Rochester</v>
      </c>
    </row>
    <row r="11037" spans="1:5">
      <c r="A11037" s="110" t="s">
        <v>21754</v>
      </c>
      <c r="B11037" s="110" t="s">
        <v>188</v>
      </c>
      <c r="C11037" s="111" t="s">
        <v>11566</v>
      </c>
      <c r="D11037" s="111" t="str">
        <f t="shared" ref="D11037:E11037" si="11035">TRIM(B11037)</f>
        <v>New York</v>
      </c>
      <c r="E11037" s="111" t="str">
        <f t="shared" si="11035"/>
        <v>Rochester</v>
      </c>
    </row>
    <row r="11038" spans="1:5">
      <c r="A11038" s="3" t="s">
        <v>21755</v>
      </c>
      <c r="B11038" s="110" t="s">
        <v>188</v>
      </c>
      <c r="C11038" s="111" t="s">
        <v>11566</v>
      </c>
      <c r="D11038" s="111" t="str">
        <f t="shared" ref="D11038:E11038" si="11036">TRIM(B11038)</f>
        <v>New York</v>
      </c>
      <c r="E11038" s="111" t="str">
        <f t="shared" si="11036"/>
        <v>Rochester</v>
      </c>
    </row>
    <row r="11039" spans="1:5">
      <c r="A11039" s="110" t="s">
        <v>21756</v>
      </c>
      <c r="B11039" s="110" t="s">
        <v>188</v>
      </c>
      <c r="C11039" s="111" t="s">
        <v>11566</v>
      </c>
      <c r="D11039" s="111" t="str">
        <f t="shared" ref="D11039:E11039" si="11037">TRIM(B11039)</f>
        <v>New York</v>
      </c>
      <c r="E11039" s="111" t="str">
        <f t="shared" si="11037"/>
        <v>Rochester</v>
      </c>
    </row>
    <row r="11040" spans="1:5">
      <c r="A11040" s="110" t="s">
        <v>21757</v>
      </c>
      <c r="B11040" s="110" t="s">
        <v>188</v>
      </c>
      <c r="C11040" s="111" t="s">
        <v>11566</v>
      </c>
      <c r="D11040" s="111" t="str">
        <f t="shared" ref="D11040:E11040" si="11038">TRIM(B11040)</f>
        <v>New York</v>
      </c>
      <c r="E11040" s="111" t="str">
        <f t="shared" si="11038"/>
        <v>Rochester</v>
      </c>
    </row>
    <row r="11041" spans="1:5">
      <c r="A11041" s="110" t="s">
        <v>21758</v>
      </c>
      <c r="B11041" s="110" t="s">
        <v>188</v>
      </c>
      <c r="C11041" s="111" t="s">
        <v>21759</v>
      </c>
      <c r="D11041" s="111" t="str">
        <f t="shared" ref="D11041:E11041" si="11039">TRIM(B11041)</f>
        <v>New York</v>
      </c>
      <c r="E11041" s="111" t="str">
        <f t="shared" si="11039"/>
        <v>Rockaway Park</v>
      </c>
    </row>
    <row r="11042" spans="1:5">
      <c r="A11042" s="3" t="s">
        <v>21760</v>
      </c>
      <c r="B11042" s="110" t="s">
        <v>188</v>
      </c>
      <c r="C11042" s="111" t="s">
        <v>21759</v>
      </c>
      <c r="D11042" s="111" t="str">
        <f t="shared" ref="D11042:E11042" si="11040">TRIM(B11042)</f>
        <v>New York</v>
      </c>
      <c r="E11042" s="111" t="str">
        <f t="shared" si="11040"/>
        <v>Rockaway Park</v>
      </c>
    </row>
    <row r="11043" spans="1:5">
      <c r="A11043" s="3" t="s">
        <v>21761</v>
      </c>
      <c r="B11043" s="110" t="s">
        <v>188</v>
      </c>
      <c r="C11043" s="111" t="s">
        <v>21759</v>
      </c>
      <c r="D11043" s="111" t="str">
        <f t="shared" ref="D11043:E11043" si="11041">TRIM(B11043)</f>
        <v>New York</v>
      </c>
      <c r="E11043" s="111" t="str">
        <f t="shared" si="11041"/>
        <v>Rockaway Park</v>
      </c>
    </row>
    <row r="11044" spans="1:5">
      <c r="A11044" s="3" t="s">
        <v>21762</v>
      </c>
      <c r="B11044" s="110" t="s">
        <v>188</v>
      </c>
      <c r="C11044" s="111" t="s">
        <v>21759</v>
      </c>
      <c r="D11044" s="111" t="str">
        <f t="shared" ref="D11044:E11044" si="11042">TRIM(B11044)</f>
        <v>New York</v>
      </c>
      <c r="E11044" s="111" t="str">
        <f t="shared" si="11042"/>
        <v>Rockaway Park</v>
      </c>
    </row>
    <row r="11045" spans="1:5">
      <c r="A11045" s="3" t="s">
        <v>3597</v>
      </c>
      <c r="B11045" s="110" t="s">
        <v>188</v>
      </c>
      <c r="C11045" s="111" t="s">
        <v>21763</v>
      </c>
      <c r="D11045" s="111" t="str">
        <f t="shared" ref="D11045:E11045" si="11043">TRIM(B11045)</f>
        <v>New York</v>
      </c>
      <c r="E11045" s="111" t="str">
        <f t="shared" si="11043"/>
        <v>Rockville Centre</v>
      </c>
    </row>
    <row r="11046" spans="1:5">
      <c r="A11046" s="3" t="s">
        <v>21764</v>
      </c>
      <c r="B11046" s="110" t="s">
        <v>188</v>
      </c>
      <c r="C11046" s="112" t="s">
        <v>21765</v>
      </c>
      <c r="D11046" s="111" t="str">
        <f t="shared" ref="D11046:E11046" si="11044">TRIM(B11046)</f>
        <v>New York</v>
      </c>
      <c r="E11046" s="111" t="str">
        <f t="shared" si="11044"/>
        <v>Rocky Point</v>
      </c>
    </row>
    <row r="11047" spans="1:5">
      <c r="A11047" s="3" t="s">
        <v>21766</v>
      </c>
      <c r="B11047" s="110" t="s">
        <v>188</v>
      </c>
      <c r="C11047" s="111" t="s">
        <v>534</v>
      </c>
      <c r="D11047" s="111" t="str">
        <f t="shared" ref="D11047:E11047" si="11045">TRIM(B11047)</f>
        <v>New York</v>
      </c>
      <c r="E11047" s="111" t="str">
        <f t="shared" si="11045"/>
        <v>Rome</v>
      </c>
    </row>
    <row r="11048" spans="1:5">
      <c r="A11048" s="3" t="s">
        <v>5101</v>
      </c>
      <c r="B11048" s="110" t="s">
        <v>188</v>
      </c>
      <c r="C11048" s="111" t="s">
        <v>21767</v>
      </c>
      <c r="D11048" s="111" t="str">
        <f t="shared" ref="D11048:E11048" si="11046">TRIM(B11048)</f>
        <v>New York</v>
      </c>
      <c r="E11048" s="111" t="str">
        <f t="shared" si="11046"/>
        <v>Roosevelt</v>
      </c>
    </row>
    <row r="11049" spans="1:5">
      <c r="A11049" s="3" t="s">
        <v>21768</v>
      </c>
      <c r="B11049" s="110" t="s">
        <v>188</v>
      </c>
      <c r="C11049" s="111" t="s">
        <v>21769</v>
      </c>
      <c r="D11049" s="111" t="str">
        <f t="shared" ref="D11049:E11049" si="11047">TRIM(B11049)</f>
        <v>New York</v>
      </c>
      <c r="E11049" s="111" t="str">
        <f t="shared" si="11047"/>
        <v>Roslyn Heights</v>
      </c>
    </row>
    <row r="11050" spans="1:5">
      <c r="A11050" s="3" t="s">
        <v>21770</v>
      </c>
      <c r="B11050" s="110" t="s">
        <v>188</v>
      </c>
      <c r="C11050" s="111" t="s">
        <v>13755</v>
      </c>
      <c r="D11050" s="111" t="str">
        <f t="shared" ref="D11050:E11050" si="11048">TRIM(B11050)</f>
        <v>New York</v>
      </c>
      <c r="E11050" s="111" t="str">
        <f t="shared" si="11048"/>
        <v>Rushville</v>
      </c>
    </row>
    <row r="11051" spans="1:5">
      <c r="A11051" s="3" t="s">
        <v>8224</v>
      </c>
      <c r="B11051" s="110" t="s">
        <v>188</v>
      </c>
      <c r="C11051" s="111" t="s">
        <v>6220</v>
      </c>
      <c r="D11051" s="111" t="str">
        <f t="shared" ref="D11051:E11051" si="11049">TRIM(B11051)</f>
        <v>New York</v>
      </c>
      <c r="E11051" s="111" t="str">
        <f t="shared" si="11049"/>
        <v>Rye</v>
      </c>
    </row>
    <row r="11052" spans="1:5">
      <c r="A11052" s="3" t="s">
        <v>21771</v>
      </c>
      <c r="B11052" s="110" t="s">
        <v>188</v>
      </c>
      <c r="C11052" s="111" t="s">
        <v>21772</v>
      </c>
      <c r="D11052" s="111" t="str">
        <f t="shared" ref="D11052:E11052" si="11050">TRIM(B11052)</f>
        <v>New York</v>
      </c>
      <c r="E11052" s="111" t="str">
        <f t="shared" si="11050"/>
        <v>Rye Brook</v>
      </c>
    </row>
    <row r="11053" spans="1:5">
      <c r="A11053" s="3" t="s">
        <v>21773</v>
      </c>
      <c r="B11053" s="110" t="s">
        <v>188</v>
      </c>
      <c r="C11053" s="111" t="s">
        <v>21774</v>
      </c>
      <c r="D11053" s="111" t="str">
        <f t="shared" ref="D11053:E11053" si="11051">TRIM(B11053)</f>
        <v>New York</v>
      </c>
      <c r="E11053" s="111" t="str">
        <f t="shared" si="11051"/>
        <v>Sag Harbor</v>
      </c>
    </row>
    <row r="11054" spans="1:5">
      <c r="A11054" s="110" t="s">
        <v>21775</v>
      </c>
      <c r="B11054" s="110" t="s">
        <v>188</v>
      </c>
      <c r="C11054" s="111" t="s">
        <v>21776</v>
      </c>
      <c r="D11054" s="111" t="str">
        <f t="shared" ref="D11054:E11054" si="11052">TRIM(B11054)</f>
        <v>New York</v>
      </c>
      <c r="E11054" s="111" t="str">
        <f t="shared" si="11052"/>
        <v>Saint Albans</v>
      </c>
    </row>
    <row r="11055" spans="1:5">
      <c r="A11055" s="3" t="s">
        <v>21777</v>
      </c>
      <c r="B11055" s="110" t="s">
        <v>188</v>
      </c>
      <c r="C11055" s="111" t="s">
        <v>12534</v>
      </c>
      <c r="D11055" s="111" t="str">
        <f t="shared" ref="D11055:E11055" si="11053">TRIM(B11055)</f>
        <v>New York</v>
      </c>
      <c r="E11055" s="111" t="str">
        <f t="shared" si="11053"/>
        <v>Saint James</v>
      </c>
    </row>
    <row r="11056" spans="1:5">
      <c r="A11056" s="3" t="s">
        <v>21778</v>
      </c>
      <c r="B11056" s="110" t="s">
        <v>188</v>
      </c>
      <c r="C11056" s="111" t="s">
        <v>21779</v>
      </c>
      <c r="D11056" s="111" t="str">
        <f t="shared" ref="D11056:E11056" si="11054">TRIM(B11056)</f>
        <v>New York</v>
      </c>
      <c r="E11056" s="111" t="str">
        <f t="shared" si="11054"/>
        <v>Salamanca</v>
      </c>
    </row>
    <row r="11057" spans="1:5">
      <c r="A11057" s="3" t="s">
        <v>4178</v>
      </c>
      <c r="B11057" s="110" t="s">
        <v>188</v>
      </c>
      <c r="C11057" s="111" t="s">
        <v>451</v>
      </c>
      <c r="D11057" s="111" t="str">
        <f t="shared" ref="D11057:E11057" si="11055">TRIM(B11057)</f>
        <v>New York</v>
      </c>
      <c r="E11057" s="111" t="str">
        <f t="shared" si="11055"/>
        <v>Salem</v>
      </c>
    </row>
    <row r="11058" spans="1:5">
      <c r="A11058" s="3" t="s">
        <v>21780</v>
      </c>
      <c r="B11058" s="110" t="s">
        <v>188</v>
      </c>
      <c r="C11058" s="111" t="s">
        <v>21781</v>
      </c>
      <c r="D11058" s="111" t="str">
        <f t="shared" ref="D11058:E11058" si="11056">TRIM(B11058)</f>
        <v>New York</v>
      </c>
      <c r="E11058" s="111" t="str">
        <f t="shared" si="11056"/>
        <v>Sanborn</v>
      </c>
    </row>
    <row r="11059" spans="1:5">
      <c r="A11059" s="3" t="s">
        <v>11384</v>
      </c>
      <c r="B11059" s="110" t="s">
        <v>188</v>
      </c>
      <c r="C11059" s="111" t="s">
        <v>21782</v>
      </c>
      <c r="D11059" s="111" t="str">
        <f t="shared" ref="D11059:E11059" si="11057">TRIM(B11059)</f>
        <v>New York</v>
      </c>
      <c r="E11059" s="111" t="str">
        <f t="shared" si="11057"/>
        <v>Sandy Creek</v>
      </c>
    </row>
    <row r="11060" spans="1:5">
      <c r="A11060" s="3" t="s">
        <v>21783</v>
      </c>
      <c r="B11060" s="110" t="s">
        <v>188</v>
      </c>
      <c r="C11060" s="111" t="s">
        <v>17583</v>
      </c>
      <c r="D11060" s="111" t="str">
        <f t="shared" ref="D11060:E11060" si="11058">TRIM(B11060)</f>
        <v>New York</v>
      </c>
      <c r="E11060" s="111" t="str">
        <f t="shared" si="11058"/>
        <v>Saranac</v>
      </c>
    </row>
    <row r="11061" spans="1:5">
      <c r="A11061" s="3" t="s">
        <v>21784</v>
      </c>
      <c r="B11061" s="110" t="s">
        <v>188</v>
      </c>
      <c r="C11061" s="111" t="s">
        <v>21785</v>
      </c>
      <c r="D11061" s="111" t="str">
        <f t="shared" ref="D11061:E11061" si="11059">TRIM(B11061)</f>
        <v>New York</v>
      </c>
      <c r="E11061" s="111" t="str">
        <f t="shared" si="11059"/>
        <v>Saranac Lake</v>
      </c>
    </row>
    <row r="11062" spans="1:5">
      <c r="A11062" s="3" t="s">
        <v>21786</v>
      </c>
      <c r="B11062" s="110" t="s">
        <v>188</v>
      </c>
      <c r="C11062" s="113" t="s">
        <v>21787</v>
      </c>
      <c r="D11062" s="111" t="str">
        <f t="shared" ref="D11062:E11062" si="11060">TRIM(B11062)</f>
        <v>New York</v>
      </c>
      <c r="E11062" s="111" t="str">
        <f t="shared" si="11060"/>
        <v>Saratoga Springs</v>
      </c>
    </row>
    <row r="11063" spans="1:5">
      <c r="A11063" s="3" t="s">
        <v>21788</v>
      </c>
      <c r="B11063" s="110" t="s">
        <v>188</v>
      </c>
      <c r="C11063" s="111" t="s">
        <v>21789</v>
      </c>
      <c r="D11063" s="111" t="str">
        <f t="shared" ref="D11063:E11063" si="11061">TRIM(B11063)</f>
        <v>New York</v>
      </c>
      <c r="E11063" s="111" t="str">
        <f t="shared" si="11061"/>
        <v>Saugerties</v>
      </c>
    </row>
    <row r="11064" spans="1:5">
      <c r="A11064" s="3" t="s">
        <v>21790</v>
      </c>
      <c r="B11064" s="110" t="s">
        <v>188</v>
      </c>
      <c r="C11064" s="111" t="s">
        <v>21791</v>
      </c>
      <c r="D11064" s="111" t="str">
        <f t="shared" ref="D11064:E11064" si="11062">TRIM(B11064)</f>
        <v>New York</v>
      </c>
      <c r="E11064" s="111" t="str">
        <f t="shared" si="11062"/>
        <v>Sauquoit</v>
      </c>
    </row>
    <row r="11065" spans="1:5">
      <c r="A11065" s="3" t="s">
        <v>21792</v>
      </c>
      <c r="B11065" s="110" t="s">
        <v>188</v>
      </c>
      <c r="C11065" s="111" t="s">
        <v>21793</v>
      </c>
      <c r="D11065" s="111" t="str">
        <f t="shared" ref="D11065:E11065" si="11063">TRIM(B11065)</f>
        <v>New York</v>
      </c>
      <c r="E11065" s="111" t="str">
        <f t="shared" si="11063"/>
        <v>Scarsdale</v>
      </c>
    </row>
    <row r="11066" spans="1:5">
      <c r="A11066" s="3" t="s">
        <v>21794</v>
      </c>
      <c r="B11066" s="110" t="s">
        <v>188</v>
      </c>
      <c r="C11066" s="111" t="s">
        <v>21793</v>
      </c>
      <c r="D11066" s="111" t="str">
        <f t="shared" ref="D11066:E11066" si="11064">TRIM(B11066)</f>
        <v>New York</v>
      </c>
      <c r="E11066" s="111" t="str">
        <f t="shared" si="11064"/>
        <v>Scarsdale</v>
      </c>
    </row>
    <row r="11067" spans="1:5">
      <c r="A11067" s="3" t="s">
        <v>21795</v>
      </c>
      <c r="B11067" s="110" t="s">
        <v>188</v>
      </c>
      <c r="C11067" s="111" t="s">
        <v>21796</v>
      </c>
      <c r="D11067" s="111" t="str">
        <f t="shared" ref="D11067:E11067" si="11065">TRIM(B11067)</f>
        <v>New York</v>
      </c>
      <c r="E11067" s="111" t="str">
        <f t="shared" si="11065"/>
        <v>Schaghticoke</v>
      </c>
    </row>
    <row r="11068" spans="1:5">
      <c r="A11068" s="3" t="s">
        <v>21797</v>
      </c>
      <c r="B11068" s="110" t="s">
        <v>188</v>
      </c>
      <c r="C11068" s="111" t="s">
        <v>21798</v>
      </c>
      <c r="D11068" s="111" t="str">
        <f t="shared" ref="D11068:E11068" si="11066">TRIM(B11068)</f>
        <v>New York</v>
      </c>
      <c r="E11068" s="111" t="str">
        <f t="shared" si="11066"/>
        <v>Schenectady</v>
      </c>
    </row>
    <row r="11069" spans="1:5">
      <c r="A11069" s="3" t="s">
        <v>21799</v>
      </c>
      <c r="B11069" s="110" t="s">
        <v>188</v>
      </c>
      <c r="C11069" s="111" t="s">
        <v>21798</v>
      </c>
      <c r="D11069" s="111" t="str">
        <f t="shared" ref="D11069:E11069" si="11067">TRIM(B11069)</f>
        <v>New York</v>
      </c>
      <c r="E11069" s="111" t="str">
        <f t="shared" si="11067"/>
        <v>Schenectady</v>
      </c>
    </row>
    <row r="11070" spans="1:5">
      <c r="A11070" s="3" t="s">
        <v>21800</v>
      </c>
      <c r="B11070" s="110" t="s">
        <v>188</v>
      </c>
      <c r="C11070" s="111" t="s">
        <v>21798</v>
      </c>
      <c r="D11070" s="111" t="str">
        <f t="shared" ref="D11070:E11070" si="11068">TRIM(B11070)</f>
        <v>New York</v>
      </c>
      <c r="E11070" s="111" t="str">
        <f t="shared" si="11068"/>
        <v>Schenectady</v>
      </c>
    </row>
    <row r="11071" spans="1:5">
      <c r="A11071" s="3" t="s">
        <v>21801</v>
      </c>
      <c r="B11071" s="110" t="s">
        <v>188</v>
      </c>
      <c r="C11071" s="111" t="s">
        <v>21798</v>
      </c>
      <c r="D11071" s="111" t="str">
        <f t="shared" ref="D11071:E11071" si="11069">TRIM(B11071)</f>
        <v>New York</v>
      </c>
      <c r="E11071" s="111" t="str">
        <f t="shared" si="11069"/>
        <v>Schenectady</v>
      </c>
    </row>
    <row r="11072" spans="1:5">
      <c r="A11072" s="3" t="s">
        <v>21802</v>
      </c>
      <c r="B11072" s="110" t="s">
        <v>188</v>
      </c>
      <c r="C11072" s="111" t="s">
        <v>21803</v>
      </c>
      <c r="D11072" s="111" t="str">
        <f t="shared" ref="D11072:E11072" si="11070">TRIM(B11072)</f>
        <v>New York</v>
      </c>
      <c r="E11072" s="111" t="str">
        <f t="shared" si="11070"/>
        <v>Schoharie</v>
      </c>
    </row>
    <row r="11073" spans="1:5">
      <c r="A11073" s="3" t="s">
        <v>21804</v>
      </c>
      <c r="B11073" s="110" t="s">
        <v>188</v>
      </c>
      <c r="C11073" s="111" t="s">
        <v>21805</v>
      </c>
      <c r="D11073" s="111" t="str">
        <f t="shared" ref="D11073:E11073" si="11071">TRIM(B11073)</f>
        <v>New York</v>
      </c>
      <c r="E11073" s="111" t="str">
        <f t="shared" si="11071"/>
        <v>Schuylerville</v>
      </c>
    </row>
    <row r="11074" spans="1:5">
      <c r="A11074" s="3" t="s">
        <v>21806</v>
      </c>
      <c r="B11074" s="110" t="s">
        <v>188</v>
      </c>
      <c r="C11074" s="111" t="s">
        <v>1250</v>
      </c>
      <c r="D11074" s="111" t="str">
        <f t="shared" ref="D11074:E11074" si="11072">TRIM(B11074)</f>
        <v>New York</v>
      </c>
      <c r="E11074" s="111" t="str">
        <f t="shared" si="11072"/>
        <v>Scotia</v>
      </c>
    </row>
    <row r="11075" spans="1:5">
      <c r="A11075" s="3" t="s">
        <v>21807</v>
      </c>
      <c r="B11075" s="110" t="s">
        <v>188</v>
      </c>
      <c r="C11075" s="111" t="s">
        <v>15830</v>
      </c>
      <c r="D11075" s="111" t="str">
        <f t="shared" ref="D11075:E11075" si="11073">TRIM(B11075)</f>
        <v>New York</v>
      </c>
      <c r="E11075" s="111" t="str">
        <f t="shared" si="11073"/>
        <v>Scottsville</v>
      </c>
    </row>
    <row r="11076" spans="1:5">
      <c r="A11076" s="3" t="s">
        <v>8841</v>
      </c>
      <c r="B11076" s="110" t="s">
        <v>188</v>
      </c>
      <c r="C11076" s="111" t="s">
        <v>8842</v>
      </c>
      <c r="D11076" s="111" t="str">
        <f t="shared" ref="D11076:E11076" si="11074">TRIM(B11076)</f>
        <v>New York</v>
      </c>
      <c r="E11076" s="111" t="str">
        <f t="shared" si="11074"/>
        <v>Seaford</v>
      </c>
    </row>
    <row r="11077" spans="1:5">
      <c r="A11077" s="3" t="s">
        <v>21808</v>
      </c>
      <c r="B11077" s="110" t="s">
        <v>188</v>
      </c>
      <c r="C11077" s="111" t="s">
        <v>21809</v>
      </c>
      <c r="D11077" s="111" t="str">
        <f t="shared" ref="D11077:E11077" si="11075">TRIM(B11077)</f>
        <v>New York</v>
      </c>
      <c r="E11077" s="111" t="str">
        <f t="shared" si="11075"/>
        <v>Selden</v>
      </c>
    </row>
    <row r="11078" spans="1:5">
      <c r="A11078" s="3" t="s">
        <v>21810</v>
      </c>
      <c r="B11078" s="110" t="s">
        <v>188</v>
      </c>
      <c r="C11078" s="111" t="s">
        <v>21811</v>
      </c>
      <c r="D11078" s="111" t="str">
        <f t="shared" ref="D11078:E11078" si="11076">TRIM(B11078)</f>
        <v>New York</v>
      </c>
      <c r="E11078" s="111" t="str">
        <f t="shared" si="11076"/>
        <v>Seneca Falls</v>
      </c>
    </row>
    <row r="11079" spans="1:5">
      <c r="A11079" s="3" t="s">
        <v>21812</v>
      </c>
      <c r="B11079" s="110" t="s">
        <v>188</v>
      </c>
      <c r="C11079" s="111" t="s">
        <v>21813</v>
      </c>
      <c r="D11079" s="111" t="str">
        <f t="shared" ref="D11079:E11079" si="11077">TRIM(B11079)</f>
        <v>New York</v>
      </c>
      <c r="E11079" s="111" t="str">
        <f t="shared" si="11077"/>
        <v>Sherburne</v>
      </c>
    </row>
    <row r="11080" spans="1:5">
      <c r="A11080" s="3" t="s">
        <v>21814</v>
      </c>
      <c r="B11080" s="110" t="s">
        <v>188</v>
      </c>
      <c r="C11080" s="111" t="s">
        <v>21815</v>
      </c>
      <c r="D11080" s="111" t="str">
        <f t="shared" ref="D11080:E11080" si="11078">TRIM(B11080)</f>
        <v>New York</v>
      </c>
      <c r="E11080" s="111" t="str">
        <f t="shared" si="11078"/>
        <v>Sherman</v>
      </c>
    </row>
    <row r="11081" spans="1:5">
      <c r="A11081" s="3" t="s">
        <v>21816</v>
      </c>
      <c r="B11081" s="110" t="s">
        <v>188</v>
      </c>
      <c r="C11081" s="111" t="s">
        <v>21817</v>
      </c>
      <c r="D11081" s="111" t="str">
        <f t="shared" ref="D11081:E11081" si="11079">TRIM(B11081)</f>
        <v>New York</v>
      </c>
      <c r="E11081" s="111" t="str">
        <f t="shared" si="11079"/>
        <v>Shoreham</v>
      </c>
    </row>
    <row r="11082" spans="1:5">
      <c r="A11082" s="3" t="s">
        <v>21818</v>
      </c>
      <c r="B11082" s="110" t="s">
        <v>188</v>
      </c>
      <c r="C11082" s="111" t="s">
        <v>21819</v>
      </c>
      <c r="D11082" s="111" t="str">
        <f t="shared" ref="D11082:E11082" si="11080">TRIM(B11082)</f>
        <v>New York</v>
      </c>
      <c r="E11082" s="111" t="str">
        <f t="shared" si="11080"/>
        <v>Shortsville</v>
      </c>
    </row>
    <row r="11083" spans="1:5">
      <c r="A11083" s="3" t="s">
        <v>14445</v>
      </c>
      <c r="B11083" s="110" t="s">
        <v>188</v>
      </c>
      <c r="C11083" s="111" t="s">
        <v>21820</v>
      </c>
      <c r="D11083" s="111" t="str">
        <f t="shared" ref="D11083:E11083" si="11081">TRIM(B11083)</f>
        <v>New York</v>
      </c>
      <c r="E11083" s="111" t="str">
        <f t="shared" si="11081"/>
        <v>Shrub Oak</v>
      </c>
    </row>
    <row r="11084" spans="1:5">
      <c r="A11084" s="3" t="s">
        <v>15050</v>
      </c>
      <c r="B11084" s="110" t="s">
        <v>188</v>
      </c>
      <c r="C11084" s="111" t="s">
        <v>15051</v>
      </c>
      <c r="D11084" s="111" t="str">
        <f t="shared" ref="D11084:E11084" si="11082">TRIM(B11084)</f>
        <v>New York</v>
      </c>
      <c r="E11084" s="111" t="str">
        <f t="shared" si="11082"/>
        <v>Sidney</v>
      </c>
    </row>
    <row r="11085" spans="1:5">
      <c r="A11085" s="3" t="s">
        <v>6948</v>
      </c>
      <c r="B11085" s="110" t="s">
        <v>188</v>
      </c>
      <c r="C11085" s="111" t="s">
        <v>21821</v>
      </c>
      <c r="D11085" s="111" t="str">
        <f t="shared" ref="D11085:E11085" si="11083">TRIM(B11085)</f>
        <v>New York</v>
      </c>
      <c r="E11085" s="111" t="str">
        <f t="shared" si="11083"/>
        <v>Silver Creek</v>
      </c>
    </row>
    <row r="11086" spans="1:5">
      <c r="A11086" s="3" t="s">
        <v>21822</v>
      </c>
      <c r="B11086" s="110" t="s">
        <v>188</v>
      </c>
      <c r="C11086" s="111" t="s">
        <v>21823</v>
      </c>
      <c r="D11086" s="111" t="str">
        <f t="shared" ref="D11086:E11086" si="11084">TRIM(B11086)</f>
        <v>New York</v>
      </c>
      <c r="E11086" s="111" t="str">
        <f t="shared" si="11084"/>
        <v>Sinclairville</v>
      </c>
    </row>
    <row r="11087" spans="1:5">
      <c r="A11087" s="3" t="s">
        <v>21824</v>
      </c>
      <c r="B11087" s="110" t="s">
        <v>188</v>
      </c>
      <c r="C11087" s="111" t="s">
        <v>21825</v>
      </c>
      <c r="D11087" s="111" t="str">
        <f t="shared" ref="D11087:E11087" si="11085">TRIM(B11087)</f>
        <v>New York</v>
      </c>
      <c r="E11087" s="111" t="str">
        <f t="shared" si="11085"/>
        <v>Skaneateles</v>
      </c>
    </row>
    <row r="11088" spans="1:5">
      <c r="A11088" s="3" t="s">
        <v>21826</v>
      </c>
      <c r="B11088" s="110" t="s">
        <v>188</v>
      </c>
      <c r="C11088" s="111" t="s">
        <v>21827</v>
      </c>
      <c r="D11088" s="111" t="str">
        <f t="shared" ref="D11088:E11088" si="11086">TRIM(B11088)</f>
        <v>New York</v>
      </c>
      <c r="E11088" s="111" t="str">
        <f t="shared" si="11086"/>
        <v>Slate Hill</v>
      </c>
    </row>
    <row r="11089" spans="1:5">
      <c r="A11089" s="3" t="s">
        <v>21828</v>
      </c>
      <c r="B11089" s="110" t="s">
        <v>188</v>
      </c>
      <c r="C11089" s="111" t="s">
        <v>21829</v>
      </c>
      <c r="D11089" s="111" t="str">
        <f t="shared" ref="D11089:E11089" si="11087">TRIM(B11089)</f>
        <v>New York</v>
      </c>
      <c r="E11089" s="111" t="str">
        <f t="shared" si="11087"/>
        <v>Sleepy Hollow</v>
      </c>
    </row>
    <row r="11090" spans="1:5">
      <c r="A11090" s="3" t="s">
        <v>21830</v>
      </c>
      <c r="B11090" s="110" t="s">
        <v>188</v>
      </c>
      <c r="C11090" s="111" t="s">
        <v>21831</v>
      </c>
      <c r="D11090" s="111" t="str">
        <f t="shared" ref="D11090:E11090" si="11088">TRIM(B11090)</f>
        <v>New York</v>
      </c>
      <c r="E11090" s="111" t="str">
        <f t="shared" si="11088"/>
        <v>Smithtown</v>
      </c>
    </row>
    <row r="11091" spans="1:5">
      <c r="A11091" s="3" t="s">
        <v>21832</v>
      </c>
      <c r="B11091" s="110" t="s">
        <v>188</v>
      </c>
      <c r="C11091" s="111" t="s">
        <v>21833</v>
      </c>
      <c r="D11091" s="111" t="str">
        <f t="shared" ref="D11091:E11091" si="11089">TRIM(B11091)</f>
        <v>New York</v>
      </c>
      <c r="E11091" s="111" t="str">
        <f t="shared" si="11089"/>
        <v>Sodus</v>
      </c>
    </row>
    <row r="11092" spans="1:5">
      <c r="A11092" s="3" t="s">
        <v>21834</v>
      </c>
      <c r="B11092" s="110" t="s">
        <v>188</v>
      </c>
      <c r="C11092" s="111" t="s">
        <v>21835</v>
      </c>
      <c r="D11092" s="111" t="str">
        <f t="shared" ref="D11092:E11092" si="11090">TRIM(B11092)</f>
        <v>New York</v>
      </c>
      <c r="E11092" s="111" t="str">
        <f t="shared" si="11090"/>
        <v>Solvay</v>
      </c>
    </row>
    <row r="11093" spans="1:5">
      <c r="A11093" s="3" t="s">
        <v>21836</v>
      </c>
      <c r="B11093" s="110" t="s">
        <v>188</v>
      </c>
      <c r="C11093" s="111" t="s">
        <v>21837</v>
      </c>
      <c r="D11093" s="111" t="str">
        <f t="shared" ref="D11093:E11093" si="11091">TRIM(B11093)</f>
        <v>New York</v>
      </c>
      <c r="E11093" s="111" t="str">
        <f t="shared" si="11091"/>
        <v>South Dayton</v>
      </c>
    </row>
    <row r="11094" spans="1:5">
      <c r="A11094" s="3" t="s">
        <v>21838</v>
      </c>
      <c r="B11094" s="110" t="s">
        <v>188</v>
      </c>
      <c r="C11094" s="113" t="s">
        <v>21839</v>
      </c>
      <c r="D11094" s="111" t="str">
        <f t="shared" ref="D11094:E11094" si="11092">TRIM(B11094)</f>
        <v>New York</v>
      </c>
      <c r="E11094" s="111" t="str">
        <f t="shared" si="11092"/>
        <v>South Glens Falls</v>
      </c>
    </row>
    <row r="11095" spans="1:5">
      <c r="A11095" s="3" t="s">
        <v>21840</v>
      </c>
      <c r="B11095" s="110" t="s">
        <v>188</v>
      </c>
      <c r="C11095" s="113" t="s">
        <v>21841</v>
      </c>
      <c r="D11095" s="111" t="str">
        <f t="shared" ref="D11095:E11095" si="11093">TRIM(B11095)</f>
        <v>New York</v>
      </c>
      <c r="E11095" s="111" t="str">
        <f t="shared" si="11093"/>
        <v>South Ozone Park</v>
      </c>
    </row>
    <row r="11096" spans="1:5">
      <c r="A11096" s="3" t="s">
        <v>21842</v>
      </c>
      <c r="B11096" s="110" t="s">
        <v>188</v>
      </c>
      <c r="C11096" s="111" t="s">
        <v>21843</v>
      </c>
      <c r="D11096" s="111" t="str">
        <f t="shared" ref="D11096:E11096" si="11094">TRIM(B11096)</f>
        <v>New York</v>
      </c>
      <c r="E11096" s="111" t="str">
        <f t="shared" si="11094"/>
        <v>Southampton</v>
      </c>
    </row>
    <row r="11097" spans="1:5">
      <c r="A11097" s="3" t="s">
        <v>21844</v>
      </c>
      <c r="B11097" s="110" t="s">
        <v>188</v>
      </c>
      <c r="C11097" s="111" t="s">
        <v>21845</v>
      </c>
      <c r="D11097" s="111" t="str">
        <f t="shared" ref="D11097:E11097" si="11095">TRIM(B11097)</f>
        <v>New York</v>
      </c>
      <c r="E11097" s="111" t="str">
        <f t="shared" si="11095"/>
        <v>Southold</v>
      </c>
    </row>
    <row r="11098" spans="1:5">
      <c r="A11098" s="3" t="s">
        <v>21846</v>
      </c>
      <c r="B11098" s="110" t="s">
        <v>188</v>
      </c>
      <c r="C11098" s="111" t="s">
        <v>14606</v>
      </c>
      <c r="D11098" s="111" t="str">
        <f t="shared" ref="D11098:E11098" si="11096">TRIM(B11098)</f>
        <v>New York</v>
      </c>
      <c r="E11098" s="111" t="str">
        <f t="shared" si="11096"/>
        <v>Spencer</v>
      </c>
    </row>
    <row r="11099" spans="1:5">
      <c r="A11099" s="3" t="s">
        <v>21847</v>
      </c>
      <c r="B11099" s="110" t="s">
        <v>188</v>
      </c>
      <c r="C11099" s="111" t="s">
        <v>21848</v>
      </c>
      <c r="D11099" s="111" t="str">
        <f t="shared" ref="D11099:E11099" si="11097">TRIM(B11099)</f>
        <v>New York</v>
      </c>
      <c r="E11099" s="111" t="str">
        <f t="shared" si="11097"/>
        <v>Spencerport</v>
      </c>
    </row>
    <row r="11100" spans="1:5">
      <c r="A11100" s="3" t="s">
        <v>20147</v>
      </c>
      <c r="B11100" s="110" t="s">
        <v>188</v>
      </c>
      <c r="C11100" s="111" t="s">
        <v>7178</v>
      </c>
      <c r="D11100" s="111" t="str">
        <f t="shared" ref="D11100:E11100" si="11098">TRIM(B11100)</f>
        <v>New York</v>
      </c>
      <c r="E11100" s="111" t="str">
        <f t="shared" si="11098"/>
        <v>Spring Valley</v>
      </c>
    </row>
    <row r="11101" spans="1:5">
      <c r="A11101" s="3" t="s">
        <v>19850</v>
      </c>
      <c r="B11101" s="110" t="s">
        <v>188</v>
      </c>
      <c r="C11101" s="111" t="s">
        <v>7178</v>
      </c>
      <c r="D11101" s="111" t="str">
        <f t="shared" ref="D11101:E11101" si="11099">TRIM(B11101)</f>
        <v>New York</v>
      </c>
      <c r="E11101" s="111" t="str">
        <f t="shared" si="11099"/>
        <v>Spring Valley</v>
      </c>
    </row>
    <row r="11102" spans="1:5">
      <c r="A11102" s="3" t="s">
        <v>21849</v>
      </c>
      <c r="B11102" s="110" t="s">
        <v>188</v>
      </c>
      <c r="C11102" s="113" t="s">
        <v>21850</v>
      </c>
      <c r="D11102" s="111" t="str">
        <f t="shared" ref="D11102:E11102" si="11100">TRIM(B11102)</f>
        <v>New York</v>
      </c>
      <c r="E11102" s="111" t="str">
        <f t="shared" si="11100"/>
        <v>Springfield Gardens</v>
      </c>
    </row>
    <row r="11103" spans="1:5">
      <c r="A11103" s="3" t="s">
        <v>21851</v>
      </c>
      <c r="B11103" s="110" t="s">
        <v>188</v>
      </c>
      <c r="C11103" s="113" t="s">
        <v>21850</v>
      </c>
      <c r="D11103" s="111" t="str">
        <f t="shared" ref="D11103:E11103" si="11101">TRIM(B11103)</f>
        <v>New York</v>
      </c>
      <c r="E11103" s="111" t="str">
        <f t="shared" si="11101"/>
        <v>Springfield Gardens</v>
      </c>
    </row>
    <row r="11104" spans="1:5">
      <c r="A11104" s="3" t="s">
        <v>21852</v>
      </c>
      <c r="B11104" s="110" t="s">
        <v>188</v>
      </c>
      <c r="C11104" s="113" t="s">
        <v>21850</v>
      </c>
      <c r="D11104" s="111" t="str">
        <f t="shared" ref="D11104:E11104" si="11102">TRIM(B11104)</f>
        <v>New York</v>
      </c>
      <c r="E11104" s="111" t="str">
        <f t="shared" si="11102"/>
        <v>Springfield Gardens</v>
      </c>
    </row>
    <row r="11105" spans="1:5">
      <c r="A11105" s="3" t="s">
        <v>21853</v>
      </c>
      <c r="B11105" s="110" t="s">
        <v>188</v>
      </c>
      <c r="C11105" s="113" t="s">
        <v>21850</v>
      </c>
      <c r="D11105" s="111" t="str">
        <f t="shared" ref="D11105:E11105" si="11103">TRIM(B11105)</f>
        <v>New York</v>
      </c>
      <c r="E11105" s="111" t="str">
        <f t="shared" si="11103"/>
        <v>Springfield Gardens</v>
      </c>
    </row>
    <row r="11106" spans="1:5">
      <c r="A11106" s="3" t="s">
        <v>21854</v>
      </c>
      <c r="B11106" s="110" t="s">
        <v>188</v>
      </c>
      <c r="C11106" s="111" t="s">
        <v>411</v>
      </c>
      <c r="D11106" s="111" t="str">
        <f t="shared" ref="D11106:E11106" si="11104">TRIM(B11106)</f>
        <v>New York</v>
      </c>
      <c r="E11106" s="111" t="str">
        <f t="shared" si="11104"/>
        <v>Springville</v>
      </c>
    </row>
    <row r="11107" spans="1:5">
      <c r="A11107" s="3" t="s">
        <v>21855</v>
      </c>
      <c r="B11107" s="110" t="s">
        <v>188</v>
      </c>
      <c r="C11107" s="111" t="s">
        <v>21856</v>
      </c>
      <c r="D11107" s="111" t="str">
        <f t="shared" ref="D11107:E11107" si="11105">TRIM(B11107)</f>
        <v>New York</v>
      </c>
      <c r="E11107" s="111" t="str">
        <f t="shared" si="11105"/>
        <v>St Johnsville</v>
      </c>
    </row>
    <row r="11108" spans="1:5">
      <c r="A11108" s="3" t="s">
        <v>21857</v>
      </c>
      <c r="B11108" s="110" t="s">
        <v>188</v>
      </c>
      <c r="C11108" s="111" t="s">
        <v>21858</v>
      </c>
      <c r="D11108" s="111" t="str">
        <f t="shared" ref="D11108:E11108" si="11106">TRIM(B11108)</f>
        <v>New York</v>
      </c>
      <c r="E11108" s="111" t="str">
        <f t="shared" si="11106"/>
        <v>Star Lake</v>
      </c>
    </row>
    <row r="11109" spans="1:5">
      <c r="A11109" s="3" t="s">
        <v>3702</v>
      </c>
      <c r="B11109" s="110" t="s">
        <v>188</v>
      </c>
      <c r="C11109" s="111" t="s">
        <v>12437</v>
      </c>
      <c r="D11109" s="111" t="str">
        <f t="shared" ref="D11109:E11109" si="11107">TRIM(B11109)</f>
        <v>New York</v>
      </c>
      <c r="E11109" s="111" t="str">
        <f t="shared" si="11107"/>
        <v>Staten Island</v>
      </c>
    </row>
    <row r="11110" spans="1:5">
      <c r="A11110" s="3" t="s">
        <v>21859</v>
      </c>
      <c r="B11110" s="110" t="s">
        <v>188</v>
      </c>
      <c r="C11110" s="111" t="s">
        <v>12437</v>
      </c>
      <c r="D11110" s="111" t="str">
        <f t="shared" ref="D11110:E11110" si="11108">TRIM(B11110)</f>
        <v>New York</v>
      </c>
      <c r="E11110" s="111" t="str">
        <f t="shared" si="11108"/>
        <v>Staten Island</v>
      </c>
    </row>
    <row r="11111" spans="1:5">
      <c r="A11111" s="3" t="s">
        <v>21860</v>
      </c>
      <c r="B11111" s="110" t="s">
        <v>188</v>
      </c>
      <c r="C11111" s="111" t="s">
        <v>12437</v>
      </c>
      <c r="D11111" s="111" t="str">
        <f t="shared" ref="D11111:E11111" si="11109">TRIM(B11111)</f>
        <v>New York</v>
      </c>
      <c r="E11111" s="111" t="str">
        <f t="shared" si="11109"/>
        <v>Staten Island</v>
      </c>
    </row>
    <row r="11112" spans="1:5">
      <c r="A11112" s="110" t="s">
        <v>21861</v>
      </c>
      <c r="B11112" s="110" t="s">
        <v>188</v>
      </c>
      <c r="C11112" s="111" t="s">
        <v>12437</v>
      </c>
      <c r="D11112" s="111" t="str">
        <f t="shared" ref="D11112:E11112" si="11110">TRIM(B11112)</f>
        <v>New York</v>
      </c>
      <c r="E11112" s="111" t="str">
        <f t="shared" si="11110"/>
        <v>Staten Island</v>
      </c>
    </row>
    <row r="11113" spans="1:5">
      <c r="A11113" s="3" t="s">
        <v>21862</v>
      </c>
      <c r="B11113" s="110" t="s">
        <v>188</v>
      </c>
      <c r="C11113" s="111" t="s">
        <v>12437</v>
      </c>
      <c r="D11113" s="111" t="str">
        <f t="shared" ref="D11113:E11113" si="11111">TRIM(B11113)</f>
        <v>New York</v>
      </c>
      <c r="E11113" s="111" t="str">
        <f t="shared" si="11111"/>
        <v>Staten Island</v>
      </c>
    </row>
    <row r="11114" spans="1:5">
      <c r="A11114" s="110" t="s">
        <v>21863</v>
      </c>
      <c r="B11114" s="110" t="s">
        <v>188</v>
      </c>
      <c r="C11114" s="111" t="s">
        <v>12437</v>
      </c>
      <c r="D11114" s="111" t="str">
        <f t="shared" ref="D11114:E11114" si="11112">TRIM(B11114)</f>
        <v>New York</v>
      </c>
      <c r="E11114" s="111" t="str">
        <f t="shared" si="11112"/>
        <v>Staten Island</v>
      </c>
    </row>
    <row r="11115" spans="1:5">
      <c r="A11115" s="3" t="s">
        <v>21864</v>
      </c>
      <c r="B11115" s="110" t="s">
        <v>188</v>
      </c>
      <c r="C11115" s="111" t="s">
        <v>12437</v>
      </c>
      <c r="D11115" s="111" t="str">
        <f t="shared" ref="D11115:E11115" si="11113">TRIM(B11115)</f>
        <v>New York</v>
      </c>
      <c r="E11115" s="111" t="str">
        <f t="shared" si="11113"/>
        <v>Staten Island</v>
      </c>
    </row>
    <row r="11116" spans="1:5">
      <c r="A11116" s="3" t="s">
        <v>21865</v>
      </c>
      <c r="B11116" s="110" t="s">
        <v>188</v>
      </c>
      <c r="C11116" s="111" t="s">
        <v>12437</v>
      </c>
      <c r="D11116" s="111" t="str">
        <f t="shared" ref="D11116:E11116" si="11114">TRIM(B11116)</f>
        <v>New York</v>
      </c>
      <c r="E11116" s="111" t="str">
        <f t="shared" si="11114"/>
        <v>Staten Island</v>
      </c>
    </row>
    <row r="11117" spans="1:5">
      <c r="A11117" s="3" t="s">
        <v>21866</v>
      </c>
      <c r="B11117" s="110" t="s">
        <v>188</v>
      </c>
      <c r="C11117" s="111" t="s">
        <v>12437</v>
      </c>
      <c r="D11117" s="111" t="str">
        <f t="shared" ref="D11117:E11117" si="11115">TRIM(B11117)</f>
        <v>New York</v>
      </c>
      <c r="E11117" s="111" t="str">
        <f t="shared" si="11115"/>
        <v>Staten Island</v>
      </c>
    </row>
    <row r="11118" spans="1:5">
      <c r="A11118" s="3" t="s">
        <v>21867</v>
      </c>
      <c r="B11118" s="110" t="s">
        <v>188</v>
      </c>
      <c r="C11118" s="111" t="s">
        <v>12437</v>
      </c>
      <c r="D11118" s="111" t="str">
        <f t="shared" ref="D11118:E11118" si="11116">TRIM(B11118)</f>
        <v>New York</v>
      </c>
      <c r="E11118" s="111" t="str">
        <f t="shared" si="11116"/>
        <v>Staten Island</v>
      </c>
    </row>
    <row r="11119" spans="1:5">
      <c r="A11119" s="3" t="s">
        <v>21868</v>
      </c>
      <c r="B11119" s="110" t="s">
        <v>188</v>
      </c>
      <c r="C11119" s="111" t="s">
        <v>18292</v>
      </c>
      <c r="D11119" s="111" t="str">
        <f t="shared" ref="D11119:E11119" si="11117">TRIM(B11119)</f>
        <v>New York</v>
      </c>
      <c r="E11119" s="111" t="str">
        <f t="shared" si="11117"/>
        <v>Stillwater</v>
      </c>
    </row>
    <row r="11120" spans="1:5">
      <c r="A11120" s="3" t="s">
        <v>21869</v>
      </c>
      <c r="B11120" s="110" t="s">
        <v>188</v>
      </c>
      <c r="C11120" s="111" t="s">
        <v>5074</v>
      </c>
      <c r="D11120" s="111" t="str">
        <f t="shared" ref="D11120:E11120" si="11118">TRIM(B11120)</f>
        <v>New York</v>
      </c>
      <c r="E11120" s="111" t="str">
        <f t="shared" si="11118"/>
        <v>Suffern</v>
      </c>
    </row>
    <row r="11121" spans="1:5">
      <c r="A11121" s="3" t="s">
        <v>21870</v>
      </c>
      <c r="B11121" s="110" t="s">
        <v>188</v>
      </c>
      <c r="C11121" s="111" t="s">
        <v>12444</v>
      </c>
      <c r="D11121" s="111" t="str">
        <f t="shared" ref="D11121:E11121" si="11119">TRIM(B11121)</f>
        <v>New York</v>
      </c>
      <c r="E11121" s="111" t="str">
        <f t="shared" si="11119"/>
        <v>Syosset</v>
      </c>
    </row>
    <row r="11122" spans="1:5">
      <c r="A11122" s="3" t="s">
        <v>4742</v>
      </c>
      <c r="B11122" s="110" t="s">
        <v>188</v>
      </c>
      <c r="C11122" s="111" t="s">
        <v>12293</v>
      </c>
      <c r="D11122" s="111" t="str">
        <f t="shared" ref="D11122:E11122" si="11120">TRIM(B11122)</f>
        <v>New York</v>
      </c>
      <c r="E11122" s="111" t="str">
        <f t="shared" si="11120"/>
        <v>Syracuse</v>
      </c>
    </row>
    <row r="11123" spans="1:5">
      <c r="A11123" s="3" t="s">
        <v>21871</v>
      </c>
      <c r="B11123" s="110" t="s">
        <v>188</v>
      </c>
      <c r="C11123" s="111" t="s">
        <v>12293</v>
      </c>
      <c r="D11123" s="111" t="str">
        <f t="shared" ref="D11123:E11123" si="11121">TRIM(B11123)</f>
        <v>New York</v>
      </c>
      <c r="E11123" s="111" t="str">
        <f t="shared" si="11121"/>
        <v>Syracuse</v>
      </c>
    </row>
    <row r="11124" spans="1:5">
      <c r="A11124" s="110" t="s">
        <v>21872</v>
      </c>
      <c r="B11124" s="110" t="s">
        <v>188</v>
      </c>
      <c r="C11124" s="111" t="s">
        <v>12293</v>
      </c>
      <c r="D11124" s="111" t="str">
        <f t="shared" ref="D11124:E11124" si="11122">TRIM(B11124)</f>
        <v>New York</v>
      </c>
      <c r="E11124" s="111" t="str">
        <f t="shared" si="11122"/>
        <v>Syracuse</v>
      </c>
    </row>
    <row r="11125" spans="1:5">
      <c r="A11125" s="3" t="s">
        <v>21873</v>
      </c>
      <c r="B11125" s="110" t="s">
        <v>188</v>
      </c>
      <c r="C11125" s="111" t="s">
        <v>12293</v>
      </c>
      <c r="D11125" s="111" t="str">
        <f t="shared" ref="D11125:E11125" si="11123">TRIM(B11125)</f>
        <v>New York</v>
      </c>
      <c r="E11125" s="111" t="str">
        <f t="shared" si="11123"/>
        <v>Syracuse</v>
      </c>
    </row>
    <row r="11126" spans="1:5">
      <c r="A11126" s="3" t="s">
        <v>21874</v>
      </c>
      <c r="B11126" s="110" t="s">
        <v>188</v>
      </c>
      <c r="C11126" s="111" t="s">
        <v>12293</v>
      </c>
      <c r="D11126" s="111" t="str">
        <f t="shared" ref="D11126:E11126" si="11124">TRIM(B11126)</f>
        <v>New York</v>
      </c>
      <c r="E11126" s="111" t="str">
        <f t="shared" si="11124"/>
        <v>Syracuse</v>
      </c>
    </row>
    <row r="11127" spans="1:5">
      <c r="A11127" s="3" t="s">
        <v>8689</v>
      </c>
      <c r="B11127" s="110" t="s">
        <v>188</v>
      </c>
      <c r="C11127" s="111" t="s">
        <v>12293</v>
      </c>
      <c r="D11127" s="111" t="str">
        <f t="shared" ref="D11127:E11127" si="11125">TRIM(B11127)</f>
        <v>New York</v>
      </c>
      <c r="E11127" s="111" t="str">
        <f t="shared" si="11125"/>
        <v>Syracuse</v>
      </c>
    </row>
    <row r="11128" spans="1:5">
      <c r="A11128" s="3" t="s">
        <v>21875</v>
      </c>
      <c r="B11128" s="110" t="s">
        <v>188</v>
      </c>
      <c r="C11128" s="111" t="s">
        <v>21876</v>
      </c>
      <c r="D11128" s="111" t="str">
        <f t="shared" ref="D11128:E11128" si="11126">TRIM(B11128)</f>
        <v>New York</v>
      </c>
      <c r="E11128" s="111" t="str">
        <f t="shared" si="11126"/>
        <v>Tannersville</v>
      </c>
    </row>
    <row r="11129" spans="1:5">
      <c r="A11129" s="3" t="s">
        <v>21877</v>
      </c>
      <c r="B11129" s="110" t="s">
        <v>188</v>
      </c>
      <c r="C11129" s="111" t="s">
        <v>21878</v>
      </c>
      <c r="D11129" s="111" t="str">
        <f t="shared" ref="D11129:E11129" si="11127">TRIM(B11129)</f>
        <v>New York</v>
      </c>
      <c r="E11129" s="111" t="str">
        <f t="shared" si="11127"/>
        <v>Thiells</v>
      </c>
    </row>
    <row r="11130" spans="1:5">
      <c r="A11130" s="3" t="s">
        <v>7477</v>
      </c>
      <c r="B11130" s="110" t="s">
        <v>188</v>
      </c>
      <c r="C11130" s="111" t="s">
        <v>21879</v>
      </c>
      <c r="D11130" s="111" t="str">
        <f t="shared" ref="D11130:E11130" si="11128">TRIM(B11130)</f>
        <v>New York</v>
      </c>
      <c r="E11130" s="111" t="str">
        <f t="shared" si="11128"/>
        <v>Thornwood</v>
      </c>
    </row>
    <row r="11131" spans="1:5">
      <c r="A11131" s="3" t="s">
        <v>21880</v>
      </c>
      <c r="B11131" s="110" t="s">
        <v>188</v>
      </c>
      <c r="C11131" s="111" t="s">
        <v>21881</v>
      </c>
      <c r="D11131" s="111" t="str">
        <f t="shared" ref="D11131:E11131" si="11129">TRIM(B11131)</f>
        <v>New York</v>
      </c>
      <c r="E11131" s="111" t="str">
        <f t="shared" si="11129"/>
        <v>Ticonderoga</v>
      </c>
    </row>
    <row r="11132" spans="1:5">
      <c r="A11132" s="3" t="s">
        <v>21882</v>
      </c>
      <c r="B11132" s="110" t="s">
        <v>188</v>
      </c>
      <c r="C11132" s="111" t="s">
        <v>21883</v>
      </c>
      <c r="D11132" s="111" t="str">
        <f t="shared" ref="D11132:E11132" si="11130">TRIM(B11132)</f>
        <v>New York</v>
      </c>
      <c r="E11132" s="111" t="str">
        <f t="shared" si="11130"/>
        <v>Tioga Center</v>
      </c>
    </row>
    <row r="11133" spans="1:5">
      <c r="A11133" s="3" t="s">
        <v>21884</v>
      </c>
      <c r="B11133" s="110" t="s">
        <v>188</v>
      </c>
      <c r="C11133" s="111" t="s">
        <v>21885</v>
      </c>
      <c r="D11133" s="111" t="str">
        <f t="shared" ref="D11133:E11133" si="11131">TRIM(B11133)</f>
        <v>New York</v>
      </c>
      <c r="E11133" s="111" t="str">
        <f t="shared" si="11131"/>
        <v>Tonawanda</v>
      </c>
    </row>
    <row r="11134" spans="1:5">
      <c r="A11134" s="3" t="s">
        <v>21886</v>
      </c>
      <c r="B11134" s="110" t="s">
        <v>188</v>
      </c>
      <c r="C11134" s="111" t="s">
        <v>21885</v>
      </c>
      <c r="D11134" s="111" t="str">
        <f t="shared" ref="D11134:E11134" si="11132">TRIM(B11134)</f>
        <v>New York</v>
      </c>
      <c r="E11134" s="111" t="str">
        <f t="shared" si="11132"/>
        <v>Tonawanda</v>
      </c>
    </row>
    <row r="11135" spans="1:5">
      <c r="A11135" s="3" t="s">
        <v>21887</v>
      </c>
      <c r="B11135" s="110" t="s">
        <v>188</v>
      </c>
      <c r="C11135" s="111" t="s">
        <v>2228</v>
      </c>
      <c r="D11135" s="111" t="str">
        <f t="shared" ref="D11135:E11135" si="11133">TRIM(B11135)</f>
        <v>New York</v>
      </c>
      <c r="E11135" s="111" t="str">
        <f t="shared" si="11133"/>
        <v>Troy</v>
      </c>
    </row>
    <row r="11136" spans="1:5">
      <c r="A11136" s="3" t="s">
        <v>21888</v>
      </c>
      <c r="B11136" s="110" t="s">
        <v>188</v>
      </c>
      <c r="C11136" s="111" t="s">
        <v>2228</v>
      </c>
      <c r="D11136" s="111" t="str">
        <f t="shared" ref="D11136:E11136" si="11134">TRIM(B11136)</f>
        <v>New York</v>
      </c>
      <c r="E11136" s="111" t="str">
        <f t="shared" si="11134"/>
        <v>Troy</v>
      </c>
    </row>
    <row r="11137" spans="1:5">
      <c r="A11137" s="3" t="s">
        <v>5114</v>
      </c>
      <c r="B11137" s="110" t="s">
        <v>188</v>
      </c>
      <c r="C11137" s="111" t="s">
        <v>2228</v>
      </c>
      <c r="D11137" s="111" t="str">
        <f t="shared" ref="D11137:E11137" si="11135">TRIM(B11137)</f>
        <v>New York</v>
      </c>
      <c r="E11137" s="111" t="str">
        <f t="shared" si="11135"/>
        <v>Troy</v>
      </c>
    </row>
    <row r="11138" spans="1:5">
      <c r="A11138" s="3" t="s">
        <v>21889</v>
      </c>
      <c r="B11138" s="110" t="s">
        <v>188</v>
      </c>
      <c r="C11138" s="111" t="s">
        <v>21890</v>
      </c>
      <c r="D11138" s="111" t="str">
        <f t="shared" ref="D11138:E11138" si="11136">TRIM(B11138)</f>
        <v>New York</v>
      </c>
      <c r="E11138" s="111" t="str">
        <f t="shared" si="11136"/>
        <v>Trumansburg</v>
      </c>
    </row>
    <row r="11139" spans="1:5">
      <c r="A11139" s="3" t="s">
        <v>21891</v>
      </c>
      <c r="B11139" s="110" t="s">
        <v>188</v>
      </c>
      <c r="C11139" s="111" t="s">
        <v>21892</v>
      </c>
      <c r="D11139" s="111" t="str">
        <f t="shared" ref="D11139:E11139" si="11137">TRIM(B11139)</f>
        <v>New York</v>
      </c>
      <c r="E11139" s="111" t="str">
        <f t="shared" si="11137"/>
        <v>Tully</v>
      </c>
    </row>
    <row r="11140" spans="1:5">
      <c r="A11140" s="3" t="s">
        <v>21893</v>
      </c>
      <c r="B11140" s="110" t="s">
        <v>188</v>
      </c>
      <c r="C11140" s="111" t="s">
        <v>21894</v>
      </c>
      <c r="D11140" s="111" t="str">
        <f t="shared" ref="D11140:E11140" si="11138">TRIM(B11140)</f>
        <v>New York</v>
      </c>
      <c r="E11140" s="111" t="str">
        <f t="shared" si="11138"/>
        <v>Tupper Lake</v>
      </c>
    </row>
    <row r="11141" spans="1:5">
      <c r="A11141" s="3" t="s">
        <v>21895</v>
      </c>
      <c r="B11141" s="110" t="s">
        <v>188</v>
      </c>
      <c r="C11141" s="111" t="s">
        <v>21896</v>
      </c>
      <c r="D11141" s="111" t="str">
        <f t="shared" ref="D11141:E11141" si="11139">TRIM(B11141)</f>
        <v>New York</v>
      </c>
      <c r="E11141" s="111" t="str">
        <f t="shared" si="11139"/>
        <v>Turin</v>
      </c>
    </row>
    <row r="11142" spans="1:5">
      <c r="A11142" s="3" t="s">
        <v>21897</v>
      </c>
      <c r="B11142" s="110" t="s">
        <v>188</v>
      </c>
      <c r="C11142" s="111" t="s">
        <v>21898</v>
      </c>
      <c r="D11142" s="111" t="str">
        <f t="shared" ref="D11142:E11142" si="11140">TRIM(B11142)</f>
        <v>New York</v>
      </c>
      <c r="E11142" s="111" t="str">
        <f t="shared" si="11140"/>
        <v>Tuxedo Park</v>
      </c>
    </row>
    <row r="11143" spans="1:5">
      <c r="A11143" s="3" t="s">
        <v>21899</v>
      </c>
      <c r="B11143" s="110" t="s">
        <v>188</v>
      </c>
      <c r="C11143" s="111" t="s">
        <v>2251</v>
      </c>
      <c r="D11143" s="111" t="str">
        <f t="shared" ref="D11143:E11143" si="11141">TRIM(B11143)</f>
        <v>New York</v>
      </c>
      <c r="E11143" s="111" t="str">
        <f t="shared" si="11141"/>
        <v>Union Springs</v>
      </c>
    </row>
    <row r="11144" spans="1:5">
      <c r="A11144" s="3" t="s">
        <v>21900</v>
      </c>
      <c r="B11144" s="110" t="s">
        <v>188</v>
      </c>
      <c r="C11144" s="111" t="s">
        <v>12360</v>
      </c>
      <c r="D11144" s="111" t="str">
        <f t="shared" ref="D11144:E11144" si="11142">TRIM(B11144)</f>
        <v>New York</v>
      </c>
      <c r="E11144" s="111" t="str">
        <f t="shared" si="11142"/>
        <v>Uniondale</v>
      </c>
    </row>
    <row r="11145" spans="1:5">
      <c r="A11145" s="3" t="s">
        <v>21901</v>
      </c>
      <c r="B11145" s="110" t="s">
        <v>188</v>
      </c>
      <c r="C11145" s="111" t="s">
        <v>313</v>
      </c>
      <c r="D11145" s="111" t="str">
        <f t="shared" ref="D11145:E11145" si="11143">TRIM(B11145)</f>
        <v>New York</v>
      </c>
      <c r="E11145" s="111" t="str">
        <f t="shared" si="11143"/>
        <v>Utica</v>
      </c>
    </row>
    <row r="11146" spans="1:5">
      <c r="A11146" s="3" t="s">
        <v>21902</v>
      </c>
      <c r="B11146" s="110" t="s">
        <v>188</v>
      </c>
      <c r="C11146" s="111" t="s">
        <v>21903</v>
      </c>
      <c r="D11146" s="111" t="str">
        <f t="shared" ref="D11146:E11146" si="11144">TRIM(B11146)</f>
        <v>New York</v>
      </c>
      <c r="E11146" s="111" t="str">
        <f t="shared" si="11144"/>
        <v>Valatie</v>
      </c>
    </row>
    <row r="11147" spans="1:5">
      <c r="A11147" s="3" t="s">
        <v>4884</v>
      </c>
      <c r="B11147" s="110" t="s">
        <v>188</v>
      </c>
      <c r="C11147" s="111" t="s">
        <v>21904</v>
      </c>
      <c r="D11147" s="111" t="str">
        <f t="shared" ref="D11147:E11147" si="11145">TRIM(B11147)</f>
        <v>New York</v>
      </c>
      <c r="E11147" s="111" t="str">
        <f t="shared" si="11145"/>
        <v>Valhalla</v>
      </c>
    </row>
    <row r="11148" spans="1:5">
      <c r="A11148" s="3" t="s">
        <v>21905</v>
      </c>
      <c r="B11148" s="110" t="s">
        <v>188</v>
      </c>
      <c r="C11148" s="111" t="s">
        <v>21906</v>
      </c>
      <c r="D11148" s="111" t="str">
        <f t="shared" ref="D11148:E11148" si="11146">TRIM(B11148)</f>
        <v>New York</v>
      </c>
      <c r="E11148" s="111" t="str">
        <f t="shared" si="11146"/>
        <v>Valley Stream</v>
      </c>
    </row>
    <row r="11149" spans="1:5">
      <c r="A11149" s="3" t="s">
        <v>21907</v>
      </c>
      <c r="B11149" s="110" t="s">
        <v>188</v>
      </c>
      <c r="C11149" s="111" t="s">
        <v>21906</v>
      </c>
      <c r="D11149" s="111" t="str">
        <f t="shared" ref="D11149:E11149" si="11147">TRIM(B11149)</f>
        <v>New York</v>
      </c>
      <c r="E11149" s="111" t="str">
        <f t="shared" si="11147"/>
        <v>Valley Stream</v>
      </c>
    </row>
    <row r="11150" spans="1:5">
      <c r="A11150" s="3" t="s">
        <v>21908</v>
      </c>
      <c r="B11150" s="110" t="s">
        <v>188</v>
      </c>
      <c r="C11150" s="111" t="s">
        <v>19205</v>
      </c>
      <c r="D11150" s="111" t="str">
        <f t="shared" ref="D11150:E11150" si="11148">TRIM(B11150)</f>
        <v>New York</v>
      </c>
      <c r="E11150" s="111" t="str">
        <f t="shared" si="11148"/>
        <v>Verona</v>
      </c>
    </row>
    <row r="11151" spans="1:5">
      <c r="A11151" s="3" t="s">
        <v>21909</v>
      </c>
      <c r="B11151" s="110" t="s">
        <v>188</v>
      </c>
      <c r="C11151" s="111" t="s">
        <v>21910</v>
      </c>
      <c r="D11151" s="111" t="str">
        <f t="shared" ref="D11151:E11151" si="11149">TRIM(B11151)</f>
        <v>New York</v>
      </c>
      <c r="E11151" s="111" t="str">
        <f t="shared" si="11149"/>
        <v>Vestal</v>
      </c>
    </row>
    <row r="11152" spans="1:5">
      <c r="A11152" s="3" t="s">
        <v>21911</v>
      </c>
      <c r="B11152" s="110" t="s">
        <v>188</v>
      </c>
      <c r="C11152" s="111" t="s">
        <v>4686</v>
      </c>
      <c r="D11152" s="111" t="str">
        <f t="shared" ref="D11152:E11152" si="11150">TRIM(B11152)</f>
        <v>New York</v>
      </c>
      <c r="E11152" s="111" t="str">
        <f t="shared" si="11150"/>
        <v>Victor</v>
      </c>
    </row>
    <row r="11153" spans="1:5">
      <c r="A11153" s="3" t="s">
        <v>21912</v>
      </c>
      <c r="B11153" s="110" t="s">
        <v>188</v>
      </c>
      <c r="C11153" s="111" t="s">
        <v>21913</v>
      </c>
      <c r="D11153" s="111" t="str">
        <f t="shared" ref="D11153:E11153" si="11151">TRIM(B11153)</f>
        <v>New York</v>
      </c>
      <c r="E11153" s="111" t="str">
        <f t="shared" si="11151"/>
        <v>Voorheesville</v>
      </c>
    </row>
    <row r="11154" spans="1:5">
      <c r="A11154" s="3" t="s">
        <v>21914</v>
      </c>
      <c r="B11154" s="110" t="s">
        <v>188</v>
      </c>
      <c r="C11154" s="111" t="s">
        <v>21915</v>
      </c>
      <c r="D11154" s="111" t="str">
        <f t="shared" ref="D11154:E11154" si="11152">TRIM(B11154)</f>
        <v>New York</v>
      </c>
      <c r="E11154" s="111" t="str">
        <f t="shared" si="11152"/>
        <v>Wallkill</v>
      </c>
    </row>
    <row r="11155" spans="1:5">
      <c r="A11155" s="3" t="s">
        <v>9150</v>
      </c>
      <c r="B11155" s="110" t="s">
        <v>188</v>
      </c>
      <c r="C11155" s="111" t="s">
        <v>14654</v>
      </c>
      <c r="D11155" s="111" t="str">
        <f t="shared" ref="D11155:E11155" si="11153">TRIM(B11155)</f>
        <v>New York</v>
      </c>
      <c r="E11155" s="111" t="str">
        <f t="shared" si="11153"/>
        <v>Walton</v>
      </c>
    </row>
    <row r="11156" spans="1:5">
      <c r="A11156" s="3" t="s">
        <v>21916</v>
      </c>
      <c r="B11156" s="110" t="s">
        <v>188</v>
      </c>
      <c r="C11156" s="111" t="s">
        <v>21917</v>
      </c>
      <c r="D11156" s="111" t="str">
        <f t="shared" ref="D11156:E11156" si="11154">TRIM(B11156)</f>
        <v>New York</v>
      </c>
      <c r="E11156" s="111" t="str">
        <f t="shared" si="11154"/>
        <v>Walworth</v>
      </c>
    </row>
    <row r="11157" spans="1:5">
      <c r="A11157" s="3" t="s">
        <v>21918</v>
      </c>
      <c r="B11157" s="110" t="s">
        <v>188</v>
      </c>
      <c r="C11157" s="111" t="s">
        <v>395</v>
      </c>
      <c r="D11157" s="111" t="str">
        <f t="shared" ref="D11157:E11157" si="11155">TRIM(B11157)</f>
        <v>New York</v>
      </c>
      <c r="E11157" s="111" t="str">
        <f t="shared" si="11155"/>
        <v>Wantagh</v>
      </c>
    </row>
    <row r="11158" spans="1:5">
      <c r="A11158" s="3" t="s">
        <v>21919</v>
      </c>
      <c r="B11158" s="110" t="s">
        <v>188</v>
      </c>
      <c r="C11158" s="113" t="s">
        <v>21920</v>
      </c>
      <c r="D11158" s="111" t="str">
        <f t="shared" ref="D11158:E11158" si="11156">TRIM(B11158)</f>
        <v>New York</v>
      </c>
      <c r="E11158" s="111" t="str">
        <f t="shared" si="11156"/>
        <v>Wappingers Falls</v>
      </c>
    </row>
    <row r="11159" spans="1:5">
      <c r="A11159" s="3" t="s">
        <v>21921</v>
      </c>
      <c r="B11159" s="110" t="s">
        <v>188</v>
      </c>
      <c r="C11159" s="111" t="s">
        <v>13975</v>
      </c>
      <c r="D11159" s="111" t="str">
        <f t="shared" ref="D11159:E11159" si="11157">TRIM(B11159)</f>
        <v>New York</v>
      </c>
      <c r="E11159" s="111" t="str">
        <f t="shared" si="11157"/>
        <v>Warrensburg</v>
      </c>
    </row>
    <row r="11160" spans="1:5">
      <c r="A11160" s="3" t="s">
        <v>21922</v>
      </c>
      <c r="B11160" s="110" t="s">
        <v>188</v>
      </c>
      <c r="C11160" s="111" t="s">
        <v>13979</v>
      </c>
      <c r="D11160" s="111" t="str">
        <f t="shared" ref="D11160:E11160" si="11158">TRIM(B11160)</f>
        <v>New York</v>
      </c>
      <c r="E11160" s="111" t="str">
        <f t="shared" si="11158"/>
        <v>Warsaw</v>
      </c>
    </row>
    <row r="11161" spans="1:5">
      <c r="A11161" s="3" t="s">
        <v>21923</v>
      </c>
      <c r="B11161" s="110" t="s">
        <v>188</v>
      </c>
      <c r="C11161" s="111" t="s">
        <v>13273</v>
      </c>
      <c r="D11161" s="111" t="str">
        <f t="shared" ref="D11161:E11161" si="11159">TRIM(B11161)</f>
        <v>New York</v>
      </c>
      <c r="E11161" s="111" t="str">
        <f t="shared" si="11159"/>
        <v>Warwick</v>
      </c>
    </row>
    <row r="11162" spans="1:5">
      <c r="A11162" s="3" t="s">
        <v>21924</v>
      </c>
      <c r="B11162" s="110" t="s">
        <v>188</v>
      </c>
      <c r="C11162" s="111" t="s">
        <v>21925</v>
      </c>
      <c r="D11162" s="111" t="str">
        <f t="shared" ref="D11162:E11162" si="11160">TRIM(B11162)</f>
        <v>New York</v>
      </c>
      <c r="E11162" s="111" t="str">
        <f t="shared" si="11160"/>
        <v>Washingtonville</v>
      </c>
    </row>
    <row r="11163" spans="1:5">
      <c r="A11163" s="3" t="s">
        <v>21926</v>
      </c>
      <c r="B11163" s="110" t="s">
        <v>188</v>
      </c>
      <c r="C11163" s="111" t="s">
        <v>334</v>
      </c>
      <c r="D11163" s="111" t="str">
        <f t="shared" ref="D11163:E11163" si="11161">TRIM(B11163)</f>
        <v>New York</v>
      </c>
      <c r="E11163" s="111" t="str">
        <f t="shared" si="11161"/>
        <v>Waterford</v>
      </c>
    </row>
    <row r="11164" spans="1:5">
      <c r="A11164" s="3" t="s">
        <v>13988</v>
      </c>
      <c r="B11164" s="110" t="s">
        <v>188</v>
      </c>
      <c r="C11164" s="111" t="s">
        <v>13990</v>
      </c>
      <c r="D11164" s="111" t="str">
        <f t="shared" ref="D11164:E11164" si="11162">TRIM(B11164)</f>
        <v>New York</v>
      </c>
      <c r="E11164" s="111" t="str">
        <f t="shared" si="11162"/>
        <v>Waterloo</v>
      </c>
    </row>
    <row r="11165" spans="1:5">
      <c r="A11165" s="3" t="s">
        <v>21927</v>
      </c>
      <c r="B11165" s="110" t="s">
        <v>188</v>
      </c>
      <c r="C11165" s="111" t="s">
        <v>8737</v>
      </c>
      <c r="D11165" s="111" t="str">
        <f t="shared" ref="D11165:E11165" si="11163">TRIM(B11165)</f>
        <v>New York</v>
      </c>
      <c r="E11165" s="111" t="str">
        <f t="shared" si="11163"/>
        <v>Watertown</v>
      </c>
    </row>
    <row r="11166" spans="1:5">
      <c r="A11166" s="3" t="s">
        <v>21928</v>
      </c>
      <c r="B11166" s="110" t="s">
        <v>188</v>
      </c>
      <c r="C11166" s="111" t="s">
        <v>11028</v>
      </c>
      <c r="D11166" s="111" t="str">
        <f t="shared" ref="D11166:E11166" si="11164">TRIM(B11166)</f>
        <v>New York</v>
      </c>
      <c r="E11166" s="111" t="str">
        <f t="shared" si="11164"/>
        <v>Waterville</v>
      </c>
    </row>
    <row r="11167" spans="1:5">
      <c r="A11167" s="3" t="s">
        <v>21929</v>
      </c>
      <c r="B11167" s="110" t="s">
        <v>188</v>
      </c>
      <c r="C11167" s="111" t="s">
        <v>17656</v>
      </c>
      <c r="D11167" s="111" t="str">
        <f t="shared" ref="D11167:E11167" si="11165">TRIM(B11167)</f>
        <v>New York</v>
      </c>
      <c r="E11167" s="111" t="str">
        <f t="shared" si="11165"/>
        <v>Watervliet</v>
      </c>
    </row>
    <row r="11168" spans="1:5">
      <c r="A11168" s="3" t="s">
        <v>21930</v>
      </c>
      <c r="B11168" s="110" t="s">
        <v>188</v>
      </c>
      <c r="C11168" s="111" t="s">
        <v>21931</v>
      </c>
      <c r="D11168" s="111" t="str">
        <f t="shared" ref="D11168:E11168" si="11166">TRIM(B11168)</f>
        <v>New York</v>
      </c>
      <c r="E11168" s="111" t="str">
        <f t="shared" si="11166"/>
        <v>Watkins Glen</v>
      </c>
    </row>
    <row r="11169" spans="1:5">
      <c r="A11169" s="3" t="s">
        <v>15575</v>
      </c>
      <c r="B11169" s="110" t="s">
        <v>188</v>
      </c>
      <c r="C11169" s="111" t="s">
        <v>517</v>
      </c>
      <c r="D11169" s="111" t="str">
        <f t="shared" ref="D11169:E11169" si="11167">TRIM(B11169)</f>
        <v>New York</v>
      </c>
      <c r="E11169" s="111" t="str">
        <f t="shared" si="11167"/>
        <v>Waverly</v>
      </c>
    </row>
    <row r="11170" spans="1:5">
      <c r="A11170" s="3" t="s">
        <v>21932</v>
      </c>
      <c r="B11170" s="110" t="s">
        <v>188</v>
      </c>
      <c r="C11170" s="111" t="s">
        <v>15114</v>
      </c>
      <c r="D11170" s="111" t="str">
        <f t="shared" ref="D11170:E11170" si="11168">TRIM(B11170)</f>
        <v>New York</v>
      </c>
      <c r="E11170" s="111" t="str">
        <f t="shared" si="11168"/>
        <v>Wayland</v>
      </c>
    </row>
    <row r="11171" spans="1:5">
      <c r="A11171" s="3" t="s">
        <v>21933</v>
      </c>
      <c r="B11171" s="110" t="s">
        <v>188</v>
      </c>
      <c r="C11171" s="111" t="s">
        <v>12392</v>
      </c>
      <c r="D11171" s="111" t="str">
        <f t="shared" ref="D11171:E11171" si="11169">TRIM(B11171)</f>
        <v>New York</v>
      </c>
      <c r="E11171" s="111" t="str">
        <f t="shared" si="11169"/>
        <v>Webster</v>
      </c>
    </row>
    <row r="11172" spans="1:5">
      <c r="A11172" s="3" t="s">
        <v>21934</v>
      </c>
      <c r="B11172" s="110" t="s">
        <v>188</v>
      </c>
      <c r="C11172" s="111" t="s">
        <v>12392</v>
      </c>
      <c r="D11172" s="111" t="str">
        <f t="shared" ref="D11172:E11172" si="11170">TRIM(B11172)</f>
        <v>New York</v>
      </c>
      <c r="E11172" s="111" t="str">
        <f t="shared" si="11170"/>
        <v>Webster</v>
      </c>
    </row>
    <row r="11173" spans="1:5">
      <c r="A11173" s="3" t="s">
        <v>21935</v>
      </c>
      <c r="B11173" s="110" t="s">
        <v>188</v>
      </c>
      <c r="C11173" s="111" t="s">
        <v>21936</v>
      </c>
      <c r="D11173" s="111" t="str">
        <f t="shared" ref="D11173:E11173" si="11171">TRIM(B11173)</f>
        <v>New York</v>
      </c>
      <c r="E11173" s="111" t="str">
        <f t="shared" si="11171"/>
        <v>Weedsport</v>
      </c>
    </row>
    <row r="11174" spans="1:5">
      <c r="A11174" s="110" t="s">
        <v>21937</v>
      </c>
      <c r="B11174" s="110" t="s">
        <v>188</v>
      </c>
      <c r="C11174" s="111" t="s">
        <v>15577</v>
      </c>
      <c r="D11174" s="111" t="str">
        <f t="shared" ref="D11174:E11174" si="11172">TRIM(B11174)</f>
        <v>New York</v>
      </c>
      <c r="E11174" s="111" t="str">
        <f t="shared" si="11172"/>
        <v>Wellsville</v>
      </c>
    </row>
    <row r="11175" spans="1:5">
      <c r="A11175" s="3" t="s">
        <v>21938</v>
      </c>
      <c r="B11175" s="110" t="s">
        <v>188</v>
      </c>
      <c r="C11175" s="111" t="s">
        <v>21939</v>
      </c>
      <c r="D11175" s="111" t="str">
        <f t="shared" ref="D11175:E11175" si="11173">TRIM(B11175)</f>
        <v>New York</v>
      </c>
      <c r="E11175" s="111" t="str">
        <f t="shared" si="11173"/>
        <v>West Babylon</v>
      </c>
    </row>
    <row r="11176" spans="1:5">
      <c r="A11176" s="3" t="s">
        <v>21940</v>
      </c>
      <c r="B11176" s="110" t="s">
        <v>188</v>
      </c>
      <c r="C11176" s="111" t="s">
        <v>21941</v>
      </c>
      <c r="D11176" s="111" t="str">
        <f t="shared" ref="D11176:E11176" si="11174">TRIM(B11176)</f>
        <v>New York</v>
      </c>
      <c r="E11176" s="111" t="str">
        <f t="shared" si="11174"/>
        <v>West Chazy</v>
      </c>
    </row>
    <row r="11177" spans="1:5">
      <c r="A11177" s="3" t="s">
        <v>21942</v>
      </c>
      <c r="B11177" s="110" t="s">
        <v>188</v>
      </c>
      <c r="C11177" s="113" t="s">
        <v>21943</v>
      </c>
      <c r="D11177" s="111" t="str">
        <f t="shared" ref="D11177:E11177" si="11175">TRIM(B11177)</f>
        <v>New York</v>
      </c>
      <c r="E11177" s="111" t="str">
        <f t="shared" si="11175"/>
        <v>West Hempstead</v>
      </c>
    </row>
    <row r="11178" spans="1:5">
      <c r="A11178" s="3" t="s">
        <v>21944</v>
      </c>
      <c r="B11178" s="110" t="s">
        <v>188</v>
      </c>
      <c r="C11178" s="111" t="s">
        <v>21945</v>
      </c>
      <c r="D11178" s="111" t="str">
        <f t="shared" ref="D11178:E11178" si="11176">TRIM(B11178)</f>
        <v>New York</v>
      </c>
      <c r="E11178" s="111" t="str">
        <f t="shared" si="11176"/>
        <v>West Islip</v>
      </c>
    </row>
    <row r="11179" spans="1:5">
      <c r="A11179" s="3" t="s">
        <v>21946</v>
      </c>
      <c r="B11179" s="110" t="s">
        <v>188</v>
      </c>
      <c r="C11179" s="111" t="s">
        <v>21947</v>
      </c>
      <c r="D11179" s="111" t="str">
        <f t="shared" ref="D11179:E11179" si="11177">TRIM(B11179)</f>
        <v>New York</v>
      </c>
      <c r="E11179" s="111" t="str">
        <f t="shared" si="11177"/>
        <v>West Nyack</v>
      </c>
    </row>
    <row r="11180" spans="1:5">
      <c r="A11180" s="3" t="s">
        <v>21948</v>
      </c>
      <c r="B11180" s="110" t="s">
        <v>188</v>
      </c>
      <c r="C11180" s="111" t="s">
        <v>21949</v>
      </c>
      <c r="D11180" s="111" t="str">
        <f t="shared" ref="D11180:E11180" si="11178">TRIM(B11180)</f>
        <v>New York</v>
      </c>
      <c r="E11180" s="111" t="str">
        <f t="shared" si="11178"/>
        <v>West Sayville</v>
      </c>
    </row>
    <row r="11181" spans="1:5">
      <c r="A11181" s="3" t="s">
        <v>21950</v>
      </c>
      <c r="B11181" s="110" t="s">
        <v>188</v>
      </c>
      <c r="C11181" s="111" t="s">
        <v>21951</v>
      </c>
      <c r="D11181" s="111" t="str">
        <f t="shared" ref="D11181:E11181" si="11179">TRIM(B11181)</f>
        <v>New York</v>
      </c>
      <c r="E11181" s="111" t="str">
        <f t="shared" si="11179"/>
        <v>West Seneca</v>
      </c>
    </row>
    <row r="11182" spans="1:5">
      <c r="A11182" s="3" t="s">
        <v>21952</v>
      </c>
      <c r="B11182" s="110" t="s">
        <v>188</v>
      </c>
      <c r="C11182" s="111" t="s">
        <v>21951</v>
      </c>
      <c r="D11182" s="111" t="str">
        <f t="shared" ref="D11182:E11182" si="11180">TRIM(B11182)</f>
        <v>New York</v>
      </c>
      <c r="E11182" s="111" t="str">
        <f t="shared" si="11180"/>
        <v>West Seneca</v>
      </c>
    </row>
    <row r="11183" spans="1:5">
      <c r="A11183" s="3" t="s">
        <v>21953</v>
      </c>
      <c r="B11183" s="110" t="s">
        <v>188</v>
      </c>
      <c r="C11183" s="111" t="s">
        <v>21954</v>
      </c>
      <c r="D11183" s="111" t="str">
        <f t="shared" ref="D11183:E11183" si="11181">TRIM(B11183)</f>
        <v>New York</v>
      </c>
      <c r="E11183" s="111" t="str">
        <f t="shared" si="11181"/>
        <v>West Winfield</v>
      </c>
    </row>
    <row r="11184" spans="1:5">
      <c r="A11184" s="3" t="s">
        <v>21955</v>
      </c>
      <c r="B11184" s="110" t="s">
        <v>188</v>
      </c>
      <c r="C11184" s="111" t="s">
        <v>21956</v>
      </c>
      <c r="D11184" s="111" t="str">
        <f t="shared" ref="D11184:E11184" si="11182">TRIM(B11184)</f>
        <v>New York</v>
      </c>
      <c r="E11184" s="111" t="str">
        <f t="shared" si="11182"/>
        <v>Westbury</v>
      </c>
    </row>
    <row r="11185" spans="1:5">
      <c r="A11185" s="3" t="s">
        <v>14662</v>
      </c>
      <c r="B11185" s="110" t="s">
        <v>188</v>
      </c>
      <c r="C11185" s="111" t="s">
        <v>6783</v>
      </c>
      <c r="D11185" s="111" t="str">
        <f t="shared" ref="D11185:E11185" si="11183">TRIM(B11185)</f>
        <v>New York</v>
      </c>
      <c r="E11185" s="111" t="str">
        <f t="shared" si="11183"/>
        <v>Westfield</v>
      </c>
    </row>
    <row r="11186" spans="1:5">
      <c r="A11186" s="3" t="s">
        <v>21957</v>
      </c>
      <c r="B11186" s="110" t="s">
        <v>188</v>
      </c>
      <c r="C11186" s="113" t="s">
        <v>21958</v>
      </c>
      <c r="D11186" s="111" t="str">
        <f t="shared" ref="D11186:E11186" si="11184">TRIM(B11186)</f>
        <v>New York</v>
      </c>
      <c r="E11186" s="111" t="str">
        <f t="shared" si="11184"/>
        <v>Westhampton Beach</v>
      </c>
    </row>
    <row r="11187" spans="1:5">
      <c r="A11187" s="3" t="s">
        <v>21959</v>
      </c>
      <c r="B11187" s="110" t="s">
        <v>188</v>
      </c>
      <c r="C11187" s="111" t="s">
        <v>21960</v>
      </c>
      <c r="D11187" s="111" t="str">
        <f t="shared" ref="D11187:E11187" si="11185">TRIM(B11187)</f>
        <v>New York</v>
      </c>
      <c r="E11187" s="111" t="str">
        <f t="shared" si="11185"/>
        <v>Westmoreland</v>
      </c>
    </row>
    <row r="11188" spans="1:5">
      <c r="A11188" s="3" t="s">
        <v>21961</v>
      </c>
      <c r="B11188" s="110" t="s">
        <v>188</v>
      </c>
      <c r="C11188" s="112" t="s">
        <v>11163</v>
      </c>
      <c r="D11188" s="111" t="str">
        <f t="shared" ref="D11188:E11188" si="11186">TRIM(B11188)</f>
        <v>New York</v>
      </c>
      <c r="E11188" s="111" t="str">
        <f t="shared" si="11186"/>
        <v>White Plains</v>
      </c>
    </row>
    <row r="11189" spans="1:5">
      <c r="A11189" s="3" t="s">
        <v>21962</v>
      </c>
      <c r="B11189" s="110" t="s">
        <v>188</v>
      </c>
      <c r="C11189" s="111" t="s">
        <v>17672</v>
      </c>
      <c r="D11189" s="111" t="str">
        <f t="shared" ref="D11189:E11189" si="11187">TRIM(B11189)</f>
        <v>New York</v>
      </c>
      <c r="E11189" s="111" t="str">
        <f t="shared" si="11187"/>
        <v>Whitehall</v>
      </c>
    </row>
    <row r="11190" spans="1:5">
      <c r="A11190" s="3" t="s">
        <v>21963</v>
      </c>
      <c r="B11190" s="110" t="s">
        <v>188</v>
      </c>
      <c r="C11190" s="111" t="s">
        <v>21964</v>
      </c>
      <c r="D11190" s="111" t="str">
        <f t="shared" ref="D11190:E11190" si="11188">TRIM(B11190)</f>
        <v>New York</v>
      </c>
      <c r="E11190" s="111" t="str">
        <f t="shared" si="11188"/>
        <v>Whitney Point</v>
      </c>
    </row>
    <row r="11191" spans="1:5">
      <c r="A11191" s="3" t="s">
        <v>21965</v>
      </c>
      <c r="B11191" s="110" t="s">
        <v>188</v>
      </c>
      <c r="C11191" s="111" t="s">
        <v>21966</v>
      </c>
      <c r="D11191" s="111" t="str">
        <f t="shared" ref="D11191:E11191" si="11189">TRIM(B11191)</f>
        <v>New York</v>
      </c>
      <c r="E11191" s="111" t="str">
        <f t="shared" si="11189"/>
        <v>Williamson</v>
      </c>
    </row>
    <row r="11192" spans="1:5">
      <c r="A11192" s="3" t="s">
        <v>21967</v>
      </c>
      <c r="B11192" s="110" t="s">
        <v>188</v>
      </c>
      <c r="C11192" s="111" t="s">
        <v>14036</v>
      </c>
      <c r="D11192" s="111" t="str">
        <f t="shared" ref="D11192:E11192" si="11190">TRIM(B11192)</f>
        <v>New York</v>
      </c>
      <c r="E11192" s="111" t="str">
        <f t="shared" si="11190"/>
        <v>Williamsville</v>
      </c>
    </row>
    <row r="11193" spans="1:5">
      <c r="A11193" s="3" t="s">
        <v>21968</v>
      </c>
      <c r="B11193" s="110" t="s">
        <v>188</v>
      </c>
      <c r="C11193" s="111" t="s">
        <v>14036</v>
      </c>
      <c r="D11193" s="111" t="str">
        <f t="shared" ref="D11193:E11193" si="11191">TRIM(B11193)</f>
        <v>New York</v>
      </c>
      <c r="E11193" s="111" t="str">
        <f t="shared" si="11191"/>
        <v>Williamsville</v>
      </c>
    </row>
    <row r="11194" spans="1:5">
      <c r="A11194" s="3" t="s">
        <v>5567</v>
      </c>
      <c r="B11194" s="110" t="s">
        <v>188</v>
      </c>
      <c r="C11194" s="111" t="s">
        <v>4278</v>
      </c>
      <c r="D11194" s="111" t="str">
        <f t="shared" ref="D11194:E11194" si="11192">TRIM(B11194)</f>
        <v>New York</v>
      </c>
      <c r="E11194" s="111" t="str">
        <f t="shared" si="11192"/>
        <v>Wilson</v>
      </c>
    </row>
    <row r="11195" spans="1:5">
      <c r="A11195" s="3" t="s">
        <v>21969</v>
      </c>
      <c r="B11195" s="110" t="s">
        <v>188</v>
      </c>
      <c r="C11195" s="111" t="s">
        <v>7524</v>
      </c>
      <c r="D11195" s="111" t="str">
        <f t="shared" ref="D11195:E11195" si="11193">TRIM(B11195)</f>
        <v>New York</v>
      </c>
      <c r="E11195" s="111" t="str">
        <f t="shared" si="11193"/>
        <v>Windsor</v>
      </c>
    </row>
    <row r="11196" spans="1:5">
      <c r="A11196" s="3" t="s">
        <v>21970</v>
      </c>
      <c r="B11196" s="110" t="s">
        <v>188</v>
      </c>
      <c r="C11196" s="111" t="s">
        <v>8782</v>
      </c>
      <c r="D11196" s="111" t="str">
        <f t="shared" ref="D11196:E11196" si="11194">TRIM(B11196)</f>
        <v>New York</v>
      </c>
      <c r="E11196" s="111" t="str">
        <f t="shared" si="11194"/>
        <v>Wolcott</v>
      </c>
    </row>
    <row r="11197" spans="1:5">
      <c r="A11197" s="3" t="s">
        <v>21971</v>
      </c>
      <c r="B11197" s="110" t="s">
        <v>188</v>
      </c>
      <c r="C11197" s="111" t="s">
        <v>21972</v>
      </c>
      <c r="D11197" s="111" t="str">
        <f t="shared" ref="D11197:E11197" si="11195">TRIM(B11197)</f>
        <v>New York</v>
      </c>
      <c r="E11197" s="111" t="str">
        <f t="shared" si="11195"/>
        <v>Wyandanch</v>
      </c>
    </row>
    <row r="11198" spans="1:5">
      <c r="A11198" s="3" t="s">
        <v>21973</v>
      </c>
      <c r="B11198" s="110" t="s">
        <v>188</v>
      </c>
      <c r="C11198" s="111" t="s">
        <v>12254</v>
      </c>
      <c r="D11198" s="111" t="str">
        <f t="shared" ref="D11198:E11198" si="11196">TRIM(B11198)</f>
        <v>New York</v>
      </c>
      <c r="E11198" s="111" t="str">
        <f t="shared" si="11196"/>
        <v>Yonkers</v>
      </c>
    </row>
    <row r="11199" spans="1:5">
      <c r="A11199" s="3" t="s">
        <v>1925</v>
      </c>
      <c r="B11199" s="110" t="s">
        <v>188</v>
      </c>
      <c r="C11199" s="111" t="s">
        <v>12254</v>
      </c>
      <c r="D11199" s="111" t="str">
        <f t="shared" ref="D11199:E11199" si="11197">TRIM(B11199)</f>
        <v>New York</v>
      </c>
      <c r="E11199" s="111" t="str">
        <f t="shared" si="11197"/>
        <v>Yonkers</v>
      </c>
    </row>
    <row r="11200" spans="1:5">
      <c r="A11200" s="110" t="s">
        <v>21974</v>
      </c>
      <c r="B11200" s="110" t="s">
        <v>188</v>
      </c>
      <c r="C11200" s="111" t="s">
        <v>12254</v>
      </c>
      <c r="D11200" s="111" t="str">
        <f t="shared" ref="D11200:E11200" si="11198">TRIM(B11200)</f>
        <v>New York</v>
      </c>
      <c r="E11200" s="111" t="str">
        <f t="shared" si="11198"/>
        <v>Yonkers</v>
      </c>
    </row>
    <row r="11201" spans="1:5">
      <c r="A11201" s="3" t="s">
        <v>3921</v>
      </c>
      <c r="B11201" s="110" t="s">
        <v>188</v>
      </c>
      <c r="C11201" s="111" t="s">
        <v>12254</v>
      </c>
      <c r="D11201" s="111" t="str">
        <f t="shared" ref="D11201:E11201" si="11199">TRIM(B11201)</f>
        <v>New York</v>
      </c>
      <c r="E11201" s="111" t="str">
        <f t="shared" si="11199"/>
        <v>Yonkers</v>
      </c>
    </row>
    <row r="11202" spans="1:5">
      <c r="A11202" s="3" t="s">
        <v>21975</v>
      </c>
      <c r="B11202" s="110" t="s">
        <v>188</v>
      </c>
      <c r="C11202" s="111" t="s">
        <v>12254</v>
      </c>
      <c r="D11202" s="111" t="str">
        <f t="shared" ref="D11202:E11202" si="11200">TRIM(B11202)</f>
        <v>New York</v>
      </c>
      <c r="E11202" s="111" t="str">
        <f t="shared" si="11200"/>
        <v>Yonkers</v>
      </c>
    </row>
    <row r="11203" spans="1:5">
      <c r="A11203" s="3" t="s">
        <v>21976</v>
      </c>
      <c r="B11203" s="110" t="s">
        <v>188</v>
      </c>
      <c r="C11203" s="111" t="s">
        <v>12254</v>
      </c>
      <c r="D11203" s="111" t="str">
        <f t="shared" ref="D11203:E11203" si="11201">TRIM(B11203)</f>
        <v>New York</v>
      </c>
      <c r="E11203" s="111" t="str">
        <f t="shared" si="11201"/>
        <v>Yonkers</v>
      </c>
    </row>
    <row r="11204" spans="1:5">
      <c r="A11204" s="3" t="s">
        <v>21977</v>
      </c>
      <c r="B11204" s="110" t="s">
        <v>188</v>
      </c>
      <c r="C11204" s="111" t="s">
        <v>12254</v>
      </c>
      <c r="D11204" s="111" t="str">
        <f t="shared" ref="D11204:E11204" si="11202">TRIM(B11204)</f>
        <v>New York</v>
      </c>
      <c r="E11204" s="111" t="str">
        <f t="shared" si="11202"/>
        <v>Yonkers</v>
      </c>
    </row>
    <row r="11205" spans="1:5">
      <c r="A11205" s="3" t="s">
        <v>21978</v>
      </c>
      <c r="B11205" s="110" t="s">
        <v>188</v>
      </c>
      <c r="C11205" s="111" t="s">
        <v>21979</v>
      </c>
      <c r="D11205" s="111" t="str">
        <f t="shared" ref="D11205:E11205" si="11203">TRIM(B11205)</f>
        <v>New York</v>
      </c>
      <c r="E11205" s="111" t="str">
        <f t="shared" si="11203"/>
        <v>Yorkshire</v>
      </c>
    </row>
    <row r="11206" spans="1:5">
      <c r="A11206" s="3" t="s">
        <v>14676</v>
      </c>
      <c r="B11206" s="110" t="s">
        <v>188</v>
      </c>
      <c r="C11206" s="113" t="s">
        <v>21980</v>
      </c>
      <c r="D11206" s="111" t="str">
        <f t="shared" ref="D11206:E11206" si="11204">TRIM(B11206)</f>
        <v>New York</v>
      </c>
      <c r="E11206" s="111" t="str">
        <f t="shared" si="11204"/>
        <v>Yorktown Heights</v>
      </c>
    </row>
    <row r="11207" spans="1:5">
      <c r="A11207" s="3" t="s">
        <v>21981</v>
      </c>
      <c r="B11207" s="110" t="s">
        <v>188</v>
      </c>
      <c r="C11207" s="111" t="s">
        <v>12895</v>
      </c>
      <c r="D11207" s="111" t="str">
        <f t="shared" ref="D11207:E11207" si="11205">TRIM(B11207)</f>
        <v>New York</v>
      </c>
      <c r="E11207" s="111" t="str">
        <f t="shared" si="11205"/>
        <v>Youngstown</v>
      </c>
    </row>
    <row r="11208" spans="1:5">
      <c r="A11208" s="110" t="s">
        <v>21982</v>
      </c>
      <c r="B11208" s="110" t="s">
        <v>1357</v>
      </c>
      <c r="C11208" s="111" t="s">
        <v>12674</v>
      </c>
      <c r="D11208" s="111" t="str">
        <f t="shared" ref="D11208:E11208" si="11206">TRIM(B11208)</f>
        <v>North Carolina</v>
      </c>
      <c r="E11208" s="111" t="str">
        <f t="shared" si="11206"/>
        <v>Ahoskie</v>
      </c>
    </row>
    <row r="11209" spans="1:5">
      <c r="A11209" s="3" t="s">
        <v>21983</v>
      </c>
      <c r="B11209" s="110" t="s">
        <v>1357</v>
      </c>
      <c r="C11209" s="111" t="s">
        <v>12674</v>
      </c>
      <c r="D11209" s="111" t="str">
        <f t="shared" ref="D11209:E11209" si="11207">TRIM(B11209)</f>
        <v>North Carolina</v>
      </c>
      <c r="E11209" s="111" t="str">
        <f t="shared" si="11207"/>
        <v>Ahoskie</v>
      </c>
    </row>
    <row r="11210" spans="1:5">
      <c r="A11210" s="3" t="s">
        <v>21984</v>
      </c>
      <c r="B11210" s="110" t="s">
        <v>1357</v>
      </c>
      <c r="C11210" s="111" t="s">
        <v>21985</v>
      </c>
      <c r="D11210" s="111" t="str">
        <f t="shared" ref="D11210:E11210" si="11208">TRIM(B11210)</f>
        <v>North Carolina</v>
      </c>
      <c r="E11210" s="111" t="str">
        <f t="shared" si="11208"/>
        <v>Albemarle</v>
      </c>
    </row>
    <row r="11211" spans="1:5">
      <c r="A11211" s="3" t="s">
        <v>21986</v>
      </c>
      <c r="B11211" s="110" t="s">
        <v>1357</v>
      </c>
      <c r="C11211" s="111" t="s">
        <v>21985</v>
      </c>
      <c r="D11211" s="111" t="str">
        <f t="shared" ref="D11211:E11211" si="11209">TRIM(B11211)</f>
        <v>North Carolina</v>
      </c>
      <c r="E11211" s="111" t="str">
        <f t="shared" si="11209"/>
        <v>Albemarle</v>
      </c>
    </row>
    <row r="11212" spans="1:5">
      <c r="A11212" s="3" t="s">
        <v>21987</v>
      </c>
      <c r="B11212" s="110" t="s">
        <v>1357</v>
      </c>
      <c r="C11212" s="111" t="s">
        <v>21988</v>
      </c>
      <c r="D11212" s="111" t="str">
        <f t="shared" ref="D11212:E11212" si="11210">TRIM(B11212)</f>
        <v>North Carolina</v>
      </c>
      <c r="E11212" s="111" t="str">
        <f t="shared" si="11210"/>
        <v>Andrews</v>
      </c>
    </row>
    <row r="11213" spans="1:5">
      <c r="A11213" s="3" t="s">
        <v>21989</v>
      </c>
      <c r="B11213" s="110" t="s">
        <v>1357</v>
      </c>
      <c r="C11213" s="111" t="s">
        <v>21990</v>
      </c>
      <c r="D11213" s="111" t="str">
        <f t="shared" ref="D11213:E11213" si="11211">TRIM(B11213)</f>
        <v>North Carolina</v>
      </c>
      <c r="E11213" s="111" t="str">
        <f t="shared" si="11211"/>
        <v>Angier</v>
      </c>
    </row>
    <row r="11214" spans="1:5">
      <c r="A11214" s="3" t="s">
        <v>21991</v>
      </c>
      <c r="B11214" s="110" t="s">
        <v>1357</v>
      </c>
      <c r="C11214" s="111" t="s">
        <v>21992</v>
      </c>
      <c r="D11214" s="111" t="str">
        <f t="shared" ref="D11214:E11214" si="11212">TRIM(B11214)</f>
        <v>North Carolina</v>
      </c>
      <c r="E11214" s="111" t="str">
        <f t="shared" si="11212"/>
        <v>Apex</v>
      </c>
    </row>
    <row r="11215" spans="1:5">
      <c r="A11215" s="3" t="s">
        <v>21993</v>
      </c>
      <c r="B11215" s="110" t="s">
        <v>1357</v>
      </c>
      <c r="C11215" s="111" t="s">
        <v>21992</v>
      </c>
      <c r="D11215" s="111" t="str">
        <f t="shared" ref="D11215:E11215" si="11213">TRIM(B11215)</f>
        <v>North Carolina</v>
      </c>
      <c r="E11215" s="111" t="str">
        <f t="shared" si="11213"/>
        <v>Apex</v>
      </c>
    </row>
    <row r="11216" spans="1:5">
      <c r="A11216" s="3" t="s">
        <v>21994</v>
      </c>
      <c r="B11216" s="110" t="s">
        <v>1357</v>
      </c>
      <c r="C11216" s="111" t="s">
        <v>21995</v>
      </c>
      <c r="D11216" s="111" t="str">
        <f t="shared" ref="D11216:E11216" si="11214">TRIM(B11216)</f>
        <v>North Carolina</v>
      </c>
      <c r="E11216" s="111" t="str">
        <f t="shared" si="11214"/>
        <v>Asheboro</v>
      </c>
    </row>
    <row r="11217" spans="1:5">
      <c r="A11217" s="3" t="s">
        <v>21996</v>
      </c>
      <c r="B11217" s="110" t="s">
        <v>1357</v>
      </c>
      <c r="C11217" s="111" t="s">
        <v>21995</v>
      </c>
      <c r="D11217" s="111" t="str">
        <f t="shared" ref="D11217:E11217" si="11215">TRIM(B11217)</f>
        <v>North Carolina</v>
      </c>
      <c r="E11217" s="111" t="str">
        <f t="shared" si="11215"/>
        <v>Asheboro</v>
      </c>
    </row>
    <row r="11218" spans="1:5">
      <c r="A11218" s="3" t="s">
        <v>21997</v>
      </c>
      <c r="B11218" s="110" t="s">
        <v>1357</v>
      </c>
      <c r="C11218" s="111" t="s">
        <v>21995</v>
      </c>
      <c r="D11218" s="111" t="str">
        <f t="shared" ref="D11218:E11218" si="11216">TRIM(B11218)</f>
        <v>North Carolina</v>
      </c>
      <c r="E11218" s="111" t="str">
        <f t="shared" si="11216"/>
        <v>Asheboro</v>
      </c>
    </row>
    <row r="11219" spans="1:5">
      <c r="A11219" s="3" t="s">
        <v>21998</v>
      </c>
      <c r="B11219" s="110" t="s">
        <v>1357</v>
      </c>
      <c r="C11219" s="111" t="s">
        <v>12583</v>
      </c>
      <c r="D11219" s="111" t="str">
        <f t="shared" ref="D11219:E11219" si="11217">TRIM(B11219)</f>
        <v>North Carolina</v>
      </c>
      <c r="E11219" s="111" t="str">
        <f t="shared" si="11217"/>
        <v>Asheville</v>
      </c>
    </row>
    <row r="11220" spans="1:5">
      <c r="A11220" s="110" t="s">
        <v>21999</v>
      </c>
      <c r="B11220" s="110" t="s">
        <v>1357</v>
      </c>
      <c r="C11220" s="111" t="s">
        <v>12583</v>
      </c>
      <c r="D11220" s="111" t="str">
        <f t="shared" ref="D11220:E11220" si="11218">TRIM(B11220)</f>
        <v>North Carolina</v>
      </c>
      <c r="E11220" s="111" t="str">
        <f t="shared" si="11218"/>
        <v>Asheville</v>
      </c>
    </row>
    <row r="11221" spans="1:5">
      <c r="A11221" s="3" t="s">
        <v>22000</v>
      </c>
      <c r="B11221" s="110" t="s">
        <v>1357</v>
      </c>
      <c r="C11221" s="111" t="s">
        <v>12583</v>
      </c>
      <c r="D11221" s="111" t="str">
        <f t="shared" ref="D11221:E11221" si="11219">TRIM(B11221)</f>
        <v>North Carolina</v>
      </c>
      <c r="E11221" s="111" t="str">
        <f t="shared" si="11219"/>
        <v>Asheville</v>
      </c>
    </row>
    <row r="11222" spans="1:5">
      <c r="A11222" s="110" t="s">
        <v>22001</v>
      </c>
      <c r="B11222" s="110" t="s">
        <v>1357</v>
      </c>
      <c r="C11222" s="111" t="s">
        <v>12583</v>
      </c>
      <c r="D11222" s="111" t="str">
        <f t="shared" ref="D11222:E11222" si="11220">TRIM(B11222)</f>
        <v>North Carolina</v>
      </c>
      <c r="E11222" s="111" t="str">
        <f t="shared" si="11220"/>
        <v>Asheville</v>
      </c>
    </row>
    <row r="11223" spans="1:5">
      <c r="A11223" s="3" t="s">
        <v>22002</v>
      </c>
      <c r="B11223" s="110" t="s">
        <v>1357</v>
      </c>
      <c r="C11223" s="112" t="s">
        <v>12583</v>
      </c>
      <c r="D11223" s="111" t="str">
        <f t="shared" ref="D11223:E11223" si="11221">TRIM(B11223)</f>
        <v>North Carolina</v>
      </c>
      <c r="E11223" s="111" t="str">
        <f t="shared" si="11221"/>
        <v>Asheville</v>
      </c>
    </row>
    <row r="11224" spans="1:5">
      <c r="A11224" s="3" t="s">
        <v>22003</v>
      </c>
      <c r="B11224" s="110" t="s">
        <v>1357</v>
      </c>
      <c r="C11224" s="111" t="s">
        <v>12583</v>
      </c>
      <c r="D11224" s="111" t="str">
        <f t="shared" ref="D11224:E11224" si="11222">TRIM(B11224)</f>
        <v>North Carolina</v>
      </c>
      <c r="E11224" s="111" t="str">
        <f t="shared" si="11222"/>
        <v>Asheville</v>
      </c>
    </row>
    <row r="11225" spans="1:5">
      <c r="A11225" s="3" t="s">
        <v>22004</v>
      </c>
      <c r="B11225" s="110" t="s">
        <v>1357</v>
      </c>
      <c r="C11225" s="111" t="s">
        <v>12583</v>
      </c>
      <c r="D11225" s="111" t="str">
        <f t="shared" ref="D11225:E11225" si="11223">TRIM(B11225)</f>
        <v>North Carolina</v>
      </c>
      <c r="E11225" s="111" t="str">
        <f t="shared" si="11223"/>
        <v>Asheville</v>
      </c>
    </row>
    <row r="11226" spans="1:5">
      <c r="A11226" s="110" t="s">
        <v>22005</v>
      </c>
      <c r="B11226" s="110" t="s">
        <v>1357</v>
      </c>
      <c r="C11226" s="111" t="s">
        <v>12583</v>
      </c>
      <c r="D11226" s="111" t="str">
        <f t="shared" ref="D11226:E11226" si="11224">TRIM(B11226)</f>
        <v>North Carolina</v>
      </c>
      <c r="E11226" s="111" t="str">
        <f t="shared" si="11224"/>
        <v>Asheville</v>
      </c>
    </row>
    <row r="11227" spans="1:5">
      <c r="A11227" s="110" t="s">
        <v>22006</v>
      </c>
      <c r="B11227" s="110" t="s">
        <v>1357</v>
      </c>
      <c r="C11227" s="111" t="s">
        <v>12583</v>
      </c>
      <c r="D11227" s="111" t="str">
        <f t="shared" ref="D11227:E11227" si="11225">TRIM(B11227)</f>
        <v>North Carolina</v>
      </c>
      <c r="E11227" s="111" t="str">
        <f t="shared" si="11225"/>
        <v>Asheville</v>
      </c>
    </row>
    <row r="11228" spans="1:5">
      <c r="A11228" s="3" t="s">
        <v>22007</v>
      </c>
      <c r="B11228" s="110" t="s">
        <v>1357</v>
      </c>
      <c r="C11228" s="111" t="s">
        <v>22008</v>
      </c>
      <c r="D11228" s="111" t="str">
        <f t="shared" ref="D11228:E11228" si="11226">TRIM(B11228)</f>
        <v>North Carolina</v>
      </c>
      <c r="E11228" s="111" t="str">
        <f t="shared" si="11226"/>
        <v>Ayden</v>
      </c>
    </row>
    <row r="11229" spans="1:5">
      <c r="A11229" s="3" t="s">
        <v>22009</v>
      </c>
      <c r="B11229" s="110" t="s">
        <v>1357</v>
      </c>
      <c r="C11229" s="111" t="s">
        <v>508</v>
      </c>
      <c r="D11229" s="111" t="str">
        <f t="shared" ref="D11229:E11229" si="11227">TRIM(B11229)</f>
        <v>North Carolina</v>
      </c>
      <c r="E11229" s="111" t="str">
        <f t="shared" si="11227"/>
        <v>Bailey</v>
      </c>
    </row>
    <row r="11230" spans="1:5">
      <c r="A11230" s="3" t="s">
        <v>7729</v>
      </c>
      <c r="B11230" s="110" t="s">
        <v>1357</v>
      </c>
      <c r="C11230" s="111" t="s">
        <v>22010</v>
      </c>
      <c r="D11230" s="111" t="str">
        <f t="shared" ref="D11230:E11230" si="11228">TRIM(B11230)</f>
        <v>North Carolina</v>
      </c>
      <c r="E11230" s="111" t="str">
        <f t="shared" si="11228"/>
        <v>Bakersville</v>
      </c>
    </row>
    <row r="11231" spans="1:5">
      <c r="A11231" s="3" t="s">
        <v>22011</v>
      </c>
      <c r="B11231" s="110" t="s">
        <v>1357</v>
      </c>
      <c r="C11231" s="111" t="s">
        <v>22012</v>
      </c>
      <c r="D11231" s="111" t="str">
        <f t="shared" ref="D11231:E11231" si="11229">TRIM(B11231)</f>
        <v>North Carolina</v>
      </c>
      <c r="E11231" s="111" t="str">
        <f t="shared" si="11229"/>
        <v>Barco</v>
      </c>
    </row>
    <row r="11232" spans="1:5">
      <c r="A11232" s="3" t="s">
        <v>22013</v>
      </c>
      <c r="B11232" s="110" t="s">
        <v>1357</v>
      </c>
      <c r="C11232" s="111" t="s">
        <v>22014</v>
      </c>
      <c r="D11232" s="111" t="str">
        <f t="shared" ref="D11232:E11232" si="11230">TRIM(B11232)</f>
        <v>North Carolina</v>
      </c>
      <c r="E11232" s="111" t="str">
        <f t="shared" si="11230"/>
        <v>Bayboro</v>
      </c>
    </row>
    <row r="11233" spans="1:5">
      <c r="A11233" s="3" t="s">
        <v>22015</v>
      </c>
      <c r="B11233" s="110" t="s">
        <v>1357</v>
      </c>
      <c r="C11233" s="111" t="s">
        <v>1538</v>
      </c>
      <c r="D11233" s="111" t="str">
        <f t="shared" ref="D11233:E11233" si="11231">TRIM(B11233)</f>
        <v>North Carolina</v>
      </c>
      <c r="E11233" s="111" t="str">
        <f t="shared" si="11231"/>
        <v>Bear Creek</v>
      </c>
    </row>
    <row r="11234" spans="1:5">
      <c r="A11234" s="3" t="s">
        <v>22016</v>
      </c>
      <c r="B11234" s="110" t="s">
        <v>1357</v>
      </c>
      <c r="C11234" s="111" t="s">
        <v>13305</v>
      </c>
      <c r="D11234" s="111" t="str">
        <f t="shared" ref="D11234:E11234" si="11232">TRIM(B11234)</f>
        <v>North Carolina</v>
      </c>
      <c r="E11234" s="111" t="str">
        <f t="shared" si="11232"/>
        <v>Beaufort</v>
      </c>
    </row>
    <row r="11235" spans="1:5">
      <c r="A11235" s="3" t="s">
        <v>22017</v>
      </c>
      <c r="B11235" s="110" t="s">
        <v>1357</v>
      </c>
      <c r="C11235" s="111" t="s">
        <v>4471</v>
      </c>
      <c r="D11235" s="111" t="str">
        <f t="shared" ref="D11235:E11235" si="11233">TRIM(B11235)</f>
        <v>North Carolina</v>
      </c>
      <c r="E11235" s="111" t="str">
        <f t="shared" si="11233"/>
        <v>Belmont</v>
      </c>
    </row>
    <row r="11236" spans="1:5">
      <c r="A11236" s="3" t="s">
        <v>22018</v>
      </c>
      <c r="B11236" s="110" t="s">
        <v>1357</v>
      </c>
      <c r="C11236" s="111" t="s">
        <v>4471</v>
      </c>
      <c r="D11236" s="111" t="str">
        <f t="shared" ref="D11236:E11236" si="11234">TRIM(B11236)</f>
        <v>North Carolina</v>
      </c>
      <c r="E11236" s="111" t="str">
        <f t="shared" si="11234"/>
        <v>Belmont</v>
      </c>
    </row>
    <row r="11237" spans="1:5">
      <c r="A11237" s="3" t="s">
        <v>22019</v>
      </c>
      <c r="B11237" s="110" t="s">
        <v>1357</v>
      </c>
      <c r="C11237" s="111" t="s">
        <v>2472</v>
      </c>
      <c r="D11237" s="111" t="str">
        <f t="shared" ref="D11237:E11237" si="11235">TRIM(B11237)</f>
        <v>North Carolina</v>
      </c>
      <c r="E11237" s="111" t="str">
        <f t="shared" si="11235"/>
        <v>Benson</v>
      </c>
    </row>
    <row r="11238" spans="1:5">
      <c r="A11238" s="3" t="s">
        <v>1543</v>
      </c>
      <c r="B11238" s="110" t="s">
        <v>1357</v>
      </c>
      <c r="C11238" s="111" t="s">
        <v>22020</v>
      </c>
      <c r="D11238" s="111" t="str">
        <f t="shared" ref="D11238:E11238" si="11236">TRIM(B11238)</f>
        <v>North Carolina</v>
      </c>
      <c r="E11238" s="111" t="str">
        <f t="shared" si="11236"/>
        <v>Bessemer City</v>
      </c>
    </row>
    <row r="11239" spans="1:5">
      <c r="A11239" s="3" t="s">
        <v>22021</v>
      </c>
      <c r="B11239" s="110" t="s">
        <v>1357</v>
      </c>
      <c r="C11239" s="111" t="s">
        <v>2309</v>
      </c>
      <c r="D11239" s="111" t="str">
        <f t="shared" ref="D11239:E11239" si="11237">TRIM(B11239)</f>
        <v>North Carolina</v>
      </c>
      <c r="E11239" s="111" t="str">
        <f t="shared" si="11237"/>
        <v>Bethel</v>
      </c>
    </row>
    <row r="11240" spans="1:5">
      <c r="A11240" s="3" t="s">
        <v>22022</v>
      </c>
      <c r="B11240" s="110" t="s">
        <v>1357</v>
      </c>
      <c r="C11240" s="111" t="s">
        <v>12605</v>
      </c>
      <c r="D11240" s="111" t="str">
        <f t="shared" ref="D11240:E11240" si="11238">TRIM(B11240)</f>
        <v>North Carolina</v>
      </c>
      <c r="E11240" s="111" t="str">
        <f t="shared" si="11238"/>
        <v>Beulaville</v>
      </c>
    </row>
    <row r="11241" spans="1:5">
      <c r="A11241" s="3" t="s">
        <v>22023</v>
      </c>
      <c r="B11241" s="110" t="s">
        <v>1357</v>
      </c>
      <c r="C11241" s="111" t="s">
        <v>22024</v>
      </c>
      <c r="D11241" s="111" t="str">
        <f t="shared" ref="D11241:E11241" si="11239">TRIM(B11241)</f>
        <v>North Carolina</v>
      </c>
      <c r="E11241" s="111" t="str">
        <f t="shared" si="11239"/>
        <v>Biscoe</v>
      </c>
    </row>
    <row r="11242" spans="1:5">
      <c r="A11242" s="3" t="s">
        <v>22025</v>
      </c>
      <c r="B11242" s="110" t="s">
        <v>1357</v>
      </c>
      <c r="C11242" s="111" t="s">
        <v>22026</v>
      </c>
      <c r="D11242" s="111" t="str">
        <f t="shared" ref="D11242:E11242" si="11240">TRIM(B11242)</f>
        <v>North Carolina</v>
      </c>
      <c r="E11242" s="111" t="str">
        <f t="shared" si="11240"/>
        <v>Black Mountain</v>
      </c>
    </row>
    <row r="11243" spans="1:5">
      <c r="A11243" s="3" t="s">
        <v>22027</v>
      </c>
      <c r="B11243" s="110" t="s">
        <v>1357</v>
      </c>
      <c r="C11243" s="111" t="s">
        <v>22028</v>
      </c>
      <c r="D11243" s="111" t="str">
        <f t="shared" ref="D11243:E11243" si="11241">TRIM(B11243)</f>
        <v>North Carolina</v>
      </c>
      <c r="E11243" s="111" t="str">
        <f t="shared" si="11241"/>
        <v>Bladenboro</v>
      </c>
    </row>
    <row r="11244" spans="1:5">
      <c r="A11244" s="3" t="s">
        <v>22029</v>
      </c>
      <c r="B11244" s="110" t="s">
        <v>1357</v>
      </c>
      <c r="C11244" s="111" t="s">
        <v>14723</v>
      </c>
      <c r="D11244" s="111" t="str">
        <f t="shared" ref="D11244:E11244" si="11242">TRIM(B11244)</f>
        <v>North Carolina</v>
      </c>
      <c r="E11244" s="111" t="str">
        <f t="shared" si="11242"/>
        <v>Boone</v>
      </c>
    </row>
    <row r="11245" spans="1:5">
      <c r="A11245" s="3" t="s">
        <v>22030</v>
      </c>
      <c r="B11245" s="110" t="s">
        <v>1357</v>
      </c>
      <c r="C11245" s="111" t="s">
        <v>14723</v>
      </c>
      <c r="D11245" s="111" t="str">
        <f t="shared" ref="D11245:E11245" si="11243">TRIM(B11245)</f>
        <v>North Carolina</v>
      </c>
      <c r="E11245" s="111" t="str">
        <f t="shared" si="11243"/>
        <v>Boone</v>
      </c>
    </row>
    <row r="11246" spans="1:5">
      <c r="A11246" s="3" t="s">
        <v>22031</v>
      </c>
      <c r="B11246" s="110" t="s">
        <v>1357</v>
      </c>
      <c r="C11246" s="111" t="s">
        <v>4505</v>
      </c>
      <c r="D11246" s="111" t="str">
        <f t="shared" ref="D11246:E11246" si="11244">TRIM(B11246)</f>
        <v>North Carolina</v>
      </c>
      <c r="E11246" s="111" t="str">
        <f t="shared" si="11244"/>
        <v>Boonville</v>
      </c>
    </row>
    <row r="11247" spans="1:5">
      <c r="A11247" s="3" t="s">
        <v>22032</v>
      </c>
      <c r="B11247" s="110" t="s">
        <v>1357</v>
      </c>
      <c r="C11247" s="111" t="s">
        <v>22033</v>
      </c>
      <c r="D11247" s="111" t="str">
        <f t="shared" ref="D11247:E11247" si="11245">TRIM(B11247)</f>
        <v>North Carolina</v>
      </c>
      <c r="E11247" s="111" t="str">
        <f t="shared" si="11245"/>
        <v>Brevard</v>
      </c>
    </row>
    <row r="11248" spans="1:5">
      <c r="A11248" s="3" t="s">
        <v>22034</v>
      </c>
      <c r="B11248" s="110" t="s">
        <v>1357</v>
      </c>
      <c r="C11248" s="111" t="s">
        <v>22035</v>
      </c>
      <c r="D11248" s="111" t="str">
        <f t="shared" ref="D11248:E11248" si="11246">TRIM(B11248)</f>
        <v>North Carolina</v>
      </c>
      <c r="E11248" s="111" t="str">
        <f t="shared" si="11246"/>
        <v>Browns Summit</v>
      </c>
    </row>
    <row r="11249" spans="1:5">
      <c r="A11249" s="3" t="s">
        <v>22036</v>
      </c>
      <c r="B11249" s="110" t="s">
        <v>1357</v>
      </c>
      <c r="C11249" s="111" t="s">
        <v>22037</v>
      </c>
      <c r="D11249" s="111" t="str">
        <f t="shared" ref="D11249:E11249" si="11247">TRIM(B11249)</f>
        <v>North Carolina</v>
      </c>
      <c r="E11249" s="111" t="str">
        <f t="shared" si="11247"/>
        <v>Bryson City</v>
      </c>
    </row>
    <row r="11250" spans="1:5">
      <c r="A11250" s="3" t="s">
        <v>22038</v>
      </c>
      <c r="B11250" s="110" t="s">
        <v>1357</v>
      </c>
      <c r="C11250" s="111" t="s">
        <v>22039</v>
      </c>
      <c r="D11250" s="111" t="str">
        <f t="shared" ref="D11250:E11250" si="11248">TRIM(B11250)</f>
        <v>North Carolina</v>
      </c>
      <c r="E11250" s="111" t="str">
        <f t="shared" si="11248"/>
        <v>Bunn</v>
      </c>
    </row>
    <row r="11251" spans="1:5">
      <c r="A11251" s="3" t="s">
        <v>22040</v>
      </c>
      <c r="B11251" s="110" t="s">
        <v>1357</v>
      </c>
      <c r="C11251" s="111" t="s">
        <v>22041</v>
      </c>
      <c r="D11251" s="111" t="str">
        <f t="shared" ref="D11251:E11251" si="11249">TRIM(B11251)</f>
        <v>North Carolina</v>
      </c>
      <c r="E11251" s="111" t="str">
        <f t="shared" si="11249"/>
        <v>Burgaw</v>
      </c>
    </row>
    <row r="11252" spans="1:5">
      <c r="A11252" s="3" t="s">
        <v>19702</v>
      </c>
      <c r="B11252" s="110" t="s">
        <v>1357</v>
      </c>
      <c r="C11252" s="111" t="s">
        <v>22041</v>
      </c>
      <c r="D11252" s="111" t="str">
        <f t="shared" ref="D11252:E11252" si="11250">TRIM(B11252)</f>
        <v>North Carolina</v>
      </c>
      <c r="E11252" s="111" t="str">
        <f t="shared" si="11250"/>
        <v>Burgaw</v>
      </c>
    </row>
    <row r="11253" spans="1:5">
      <c r="A11253" s="3" t="s">
        <v>22042</v>
      </c>
      <c r="B11253" s="110" t="s">
        <v>1357</v>
      </c>
      <c r="C11253" s="111" t="s">
        <v>7667</v>
      </c>
      <c r="D11253" s="111" t="str">
        <f t="shared" ref="D11253:E11253" si="11251">TRIM(B11253)</f>
        <v>North Carolina</v>
      </c>
      <c r="E11253" s="111" t="str">
        <f t="shared" si="11251"/>
        <v>Burlington</v>
      </c>
    </row>
    <row r="11254" spans="1:5">
      <c r="A11254" s="3" t="s">
        <v>22043</v>
      </c>
      <c r="B11254" s="110" t="s">
        <v>1357</v>
      </c>
      <c r="C11254" s="111" t="s">
        <v>7667</v>
      </c>
      <c r="D11254" s="111" t="str">
        <f t="shared" ref="D11254:E11254" si="11252">TRIM(B11254)</f>
        <v>North Carolina</v>
      </c>
      <c r="E11254" s="111" t="str">
        <f t="shared" si="11252"/>
        <v>Burlington</v>
      </c>
    </row>
    <row r="11255" spans="1:5">
      <c r="A11255" s="3" t="s">
        <v>22044</v>
      </c>
      <c r="B11255" s="110" t="s">
        <v>1357</v>
      </c>
      <c r="C11255" s="111" t="s">
        <v>11611</v>
      </c>
      <c r="D11255" s="111" t="str">
        <f t="shared" ref="D11255:E11255" si="11253">TRIM(B11255)</f>
        <v>North Carolina</v>
      </c>
      <c r="E11255" s="111" t="str">
        <f t="shared" si="11253"/>
        <v>Burnsville</v>
      </c>
    </row>
    <row r="11256" spans="1:5">
      <c r="A11256" s="110" t="s">
        <v>22045</v>
      </c>
      <c r="B11256" s="110" t="s">
        <v>1357</v>
      </c>
      <c r="C11256" s="111" t="s">
        <v>22046</v>
      </c>
      <c r="D11256" s="111" t="str">
        <f t="shared" ref="D11256:E11256" si="11254">TRIM(B11256)</f>
        <v>North Carolina</v>
      </c>
      <c r="E11256" s="111" t="str">
        <f t="shared" si="11254"/>
        <v>Buxton</v>
      </c>
    </row>
    <row r="11257" spans="1:5">
      <c r="A11257" s="3" t="s">
        <v>10932</v>
      </c>
      <c r="B11257" s="110" t="s">
        <v>1357</v>
      </c>
      <c r="C11257" s="111" t="s">
        <v>773</v>
      </c>
      <c r="D11257" s="111" t="str">
        <f t="shared" ref="D11257:E11257" si="11255">TRIM(B11257)</f>
        <v>North Carolina</v>
      </c>
      <c r="E11257" s="111" t="str">
        <f t="shared" si="11255"/>
        <v>Camden</v>
      </c>
    </row>
    <row r="11258" spans="1:5">
      <c r="A11258" s="3" t="s">
        <v>22047</v>
      </c>
      <c r="B11258" s="110" t="s">
        <v>1357</v>
      </c>
      <c r="C11258" s="111" t="s">
        <v>773</v>
      </c>
      <c r="D11258" s="111" t="str">
        <f t="shared" ref="D11258:E11258" si="11256">TRIM(B11258)</f>
        <v>North Carolina</v>
      </c>
      <c r="E11258" s="111" t="str">
        <f t="shared" si="11256"/>
        <v>Camden</v>
      </c>
    </row>
    <row r="11259" spans="1:5">
      <c r="A11259" s="3" t="s">
        <v>22048</v>
      </c>
      <c r="B11259" s="110" t="s">
        <v>1357</v>
      </c>
      <c r="C11259" s="111" t="s">
        <v>13742</v>
      </c>
      <c r="D11259" s="111" t="str">
        <f t="shared" ref="D11259:E11259" si="11257">TRIM(B11259)</f>
        <v>North Carolina</v>
      </c>
      <c r="E11259" s="111" t="str">
        <f t="shared" si="11257"/>
        <v>Cameron</v>
      </c>
    </row>
    <row r="11260" spans="1:5">
      <c r="A11260" s="3" t="s">
        <v>22049</v>
      </c>
      <c r="B11260" s="110" t="s">
        <v>1357</v>
      </c>
      <c r="C11260" s="111" t="s">
        <v>12654</v>
      </c>
      <c r="D11260" s="111" t="str">
        <f t="shared" ref="D11260:E11260" si="11258">TRIM(B11260)</f>
        <v>North Carolina</v>
      </c>
      <c r="E11260" s="111" t="str">
        <f t="shared" si="11258"/>
        <v>Candler</v>
      </c>
    </row>
    <row r="11261" spans="1:5">
      <c r="A11261" s="3" t="s">
        <v>18557</v>
      </c>
      <c r="B11261" s="110" t="s">
        <v>1357</v>
      </c>
      <c r="C11261" s="111" t="s">
        <v>1205</v>
      </c>
      <c r="D11261" s="111" t="str">
        <f t="shared" ref="D11261:E11261" si="11259">TRIM(B11261)</f>
        <v>North Carolina</v>
      </c>
      <c r="E11261" s="111" t="str">
        <f t="shared" si="11259"/>
        <v>Canton</v>
      </c>
    </row>
    <row r="11262" spans="1:5">
      <c r="A11262" s="3" t="s">
        <v>22050</v>
      </c>
      <c r="B11262" s="110" t="s">
        <v>1357</v>
      </c>
      <c r="C11262" s="111" t="s">
        <v>512</v>
      </c>
      <c r="D11262" s="111" t="str">
        <f t="shared" ref="D11262:E11262" si="11260">TRIM(B11262)</f>
        <v>North Carolina</v>
      </c>
      <c r="E11262" s="111" t="str">
        <f t="shared" si="11260"/>
        <v>Carrboro</v>
      </c>
    </row>
    <row r="11263" spans="1:5">
      <c r="A11263" s="3" t="s">
        <v>22051</v>
      </c>
      <c r="B11263" s="110" t="s">
        <v>1357</v>
      </c>
      <c r="C11263" s="112" t="s">
        <v>12191</v>
      </c>
      <c r="D11263" s="111" t="str">
        <f t="shared" ref="D11263:E11263" si="11261">TRIM(B11263)</f>
        <v>North Carolina</v>
      </c>
      <c r="E11263" s="111" t="str">
        <f t="shared" si="11261"/>
        <v>Cary</v>
      </c>
    </row>
    <row r="11264" spans="1:5">
      <c r="A11264" s="3" t="s">
        <v>22052</v>
      </c>
      <c r="B11264" s="110" t="s">
        <v>1357</v>
      </c>
      <c r="C11264" s="111" t="s">
        <v>12191</v>
      </c>
      <c r="D11264" s="111" t="str">
        <f t="shared" ref="D11264:E11264" si="11262">TRIM(B11264)</f>
        <v>North Carolina</v>
      </c>
      <c r="E11264" s="111" t="str">
        <f t="shared" si="11262"/>
        <v>Cary</v>
      </c>
    </row>
    <row r="11265" spans="1:5">
      <c r="A11265" s="110" t="s">
        <v>22053</v>
      </c>
      <c r="B11265" s="110" t="s">
        <v>1357</v>
      </c>
      <c r="C11265" s="111" t="s">
        <v>12191</v>
      </c>
      <c r="D11265" s="111" t="str">
        <f t="shared" ref="D11265:E11265" si="11263">TRIM(B11265)</f>
        <v>North Carolina</v>
      </c>
      <c r="E11265" s="111" t="str">
        <f t="shared" si="11263"/>
        <v>Cary</v>
      </c>
    </row>
    <row r="11266" spans="1:5">
      <c r="A11266" s="3" t="s">
        <v>22054</v>
      </c>
      <c r="B11266" s="110" t="s">
        <v>1357</v>
      </c>
      <c r="C11266" s="111" t="s">
        <v>12191</v>
      </c>
      <c r="D11266" s="111" t="str">
        <f t="shared" ref="D11266:E11266" si="11264">TRIM(B11266)</f>
        <v>North Carolina</v>
      </c>
      <c r="E11266" s="111" t="str">
        <f t="shared" si="11264"/>
        <v>Cary</v>
      </c>
    </row>
    <row r="11267" spans="1:5">
      <c r="A11267" s="3" t="s">
        <v>22055</v>
      </c>
      <c r="B11267" s="110" t="s">
        <v>1357</v>
      </c>
      <c r="C11267" s="111" t="s">
        <v>12191</v>
      </c>
      <c r="D11267" s="111" t="str">
        <f t="shared" ref="D11267:E11267" si="11265">TRIM(B11267)</f>
        <v>North Carolina</v>
      </c>
      <c r="E11267" s="111" t="str">
        <f t="shared" si="11265"/>
        <v>Cary</v>
      </c>
    </row>
    <row r="11268" spans="1:5">
      <c r="A11268" s="110" t="s">
        <v>22056</v>
      </c>
      <c r="B11268" s="110" t="s">
        <v>1357</v>
      </c>
      <c r="C11268" s="111" t="s">
        <v>22057</v>
      </c>
      <c r="D11268" s="111" t="str">
        <f t="shared" ref="D11268:E11268" si="11266">TRIM(B11268)</f>
        <v>North Carolina</v>
      </c>
      <c r="E11268" s="111" t="str">
        <f t="shared" si="11266"/>
        <v>Cashiers</v>
      </c>
    </row>
    <row r="11269" spans="1:5">
      <c r="A11269" s="3" t="s">
        <v>22058</v>
      </c>
      <c r="B11269" s="110" t="s">
        <v>1357</v>
      </c>
      <c r="C11269" s="111" t="s">
        <v>22059</v>
      </c>
      <c r="D11269" s="111" t="str">
        <f t="shared" ref="D11269:E11269" si="11267">TRIM(B11269)</f>
        <v>North Carolina</v>
      </c>
      <c r="E11269" s="111" t="str">
        <f t="shared" si="11267"/>
        <v>Castle Hayne</v>
      </c>
    </row>
    <row r="11270" spans="1:5">
      <c r="A11270" s="3" t="s">
        <v>22060</v>
      </c>
      <c r="B11270" s="110" t="s">
        <v>1357</v>
      </c>
      <c r="C11270" s="111" t="s">
        <v>22061</v>
      </c>
      <c r="D11270" s="111" t="str">
        <f t="shared" ref="D11270:E11270" si="11268">TRIM(B11270)</f>
        <v>North Carolina</v>
      </c>
      <c r="E11270" s="111" t="str">
        <f t="shared" si="11268"/>
        <v>Catawba</v>
      </c>
    </row>
    <row r="11271" spans="1:5">
      <c r="A11271" s="3" t="s">
        <v>22062</v>
      </c>
      <c r="B11271" s="110" t="s">
        <v>1357</v>
      </c>
      <c r="C11271" s="111" t="s">
        <v>12208</v>
      </c>
      <c r="D11271" s="111" t="str">
        <f t="shared" ref="D11271:E11271" si="11269">TRIM(B11271)</f>
        <v>North Carolina</v>
      </c>
      <c r="E11271" s="111" t="str">
        <f t="shared" si="11269"/>
        <v>Cerro Gordo</v>
      </c>
    </row>
    <row r="11272" spans="1:5">
      <c r="A11272" s="3" t="s">
        <v>10689</v>
      </c>
      <c r="B11272" s="110" t="s">
        <v>1357</v>
      </c>
      <c r="C11272" s="111" t="s">
        <v>22063</v>
      </c>
      <c r="D11272" s="111" t="str">
        <f t="shared" ref="D11272:E11272" si="11270">TRIM(B11272)</f>
        <v>North Carolina</v>
      </c>
      <c r="E11272" s="111" t="str">
        <f t="shared" si="11270"/>
        <v>Chapel Hill</v>
      </c>
    </row>
    <row r="11273" spans="1:5">
      <c r="A11273" s="3" t="s">
        <v>22064</v>
      </c>
      <c r="B11273" s="110" t="s">
        <v>1357</v>
      </c>
      <c r="C11273" s="111" t="s">
        <v>22063</v>
      </c>
      <c r="D11273" s="111" t="str">
        <f t="shared" ref="D11273:E11273" si="11271">TRIM(B11273)</f>
        <v>North Carolina</v>
      </c>
      <c r="E11273" s="111" t="str">
        <f t="shared" si="11271"/>
        <v>Chapel Hill</v>
      </c>
    </row>
    <row r="11274" spans="1:5">
      <c r="A11274" s="3" t="s">
        <v>22065</v>
      </c>
      <c r="B11274" s="110" t="s">
        <v>1357</v>
      </c>
      <c r="C11274" s="111" t="s">
        <v>283</v>
      </c>
      <c r="D11274" s="111" t="str">
        <f t="shared" ref="D11274:E11274" si="11272">TRIM(B11274)</f>
        <v>North Carolina</v>
      </c>
      <c r="E11274" s="111" t="str">
        <f t="shared" si="11272"/>
        <v>Charlotte</v>
      </c>
    </row>
    <row r="11275" spans="1:5">
      <c r="A11275" s="3" t="s">
        <v>22066</v>
      </c>
      <c r="B11275" s="110" t="s">
        <v>1357</v>
      </c>
      <c r="C11275" s="111" t="s">
        <v>283</v>
      </c>
      <c r="D11275" s="111" t="str">
        <f t="shared" ref="D11275:E11275" si="11273">TRIM(B11275)</f>
        <v>North Carolina</v>
      </c>
      <c r="E11275" s="111" t="str">
        <f t="shared" si="11273"/>
        <v>Charlotte</v>
      </c>
    </row>
    <row r="11276" spans="1:5">
      <c r="A11276" s="110" t="s">
        <v>22067</v>
      </c>
      <c r="B11276" s="110" t="s">
        <v>1357</v>
      </c>
      <c r="C11276" s="111" t="s">
        <v>283</v>
      </c>
      <c r="D11276" s="111" t="str">
        <f t="shared" ref="D11276:E11276" si="11274">TRIM(B11276)</f>
        <v>North Carolina</v>
      </c>
      <c r="E11276" s="111" t="str">
        <f t="shared" si="11274"/>
        <v>Charlotte</v>
      </c>
    </row>
    <row r="11277" spans="1:5">
      <c r="A11277" s="3" t="s">
        <v>22068</v>
      </c>
      <c r="B11277" s="110" t="s">
        <v>1357</v>
      </c>
      <c r="C11277" s="111" t="s">
        <v>283</v>
      </c>
      <c r="D11277" s="111" t="str">
        <f t="shared" ref="D11277:E11277" si="11275">TRIM(B11277)</f>
        <v>North Carolina</v>
      </c>
      <c r="E11277" s="111" t="str">
        <f t="shared" si="11275"/>
        <v>Charlotte</v>
      </c>
    </row>
    <row r="11278" spans="1:5">
      <c r="A11278" s="110" t="s">
        <v>22069</v>
      </c>
      <c r="B11278" s="110" t="s">
        <v>1357</v>
      </c>
      <c r="C11278" s="111" t="s">
        <v>283</v>
      </c>
      <c r="D11278" s="111" t="str">
        <f t="shared" ref="D11278:E11278" si="11276">TRIM(B11278)</f>
        <v>North Carolina</v>
      </c>
      <c r="E11278" s="111" t="str">
        <f t="shared" si="11276"/>
        <v>Charlotte</v>
      </c>
    </row>
    <row r="11279" spans="1:5">
      <c r="A11279" s="3" t="s">
        <v>22070</v>
      </c>
      <c r="B11279" s="110" t="s">
        <v>1357</v>
      </c>
      <c r="C11279" s="111" t="s">
        <v>283</v>
      </c>
      <c r="D11279" s="111" t="str">
        <f t="shared" ref="D11279:E11279" si="11277">TRIM(B11279)</f>
        <v>North Carolina</v>
      </c>
      <c r="E11279" s="111" t="str">
        <f t="shared" si="11277"/>
        <v>Charlotte</v>
      </c>
    </row>
    <row r="11280" spans="1:5">
      <c r="A11280" s="3" t="s">
        <v>22071</v>
      </c>
      <c r="B11280" s="110" t="s">
        <v>1357</v>
      </c>
      <c r="C11280" s="111" t="s">
        <v>283</v>
      </c>
      <c r="D11280" s="111" t="str">
        <f t="shared" ref="D11280:E11280" si="11278">TRIM(B11280)</f>
        <v>North Carolina</v>
      </c>
      <c r="E11280" s="111" t="str">
        <f t="shared" si="11278"/>
        <v>Charlotte</v>
      </c>
    </row>
    <row r="11281" spans="1:5">
      <c r="A11281" s="3" t="s">
        <v>22072</v>
      </c>
      <c r="B11281" s="110" t="s">
        <v>1357</v>
      </c>
      <c r="C11281" s="111" t="s">
        <v>283</v>
      </c>
      <c r="D11281" s="111" t="str">
        <f t="shared" ref="D11281:E11281" si="11279">TRIM(B11281)</f>
        <v>North Carolina</v>
      </c>
      <c r="E11281" s="111" t="str">
        <f t="shared" si="11279"/>
        <v>Charlotte</v>
      </c>
    </row>
    <row r="11282" spans="1:5">
      <c r="A11282" s="3" t="s">
        <v>22073</v>
      </c>
      <c r="B11282" s="110" t="s">
        <v>1357</v>
      </c>
      <c r="C11282" s="111" t="s">
        <v>283</v>
      </c>
      <c r="D11282" s="111" t="str">
        <f t="shared" ref="D11282:E11282" si="11280">TRIM(B11282)</f>
        <v>North Carolina</v>
      </c>
      <c r="E11282" s="111" t="str">
        <f t="shared" si="11280"/>
        <v>Charlotte</v>
      </c>
    </row>
    <row r="11283" spans="1:5">
      <c r="A11283" s="3" t="s">
        <v>22074</v>
      </c>
      <c r="B11283" s="110" t="s">
        <v>1357</v>
      </c>
      <c r="C11283" s="111" t="s">
        <v>283</v>
      </c>
      <c r="D11283" s="111" t="str">
        <f t="shared" ref="D11283:E11283" si="11281">TRIM(B11283)</f>
        <v>North Carolina</v>
      </c>
      <c r="E11283" s="111" t="str">
        <f t="shared" si="11281"/>
        <v>Charlotte</v>
      </c>
    </row>
    <row r="11284" spans="1:5">
      <c r="A11284" s="3" t="s">
        <v>22075</v>
      </c>
      <c r="B11284" s="110" t="s">
        <v>1357</v>
      </c>
      <c r="C11284" s="111" t="s">
        <v>283</v>
      </c>
      <c r="D11284" s="111" t="str">
        <f t="shared" ref="D11284:E11284" si="11282">TRIM(B11284)</f>
        <v>North Carolina</v>
      </c>
      <c r="E11284" s="111" t="str">
        <f t="shared" si="11282"/>
        <v>Charlotte</v>
      </c>
    </row>
    <row r="11285" spans="1:5">
      <c r="A11285" s="3" t="s">
        <v>2727</v>
      </c>
      <c r="B11285" s="110" t="s">
        <v>1357</v>
      </c>
      <c r="C11285" s="111" t="s">
        <v>283</v>
      </c>
      <c r="D11285" s="111" t="str">
        <f t="shared" ref="D11285:E11285" si="11283">TRIM(B11285)</f>
        <v>North Carolina</v>
      </c>
      <c r="E11285" s="111" t="str">
        <f t="shared" si="11283"/>
        <v>Charlotte</v>
      </c>
    </row>
    <row r="11286" spans="1:5">
      <c r="A11286" s="3" t="s">
        <v>22076</v>
      </c>
      <c r="B11286" s="110" t="s">
        <v>1357</v>
      </c>
      <c r="C11286" s="111" t="s">
        <v>283</v>
      </c>
      <c r="D11286" s="111" t="str">
        <f t="shared" ref="D11286:E11286" si="11284">TRIM(B11286)</f>
        <v>North Carolina</v>
      </c>
      <c r="E11286" s="111" t="str">
        <f t="shared" si="11284"/>
        <v>Charlotte</v>
      </c>
    </row>
    <row r="11287" spans="1:5">
      <c r="A11287" s="3" t="s">
        <v>22077</v>
      </c>
      <c r="B11287" s="110" t="s">
        <v>1357</v>
      </c>
      <c r="C11287" s="111" t="s">
        <v>283</v>
      </c>
      <c r="D11287" s="111" t="str">
        <f t="shared" ref="D11287:E11287" si="11285">TRIM(B11287)</f>
        <v>North Carolina</v>
      </c>
      <c r="E11287" s="111" t="str">
        <f t="shared" si="11285"/>
        <v>Charlotte</v>
      </c>
    </row>
    <row r="11288" spans="1:5">
      <c r="A11288" s="3" t="s">
        <v>22078</v>
      </c>
      <c r="B11288" s="110" t="s">
        <v>1357</v>
      </c>
      <c r="C11288" s="111" t="s">
        <v>283</v>
      </c>
      <c r="D11288" s="111" t="str">
        <f t="shared" ref="D11288:E11288" si="11286">TRIM(B11288)</f>
        <v>North Carolina</v>
      </c>
      <c r="E11288" s="111" t="str">
        <f t="shared" si="11286"/>
        <v>Charlotte</v>
      </c>
    </row>
    <row r="11289" spans="1:5">
      <c r="A11289" s="110" t="s">
        <v>22079</v>
      </c>
      <c r="B11289" s="110" t="s">
        <v>1357</v>
      </c>
      <c r="C11289" s="111" t="s">
        <v>283</v>
      </c>
      <c r="D11289" s="111" t="str">
        <f t="shared" ref="D11289:E11289" si="11287">TRIM(B11289)</f>
        <v>North Carolina</v>
      </c>
      <c r="E11289" s="111" t="str">
        <f t="shared" si="11287"/>
        <v>Charlotte</v>
      </c>
    </row>
    <row r="11290" spans="1:5">
      <c r="A11290" s="3" t="s">
        <v>22080</v>
      </c>
      <c r="B11290" s="110" t="s">
        <v>1357</v>
      </c>
      <c r="C11290" s="111" t="s">
        <v>283</v>
      </c>
      <c r="D11290" s="111" t="str">
        <f t="shared" ref="D11290:E11290" si="11288">TRIM(B11290)</f>
        <v>North Carolina</v>
      </c>
      <c r="E11290" s="111" t="str">
        <f t="shared" si="11288"/>
        <v>Charlotte</v>
      </c>
    </row>
    <row r="11291" spans="1:5">
      <c r="A11291" s="110" t="s">
        <v>10407</v>
      </c>
      <c r="B11291" s="110" t="s">
        <v>1357</v>
      </c>
      <c r="C11291" s="111" t="s">
        <v>283</v>
      </c>
      <c r="D11291" s="111" t="str">
        <f t="shared" ref="D11291:E11291" si="11289">TRIM(B11291)</f>
        <v>North Carolina</v>
      </c>
      <c r="E11291" s="111" t="str">
        <f t="shared" si="11289"/>
        <v>Charlotte</v>
      </c>
    </row>
    <row r="11292" spans="1:5">
      <c r="A11292" s="3" t="s">
        <v>22081</v>
      </c>
      <c r="B11292" s="110" t="s">
        <v>1357</v>
      </c>
      <c r="C11292" s="111" t="s">
        <v>283</v>
      </c>
      <c r="D11292" s="111" t="str">
        <f t="shared" ref="D11292:E11292" si="11290">TRIM(B11292)</f>
        <v>North Carolina</v>
      </c>
      <c r="E11292" s="111" t="str">
        <f t="shared" si="11290"/>
        <v>Charlotte</v>
      </c>
    </row>
    <row r="11293" spans="1:5">
      <c r="A11293" s="3" t="s">
        <v>9515</v>
      </c>
      <c r="B11293" s="110" t="s">
        <v>1357</v>
      </c>
      <c r="C11293" s="111" t="s">
        <v>283</v>
      </c>
      <c r="D11293" s="111" t="str">
        <f t="shared" ref="D11293:E11293" si="11291">TRIM(B11293)</f>
        <v>North Carolina</v>
      </c>
      <c r="E11293" s="111" t="str">
        <f t="shared" si="11291"/>
        <v>Charlotte</v>
      </c>
    </row>
    <row r="11294" spans="1:5">
      <c r="A11294" s="3" t="s">
        <v>22082</v>
      </c>
      <c r="B11294" s="110" t="s">
        <v>1357</v>
      </c>
      <c r="C11294" s="111" t="s">
        <v>283</v>
      </c>
      <c r="D11294" s="111" t="str">
        <f t="shared" ref="D11294:E11294" si="11292">TRIM(B11294)</f>
        <v>North Carolina</v>
      </c>
      <c r="E11294" s="111" t="str">
        <f t="shared" si="11292"/>
        <v>Charlotte</v>
      </c>
    </row>
    <row r="11295" spans="1:5">
      <c r="A11295" s="3" t="s">
        <v>22083</v>
      </c>
      <c r="B11295" s="110" t="s">
        <v>1357</v>
      </c>
      <c r="C11295" s="111" t="s">
        <v>283</v>
      </c>
      <c r="D11295" s="111" t="str">
        <f t="shared" ref="D11295:E11295" si="11293">TRIM(B11295)</f>
        <v>North Carolina</v>
      </c>
      <c r="E11295" s="111" t="str">
        <f t="shared" si="11293"/>
        <v>Charlotte</v>
      </c>
    </row>
    <row r="11296" spans="1:5">
      <c r="A11296" s="3" t="s">
        <v>22084</v>
      </c>
      <c r="B11296" s="110" t="s">
        <v>1357</v>
      </c>
      <c r="C11296" s="111" t="s">
        <v>283</v>
      </c>
      <c r="D11296" s="111" t="str">
        <f t="shared" ref="D11296:E11296" si="11294">TRIM(B11296)</f>
        <v>North Carolina</v>
      </c>
      <c r="E11296" s="111" t="str">
        <f t="shared" si="11294"/>
        <v>Charlotte</v>
      </c>
    </row>
    <row r="11297" spans="1:5">
      <c r="A11297" s="3" t="s">
        <v>22085</v>
      </c>
      <c r="B11297" s="110" t="s">
        <v>1357</v>
      </c>
      <c r="C11297" s="111" t="s">
        <v>283</v>
      </c>
      <c r="D11297" s="111" t="str">
        <f t="shared" ref="D11297:E11297" si="11295">TRIM(B11297)</f>
        <v>North Carolina</v>
      </c>
      <c r="E11297" s="111" t="str">
        <f t="shared" si="11295"/>
        <v>Charlotte</v>
      </c>
    </row>
    <row r="11298" spans="1:5">
      <c r="A11298" s="3" t="s">
        <v>22086</v>
      </c>
      <c r="B11298" s="110" t="s">
        <v>1357</v>
      </c>
      <c r="C11298" s="111" t="s">
        <v>22087</v>
      </c>
      <c r="D11298" s="111" t="str">
        <f t="shared" ref="D11298:E11298" si="11296">TRIM(B11298)</f>
        <v>North Carolina</v>
      </c>
      <c r="E11298" s="111" t="str">
        <f t="shared" si="11296"/>
        <v>Cherryville</v>
      </c>
    </row>
    <row r="11299" spans="1:5">
      <c r="A11299" s="3" t="s">
        <v>19801</v>
      </c>
      <c r="B11299" s="110" t="s">
        <v>1357</v>
      </c>
      <c r="C11299" s="111" t="s">
        <v>22088</v>
      </c>
      <c r="D11299" s="111" t="str">
        <f t="shared" ref="D11299:E11299" si="11297">TRIM(B11299)</f>
        <v>North Carolina</v>
      </c>
      <c r="E11299" s="111" t="str">
        <f t="shared" si="11297"/>
        <v>China Grove</v>
      </c>
    </row>
    <row r="11300" spans="1:5">
      <c r="A11300" s="3" t="s">
        <v>22089</v>
      </c>
      <c r="B11300" s="110" t="s">
        <v>1357</v>
      </c>
      <c r="C11300" s="111" t="s">
        <v>22088</v>
      </c>
      <c r="D11300" s="111" t="str">
        <f t="shared" ref="D11300:E11300" si="11298">TRIM(B11300)</f>
        <v>North Carolina</v>
      </c>
      <c r="E11300" s="111" t="str">
        <f t="shared" si="11298"/>
        <v>China Grove</v>
      </c>
    </row>
    <row r="11301" spans="1:5">
      <c r="A11301" s="3" t="s">
        <v>2160</v>
      </c>
      <c r="B11301" s="110" t="s">
        <v>1357</v>
      </c>
      <c r="C11301" s="111" t="s">
        <v>22090</v>
      </c>
      <c r="D11301" s="111" t="str">
        <f t="shared" ref="D11301:E11301" si="11299">TRIM(B11301)</f>
        <v>North Carolina</v>
      </c>
      <c r="E11301" s="111" t="str">
        <f t="shared" si="11299"/>
        <v>Chocowinity</v>
      </c>
    </row>
    <row r="11302" spans="1:5">
      <c r="A11302" s="3" t="s">
        <v>12133</v>
      </c>
      <c r="B11302" s="110" t="s">
        <v>1357</v>
      </c>
      <c r="C11302" s="111" t="s">
        <v>4692</v>
      </c>
      <c r="D11302" s="111" t="str">
        <f t="shared" ref="D11302:E11302" si="11300">TRIM(B11302)</f>
        <v>North Carolina</v>
      </c>
      <c r="E11302" s="111" t="str">
        <f t="shared" si="11300"/>
        <v>Claremont</v>
      </c>
    </row>
    <row r="11303" spans="1:5">
      <c r="A11303" s="3" t="s">
        <v>18702</v>
      </c>
      <c r="B11303" s="110" t="s">
        <v>1357</v>
      </c>
      <c r="C11303" s="111" t="s">
        <v>1640</v>
      </c>
      <c r="D11303" s="111" t="str">
        <f t="shared" ref="D11303:E11303" si="11301">TRIM(B11303)</f>
        <v>North Carolina</v>
      </c>
      <c r="E11303" s="111" t="str">
        <f t="shared" si="11301"/>
        <v>Clayton</v>
      </c>
    </row>
    <row r="11304" spans="1:5">
      <c r="A11304" s="3" t="s">
        <v>1642</v>
      </c>
      <c r="B11304" s="110" t="s">
        <v>1357</v>
      </c>
      <c r="C11304" s="111" t="s">
        <v>1640</v>
      </c>
      <c r="D11304" s="111" t="str">
        <f t="shared" ref="D11304:E11304" si="11302">TRIM(B11304)</f>
        <v>North Carolina</v>
      </c>
      <c r="E11304" s="111" t="str">
        <f t="shared" si="11302"/>
        <v>Clayton</v>
      </c>
    </row>
    <row r="11305" spans="1:5">
      <c r="A11305" s="3" t="s">
        <v>10610</v>
      </c>
      <c r="B11305" s="110" t="s">
        <v>1357</v>
      </c>
      <c r="C11305" s="111" t="s">
        <v>22091</v>
      </c>
      <c r="D11305" s="111" t="str">
        <f t="shared" ref="D11305:E11305" si="11303">TRIM(B11305)</f>
        <v>North Carolina</v>
      </c>
      <c r="E11305" s="111" t="str">
        <f t="shared" si="11303"/>
        <v>Clemmons</v>
      </c>
    </row>
    <row r="11306" spans="1:5">
      <c r="A11306" s="3" t="s">
        <v>22092</v>
      </c>
      <c r="B11306" s="110" t="s">
        <v>1357</v>
      </c>
      <c r="C11306" s="111" t="s">
        <v>17064</v>
      </c>
      <c r="D11306" s="111" t="str">
        <f t="shared" ref="D11306:E11306" si="11304">TRIM(B11306)</f>
        <v>North Carolina</v>
      </c>
      <c r="E11306" s="111" t="str">
        <f t="shared" si="11304"/>
        <v>Climax</v>
      </c>
    </row>
    <row r="11307" spans="1:5">
      <c r="A11307" s="3" t="s">
        <v>3695</v>
      </c>
      <c r="B11307" s="110" t="s">
        <v>1357</v>
      </c>
      <c r="C11307" s="111" t="s">
        <v>3697</v>
      </c>
      <c r="D11307" s="111" t="str">
        <f t="shared" ref="D11307:E11307" si="11305">TRIM(B11307)</f>
        <v>North Carolina</v>
      </c>
      <c r="E11307" s="111" t="str">
        <f t="shared" si="11305"/>
        <v>Clinton</v>
      </c>
    </row>
    <row r="11308" spans="1:5">
      <c r="A11308" s="3" t="s">
        <v>22093</v>
      </c>
      <c r="B11308" s="110" t="s">
        <v>1357</v>
      </c>
      <c r="C11308" s="111" t="s">
        <v>3697</v>
      </c>
      <c r="D11308" s="111" t="str">
        <f t="shared" ref="D11308:E11308" si="11306">TRIM(B11308)</f>
        <v>North Carolina</v>
      </c>
      <c r="E11308" s="111" t="str">
        <f t="shared" si="11306"/>
        <v>Clinton</v>
      </c>
    </row>
    <row r="11309" spans="1:5">
      <c r="A11309" s="110" t="s">
        <v>22094</v>
      </c>
      <c r="B11309" s="110" t="s">
        <v>1357</v>
      </c>
      <c r="C11309" s="111" t="s">
        <v>15226</v>
      </c>
      <c r="D11309" s="111" t="str">
        <f t="shared" ref="D11309:E11309" si="11307">TRIM(B11309)</f>
        <v>North Carolina</v>
      </c>
      <c r="E11309" s="111" t="str">
        <f t="shared" si="11307"/>
        <v>Clyde</v>
      </c>
    </row>
    <row r="11310" spans="1:5">
      <c r="A11310" s="3" t="s">
        <v>1870</v>
      </c>
      <c r="B11310" s="110" t="s">
        <v>1357</v>
      </c>
      <c r="C11310" s="111" t="s">
        <v>356</v>
      </c>
      <c r="D11310" s="111" t="str">
        <f t="shared" ref="D11310:E11310" si="11308">TRIM(B11310)</f>
        <v>North Carolina</v>
      </c>
      <c r="E11310" s="111" t="str">
        <f t="shared" si="11308"/>
        <v>Columbia</v>
      </c>
    </row>
    <row r="11311" spans="1:5">
      <c r="A11311" s="110" t="s">
        <v>22095</v>
      </c>
      <c r="B11311" s="110" t="s">
        <v>1357</v>
      </c>
      <c r="C11311" s="111" t="s">
        <v>138</v>
      </c>
      <c r="D11311" s="111" t="str">
        <f t="shared" ref="D11311:E11311" si="11309">TRIM(B11311)</f>
        <v>North Carolina</v>
      </c>
      <c r="E11311" s="111" t="str">
        <f t="shared" si="11309"/>
        <v>Columbus</v>
      </c>
    </row>
    <row r="11312" spans="1:5">
      <c r="A11312" s="3" t="s">
        <v>22096</v>
      </c>
      <c r="B11312" s="110" t="s">
        <v>1357</v>
      </c>
      <c r="C11312" s="111" t="s">
        <v>138</v>
      </c>
      <c r="D11312" s="111" t="str">
        <f t="shared" ref="D11312:E11312" si="11310">TRIM(B11312)</f>
        <v>North Carolina</v>
      </c>
      <c r="E11312" s="111" t="str">
        <f t="shared" si="11310"/>
        <v>Columbus</v>
      </c>
    </row>
    <row r="11313" spans="1:5">
      <c r="A11313" s="110" t="s">
        <v>22097</v>
      </c>
      <c r="B11313" s="110" t="s">
        <v>1357</v>
      </c>
      <c r="C11313" s="111" t="s">
        <v>286</v>
      </c>
      <c r="D11313" s="111" t="str">
        <f t="shared" ref="D11313:E11313" si="11311">TRIM(B11313)</f>
        <v>North Carolina</v>
      </c>
      <c r="E11313" s="111" t="str">
        <f t="shared" si="11311"/>
        <v>Concord</v>
      </c>
    </row>
    <row r="11314" spans="1:5">
      <c r="A11314" s="3" t="s">
        <v>22098</v>
      </c>
      <c r="B11314" s="110" t="s">
        <v>1357</v>
      </c>
      <c r="C11314" s="111" t="s">
        <v>286</v>
      </c>
      <c r="D11314" s="111" t="str">
        <f t="shared" ref="D11314:E11314" si="11312">TRIM(B11314)</f>
        <v>North Carolina</v>
      </c>
      <c r="E11314" s="111" t="str">
        <f t="shared" si="11312"/>
        <v>Concord</v>
      </c>
    </row>
    <row r="11315" spans="1:5">
      <c r="A11315" s="3" t="s">
        <v>3702</v>
      </c>
      <c r="B11315" s="110" t="s">
        <v>1357</v>
      </c>
      <c r="C11315" s="111" t="s">
        <v>286</v>
      </c>
      <c r="D11315" s="111" t="str">
        <f t="shared" ref="D11315:E11315" si="11313">TRIM(B11315)</f>
        <v>North Carolina</v>
      </c>
      <c r="E11315" s="111" t="str">
        <f t="shared" si="11313"/>
        <v>Concord</v>
      </c>
    </row>
    <row r="11316" spans="1:5">
      <c r="A11316" s="3" t="s">
        <v>22099</v>
      </c>
      <c r="B11316" s="110" t="s">
        <v>1357</v>
      </c>
      <c r="C11316" s="111" t="s">
        <v>286</v>
      </c>
      <c r="D11316" s="111" t="str">
        <f t="shared" ref="D11316:E11316" si="11314">TRIM(B11316)</f>
        <v>North Carolina</v>
      </c>
      <c r="E11316" s="111" t="str">
        <f t="shared" si="11314"/>
        <v>Concord</v>
      </c>
    </row>
    <row r="11317" spans="1:5">
      <c r="A11317" s="3" t="s">
        <v>22100</v>
      </c>
      <c r="B11317" s="110" t="s">
        <v>1357</v>
      </c>
      <c r="C11317" s="111" t="s">
        <v>286</v>
      </c>
      <c r="D11317" s="111" t="str">
        <f t="shared" ref="D11317:E11317" si="11315">TRIM(B11317)</f>
        <v>North Carolina</v>
      </c>
      <c r="E11317" s="111" t="str">
        <f t="shared" si="11315"/>
        <v>Concord</v>
      </c>
    </row>
    <row r="11318" spans="1:5">
      <c r="A11318" s="3" t="s">
        <v>22101</v>
      </c>
      <c r="B11318" s="110" t="s">
        <v>1357</v>
      </c>
      <c r="C11318" s="111" t="s">
        <v>286</v>
      </c>
      <c r="D11318" s="111" t="str">
        <f t="shared" ref="D11318:E11318" si="11316">TRIM(B11318)</f>
        <v>North Carolina</v>
      </c>
      <c r="E11318" s="111" t="str">
        <f t="shared" si="11316"/>
        <v>Concord</v>
      </c>
    </row>
    <row r="11319" spans="1:5">
      <c r="A11319" s="3" t="s">
        <v>22102</v>
      </c>
      <c r="B11319" s="110" t="s">
        <v>1357</v>
      </c>
      <c r="C11319" s="111" t="s">
        <v>22103</v>
      </c>
      <c r="D11319" s="111" t="str">
        <f t="shared" ref="D11319:E11319" si="11317">TRIM(B11319)</f>
        <v>North Carolina</v>
      </c>
      <c r="E11319" s="111" t="str">
        <f t="shared" si="11317"/>
        <v>Connelly Springs</v>
      </c>
    </row>
    <row r="11320" spans="1:5">
      <c r="A11320" s="3" t="s">
        <v>22104</v>
      </c>
      <c r="B11320" s="110" t="s">
        <v>1357</v>
      </c>
      <c r="C11320" s="111" t="s">
        <v>22105</v>
      </c>
      <c r="D11320" s="111" t="str">
        <f t="shared" ref="D11320:E11320" si="11318">TRIM(B11320)</f>
        <v>North Carolina</v>
      </c>
      <c r="E11320" s="111" t="str">
        <f t="shared" si="11318"/>
        <v>Cornelius</v>
      </c>
    </row>
    <row r="11321" spans="1:5">
      <c r="A11321" s="3" t="s">
        <v>22106</v>
      </c>
      <c r="B11321" s="110" t="s">
        <v>1357</v>
      </c>
      <c r="C11321" s="112" t="s">
        <v>22107</v>
      </c>
      <c r="D11321" s="111" t="str">
        <f t="shared" ref="D11321:E11321" si="11319">TRIM(B11321)</f>
        <v>North Carolina</v>
      </c>
      <c r="E11321" s="111" t="str">
        <f t="shared" si="11319"/>
        <v>Creedmoor</v>
      </c>
    </row>
    <row r="11322" spans="1:5">
      <c r="A11322" s="3" t="s">
        <v>22108</v>
      </c>
      <c r="B11322" s="110" t="s">
        <v>1357</v>
      </c>
      <c r="C11322" s="111" t="s">
        <v>22107</v>
      </c>
      <c r="D11322" s="111" t="str">
        <f t="shared" ref="D11322:E11322" si="11320">TRIM(B11322)</f>
        <v>North Carolina</v>
      </c>
      <c r="E11322" s="111" t="str">
        <f t="shared" si="11320"/>
        <v>Creedmoor</v>
      </c>
    </row>
    <row r="11323" spans="1:5">
      <c r="A11323" s="110" t="s">
        <v>22109</v>
      </c>
      <c r="B11323" s="110" t="s">
        <v>1357</v>
      </c>
      <c r="C11323" s="111" t="s">
        <v>22110</v>
      </c>
      <c r="D11323" s="111" t="str">
        <f t="shared" ref="D11323:E11323" si="11321">TRIM(B11323)</f>
        <v>North Carolina</v>
      </c>
      <c r="E11323" s="111" t="str">
        <f t="shared" si="11321"/>
        <v>Currituck</v>
      </c>
    </row>
    <row r="11324" spans="1:5">
      <c r="A11324" s="3" t="s">
        <v>22111</v>
      </c>
      <c r="B11324" s="110" t="s">
        <v>1357</v>
      </c>
      <c r="C11324" s="111" t="s">
        <v>252</v>
      </c>
      <c r="D11324" s="111" t="str">
        <f t="shared" ref="D11324:E11324" si="11322">TRIM(B11324)</f>
        <v>North Carolina</v>
      </c>
      <c r="E11324" s="111" t="str">
        <f t="shared" si="11322"/>
        <v>Dallas</v>
      </c>
    </row>
    <row r="11325" spans="1:5">
      <c r="A11325" s="3" t="s">
        <v>22112</v>
      </c>
      <c r="B11325" s="110" t="s">
        <v>1357</v>
      </c>
      <c r="C11325" s="111" t="s">
        <v>252</v>
      </c>
      <c r="D11325" s="111" t="str">
        <f t="shared" ref="D11325:E11325" si="11323">TRIM(B11325)</f>
        <v>North Carolina</v>
      </c>
      <c r="E11325" s="111" t="str">
        <f t="shared" si="11323"/>
        <v>Dallas</v>
      </c>
    </row>
    <row r="11326" spans="1:5">
      <c r="A11326" s="3" t="s">
        <v>22113</v>
      </c>
      <c r="B11326" s="110" t="s">
        <v>1357</v>
      </c>
      <c r="C11326" s="111" t="s">
        <v>8404</v>
      </c>
      <c r="D11326" s="111" t="str">
        <f t="shared" ref="D11326:E11326" si="11324">TRIM(B11326)</f>
        <v>North Carolina</v>
      </c>
      <c r="E11326" s="111" t="str">
        <f t="shared" si="11324"/>
        <v>Danbury</v>
      </c>
    </row>
    <row r="11327" spans="1:5">
      <c r="A11327" s="110" t="s">
        <v>22114</v>
      </c>
      <c r="B11327" s="110" t="s">
        <v>1357</v>
      </c>
      <c r="C11327" s="111" t="s">
        <v>8404</v>
      </c>
      <c r="D11327" s="111" t="str">
        <f t="shared" ref="D11327:E11327" si="11325">TRIM(B11327)</f>
        <v>North Carolina</v>
      </c>
      <c r="E11327" s="111" t="str">
        <f t="shared" si="11325"/>
        <v>Danbury</v>
      </c>
    </row>
    <row r="11328" spans="1:5">
      <c r="A11328" s="3" t="s">
        <v>22115</v>
      </c>
      <c r="B11328" s="110" t="s">
        <v>1357</v>
      </c>
      <c r="C11328" s="111" t="s">
        <v>22116</v>
      </c>
      <c r="D11328" s="111" t="str">
        <f t="shared" ref="D11328:E11328" si="11326">TRIM(B11328)</f>
        <v>North Carolina</v>
      </c>
      <c r="E11328" s="111" t="str">
        <f t="shared" si="11326"/>
        <v>Deep Run</v>
      </c>
    </row>
    <row r="11329" spans="1:5">
      <c r="A11329" s="3" t="s">
        <v>22117</v>
      </c>
      <c r="B11329" s="110" t="s">
        <v>1357</v>
      </c>
      <c r="C11329" s="111" t="s">
        <v>808</v>
      </c>
      <c r="D11329" s="111" t="str">
        <f t="shared" ref="D11329:E11329" si="11327">TRIM(B11329)</f>
        <v>North Carolina</v>
      </c>
      <c r="E11329" s="111" t="str">
        <f t="shared" si="11327"/>
        <v>Denton</v>
      </c>
    </row>
    <row r="11330" spans="1:5">
      <c r="A11330" s="3" t="s">
        <v>22118</v>
      </c>
      <c r="B11330" s="110" t="s">
        <v>1357</v>
      </c>
      <c r="C11330" s="111" t="s">
        <v>7781</v>
      </c>
      <c r="D11330" s="111" t="str">
        <f t="shared" ref="D11330:E11330" si="11328">TRIM(B11330)</f>
        <v>North Carolina</v>
      </c>
      <c r="E11330" s="111" t="str">
        <f t="shared" si="11328"/>
        <v>Denver</v>
      </c>
    </row>
    <row r="11331" spans="1:5">
      <c r="A11331" s="3" t="s">
        <v>22119</v>
      </c>
      <c r="B11331" s="110" t="s">
        <v>1357</v>
      </c>
      <c r="C11331" s="111" t="s">
        <v>22120</v>
      </c>
      <c r="D11331" s="111" t="str">
        <f t="shared" ref="D11331:E11331" si="11329">TRIM(B11331)</f>
        <v>North Carolina</v>
      </c>
      <c r="E11331" s="111" t="str">
        <f t="shared" si="11329"/>
        <v>Dobson</v>
      </c>
    </row>
    <row r="11332" spans="1:5">
      <c r="A11332" s="110" t="s">
        <v>22121</v>
      </c>
      <c r="B11332" s="110" t="s">
        <v>1357</v>
      </c>
      <c r="C11332" s="111" t="s">
        <v>22120</v>
      </c>
      <c r="D11332" s="111" t="str">
        <f t="shared" ref="D11332:E11332" si="11330">TRIM(B11332)</f>
        <v>North Carolina</v>
      </c>
      <c r="E11332" s="111" t="str">
        <f t="shared" si="11330"/>
        <v>Dobson</v>
      </c>
    </row>
    <row r="11333" spans="1:5">
      <c r="A11333" s="3" t="s">
        <v>22122</v>
      </c>
      <c r="B11333" s="110" t="s">
        <v>1357</v>
      </c>
      <c r="C11333" s="111" t="s">
        <v>16623</v>
      </c>
      <c r="D11333" s="111" t="str">
        <f t="shared" ref="D11333:E11333" si="11331">TRIM(B11333)</f>
        <v>North Carolina</v>
      </c>
      <c r="E11333" s="111" t="str">
        <f t="shared" si="11331"/>
        <v>Dudley</v>
      </c>
    </row>
    <row r="11334" spans="1:5">
      <c r="A11334" s="110" t="s">
        <v>22123</v>
      </c>
      <c r="B11334" s="110" t="s">
        <v>1357</v>
      </c>
      <c r="C11334" s="111" t="s">
        <v>22124</v>
      </c>
      <c r="D11334" s="111" t="str">
        <f t="shared" ref="D11334:E11334" si="11332">TRIM(B11334)</f>
        <v>North Carolina</v>
      </c>
      <c r="E11334" s="111" t="str">
        <f t="shared" si="11332"/>
        <v>Dunn</v>
      </c>
    </row>
    <row r="11335" spans="1:5">
      <c r="A11335" s="3" t="s">
        <v>22125</v>
      </c>
      <c r="B11335" s="110" t="s">
        <v>1357</v>
      </c>
      <c r="C11335" s="111" t="s">
        <v>4872</v>
      </c>
      <c r="D11335" s="111" t="str">
        <f t="shared" ref="D11335:E11335" si="11333">TRIM(B11335)</f>
        <v>North Carolina</v>
      </c>
      <c r="E11335" s="111" t="str">
        <f t="shared" si="11333"/>
        <v>Durham</v>
      </c>
    </row>
    <row r="11336" spans="1:5">
      <c r="A11336" s="3" t="s">
        <v>22126</v>
      </c>
      <c r="B11336" s="110" t="s">
        <v>1357</v>
      </c>
      <c r="C11336" s="111" t="s">
        <v>4872</v>
      </c>
      <c r="D11336" s="111" t="str">
        <f t="shared" ref="D11336:E11336" si="11334">TRIM(B11336)</f>
        <v>North Carolina</v>
      </c>
      <c r="E11336" s="111" t="str">
        <f t="shared" si="11334"/>
        <v>Durham</v>
      </c>
    </row>
    <row r="11337" spans="1:5">
      <c r="A11337" s="110" t="s">
        <v>22127</v>
      </c>
      <c r="B11337" s="110" t="s">
        <v>1357</v>
      </c>
      <c r="C11337" s="111" t="s">
        <v>4872</v>
      </c>
      <c r="D11337" s="111" t="str">
        <f t="shared" ref="D11337:E11337" si="11335">TRIM(B11337)</f>
        <v>North Carolina</v>
      </c>
      <c r="E11337" s="111" t="str">
        <f t="shared" si="11335"/>
        <v>Durham</v>
      </c>
    </row>
    <row r="11338" spans="1:5">
      <c r="A11338" s="3" t="s">
        <v>20191</v>
      </c>
      <c r="B11338" s="110" t="s">
        <v>1357</v>
      </c>
      <c r="C11338" s="111" t="s">
        <v>4872</v>
      </c>
      <c r="D11338" s="111" t="str">
        <f t="shared" ref="D11338:E11338" si="11336">TRIM(B11338)</f>
        <v>North Carolina</v>
      </c>
      <c r="E11338" s="111" t="str">
        <f t="shared" si="11336"/>
        <v>Durham</v>
      </c>
    </row>
    <row r="11339" spans="1:5">
      <c r="A11339" s="3" t="s">
        <v>22128</v>
      </c>
      <c r="B11339" s="110" t="s">
        <v>1357</v>
      </c>
      <c r="C11339" s="111" t="s">
        <v>4872</v>
      </c>
      <c r="D11339" s="111" t="str">
        <f t="shared" ref="D11339:E11339" si="11337">TRIM(B11339)</f>
        <v>North Carolina</v>
      </c>
      <c r="E11339" s="111" t="str">
        <f t="shared" si="11337"/>
        <v>Durham</v>
      </c>
    </row>
    <row r="11340" spans="1:5">
      <c r="A11340" s="3" t="s">
        <v>22129</v>
      </c>
      <c r="B11340" s="110" t="s">
        <v>1357</v>
      </c>
      <c r="C11340" s="111" t="s">
        <v>4872</v>
      </c>
      <c r="D11340" s="111" t="str">
        <f t="shared" ref="D11340:E11340" si="11338">TRIM(B11340)</f>
        <v>North Carolina</v>
      </c>
      <c r="E11340" s="111" t="str">
        <f t="shared" si="11338"/>
        <v>Durham</v>
      </c>
    </row>
    <row r="11341" spans="1:5">
      <c r="A11341" s="3" t="s">
        <v>22130</v>
      </c>
      <c r="B11341" s="110" t="s">
        <v>1357</v>
      </c>
      <c r="C11341" s="111" t="s">
        <v>4872</v>
      </c>
      <c r="D11341" s="111" t="str">
        <f t="shared" ref="D11341:E11341" si="11339">TRIM(B11341)</f>
        <v>North Carolina</v>
      </c>
      <c r="E11341" s="111" t="str">
        <f t="shared" si="11339"/>
        <v>Durham</v>
      </c>
    </row>
    <row r="11342" spans="1:5">
      <c r="A11342" s="3" t="s">
        <v>16462</v>
      </c>
      <c r="B11342" s="110" t="s">
        <v>1357</v>
      </c>
      <c r="C11342" s="111" t="s">
        <v>4872</v>
      </c>
      <c r="D11342" s="111" t="str">
        <f t="shared" ref="D11342:E11342" si="11340">TRIM(B11342)</f>
        <v>North Carolina</v>
      </c>
      <c r="E11342" s="111" t="str">
        <f t="shared" si="11340"/>
        <v>Durham</v>
      </c>
    </row>
    <row r="11343" spans="1:5">
      <c r="A11343" s="3" t="s">
        <v>3921</v>
      </c>
      <c r="B11343" s="110" t="s">
        <v>1357</v>
      </c>
      <c r="C11343" s="111" t="s">
        <v>4872</v>
      </c>
      <c r="D11343" s="111" t="str">
        <f t="shared" ref="D11343:E11343" si="11341">TRIM(B11343)</f>
        <v>North Carolina</v>
      </c>
      <c r="E11343" s="111" t="str">
        <f t="shared" si="11341"/>
        <v>Durham</v>
      </c>
    </row>
    <row r="11344" spans="1:5">
      <c r="A11344" s="110" t="s">
        <v>22131</v>
      </c>
      <c r="B11344" s="110" t="s">
        <v>1357</v>
      </c>
      <c r="C11344" s="111" t="s">
        <v>4872</v>
      </c>
      <c r="D11344" s="111" t="str">
        <f t="shared" ref="D11344:E11344" si="11342">TRIM(B11344)</f>
        <v>North Carolina</v>
      </c>
      <c r="E11344" s="111" t="str">
        <f t="shared" si="11342"/>
        <v>Durham</v>
      </c>
    </row>
    <row r="11345" spans="1:5">
      <c r="A11345" s="110" t="s">
        <v>22132</v>
      </c>
      <c r="B11345" s="110" t="s">
        <v>1357</v>
      </c>
      <c r="C11345" s="111" t="s">
        <v>4872</v>
      </c>
      <c r="D11345" s="111" t="str">
        <f t="shared" ref="D11345:E11345" si="11343">TRIM(B11345)</f>
        <v>North Carolina</v>
      </c>
      <c r="E11345" s="111" t="str">
        <f t="shared" si="11343"/>
        <v>Durham</v>
      </c>
    </row>
    <row r="11346" spans="1:5">
      <c r="A11346" s="3" t="s">
        <v>22133</v>
      </c>
      <c r="B11346" s="110" t="s">
        <v>1357</v>
      </c>
      <c r="C11346" s="111" t="s">
        <v>22134</v>
      </c>
      <c r="D11346" s="111" t="str">
        <f t="shared" ref="D11346:E11346" si="11344">TRIM(B11346)</f>
        <v>North Carolina</v>
      </c>
      <c r="E11346" s="111" t="str">
        <f t="shared" si="11344"/>
        <v>East Bend</v>
      </c>
    </row>
    <row r="11347" spans="1:5">
      <c r="A11347" s="3" t="s">
        <v>22135</v>
      </c>
      <c r="B11347" s="110" t="s">
        <v>1357</v>
      </c>
      <c r="C11347" s="111" t="s">
        <v>22136</v>
      </c>
      <c r="D11347" s="111" t="str">
        <f t="shared" ref="D11347:E11347" si="11345">TRIM(B11347)</f>
        <v>North Carolina</v>
      </c>
      <c r="E11347" s="111" t="str">
        <f t="shared" si="11345"/>
        <v>East Flat Rock</v>
      </c>
    </row>
    <row r="11348" spans="1:5">
      <c r="A11348" s="3" t="s">
        <v>22137</v>
      </c>
      <c r="B11348" s="110" t="s">
        <v>1357</v>
      </c>
      <c r="C11348" s="111" t="s">
        <v>21175</v>
      </c>
      <c r="D11348" s="111" t="str">
        <f t="shared" ref="D11348:E11348" si="11346">TRIM(B11348)</f>
        <v>North Carolina</v>
      </c>
      <c r="E11348" s="111" t="str">
        <f t="shared" si="11346"/>
        <v>Eden</v>
      </c>
    </row>
    <row r="11349" spans="1:5">
      <c r="A11349" s="3" t="s">
        <v>22138</v>
      </c>
      <c r="B11349" s="110" t="s">
        <v>1357</v>
      </c>
      <c r="C11349" s="111" t="s">
        <v>22139</v>
      </c>
      <c r="D11349" s="111" t="str">
        <f t="shared" ref="D11349:E11349" si="11347">TRIM(B11349)</f>
        <v>North Carolina</v>
      </c>
      <c r="E11349" s="111" t="str">
        <f t="shared" si="11347"/>
        <v>Edenton</v>
      </c>
    </row>
    <row r="11350" spans="1:5">
      <c r="A11350" s="3" t="s">
        <v>22140</v>
      </c>
      <c r="B11350" s="110" t="s">
        <v>1357</v>
      </c>
      <c r="C11350" s="111" t="s">
        <v>12623</v>
      </c>
      <c r="D11350" s="111" t="str">
        <f t="shared" ref="D11350:E11350" si="11348">TRIM(B11350)</f>
        <v>North Carolina</v>
      </c>
      <c r="E11350" s="111" t="str">
        <f t="shared" si="11348"/>
        <v>Elizabeth City</v>
      </c>
    </row>
    <row r="11351" spans="1:5">
      <c r="A11351" s="3" t="s">
        <v>14338</v>
      </c>
      <c r="B11351" s="110" t="s">
        <v>1357</v>
      </c>
      <c r="C11351" s="111" t="s">
        <v>12623</v>
      </c>
      <c r="D11351" s="111" t="str">
        <f t="shared" ref="D11351:E11351" si="11349">TRIM(B11351)</f>
        <v>North Carolina</v>
      </c>
      <c r="E11351" s="111" t="str">
        <f t="shared" si="11349"/>
        <v>Elizabeth City</v>
      </c>
    </row>
    <row r="11352" spans="1:5">
      <c r="A11352" s="3" t="s">
        <v>22141</v>
      </c>
      <c r="B11352" s="110" t="s">
        <v>1357</v>
      </c>
      <c r="C11352" s="111" t="s">
        <v>12623</v>
      </c>
      <c r="D11352" s="111" t="str">
        <f t="shared" ref="D11352:E11352" si="11350">TRIM(B11352)</f>
        <v>North Carolina</v>
      </c>
      <c r="E11352" s="111" t="str">
        <f t="shared" si="11350"/>
        <v>Elizabeth City</v>
      </c>
    </row>
    <row r="11353" spans="1:5">
      <c r="A11353" s="3" t="s">
        <v>22142</v>
      </c>
      <c r="B11353" s="110" t="s">
        <v>1357</v>
      </c>
      <c r="C11353" s="111" t="s">
        <v>6000</v>
      </c>
      <c r="D11353" s="111" t="str">
        <f t="shared" ref="D11353:E11353" si="11351">TRIM(B11353)</f>
        <v>North Carolina</v>
      </c>
      <c r="E11353" s="111" t="str">
        <f t="shared" si="11351"/>
        <v>Elizabethtown</v>
      </c>
    </row>
    <row r="11354" spans="1:5">
      <c r="A11354" s="3" t="s">
        <v>22143</v>
      </c>
      <c r="B11354" s="110" t="s">
        <v>1357</v>
      </c>
      <c r="C11354" s="111" t="s">
        <v>6000</v>
      </c>
      <c r="D11354" s="111" t="str">
        <f t="shared" ref="D11354:E11354" si="11352">TRIM(B11354)</f>
        <v>North Carolina</v>
      </c>
      <c r="E11354" s="111" t="str">
        <f t="shared" si="11352"/>
        <v>Elizabethtown</v>
      </c>
    </row>
    <row r="11355" spans="1:5">
      <c r="A11355" s="3" t="s">
        <v>22144</v>
      </c>
      <c r="B11355" s="110" t="s">
        <v>1357</v>
      </c>
      <c r="C11355" s="111" t="s">
        <v>22145</v>
      </c>
      <c r="D11355" s="111" t="str">
        <f t="shared" ref="D11355:E11355" si="11353">TRIM(B11355)</f>
        <v>North Carolina</v>
      </c>
      <c r="E11355" s="111" t="str">
        <f t="shared" si="11353"/>
        <v>Elkin</v>
      </c>
    </row>
    <row r="11356" spans="1:5">
      <c r="A11356" s="3" t="s">
        <v>22146</v>
      </c>
      <c r="B11356" s="110" t="s">
        <v>1357</v>
      </c>
      <c r="C11356" s="111" t="s">
        <v>22147</v>
      </c>
      <c r="D11356" s="111" t="str">
        <f t="shared" ref="D11356:E11356" si="11354">TRIM(B11356)</f>
        <v>North Carolina</v>
      </c>
      <c r="E11356" s="111" t="str">
        <f t="shared" si="11354"/>
        <v>Elon</v>
      </c>
    </row>
    <row r="11357" spans="1:5">
      <c r="A11357" s="3" t="s">
        <v>17849</v>
      </c>
      <c r="B11357" s="110" t="s">
        <v>1357</v>
      </c>
      <c r="C11357" s="111" t="s">
        <v>22148</v>
      </c>
      <c r="D11357" s="111" t="str">
        <f t="shared" ref="D11357:E11357" si="11355">TRIM(B11357)</f>
        <v>North Carolina</v>
      </c>
      <c r="E11357" s="111" t="str">
        <f t="shared" si="11355"/>
        <v>Erwin</v>
      </c>
    </row>
    <row r="11358" spans="1:5">
      <c r="A11358" s="3" t="s">
        <v>22149</v>
      </c>
      <c r="B11358" s="110" t="s">
        <v>1357</v>
      </c>
      <c r="C11358" s="111" t="s">
        <v>17882</v>
      </c>
      <c r="D11358" s="111" t="str">
        <f t="shared" ref="D11358:E11358" si="11356">TRIM(B11358)</f>
        <v>North Carolina</v>
      </c>
      <c r="E11358" s="111" t="str">
        <f t="shared" si="11356"/>
        <v>Fairmont</v>
      </c>
    </row>
    <row r="11359" spans="1:5">
      <c r="A11359" s="3" t="s">
        <v>22150</v>
      </c>
      <c r="B11359" s="110" t="s">
        <v>1357</v>
      </c>
      <c r="C11359" s="111" t="s">
        <v>13977</v>
      </c>
      <c r="D11359" s="111" t="str">
        <f t="shared" ref="D11359:E11359" si="11357">TRIM(B11359)</f>
        <v>North Carolina</v>
      </c>
      <c r="E11359" s="111" t="str">
        <f t="shared" si="11357"/>
        <v>Farmville</v>
      </c>
    </row>
    <row r="11360" spans="1:5">
      <c r="A11360" s="3" t="s">
        <v>22151</v>
      </c>
      <c r="B11360" s="110" t="s">
        <v>1357</v>
      </c>
      <c r="C11360" s="111" t="s">
        <v>554</v>
      </c>
      <c r="D11360" s="111" t="str">
        <f t="shared" ref="D11360:E11360" si="11358">TRIM(B11360)</f>
        <v>North Carolina</v>
      </c>
      <c r="E11360" s="111" t="str">
        <f t="shared" si="11358"/>
        <v>Fayetteville</v>
      </c>
    </row>
    <row r="11361" spans="1:5">
      <c r="A11361" s="110" t="s">
        <v>22152</v>
      </c>
      <c r="B11361" s="110" t="s">
        <v>1357</v>
      </c>
      <c r="C11361" s="111" t="s">
        <v>554</v>
      </c>
      <c r="D11361" s="111" t="str">
        <f t="shared" ref="D11361:E11361" si="11359">TRIM(B11361)</f>
        <v>North Carolina</v>
      </c>
      <c r="E11361" s="111" t="str">
        <f t="shared" si="11359"/>
        <v>Fayetteville</v>
      </c>
    </row>
    <row r="11362" spans="1:5">
      <c r="A11362" s="110" t="s">
        <v>22153</v>
      </c>
      <c r="B11362" s="110" t="s">
        <v>1357</v>
      </c>
      <c r="C11362" s="111" t="s">
        <v>554</v>
      </c>
      <c r="D11362" s="111" t="str">
        <f t="shared" ref="D11362:E11362" si="11360">TRIM(B11362)</f>
        <v>North Carolina</v>
      </c>
      <c r="E11362" s="111" t="str">
        <f t="shared" si="11360"/>
        <v>Fayetteville</v>
      </c>
    </row>
    <row r="11363" spans="1:5">
      <c r="A11363" s="110" t="s">
        <v>22154</v>
      </c>
      <c r="B11363" s="110" t="s">
        <v>1357</v>
      </c>
      <c r="C11363" s="111" t="s">
        <v>554</v>
      </c>
      <c r="D11363" s="111" t="str">
        <f t="shared" ref="D11363:E11363" si="11361">TRIM(B11363)</f>
        <v>North Carolina</v>
      </c>
      <c r="E11363" s="111" t="str">
        <f t="shared" si="11361"/>
        <v>Fayetteville</v>
      </c>
    </row>
    <row r="11364" spans="1:5">
      <c r="A11364" s="3" t="s">
        <v>22155</v>
      </c>
      <c r="B11364" s="110" t="s">
        <v>1357</v>
      </c>
      <c r="C11364" s="111" t="s">
        <v>554</v>
      </c>
      <c r="D11364" s="111" t="str">
        <f t="shared" ref="D11364:E11364" si="11362">TRIM(B11364)</f>
        <v>North Carolina</v>
      </c>
      <c r="E11364" s="111" t="str">
        <f t="shared" si="11362"/>
        <v>Fayetteville</v>
      </c>
    </row>
    <row r="11365" spans="1:5">
      <c r="A11365" s="3" t="s">
        <v>22156</v>
      </c>
      <c r="B11365" s="110" t="s">
        <v>1357</v>
      </c>
      <c r="C11365" s="111" t="s">
        <v>554</v>
      </c>
      <c r="D11365" s="111" t="str">
        <f t="shared" ref="D11365:E11365" si="11363">TRIM(B11365)</f>
        <v>North Carolina</v>
      </c>
      <c r="E11365" s="111" t="str">
        <f t="shared" si="11363"/>
        <v>Fayetteville</v>
      </c>
    </row>
    <row r="11366" spans="1:5">
      <c r="A11366" s="3" t="s">
        <v>22157</v>
      </c>
      <c r="B11366" s="110" t="s">
        <v>1357</v>
      </c>
      <c r="C11366" s="111" t="s">
        <v>554</v>
      </c>
      <c r="D11366" s="111" t="str">
        <f t="shared" ref="D11366:E11366" si="11364">TRIM(B11366)</f>
        <v>North Carolina</v>
      </c>
      <c r="E11366" s="111" t="str">
        <f t="shared" si="11364"/>
        <v>Fayetteville</v>
      </c>
    </row>
    <row r="11367" spans="1:5">
      <c r="A11367" s="3" t="s">
        <v>22158</v>
      </c>
      <c r="B11367" s="110" t="s">
        <v>1357</v>
      </c>
      <c r="C11367" s="111" t="s">
        <v>554</v>
      </c>
      <c r="D11367" s="111" t="str">
        <f t="shared" ref="D11367:E11367" si="11365">TRIM(B11367)</f>
        <v>North Carolina</v>
      </c>
      <c r="E11367" s="111" t="str">
        <f t="shared" si="11365"/>
        <v>Fayetteville</v>
      </c>
    </row>
    <row r="11368" spans="1:5">
      <c r="A11368" s="3" t="s">
        <v>9949</v>
      </c>
      <c r="B11368" s="110" t="s">
        <v>1357</v>
      </c>
      <c r="C11368" s="111" t="s">
        <v>554</v>
      </c>
      <c r="D11368" s="111" t="str">
        <f t="shared" ref="D11368:E11368" si="11366">TRIM(B11368)</f>
        <v>North Carolina</v>
      </c>
      <c r="E11368" s="111" t="str">
        <f t="shared" si="11366"/>
        <v>Fayetteville</v>
      </c>
    </row>
    <row r="11369" spans="1:5">
      <c r="A11369" s="3" t="s">
        <v>22159</v>
      </c>
      <c r="B11369" s="110" t="s">
        <v>1357</v>
      </c>
      <c r="C11369" s="111" t="s">
        <v>554</v>
      </c>
      <c r="D11369" s="111" t="str">
        <f t="shared" ref="D11369:E11369" si="11367">TRIM(B11369)</f>
        <v>North Carolina</v>
      </c>
      <c r="E11369" s="111" t="str">
        <f t="shared" si="11367"/>
        <v>Fayetteville</v>
      </c>
    </row>
    <row r="11370" spans="1:5">
      <c r="A11370" s="3" t="s">
        <v>22160</v>
      </c>
      <c r="B11370" s="110" t="s">
        <v>1357</v>
      </c>
      <c r="C11370" s="111" t="s">
        <v>554</v>
      </c>
      <c r="D11370" s="111" t="str">
        <f t="shared" ref="D11370:E11370" si="11368">TRIM(B11370)</f>
        <v>North Carolina</v>
      </c>
      <c r="E11370" s="111" t="str">
        <f t="shared" si="11368"/>
        <v>Fayetteville</v>
      </c>
    </row>
    <row r="11371" spans="1:5">
      <c r="A11371" s="3" t="s">
        <v>22161</v>
      </c>
      <c r="B11371" s="110" t="s">
        <v>1357</v>
      </c>
      <c r="C11371" s="111" t="s">
        <v>554</v>
      </c>
      <c r="D11371" s="111" t="str">
        <f t="shared" ref="D11371:E11371" si="11369">TRIM(B11371)</f>
        <v>North Carolina</v>
      </c>
      <c r="E11371" s="111" t="str">
        <f t="shared" si="11369"/>
        <v>Fayetteville</v>
      </c>
    </row>
    <row r="11372" spans="1:5">
      <c r="A11372" s="3" t="s">
        <v>10301</v>
      </c>
      <c r="B11372" s="110" t="s">
        <v>1357</v>
      </c>
      <c r="C11372" s="111" t="s">
        <v>554</v>
      </c>
      <c r="D11372" s="111" t="str">
        <f t="shared" ref="D11372:E11372" si="11370">TRIM(B11372)</f>
        <v>North Carolina</v>
      </c>
      <c r="E11372" s="111" t="str">
        <f t="shared" si="11370"/>
        <v>Fayetteville</v>
      </c>
    </row>
    <row r="11373" spans="1:5">
      <c r="A11373" s="110" t="s">
        <v>22162</v>
      </c>
      <c r="B11373" s="110" t="s">
        <v>1357</v>
      </c>
      <c r="C11373" s="111" t="s">
        <v>17194</v>
      </c>
      <c r="D11373" s="111" t="str">
        <f t="shared" ref="D11373:E11373" si="11371">TRIM(B11373)</f>
        <v>North Carolina</v>
      </c>
      <c r="E11373" s="111" t="str">
        <f t="shared" si="11371"/>
        <v>Flat Rock</v>
      </c>
    </row>
    <row r="11374" spans="1:5">
      <c r="A11374" s="3" t="s">
        <v>15211</v>
      </c>
      <c r="B11374" s="110" t="s">
        <v>1357</v>
      </c>
      <c r="C11374" s="111" t="s">
        <v>14828</v>
      </c>
      <c r="D11374" s="111" t="str">
        <f t="shared" ref="D11374:E11374" si="11372">TRIM(B11374)</f>
        <v>North Carolina</v>
      </c>
      <c r="E11374" s="111" t="str">
        <f t="shared" si="11372"/>
        <v>Forest City</v>
      </c>
    </row>
    <row r="11375" spans="1:5">
      <c r="A11375" s="3" t="s">
        <v>22163</v>
      </c>
      <c r="B11375" s="110" t="s">
        <v>1357</v>
      </c>
      <c r="C11375" s="111" t="s">
        <v>14828</v>
      </c>
      <c r="D11375" s="111" t="str">
        <f t="shared" ref="D11375:E11375" si="11373">TRIM(B11375)</f>
        <v>North Carolina</v>
      </c>
      <c r="E11375" s="111" t="str">
        <f t="shared" si="11373"/>
        <v>Forest City</v>
      </c>
    </row>
    <row r="11376" spans="1:5">
      <c r="A11376" s="3" t="s">
        <v>22164</v>
      </c>
      <c r="B11376" s="110" t="s">
        <v>1357</v>
      </c>
      <c r="C11376" s="111" t="s">
        <v>22165</v>
      </c>
      <c r="D11376" s="111" t="str">
        <f t="shared" ref="D11376:E11376" si="11374">TRIM(B11376)</f>
        <v>North Carolina</v>
      </c>
      <c r="E11376" s="111" t="str">
        <f t="shared" si="11374"/>
        <v>Four Oaks</v>
      </c>
    </row>
    <row r="11377" spans="1:5">
      <c r="A11377" s="3" t="s">
        <v>4937</v>
      </c>
      <c r="B11377" s="110" t="s">
        <v>1357</v>
      </c>
      <c r="C11377" s="111" t="s">
        <v>525</v>
      </c>
      <c r="D11377" s="111" t="str">
        <f t="shared" ref="D11377:E11377" si="11375">TRIM(B11377)</f>
        <v>North Carolina</v>
      </c>
      <c r="E11377" s="111" t="str">
        <f t="shared" si="11375"/>
        <v>Franklin</v>
      </c>
    </row>
    <row r="11378" spans="1:5">
      <c r="A11378" s="3" t="s">
        <v>22166</v>
      </c>
      <c r="B11378" s="110" t="s">
        <v>1357</v>
      </c>
      <c r="C11378" s="111" t="s">
        <v>525</v>
      </c>
      <c r="D11378" s="111" t="str">
        <f t="shared" ref="D11378:E11378" si="11376">TRIM(B11378)</f>
        <v>North Carolina</v>
      </c>
      <c r="E11378" s="111" t="str">
        <f t="shared" si="11376"/>
        <v>Franklin</v>
      </c>
    </row>
    <row r="11379" spans="1:5">
      <c r="A11379" s="3" t="s">
        <v>15947</v>
      </c>
      <c r="B11379" s="110" t="s">
        <v>1357</v>
      </c>
      <c r="C11379" s="111" t="s">
        <v>15948</v>
      </c>
      <c r="D11379" s="111" t="str">
        <f t="shared" ref="D11379:E11379" si="11377">TRIM(B11379)</f>
        <v>North Carolina</v>
      </c>
      <c r="E11379" s="111" t="str">
        <f t="shared" si="11377"/>
        <v>Franklinton</v>
      </c>
    </row>
    <row r="11380" spans="1:5">
      <c r="A11380" s="3" t="s">
        <v>22167</v>
      </c>
      <c r="B11380" s="110" t="s">
        <v>1357</v>
      </c>
      <c r="C11380" s="111" t="s">
        <v>22168</v>
      </c>
      <c r="D11380" s="111" t="str">
        <f t="shared" ref="D11380:E11380" si="11378">TRIM(B11380)</f>
        <v>North Carolina</v>
      </c>
      <c r="E11380" s="111" t="str">
        <f t="shared" si="11378"/>
        <v>Fuquay-Varina</v>
      </c>
    </row>
    <row r="11381" spans="1:5">
      <c r="A11381" s="3" t="s">
        <v>22169</v>
      </c>
      <c r="B11381" s="110" t="s">
        <v>1357</v>
      </c>
      <c r="C11381" s="111" t="s">
        <v>12682</v>
      </c>
      <c r="D11381" s="111" t="str">
        <f t="shared" ref="D11381:E11381" si="11379">TRIM(B11381)</f>
        <v>North Carolina</v>
      </c>
      <c r="E11381" s="111" t="str">
        <f t="shared" si="11379"/>
        <v>Garner</v>
      </c>
    </row>
    <row r="11382" spans="1:5">
      <c r="A11382" s="3" t="s">
        <v>22170</v>
      </c>
      <c r="B11382" s="110" t="s">
        <v>1357</v>
      </c>
      <c r="C11382" s="111" t="s">
        <v>14362</v>
      </c>
      <c r="D11382" s="111" t="str">
        <f t="shared" ref="D11382:E11382" si="11380">TRIM(B11382)</f>
        <v>North Carolina</v>
      </c>
      <c r="E11382" s="111" t="str">
        <f t="shared" si="11380"/>
        <v>Gaston</v>
      </c>
    </row>
    <row r="11383" spans="1:5">
      <c r="A11383" s="110" t="s">
        <v>22171</v>
      </c>
      <c r="B11383" s="110" t="s">
        <v>1357</v>
      </c>
      <c r="C11383" s="111" t="s">
        <v>14362</v>
      </c>
      <c r="D11383" s="111" t="str">
        <f t="shared" ref="D11383:E11383" si="11381">TRIM(B11383)</f>
        <v>North Carolina</v>
      </c>
      <c r="E11383" s="111" t="str">
        <f t="shared" si="11381"/>
        <v>Gaston</v>
      </c>
    </row>
    <row r="11384" spans="1:5">
      <c r="A11384" s="3" t="s">
        <v>22172</v>
      </c>
      <c r="B11384" s="110" t="s">
        <v>1357</v>
      </c>
      <c r="C11384" s="111" t="s">
        <v>12626</v>
      </c>
      <c r="D11384" s="111" t="str">
        <f t="shared" ref="D11384:E11384" si="11382">TRIM(B11384)</f>
        <v>North Carolina</v>
      </c>
      <c r="E11384" s="111" t="str">
        <f t="shared" si="11382"/>
        <v>Gastonia</v>
      </c>
    </row>
    <row r="11385" spans="1:5">
      <c r="A11385" s="3" t="s">
        <v>22173</v>
      </c>
      <c r="B11385" s="110" t="s">
        <v>1357</v>
      </c>
      <c r="C11385" s="111" t="s">
        <v>12626</v>
      </c>
      <c r="D11385" s="111" t="str">
        <f t="shared" ref="D11385:E11385" si="11383">TRIM(B11385)</f>
        <v>North Carolina</v>
      </c>
      <c r="E11385" s="111" t="str">
        <f t="shared" si="11383"/>
        <v>Gastonia</v>
      </c>
    </row>
    <row r="11386" spans="1:5">
      <c r="A11386" s="3" t="s">
        <v>22174</v>
      </c>
      <c r="B11386" s="110" t="s">
        <v>1357</v>
      </c>
      <c r="C11386" s="111" t="s">
        <v>12626</v>
      </c>
      <c r="D11386" s="111" t="str">
        <f t="shared" ref="D11386:E11386" si="11384">TRIM(B11386)</f>
        <v>North Carolina</v>
      </c>
      <c r="E11386" s="111" t="str">
        <f t="shared" si="11384"/>
        <v>Gastonia</v>
      </c>
    </row>
    <row r="11387" spans="1:5">
      <c r="A11387" s="3" t="s">
        <v>22175</v>
      </c>
      <c r="B11387" s="110" t="s">
        <v>1357</v>
      </c>
      <c r="C11387" s="111" t="s">
        <v>12626</v>
      </c>
      <c r="D11387" s="111" t="str">
        <f t="shared" ref="D11387:E11387" si="11385">TRIM(B11387)</f>
        <v>North Carolina</v>
      </c>
      <c r="E11387" s="111" t="str">
        <f t="shared" si="11385"/>
        <v>Gastonia</v>
      </c>
    </row>
    <row r="11388" spans="1:5">
      <c r="A11388" s="3" t="s">
        <v>22176</v>
      </c>
      <c r="B11388" s="110" t="s">
        <v>1357</v>
      </c>
      <c r="C11388" s="111" t="s">
        <v>22177</v>
      </c>
      <c r="D11388" s="111" t="str">
        <f t="shared" ref="D11388:E11388" si="11386">TRIM(B11388)</f>
        <v>North Carolina</v>
      </c>
      <c r="E11388" s="111" t="str">
        <f t="shared" si="11386"/>
        <v>Gatesville</v>
      </c>
    </row>
    <row r="11389" spans="1:5">
      <c r="A11389" s="3" t="s">
        <v>22178</v>
      </c>
      <c r="B11389" s="110" t="s">
        <v>1357</v>
      </c>
      <c r="C11389" s="111" t="s">
        <v>12629</v>
      </c>
      <c r="D11389" s="111" t="str">
        <f t="shared" ref="D11389:E11389" si="11387">TRIM(B11389)</f>
        <v>North Carolina</v>
      </c>
      <c r="E11389" s="111" t="str">
        <f t="shared" si="11387"/>
        <v>Gibsonville</v>
      </c>
    </row>
    <row r="11390" spans="1:5">
      <c r="A11390" s="3" t="s">
        <v>22179</v>
      </c>
      <c r="B11390" s="110" t="s">
        <v>1357</v>
      </c>
      <c r="C11390" s="111" t="s">
        <v>12702</v>
      </c>
      <c r="D11390" s="111" t="str">
        <f t="shared" ref="D11390:E11390" si="11388">TRIM(B11390)</f>
        <v>North Carolina</v>
      </c>
      <c r="E11390" s="111" t="str">
        <f t="shared" si="11388"/>
        <v>Goldsboro</v>
      </c>
    </row>
    <row r="11391" spans="1:5">
      <c r="A11391" s="3" t="s">
        <v>22180</v>
      </c>
      <c r="B11391" s="110" t="s">
        <v>1357</v>
      </c>
      <c r="C11391" s="111" t="s">
        <v>12702</v>
      </c>
      <c r="D11391" s="111" t="str">
        <f t="shared" ref="D11391:E11391" si="11389">TRIM(B11391)</f>
        <v>North Carolina</v>
      </c>
      <c r="E11391" s="111" t="str">
        <f t="shared" si="11389"/>
        <v>Goldsboro</v>
      </c>
    </row>
    <row r="11392" spans="1:5">
      <c r="A11392" s="3" t="s">
        <v>22181</v>
      </c>
      <c r="B11392" s="110" t="s">
        <v>1357</v>
      </c>
      <c r="C11392" s="111" t="s">
        <v>12702</v>
      </c>
      <c r="D11392" s="111" t="str">
        <f t="shared" ref="D11392:E11392" si="11390">TRIM(B11392)</f>
        <v>North Carolina</v>
      </c>
      <c r="E11392" s="111" t="str">
        <f t="shared" si="11390"/>
        <v>Goldsboro</v>
      </c>
    </row>
    <row r="11393" spans="1:5">
      <c r="A11393" s="3" t="s">
        <v>22182</v>
      </c>
      <c r="B11393" s="110" t="s">
        <v>1357</v>
      </c>
      <c r="C11393" s="111" t="s">
        <v>12702</v>
      </c>
      <c r="D11393" s="111" t="str">
        <f t="shared" ref="D11393:E11393" si="11391">TRIM(B11393)</f>
        <v>North Carolina</v>
      </c>
      <c r="E11393" s="111" t="str">
        <f t="shared" si="11391"/>
        <v>Goldsboro</v>
      </c>
    </row>
    <row r="11394" spans="1:5">
      <c r="A11394" s="110" t="s">
        <v>22183</v>
      </c>
      <c r="B11394" s="110" t="s">
        <v>1357</v>
      </c>
      <c r="C11394" s="111" t="s">
        <v>12702</v>
      </c>
      <c r="D11394" s="111" t="str">
        <f t="shared" ref="D11394:E11394" si="11392">TRIM(B11394)</f>
        <v>North Carolina</v>
      </c>
      <c r="E11394" s="111" t="str">
        <f t="shared" si="11392"/>
        <v>Goldsboro</v>
      </c>
    </row>
    <row r="11395" spans="1:5">
      <c r="A11395" s="110" t="s">
        <v>22184</v>
      </c>
      <c r="B11395" s="110" t="s">
        <v>1357</v>
      </c>
      <c r="C11395" s="111" t="s">
        <v>18797</v>
      </c>
      <c r="D11395" s="111" t="str">
        <f t="shared" ref="D11395:E11395" si="11393">TRIM(B11395)</f>
        <v>North Carolina</v>
      </c>
      <c r="E11395" s="111" t="str">
        <f t="shared" si="11393"/>
        <v>Graham</v>
      </c>
    </row>
    <row r="11396" spans="1:5">
      <c r="A11396" s="3" t="s">
        <v>22185</v>
      </c>
      <c r="B11396" s="110" t="s">
        <v>1357</v>
      </c>
      <c r="C11396" s="111" t="s">
        <v>18797</v>
      </c>
      <c r="D11396" s="111" t="str">
        <f t="shared" ref="D11396:E11396" si="11394">TRIM(B11396)</f>
        <v>North Carolina</v>
      </c>
      <c r="E11396" s="111" t="str">
        <f t="shared" si="11394"/>
        <v>Graham</v>
      </c>
    </row>
    <row r="11397" spans="1:5">
      <c r="A11397" s="3" t="s">
        <v>22186</v>
      </c>
      <c r="B11397" s="110" t="s">
        <v>1357</v>
      </c>
      <c r="C11397" s="111" t="s">
        <v>18797</v>
      </c>
      <c r="D11397" s="111" t="str">
        <f t="shared" ref="D11397:E11397" si="11395">TRIM(B11397)</f>
        <v>North Carolina</v>
      </c>
      <c r="E11397" s="111" t="str">
        <f t="shared" si="11395"/>
        <v>Graham</v>
      </c>
    </row>
    <row r="11398" spans="1:5">
      <c r="A11398" s="3" t="s">
        <v>22187</v>
      </c>
      <c r="B11398" s="110" t="s">
        <v>1357</v>
      </c>
      <c r="C11398" s="111" t="s">
        <v>178</v>
      </c>
      <c r="D11398" s="111" t="str">
        <f t="shared" ref="D11398:E11398" si="11396">TRIM(B11398)</f>
        <v>North Carolina</v>
      </c>
      <c r="E11398" s="111" t="str">
        <f t="shared" si="11396"/>
        <v>Greensboro</v>
      </c>
    </row>
    <row r="11399" spans="1:5">
      <c r="A11399" s="3" t="s">
        <v>22188</v>
      </c>
      <c r="B11399" s="110" t="s">
        <v>1357</v>
      </c>
      <c r="C11399" s="111" t="s">
        <v>178</v>
      </c>
      <c r="D11399" s="111" t="str">
        <f t="shared" ref="D11399:E11399" si="11397">TRIM(B11399)</f>
        <v>North Carolina</v>
      </c>
      <c r="E11399" s="111" t="str">
        <f t="shared" si="11397"/>
        <v>Greensboro</v>
      </c>
    </row>
    <row r="11400" spans="1:5">
      <c r="A11400" s="110" t="s">
        <v>22189</v>
      </c>
      <c r="B11400" s="110" t="s">
        <v>1357</v>
      </c>
      <c r="C11400" s="111" t="s">
        <v>178</v>
      </c>
      <c r="D11400" s="111" t="str">
        <f t="shared" ref="D11400:E11400" si="11398">TRIM(B11400)</f>
        <v>North Carolina</v>
      </c>
      <c r="E11400" s="111" t="str">
        <f t="shared" si="11398"/>
        <v>Greensboro</v>
      </c>
    </row>
    <row r="11401" spans="1:5">
      <c r="A11401" s="3" t="s">
        <v>22190</v>
      </c>
      <c r="B11401" s="110" t="s">
        <v>1357</v>
      </c>
      <c r="C11401" s="111" t="s">
        <v>178</v>
      </c>
      <c r="D11401" s="111" t="str">
        <f t="shared" ref="D11401:E11401" si="11399">TRIM(B11401)</f>
        <v>North Carolina</v>
      </c>
      <c r="E11401" s="111" t="str">
        <f t="shared" si="11399"/>
        <v>Greensboro</v>
      </c>
    </row>
    <row r="11402" spans="1:5">
      <c r="A11402" s="3" t="s">
        <v>22191</v>
      </c>
      <c r="B11402" s="110" t="s">
        <v>1357</v>
      </c>
      <c r="C11402" s="111" t="s">
        <v>178</v>
      </c>
      <c r="D11402" s="111" t="str">
        <f t="shared" ref="D11402:E11402" si="11400">TRIM(B11402)</f>
        <v>North Carolina</v>
      </c>
      <c r="E11402" s="111" t="str">
        <f t="shared" si="11400"/>
        <v>Greensboro</v>
      </c>
    </row>
    <row r="11403" spans="1:5">
      <c r="A11403" s="3" t="s">
        <v>22192</v>
      </c>
      <c r="B11403" s="110" t="s">
        <v>1357</v>
      </c>
      <c r="C11403" s="111" t="s">
        <v>178</v>
      </c>
      <c r="D11403" s="111" t="str">
        <f t="shared" ref="D11403:E11403" si="11401">TRIM(B11403)</f>
        <v>North Carolina</v>
      </c>
      <c r="E11403" s="111" t="str">
        <f t="shared" si="11401"/>
        <v>Greensboro</v>
      </c>
    </row>
    <row r="11404" spans="1:5">
      <c r="A11404" s="110" t="s">
        <v>22193</v>
      </c>
      <c r="B11404" s="110" t="s">
        <v>1357</v>
      </c>
      <c r="C11404" s="111" t="s">
        <v>178</v>
      </c>
      <c r="D11404" s="111" t="str">
        <f t="shared" ref="D11404:E11404" si="11402">TRIM(B11404)</f>
        <v>North Carolina</v>
      </c>
      <c r="E11404" s="111" t="str">
        <f t="shared" si="11402"/>
        <v>Greensboro</v>
      </c>
    </row>
    <row r="11405" spans="1:5">
      <c r="A11405" s="3" t="s">
        <v>22194</v>
      </c>
      <c r="B11405" s="110" t="s">
        <v>1357</v>
      </c>
      <c r="C11405" s="111" t="s">
        <v>178</v>
      </c>
      <c r="D11405" s="111" t="str">
        <f t="shared" ref="D11405:E11405" si="11403">TRIM(B11405)</f>
        <v>North Carolina</v>
      </c>
      <c r="E11405" s="111" t="str">
        <f t="shared" si="11403"/>
        <v>Greensboro</v>
      </c>
    </row>
    <row r="11406" spans="1:5">
      <c r="A11406" s="3" t="s">
        <v>22195</v>
      </c>
      <c r="B11406" s="110" t="s">
        <v>1357</v>
      </c>
      <c r="C11406" s="111" t="s">
        <v>178</v>
      </c>
      <c r="D11406" s="111" t="str">
        <f t="shared" ref="D11406:E11406" si="11404">TRIM(B11406)</f>
        <v>North Carolina</v>
      </c>
      <c r="E11406" s="111" t="str">
        <f t="shared" si="11404"/>
        <v>Greensboro</v>
      </c>
    </row>
    <row r="11407" spans="1:5">
      <c r="A11407" s="3" t="s">
        <v>22196</v>
      </c>
      <c r="B11407" s="110" t="s">
        <v>1357</v>
      </c>
      <c r="C11407" s="111" t="s">
        <v>178</v>
      </c>
      <c r="D11407" s="111" t="str">
        <f t="shared" ref="D11407:E11407" si="11405">TRIM(B11407)</f>
        <v>North Carolina</v>
      </c>
      <c r="E11407" s="111" t="str">
        <f t="shared" si="11405"/>
        <v>Greensboro</v>
      </c>
    </row>
    <row r="11408" spans="1:5">
      <c r="A11408" s="3" t="s">
        <v>2887</v>
      </c>
      <c r="B11408" s="110" t="s">
        <v>1357</v>
      </c>
      <c r="C11408" s="111" t="s">
        <v>178</v>
      </c>
      <c r="D11408" s="111" t="str">
        <f t="shared" ref="D11408:E11408" si="11406">TRIM(B11408)</f>
        <v>North Carolina</v>
      </c>
      <c r="E11408" s="111" t="str">
        <f t="shared" si="11406"/>
        <v>Greensboro</v>
      </c>
    </row>
    <row r="11409" spans="1:5">
      <c r="A11409" s="110" t="s">
        <v>22197</v>
      </c>
      <c r="B11409" s="110" t="s">
        <v>1357</v>
      </c>
      <c r="C11409" s="111" t="s">
        <v>178</v>
      </c>
      <c r="D11409" s="111" t="str">
        <f t="shared" ref="D11409:E11409" si="11407">TRIM(B11409)</f>
        <v>North Carolina</v>
      </c>
      <c r="E11409" s="111" t="str">
        <f t="shared" si="11407"/>
        <v>Greensboro</v>
      </c>
    </row>
    <row r="11410" spans="1:5">
      <c r="A11410" s="3" t="s">
        <v>22198</v>
      </c>
      <c r="B11410" s="110" t="s">
        <v>1357</v>
      </c>
      <c r="C11410" s="111" t="s">
        <v>178</v>
      </c>
      <c r="D11410" s="111" t="str">
        <f t="shared" ref="D11410:E11410" si="11408">TRIM(B11410)</f>
        <v>North Carolina</v>
      </c>
      <c r="E11410" s="111" t="str">
        <f t="shared" si="11408"/>
        <v>Greensboro</v>
      </c>
    </row>
    <row r="11411" spans="1:5">
      <c r="A11411" s="3" t="s">
        <v>22199</v>
      </c>
      <c r="B11411" s="110" t="s">
        <v>1357</v>
      </c>
      <c r="C11411" s="111" t="s">
        <v>178</v>
      </c>
      <c r="D11411" s="111" t="str">
        <f t="shared" ref="D11411:E11411" si="11409">TRIM(B11411)</f>
        <v>North Carolina</v>
      </c>
      <c r="E11411" s="111" t="str">
        <f t="shared" si="11409"/>
        <v>Greensboro</v>
      </c>
    </row>
    <row r="11412" spans="1:5">
      <c r="A11412" s="110" t="s">
        <v>22200</v>
      </c>
      <c r="B11412" s="110" t="s">
        <v>1357</v>
      </c>
      <c r="C11412" s="111" t="s">
        <v>178</v>
      </c>
      <c r="D11412" s="111" t="str">
        <f t="shared" ref="D11412:E11412" si="11410">TRIM(B11412)</f>
        <v>North Carolina</v>
      </c>
      <c r="E11412" s="111" t="str">
        <f t="shared" si="11410"/>
        <v>Greensboro</v>
      </c>
    </row>
    <row r="11413" spans="1:5">
      <c r="A11413" s="110" t="s">
        <v>22201</v>
      </c>
      <c r="B11413" s="110" t="s">
        <v>1357</v>
      </c>
      <c r="C11413" s="111" t="s">
        <v>178</v>
      </c>
      <c r="D11413" s="111" t="str">
        <f t="shared" ref="D11413:E11413" si="11411">TRIM(B11413)</f>
        <v>North Carolina</v>
      </c>
      <c r="E11413" s="111" t="str">
        <f t="shared" si="11411"/>
        <v>Greensboro</v>
      </c>
    </row>
    <row r="11414" spans="1:5">
      <c r="A11414" s="3" t="s">
        <v>22202</v>
      </c>
      <c r="B11414" s="110" t="s">
        <v>1357</v>
      </c>
      <c r="C11414" s="111" t="s">
        <v>178</v>
      </c>
      <c r="D11414" s="111" t="str">
        <f t="shared" ref="D11414:E11414" si="11412">TRIM(B11414)</f>
        <v>North Carolina</v>
      </c>
      <c r="E11414" s="111" t="str">
        <f t="shared" si="11412"/>
        <v>Greensboro</v>
      </c>
    </row>
    <row r="11415" spans="1:5">
      <c r="A11415" s="3" t="s">
        <v>22203</v>
      </c>
      <c r="B11415" s="110" t="s">
        <v>1357</v>
      </c>
      <c r="C11415" s="111" t="s">
        <v>1804</v>
      </c>
      <c r="D11415" s="111" t="str">
        <f t="shared" ref="D11415:E11415" si="11413">TRIM(B11415)</f>
        <v>North Carolina</v>
      </c>
      <c r="E11415" s="111" t="str">
        <f t="shared" si="11413"/>
        <v>Greenville</v>
      </c>
    </row>
    <row r="11416" spans="1:5">
      <c r="A11416" s="3" t="s">
        <v>20535</v>
      </c>
      <c r="B11416" s="110" t="s">
        <v>1357</v>
      </c>
      <c r="C11416" s="111" t="s">
        <v>1804</v>
      </c>
      <c r="D11416" s="111" t="str">
        <f t="shared" ref="D11416:E11416" si="11414">TRIM(B11416)</f>
        <v>North Carolina</v>
      </c>
      <c r="E11416" s="111" t="str">
        <f t="shared" si="11414"/>
        <v>Greenville</v>
      </c>
    </row>
    <row r="11417" spans="1:5">
      <c r="A11417" s="3" t="s">
        <v>22204</v>
      </c>
      <c r="B11417" s="110" t="s">
        <v>1357</v>
      </c>
      <c r="C11417" s="111" t="s">
        <v>1804</v>
      </c>
      <c r="D11417" s="111" t="str">
        <f t="shared" ref="D11417:E11417" si="11415">TRIM(B11417)</f>
        <v>North Carolina</v>
      </c>
      <c r="E11417" s="111" t="str">
        <f t="shared" si="11415"/>
        <v>Greenville</v>
      </c>
    </row>
    <row r="11418" spans="1:5">
      <c r="A11418" s="3" t="s">
        <v>22205</v>
      </c>
      <c r="B11418" s="110" t="s">
        <v>1357</v>
      </c>
      <c r="C11418" s="111" t="s">
        <v>22206</v>
      </c>
      <c r="D11418" s="111" t="str">
        <f t="shared" ref="D11418:E11418" si="11416">TRIM(B11418)</f>
        <v>North Carolina</v>
      </c>
      <c r="E11418" s="111" t="str">
        <f t="shared" si="11416"/>
        <v>Halifax</v>
      </c>
    </row>
    <row r="11419" spans="1:5">
      <c r="A11419" s="3" t="s">
        <v>22207</v>
      </c>
      <c r="B11419" s="110" t="s">
        <v>1357</v>
      </c>
      <c r="C11419" s="111" t="s">
        <v>14381</v>
      </c>
      <c r="D11419" s="111" t="str">
        <f t="shared" ref="D11419:E11419" si="11417">TRIM(B11419)</f>
        <v>North Carolina</v>
      </c>
      <c r="E11419" s="111" t="str">
        <f t="shared" si="11417"/>
        <v>Hamlet</v>
      </c>
    </row>
    <row r="11420" spans="1:5">
      <c r="A11420" s="3" t="s">
        <v>22208</v>
      </c>
      <c r="B11420" s="110" t="s">
        <v>1357</v>
      </c>
      <c r="C11420" s="111" t="s">
        <v>22209</v>
      </c>
      <c r="D11420" s="111" t="str">
        <f t="shared" ref="D11420:E11420" si="11418">TRIM(B11420)</f>
        <v>North Carolina</v>
      </c>
      <c r="E11420" s="111" t="str">
        <f t="shared" si="11418"/>
        <v>Hampstead</v>
      </c>
    </row>
    <row r="11421" spans="1:5">
      <c r="A11421" s="3" t="s">
        <v>22210</v>
      </c>
      <c r="B11421" s="110" t="s">
        <v>1357</v>
      </c>
      <c r="C11421" s="111" t="s">
        <v>3845</v>
      </c>
      <c r="D11421" s="111" t="str">
        <f t="shared" ref="D11421:E11421" si="11419">TRIM(B11421)</f>
        <v>North Carolina</v>
      </c>
      <c r="E11421" s="111" t="str">
        <f t="shared" si="11419"/>
        <v>Harrisburg</v>
      </c>
    </row>
    <row r="11422" spans="1:5">
      <c r="A11422" s="3" t="s">
        <v>22211</v>
      </c>
      <c r="B11422" s="110" t="s">
        <v>1357</v>
      </c>
      <c r="C11422" s="111" t="s">
        <v>22212</v>
      </c>
      <c r="D11422" s="111" t="str">
        <f t="shared" ref="D11422:E11422" si="11420">TRIM(B11422)</f>
        <v>North Carolina</v>
      </c>
      <c r="E11422" s="111" t="str">
        <f t="shared" si="11420"/>
        <v>Havelock</v>
      </c>
    </row>
    <row r="11423" spans="1:5">
      <c r="A11423" s="3" t="s">
        <v>22213</v>
      </c>
      <c r="B11423" s="110" t="s">
        <v>1357</v>
      </c>
      <c r="C11423" s="111" t="s">
        <v>22212</v>
      </c>
      <c r="D11423" s="111" t="str">
        <f t="shared" ref="D11423:E11423" si="11421">TRIM(B11423)</f>
        <v>North Carolina</v>
      </c>
      <c r="E11423" s="111" t="str">
        <f t="shared" si="11421"/>
        <v>Havelock</v>
      </c>
    </row>
    <row r="11424" spans="1:5">
      <c r="A11424" s="3" t="s">
        <v>22214</v>
      </c>
      <c r="B11424" s="110" t="s">
        <v>1357</v>
      </c>
      <c r="C11424" s="111" t="s">
        <v>22215</v>
      </c>
      <c r="D11424" s="111" t="str">
        <f t="shared" ref="D11424:E11424" si="11422">TRIM(B11424)</f>
        <v>North Carolina</v>
      </c>
      <c r="E11424" s="111" t="str">
        <f t="shared" si="11422"/>
        <v>Hayesville</v>
      </c>
    </row>
    <row r="11425" spans="1:5">
      <c r="A11425" s="3" t="s">
        <v>22216</v>
      </c>
      <c r="B11425" s="110" t="s">
        <v>1357</v>
      </c>
      <c r="C11425" s="111" t="s">
        <v>8447</v>
      </c>
      <c r="D11425" s="111" t="str">
        <f t="shared" ref="D11425:E11425" si="11423">TRIM(B11425)</f>
        <v>North Carolina</v>
      </c>
      <c r="E11425" s="111" t="str">
        <f t="shared" si="11423"/>
        <v>Hays</v>
      </c>
    </row>
    <row r="11426" spans="1:5">
      <c r="A11426" s="110" t="s">
        <v>22217</v>
      </c>
      <c r="B11426" s="110" t="s">
        <v>1357</v>
      </c>
      <c r="C11426" s="111" t="s">
        <v>7970</v>
      </c>
      <c r="D11426" s="111" t="str">
        <f t="shared" ref="D11426:E11426" si="11424">TRIM(B11426)</f>
        <v>North Carolina</v>
      </c>
      <c r="E11426" s="111" t="str">
        <f t="shared" si="11424"/>
        <v>Henderson</v>
      </c>
    </row>
    <row r="11427" spans="1:5">
      <c r="A11427" s="3" t="s">
        <v>22218</v>
      </c>
      <c r="B11427" s="110" t="s">
        <v>1357</v>
      </c>
      <c r="C11427" s="111" t="s">
        <v>7970</v>
      </c>
      <c r="D11427" s="111" t="str">
        <f t="shared" ref="D11427:E11427" si="11425">TRIM(B11427)</f>
        <v>North Carolina</v>
      </c>
      <c r="E11427" s="111" t="str">
        <f t="shared" si="11425"/>
        <v>Henderson</v>
      </c>
    </row>
    <row r="11428" spans="1:5">
      <c r="A11428" s="3" t="s">
        <v>22219</v>
      </c>
      <c r="B11428" s="110" t="s">
        <v>1357</v>
      </c>
      <c r="C11428" s="111" t="s">
        <v>13545</v>
      </c>
      <c r="D11428" s="111" t="str">
        <f t="shared" ref="D11428:E11428" si="11426">TRIM(B11428)</f>
        <v>North Carolina</v>
      </c>
      <c r="E11428" s="111" t="str">
        <f t="shared" si="11426"/>
        <v>Hendersonville</v>
      </c>
    </row>
    <row r="11429" spans="1:5">
      <c r="A11429" s="3" t="s">
        <v>22220</v>
      </c>
      <c r="B11429" s="110" t="s">
        <v>1357</v>
      </c>
      <c r="C11429" s="111" t="s">
        <v>13545</v>
      </c>
      <c r="D11429" s="111" t="str">
        <f t="shared" ref="D11429:E11429" si="11427">TRIM(B11429)</f>
        <v>North Carolina</v>
      </c>
      <c r="E11429" s="111" t="str">
        <f t="shared" si="11427"/>
        <v>Hendersonville</v>
      </c>
    </row>
    <row r="11430" spans="1:5">
      <c r="A11430" s="3" t="s">
        <v>22221</v>
      </c>
      <c r="B11430" s="110" t="s">
        <v>1357</v>
      </c>
      <c r="C11430" s="111" t="s">
        <v>13545</v>
      </c>
      <c r="D11430" s="111" t="str">
        <f t="shared" ref="D11430:E11430" si="11428">TRIM(B11430)</f>
        <v>North Carolina</v>
      </c>
      <c r="E11430" s="111" t="str">
        <f t="shared" si="11428"/>
        <v>Hendersonville</v>
      </c>
    </row>
    <row r="11431" spans="1:5">
      <c r="A11431" s="3" t="s">
        <v>22222</v>
      </c>
      <c r="B11431" s="110" t="s">
        <v>1357</v>
      </c>
      <c r="C11431" s="111" t="s">
        <v>22223</v>
      </c>
      <c r="D11431" s="111" t="str">
        <f t="shared" ref="D11431:E11431" si="11429">TRIM(B11431)</f>
        <v>North Carolina</v>
      </c>
      <c r="E11431" s="111" t="str">
        <f t="shared" si="11429"/>
        <v>Hertford</v>
      </c>
    </row>
    <row r="11432" spans="1:5">
      <c r="A11432" s="3" t="s">
        <v>22224</v>
      </c>
      <c r="B11432" s="110" t="s">
        <v>1357</v>
      </c>
      <c r="C11432" s="111" t="s">
        <v>22225</v>
      </c>
      <c r="D11432" s="111" t="str">
        <f t="shared" ref="D11432:E11432" si="11430">TRIM(B11432)</f>
        <v>North Carolina</v>
      </c>
      <c r="E11432" s="111" t="str">
        <f t="shared" si="11430"/>
        <v>Hickory</v>
      </c>
    </row>
    <row r="11433" spans="1:5">
      <c r="A11433" s="3" t="s">
        <v>22226</v>
      </c>
      <c r="B11433" s="110" t="s">
        <v>1357</v>
      </c>
      <c r="C11433" s="111" t="s">
        <v>22225</v>
      </c>
      <c r="D11433" s="111" t="str">
        <f t="shared" ref="D11433:E11433" si="11431">TRIM(B11433)</f>
        <v>North Carolina</v>
      </c>
      <c r="E11433" s="111" t="str">
        <f t="shared" si="11431"/>
        <v>Hickory</v>
      </c>
    </row>
    <row r="11434" spans="1:5">
      <c r="A11434" s="3" t="s">
        <v>22227</v>
      </c>
      <c r="B11434" s="110" t="s">
        <v>1357</v>
      </c>
      <c r="C11434" s="111" t="s">
        <v>22225</v>
      </c>
      <c r="D11434" s="111" t="str">
        <f t="shared" ref="D11434:E11434" si="11432">TRIM(B11434)</f>
        <v>North Carolina</v>
      </c>
      <c r="E11434" s="111" t="str">
        <f t="shared" si="11432"/>
        <v>Hickory</v>
      </c>
    </row>
    <row r="11435" spans="1:5">
      <c r="A11435" s="3" t="s">
        <v>22228</v>
      </c>
      <c r="B11435" s="110" t="s">
        <v>1357</v>
      </c>
      <c r="C11435" s="111" t="s">
        <v>22225</v>
      </c>
      <c r="D11435" s="111" t="str">
        <f t="shared" ref="D11435:E11435" si="11433">TRIM(B11435)</f>
        <v>North Carolina</v>
      </c>
      <c r="E11435" s="111" t="str">
        <f t="shared" si="11433"/>
        <v>Hickory</v>
      </c>
    </row>
    <row r="11436" spans="1:5">
      <c r="A11436" s="3" t="s">
        <v>22229</v>
      </c>
      <c r="B11436" s="110" t="s">
        <v>1357</v>
      </c>
      <c r="C11436" s="111" t="s">
        <v>12586</v>
      </c>
      <c r="D11436" s="111" t="str">
        <f t="shared" ref="D11436:E11436" si="11434">TRIM(B11436)</f>
        <v>North Carolina</v>
      </c>
      <c r="E11436" s="111" t="str">
        <f t="shared" si="11434"/>
        <v>High Point</v>
      </c>
    </row>
    <row r="11437" spans="1:5">
      <c r="A11437" s="3" t="s">
        <v>22230</v>
      </c>
      <c r="B11437" s="110" t="s">
        <v>1357</v>
      </c>
      <c r="C11437" s="111" t="s">
        <v>12586</v>
      </c>
      <c r="D11437" s="111" t="str">
        <f t="shared" ref="D11437:E11437" si="11435">TRIM(B11437)</f>
        <v>North Carolina</v>
      </c>
      <c r="E11437" s="111" t="str">
        <f t="shared" si="11435"/>
        <v>High Point</v>
      </c>
    </row>
    <row r="11438" spans="1:5">
      <c r="A11438" s="3" t="s">
        <v>22231</v>
      </c>
      <c r="B11438" s="110" t="s">
        <v>1357</v>
      </c>
      <c r="C11438" s="111" t="s">
        <v>12586</v>
      </c>
      <c r="D11438" s="111" t="str">
        <f t="shared" ref="D11438:E11438" si="11436">TRIM(B11438)</f>
        <v>North Carolina</v>
      </c>
      <c r="E11438" s="111" t="str">
        <f t="shared" si="11436"/>
        <v>High Point</v>
      </c>
    </row>
    <row r="11439" spans="1:5">
      <c r="A11439" s="110" t="s">
        <v>22232</v>
      </c>
      <c r="B11439" s="110" t="s">
        <v>1357</v>
      </c>
      <c r="C11439" s="111" t="s">
        <v>12586</v>
      </c>
      <c r="D11439" s="111" t="str">
        <f t="shared" ref="D11439:E11439" si="11437">TRIM(B11439)</f>
        <v>North Carolina</v>
      </c>
      <c r="E11439" s="111" t="str">
        <f t="shared" si="11437"/>
        <v>High Point</v>
      </c>
    </row>
    <row r="11440" spans="1:5">
      <c r="A11440" s="3" t="s">
        <v>22233</v>
      </c>
      <c r="B11440" s="110" t="s">
        <v>1357</v>
      </c>
      <c r="C11440" s="111" t="s">
        <v>12586</v>
      </c>
      <c r="D11440" s="111" t="str">
        <f t="shared" ref="D11440:E11440" si="11438">TRIM(B11440)</f>
        <v>North Carolina</v>
      </c>
      <c r="E11440" s="111" t="str">
        <f t="shared" si="11438"/>
        <v>High Point</v>
      </c>
    </row>
    <row r="11441" spans="1:5">
      <c r="A11441" s="3" t="s">
        <v>22234</v>
      </c>
      <c r="B11441" s="110" t="s">
        <v>1357</v>
      </c>
      <c r="C11441" s="111" t="s">
        <v>12586</v>
      </c>
      <c r="D11441" s="111" t="str">
        <f t="shared" ref="D11441:E11441" si="11439">TRIM(B11441)</f>
        <v>North Carolina</v>
      </c>
      <c r="E11441" s="111" t="str">
        <f t="shared" si="11439"/>
        <v>High Point</v>
      </c>
    </row>
    <row r="11442" spans="1:5">
      <c r="A11442" s="3" t="s">
        <v>4075</v>
      </c>
      <c r="B11442" s="110" t="s">
        <v>1357</v>
      </c>
      <c r="C11442" s="111" t="s">
        <v>9279</v>
      </c>
      <c r="D11442" s="111" t="str">
        <f t="shared" ref="D11442:E11442" si="11440">TRIM(B11442)</f>
        <v>North Carolina</v>
      </c>
      <c r="E11442" s="111" t="str">
        <f t="shared" si="11440"/>
        <v>Hillsborough</v>
      </c>
    </row>
    <row r="11443" spans="1:5">
      <c r="A11443" s="3" t="s">
        <v>6232</v>
      </c>
      <c r="B11443" s="110" t="s">
        <v>1357</v>
      </c>
      <c r="C11443" s="111" t="s">
        <v>9279</v>
      </c>
      <c r="D11443" s="111" t="str">
        <f t="shared" ref="D11443:E11443" si="11441">TRIM(B11443)</f>
        <v>North Carolina</v>
      </c>
      <c r="E11443" s="111" t="str">
        <f t="shared" si="11441"/>
        <v>Hillsborough</v>
      </c>
    </row>
    <row r="11444" spans="1:5">
      <c r="A11444" s="3" t="s">
        <v>4840</v>
      </c>
      <c r="B11444" s="110" t="s">
        <v>1357</v>
      </c>
      <c r="C11444" s="111" t="s">
        <v>22235</v>
      </c>
      <c r="D11444" s="111" t="str">
        <f t="shared" ref="D11444:E11444" si="11442">TRIM(B11444)</f>
        <v>North Carolina</v>
      </c>
      <c r="E11444" s="111" t="str">
        <f t="shared" si="11442"/>
        <v>Holly Ridge</v>
      </c>
    </row>
    <row r="11445" spans="1:5">
      <c r="A11445" s="3" t="s">
        <v>18446</v>
      </c>
      <c r="B11445" s="110" t="s">
        <v>1357</v>
      </c>
      <c r="C11445" s="111" t="s">
        <v>8131</v>
      </c>
      <c r="D11445" s="111" t="str">
        <f t="shared" ref="D11445:E11445" si="11443">TRIM(B11445)</f>
        <v>North Carolina</v>
      </c>
      <c r="E11445" s="111" t="str">
        <f t="shared" si="11443"/>
        <v>Holly Springs</v>
      </c>
    </row>
    <row r="11446" spans="1:5">
      <c r="A11446" s="3" t="s">
        <v>22236</v>
      </c>
      <c r="B11446" s="110" t="s">
        <v>1357</v>
      </c>
      <c r="C11446" s="111" t="s">
        <v>8131</v>
      </c>
      <c r="D11446" s="111" t="str">
        <f t="shared" ref="D11446:E11446" si="11444">TRIM(B11446)</f>
        <v>North Carolina</v>
      </c>
      <c r="E11446" s="111" t="str">
        <f t="shared" si="11444"/>
        <v>Holly Springs</v>
      </c>
    </row>
    <row r="11447" spans="1:5">
      <c r="A11447" s="3" t="s">
        <v>22237</v>
      </c>
      <c r="B11447" s="110" t="s">
        <v>1357</v>
      </c>
      <c r="C11447" s="111" t="s">
        <v>22238</v>
      </c>
      <c r="D11447" s="111" t="str">
        <f t="shared" ref="D11447:E11447" si="11445">TRIM(B11447)</f>
        <v>North Carolina</v>
      </c>
      <c r="E11447" s="111" t="str">
        <f t="shared" si="11445"/>
        <v>Hope Mills</v>
      </c>
    </row>
    <row r="11448" spans="1:5">
      <c r="A11448" s="3" t="s">
        <v>22239</v>
      </c>
      <c r="B11448" s="110" t="s">
        <v>1357</v>
      </c>
      <c r="C11448" s="111" t="s">
        <v>22238</v>
      </c>
      <c r="D11448" s="111" t="str">
        <f t="shared" ref="D11448:E11448" si="11446">TRIM(B11448)</f>
        <v>North Carolina</v>
      </c>
      <c r="E11448" s="111" t="str">
        <f t="shared" si="11446"/>
        <v>Hope Mills</v>
      </c>
    </row>
    <row r="11449" spans="1:5">
      <c r="A11449" s="110" t="s">
        <v>22240</v>
      </c>
      <c r="B11449" s="110" t="s">
        <v>1357</v>
      </c>
      <c r="C11449" s="111" t="s">
        <v>886</v>
      </c>
      <c r="D11449" s="111" t="str">
        <f t="shared" ref="D11449:E11449" si="11447">TRIM(B11449)</f>
        <v>North Carolina</v>
      </c>
      <c r="E11449" s="111" t="str">
        <f t="shared" si="11447"/>
        <v>Hudson</v>
      </c>
    </row>
    <row r="11450" spans="1:5">
      <c r="A11450" s="110" t="s">
        <v>22241</v>
      </c>
      <c r="B11450" s="110" t="s">
        <v>1357</v>
      </c>
      <c r="C11450" s="111" t="s">
        <v>886</v>
      </c>
      <c r="D11450" s="111" t="str">
        <f t="shared" ref="D11450:E11450" si="11448">TRIM(B11450)</f>
        <v>North Carolina</v>
      </c>
      <c r="E11450" s="111" t="str">
        <f t="shared" si="11448"/>
        <v>Hudson</v>
      </c>
    </row>
    <row r="11451" spans="1:5">
      <c r="A11451" s="3" t="s">
        <v>22242</v>
      </c>
      <c r="B11451" s="110" t="s">
        <v>1357</v>
      </c>
      <c r="C11451" s="111" t="s">
        <v>886</v>
      </c>
      <c r="D11451" s="111" t="str">
        <f t="shared" ref="D11451:E11451" si="11449">TRIM(B11451)</f>
        <v>North Carolina</v>
      </c>
      <c r="E11451" s="111" t="str">
        <f t="shared" si="11449"/>
        <v>Hudson</v>
      </c>
    </row>
    <row r="11452" spans="1:5">
      <c r="A11452" s="3" t="s">
        <v>22243</v>
      </c>
      <c r="B11452" s="110" t="s">
        <v>1357</v>
      </c>
      <c r="C11452" s="111" t="s">
        <v>687</v>
      </c>
      <c r="D11452" s="111" t="str">
        <f t="shared" ref="D11452:E11452" si="11450">TRIM(B11452)</f>
        <v>North Carolina</v>
      </c>
      <c r="E11452" s="111" t="str">
        <f t="shared" si="11450"/>
        <v>Huntersville</v>
      </c>
    </row>
    <row r="11453" spans="1:5">
      <c r="A11453" s="3" t="s">
        <v>22244</v>
      </c>
      <c r="B11453" s="110" t="s">
        <v>1357</v>
      </c>
      <c r="C11453" s="111" t="s">
        <v>687</v>
      </c>
      <c r="D11453" s="111" t="str">
        <f t="shared" ref="D11453:E11453" si="11451">TRIM(B11453)</f>
        <v>North Carolina</v>
      </c>
      <c r="E11453" s="111" t="str">
        <f t="shared" si="11451"/>
        <v>Huntersville</v>
      </c>
    </row>
    <row r="11454" spans="1:5">
      <c r="A11454" s="3" t="s">
        <v>22245</v>
      </c>
      <c r="B11454" s="110" t="s">
        <v>1357</v>
      </c>
      <c r="C11454" s="111" t="s">
        <v>687</v>
      </c>
      <c r="D11454" s="111" t="str">
        <f t="shared" ref="D11454:E11454" si="11452">TRIM(B11454)</f>
        <v>North Carolina</v>
      </c>
      <c r="E11454" s="111" t="str">
        <f t="shared" si="11452"/>
        <v>Huntersville</v>
      </c>
    </row>
    <row r="11455" spans="1:5">
      <c r="A11455" s="3" t="s">
        <v>22246</v>
      </c>
      <c r="B11455" s="110" t="s">
        <v>1357</v>
      </c>
      <c r="C11455" s="111" t="s">
        <v>22247</v>
      </c>
      <c r="D11455" s="111" t="str">
        <f t="shared" ref="D11455:E11455" si="11453">TRIM(B11455)</f>
        <v>North Carolina</v>
      </c>
      <c r="E11455" s="111" t="str">
        <f t="shared" si="11453"/>
        <v>Indian Trail</v>
      </c>
    </row>
    <row r="11456" spans="1:5">
      <c r="A11456" s="3" t="s">
        <v>1892</v>
      </c>
      <c r="B11456" s="110" t="s">
        <v>1357</v>
      </c>
      <c r="C11456" s="111" t="s">
        <v>1045</v>
      </c>
      <c r="D11456" s="111" t="str">
        <f t="shared" ref="D11456:E11456" si="11454">TRIM(B11456)</f>
        <v>North Carolina</v>
      </c>
      <c r="E11456" s="111" t="str">
        <f t="shared" si="11454"/>
        <v>Jacksonville</v>
      </c>
    </row>
    <row r="11457" spans="1:5">
      <c r="A11457" s="3" t="s">
        <v>2026</v>
      </c>
      <c r="B11457" s="110" t="s">
        <v>1357</v>
      </c>
      <c r="C11457" s="111" t="s">
        <v>1045</v>
      </c>
      <c r="D11457" s="111" t="str">
        <f t="shared" ref="D11457:E11457" si="11455">TRIM(B11457)</f>
        <v>North Carolina</v>
      </c>
      <c r="E11457" s="111" t="str">
        <f t="shared" si="11455"/>
        <v>Jacksonville</v>
      </c>
    </row>
    <row r="11458" spans="1:5">
      <c r="A11458" s="3" t="s">
        <v>4893</v>
      </c>
      <c r="B11458" s="110" t="s">
        <v>1357</v>
      </c>
      <c r="C11458" s="111" t="s">
        <v>1045</v>
      </c>
      <c r="D11458" s="111" t="str">
        <f t="shared" ref="D11458:E11458" si="11456">TRIM(B11458)</f>
        <v>North Carolina</v>
      </c>
      <c r="E11458" s="111" t="str">
        <f t="shared" si="11456"/>
        <v>Jacksonville</v>
      </c>
    </row>
    <row r="11459" spans="1:5">
      <c r="A11459" s="3" t="s">
        <v>22248</v>
      </c>
      <c r="B11459" s="110" t="s">
        <v>1357</v>
      </c>
      <c r="C11459" s="112" t="s">
        <v>1045</v>
      </c>
      <c r="D11459" s="111" t="str">
        <f t="shared" ref="D11459:E11459" si="11457">TRIM(B11459)</f>
        <v>North Carolina</v>
      </c>
      <c r="E11459" s="111" t="str">
        <f t="shared" si="11457"/>
        <v>Jacksonville</v>
      </c>
    </row>
    <row r="11460" spans="1:5">
      <c r="A11460" s="3" t="s">
        <v>22249</v>
      </c>
      <c r="B11460" s="110" t="s">
        <v>1357</v>
      </c>
      <c r="C11460" s="111" t="s">
        <v>18854</v>
      </c>
      <c r="D11460" s="111" t="str">
        <f t="shared" ref="D11460:E11460" si="11458">TRIM(B11460)</f>
        <v>North Carolina</v>
      </c>
      <c r="E11460" s="111" t="str">
        <f t="shared" si="11458"/>
        <v>Jamestown</v>
      </c>
    </row>
    <row r="11461" spans="1:5">
      <c r="A11461" s="3" t="s">
        <v>22250</v>
      </c>
      <c r="B11461" s="110" t="s">
        <v>1357</v>
      </c>
      <c r="C11461" s="111" t="s">
        <v>18854</v>
      </c>
      <c r="D11461" s="111" t="str">
        <f t="shared" ref="D11461:E11461" si="11459">TRIM(B11461)</f>
        <v>North Carolina</v>
      </c>
      <c r="E11461" s="111" t="str">
        <f t="shared" si="11459"/>
        <v>Jamestown</v>
      </c>
    </row>
    <row r="11462" spans="1:5">
      <c r="A11462" s="110" t="s">
        <v>22251</v>
      </c>
      <c r="B11462" s="110" t="s">
        <v>1357</v>
      </c>
      <c r="C11462" s="111" t="s">
        <v>18854</v>
      </c>
      <c r="D11462" s="111" t="str">
        <f t="shared" ref="D11462:E11462" si="11460">TRIM(B11462)</f>
        <v>North Carolina</v>
      </c>
      <c r="E11462" s="111" t="str">
        <f t="shared" si="11460"/>
        <v>Jamestown</v>
      </c>
    </row>
    <row r="11463" spans="1:5">
      <c r="A11463" s="3" t="s">
        <v>22252</v>
      </c>
      <c r="B11463" s="110" t="s">
        <v>1357</v>
      </c>
      <c r="C11463" s="111" t="s">
        <v>22253</v>
      </c>
      <c r="D11463" s="111" t="str">
        <f t="shared" ref="D11463:E11463" si="11461">TRIM(B11463)</f>
        <v>North Carolina</v>
      </c>
      <c r="E11463" s="111" t="str">
        <f t="shared" si="11461"/>
        <v>Kannapolis</v>
      </c>
    </row>
    <row r="11464" spans="1:5">
      <c r="A11464" s="3" t="s">
        <v>22254</v>
      </c>
      <c r="B11464" s="110" t="s">
        <v>1357</v>
      </c>
      <c r="C11464" s="111" t="s">
        <v>22255</v>
      </c>
      <c r="D11464" s="111" t="str">
        <f t="shared" ref="D11464:E11464" si="11462">TRIM(B11464)</f>
        <v>North Carolina</v>
      </c>
      <c r="E11464" s="111" t="str">
        <f t="shared" si="11462"/>
        <v>Kenansville</v>
      </c>
    </row>
    <row r="11465" spans="1:5">
      <c r="A11465" s="3" t="s">
        <v>22256</v>
      </c>
      <c r="B11465" s="110" t="s">
        <v>1357</v>
      </c>
      <c r="C11465" s="111" t="s">
        <v>22257</v>
      </c>
      <c r="D11465" s="111" t="str">
        <f t="shared" ref="D11465:E11465" si="11463">TRIM(B11465)</f>
        <v>North Carolina</v>
      </c>
      <c r="E11465" s="111" t="str">
        <f t="shared" si="11463"/>
        <v>Kenly</v>
      </c>
    </row>
    <row r="11466" spans="1:5">
      <c r="A11466" s="3" t="s">
        <v>22258</v>
      </c>
      <c r="B11466" s="110" t="s">
        <v>1357</v>
      </c>
      <c r="C11466" s="111" t="s">
        <v>566</v>
      </c>
      <c r="D11466" s="111" t="str">
        <f t="shared" ref="D11466:E11466" si="11464">TRIM(B11466)</f>
        <v>North Carolina</v>
      </c>
      <c r="E11466" s="111" t="str">
        <f t="shared" si="11464"/>
        <v>Kernersville</v>
      </c>
    </row>
    <row r="11467" spans="1:5">
      <c r="A11467" s="3" t="s">
        <v>22259</v>
      </c>
      <c r="B11467" s="110" t="s">
        <v>1357</v>
      </c>
      <c r="C11467" s="111" t="s">
        <v>566</v>
      </c>
      <c r="D11467" s="111" t="str">
        <f t="shared" ref="D11467:E11467" si="11465">TRIM(B11467)</f>
        <v>North Carolina</v>
      </c>
      <c r="E11467" s="111" t="str">
        <f t="shared" si="11465"/>
        <v>Kernersville</v>
      </c>
    </row>
    <row r="11468" spans="1:5">
      <c r="A11468" s="3" t="s">
        <v>22260</v>
      </c>
      <c r="B11468" s="110" t="s">
        <v>1357</v>
      </c>
      <c r="C11468" s="111" t="s">
        <v>22261</v>
      </c>
      <c r="D11468" s="111" t="str">
        <f t="shared" ref="D11468:E11468" si="11466">TRIM(B11468)</f>
        <v>North Carolina</v>
      </c>
      <c r="E11468" s="111" t="str">
        <f t="shared" si="11466"/>
        <v>Kill Devil Hills</v>
      </c>
    </row>
    <row r="11469" spans="1:5">
      <c r="A11469" s="3" t="s">
        <v>22262</v>
      </c>
      <c r="B11469" s="110" t="s">
        <v>1357</v>
      </c>
      <c r="C11469" s="111" t="s">
        <v>22263</v>
      </c>
      <c r="D11469" s="111" t="str">
        <f t="shared" ref="D11469:E11469" si="11467">TRIM(B11469)</f>
        <v>North Carolina</v>
      </c>
      <c r="E11469" s="111" t="str">
        <f t="shared" si="11467"/>
        <v>King</v>
      </c>
    </row>
    <row r="11470" spans="1:5">
      <c r="A11470" s="3" t="s">
        <v>22264</v>
      </c>
      <c r="B11470" s="110" t="s">
        <v>1357</v>
      </c>
      <c r="C11470" s="111" t="s">
        <v>22265</v>
      </c>
      <c r="D11470" s="111" t="str">
        <f t="shared" ref="D11470:E11470" si="11468">TRIM(B11470)</f>
        <v>North Carolina</v>
      </c>
      <c r="E11470" s="111" t="str">
        <f t="shared" si="11468"/>
        <v>Kings Mountain</v>
      </c>
    </row>
    <row r="11471" spans="1:5">
      <c r="A11471" s="3" t="s">
        <v>22266</v>
      </c>
      <c r="B11471" s="110" t="s">
        <v>1357</v>
      </c>
      <c r="C11471" s="111" t="s">
        <v>4081</v>
      </c>
      <c r="D11471" s="111" t="str">
        <f t="shared" ref="D11471:E11471" si="11469">TRIM(B11471)</f>
        <v>North Carolina</v>
      </c>
      <c r="E11471" s="111" t="str">
        <f t="shared" si="11469"/>
        <v>Kinston</v>
      </c>
    </row>
    <row r="11472" spans="1:5">
      <c r="A11472" s="3" t="s">
        <v>22267</v>
      </c>
      <c r="B11472" s="110" t="s">
        <v>1357</v>
      </c>
      <c r="C11472" s="111" t="s">
        <v>4081</v>
      </c>
      <c r="D11472" s="111" t="str">
        <f t="shared" ref="D11472:E11472" si="11470">TRIM(B11472)</f>
        <v>North Carolina</v>
      </c>
      <c r="E11472" s="111" t="str">
        <f t="shared" si="11470"/>
        <v>Kinston</v>
      </c>
    </row>
    <row r="11473" spans="1:5">
      <c r="A11473" s="3" t="s">
        <v>22268</v>
      </c>
      <c r="B11473" s="110" t="s">
        <v>1357</v>
      </c>
      <c r="C11473" s="111" t="s">
        <v>22269</v>
      </c>
      <c r="D11473" s="111" t="str">
        <f t="shared" ref="D11473:E11473" si="11471">TRIM(B11473)</f>
        <v>North Carolina</v>
      </c>
      <c r="E11473" s="111" t="str">
        <f t="shared" si="11471"/>
        <v>Knightdale</v>
      </c>
    </row>
    <row r="11474" spans="1:5">
      <c r="A11474" s="3" t="s">
        <v>22270</v>
      </c>
      <c r="B11474" s="110" t="s">
        <v>1357</v>
      </c>
      <c r="C11474" s="111" t="s">
        <v>5386</v>
      </c>
      <c r="D11474" s="111" t="str">
        <f t="shared" ref="D11474:E11474" si="11472">TRIM(B11474)</f>
        <v>North Carolina</v>
      </c>
      <c r="E11474" s="111" t="str">
        <f t="shared" si="11472"/>
        <v>La Grange</v>
      </c>
    </row>
    <row r="11475" spans="1:5">
      <c r="A11475" s="3" t="s">
        <v>22271</v>
      </c>
      <c r="B11475" s="110" t="s">
        <v>1357</v>
      </c>
      <c r="C11475" s="111" t="s">
        <v>22272</v>
      </c>
      <c r="D11475" s="111" t="str">
        <f t="shared" ref="D11475:E11475" si="11473">TRIM(B11475)</f>
        <v>North Carolina</v>
      </c>
      <c r="E11475" s="111" t="str">
        <f t="shared" si="11473"/>
        <v>Lake Waccamaw</v>
      </c>
    </row>
    <row r="11476" spans="1:5">
      <c r="A11476" s="3" t="s">
        <v>22273</v>
      </c>
      <c r="B11476" s="110" t="s">
        <v>1357</v>
      </c>
      <c r="C11476" s="111" t="s">
        <v>12649</v>
      </c>
      <c r="D11476" s="111" t="str">
        <f t="shared" ref="D11476:E11476" si="11474">TRIM(B11476)</f>
        <v>North Carolina</v>
      </c>
      <c r="E11476" s="111" t="str">
        <f t="shared" si="11474"/>
        <v>Laurinburg</v>
      </c>
    </row>
    <row r="11477" spans="1:5">
      <c r="A11477" s="3" t="s">
        <v>22274</v>
      </c>
      <c r="B11477" s="110" t="s">
        <v>1357</v>
      </c>
      <c r="C11477" s="111" t="s">
        <v>12649</v>
      </c>
      <c r="D11477" s="111" t="str">
        <f t="shared" ref="D11477:E11477" si="11475">TRIM(B11477)</f>
        <v>North Carolina</v>
      </c>
      <c r="E11477" s="111" t="str">
        <f t="shared" si="11475"/>
        <v>Laurinburg</v>
      </c>
    </row>
    <row r="11478" spans="1:5">
      <c r="A11478" s="3" t="s">
        <v>22275</v>
      </c>
      <c r="B11478" s="110" t="s">
        <v>1357</v>
      </c>
      <c r="C11478" s="111" t="s">
        <v>5475</v>
      </c>
      <c r="D11478" s="111" t="str">
        <f t="shared" ref="D11478:E11478" si="11476">TRIM(B11478)</f>
        <v>North Carolina</v>
      </c>
      <c r="E11478" s="111" t="str">
        <f t="shared" si="11476"/>
        <v>Lawndale</v>
      </c>
    </row>
    <row r="11479" spans="1:5">
      <c r="A11479" s="3" t="s">
        <v>22276</v>
      </c>
      <c r="B11479" s="110" t="s">
        <v>1357</v>
      </c>
      <c r="C11479" s="111" t="s">
        <v>13195</v>
      </c>
      <c r="D11479" s="111" t="str">
        <f t="shared" ref="D11479:E11479" si="11477">TRIM(B11479)</f>
        <v>North Carolina</v>
      </c>
      <c r="E11479" s="111" t="str">
        <f t="shared" si="11477"/>
        <v>Leland</v>
      </c>
    </row>
    <row r="11480" spans="1:5">
      <c r="A11480" s="3" t="s">
        <v>22277</v>
      </c>
      <c r="B11480" s="110" t="s">
        <v>1357</v>
      </c>
      <c r="C11480" s="111" t="s">
        <v>497</v>
      </c>
      <c r="D11480" s="111" t="str">
        <f t="shared" ref="D11480:E11480" si="11478">TRIM(B11480)</f>
        <v>North Carolina</v>
      </c>
      <c r="E11480" s="111" t="str">
        <f t="shared" si="11478"/>
        <v>Lenoir</v>
      </c>
    </row>
    <row r="11481" spans="1:5">
      <c r="A11481" s="3" t="s">
        <v>22278</v>
      </c>
      <c r="B11481" s="110" t="s">
        <v>1357</v>
      </c>
      <c r="C11481" s="111" t="s">
        <v>497</v>
      </c>
      <c r="D11481" s="111" t="str">
        <f t="shared" ref="D11481:E11481" si="11479">TRIM(B11481)</f>
        <v>North Carolina</v>
      </c>
      <c r="E11481" s="111" t="str">
        <f t="shared" si="11479"/>
        <v>Lenoir</v>
      </c>
    </row>
    <row r="11482" spans="1:5">
      <c r="A11482" s="3" t="s">
        <v>22279</v>
      </c>
      <c r="B11482" s="110" t="s">
        <v>1357</v>
      </c>
      <c r="C11482" s="111" t="s">
        <v>506</v>
      </c>
      <c r="D11482" s="111" t="str">
        <f t="shared" ref="D11482:E11482" si="11480">TRIM(B11482)</f>
        <v>North Carolina</v>
      </c>
      <c r="E11482" s="111" t="str">
        <f t="shared" si="11480"/>
        <v>Lexington</v>
      </c>
    </row>
    <row r="11483" spans="1:5">
      <c r="A11483" s="110" t="s">
        <v>22280</v>
      </c>
      <c r="B11483" s="110" t="s">
        <v>1357</v>
      </c>
      <c r="C11483" s="111" t="s">
        <v>506</v>
      </c>
      <c r="D11483" s="111" t="str">
        <f t="shared" ref="D11483:E11483" si="11481">TRIM(B11483)</f>
        <v>North Carolina</v>
      </c>
      <c r="E11483" s="111" t="str">
        <f t="shared" si="11481"/>
        <v>Lexington</v>
      </c>
    </row>
    <row r="11484" spans="1:5">
      <c r="A11484" s="3" t="s">
        <v>22281</v>
      </c>
      <c r="B11484" s="110" t="s">
        <v>1357</v>
      </c>
      <c r="C11484" s="111" t="s">
        <v>506</v>
      </c>
      <c r="D11484" s="111" t="str">
        <f t="shared" ref="D11484:E11484" si="11482">TRIM(B11484)</f>
        <v>North Carolina</v>
      </c>
      <c r="E11484" s="111" t="str">
        <f t="shared" si="11482"/>
        <v>Lexington</v>
      </c>
    </row>
    <row r="11485" spans="1:5">
      <c r="A11485" s="3" t="s">
        <v>22282</v>
      </c>
      <c r="B11485" s="110" t="s">
        <v>1357</v>
      </c>
      <c r="C11485" s="111" t="s">
        <v>506</v>
      </c>
      <c r="D11485" s="111" t="str">
        <f t="shared" ref="D11485:E11485" si="11483">TRIM(B11485)</f>
        <v>North Carolina</v>
      </c>
      <c r="E11485" s="111" t="str">
        <f t="shared" si="11483"/>
        <v>Lexington</v>
      </c>
    </row>
    <row r="11486" spans="1:5">
      <c r="A11486" s="3" t="s">
        <v>22283</v>
      </c>
      <c r="B11486" s="110" t="s">
        <v>1357</v>
      </c>
      <c r="C11486" s="111" t="s">
        <v>506</v>
      </c>
      <c r="D11486" s="111" t="str">
        <f t="shared" ref="D11486:E11486" si="11484">TRIM(B11486)</f>
        <v>North Carolina</v>
      </c>
      <c r="E11486" s="111" t="str">
        <f t="shared" si="11484"/>
        <v>Lexington</v>
      </c>
    </row>
    <row r="11487" spans="1:5">
      <c r="A11487" s="3" t="s">
        <v>22284</v>
      </c>
      <c r="B11487" s="110" t="s">
        <v>1357</v>
      </c>
      <c r="C11487" s="111" t="s">
        <v>506</v>
      </c>
      <c r="D11487" s="111" t="str">
        <f t="shared" ref="D11487:E11487" si="11485">TRIM(B11487)</f>
        <v>North Carolina</v>
      </c>
      <c r="E11487" s="111" t="str">
        <f t="shared" si="11485"/>
        <v>Lexington</v>
      </c>
    </row>
    <row r="11488" spans="1:5">
      <c r="A11488" s="3" t="s">
        <v>22285</v>
      </c>
      <c r="B11488" s="110" t="s">
        <v>1357</v>
      </c>
      <c r="C11488" s="111" t="s">
        <v>22286</v>
      </c>
      <c r="D11488" s="111" t="str">
        <f t="shared" ref="D11488:E11488" si="11486">TRIM(B11488)</f>
        <v>North Carolina</v>
      </c>
      <c r="E11488" s="111" t="str">
        <f t="shared" si="11486"/>
        <v>Lillington</v>
      </c>
    </row>
    <row r="11489" spans="1:5">
      <c r="A11489" s="3" t="s">
        <v>22287</v>
      </c>
      <c r="B11489" s="110" t="s">
        <v>1357</v>
      </c>
      <c r="C11489" s="111" t="s">
        <v>794</v>
      </c>
      <c r="D11489" s="111" t="str">
        <f t="shared" ref="D11489:E11489" si="11487">TRIM(B11489)</f>
        <v>North Carolina</v>
      </c>
      <c r="E11489" s="111" t="str">
        <f t="shared" si="11487"/>
        <v>Lincolnton</v>
      </c>
    </row>
    <row r="11490" spans="1:5">
      <c r="A11490" s="3" t="s">
        <v>22288</v>
      </c>
      <c r="B11490" s="110" t="s">
        <v>1357</v>
      </c>
      <c r="C11490" s="111" t="s">
        <v>794</v>
      </c>
      <c r="D11490" s="111" t="str">
        <f t="shared" ref="D11490:E11490" si="11488">TRIM(B11490)</f>
        <v>North Carolina</v>
      </c>
      <c r="E11490" s="111" t="str">
        <f t="shared" si="11488"/>
        <v>Lincolnton</v>
      </c>
    </row>
    <row r="11491" spans="1:5">
      <c r="A11491" s="3" t="s">
        <v>22289</v>
      </c>
      <c r="B11491" s="110" t="s">
        <v>1357</v>
      </c>
      <c r="C11491" s="111" t="s">
        <v>794</v>
      </c>
      <c r="D11491" s="111" t="str">
        <f t="shared" ref="D11491:E11491" si="11489">TRIM(B11491)</f>
        <v>North Carolina</v>
      </c>
      <c r="E11491" s="111" t="str">
        <f t="shared" si="11489"/>
        <v>Lincolnton</v>
      </c>
    </row>
    <row r="11492" spans="1:5">
      <c r="A11492" s="110" t="s">
        <v>22290</v>
      </c>
      <c r="B11492" s="110" t="s">
        <v>1357</v>
      </c>
      <c r="C11492" s="111" t="s">
        <v>8066</v>
      </c>
      <c r="D11492" s="111" t="str">
        <f t="shared" ref="D11492:E11492" si="11490">TRIM(B11492)</f>
        <v>North Carolina</v>
      </c>
      <c r="E11492" s="111" t="str">
        <f t="shared" si="11490"/>
        <v>Littleton</v>
      </c>
    </row>
    <row r="11493" spans="1:5">
      <c r="A11493" s="110" t="s">
        <v>22291</v>
      </c>
      <c r="B11493" s="110" t="s">
        <v>1357</v>
      </c>
      <c r="C11493" s="111" t="s">
        <v>15380</v>
      </c>
      <c r="D11493" s="111" t="str">
        <f t="shared" ref="D11493:E11493" si="11491">TRIM(B11493)</f>
        <v>North Carolina</v>
      </c>
      <c r="E11493" s="111" t="str">
        <f t="shared" si="11491"/>
        <v>Louisburg</v>
      </c>
    </row>
    <row r="11494" spans="1:5">
      <c r="A11494" s="3" t="s">
        <v>15379</v>
      </c>
      <c r="B11494" s="110" t="s">
        <v>1357</v>
      </c>
      <c r="C11494" s="111" t="s">
        <v>15380</v>
      </c>
      <c r="D11494" s="111" t="str">
        <f t="shared" ref="D11494:E11494" si="11492">TRIM(B11494)</f>
        <v>North Carolina</v>
      </c>
      <c r="E11494" s="111" t="str">
        <f t="shared" si="11492"/>
        <v>Louisburg</v>
      </c>
    </row>
    <row r="11495" spans="1:5">
      <c r="A11495" s="3" t="s">
        <v>22292</v>
      </c>
      <c r="B11495" s="110" t="s">
        <v>1357</v>
      </c>
      <c r="C11495" s="111" t="s">
        <v>3247</v>
      </c>
      <c r="D11495" s="111" t="str">
        <f t="shared" ref="D11495:E11495" si="11493">TRIM(B11495)</f>
        <v>North Carolina</v>
      </c>
      <c r="E11495" s="111" t="str">
        <f t="shared" si="11493"/>
        <v>Lumberton</v>
      </c>
    </row>
    <row r="11496" spans="1:5">
      <c r="A11496" s="110" t="s">
        <v>22293</v>
      </c>
      <c r="B11496" s="110" t="s">
        <v>1357</v>
      </c>
      <c r="C11496" s="111" t="s">
        <v>3247</v>
      </c>
      <c r="D11496" s="111" t="str">
        <f t="shared" ref="D11496:E11496" si="11494">TRIM(B11496)</f>
        <v>North Carolina</v>
      </c>
      <c r="E11496" s="111" t="str">
        <f t="shared" si="11494"/>
        <v>Lumberton</v>
      </c>
    </row>
    <row r="11497" spans="1:5">
      <c r="A11497" s="3" t="s">
        <v>22294</v>
      </c>
      <c r="B11497" s="110" t="s">
        <v>1357</v>
      </c>
      <c r="C11497" s="111" t="s">
        <v>22295</v>
      </c>
      <c r="D11497" s="111" t="str">
        <f t="shared" ref="D11497:E11497" si="11495">TRIM(B11497)</f>
        <v>North Carolina</v>
      </c>
      <c r="E11497" s="111" t="str">
        <f t="shared" si="11495"/>
        <v>Maiden</v>
      </c>
    </row>
    <row r="11498" spans="1:5">
      <c r="A11498" s="3" t="s">
        <v>22296</v>
      </c>
      <c r="B11498" s="110" t="s">
        <v>1357</v>
      </c>
      <c r="C11498" s="111" t="s">
        <v>22297</v>
      </c>
      <c r="D11498" s="111" t="str">
        <f t="shared" ref="D11498:E11498" si="11496">TRIM(B11498)</f>
        <v>North Carolina</v>
      </c>
      <c r="E11498" s="111" t="str">
        <f t="shared" si="11496"/>
        <v>Manteo</v>
      </c>
    </row>
    <row r="11499" spans="1:5">
      <c r="A11499" s="3" t="s">
        <v>22298</v>
      </c>
      <c r="B11499" s="110" t="s">
        <v>1357</v>
      </c>
      <c r="C11499" s="111" t="s">
        <v>3995</v>
      </c>
      <c r="D11499" s="111" t="str">
        <f t="shared" ref="D11499:E11499" si="11497">TRIM(B11499)</f>
        <v>North Carolina</v>
      </c>
      <c r="E11499" s="111" t="str">
        <f t="shared" si="11497"/>
        <v>Marion</v>
      </c>
    </row>
    <row r="11500" spans="1:5">
      <c r="A11500" s="110" t="s">
        <v>22299</v>
      </c>
      <c r="B11500" s="110" t="s">
        <v>1357</v>
      </c>
      <c r="C11500" s="111" t="s">
        <v>3995</v>
      </c>
      <c r="D11500" s="111" t="str">
        <f t="shared" ref="D11500:E11500" si="11498">TRIM(B11500)</f>
        <v>North Carolina</v>
      </c>
      <c r="E11500" s="111" t="str">
        <f t="shared" si="11498"/>
        <v>Marion</v>
      </c>
    </row>
    <row r="11501" spans="1:5">
      <c r="A11501" s="3" t="s">
        <v>22300</v>
      </c>
      <c r="B11501" s="110" t="s">
        <v>1357</v>
      </c>
      <c r="C11501" s="111" t="s">
        <v>3995</v>
      </c>
      <c r="D11501" s="111" t="str">
        <f t="shared" ref="D11501:E11501" si="11499">TRIM(B11501)</f>
        <v>North Carolina</v>
      </c>
      <c r="E11501" s="111" t="str">
        <f t="shared" si="11499"/>
        <v>Marion</v>
      </c>
    </row>
    <row r="11502" spans="1:5">
      <c r="A11502" s="3" t="s">
        <v>22301</v>
      </c>
      <c r="B11502" s="110" t="s">
        <v>1357</v>
      </c>
      <c r="C11502" s="111" t="s">
        <v>1258</v>
      </c>
      <c r="D11502" s="111" t="str">
        <f t="shared" ref="D11502:E11502" si="11500">TRIM(B11502)</f>
        <v>North Carolina</v>
      </c>
      <c r="E11502" s="111" t="str">
        <f t="shared" si="11500"/>
        <v>Marshall</v>
      </c>
    </row>
    <row r="11503" spans="1:5">
      <c r="A11503" s="3" t="s">
        <v>6772</v>
      </c>
      <c r="B11503" s="110" t="s">
        <v>1357</v>
      </c>
      <c r="C11503" s="112" t="s">
        <v>1258</v>
      </c>
      <c r="D11503" s="111" t="str">
        <f t="shared" ref="D11503:E11503" si="11501">TRIM(B11503)</f>
        <v>North Carolina</v>
      </c>
      <c r="E11503" s="111" t="str">
        <f t="shared" si="11501"/>
        <v>Marshall</v>
      </c>
    </row>
    <row r="11504" spans="1:5">
      <c r="A11504" s="3" t="s">
        <v>21234</v>
      </c>
      <c r="B11504" s="110" t="s">
        <v>1357</v>
      </c>
      <c r="C11504" s="111" t="s">
        <v>22302</v>
      </c>
      <c r="D11504" s="111" t="str">
        <f t="shared" ref="D11504:E11504" si="11502">TRIM(B11504)</f>
        <v>North Carolina</v>
      </c>
      <c r="E11504" s="111" t="str">
        <f t="shared" si="11502"/>
        <v>Marshville</v>
      </c>
    </row>
    <row r="11505" spans="1:5">
      <c r="A11505" s="3" t="s">
        <v>22303</v>
      </c>
      <c r="B11505" s="110" t="s">
        <v>1357</v>
      </c>
      <c r="C11505" s="111" t="s">
        <v>22304</v>
      </c>
      <c r="D11505" s="111" t="str">
        <f t="shared" ref="D11505:E11505" si="11503">TRIM(B11505)</f>
        <v>North Carolina</v>
      </c>
      <c r="E11505" s="111" t="str">
        <f t="shared" si="11503"/>
        <v>Mathews</v>
      </c>
    </row>
    <row r="11506" spans="1:5">
      <c r="A11506" s="3" t="s">
        <v>10389</v>
      </c>
      <c r="B11506" s="110" t="s">
        <v>1357</v>
      </c>
      <c r="C11506" s="111" t="s">
        <v>12634</v>
      </c>
      <c r="D11506" s="111" t="str">
        <f t="shared" ref="D11506:E11506" si="11504">TRIM(B11506)</f>
        <v>North Carolina</v>
      </c>
      <c r="E11506" s="111" t="str">
        <f t="shared" si="11504"/>
        <v>Matthews</v>
      </c>
    </row>
    <row r="11507" spans="1:5">
      <c r="A11507" s="3" t="s">
        <v>22305</v>
      </c>
      <c r="B11507" s="110" t="s">
        <v>1357</v>
      </c>
      <c r="C11507" s="111" t="s">
        <v>12634</v>
      </c>
      <c r="D11507" s="111" t="str">
        <f t="shared" ref="D11507:E11507" si="11505">TRIM(B11507)</f>
        <v>North Carolina</v>
      </c>
      <c r="E11507" s="111" t="str">
        <f t="shared" si="11505"/>
        <v>Matthews</v>
      </c>
    </row>
    <row r="11508" spans="1:5">
      <c r="A11508" s="3" t="s">
        <v>22306</v>
      </c>
      <c r="B11508" s="110" t="s">
        <v>1357</v>
      </c>
      <c r="C11508" s="111" t="s">
        <v>22307</v>
      </c>
      <c r="D11508" s="111" t="str">
        <f t="shared" ref="D11508:E11508" si="11506">TRIM(B11508)</f>
        <v>North Carolina</v>
      </c>
      <c r="E11508" s="111" t="str">
        <f t="shared" si="11506"/>
        <v>Mayodan</v>
      </c>
    </row>
    <row r="11509" spans="1:5">
      <c r="A11509" s="3" t="s">
        <v>22308</v>
      </c>
      <c r="B11509" s="110" t="s">
        <v>1357</v>
      </c>
      <c r="C11509" s="111" t="s">
        <v>22309</v>
      </c>
      <c r="D11509" s="111" t="str">
        <f t="shared" ref="D11509:E11509" si="11507">TRIM(B11509)</f>
        <v>North Carolina</v>
      </c>
      <c r="E11509" s="111" t="str">
        <f t="shared" si="11507"/>
        <v>Mcleansville</v>
      </c>
    </row>
    <row r="11510" spans="1:5">
      <c r="A11510" s="3" t="s">
        <v>22310</v>
      </c>
      <c r="B11510" s="110" t="s">
        <v>1357</v>
      </c>
      <c r="C11510" s="111" t="s">
        <v>22311</v>
      </c>
      <c r="D11510" s="111" t="str">
        <f t="shared" ref="D11510:E11510" si="11508">TRIM(B11510)</f>
        <v>North Carolina</v>
      </c>
      <c r="E11510" s="111" t="str">
        <f t="shared" si="11508"/>
        <v>Mebane</v>
      </c>
    </row>
    <row r="11511" spans="1:5">
      <c r="A11511" s="3" t="s">
        <v>22312</v>
      </c>
      <c r="B11511" s="110" t="s">
        <v>1357</v>
      </c>
      <c r="C11511" s="111" t="s">
        <v>22313</v>
      </c>
      <c r="D11511" s="111" t="str">
        <f t="shared" ref="D11511:E11511" si="11509">TRIM(B11511)</f>
        <v>North Carolina</v>
      </c>
      <c r="E11511" s="111" t="str">
        <f t="shared" si="11509"/>
        <v>Millers Creek</v>
      </c>
    </row>
    <row r="11512" spans="1:5">
      <c r="A11512" s="3" t="s">
        <v>22314</v>
      </c>
      <c r="B11512" s="110" t="s">
        <v>1357</v>
      </c>
      <c r="C11512" s="111" t="s">
        <v>22315</v>
      </c>
      <c r="D11512" s="111" t="str">
        <f t="shared" ref="D11512:E11512" si="11510">TRIM(B11512)</f>
        <v>North Carolina</v>
      </c>
      <c r="E11512" s="111" t="str">
        <f t="shared" si="11510"/>
        <v>Mint Hill</v>
      </c>
    </row>
    <row r="11513" spans="1:5">
      <c r="A11513" s="110" t="s">
        <v>22316</v>
      </c>
      <c r="B11513" s="110" t="s">
        <v>1357</v>
      </c>
      <c r="C11513" s="111" t="s">
        <v>22317</v>
      </c>
      <c r="D11513" s="111" t="str">
        <f t="shared" ref="D11513:E11513" si="11511">TRIM(B11513)</f>
        <v>North Carolina</v>
      </c>
      <c r="E11513" s="111" t="str">
        <f t="shared" si="11511"/>
        <v>Misenheimer</v>
      </c>
    </row>
    <row r="11514" spans="1:5">
      <c r="A11514" s="3" t="s">
        <v>22318</v>
      </c>
      <c r="B11514" s="110" t="s">
        <v>1357</v>
      </c>
      <c r="C11514" s="111" t="s">
        <v>22319</v>
      </c>
      <c r="D11514" s="111" t="str">
        <f t="shared" ref="D11514:E11514" si="11512">TRIM(B11514)</f>
        <v>North Carolina</v>
      </c>
      <c r="E11514" s="111" t="str">
        <f t="shared" si="11512"/>
        <v>Mocksville</v>
      </c>
    </row>
    <row r="11515" spans="1:5">
      <c r="A11515" s="3" t="s">
        <v>22320</v>
      </c>
      <c r="B11515" s="110" t="s">
        <v>1357</v>
      </c>
      <c r="C11515" s="111" t="s">
        <v>22319</v>
      </c>
      <c r="D11515" s="111" t="str">
        <f t="shared" ref="D11515:E11515" si="11513">TRIM(B11515)</f>
        <v>North Carolina</v>
      </c>
      <c r="E11515" s="111" t="str">
        <f t="shared" si="11513"/>
        <v>Mocksville</v>
      </c>
    </row>
    <row r="11516" spans="1:5">
      <c r="A11516" s="3" t="s">
        <v>22321</v>
      </c>
      <c r="B11516" s="110" t="s">
        <v>1357</v>
      </c>
      <c r="C11516" s="111" t="s">
        <v>380</v>
      </c>
      <c r="D11516" s="111" t="str">
        <f t="shared" ref="D11516:E11516" si="11514">TRIM(B11516)</f>
        <v>North Carolina</v>
      </c>
      <c r="E11516" s="111" t="str">
        <f t="shared" si="11514"/>
        <v>Monroe</v>
      </c>
    </row>
    <row r="11517" spans="1:5">
      <c r="A11517" s="3" t="s">
        <v>10298</v>
      </c>
      <c r="B11517" s="110" t="s">
        <v>1357</v>
      </c>
      <c r="C11517" s="111" t="s">
        <v>380</v>
      </c>
      <c r="D11517" s="111" t="str">
        <f t="shared" ref="D11517:E11517" si="11515">TRIM(B11517)</f>
        <v>North Carolina</v>
      </c>
      <c r="E11517" s="111" t="str">
        <f t="shared" si="11515"/>
        <v>Monroe</v>
      </c>
    </row>
    <row r="11518" spans="1:5">
      <c r="A11518" s="3" t="s">
        <v>22322</v>
      </c>
      <c r="B11518" s="110" t="s">
        <v>1357</v>
      </c>
      <c r="C11518" s="111" t="s">
        <v>380</v>
      </c>
      <c r="D11518" s="111" t="str">
        <f t="shared" ref="D11518:E11518" si="11516">TRIM(B11518)</f>
        <v>North Carolina</v>
      </c>
      <c r="E11518" s="111" t="str">
        <f t="shared" si="11516"/>
        <v>Monroe</v>
      </c>
    </row>
    <row r="11519" spans="1:5">
      <c r="A11519" s="3" t="s">
        <v>2092</v>
      </c>
      <c r="B11519" s="110" t="s">
        <v>1357</v>
      </c>
      <c r="C11519" s="111" t="s">
        <v>380</v>
      </c>
      <c r="D11519" s="111" t="str">
        <f t="shared" ref="D11519:E11519" si="11517">TRIM(B11519)</f>
        <v>North Carolina</v>
      </c>
      <c r="E11519" s="111" t="str">
        <f t="shared" si="11517"/>
        <v>Monroe</v>
      </c>
    </row>
    <row r="11520" spans="1:5">
      <c r="A11520" s="3" t="s">
        <v>2856</v>
      </c>
      <c r="B11520" s="110" t="s">
        <v>1357</v>
      </c>
      <c r="C11520" s="111" t="s">
        <v>380</v>
      </c>
      <c r="D11520" s="111" t="str">
        <f t="shared" ref="D11520:E11520" si="11518">TRIM(B11520)</f>
        <v>North Carolina</v>
      </c>
      <c r="E11520" s="111" t="str">
        <f t="shared" si="11518"/>
        <v>Monroe</v>
      </c>
    </row>
    <row r="11521" spans="1:5">
      <c r="A11521" s="110" t="s">
        <v>22323</v>
      </c>
      <c r="B11521" s="110" t="s">
        <v>1357</v>
      </c>
      <c r="C11521" s="111" t="s">
        <v>380</v>
      </c>
      <c r="D11521" s="111" t="str">
        <f t="shared" ref="D11521:E11521" si="11519">TRIM(B11521)</f>
        <v>North Carolina</v>
      </c>
      <c r="E11521" s="111" t="str">
        <f t="shared" si="11519"/>
        <v>Monroe</v>
      </c>
    </row>
    <row r="11522" spans="1:5">
      <c r="A11522" s="3" t="s">
        <v>22324</v>
      </c>
      <c r="B11522" s="110" t="s">
        <v>1357</v>
      </c>
      <c r="C11522" s="111" t="s">
        <v>14509</v>
      </c>
      <c r="D11522" s="111" t="str">
        <f t="shared" ref="D11522:E11522" si="11520">TRIM(B11522)</f>
        <v>North Carolina</v>
      </c>
      <c r="E11522" s="111" t="str">
        <f t="shared" si="11520"/>
        <v>Mooresville</v>
      </c>
    </row>
    <row r="11523" spans="1:5">
      <c r="A11523" s="3" t="s">
        <v>14508</v>
      </c>
      <c r="B11523" s="110" t="s">
        <v>1357</v>
      </c>
      <c r="C11523" s="111" t="s">
        <v>14509</v>
      </c>
      <c r="D11523" s="111" t="str">
        <f t="shared" ref="D11523:E11523" si="11521">TRIM(B11523)</f>
        <v>North Carolina</v>
      </c>
      <c r="E11523" s="111" t="str">
        <f t="shared" si="11521"/>
        <v>Mooresville</v>
      </c>
    </row>
    <row r="11524" spans="1:5">
      <c r="A11524" s="3" t="s">
        <v>22325</v>
      </c>
      <c r="B11524" s="110" t="s">
        <v>1357</v>
      </c>
      <c r="C11524" s="111" t="s">
        <v>22326</v>
      </c>
      <c r="D11524" s="111" t="str">
        <f t="shared" ref="D11524:E11524" si="11522">TRIM(B11524)</f>
        <v>North Carolina</v>
      </c>
      <c r="E11524" s="111" t="str">
        <f t="shared" si="11522"/>
        <v>Morehead City</v>
      </c>
    </row>
    <row r="11525" spans="1:5">
      <c r="A11525" s="110" t="s">
        <v>22327</v>
      </c>
      <c r="B11525" s="110" t="s">
        <v>1357</v>
      </c>
      <c r="C11525" s="111" t="s">
        <v>22328</v>
      </c>
      <c r="D11525" s="111" t="str">
        <f t="shared" ref="D11525:E11525" si="11523">TRIM(B11525)</f>
        <v>North Carolina</v>
      </c>
      <c r="E11525" s="111" t="str">
        <f t="shared" si="11523"/>
        <v>Morganton</v>
      </c>
    </row>
    <row r="11526" spans="1:5">
      <c r="A11526" s="3" t="s">
        <v>6200</v>
      </c>
      <c r="B11526" s="110" t="s">
        <v>1357</v>
      </c>
      <c r="C11526" s="111" t="s">
        <v>22328</v>
      </c>
      <c r="D11526" s="111" t="str">
        <f t="shared" ref="D11526:E11526" si="11524">TRIM(B11526)</f>
        <v>North Carolina</v>
      </c>
      <c r="E11526" s="111" t="str">
        <f t="shared" si="11524"/>
        <v>Morganton</v>
      </c>
    </row>
    <row r="11527" spans="1:5">
      <c r="A11527" s="3" t="s">
        <v>22329</v>
      </c>
      <c r="B11527" s="110" t="s">
        <v>1357</v>
      </c>
      <c r="C11527" s="111" t="s">
        <v>22328</v>
      </c>
      <c r="D11527" s="111" t="str">
        <f t="shared" ref="D11527:E11527" si="11525">TRIM(B11527)</f>
        <v>North Carolina</v>
      </c>
      <c r="E11527" s="111" t="str">
        <f t="shared" si="11525"/>
        <v>Morganton</v>
      </c>
    </row>
    <row r="11528" spans="1:5">
      <c r="A11528" s="3" t="s">
        <v>22330</v>
      </c>
      <c r="B11528" s="110" t="s">
        <v>1357</v>
      </c>
      <c r="C11528" s="111" t="s">
        <v>11112</v>
      </c>
      <c r="D11528" s="111" t="str">
        <f t="shared" ref="D11528:E11528" si="11526">TRIM(B11528)</f>
        <v>North Carolina</v>
      </c>
      <c r="E11528" s="111" t="str">
        <f t="shared" si="11526"/>
        <v>Mount Airy</v>
      </c>
    </row>
    <row r="11529" spans="1:5">
      <c r="A11529" s="3" t="s">
        <v>22331</v>
      </c>
      <c r="B11529" s="110" t="s">
        <v>1357</v>
      </c>
      <c r="C11529" s="111" t="s">
        <v>11112</v>
      </c>
      <c r="D11529" s="111" t="str">
        <f t="shared" ref="D11529:E11529" si="11527">TRIM(B11529)</f>
        <v>North Carolina</v>
      </c>
      <c r="E11529" s="111" t="str">
        <f t="shared" si="11527"/>
        <v>Mount Airy</v>
      </c>
    </row>
    <row r="11530" spans="1:5">
      <c r="A11530" s="3" t="s">
        <v>22332</v>
      </c>
      <c r="B11530" s="110" t="s">
        <v>1357</v>
      </c>
      <c r="C11530" s="111" t="s">
        <v>22333</v>
      </c>
      <c r="D11530" s="111" t="str">
        <f t="shared" ref="D11530:E11530" si="11528">TRIM(B11530)</f>
        <v>North Carolina</v>
      </c>
      <c r="E11530" s="111" t="str">
        <f t="shared" si="11528"/>
        <v>Mount Gilead</v>
      </c>
    </row>
    <row r="11531" spans="1:5">
      <c r="A11531" s="3" t="s">
        <v>22334</v>
      </c>
      <c r="B11531" s="110" t="s">
        <v>1357</v>
      </c>
      <c r="C11531" s="111" t="s">
        <v>20275</v>
      </c>
      <c r="D11531" s="111" t="str">
        <f t="shared" ref="D11531:E11531" si="11529">TRIM(B11531)</f>
        <v>North Carolina</v>
      </c>
      <c r="E11531" s="111" t="str">
        <f t="shared" si="11529"/>
        <v>Mount Holly</v>
      </c>
    </row>
    <row r="11532" spans="1:5">
      <c r="A11532" s="3" t="s">
        <v>8871</v>
      </c>
      <c r="B11532" s="110" t="s">
        <v>1357</v>
      </c>
      <c r="C11532" s="111" t="s">
        <v>398</v>
      </c>
      <c r="D11532" s="111" t="str">
        <f t="shared" ref="D11532:E11532" si="11530">TRIM(B11532)</f>
        <v>North Carolina</v>
      </c>
      <c r="E11532" s="111" t="str">
        <f t="shared" si="11530"/>
        <v>Mount Pleasant</v>
      </c>
    </row>
    <row r="11533" spans="1:5">
      <c r="A11533" s="3" t="s">
        <v>22335</v>
      </c>
      <c r="B11533" s="110" t="s">
        <v>1357</v>
      </c>
      <c r="C11533" s="111" t="s">
        <v>22336</v>
      </c>
      <c r="D11533" s="111" t="str">
        <f t="shared" ref="D11533:E11533" si="11531">TRIM(B11533)</f>
        <v>North Carolina</v>
      </c>
      <c r="E11533" s="111" t="str">
        <f t="shared" si="11531"/>
        <v>Mount Ulla</v>
      </c>
    </row>
    <row r="11534" spans="1:5">
      <c r="A11534" s="3" t="s">
        <v>22337</v>
      </c>
      <c r="B11534" s="110" t="s">
        <v>1357</v>
      </c>
      <c r="C11534" s="111" t="s">
        <v>22338</v>
      </c>
      <c r="D11534" s="111" t="str">
        <f t="shared" ref="D11534:E11534" si="11532">TRIM(B11534)</f>
        <v>North Carolina</v>
      </c>
      <c r="E11534" s="111" t="str">
        <f t="shared" si="11532"/>
        <v>Mt. Olive</v>
      </c>
    </row>
    <row r="11535" spans="1:5">
      <c r="A11535" s="3" t="s">
        <v>22339</v>
      </c>
      <c r="B11535" s="110" t="s">
        <v>1357</v>
      </c>
      <c r="C11535" s="111" t="s">
        <v>22340</v>
      </c>
      <c r="D11535" s="111" t="str">
        <f t="shared" ref="D11535:E11535" si="11533">TRIM(B11535)</f>
        <v>North Carolina</v>
      </c>
      <c r="E11535" s="111" t="str">
        <f t="shared" si="11533"/>
        <v>Murphy</v>
      </c>
    </row>
    <row r="11536" spans="1:5">
      <c r="A11536" s="3" t="s">
        <v>1969</v>
      </c>
      <c r="B11536" s="110" t="s">
        <v>1357</v>
      </c>
      <c r="C11536" s="111" t="s">
        <v>22340</v>
      </c>
      <c r="D11536" s="111" t="str">
        <f t="shared" ref="D11536:E11536" si="11534">TRIM(B11536)</f>
        <v>North Carolina</v>
      </c>
      <c r="E11536" s="111" t="str">
        <f t="shared" si="11534"/>
        <v>Murphy</v>
      </c>
    </row>
    <row r="11537" spans="1:5">
      <c r="A11537" s="3" t="s">
        <v>22341</v>
      </c>
      <c r="B11537" s="110" t="s">
        <v>1357</v>
      </c>
      <c r="C11537" s="111" t="s">
        <v>22340</v>
      </c>
      <c r="D11537" s="111" t="str">
        <f t="shared" ref="D11537:E11537" si="11535">TRIM(B11537)</f>
        <v>North Carolina</v>
      </c>
      <c r="E11537" s="111" t="str">
        <f t="shared" si="11535"/>
        <v>Murphy</v>
      </c>
    </row>
    <row r="11538" spans="1:5">
      <c r="A11538" s="3" t="s">
        <v>22342</v>
      </c>
      <c r="B11538" s="110" t="s">
        <v>1357</v>
      </c>
      <c r="C11538" s="111" t="s">
        <v>12687</v>
      </c>
      <c r="D11538" s="111" t="str">
        <f t="shared" ref="D11538:E11538" si="11536">TRIM(B11538)</f>
        <v>North Carolina</v>
      </c>
      <c r="E11538" s="111" t="str">
        <f t="shared" si="11536"/>
        <v>New Bern</v>
      </c>
    </row>
    <row r="11539" spans="1:5">
      <c r="A11539" s="3" t="s">
        <v>22343</v>
      </c>
      <c r="B11539" s="110" t="s">
        <v>1357</v>
      </c>
      <c r="C11539" s="111" t="s">
        <v>12687</v>
      </c>
      <c r="D11539" s="111" t="str">
        <f t="shared" ref="D11539:E11539" si="11537">TRIM(B11539)</f>
        <v>North Carolina</v>
      </c>
      <c r="E11539" s="111" t="str">
        <f t="shared" si="11537"/>
        <v>New Bern</v>
      </c>
    </row>
    <row r="11540" spans="1:5">
      <c r="A11540" s="3" t="s">
        <v>22344</v>
      </c>
      <c r="B11540" s="110" t="s">
        <v>1357</v>
      </c>
      <c r="C11540" s="111" t="s">
        <v>8596</v>
      </c>
      <c r="D11540" s="111" t="str">
        <f t="shared" ref="D11540:E11540" si="11538">TRIM(B11540)</f>
        <v>North Carolina</v>
      </c>
      <c r="E11540" s="111" t="str">
        <f t="shared" si="11538"/>
        <v>New London</v>
      </c>
    </row>
    <row r="11541" spans="1:5">
      <c r="A11541" s="3" t="s">
        <v>22345</v>
      </c>
      <c r="B11541" s="110" t="s">
        <v>1357</v>
      </c>
      <c r="C11541" s="111" t="s">
        <v>22346</v>
      </c>
      <c r="D11541" s="111" t="str">
        <f t="shared" ref="D11541:E11541" si="11539">TRIM(B11541)</f>
        <v>North Carolina</v>
      </c>
      <c r="E11541" s="111" t="str">
        <f t="shared" si="11539"/>
        <v>Newland</v>
      </c>
    </row>
    <row r="11542" spans="1:5">
      <c r="A11542" s="3" t="s">
        <v>22347</v>
      </c>
      <c r="B11542" s="110" t="s">
        <v>1357</v>
      </c>
      <c r="C11542" s="111" t="s">
        <v>22346</v>
      </c>
      <c r="D11542" s="111" t="str">
        <f t="shared" ref="D11542:E11542" si="11540">TRIM(B11542)</f>
        <v>North Carolina</v>
      </c>
      <c r="E11542" s="111" t="str">
        <f t="shared" si="11540"/>
        <v>Newland</v>
      </c>
    </row>
    <row r="11543" spans="1:5">
      <c r="A11543" s="3" t="s">
        <v>22348</v>
      </c>
      <c r="B11543" s="110" t="s">
        <v>1357</v>
      </c>
      <c r="C11543" s="111" t="s">
        <v>4078</v>
      </c>
      <c r="D11543" s="111" t="str">
        <f t="shared" ref="D11543:E11543" si="11541">TRIM(B11543)</f>
        <v>North Carolina</v>
      </c>
      <c r="E11543" s="111" t="str">
        <f t="shared" si="11541"/>
        <v>Newport</v>
      </c>
    </row>
    <row r="11544" spans="1:5">
      <c r="A11544" s="3" t="s">
        <v>9482</v>
      </c>
      <c r="B11544" s="110" t="s">
        <v>1357</v>
      </c>
      <c r="C11544" s="111" t="s">
        <v>11313</v>
      </c>
      <c r="D11544" s="111" t="str">
        <f t="shared" ref="D11544:E11544" si="11542">TRIM(B11544)</f>
        <v>North Carolina</v>
      </c>
      <c r="E11544" s="111" t="str">
        <f t="shared" si="11542"/>
        <v>Newton</v>
      </c>
    </row>
    <row r="11545" spans="1:5">
      <c r="A11545" s="3" t="s">
        <v>22349</v>
      </c>
      <c r="B11545" s="110" t="s">
        <v>1357</v>
      </c>
      <c r="C11545" s="111" t="s">
        <v>11313</v>
      </c>
      <c r="D11545" s="111" t="str">
        <f t="shared" ref="D11545:E11545" si="11543">TRIM(B11545)</f>
        <v>North Carolina</v>
      </c>
      <c r="E11545" s="111" t="str">
        <f t="shared" si="11543"/>
        <v>Newton</v>
      </c>
    </row>
    <row r="11546" spans="1:5">
      <c r="A11546" s="3" t="s">
        <v>22350</v>
      </c>
      <c r="B11546" s="110" t="s">
        <v>1357</v>
      </c>
      <c r="C11546" s="111" t="s">
        <v>11313</v>
      </c>
      <c r="D11546" s="111" t="str">
        <f t="shared" ref="D11546:E11546" si="11544">TRIM(B11546)</f>
        <v>North Carolina</v>
      </c>
      <c r="E11546" s="111" t="str">
        <f t="shared" si="11544"/>
        <v>Newton</v>
      </c>
    </row>
    <row r="11547" spans="1:5">
      <c r="A11547" s="3" t="s">
        <v>22351</v>
      </c>
      <c r="B11547" s="110" t="s">
        <v>1357</v>
      </c>
      <c r="C11547" s="111" t="s">
        <v>22352</v>
      </c>
      <c r="D11547" s="111" t="str">
        <f t="shared" ref="D11547:E11547" si="11545">TRIM(B11547)</f>
        <v>North Carolina</v>
      </c>
      <c r="E11547" s="111" t="str">
        <f t="shared" si="11545"/>
        <v>Newton Grove</v>
      </c>
    </row>
    <row r="11548" spans="1:5">
      <c r="A11548" s="3" t="s">
        <v>18703</v>
      </c>
      <c r="B11548" s="110" t="s">
        <v>1357</v>
      </c>
      <c r="C11548" s="111" t="s">
        <v>22352</v>
      </c>
      <c r="D11548" s="111" t="str">
        <f t="shared" ref="D11548:E11548" si="11546">TRIM(B11548)</f>
        <v>North Carolina</v>
      </c>
      <c r="E11548" s="111" t="str">
        <f t="shared" si="11546"/>
        <v>Newton Grove</v>
      </c>
    </row>
    <row r="11549" spans="1:5">
      <c r="A11549" s="3" t="s">
        <v>22353</v>
      </c>
      <c r="B11549" s="110" t="s">
        <v>1357</v>
      </c>
      <c r="C11549" s="111" t="s">
        <v>16792</v>
      </c>
      <c r="D11549" s="111" t="str">
        <f t="shared" ref="D11549:E11549" si="11547">TRIM(B11549)</f>
        <v>North Carolina</v>
      </c>
      <c r="E11549" s="111" t="str">
        <f t="shared" si="11547"/>
        <v>Norwood</v>
      </c>
    </row>
    <row r="11550" spans="1:5">
      <c r="A11550" s="3" t="s">
        <v>22354</v>
      </c>
      <c r="B11550" s="110" t="s">
        <v>1357</v>
      </c>
      <c r="C11550" s="111" t="s">
        <v>22355</v>
      </c>
      <c r="D11550" s="111" t="str">
        <f t="shared" ref="D11550:E11550" si="11548">TRIM(B11550)</f>
        <v>North Carolina</v>
      </c>
      <c r="E11550" s="111" t="str">
        <f t="shared" si="11548"/>
        <v>Oakboro</v>
      </c>
    </row>
    <row r="11551" spans="1:5">
      <c r="A11551" s="110" t="s">
        <v>22356</v>
      </c>
      <c r="B11551" s="110" t="s">
        <v>1357</v>
      </c>
      <c r="C11551" s="111" t="s">
        <v>22357</v>
      </c>
      <c r="D11551" s="111" t="str">
        <f t="shared" ref="D11551:E11551" si="11549">TRIM(B11551)</f>
        <v>North Carolina</v>
      </c>
      <c r="E11551" s="111" t="str">
        <f t="shared" si="11549"/>
        <v>Olin</v>
      </c>
    </row>
    <row r="11552" spans="1:5">
      <c r="A11552" s="3" t="s">
        <v>22358</v>
      </c>
      <c r="B11552" s="110" t="s">
        <v>1357</v>
      </c>
      <c r="C11552" s="111" t="s">
        <v>22357</v>
      </c>
      <c r="D11552" s="111" t="str">
        <f t="shared" ref="D11552:E11552" si="11550">TRIM(B11552)</f>
        <v>North Carolina</v>
      </c>
      <c r="E11552" s="111" t="str">
        <f t="shared" si="11550"/>
        <v>Olin</v>
      </c>
    </row>
    <row r="11553" spans="1:5">
      <c r="A11553" s="3" t="s">
        <v>22359</v>
      </c>
      <c r="B11553" s="110" t="s">
        <v>1357</v>
      </c>
      <c r="C11553" s="111" t="s">
        <v>279</v>
      </c>
      <c r="D11553" s="111" t="str">
        <f t="shared" ref="D11553:E11553" si="11551">TRIM(B11553)</f>
        <v>North Carolina</v>
      </c>
      <c r="E11553" s="111" t="str">
        <f t="shared" si="11551"/>
        <v>Oxford</v>
      </c>
    </row>
    <row r="11554" spans="1:5">
      <c r="A11554" s="3" t="s">
        <v>22360</v>
      </c>
      <c r="B11554" s="110" t="s">
        <v>1357</v>
      </c>
      <c r="C11554" s="111" t="s">
        <v>279</v>
      </c>
      <c r="D11554" s="111" t="str">
        <f t="shared" ref="D11554:E11554" si="11552">TRIM(B11554)</f>
        <v>North Carolina</v>
      </c>
      <c r="E11554" s="111" t="str">
        <f t="shared" si="11552"/>
        <v>Oxford</v>
      </c>
    </row>
    <row r="11555" spans="1:5">
      <c r="A11555" s="110" t="s">
        <v>22361</v>
      </c>
      <c r="B11555" s="110" t="s">
        <v>1357</v>
      </c>
      <c r="C11555" s="111" t="s">
        <v>279</v>
      </c>
      <c r="D11555" s="111" t="str">
        <f t="shared" ref="D11555:E11555" si="11553">TRIM(B11555)</f>
        <v>North Carolina</v>
      </c>
      <c r="E11555" s="111" t="str">
        <f t="shared" si="11553"/>
        <v>Oxford</v>
      </c>
    </row>
    <row r="11556" spans="1:5">
      <c r="A11556" s="3" t="s">
        <v>22362</v>
      </c>
      <c r="B11556" s="110" t="s">
        <v>1357</v>
      </c>
      <c r="C11556" s="111" t="s">
        <v>11161</v>
      </c>
      <c r="D11556" s="111" t="str">
        <f t="shared" ref="D11556:E11556" si="11554">TRIM(B11556)</f>
        <v>North Carolina</v>
      </c>
      <c r="E11556" s="111" t="str">
        <f t="shared" si="11554"/>
        <v>Pembroke</v>
      </c>
    </row>
    <row r="11557" spans="1:5">
      <c r="A11557" s="3" t="s">
        <v>22363</v>
      </c>
      <c r="B11557" s="110" t="s">
        <v>1357</v>
      </c>
      <c r="C11557" s="111" t="s">
        <v>22364</v>
      </c>
      <c r="D11557" s="111" t="str">
        <f t="shared" ref="D11557:E11557" si="11555">TRIM(B11557)</f>
        <v>North Carolina</v>
      </c>
      <c r="E11557" s="111" t="str">
        <f t="shared" si="11555"/>
        <v>Pfafftown</v>
      </c>
    </row>
    <row r="11558" spans="1:5">
      <c r="A11558" s="3" t="s">
        <v>22365</v>
      </c>
      <c r="B11558" s="110" t="s">
        <v>1357</v>
      </c>
      <c r="C11558" s="111" t="s">
        <v>15808</v>
      </c>
      <c r="D11558" s="111" t="str">
        <f t="shared" ref="D11558:E11558" si="11556">TRIM(B11558)</f>
        <v>North Carolina</v>
      </c>
      <c r="E11558" s="111" t="str">
        <f t="shared" si="11556"/>
        <v>Pikeville</v>
      </c>
    </row>
    <row r="11559" spans="1:5">
      <c r="A11559" s="3" t="s">
        <v>22366</v>
      </c>
      <c r="B11559" s="110" t="s">
        <v>1357</v>
      </c>
      <c r="C11559" s="111" t="s">
        <v>22367</v>
      </c>
      <c r="D11559" s="111" t="str">
        <f t="shared" ref="D11559:E11559" si="11557">TRIM(B11559)</f>
        <v>North Carolina</v>
      </c>
      <c r="E11559" s="111" t="str">
        <f t="shared" si="11557"/>
        <v>Pilot Mountain</v>
      </c>
    </row>
    <row r="11560" spans="1:5">
      <c r="A11560" s="3" t="s">
        <v>22368</v>
      </c>
      <c r="B11560" s="110" t="s">
        <v>1357</v>
      </c>
      <c r="C11560" s="111" t="s">
        <v>22369</v>
      </c>
      <c r="D11560" s="111" t="str">
        <f t="shared" ref="D11560:E11560" si="11558">TRIM(B11560)</f>
        <v>North Carolina</v>
      </c>
      <c r="E11560" s="111" t="str">
        <f t="shared" si="11558"/>
        <v>Pinetops</v>
      </c>
    </row>
    <row r="11561" spans="1:5">
      <c r="A11561" s="3" t="s">
        <v>2026</v>
      </c>
      <c r="B11561" s="110" t="s">
        <v>1357</v>
      </c>
      <c r="C11561" s="111" t="s">
        <v>22370</v>
      </c>
      <c r="D11561" s="111" t="str">
        <f t="shared" ref="D11561:E11561" si="11559">TRIM(B11561)</f>
        <v>North Carolina</v>
      </c>
      <c r="E11561" s="111" t="str">
        <f t="shared" si="11559"/>
        <v>Pinetown</v>
      </c>
    </row>
    <row r="11562" spans="1:5">
      <c r="A11562" s="3" t="s">
        <v>5341</v>
      </c>
      <c r="B11562" s="110" t="s">
        <v>1357</v>
      </c>
      <c r="C11562" s="111" t="s">
        <v>250</v>
      </c>
      <c r="D11562" s="111" t="str">
        <f t="shared" ref="D11562:E11562" si="11560">TRIM(B11562)</f>
        <v>North Carolina</v>
      </c>
      <c r="E11562" s="111" t="str">
        <f t="shared" si="11560"/>
        <v>Pittsboro</v>
      </c>
    </row>
    <row r="11563" spans="1:5">
      <c r="A11563" s="3" t="s">
        <v>1620</v>
      </c>
      <c r="B11563" s="110" t="s">
        <v>1357</v>
      </c>
      <c r="C11563" s="111" t="s">
        <v>11518</v>
      </c>
      <c r="D11563" s="111" t="str">
        <f t="shared" ref="D11563:E11563" si="11561">TRIM(B11563)</f>
        <v>North Carolina</v>
      </c>
      <c r="E11563" s="111" t="str">
        <f t="shared" si="11561"/>
        <v>Plymouth</v>
      </c>
    </row>
    <row r="11564" spans="1:5">
      <c r="A11564" s="3" t="s">
        <v>22371</v>
      </c>
      <c r="B11564" s="110" t="s">
        <v>1357</v>
      </c>
      <c r="C11564" s="111" t="s">
        <v>22372</v>
      </c>
      <c r="D11564" s="111" t="str">
        <f t="shared" ref="D11564:E11564" si="11562">TRIM(B11564)</f>
        <v>North Carolina</v>
      </c>
      <c r="E11564" s="111" t="str">
        <f t="shared" si="11562"/>
        <v>Polkton</v>
      </c>
    </row>
    <row r="11565" spans="1:5">
      <c r="A11565" s="3" t="s">
        <v>13665</v>
      </c>
      <c r="B11565" s="110" t="s">
        <v>1357</v>
      </c>
      <c r="C11565" s="111" t="s">
        <v>6448</v>
      </c>
      <c r="D11565" s="111" t="str">
        <f t="shared" ref="D11565:E11565" si="11563">TRIM(B11565)</f>
        <v>North Carolina</v>
      </c>
      <c r="E11565" s="111" t="str">
        <f t="shared" si="11563"/>
        <v>Princeton</v>
      </c>
    </row>
    <row r="11566" spans="1:5">
      <c r="A11566" s="3" t="s">
        <v>22373</v>
      </c>
      <c r="B11566" s="110" t="s">
        <v>1357</v>
      </c>
      <c r="C11566" s="111" t="s">
        <v>22374</v>
      </c>
      <c r="D11566" s="111" t="str">
        <f t="shared" ref="D11566:E11566" si="11564">TRIM(B11566)</f>
        <v>North Carolina</v>
      </c>
      <c r="E11566" s="111" t="str">
        <f t="shared" si="11564"/>
        <v>Raeford</v>
      </c>
    </row>
    <row r="11567" spans="1:5">
      <c r="A11567" s="3" t="s">
        <v>22375</v>
      </c>
      <c r="B11567" s="110" t="s">
        <v>1357</v>
      </c>
      <c r="C11567" s="111" t="s">
        <v>22374</v>
      </c>
      <c r="D11567" s="111" t="str">
        <f t="shared" ref="D11567:E11567" si="11565">TRIM(B11567)</f>
        <v>North Carolina</v>
      </c>
      <c r="E11567" s="111" t="str">
        <f t="shared" si="11565"/>
        <v>Raeford</v>
      </c>
    </row>
    <row r="11568" spans="1:5">
      <c r="A11568" s="3" t="s">
        <v>22376</v>
      </c>
      <c r="B11568" s="110" t="s">
        <v>1357</v>
      </c>
      <c r="C11568" s="111" t="s">
        <v>12672</v>
      </c>
      <c r="D11568" s="111" t="str">
        <f t="shared" ref="D11568:E11568" si="11566">TRIM(B11568)</f>
        <v>North Carolina</v>
      </c>
      <c r="E11568" s="111" t="str">
        <f t="shared" si="11566"/>
        <v>Raleigh</v>
      </c>
    </row>
    <row r="11569" spans="1:5">
      <c r="A11569" s="3" t="s">
        <v>22377</v>
      </c>
      <c r="B11569" s="110" t="s">
        <v>1357</v>
      </c>
      <c r="C11569" s="111" t="s">
        <v>12672</v>
      </c>
      <c r="D11569" s="111" t="str">
        <f t="shared" ref="D11569:E11569" si="11567">TRIM(B11569)</f>
        <v>North Carolina</v>
      </c>
      <c r="E11569" s="111" t="str">
        <f t="shared" si="11567"/>
        <v>Raleigh</v>
      </c>
    </row>
    <row r="11570" spans="1:5">
      <c r="A11570" s="3" t="s">
        <v>22378</v>
      </c>
      <c r="B11570" s="110" t="s">
        <v>1357</v>
      </c>
      <c r="C11570" s="111" t="s">
        <v>12672</v>
      </c>
      <c r="D11570" s="111" t="str">
        <f t="shared" ref="D11570:E11570" si="11568">TRIM(B11570)</f>
        <v>North Carolina</v>
      </c>
      <c r="E11570" s="111" t="str">
        <f t="shared" si="11568"/>
        <v>Raleigh</v>
      </c>
    </row>
    <row r="11571" spans="1:5">
      <c r="A11571" s="110" t="s">
        <v>22379</v>
      </c>
      <c r="B11571" s="110" t="s">
        <v>1357</v>
      </c>
      <c r="C11571" s="111" t="s">
        <v>12672</v>
      </c>
      <c r="D11571" s="111" t="str">
        <f t="shared" ref="D11571:E11571" si="11569">TRIM(B11571)</f>
        <v>North Carolina</v>
      </c>
      <c r="E11571" s="111" t="str">
        <f t="shared" si="11569"/>
        <v>Raleigh</v>
      </c>
    </row>
    <row r="11572" spans="1:5">
      <c r="A11572" s="3" t="s">
        <v>21474</v>
      </c>
      <c r="B11572" s="110" t="s">
        <v>1357</v>
      </c>
      <c r="C11572" s="111" t="s">
        <v>12672</v>
      </c>
      <c r="D11572" s="111" t="str">
        <f t="shared" ref="D11572:E11572" si="11570">TRIM(B11572)</f>
        <v>North Carolina</v>
      </c>
      <c r="E11572" s="111" t="str">
        <f t="shared" si="11570"/>
        <v>Raleigh</v>
      </c>
    </row>
    <row r="11573" spans="1:5">
      <c r="A11573" s="110" t="s">
        <v>22380</v>
      </c>
      <c r="B11573" s="110" t="s">
        <v>1357</v>
      </c>
      <c r="C11573" s="111" t="s">
        <v>12672</v>
      </c>
      <c r="D11573" s="111" t="str">
        <f t="shared" ref="D11573:E11573" si="11571">TRIM(B11573)</f>
        <v>North Carolina</v>
      </c>
      <c r="E11573" s="111" t="str">
        <f t="shared" si="11571"/>
        <v>Raleigh</v>
      </c>
    </row>
    <row r="11574" spans="1:5">
      <c r="A11574" s="3" t="s">
        <v>22381</v>
      </c>
      <c r="B11574" s="110" t="s">
        <v>1357</v>
      </c>
      <c r="C11574" s="111" t="s">
        <v>12672</v>
      </c>
      <c r="D11574" s="111" t="str">
        <f t="shared" ref="D11574:E11574" si="11572">TRIM(B11574)</f>
        <v>North Carolina</v>
      </c>
      <c r="E11574" s="111" t="str">
        <f t="shared" si="11572"/>
        <v>Raleigh</v>
      </c>
    </row>
    <row r="11575" spans="1:5">
      <c r="A11575" s="3" t="s">
        <v>22382</v>
      </c>
      <c r="B11575" s="110" t="s">
        <v>1357</v>
      </c>
      <c r="C11575" s="111" t="s">
        <v>12672</v>
      </c>
      <c r="D11575" s="111" t="str">
        <f t="shared" ref="D11575:E11575" si="11573">TRIM(B11575)</f>
        <v>North Carolina</v>
      </c>
      <c r="E11575" s="111" t="str">
        <f t="shared" si="11573"/>
        <v>Raleigh</v>
      </c>
    </row>
    <row r="11576" spans="1:5">
      <c r="A11576" s="3" t="s">
        <v>22383</v>
      </c>
      <c r="B11576" s="110" t="s">
        <v>1357</v>
      </c>
      <c r="C11576" s="111" t="s">
        <v>12672</v>
      </c>
      <c r="D11576" s="111" t="str">
        <f t="shared" ref="D11576:E11576" si="11574">TRIM(B11576)</f>
        <v>North Carolina</v>
      </c>
      <c r="E11576" s="111" t="str">
        <f t="shared" si="11574"/>
        <v>Raleigh</v>
      </c>
    </row>
    <row r="11577" spans="1:5">
      <c r="A11577" s="3" t="s">
        <v>22384</v>
      </c>
      <c r="B11577" s="110" t="s">
        <v>1357</v>
      </c>
      <c r="C11577" s="111" t="s">
        <v>12672</v>
      </c>
      <c r="D11577" s="111" t="str">
        <f t="shared" ref="D11577:E11577" si="11575">TRIM(B11577)</f>
        <v>North Carolina</v>
      </c>
      <c r="E11577" s="111" t="str">
        <f t="shared" si="11575"/>
        <v>Raleigh</v>
      </c>
    </row>
    <row r="11578" spans="1:5">
      <c r="A11578" s="3" t="s">
        <v>22385</v>
      </c>
      <c r="B11578" s="110" t="s">
        <v>1357</v>
      </c>
      <c r="C11578" s="111" t="s">
        <v>12672</v>
      </c>
      <c r="D11578" s="111" t="str">
        <f t="shared" ref="D11578:E11578" si="11576">TRIM(B11578)</f>
        <v>North Carolina</v>
      </c>
      <c r="E11578" s="111" t="str">
        <f t="shared" si="11576"/>
        <v>Raleigh</v>
      </c>
    </row>
    <row r="11579" spans="1:5">
      <c r="A11579" s="110" t="s">
        <v>22386</v>
      </c>
      <c r="B11579" s="110" t="s">
        <v>1357</v>
      </c>
      <c r="C11579" s="111" t="s">
        <v>12672</v>
      </c>
      <c r="D11579" s="111" t="str">
        <f t="shared" ref="D11579:E11579" si="11577">TRIM(B11579)</f>
        <v>North Carolina</v>
      </c>
      <c r="E11579" s="111" t="str">
        <f t="shared" si="11577"/>
        <v>Raleigh</v>
      </c>
    </row>
    <row r="11580" spans="1:5">
      <c r="A11580" s="3" t="s">
        <v>22387</v>
      </c>
      <c r="B11580" s="110" t="s">
        <v>1357</v>
      </c>
      <c r="C11580" s="112" t="s">
        <v>12672</v>
      </c>
      <c r="D11580" s="111" t="str">
        <f t="shared" ref="D11580:E11580" si="11578">TRIM(B11580)</f>
        <v>North Carolina</v>
      </c>
      <c r="E11580" s="111" t="str">
        <f t="shared" si="11578"/>
        <v>Raleigh</v>
      </c>
    </row>
    <row r="11581" spans="1:5">
      <c r="A11581" s="3" t="s">
        <v>22388</v>
      </c>
      <c r="B11581" s="110" t="s">
        <v>1357</v>
      </c>
      <c r="C11581" s="111" t="s">
        <v>12672</v>
      </c>
      <c r="D11581" s="111" t="str">
        <f t="shared" ref="D11581:E11581" si="11579">TRIM(B11581)</f>
        <v>North Carolina</v>
      </c>
      <c r="E11581" s="111" t="str">
        <f t="shared" si="11579"/>
        <v>Raleigh</v>
      </c>
    </row>
    <row r="11582" spans="1:5">
      <c r="A11582" s="3" t="s">
        <v>22389</v>
      </c>
      <c r="B11582" s="110" t="s">
        <v>1357</v>
      </c>
      <c r="C11582" s="111" t="s">
        <v>12672</v>
      </c>
      <c r="D11582" s="111" t="str">
        <f t="shared" ref="D11582:E11582" si="11580">TRIM(B11582)</f>
        <v>North Carolina</v>
      </c>
      <c r="E11582" s="111" t="str">
        <f t="shared" si="11580"/>
        <v>Raleigh</v>
      </c>
    </row>
    <row r="11583" spans="1:5">
      <c r="A11583" s="3" t="s">
        <v>15571</v>
      </c>
      <c r="B11583" s="110" t="s">
        <v>1357</v>
      </c>
      <c r="C11583" s="111" t="s">
        <v>12672</v>
      </c>
      <c r="D11583" s="111" t="str">
        <f t="shared" ref="D11583:E11583" si="11581">TRIM(B11583)</f>
        <v>North Carolina</v>
      </c>
      <c r="E11583" s="111" t="str">
        <f t="shared" si="11581"/>
        <v>Raleigh</v>
      </c>
    </row>
    <row r="11584" spans="1:5">
      <c r="A11584" s="3" t="s">
        <v>22390</v>
      </c>
      <c r="B11584" s="110" t="s">
        <v>1357</v>
      </c>
      <c r="C11584" s="111" t="s">
        <v>22391</v>
      </c>
      <c r="D11584" s="111" t="str">
        <f t="shared" ref="D11584:E11584" si="11582">TRIM(B11584)</f>
        <v>North Carolina</v>
      </c>
      <c r="E11584" s="111" t="str">
        <f t="shared" si="11582"/>
        <v>Ramseur</v>
      </c>
    </row>
    <row r="11585" spans="1:5">
      <c r="A11585" s="3" t="s">
        <v>22392</v>
      </c>
      <c r="B11585" s="110" t="s">
        <v>1357</v>
      </c>
      <c r="C11585" s="111" t="s">
        <v>22393</v>
      </c>
      <c r="D11585" s="111" t="str">
        <f t="shared" ref="D11585:E11585" si="11583">TRIM(B11585)</f>
        <v>North Carolina</v>
      </c>
      <c r="E11585" s="111" t="str">
        <f t="shared" si="11583"/>
        <v>Randleman</v>
      </c>
    </row>
    <row r="11586" spans="1:5">
      <c r="A11586" s="3" t="s">
        <v>22394</v>
      </c>
      <c r="B11586" s="110" t="s">
        <v>1357</v>
      </c>
      <c r="C11586" s="111" t="s">
        <v>12641</v>
      </c>
      <c r="D11586" s="111" t="str">
        <f t="shared" ref="D11586:E11586" si="11584">TRIM(B11586)</f>
        <v>North Carolina</v>
      </c>
      <c r="E11586" s="111" t="str">
        <f t="shared" si="11584"/>
        <v>Red Springs</v>
      </c>
    </row>
    <row r="11587" spans="1:5">
      <c r="A11587" s="3" t="s">
        <v>22395</v>
      </c>
      <c r="B11587" s="110" t="s">
        <v>1357</v>
      </c>
      <c r="C11587" s="111" t="s">
        <v>11178</v>
      </c>
      <c r="D11587" s="111" t="str">
        <f t="shared" ref="D11587:E11587" si="11585">TRIM(B11587)</f>
        <v>North Carolina</v>
      </c>
      <c r="E11587" s="111" t="str">
        <f t="shared" si="11585"/>
        <v>Reidsville</v>
      </c>
    </row>
    <row r="11588" spans="1:5">
      <c r="A11588" s="3" t="s">
        <v>22396</v>
      </c>
      <c r="B11588" s="110" t="s">
        <v>1357</v>
      </c>
      <c r="C11588" s="113" t="s">
        <v>22397</v>
      </c>
      <c r="D11588" s="111" t="str">
        <f t="shared" ref="D11588:E11588" si="11586">TRIM(B11588)</f>
        <v>North Carolina</v>
      </c>
      <c r="E11588" s="111" t="str">
        <f t="shared" si="11586"/>
        <v>Research Triangle Pk</v>
      </c>
    </row>
    <row r="11589" spans="1:5">
      <c r="A11589" s="3" t="s">
        <v>22398</v>
      </c>
      <c r="B11589" s="110" t="s">
        <v>1357</v>
      </c>
      <c r="C11589" s="111" t="s">
        <v>22399</v>
      </c>
      <c r="D11589" s="111" t="str">
        <f t="shared" ref="D11589:E11589" si="11587">TRIM(B11589)</f>
        <v>North Carolina</v>
      </c>
      <c r="E11589" s="111" t="str">
        <f t="shared" si="11587"/>
        <v>Richlands</v>
      </c>
    </row>
    <row r="11590" spans="1:5">
      <c r="A11590" s="3" t="s">
        <v>22400</v>
      </c>
      <c r="B11590" s="110" t="s">
        <v>1357</v>
      </c>
      <c r="C11590" s="111" t="s">
        <v>12637</v>
      </c>
      <c r="D11590" s="111" t="str">
        <f t="shared" ref="D11590:E11590" si="11588">TRIM(B11590)</f>
        <v>North Carolina</v>
      </c>
      <c r="E11590" s="111" t="str">
        <f t="shared" si="11588"/>
        <v>Roanoke Rapids</v>
      </c>
    </row>
    <row r="11591" spans="1:5">
      <c r="A11591" s="3" t="s">
        <v>22401</v>
      </c>
      <c r="B11591" s="110" t="s">
        <v>1357</v>
      </c>
      <c r="C11591" s="111" t="s">
        <v>12637</v>
      </c>
      <c r="D11591" s="111" t="str">
        <f t="shared" ref="D11591:E11591" si="11589">TRIM(B11591)</f>
        <v>North Carolina</v>
      </c>
      <c r="E11591" s="111" t="str">
        <f t="shared" si="11589"/>
        <v>Roanoke Rapids</v>
      </c>
    </row>
    <row r="11592" spans="1:5">
      <c r="A11592" s="3" t="s">
        <v>22402</v>
      </c>
      <c r="B11592" s="110" t="s">
        <v>1357</v>
      </c>
      <c r="C11592" s="111" t="s">
        <v>13701</v>
      </c>
      <c r="D11592" s="111" t="str">
        <f t="shared" ref="D11592:E11592" si="11590">TRIM(B11592)</f>
        <v>North Carolina</v>
      </c>
      <c r="E11592" s="111" t="str">
        <f t="shared" si="11590"/>
        <v>Robbins</v>
      </c>
    </row>
    <row r="11593" spans="1:5">
      <c r="A11593" s="3" t="s">
        <v>20377</v>
      </c>
      <c r="B11593" s="110" t="s">
        <v>1357</v>
      </c>
      <c r="C11593" s="111" t="s">
        <v>20378</v>
      </c>
      <c r="D11593" s="111" t="str">
        <f t="shared" ref="D11593:E11593" si="11591">TRIM(B11593)</f>
        <v>North Carolina</v>
      </c>
      <c r="E11593" s="111" t="str">
        <f t="shared" si="11591"/>
        <v>Robbinsville</v>
      </c>
    </row>
    <row r="11594" spans="1:5">
      <c r="A11594" s="3" t="s">
        <v>22403</v>
      </c>
      <c r="B11594" s="110" t="s">
        <v>1357</v>
      </c>
      <c r="C11594" s="111" t="s">
        <v>22404</v>
      </c>
      <c r="D11594" s="111" t="str">
        <f t="shared" ref="D11594:E11594" si="11592">TRIM(B11594)</f>
        <v>North Carolina</v>
      </c>
      <c r="E11594" s="111" t="str">
        <f t="shared" si="11592"/>
        <v>Robersonville</v>
      </c>
    </row>
    <row r="11595" spans="1:5">
      <c r="A11595" s="3" t="s">
        <v>22405</v>
      </c>
      <c r="B11595" s="110" t="s">
        <v>1357</v>
      </c>
      <c r="C11595" s="111" t="s">
        <v>22406</v>
      </c>
      <c r="D11595" s="111" t="str">
        <f t="shared" ref="D11595:E11595" si="11593">TRIM(B11595)</f>
        <v>North Carolina</v>
      </c>
      <c r="E11595" s="111" t="str">
        <f t="shared" si="11593"/>
        <v>Rockingham</v>
      </c>
    </row>
    <row r="11596" spans="1:5">
      <c r="A11596" s="3" t="s">
        <v>22407</v>
      </c>
      <c r="B11596" s="110" t="s">
        <v>1357</v>
      </c>
      <c r="C11596" s="111" t="s">
        <v>12676</v>
      </c>
      <c r="D11596" s="111" t="str">
        <f t="shared" ref="D11596:E11596" si="11594">TRIM(B11596)</f>
        <v>North Carolina</v>
      </c>
      <c r="E11596" s="111" t="str">
        <f t="shared" si="11594"/>
        <v>Rocky Mount</v>
      </c>
    </row>
    <row r="11597" spans="1:5">
      <c r="A11597" s="3" t="s">
        <v>22408</v>
      </c>
      <c r="B11597" s="110" t="s">
        <v>1357</v>
      </c>
      <c r="C11597" s="111" t="s">
        <v>12676</v>
      </c>
      <c r="D11597" s="111" t="str">
        <f t="shared" ref="D11597:E11597" si="11595">TRIM(B11597)</f>
        <v>North Carolina</v>
      </c>
      <c r="E11597" s="111" t="str">
        <f t="shared" si="11595"/>
        <v>Rocky Mount</v>
      </c>
    </row>
    <row r="11598" spans="1:5">
      <c r="A11598" s="3" t="s">
        <v>22409</v>
      </c>
      <c r="B11598" s="110" t="s">
        <v>1357</v>
      </c>
      <c r="C11598" s="111" t="s">
        <v>12676</v>
      </c>
      <c r="D11598" s="111" t="str">
        <f t="shared" ref="D11598:E11598" si="11596">TRIM(B11598)</f>
        <v>North Carolina</v>
      </c>
      <c r="E11598" s="111" t="str">
        <f t="shared" si="11596"/>
        <v>Rocky Mount</v>
      </c>
    </row>
    <row r="11599" spans="1:5">
      <c r="A11599" s="3" t="s">
        <v>22410</v>
      </c>
      <c r="B11599" s="110" t="s">
        <v>1357</v>
      </c>
      <c r="C11599" s="111" t="s">
        <v>12676</v>
      </c>
      <c r="D11599" s="111" t="str">
        <f t="shared" ref="D11599:E11599" si="11597">TRIM(B11599)</f>
        <v>North Carolina</v>
      </c>
      <c r="E11599" s="111" t="str">
        <f t="shared" si="11597"/>
        <v>Rocky Mount</v>
      </c>
    </row>
    <row r="11600" spans="1:5">
      <c r="A11600" s="3" t="s">
        <v>22411</v>
      </c>
      <c r="B11600" s="110" t="s">
        <v>1357</v>
      </c>
      <c r="C11600" s="111" t="s">
        <v>12676</v>
      </c>
      <c r="D11600" s="111" t="str">
        <f t="shared" ref="D11600:E11600" si="11598">TRIM(B11600)</f>
        <v>North Carolina</v>
      </c>
      <c r="E11600" s="111" t="str">
        <f t="shared" si="11598"/>
        <v>Rocky Mount</v>
      </c>
    </row>
    <row r="11601" spans="1:5">
      <c r="A11601" s="3" t="s">
        <v>22412</v>
      </c>
      <c r="B11601" s="110" t="s">
        <v>1357</v>
      </c>
      <c r="C11601" s="111" t="s">
        <v>21765</v>
      </c>
      <c r="D11601" s="111" t="str">
        <f t="shared" ref="D11601:E11601" si="11599">TRIM(B11601)</f>
        <v>North Carolina</v>
      </c>
      <c r="E11601" s="111" t="str">
        <f t="shared" si="11599"/>
        <v>Rocky Point</v>
      </c>
    </row>
    <row r="11602" spans="1:5">
      <c r="A11602" s="3" t="s">
        <v>22413</v>
      </c>
      <c r="B11602" s="110" t="s">
        <v>1357</v>
      </c>
      <c r="C11602" s="111" t="s">
        <v>12684</v>
      </c>
      <c r="D11602" s="111" t="str">
        <f t="shared" ref="D11602:E11602" si="11600">TRIM(B11602)</f>
        <v>North Carolina</v>
      </c>
      <c r="E11602" s="111" t="str">
        <f t="shared" si="11600"/>
        <v>Rolesville</v>
      </c>
    </row>
    <row r="11603" spans="1:5">
      <c r="A11603" s="3" t="s">
        <v>22414</v>
      </c>
      <c r="B11603" s="110" t="s">
        <v>1357</v>
      </c>
      <c r="C11603" s="111" t="s">
        <v>22415</v>
      </c>
      <c r="D11603" s="111" t="str">
        <f t="shared" ref="D11603:E11603" si="11601">TRIM(B11603)</f>
        <v>North Carolina</v>
      </c>
      <c r="E11603" s="111" t="str">
        <f t="shared" si="11601"/>
        <v>Ronda</v>
      </c>
    </row>
    <row r="11604" spans="1:5">
      <c r="A11604" s="3" t="s">
        <v>22416</v>
      </c>
      <c r="B11604" s="110" t="s">
        <v>1357</v>
      </c>
      <c r="C11604" s="111" t="s">
        <v>22417</v>
      </c>
      <c r="D11604" s="111" t="str">
        <f t="shared" ref="D11604:E11604" si="11602">TRIM(B11604)</f>
        <v>North Carolina</v>
      </c>
      <c r="E11604" s="111" t="str">
        <f t="shared" si="11602"/>
        <v>Roper</v>
      </c>
    </row>
    <row r="11605" spans="1:5">
      <c r="A11605" s="3" t="s">
        <v>14909</v>
      </c>
      <c r="B11605" s="110" t="s">
        <v>1357</v>
      </c>
      <c r="C11605" s="111" t="s">
        <v>15489</v>
      </c>
      <c r="D11605" s="111" t="str">
        <f t="shared" ref="D11605:E11605" si="11603">TRIM(B11605)</f>
        <v>North Carolina</v>
      </c>
      <c r="E11605" s="111" t="str">
        <f t="shared" si="11603"/>
        <v>Rose Hill</v>
      </c>
    </row>
    <row r="11606" spans="1:5">
      <c r="A11606" s="3" t="s">
        <v>22418</v>
      </c>
      <c r="B11606" s="110" t="s">
        <v>1357</v>
      </c>
      <c r="C11606" s="111" t="s">
        <v>22419</v>
      </c>
      <c r="D11606" s="111" t="str">
        <f t="shared" ref="D11606:E11606" si="11604">TRIM(B11606)</f>
        <v>North Carolina</v>
      </c>
      <c r="E11606" s="111" t="str">
        <f t="shared" si="11604"/>
        <v>Rosman</v>
      </c>
    </row>
    <row r="11607" spans="1:5">
      <c r="A11607" s="3" t="s">
        <v>22420</v>
      </c>
      <c r="B11607" s="110" t="s">
        <v>1357</v>
      </c>
      <c r="C11607" s="111" t="s">
        <v>22421</v>
      </c>
      <c r="D11607" s="111" t="str">
        <f t="shared" ref="D11607:E11607" si="11605">TRIM(B11607)</f>
        <v>North Carolina</v>
      </c>
      <c r="E11607" s="111" t="str">
        <f t="shared" si="11605"/>
        <v>Rowland</v>
      </c>
    </row>
    <row r="11608" spans="1:5">
      <c r="A11608" s="3" t="s">
        <v>22422</v>
      </c>
      <c r="B11608" s="110" t="s">
        <v>1357</v>
      </c>
      <c r="C11608" s="111" t="s">
        <v>22423</v>
      </c>
      <c r="D11608" s="111" t="str">
        <f t="shared" ref="D11608:E11608" si="11606">TRIM(B11608)</f>
        <v>North Carolina</v>
      </c>
      <c r="E11608" s="111" t="str">
        <f t="shared" si="11606"/>
        <v>Roxboro</v>
      </c>
    </row>
    <row r="11609" spans="1:5">
      <c r="A11609" s="110" t="s">
        <v>22424</v>
      </c>
      <c r="B11609" s="110" t="s">
        <v>1357</v>
      </c>
      <c r="C11609" s="111" t="s">
        <v>22423</v>
      </c>
      <c r="D11609" s="111" t="str">
        <f t="shared" ref="D11609:E11609" si="11607">TRIM(B11609)</f>
        <v>North Carolina</v>
      </c>
      <c r="E11609" s="111" t="str">
        <f t="shared" si="11607"/>
        <v>Roxboro</v>
      </c>
    </row>
    <row r="11610" spans="1:5">
      <c r="A11610" s="3" t="s">
        <v>22425</v>
      </c>
      <c r="B11610" s="110" t="s">
        <v>1357</v>
      </c>
      <c r="C11610" s="111" t="s">
        <v>22426</v>
      </c>
      <c r="D11610" s="111" t="str">
        <f t="shared" ref="D11610:E11610" si="11608">TRIM(B11610)</f>
        <v>North Carolina</v>
      </c>
      <c r="E11610" s="111" t="str">
        <f t="shared" si="11608"/>
        <v>Rutherfordton</v>
      </c>
    </row>
    <row r="11611" spans="1:5">
      <c r="A11611" s="3" t="s">
        <v>22427</v>
      </c>
      <c r="B11611" s="110" t="s">
        <v>1357</v>
      </c>
      <c r="C11611" s="111" t="s">
        <v>22428</v>
      </c>
      <c r="D11611" s="111" t="str">
        <f t="shared" ref="D11611:E11611" si="11609">TRIM(B11611)</f>
        <v>North Carolina</v>
      </c>
      <c r="E11611" s="111" t="str">
        <f t="shared" si="11609"/>
        <v>Saint Pauls</v>
      </c>
    </row>
    <row r="11612" spans="1:5">
      <c r="A11612" s="3" t="s">
        <v>5451</v>
      </c>
      <c r="B11612" s="110" t="s">
        <v>1357</v>
      </c>
      <c r="C11612" s="111" t="s">
        <v>22429</v>
      </c>
      <c r="D11612" s="111" t="str">
        <f t="shared" ref="D11612:E11612" si="11610">TRIM(B11612)</f>
        <v>North Carolina</v>
      </c>
      <c r="E11612" s="111" t="str">
        <f t="shared" si="11610"/>
        <v>Salemburg</v>
      </c>
    </row>
    <row r="11613" spans="1:5">
      <c r="A11613" s="3" t="s">
        <v>22430</v>
      </c>
      <c r="B11613" s="110" t="s">
        <v>1357</v>
      </c>
      <c r="C11613" s="111" t="s">
        <v>422</v>
      </c>
      <c r="D11613" s="111" t="str">
        <f t="shared" ref="D11613:E11613" si="11611">TRIM(B11613)</f>
        <v>North Carolina</v>
      </c>
      <c r="E11613" s="111" t="str">
        <f t="shared" si="11611"/>
        <v>Salisbury</v>
      </c>
    </row>
    <row r="11614" spans="1:5">
      <c r="A11614" s="110" t="s">
        <v>22431</v>
      </c>
      <c r="B11614" s="110" t="s">
        <v>1357</v>
      </c>
      <c r="C11614" s="111" t="s">
        <v>422</v>
      </c>
      <c r="D11614" s="111" t="str">
        <f t="shared" ref="D11614:E11614" si="11612">TRIM(B11614)</f>
        <v>North Carolina</v>
      </c>
      <c r="E11614" s="111" t="str">
        <f t="shared" si="11612"/>
        <v>Salisbury</v>
      </c>
    </row>
    <row r="11615" spans="1:5">
      <c r="A11615" s="3" t="s">
        <v>19075</v>
      </c>
      <c r="B11615" s="110" t="s">
        <v>1357</v>
      </c>
      <c r="C11615" s="111" t="s">
        <v>422</v>
      </c>
      <c r="D11615" s="111" t="str">
        <f t="shared" ref="D11615:E11615" si="11613">TRIM(B11615)</f>
        <v>North Carolina</v>
      </c>
      <c r="E11615" s="111" t="str">
        <f t="shared" si="11613"/>
        <v>Salisbury</v>
      </c>
    </row>
    <row r="11616" spans="1:5">
      <c r="A11616" s="3" t="s">
        <v>10953</v>
      </c>
      <c r="B11616" s="110" t="s">
        <v>1357</v>
      </c>
      <c r="C11616" s="111" t="s">
        <v>8231</v>
      </c>
      <c r="D11616" s="111" t="str">
        <f t="shared" ref="D11616:E11616" si="11614">TRIM(B11616)</f>
        <v>North Carolina</v>
      </c>
      <c r="E11616" s="111" t="str">
        <f t="shared" si="11614"/>
        <v>Sanford</v>
      </c>
    </row>
    <row r="11617" spans="1:5">
      <c r="A11617" s="110" t="s">
        <v>22432</v>
      </c>
      <c r="B11617" s="110" t="s">
        <v>1357</v>
      </c>
      <c r="C11617" s="111" t="s">
        <v>8231</v>
      </c>
      <c r="D11617" s="111" t="str">
        <f t="shared" ref="D11617:E11617" si="11615">TRIM(B11617)</f>
        <v>North Carolina</v>
      </c>
      <c r="E11617" s="111" t="str">
        <f t="shared" si="11615"/>
        <v>Sanford</v>
      </c>
    </row>
    <row r="11618" spans="1:5">
      <c r="A11618" s="3" t="s">
        <v>22433</v>
      </c>
      <c r="B11618" s="110" t="s">
        <v>1357</v>
      </c>
      <c r="C11618" s="111" t="s">
        <v>8231</v>
      </c>
      <c r="D11618" s="111" t="str">
        <f t="shared" ref="D11618:E11618" si="11616">TRIM(B11618)</f>
        <v>North Carolina</v>
      </c>
      <c r="E11618" s="111" t="str">
        <f t="shared" si="11616"/>
        <v>Sanford</v>
      </c>
    </row>
    <row r="11619" spans="1:5">
      <c r="A11619" s="3" t="s">
        <v>19899</v>
      </c>
      <c r="B11619" s="110" t="s">
        <v>1357</v>
      </c>
      <c r="C11619" s="111" t="s">
        <v>22434</v>
      </c>
      <c r="D11619" s="111" t="str">
        <f t="shared" ref="D11619:E11619" si="11617">TRIM(B11619)</f>
        <v>North Carolina</v>
      </c>
      <c r="E11619" s="111" t="str">
        <f t="shared" si="11617"/>
        <v>Seven Springs</v>
      </c>
    </row>
    <row r="11620" spans="1:5">
      <c r="A11620" s="3" t="s">
        <v>22435</v>
      </c>
      <c r="B11620" s="110" t="s">
        <v>1357</v>
      </c>
      <c r="C11620" s="111" t="s">
        <v>12576</v>
      </c>
      <c r="D11620" s="111" t="str">
        <f t="shared" ref="D11620:E11620" si="11618">TRIM(B11620)</f>
        <v>North Carolina</v>
      </c>
      <c r="E11620" s="111" t="str">
        <f t="shared" si="11618"/>
        <v>Shallotte</v>
      </c>
    </row>
    <row r="11621" spans="1:5">
      <c r="A11621" s="3" t="s">
        <v>22436</v>
      </c>
      <c r="B11621" s="110" t="s">
        <v>1357</v>
      </c>
      <c r="C11621" s="111" t="s">
        <v>6109</v>
      </c>
      <c r="D11621" s="111" t="str">
        <f t="shared" ref="D11621:E11621" si="11619">TRIM(B11621)</f>
        <v>North Carolina</v>
      </c>
      <c r="E11621" s="111" t="str">
        <f t="shared" si="11619"/>
        <v>Shelby</v>
      </c>
    </row>
    <row r="11622" spans="1:5">
      <c r="A11622" s="3" t="s">
        <v>15232</v>
      </c>
      <c r="B11622" s="110" t="s">
        <v>1357</v>
      </c>
      <c r="C11622" s="111" t="s">
        <v>6109</v>
      </c>
      <c r="D11622" s="111" t="str">
        <f t="shared" ref="D11622:E11622" si="11620">TRIM(B11622)</f>
        <v>North Carolina</v>
      </c>
      <c r="E11622" s="111" t="str">
        <f t="shared" si="11620"/>
        <v>Shelby</v>
      </c>
    </row>
    <row r="11623" spans="1:5">
      <c r="A11623" s="3" t="s">
        <v>17593</v>
      </c>
      <c r="B11623" s="110" t="s">
        <v>1357</v>
      </c>
      <c r="C11623" s="111" t="s">
        <v>6109</v>
      </c>
      <c r="D11623" s="111" t="str">
        <f t="shared" ref="D11623:E11623" si="11621">TRIM(B11623)</f>
        <v>North Carolina</v>
      </c>
      <c r="E11623" s="111" t="str">
        <f t="shared" si="11621"/>
        <v>Shelby</v>
      </c>
    </row>
    <row r="11624" spans="1:5">
      <c r="A11624" s="3" t="s">
        <v>22437</v>
      </c>
      <c r="B11624" s="110" t="s">
        <v>1357</v>
      </c>
      <c r="C11624" s="111" t="s">
        <v>22438</v>
      </c>
      <c r="D11624" s="111" t="str">
        <f t="shared" ref="D11624:E11624" si="11622">TRIM(B11624)</f>
        <v>North Carolina</v>
      </c>
      <c r="E11624" s="111" t="str">
        <f t="shared" si="11622"/>
        <v>Siler City</v>
      </c>
    </row>
    <row r="11625" spans="1:5">
      <c r="A11625" s="3" t="s">
        <v>22439</v>
      </c>
      <c r="B11625" s="110" t="s">
        <v>1357</v>
      </c>
      <c r="C11625" s="112" t="s">
        <v>22440</v>
      </c>
      <c r="D11625" s="111" t="str">
        <f t="shared" ref="D11625:E11625" si="11623">TRIM(B11625)</f>
        <v>North Carolina</v>
      </c>
      <c r="E11625" s="111" t="str">
        <f t="shared" si="11623"/>
        <v>Smithfield</v>
      </c>
    </row>
    <row r="11626" spans="1:5">
      <c r="A11626" s="3" t="s">
        <v>22441</v>
      </c>
      <c r="B11626" s="110" t="s">
        <v>1357</v>
      </c>
      <c r="C11626" s="111" t="s">
        <v>22440</v>
      </c>
      <c r="D11626" s="111" t="str">
        <f t="shared" ref="D11626:E11626" si="11624">TRIM(B11626)</f>
        <v>North Carolina</v>
      </c>
      <c r="E11626" s="111" t="str">
        <f t="shared" si="11624"/>
        <v>Smithfield</v>
      </c>
    </row>
    <row r="11627" spans="1:5">
      <c r="A11627" s="3" t="s">
        <v>22442</v>
      </c>
      <c r="B11627" s="110" t="s">
        <v>1357</v>
      </c>
      <c r="C11627" s="111" t="s">
        <v>16504</v>
      </c>
      <c r="D11627" s="111" t="str">
        <f t="shared" ref="D11627:E11627" si="11625">TRIM(B11627)</f>
        <v>North Carolina</v>
      </c>
      <c r="E11627" s="111" t="str">
        <f t="shared" si="11625"/>
        <v>Snow Hill</v>
      </c>
    </row>
    <row r="11628" spans="1:5">
      <c r="A11628" s="3" t="s">
        <v>22443</v>
      </c>
      <c r="B11628" s="110" t="s">
        <v>1357</v>
      </c>
      <c r="C11628" s="111" t="s">
        <v>16504</v>
      </c>
      <c r="D11628" s="111" t="str">
        <f t="shared" ref="D11628:E11628" si="11626">TRIM(B11628)</f>
        <v>North Carolina</v>
      </c>
      <c r="E11628" s="111" t="str">
        <f t="shared" si="11626"/>
        <v>Snow Hill</v>
      </c>
    </row>
    <row r="11629" spans="1:5">
      <c r="A11629" s="3" t="s">
        <v>22444</v>
      </c>
      <c r="B11629" s="110" t="s">
        <v>1357</v>
      </c>
      <c r="C11629" s="111" t="s">
        <v>12691</v>
      </c>
      <c r="D11629" s="111" t="str">
        <f t="shared" ref="D11629:E11629" si="11627">TRIM(B11629)</f>
        <v>North Carolina</v>
      </c>
      <c r="E11629" s="111" t="str">
        <f t="shared" si="11627"/>
        <v>Southern Pines</v>
      </c>
    </row>
    <row r="11630" spans="1:5">
      <c r="A11630" s="3" t="s">
        <v>20265</v>
      </c>
      <c r="B11630" s="110" t="s">
        <v>1357</v>
      </c>
      <c r="C11630" s="111" t="s">
        <v>22445</v>
      </c>
      <c r="D11630" s="111" t="str">
        <f t="shared" ref="D11630:E11630" si="11628">TRIM(B11630)</f>
        <v>North Carolina</v>
      </c>
      <c r="E11630" s="111" t="str">
        <f t="shared" si="11628"/>
        <v>Southport</v>
      </c>
    </row>
    <row r="11631" spans="1:5">
      <c r="A11631" s="3" t="s">
        <v>22446</v>
      </c>
      <c r="B11631" s="110" t="s">
        <v>1357</v>
      </c>
      <c r="C11631" s="111" t="s">
        <v>10334</v>
      </c>
      <c r="D11631" s="111" t="str">
        <f t="shared" ref="D11631:E11631" si="11629">TRIM(B11631)</f>
        <v>North Carolina</v>
      </c>
      <c r="E11631" s="111" t="str">
        <f t="shared" si="11629"/>
        <v>Sparta</v>
      </c>
    </row>
    <row r="11632" spans="1:5">
      <c r="A11632" s="3" t="s">
        <v>22447</v>
      </c>
      <c r="B11632" s="110" t="s">
        <v>1357</v>
      </c>
      <c r="C11632" s="111" t="s">
        <v>14606</v>
      </c>
      <c r="D11632" s="111" t="str">
        <f t="shared" ref="D11632:E11632" si="11630">TRIM(B11632)</f>
        <v>North Carolina</v>
      </c>
      <c r="E11632" s="111" t="str">
        <f t="shared" si="11630"/>
        <v>Spencer</v>
      </c>
    </row>
    <row r="11633" spans="1:5">
      <c r="A11633" s="3" t="s">
        <v>22448</v>
      </c>
      <c r="B11633" s="110" t="s">
        <v>1357</v>
      </c>
      <c r="C11633" s="111" t="s">
        <v>22449</v>
      </c>
      <c r="D11633" s="111" t="str">
        <f t="shared" ref="D11633:E11633" si="11631">TRIM(B11633)</f>
        <v>North Carolina</v>
      </c>
      <c r="E11633" s="111" t="str">
        <f t="shared" si="11631"/>
        <v>Spindale</v>
      </c>
    </row>
    <row r="11634" spans="1:5">
      <c r="A11634" s="3" t="s">
        <v>22450</v>
      </c>
      <c r="B11634" s="110" t="s">
        <v>1357</v>
      </c>
      <c r="C11634" s="111" t="s">
        <v>17608</v>
      </c>
      <c r="D11634" s="111" t="str">
        <f t="shared" ref="D11634:E11634" si="11632">TRIM(B11634)</f>
        <v>North Carolina</v>
      </c>
      <c r="E11634" s="111" t="str">
        <f t="shared" si="11632"/>
        <v>Spring Lake</v>
      </c>
    </row>
    <row r="11635" spans="1:5">
      <c r="A11635" s="110" t="s">
        <v>22451</v>
      </c>
      <c r="B11635" s="110" t="s">
        <v>1357</v>
      </c>
      <c r="C11635" s="111" t="s">
        <v>22452</v>
      </c>
      <c r="D11635" s="111" t="str">
        <f t="shared" ref="D11635:E11635" si="11633">TRIM(B11635)</f>
        <v>North Carolina</v>
      </c>
      <c r="E11635" s="111" t="str">
        <f t="shared" si="11633"/>
        <v>Spruce Pine</v>
      </c>
    </row>
    <row r="11636" spans="1:5">
      <c r="A11636" s="110" t="s">
        <v>22453</v>
      </c>
      <c r="B11636" s="110" t="s">
        <v>1357</v>
      </c>
      <c r="C11636" s="111" t="s">
        <v>12578</v>
      </c>
      <c r="D11636" s="111" t="str">
        <f t="shared" ref="D11636:E11636" si="11634">TRIM(B11636)</f>
        <v>North Carolina</v>
      </c>
      <c r="E11636" s="111" t="str">
        <f t="shared" si="11634"/>
        <v>Statesville</v>
      </c>
    </row>
    <row r="11637" spans="1:5">
      <c r="A11637" s="110" t="s">
        <v>22454</v>
      </c>
      <c r="B11637" s="110" t="s">
        <v>1357</v>
      </c>
      <c r="C11637" s="111" t="s">
        <v>12578</v>
      </c>
      <c r="D11637" s="111" t="str">
        <f t="shared" ref="D11637:E11637" si="11635">TRIM(B11637)</f>
        <v>North Carolina</v>
      </c>
      <c r="E11637" s="111" t="str">
        <f t="shared" si="11635"/>
        <v>Statesville</v>
      </c>
    </row>
    <row r="11638" spans="1:5">
      <c r="A11638" s="3" t="s">
        <v>22455</v>
      </c>
      <c r="B11638" s="110" t="s">
        <v>1357</v>
      </c>
      <c r="C11638" s="111" t="s">
        <v>12578</v>
      </c>
      <c r="D11638" s="111" t="str">
        <f t="shared" ref="D11638:E11638" si="11636">TRIM(B11638)</f>
        <v>North Carolina</v>
      </c>
      <c r="E11638" s="111" t="str">
        <f t="shared" si="11636"/>
        <v>Statesville</v>
      </c>
    </row>
    <row r="11639" spans="1:5">
      <c r="A11639" s="3" t="s">
        <v>22456</v>
      </c>
      <c r="B11639" s="110" t="s">
        <v>1357</v>
      </c>
      <c r="C11639" s="111" t="s">
        <v>12578</v>
      </c>
      <c r="D11639" s="111" t="str">
        <f t="shared" ref="D11639:E11639" si="11637">TRIM(B11639)</f>
        <v>North Carolina</v>
      </c>
      <c r="E11639" s="111" t="str">
        <f t="shared" si="11637"/>
        <v>Statesville</v>
      </c>
    </row>
    <row r="11640" spans="1:5">
      <c r="A11640" s="3" t="s">
        <v>22457</v>
      </c>
      <c r="B11640" s="110" t="s">
        <v>1357</v>
      </c>
      <c r="C11640" s="111" t="s">
        <v>12578</v>
      </c>
      <c r="D11640" s="111" t="str">
        <f t="shared" ref="D11640:E11640" si="11638">TRIM(B11640)</f>
        <v>North Carolina</v>
      </c>
      <c r="E11640" s="111" t="str">
        <f t="shared" si="11638"/>
        <v>Statesville</v>
      </c>
    </row>
    <row r="11641" spans="1:5">
      <c r="A11641" s="3" t="s">
        <v>22458</v>
      </c>
      <c r="B11641" s="110" t="s">
        <v>1357</v>
      </c>
      <c r="C11641" s="111" t="s">
        <v>22459</v>
      </c>
      <c r="D11641" s="111" t="str">
        <f t="shared" ref="D11641:E11641" si="11639">TRIM(B11641)</f>
        <v>North Carolina</v>
      </c>
      <c r="E11641" s="111" t="str">
        <f t="shared" si="11639"/>
        <v>Stem</v>
      </c>
    </row>
    <row r="11642" spans="1:5">
      <c r="A11642" s="110" t="s">
        <v>22460</v>
      </c>
      <c r="B11642" s="110" t="s">
        <v>1357</v>
      </c>
      <c r="C11642" s="111" t="s">
        <v>22461</v>
      </c>
      <c r="D11642" s="111" t="str">
        <f t="shared" ref="D11642:E11642" si="11640">TRIM(B11642)</f>
        <v>North Carolina</v>
      </c>
      <c r="E11642" s="111" t="str">
        <f t="shared" si="11640"/>
        <v>Supply</v>
      </c>
    </row>
    <row r="11643" spans="1:5">
      <c r="A11643" s="3" t="s">
        <v>22462</v>
      </c>
      <c r="B11643" s="110" t="s">
        <v>1357</v>
      </c>
      <c r="C11643" s="111" t="s">
        <v>22463</v>
      </c>
      <c r="D11643" s="111" t="str">
        <f t="shared" ref="D11643:E11643" si="11641">TRIM(B11643)</f>
        <v>North Carolina</v>
      </c>
      <c r="E11643" s="111" t="str">
        <f t="shared" si="11641"/>
        <v>Swan Quarter</v>
      </c>
    </row>
    <row r="11644" spans="1:5">
      <c r="A11644" s="3" t="s">
        <v>22464</v>
      </c>
      <c r="B11644" s="110" t="s">
        <v>1357</v>
      </c>
      <c r="C11644" s="111" t="s">
        <v>22465</v>
      </c>
      <c r="D11644" s="111" t="str">
        <f t="shared" ref="D11644:E11644" si="11642">TRIM(B11644)</f>
        <v>North Carolina</v>
      </c>
      <c r="E11644" s="111" t="str">
        <f t="shared" si="11642"/>
        <v>Swansboro</v>
      </c>
    </row>
    <row r="11645" spans="1:5">
      <c r="A11645" s="110" t="s">
        <v>22466</v>
      </c>
      <c r="B11645" s="110" t="s">
        <v>1357</v>
      </c>
      <c r="C11645" s="111" t="s">
        <v>22467</v>
      </c>
      <c r="D11645" s="111" t="str">
        <f t="shared" ref="D11645:E11645" si="11643">TRIM(B11645)</f>
        <v>North Carolina</v>
      </c>
      <c r="E11645" s="111" t="str">
        <f t="shared" si="11643"/>
        <v>Sylva</v>
      </c>
    </row>
    <row r="11646" spans="1:5">
      <c r="A11646" s="3" t="s">
        <v>22468</v>
      </c>
      <c r="B11646" s="110" t="s">
        <v>1357</v>
      </c>
      <c r="C11646" s="111" t="s">
        <v>22467</v>
      </c>
      <c r="D11646" s="111" t="str">
        <f t="shared" ref="D11646:E11646" si="11644">TRIM(B11646)</f>
        <v>North Carolina</v>
      </c>
      <c r="E11646" s="111" t="str">
        <f t="shared" si="11644"/>
        <v>Sylva</v>
      </c>
    </row>
    <row r="11647" spans="1:5">
      <c r="A11647" s="3" t="s">
        <v>22469</v>
      </c>
      <c r="B11647" s="110" t="s">
        <v>1357</v>
      </c>
      <c r="C11647" s="111" t="s">
        <v>22470</v>
      </c>
      <c r="D11647" s="111" t="str">
        <f t="shared" ref="D11647:E11647" si="11645">TRIM(B11647)</f>
        <v>North Carolina</v>
      </c>
      <c r="E11647" s="111" t="str">
        <f t="shared" si="11645"/>
        <v>Tabor City</v>
      </c>
    </row>
    <row r="11648" spans="1:5">
      <c r="A11648" s="3" t="s">
        <v>22471</v>
      </c>
      <c r="B11648" s="110" t="s">
        <v>1357</v>
      </c>
      <c r="C11648" s="111" t="s">
        <v>22472</v>
      </c>
      <c r="D11648" s="111" t="str">
        <f t="shared" ref="D11648:E11648" si="11646">TRIM(B11648)</f>
        <v>North Carolina</v>
      </c>
      <c r="E11648" s="111" t="str">
        <f t="shared" si="11646"/>
        <v>Tarboro</v>
      </c>
    </row>
    <row r="11649" spans="1:5">
      <c r="A11649" s="3" t="s">
        <v>22473</v>
      </c>
      <c r="B11649" s="110" t="s">
        <v>1357</v>
      </c>
      <c r="C11649" s="111" t="s">
        <v>22472</v>
      </c>
      <c r="D11649" s="111" t="str">
        <f t="shared" ref="D11649:E11649" si="11647">TRIM(B11649)</f>
        <v>North Carolina</v>
      </c>
      <c r="E11649" s="111" t="str">
        <f t="shared" si="11647"/>
        <v>Tarboro</v>
      </c>
    </row>
    <row r="11650" spans="1:5">
      <c r="A11650" s="3" t="s">
        <v>22474</v>
      </c>
      <c r="B11650" s="110" t="s">
        <v>1357</v>
      </c>
      <c r="C11650" s="111" t="s">
        <v>22472</v>
      </c>
      <c r="D11650" s="111" t="str">
        <f t="shared" ref="D11650:E11650" si="11648">TRIM(B11650)</f>
        <v>North Carolina</v>
      </c>
      <c r="E11650" s="111" t="str">
        <f t="shared" si="11648"/>
        <v>Tarboro</v>
      </c>
    </row>
    <row r="11651" spans="1:5">
      <c r="A11651" s="3" t="s">
        <v>22475</v>
      </c>
      <c r="B11651" s="110" t="s">
        <v>1357</v>
      </c>
      <c r="C11651" s="111" t="s">
        <v>15845</v>
      </c>
      <c r="D11651" s="111" t="str">
        <f t="shared" ref="D11651:E11651" si="11649">TRIM(B11651)</f>
        <v>North Carolina</v>
      </c>
      <c r="E11651" s="111" t="str">
        <f t="shared" si="11649"/>
        <v>Taylorsville</v>
      </c>
    </row>
    <row r="11652" spans="1:5">
      <c r="A11652" s="3" t="s">
        <v>22476</v>
      </c>
      <c r="B11652" s="110" t="s">
        <v>1357</v>
      </c>
      <c r="C11652" s="111" t="s">
        <v>22477</v>
      </c>
      <c r="D11652" s="111" t="str">
        <f t="shared" ref="D11652:E11652" si="11650">TRIM(B11652)</f>
        <v>North Carolina</v>
      </c>
      <c r="E11652" s="111" t="str">
        <f t="shared" si="11650"/>
        <v>Teachey</v>
      </c>
    </row>
    <row r="11653" spans="1:5">
      <c r="A11653" s="3" t="s">
        <v>22478</v>
      </c>
      <c r="B11653" s="110" t="s">
        <v>1357</v>
      </c>
      <c r="C11653" s="111" t="s">
        <v>2218</v>
      </c>
      <c r="D11653" s="111" t="str">
        <f t="shared" ref="D11653:E11653" si="11651">TRIM(B11653)</f>
        <v>North Carolina</v>
      </c>
      <c r="E11653" s="111" t="str">
        <f t="shared" si="11651"/>
        <v>Thomasville</v>
      </c>
    </row>
    <row r="11654" spans="1:5">
      <c r="A11654" s="3" t="s">
        <v>22479</v>
      </c>
      <c r="B11654" s="110" t="s">
        <v>1357</v>
      </c>
      <c r="C11654" s="111" t="s">
        <v>2218</v>
      </c>
      <c r="D11654" s="111" t="str">
        <f t="shared" ref="D11654:E11654" si="11652">TRIM(B11654)</f>
        <v>North Carolina</v>
      </c>
      <c r="E11654" s="111" t="str">
        <f t="shared" si="11652"/>
        <v>Thomasville</v>
      </c>
    </row>
    <row r="11655" spans="1:5">
      <c r="A11655" s="3" t="s">
        <v>2217</v>
      </c>
      <c r="B11655" s="110" t="s">
        <v>1357</v>
      </c>
      <c r="C11655" s="111" t="s">
        <v>2218</v>
      </c>
      <c r="D11655" s="111" t="str">
        <f t="shared" ref="D11655:E11655" si="11653">TRIM(B11655)</f>
        <v>North Carolina</v>
      </c>
      <c r="E11655" s="111" t="str">
        <f t="shared" si="11653"/>
        <v>Thomasville</v>
      </c>
    </row>
    <row r="11656" spans="1:5">
      <c r="A11656" s="3" t="s">
        <v>22480</v>
      </c>
      <c r="B11656" s="110" t="s">
        <v>1357</v>
      </c>
      <c r="C11656" s="111" t="s">
        <v>10194</v>
      </c>
      <c r="D11656" s="111" t="str">
        <f t="shared" ref="D11656:E11656" si="11654">TRIM(B11656)</f>
        <v>North Carolina</v>
      </c>
      <c r="E11656" s="111" t="str">
        <f t="shared" si="11654"/>
        <v>Trenton</v>
      </c>
    </row>
    <row r="11657" spans="1:5">
      <c r="A11657" s="3" t="s">
        <v>7460</v>
      </c>
      <c r="B11657" s="110" t="s">
        <v>1357</v>
      </c>
      <c r="C11657" s="111" t="s">
        <v>2224</v>
      </c>
      <c r="D11657" s="111" t="str">
        <f t="shared" ref="D11657:E11657" si="11655">TRIM(B11657)</f>
        <v>North Carolina</v>
      </c>
      <c r="E11657" s="111" t="str">
        <f t="shared" si="11655"/>
        <v>Trinity</v>
      </c>
    </row>
    <row r="11658" spans="1:5">
      <c r="A11658" s="3" t="s">
        <v>22481</v>
      </c>
      <c r="B11658" s="110" t="s">
        <v>1357</v>
      </c>
      <c r="C11658" s="112" t="s">
        <v>2224</v>
      </c>
      <c r="D11658" s="111" t="str">
        <f t="shared" ref="D11658:E11658" si="11656">TRIM(B11658)</f>
        <v>North Carolina</v>
      </c>
      <c r="E11658" s="111" t="str">
        <f t="shared" si="11656"/>
        <v>Trinity</v>
      </c>
    </row>
    <row r="11659" spans="1:5">
      <c r="A11659" s="3" t="s">
        <v>22482</v>
      </c>
      <c r="B11659" s="110" t="s">
        <v>1357</v>
      </c>
      <c r="C11659" s="111" t="s">
        <v>22483</v>
      </c>
      <c r="D11659" s="111" t="str">
        <f t="shared" ref="D11659:E11659" si="11657">TRIM(B11659)</f>
        <v>North Carolina</v>
      </c>
      <c r="E11659" s="111" t="str">
        <f t="shared" si="11657"/>
        <v>Valdese</v>
      </c>
    </row>
    <row r="11660" spans="1:5">
      <c r="A11660" s="3" t="s">
        <v>22484</v>
      </c>
      <c r="B11660" s="110" t="s">
        <v>1357</v>
      </c>
      <c r="C11660" s="111" t="s">
        <v>22485</v>
      </c>
      <c r="D11660" s="111" t="str">
        <f t="shared" ref="D11660:E11660" si="11658">TRIM(B11660)</f>
        <v>North Carolina</v>
      </c>
      <c r="E11660" s="111" t="str">
        <f t="shared" si="11658"/>
        <v>Vanceboro</v>
      </c>
    </row>
    <row r="11661" spans="1:5">
      <c r="A11661" s="3" t="s">
        <v>22486</v>
      </c>
      <c r="B11661" s="110" t="s">
        <v>1357</v>
      </c>
      <c r="C11661" s="111" t="s">
        <v>22487</v>
      </c>
      <c r="D11661" s="111" t="str">
        <f t="shared" ref="D11661:E11661" si="11659">TRIM(B11661)</f>
        <v>North Carolina</v>
      </c>
      <c r="E11661" s="111" t="str">
        <f t="shared" si="11659"/>
        <v>Wadesboro</v>
      </c>
    </row>
    <row r="11662" spans="1:5">
      <c r="A11662" s="3" t="s">
        <v>4519</v>
      </c>
      <c r="B11662" s="110" t="s">
        <v>1357</v>
      </c>
      <c r="C11662" s="111" t="s">
        <v>12698</v>
      </c>
      <c r="D11662" s="111" t="str">
        <f t="shared" ref="D11662:E11662" si="11660">TRIM(B11662)</f>
        <v>North Carolina</v>
      </c>
      <c r="E11662" s="111" t="str">
        <f t="shared" si="11660"/>
        <v>Wake Forest</v>
      </c>
    </row>
    <row r="11663" spans="1:5">
      <c r="A11663" s="3" t="s">
        <v>22488</v>
      </c>
      <c r="B11663" s="110" t="s">
        <v>1357</v>
      </c>
      <c r="C11663" s="111" t="s">
        <v>12698</v>
      </c>
      <c r="D11663" s="111" t="str">
        <f t="shared" ref="D11663:E11663" si="11661">TRIM(B11663)</f>
        <v>North Carolina</v>
      </c>
      <c r="E11663" s="111" t="str">
        <f t="shared" si="11661"/>
        <v>Wake Forest</v>
      </c>
    </row>
    <row r="11664" spans="1:5">
      <c r="A11664" s="3" t="s">
        <v>22489</v>
      </c>
      <c r="B11664" s="110" t="s">
        <v>1357</v>
      </c>
      <c r="C11664" s="111" t="s">
        <v>12698</v>
      </c>
      <c r="D11664" s="111" t="str">
        <f t="shared" ref="D11664:E11664" si="11662">TRIM(B11664)</f>
        <v>North Carolina</v>
      </c>
      <c r="E11664" s="111" t="str">
        <f t="shared" si="11662"/>
        <v>Wake Forest</v>
      </c>
    </row>
    <row r="11665" spans="1:5">
      <c r="A11665" s="3" t="s">
        <v>22490</v>
      </c>
      <c r="B11665" s="110" t="s">
        <v>1357</v>
      </c>
      <c r="C11665" s="111" t="s">
        <v>22491</v>
      </c>
      <c r="D11665" s="111" t="str">
        <f t="shared" ref="D11665:E11665" si="11663">TRIM(B11665)</f>
        <v>North Carolina</v>
      </c>
      <c r="E11665" s="111" t="str">
        <f t="shared" si="11663"/>
        <v>Walkertown</v>
      </c>
    </row>
    <row r="11666" spans="1:5">
      <c r="A11666" s="3" t="s">
        <v>22492</v>
      </c>
      <c r="B11666" s="110" t="s">
        <v>1357</v>
      </c>
      <c r="C11666" s="111" t="s">
        <v>22493</v>
      </c>
      <c r="D11666" s="111" t="str">
        <f t="shared" ref="D11666:E11666" si="11664">TRIM(B11666)</f>
        <v>North Carolina</v>
      </c>
      <c r="E11666" s="111" t="str">
        <f t="shared" si="11664"/>
        <v>Walnut Cove</v>
      </c>
    </row>
    <row r="11667" spans="1:5">
      <c r="A11667" s="3" t="s">
        <v>11416</v>
      </c>
      <c r="B11667" s="110" t="s">
        <v>1357</v>
      </c>
      <c r="C11667" s="111" t="s">
        <v>10280</v>
      </c>
      <c r="D11667" s="111" t="str">
        <f t="shared" ref="D11667:E11667" si="11665">TRIM(B11667)</f>
        <v>North Carolina</v>
      </c>
      <c r="E11667" s="111" t="str">
        <f t="shared" si="11665"/>
        <v>Warrenton</v>
      </c>
    </row>
    <row r="11668" spans="1:5">
      <c r="A11668" s="3" t="s">
        <v>22494</v>
      </c>
      <c r="B11668" s="110" t="s">
        <v>1357</v>
      </c>
      <c r="C11668" s="111" t="s">
        <v>10280</v>
      </c>
      <c r="D11668" s="111" t="str">
        <f t="shared" ref="D11668:E11668" si="11666">TRIM(B11668)</f>
        <v>North Carolina</v>
      </c>
      <c r="E11668" s="111" t="str">
        <f t="shared" si="11666"/>
        <v>Warrenton</v>
      </c>
    </row>
    <row r="11669" spans="1:5">
      <c r="A11669" s="3" t="s">
        <v>22495</v>
      </c>
      <c r="B11669" s="110" t="s">
        <v>1357</v>
      </c>
      <c r="C11669" s="111" t="s">
        <v>10280</v>
      </c>
      <c r="D11669" s="111" t="str">
        <f t="shared" ref="D11669:E11669" si="11667">TRIM(B11669)</f>
        <v>North Carolina</v>
      </c>
      <c r="E11669" s="111" t="str">
        <f t="shared" si="11667"/>
        <v>Warrenton</v>
      </c>
    </row>
    <row r="11670" spans="1:5">
      <c r="A11670" s="3" t="s">
        <v>22496</v>
      </c>
      <c r="B11670" s="110" t="s">
        <v>1357</v>
      </c>
      <c r="C11670" s="111" t="s">
        <v>13979</v>
      </c>
      <c r="D11670" s="111" t="str">
        <f t="shared" ref="D11670:E11670" si="11668">TRIM(B11670)</f>
        <v>North Carolina</v>
      </c>
      <c r="E11670" s="111" t="str">
        <f t="shared" si="11668"/>
        <v>Warsaw</v>
      </c>
    </row>
    <row r="11671" spans="1:5">
      <c r="A11671" s="3" t="s">
        <v>22497</v>
      </c>
      <c r="B11671" s="110" t="s">
        <v>1357</v>
      </c>
      <c r="C11671" s="111" t="s">
        <v>276</v>
      </c>
      <c r="D11671" s="111" t="str">
        <f t="shared" ref="D11671:E11671" si="11669">TRIM(B11671)</f>
        <v>North Carolina</v>
      </c>
      <c r="E11671" s="111" t="str">
        <f t="shared" si="11669"/>
        <v>Washington</v>
      </c>
    </row>
    <row r="11672" spans="1:5">
      <c r="A11672" s="3" t="s">
        <v>3140</v>
      </c>
      <c r="B11672" s="110" t="s">
        <v>1357</v>
      </c>
      <c r="C11672" s="111" t="s">
        <v>276</v>
      </c>
      <c r="D11672" s="111" t="str">
        <f t="shared" ref="D11672:E11672" si="11670">TRIM(B11672)</f>
        <v>North Carolina</v>
      </c>
      <c r="E11672" s="111" t="str">
        <f t="shared" si="11670"/>
        <v>Washington</v>
      </c>
    </row>
    <row r="11673" spans="1:5">
      <c r="A11673" s="3" t="s">
        <v>22498</v>
      </c>
      <c r="B11673" s="110" t="s">
        <v>1357</v>
      </c>
      <c r="C11673" s="111" t="s">
        <v>22499</v>
      </c>
      <c r="D11673" s="111" t="str">
        <f t="shared" ref="D11673:E11673" si="11671">TRIM(B11673)</f>
        <v>North Carolina</v>
      </c>
      <c r="E11673" s="111" t="str">
        <f t="shared" si="11671"/>
        <v>Waxhaw</v>
      </c>
    </row>
    <row r="11674" spans="1:5">
      <c r="A11674" s="3" t="s">
        <v>22500</v>
      </c>
      <c r="B11674" s="110" t="s">
        <v>1357</v>
      </c>
      <c r="C11674" s="111" t="s">
        <v>22499</v>
      </c>
      <c r="D11674" s="111" t="str">
        <f t="shared" ref="D11674:E11674" si="11672">TRIM(B11674)</f>
        <v>North Carolina</v>
      </c>
      <c r="E11674" s="111" t="str">
        <f t="shared" si="11672"/>
        <v>Waxhaw</v>
      </c>
    </row>
    <row r="11675" spans="1:5">
      <c r="A11675" s="3" t="s">
        <v>13927</v>
      </c>
      <c r="B11675" s="110" t="s">
        <v>1357</v>
      </c>
      <c r="C11675" s="111" t="s">
        <v>19217</v>
      </c>
      <c r="D11675" s="111" t="str">
        <f t="shared" ref="D11675:E11675" si="11673">TRIM(B11675)</f>
        <v>North Carolina</v>
      </c>
      <c r="E11675" s="111" t="str">
        <f t="shared" si="11673"/>
        <v>Waynesville</v>
      </c>
    </row>
    <row r="11676" spans="1:5">
      <c r="A11676" s="3" t="s">
        <v>22501</v>
      </c>
      <c r="B11676" s="110" t="s">
        <v>1357</v>
      </c>
      <c r="C11676" s="111" t="s">
        <v>7461</v>
      </c>
      <c r="D11676" s="111" t="str">
        <f t="shared" ref="D11676:E11676" si="11674">TRIM(B11676)</f>
        <v>North Carolina</v>
      </c>
      <c r="E11676" s="111" t="str">
        <f t="shared" si="11674"/>
        <v>Weaverville</v>
      </c>
    </row>
    <row r="11677" spans="1:5">
      <c r="A11677" s="110" t="s">
        <v>22502</v>
      </c>
      <c r="B11677" s="110" t="s">
        <v>1357</v>
      </c>
      <c r="C11677" s="111" t="s">
        <v>22503</v>
      </c>
      <c r="D11677" s="111" t="str">
        <f t="shared" ref="D11677:E11677" si="11675">TRIM(B11677)</f>
        <v>North Carolina</v>
      </c>
      <c r="E11677" s="111" t="str">
        <f t="shared" si="11675"/>
        <v>Weldon</v>
      </c>
    </row>
    <row r="11678" spans="1:5">
      <c r="A11678" s="3" t="s">
        <v>22504</v>
      </c>
      <c r="B11678" s="110" t="s">
        <v>1357</v>
      </c>
      <c r="C11678" s="111" t="s">
        <v>22503</v>
      </c>
      <c r="D11678" s="111" t="str">
        <f t="shared" ref="D11678:E11678" si="11676">TRIM(B11678)</f>
        <v>North Carolina</v>
      </c>
      <c r="E11678" s="111" t="str">
        <f t="shared" si="11676"/>
        <v>Weldon</v>
      </c>
    </row>
    <row r="11679" spans="1:5">
      <c r="A11679" s="3" t="s">
        <v>22505</v>
      </c>
      <c r="B11679" s="110" t="s">
        <v>1357</v>
      </c>
      <c r="C11679" s="111" t="s">
        <v>11939</v>
      </c>
      <c r="D11679" s="111" t="str">
        <f t="shared" ref="D11679:E11679" si="11677">TRIM(B11679)</f>
        <v>North Carolina</v>
      </c>
      <c r="E11679" s="111" t="str">
        <f t="shared" si="11677"/>
        <v>Wendell</v>
      </c>
    </row>
    <row r="11680" spans="1:5">
      <c r="A11680" s="3" t="s">
        <v>22506</v>
      </c>
      <c r="B11680" s="110" t="s">
        <v>1357</v>
      </c>
      <c r="C11680" s="111" t="s">
        <v>11939</v>
      </c>
      <c r="D11680" s="111" t="str">
        <f t="shared" ref="D11680:E11680" si="11678">TRIM(B11680)</f>
        <v>North Carolina</v>
      </c>
      <c r="E11680" s="111" t="str">
        <f t="shared" si="11678"/>
        <v>Wendell</v>
      </c>
    </row>
    <row r="11681" spans="1:5">
      <c r="A11681" s="3" t="s">
        <v>22507</v>
      </c>
      <c r="B11681" s="110" t="s">
        <v>1357</v>
      </c>
      <c r="C11681" s="111" t="s">
        <v>22508</v>
      </c>
      <c r="D11681" s="111" t="str">
        <f t="shared" ref="D11681:E11681" si="11679">TRIM(B11681)</f>
        <v>North Carolina</v>
      </c>
      <c r="E11681" s="111" t="str">
        <f t="shared" si="11679"/>
        <v>Wentworth</v>
      </c>
    </row>
    <row r="11682" spans="1:5">
      <c r="A11682" s="3" t="s">
        <v>22509</v>
      </c>
      <c r="B11682" s="110" t="s">
        <v>1357</v>
      </c>
      <c r="C11682" s="111" t="s">
        <v>22508</v>
      </c>
      <c r="D11682" s="111" t="str">
        <f t="shared" ref="D11682:E11682" si="11680">TRIM(B11682)</f>
        <v>North Carolina</v>
      </c>
      <c r="E11682" s="111" t="str">
        <f t="shared" si="11680"/>
        <v>Wentworth</v>
      </c>
    </row>
    <row r="11683" spans="1:5">
      <c r="A11683" s="3" t="s">
        <v>22510</v>
      </c>
      <c r="B11683" s="110" t="s">
        <v>1357</v>
      </c>
      <c r="C11683" s="111" t="s">
        <v>22511</v>
      </c>
      <c r="D11683" s="111" t="str">
        <f t="shared" ref="D11683:E11683" si="11681">TRIM(B11683)</f>
        <v>North Carolina</v>
      </c>
      <c r="E11683" s="111" t="str">
        <f t="shared" si="11681"/>
        <v>West Jefferson</v>
      </c>
    </row>
    <row r="11684" spans="1:5">
      <c r="A11684" s="110" t="s">
        <v>22512</v>
      </c>
      <c r="B11684" s="110" t="s">
        <v>1357</v>
      </c>
      <c r="C11684" s="111" t="s">
        <v>22513</v>
      </c>
      <c r="D11684" s="111" t="str">
        <f t="shared" ref="D11684:E11684" si="11682">TRIM(B11684)</f>
        <v>North Carolina</v>
      </c>
      <c r="E11684" s="111" t="str">
        <f t="shared" si="11682"/>
        <v>Whiteville</v>
      </c>
    </row>
    <row r="11685" spans="1:5">
      <c r="A11685" s="3" t="s">
        <v>22514</v>
      </c>
      <c r="B11685" s="110" t="s">
        <v>1357</v>
      </c>
      <c r="C11685" s="111" t="s">
        <v>22513</v>
      </c>
      <c r="D11685" s="111" t="str">
        <f t="shared" ref="D11685:E11685" si="11683">TRIM(B11685)</f>
        <v>North Carolina</v>
      </c>
      <c r="E11685" s="111" t="str">
        <f t="shared" si="11683"/>
        <v>Whiteville</v>
      </c>
    </row>
    <row r="11686" spans="1:5">
      <c r="A11686" s="3" t="s">
        <v>22515</v>
      </c>
      <c r="B11686" s="110" t="s">
        <v>1357</v>
      </c>
      <c r="C11686" s="111" t="s">
        <v>22516</v>
      </c>
      <c r="D11686" s="111" t="str">
        <f t="shared" ref="D11686:E11686" si="11684">TRIM(B11686)</f>
        <v>North Carolina</v>
      </c>
      <c r="E11686" s="111" t="str">
        <f t="shared" si="11684"/>
        <v>Wilkesboro</v>
      </c>
    </row>
    <row r="11687" spans="1:5">
      <c r="A11687" s="3" t="s">
        <v>22517</v>
      </c>
      <c r="B11687" s="110" t="s">
        <v>1357</v>
      </c>
      <c r="C11687" s="111" t="s">
        <v>22516</v>
      </c>
      <c r="D11687" s="111" t="str">
        <f t="shared" ref="D11687:E11687" si="11685">TRIM(B11687)</f>
        <v>North Carolina</v>
      </c>
      <c r="E11687" s="111" t="str">
        <f t="shared" si="11685"/>
        <v>Wilkesboro</v>
      </c>
    </row>
    <row r="11688" spans="1:5">
      <c r="A11688" s="110" t="s">
        <v>22518</v>
      </c>
      <c r="B11688" s="110" t="s">
        <v>1357</v>
      </c>
      <c r="C11688" s="111" t="s">
        <v>2637</v>
      </c>
      <c r="D11688" s="111" t="str">
        <f t="shared" ref="D11688:E11688" si="11686">TRIM(B11688)</f>
        <v>North Carolina</v>
      </c>
      <c r="E11688" s="111" t="str">
        <f t="shared" si="11686"/>
        <v>Williamston</v>
      </c>
    </row>
    <row r="11689" spans="1:5">
      <c r="A11689" s="3" t="s">
        <v>3921</v>
      </c>
      <c r="B11689" s="110" t="s">
        <v>1357</v>
      </c>
      <c r="C11689" s="111" t="s">
        <v>2637</v>
      </c>
      <c r="D11689" s="111" t="str">
        <f t="shared" ref="D11689:E11689" si="11687">TRIM(B11689)</f>
        <v>North Carolina</v>
      </c>
      <c r="E11689" s="111" t="str">
        <f t="shared" si="11687"/>
        <v>Williamston</v>
      </c>
    </row>
    <row r="11690" spans="1:5">
      <c r="A11690" s="3" t="s">
        <v>22519</v>
      </c>
      <c r="B11690" s="110" t="s">
        <v>1357</v>
      </c>
      <c r="C11690" s="111" t="s">
        <v>272</v>
      </c>
      <c r="D11690" s="111" t="str">
        <f t="shared" ref="D11690:E11690" si="11688">TRIM(B11690)</f>
        <v>North Carolina</v>
      </c>
      <c r="E11690" s="111" t="str">
        <f t="shared" si="11688"/>
        <v>Wilmington</v>
      </c>
    </row>
    <row r="11691" spans="1:5">
      <c r="A11691" s="3" t="s">
        <v>22520</v>
      </c>
      <c r="B11691" s="110" t="s">
        <v>1357</v>
      </c>
      <c r="C11691" s="111" t="s">
        <v>272</v>
      </c>
      <c r="D11691" s="111" t="str">
        <f t="shared" ref="D11691:E11691" si="11689">TRIM(B11691)</f>
        <v>North Carolina</v>
      </c>
      <c r="E11691" s="111" t="str">
        <f t="shared" si="11689"/>
        <v>Wilmington</v>
      </c>
    </row>
    <row r="11692" spans="1:5">
      <c r="A11692" s="3" t="s">
        <v>22521</v>
      </c>
      <c r="B11692" s="110" t="s">
        <v>1357</v>
      </c>
      <c r="C11692" s="111" t="s">
        <v>272</v>
      </c>
      <c r="D11692" s="111" t="str">
        <f t="shared" ref="D11692:E11692" si="11690">TRIM(B11692)</f>
        <v>North Carolina</v>
      </c>
      <c r="E11692" s="111" t="str">
        <f t="shared" si="11690"/>
        <v>Wilmington</v>
      </c>
    </row>
    <row r="11693" spans="1:5">
      <c r="A11693" s="3" t="s">
        <v>22522</v>
      </c>
      <c r="B11693" s="110" t="s">
        <v>1357</v>
      </c>
      <c r="C11693" s="111" t="s">
        <v>272</v>
      </c>
      <c r="D11693" s="111" t="str">
        <f t="shared" ref="D11693:E11693" si="11691">TRIM(B11693)</f>
        <v>North Carolina</v>
      </c>
      <c r="E11693" s="111" t="str">
        <f t="shared" si="11691"/>
        <v>Wilmington</v>
      </c>
    </row>
    <row r="11694" spans="1:5">
      <c r="A11694" s="3" t="s">
        <v>22523</v>
      </c>
      <c r="B11694" s="110" t="s">
        <v>1357</v>
      </c>
      <c r="C11694" s="111" t="s">
        <v>272</v>
      </c>
      <c r="D11694" s="111" t="str">
        <f t="shared" ref="D11694:E11694" si="11692">TRIM(B11694)</f>
        <v>North Carolina</v>
      </c>
      <c r="E11694" s="111" t="str">
        <f t="shared" si="11692"/>
        <v>Wilmington</v>
      </c>
    </row>
    <row r="11695" spans="1:5">
      <c r="A11695" s="3" t="s">
        <v>22524</v>
      </c>
      <c r="B11695" s="110" t="s">
        <v>1357</v>
      </c>
      <c r="C11695" s="111" t="s">
        <v>4278</v>
      </c>
      <c r="D11695" s="111" t="str">
        <f t="shared" ref="D11695:E11695" si="11693">TRIM(B11695)</f>
        <v>North Carolina</v>
      </c>
      <c r="E11695" s="111" t="str">
        <f t="shared" si="11693"/>
        <v>Wilson</v>
      </c>
    </row>
    <row r="11696" spans="1:5">
      <c r="A11696" s="3" t="s">
        <v>22525</v>
      </c>
      <c r="B11696" s="110" t="s">
        <v>1357</v>
      </c>
      <c r="C11696" s="111" t="s">
        <v>4278</v>
      </c>
      <c r="D11696" s="111" t="str">
        <f t="shared" ref="D11696:E11696" si="11694">TRIM(B11696)</f>
        <v>North Carolina</v>
      </c>
      <c r="E11696" s="111" t="str">
        <f t="shared" si="11694"/>
        <v>Wilson</v>
      </c>
    </row>
    <row r="11697" spans="1:5">
      <c r="A11697" s="3" t="s">
        <v>22526</v>
      </c>
      <c r="B11697" s="110" t="s">
        <v>1357</v>
      </c>
      <c r="C11697" s="111" t="s">
        <v>4278</v>
      </c>
      <c r="D11697" s="111" t="str">
        <f t="shared" ref="D11697:E11697" si="11695">TRIM(B11697)</f>
        <v>North Carolina</v>
      </c>
      <c r="E11697" s="111" t="str">
        <f t="shared" si="11695"/>
        <v>Wilson</v>
      </c>
    </row>
    <row r="11698" spans="1:5">
      <c r="A11698" s="3" t="s">
        <v>22527</v>
      </c>
      <c r="B11698" s="110" t="s">
        <v>1357</v>
      </c>
      <c r="C11698" s="111" t="s">
        <v>4278</v>
      </c>
      <c r="D11698" s="111" t="str">
        <f t="shared" ref="D11698:E11698" si="11696">TRIM(B11698)</f>
        <v>North Carolina</v>
      </c>
      <c r="E11698" s="111" t="str">
        <f t="shared" si="11696"/>
        <v>Wilson</v>
      </c>
    </row>
    <row r="11699" spans="1:5">
      <c r="A11699" s="3" t="s">
        <v>22528</v>
      </c>
      <c r="B11699" s="110" t="s">
        <v>1357</v>
      </c>
      <c r="C11699" s="111" t="s">
        <v>7524</v>
      </c>
      <c r="D11699" s="111" t="str">
        <f t="shared" ref="D11699:E11699" si="11697">TRIM(B11699)</f>
        <v>North Carolina</v>
      </c>
      <c r="E11699" s="111" t="str">
        <f t="shared" si="11697"/>
        <v>Windsor</v>
      </c>
    </row>
    <row r="11700" spans="1:5">
      <c r="A11700" s="3" t="s">
        <v>22529</v>
      </c>
      <c r="B11700" s="110" t="s">
        <v>1357</v>
      </c>
      <c r="C11700" s="111" t="s">
        <v>7524</v>
      </c>
      <c r="D11700" s="111" t="str">
        <f t="shared" ref="D11700:E11700" si="11698">TRIM(B11700)</f>
        <v>North Carolina</v>
      </c>
      <c r="E11700" s="111" t="str">
        <f t="shared" si="11698"/>
        <v>Windsor</v>
      </c>
    </row>
    <row r="11701" spans="1:5">
      <c r="A11701" s="3" t="s">
        <v>10340</v>
      </c>
      <c r="B11701" s="110" t="s">
        <v>1357</v>
      </c>
      <c r="C11701" s="111" t="s">
        <v>12588</v>
      </c>
      <c r="D11701" s="111" t="str">
        <f t="shared" ref="D11701:E11701" si="11699">TRIM(B11701)</f>
        <v>North Carolina</v>
      </c>
      <c r="E11701" s="111" t="str">
        <f t="shared" si="11699"/>
        <v>Winston Salem</v>
      </c>
    </row>
    <row r="11702" spans="1:5">
      <c r="A11702" s="110" t="s">
        <v>22530</v>
      </c>
      <c r="B11702" s="110" t="s">
        <v>1357</v>
      </c>
      <c r="C11702" s="111" t="s">
        <v>12588</v>
      </c>
      <c r="D11702" s="111" t="str">
        <f t="shared" ref="D11702:E11702" si="11700">TRIM(B11702)</f>
        <v>North Carolina</v>
      </c>
      <c r="E11702" s="111" t="str">
        <f t="shared" si="11700"/>
        <v>Winston Salem</v>
      </c>
    </row>
    <row r="11703" spans="1:5">
      <c r="A11703" s="3" t="s">
        <v>22531</v>
      </c>
      <c r="B11703" s="110" t="s">
        <v>1357</v>
      </c>
      <c r="C11703" s="111" t="s">
        <v>12588</v>
      </c>
      <c r="D11703" s="111" t="str">
        <f t="shared" ref="D11703:E11703" si="11701">TRIM(B11703)</f>
        <v>North Carolina</v>
      </c>
      <c r="E11703" s="111" t="str">
        <f t="shared" si="11701"/>
        <v>Winston Salem</v>
      </c>
    </row>
    <row r="11704" spans="1:5">
      <c r="A11704" s="3" t="s">
        <v>22532</v>
      </c>
      <c r="B11704" s="110" t="s">
        <v>1357</v>
      </c>
      <c r="C11704" s="111" t="s">
        <v>12588</v>
      </c>
      <c r="D11704" s="111" t="str">
        <f t="shared" ref="D11704:E11704" si="11702">TRIM(B11704)</f>
        <v>North Carolina</v>
      </c>
      <c r="E11704" s="111" t="str">
        <f t="shared" si="11702"/>
        <v>Winston Salem</v>
      </c>
    </row>
    <row r="11705" spans="1:5">
      <c r="A11705" s="3" t="s">
        <v>10605</v>
      </c>
      <c r="B11705" s="110" t="s">
        <v>1357</v>
      </c>
      <c r="C11705" s="111" t="s">
        <v>12588</v>
      </c>
      <c r="D11705" s="111" t="str">
        <f t="shared" ref="D11705:E11705" si="11703">TRIM(B11705)</f>
        <v>North Carolina</v>
      </c>
      <c r="E11705" s="111" t="str">
        <f t="shared" si="11703"/>
        <v>Winston Salem</v>
      </c>
    </row>
    <row r="11706" spans="1:5">
      <c r="A11706" s="3" t="s">
        <v>22533</v>
      </c>
      <c r="B11706" s="110" t="s">
        <v>1357</v>
      </c>
      <c r="C11706" s="111" t="s">
        <v>12588</v>
      </c>
      <c r="D11706" s="111" t="str">
        <f t="shared" ref="D11706:E11706" si="11704">TRIM(B11706)</f>
        <v>North Carolina</v>
      </c>
      <c r="E11706" s="111" t="str">
        <f t="shared" si="11704"/>
        <v>Winston Salem</v>
      </c>
    </row>
    <row r="11707" spans="1:5">
      <c r="A11707" s="3" t="s">
        <v>22534</v>
      </c>
      <c r="B11707" s="110" t="s">
        <v>1357</v>
      </c>
      <c r="C11707" s="111" t="s">
        <v>12588</v>
      </c>
      <c r="D11707" s="111" t="str">
        <f t="shared" ref="D11707:E11707" si="11705">TRIM(B11707)</f>
        <v>North Carolina</v>
      </c>
      <c r="E11707" s="111" t="str">
        <f t="shared" si="11705"/>
        <v>Winston Salem</v>
      </c>
    </row>
    <row r="11708" spans="1:5">
      <c r="A11708" s="3" t="s">
        <v>22535</v>
      </c>
      <c r="B11708" s="110" t="s">
        <v>1357</v>
      </c>
      <c r="C11708" s="111" t="s">
        <v>22536</v>
      </c>
      <c r="D11708" s="111" t="str">
        <f t="shared" ref="D11708:E11708" si="11706">TRIM(B11708)</f>
        <v>North Carolina</v>
      </c>
      <c r="E11708" s="111" t="str">
        <f t="shared" si="11706"/>
        <v>Winston-Salem</v>
      </c>
    </row>
    <row r="11709" spans="1:5">
      <c r="A11709" s="110" t="s">
        <v>22537</v>
      </c>
      <c r="B11709" s="110" t="s">
        <v>1357</v>
      </c>
      <c r="C11709" s="111" t="s">
        <v>22536</v>
      </c>
      <c r="D11709" s="111" t="str">
        <f t="shared" ref="D11709:E11709" si="11707">TRIM(B11709)</f>
        <v>North Carolina</v>
      </c>
      <c r="E11709" s="111" t="str">
        <f t="shared" si="11707"/>
        <v>Winston-Salem</v>
      </c>
    </row>
    <row r="11710" spans="1:5">
      <c r="A11710" s="3" t="s">
        <v>1547</v>
      </c>
      <c r="B11710" s="110" t="s">
        <v>1357</v>
      </c>
      <c r="C11710" s="111" t="s">
        <v>22536</v>
      </c>
      <c r="D11710" s="111" t="str">
        <f t="shared" ref="D11710:E11710" si="11708">TRIM(B11710)</f>
        <v>North Carolina</v>
      </c>
      <c r="E11710" s="111" t="str">
        <f t="shared" si="11708"/>
        <v>Winston-Salem</v>
      </c>
    </row>
    <row r="11711" spans="1:5">
      <c r="A11711" s="3" t="s">
        <v>22538</v>
      </c>
      <c r="B11711" s="110" t="s">
        <v>1357</v>
      </c>
      <c r="C11711" s="111" t="s">
        <v>22536</v>
      </c>
      <c r="D11711" s="111" t="str">
        <f t="shared" ref="D11711:E11711" si="11709">TRIM(B11711)</f>
        <v>North Carolina</v>
      </c>
      <c r="E11711" s="111" t="str">
        <f t="shared" si="11709"/>
        <v>Winston-Salem</v>
      </c>
    </row>
    <row r="11712" spans="1:5">
      <c r="A11712" s="110" t="s">
        <v>22539</v>
      </c>
      <c r="B11712" s="110" t="s">
        <v>1357</v>
      </c>
      <c r="C11712" s="111" t="s">
        <v>22540</v>
      </c>
      <c r="D11712" s="111" t="str">
        <f t="shared" ref="D11712:E11712" si="11710">TRIM(B11712)</f>
        <v>North Carolina</v>
      </c>
      <c r="E11712" s="111" t="str">
        <f t="shared" si="11710"/>
        <v>Winterville</v>
      </c>
    </row>
    <row r="11713" spans="1:5">
      <c r="A11713" s="3" t="s">
        <v>22541</v>
      </c>
      <c r="B11713" s="110" t="s">
        <v>1357</v>
      </c>
      <c r="C11713" s="111" t="s">
        <v>22542</v>
      </c>
      <c r="D11713" s="111" t="str">
        <f t="shared" ref="D11713:E11713" si="11711">TRIM(B11713)</f>
        <v>North Carolina</v>
      </c>
      <c r="E11713" s="111" t="str">
        <f t="shared" si="11711"/>
        <v>Winton</v>
      </c>
    </row>
    <row r="11714" spans="1:5">
      <c r="A11714" s="110" t="s">
        <v>22543</v>
      </c>
      <c r="B11714" s="110" t="s">
        <v>1357</v>
      </c>
      <c r="C11714" s="111" t="s">
        <v>22544</v>
      </c>
      <c r="D11714" s="111" t="str">
        <f t="shared" ref="D11714:E11714" si="11712">TRIM(B11714)</f>
        <v>North Carolina</v>
      </c>
      <c r="E11714" s="111" t="str">
        <f t="shared" si="11712"/>
        <v>Yadkinville</v>
      </c>
    </row>
    <row r="11715" spans="1:5">
      <c r="A11715" s="3" t="s">
        <v>22545</v>
      </c>
      <c r="B11715" s="110" t="s">
        <v>1357</v>
      </c>
      <c r="C11715" s="111" t="s">
        <v>22546</v>
      </c>
      <c r="D11715" s="111" t="str">
        <f t="shared" ref="D11715:E11715" si="11713">TRIM(B11715)</f>
        <v>North Carolina</v>
      </c>
      <c r="E11715" s="111" t="str">
        <f t="shared" si="11713"/>
        <v>Yanceyville</v>
      </c>
    </row>
    <row r="11716" spans="1:5">
      <c r="A11716" s="3" t="s">
        <v>10686</v>
      </c>
      <c r="B11716" s="110" t="s">
        <v>1359</v>
      </c>
      <c r="C11716" s="111" t="s">
        <v>20685</v>
      </c>
      <c r="D11716" s="111" t="str">
        <f t="shared" ref="D11716:E11716" si="11714">TRIM(B11716)</f>
        <v>North Dakota</v>
      </c>
      <c r="E11716" s="111" t="str">
        <f t="shared" si="11714"/>
        <v>Alexander</v>
      </c>
    </row>
    <row r="11717" spans="1:5">
      <c r="A11717" s="3" t="s">
        <v>16947</v>
      </c>
      <c r="B11717" s="110" t="s">
        <v>1359</v>
      </c>
      <c r="C11717" s="111" t="s">
        <v>16948</v>
      </c>
      <c r="D11717" s="111" t="str">
        <f t="shared" ref="D11717:E11717" si="11715">TRIM(B11717)</f>
        <v>North Dakota</v>
      </c>
      <c r="E11717" s="111" t="str">
        <f t="shared" si="11715"/>
        <v>Ashley</v>
      </c>
    </row>
    <row r="11718" spans="1:5">
      <c r="A11718" s="3" t="s">
        <v>11231</v>
      </c>
      <c r="B11718" s="110" t="s">
        <v>1359</v>
      </c>
      <c r="C11718" s="111" t="s">
        <v>22547</v>
      </c>
      <c r="D11718" s="111" t="str">
        <f t="shared" ref="D11718:E11718" si="11716">TRIM(B11718)</f>
        <v>North Dakota</v>
      </c>
      <c r="E11718" s="111" t="str">
        <f t="shared" si="11716"/>
        <v>Beach</v>
      </c>
    </row>
    <row r="11719" spans="1:5">
      <c r="A11719" s="3" t="s">
        <v>22548</v>
      </c>
      <c r="B11719" s="110" t="s">
        <v>1359</v>
      </c>
      <c r="C11719" s="111" t="s">
        <v>22549</v>
      </c>
      <c r="D11719" s="111" t="str">
        <f t="shared" ref="D11719:E11719" si="11717">TRIM(B11719)</f>
        <v>North Dakota</v>
      </c>
      <c r="E11719" s="111" t="str">
        <f t="shared" si="11717"/>
        <v>Belfield</v>
      </c>
    </row>
    <row r="11720" spans="1:5">
      <c r="A11720" s="3" t="s">
        <v>22550</v>
      </c>
      <c r="B11720" s="110" t="s">
        <v>1359</v>
      </c>
      <c r="C11720" s="111" t="s">
        <v>22551</v>
      </c>
      <c r="D11720" s="111" t="str">
        <f t="shared" ref="D11720:E11720" si="11718">TRIM(B11720)</f>
        <v>North Dakota</v>
      </c>
      <c r="E11720" s="111" t="str">
        <f t="shared" si="11718"/>
        <v>Berthold</v>
      </c>
    </row>
    <row r="11721" spans="1:5">
      <c r="A11721" s="3" t="s">
        <v>2252</v>
      </c>
      <c r="B11721" s="110" t="s">
        <v>1359</v>
      </c>
      <c r="C11721" s="111" t="s">
        <v>8637</v>
      </c>
      <c r="D11721" s="111" t="str">
        <f t="shared" ref="D11721:E11721" si="11719">TRIM(B11721)</f>
        <v>North Dakota</v>
      </c>
      <c r="E11721" s="111" t="str">
        <f t="shared" si="11719"/>
        <v>Beulah</v>
      </c>
    </row>
    <row r="11722" spans="1:5">
      <c r="A11722" s="3" t="s">
        <v>3625</v>
      </c>
      <c r="B11722" s="110" t="s">
        <v>1359</v>
      </c>
      <c r="C11722" s="111" t="s">
        <v>3626</v>
      </c>
      <c r="D11722" s="111" t="str">
        <f t="shared" ref="D11722:E11722" si="11720">TRIM(B11722)</f>
        <v>North Dakota</v>
      </c>
      <c r="E11722" s="111" t="str">
        <f t="shared" si="11720"/>
        <v>Bismarck</v>
      </c>
    </row>
    <row r="11723" spans="1:5">
      <c r="A11723" s="3" t="s">
        <v>7017</v>
      </c>
      <c r="B11723" s="110" t="s">
        <v>1359</v>
      </c>
      <c r="C11723" s="111" t="s">
        <v>3626</v>
      </c>
      <c r="D11723" s="111" t="str">
        <f t="shared" ref="D11723:E11723" si="11721">TRIM(B11723)</f>
        <v>North Dakota</v>
      </c>
      <c r="E11723" s="111" t="str">
        <f t="shared" si="11721"/>
        <v>Bismarck</v>
      </c>
    </row>
    <row r="11724" spans="1:5">
      <c r="A11724" s="3" t="s">
        <v>7657</v>
      </c>
      <c r="B11724" s="110" t="s">
        <v>1359</v>
      </c>
      <c r="C11724" s="111" t="s">
        <v>3626</v>
      </c>
      <c r="D11724" s="111" t="str">
        <f t="shared" ref="D11724:E11724" si="11722">TRIM(B11724)</f>
        <v>North Dakota</v>
      </c>
      <c r="E11724" s="111" t="str">
        <f t="shared" si="11722"/>
        <v>Bismarck</v>
      </c>
    </row>
    <row r="11725" spans="1:5">
      <c r="A11725" s="3" t="s">
        <v>22552</v>
      </c>
      <c r="B11725" s="110" t="s">
        <v>1359</v>
      </c>
      <c r="C11725" s="111" t="s">
        <v>3626</v>
      </c>
      <c r="D11725" s="111" t="str">
        <f t="shared" ref="D11725:E11725" si="11723">TRIM(B11725)</f>
        <v>North Dakota</v>
      </c>
      <c r="E11725" s="111" t="str">
        <f t="shared" si="11723"/>
        <v>Bismarck</v>
      </c>
    </row>
    <row r="11726" spans="1:5">
      <c r="A11726" s="3" t="s">
        <v>22553</v>
      </c>
      <c r="B11726" s="110" t="s">
        <v>1359</v>
      </c>
      <c r="C11726" s="111" t="s">
        <v>22554</v>
      </c>
      <c r="D11726" s="111" t="str">
        <f t="shared" ref="D11726:E11726" si="11724">TRIM(B11726)</f>
        <v>North Dakota</v>
      </c>
      <c r="E11726" s="111" t="str">
        <f t="shared" si="11724"/>
        <v>Bottineau</v>
      </c>
    </row>
    <row r="11727" spans="1:5">
      <c r="A11727" s="3" t="s">
        <v>22555</v>
      </c>
      <c r="B11727" s="110" t="s">
        <v>1359</v>
      </c>
      <c r="C11727" s="111" t="s">
        <v>22556</v>
      </c>
      <c r="D11727" s="111" t="str">
        <f t="shared" ref="D11727:E11727" si="11725">TRIM(B11727)</f>
        <v>North Dakota</v>
      </c>
      <c r="E11727" s="111" t="str">
        <f t="shared" si="11725"/>
        <v>Bowbells</v>
      </c>
    </row>
    <row r="11728" spans="1:5">
      <c r="A11728" s="3" t="s">
        <v>22557</v>
      </c>
      <c r="B11728" s="110" t="s">
        <v>1359</v>
      </c>
      <c r="C11728" s="111" t="s">
        <v>22558</v>
      </c>
      <c r="D11728" s="111" t="str">
        <f t="shared" ref="D11728:E11728" si="11726">TRIM(B11728)</f>
        <v>North Dakota</v>
      </c>
      <c r="E11728" s="111" t="str">
        <f t="shared" si="11726"/>
        <v>Bowman</v>
      </c>
    </row>
    <row r="11729" spans="1:5">
      <c r="A11729" s="3" t="s">
        <v>4620</v>
      </c>
      <c r="B11729" s="110" t="s">
        <v>1359</v>
      </c>
      <c r="C11729" s="111" t="s">
        <v>22046</v>
      </c>
      <c r="D11729" s="111" t="str">
        <f t="shared" ref="D11729:E11729" si="11727">TRIM(B11729)</f>
        <v>North Dakota</v>
      </c>
      <c r="E11729" s="111" t="str">
        <f t="shared" si="11727"/>
        <v>Buxton</v>
      </c>
    </row>
    <row r="11730" spans="1:5">
      <c r="A11730" s="3" t="s">
        <v>19427</v>
      </c>
      <c r="B11730" s="110" t="s">
        <v>1359</v>
      </c>
      <c r="C11730" s="111" t="s">
        <v>22559</v>
      </c>
      <c r="D11730" s="111" t="str">
        <f t="shared" ref="D11730:E11730" si="11728">TRIM(B11730)</f>
        <v>North Dakota</v>
      </c>
      <c r="E11730" s="111" t="str">
        <f t="shared" si="11728"/>
        <v>Cando</v>
      </c>
    </row>
    <row r="11731" spans="1:5">
      <c r="A11731" s="3" t="s">
        <v>22560</v>
      </c>
      <c r="B11731" s="110" t="s">
        <v>1359</v>
      </c>
      <c r="C11731" s="111" t="s">
        <v>22561</v>
      </c>
      <c r="D11731" s="111" t="str">
        <f t="shared" ref="D11731:E11731" si="11729">TRIM(B11731)</f>
        <v>North Dakota</v>
      </c>
      <c r="E11731" s="111" t="str">
        <f t="shared" si="11729"/>
        <v>Carrington</v>
      </c>
    </row>
    <row r="11732" spans="1:5">
      <c r="A11732" s="3" t="s">
        <v>22562</v>
      </c>
      <c r="B11732" s="110" t="s">
        <v>1359</v>
      </c>
      <c r="C11732" s="111" t="s">
        <v>22563</v>
      </c>
      <c r="D11732" s="111" t="str">
        <f t="shared" ref="D11732:E11732" si="11730">TRIM(B11732)</f>
        <v>North Dakota</v>
      </c>
      <c r="E11732" s="111" t="str">
        <f t="shared" si="11730"/>
        <v>Casselton</v>
      </c>
    </row>
    <row r="11733" spans="1:5">
      <c r="A11733" s="3" t="s">
        <v>22564</v>
      </c>
      <c r="B11733" s="110" t="s">
        <v>1359</v>
      </c>
      <c r="C11733" s="111" t="s">
        <v>22565</v>
      </c>
      <c r="D11733" s="111" t="str">
        <f t="shared" ref="D11733:E11733" si="11731">TRIM(B11733)</f>
        <v>North Dakota</v>
      </c>
      <c r="E11733" s="111" t="str">
        <f t="shared" si="11731"/>
        <v>Cavalier</v>
      </c>
    </row>
    <row r="11734" spans="1:5">
      <c r="A11734" s="3" t="s">
        <v>22566</v>
      </c>
      <c r="B11734" s="110" t="s">
        <v>1359</v>
      </c>
      <c r="C11734" s="111" t="s">
        <v>7698</v>
      </c>
      <c r="D11734" s="111" t="str">
        <f t="shared" ref="D11734:E11734" si="11732">TRIM(B11734)</f>
        <v>North Dakota</v>
      </c>
      <c r="E11734" s="111" t="str">
        <f t="shared" si="11732"/>
        <v>Center</v>
      </c>
    </row>
    <row r="11735" spans="1:5">
      <c r="A11735" s="3" t="s">
        <v>22567</v>
      </c>
      <c r="B11735" s="110" t="s">
        <v>1359</v>
      </c>
      <c r="C11735" s="111" t="s">
        <v>4718</v>
      </c>
      <c r="D11735" s="111" t="str">
        <f t="shared" ref="D11735:E11735" si="11733">TRIM(B11735)</f>
        <v>North Dakota</v>
      </c>
      <c r="E11735" s="111" t="str">
        <f t="shared" si="11733"/>
        <v>Colfax</v>
      </c>
    </row>
    <row r="11736" spans="1:5">
      <c r="A11736" s="3" t="s">
        <v>22568</v>
      </c>
      <c r="B11736" s="110" t="s">
        <v>1359</v>
      </c>
      <c r="C11736" s="111" t="s">
        <v>21117</v>
      </c>
      <c r="D11736" s="111" t="str">
        <f t="shared" ref="D11736:E11736" si="11734">TRIM(B11736)</f>
        <v>North Dakota</v>
      </c>
      <c r="E11736" s="111" t="str">
        <f t="shared" si="11734"/>
        <v>Cooperstown</v>
      </c>
    </row>
    <row r="11737" spans="1:5">
      <c r="A11737" s="3" t="s">
        <v>22569</v>
      </c>
      <c r="B11737" s="110" t="s">
        <v>1359</v>
      </c>
      <c r="C11737" s="111" t="s">
        <v>17840</v>
      </c>
      <c r="D11737" s="111" t="str">
        <f t="shared" ref="D11737:E11737" si="11735">TRIM(B11737)</f>
        <v>North Dakota</v>
      </c>
      <c r="E11737" s="111" t="str">
        <f t="shared" si="11735"/>
        <v>Crosby</v>
      </c>
    </row>
    <row r="11738" spans="1:5">
      <c r="A11738" s="3" t="s">
        <v>22570</v>
      </c>
      <c r="B11738" s="110" t="s">
        <v>1359</v>
      </c>
      <c r="C11738" s="111" t="s">
        <v>22571</v>
      </c>
      <c r="D11738" s="111" t="str">
        <f t="shared" ref="D11738:E11738" si="11736">TRIM(B11738)</f>
        <v>North Dakota</v>
      </c>
      <c r="E11738" s="111" t="str">
        <f t="shared" si="11736"/>
        <v>Des Lacs</v>
      </c>
    </row>
    <row r="11739" spans="1:5">
      <c r="A11739" s="3" t="s">
        <v>22572</v>
      </c>
      <c r="B11739" s="110" t="s">
        <v>1359</v>
      </c>
      <c r="C11739" s="111" t="s">
        <v>22573</v>
      </c>
      <c r="D11739" s="111" t="str">
        <f t="shared" ref="D11739:E11739" si="11737">TRIM(B11739)</f>
        <v>North Dakota</v>
      </c>
      <c r="E11739" s="111" t="str">
        <f t="shared" si="11737"/>
        <v>Devils Lake</v>
      </c>
    </row>
    <row r="11740" spans="1:5">
      <c r="A11740" s="3" t="s">
        <v>22574</v>
      </c>
      <c r="B11740" s="110" t="s">
        <v>1359</v>
      </c>
      <c r="C11740" s="111" t="s">
        <v>54</v>
      </c>
      <c r="D11740" s="111" t="str">
        <f t="shared" ref="D11740:E11740" si="11738">TRIM(B11740)</f>
        <v>North Dakota</v>
      </c>
      <c r="E11740" s="111" t="str">
        <f t="shared" si="11738"/>
        <v>Dickinson</v>
      </c>
    </row>
    <row r="11741" spans="1:5">
      <c r="A11741" s="3" t="s">
        <v>22575</v>
      </c>
      <c r="B11741" s="110" t="s">
        <v>1359</v>
      </c>
      <c r="C11741" s="111" t="s">
        <v>54</v>
      </c>
      <c r="D11741" s="111" t="str">
        <f t="shared" ref="D11741:E11741" si="11739">TRIM(B11741)</f>
        <v>North Dakota</v>
      </c>
      <c r="E11741" s="111" t="str">
        <f t="shared" si="11739"/>
        <v>Dickinson</v>
      </c>
    </row>
    <row r="11742" spans="1:5">
      <c r="A11742" s="3" t="s">
        <v>22576</v>
      </c>
      <c r="B11742" s="110" t="s">
        <v>1359</v>
      </c>
      <c r="C11742" s="111" t="s">
        <v>22577</v>
      </c>
      <c r="D11742" s="111" t="str">
        <f t="shared" ref="D11742:E11742" si="11740">TRIM(B11742)</f>
        <v>North Dakota</v>
      </c>
      <c r="E11742" s="111" t="str">
        <f t="shared" si="11740"/>
        <v>Drake</v>
      </c>
    </row>
    <row r="11743" spans="1:5">
      <c r="A11743" s="3" t="s">
        <v>22578</v>
      </c>
      <c r="B11743" s="110" t="s">
        <v>1359</v>
      </c>
      <c r="C11743" s="111" t="s">
        <v>22579</v>
      </c>
      <c r="D11743" s="111" t="str">
        <f t="shared" ref="D11743:E11743" si="11741">TRIM(B11743)</f>
        <v>North Dakota</v>
      </c>
      <c r="E11743" s="111" t="str">
        <f t="shared" si="11741"/>
        <v>Drayton</v>
      </c>
    </row>
    <row r="11744" spans="1:5">
      <c r="A11744" s="3" t="s">
        <v>22580</v>
      </c>
      <c r="B11744" s="110" t="s">
        <v>1359</v>
      </c>
      <c r="C11744" s="111" t="s">
        <v>22581</v>
      </c>
      <c r="D11744" s="111" t="str">
        <f t="shared" ref="D11744:E11744" si="11742">TRIM(B11744)</f>
        <v>North Dakota</v>
      </c>
      <c r="E11744" s="111" t="str">
        <f t="shared" si="11742"/>
        <v>Dunseith</v>
      </c>
    </row>
    <row r="11745" spans="1:5">
      <c r="A11745" s="3" t="s">
        <v>22582</v>
      </c>
      <c r="B11745" s="110" t="s">
        <v>1359</v>
      </c>
      <c r="C11745" s="111" t="s">
        <v>22583</v>
      </c>
      <c r="D11745" s="111" t="str">
        <f t="shared" ref="D11745:E11745" si="11743">TRIM(B11745)</f>
        <v>North Dakota</v>
      </c>
      <c r="E11745" s="111" t="str">
        <f t="shared" si="11743"/>
        <v>Edgeley</v>
      </c>
    </row>
    <row r="11746" spans="1:5">
      <c r="A11746" s="3" t="s">
        <v>22584</v>
      </c>
      <c r="B11746" s="110" t="s">
        <v>1359</v>
      </c>
      <c r="C11746" s="111" t="s">
        <v>12828</v>
      </c>
      <c r="D11746" s="111" t="str">
        <f t="shared" ref="D11746:E11746" si="11744">TRIM(B11746)</f>
        <v>North Dakota</v>
      </c>
      <c r="E11746" s="111" t="str">
        <f t="shared" si="11744"/>
        <v>Edinburg</v>
      </c>
    </row>
    <row r="11747" spans="1:5">
      <c r="A11747" s="3" t="s">
        <v>22585</v>
      </c>
      <c r="B11747" s="110" t="s">
        <v>1359</v>
      </c>
      <c r="C11747" s="111" t="s">
        <v>22586</v>
      </c>
      <c r="D11747" s="111" t="str">
        <f t="shared" ref="D11747:E11747" si="11745">TRIM(B11747)</f>
        <v>North Dakota</v>
      </c>
      <c r="E11747" s="111" t="str">
        <f t="shared" si="11745"/>
        <v>Edmore</v>
      </c>
    </row>
    <row r="11748" spans="1:5">
      <c r="A11748" s="3" t="s">
        <v>22587</v>
      </c>
      <c r="B11748" s="110" t="s">
        <v>1359</v>
      </c>
      <c r="C11748" s="111" t="s">
        <v>12846</v>
      </c>
      <c r="D11748" s="111" t="str">
        <f t="shared" ref="D11748:E11748" si="11746">TRIM(B11748)</f>
        <v>North Dakota</v>
      </c>
      <c r="E11748" s="111" t="str">
        <f t="shared" si="11746"/>
        <v>Elgin</v>
      </c>
    </row>
    <row r="11749" spans="1:5">
      <c r="A11749" s="3" t="s">
        <v>22588</v>
      </c>
      <c r="B11749" s="110" t="s">
        <v>1359</v>
      </c>
      <c r="C11749" s="111" t="s">
        <v>22589</v>
      </c>
      <c r="D11749" s="111" t="str">
        <f t="shared" ref="D11749:E11749" si="11747">TRIM(B11749)</f>
        <v>North Dakota</v>
      </c>
      <c r="E11749" s="111" t="str">
        <f t="shared" si="11747"/>
        <v>Ellendale</v>
      </c>
    </row>
    <row r="11750" spans="1:5">
      <c r="A11750" s="3" t="s">
        <v>22590</v>
      </c>
      <c r="B11750" s="110" t="s">
        <v>1359</v>
      </c>
      <c r="C11750" s="111" t="s">
        <v>22591</v>
      </c>
      <c r="D11750" s="111" t="str">
        <f t="shared" ref="D11750:E11750" si="11748">TRIM(B11750)</f>
        <v>North Dakota</v>
      </c>
      <c r="E11750" s="111" t="str">
        <f t="shared" si="11748"/>
        <v>Enderlin</v>
      </c>
    </row>
    <row r="11751" spans="1:5">
      <c r="A11751" s="3" t="s">
        <v>22592</v>
      </c>
      <c r="B11751" s="110" t="s">
        <v>1359</v>
      </c>
      <c r="C11751" s="111" t="s">
        <v>14319</v>
      </c>
      <c r="D11751" s="111" t="str">
        <f t="shared" ref="D11751:E11751" si="11749">TRIM(B11751)</f>
        <v>North Dakota</v>
      </c>
      <c r="E11751" s="111" t="str">
        <f t="shared" si="11749"/>
        <v>Fairmount</v>
      </c>
    </row>
    <row r="11752" spans="1:5">
      <c r="A11752" s="3" t="s">
        <v>22593</v>
      </c>
      <c r="B11752" s="110" t="s">
        <v>1359</v>
      </c>
      <c r="C11752" s="111" t="s">
        <v>22594</v>
      </c>
      <c r="D11752" s="111" t="str">
        <f t="shared" ref="D11752:E11752" si="11750">TRIM(B11752)</f>
        <v>North Dakota</v>
      </c>
      <c r="E11752" s="111" t="str">
        <f t="shared" si="11750"/>
        <v>Fargo</v>
      </c>
    </row>
    <row r="11753" spans="1:5">
      <c r="A11753" s="3" t="s">
        <v>3069</v>
      </c>
      <c r="B11753" s="110" t="s">
        <v>1359</v>
      </c>
      <c r="C11753" s="111" t="s">
        <v>22594</v>
      </c>
      <c r="D11753" s="111" t="str">
        <f t="shared" ref="D11753:E11753" si="11751">TRIM(B11753)</f>
        <v>North Dakota</v>
      </c>
      <c r="E11753" s="111" t="str">
        <f t="shared" si="11751"/>
        <v>Fargo</v>
      </c>
    </row>
    <row r="11754" spans="1:5">
      <c r="A11754" s="3" t="s">
        <v>4439</v>
      </c>
      <c r="B11754" s="110" t="s">
        <v>1359</v>
      </c>
      <c r="C11754" s="111" t="s">
        <v>22594</v>
      </c>
      <c r="D11754" s="111" t="str">
        <f t="shared" ref="D11754:E11754" si="11752">TRIM(B11754)</f>
        <v>North Dakota</v>
      </c>
      <c r="E11754" s="111" t="str">
        <f t="shared" si="11752"/>
        <v>Fargo</v>
      </c>
    </row>
    <row r="11755" spans="1:5">
      <c r="A11755" s="3" t="s">
        <v>22595</v>
      </c>
      <c r="B11755" s="110" t="s">
        <v>1359</v>
      </c>
      <c r="C11755" s="111" t="s">
        <v>22594</v>
      </c>
      <c r="D11755" s="111" t="str">
        <f t="shared" ref="D11755:E11755" si="11753">TRIM(B11755)</f>
        <v>North Dakota</v>
      </c>
      <c r="E11755" s="111" t="str">
        <f t="shared" si="11753"/>
        <v>Fargo</v>
      </c>
    </row>
    <row r="11756" spans="1:5">
      <c r="A11756" s="3" t="s">
        <v>22596</v>
      </c>
      <c r="B11756" s="110" t="s">
        <v>1359</v>
      </c>
      <c r="C11756" s="111" t="s">
        <v>22597</v>
      </c>
      <c r="D11756" s="111" t="str">
        <f t="shared" ref="D11756:E11756" si="11754">TRIM(B11756)</f>
        <v>North Dakota</v>
      </c>
      <c r="E11756" s="111" t="str">
        <f t="shared" si="11754"/>
        <v>Fessenden</v>
      </c>
    </row>
    <row r="11757" spans="1:5">
      <c r="A11757" s="3" t="s">
        <v>22598</v>
      </c>
      <c r="B11757" s="110" t="s">
        <v>1359</v>
      </c>
      <c r="C11757" s="111" t="s">
        <v>22599</v>
      </c>
      <c r="D11757" s="111" t="str">
        <f t="shared" ref="D11757:E11757" si="11755">TRIM(B11757)</f>
        <v>North Dakota</v>
      </c>
      <c r="E11757" s="111" t="str">
        <f t="shared" si="11755"/>
        <v>Finley</v>
      </c>
    </row>
    <row r="11758" spans="1:5">
      <c r="A11758" s="3" t="s">
        <v>22600</v>
      </c>
      <c r="B11758" s="110" t="s">
        <v>1359</v>
      </c>
      <c r="C11758" s="111" t="s">
        <v>22601</v>
      </c>
      <c r="D11758" s="111" t="str">
        <f t="shared" ref="D11758:E11758" si="11756">TRIM(B11758)</f>
        <v>North Dakota</v>
      </c>
      <c r="E11758" s="111" t="str">
        <f t="shared" si="11756"/>
        <v>Flasher</v>
      </c>
    </row>
    <row r="11759" spans="1:5">
      <c r="A11759" s="3" t="s">
        <v>22602</v>
      </c>
      <c r="B11759" s="110" t="s">
        <v>1359</v>
      </c>
      <c r="C11759" s="111" t="s">
        <v>22603</v>
      </c>
      <c r="D11759" s="111" t="str">
        <f t="shared" ref="D11759:E11759" si="11757">TRIM(B11759)</f>
        <v>North Dakota</v>
      </c>
      <c r="E11759" s="111" t="str">
        <f t="shared" si="11757"/>
        <v>Fordville</v>
      </c>
    </row>
    <row r="11760" spans="1:5">
      <c r="A11760" s="3" t="s">
        <v>22604</v>
      </c>
      <c r="B11760" s="110" t="s">
        <v>1359</v>
      </c>
      <c r="C11760" s="111" t="s">
        <v>22605</v>
      </c>
      <c r="D11760" s="111" t="str">
        <f t="shared" ref="D11760:E11760" si="11758">TRIM(B11760)</f>
        <v>North Dakota</v>
      </c>
      <c r="E11760" s="111" t="str">
        <f t="shared" si="11758"/>
        <v>Forman</v>
      </c>
    </row>
    <row r="11761" spans="1:5">
      <c r="A11761" s="3" t="s">
        <v>22606</v>
      </c>
      <c r="B11761" s="110" t="s">
        <v>1359</v>
      </c>
      <c r="C11761" s="111" t="s">
        <v>22607</v>
      </c>
      <c r="D11761" s="111" t="str">
        <f t="shared" ref="D11761:E11761" si="11759">TRIM(B11761)</f>
        <v>North Dakota</v>
      </c>
      <c r="E11761" s="111" t="str">
        <f t="shared" si="11759"/>
        <v>Fort Totten</v>
      </c>
    </row>
    <row r="11762" spans="1:5">
      <c r="A11762" s="3" t="s">
        <v>22608</v>
      </c>
      <c r="B11762" s="110" t="s">
        <v>1359</v>
      </c>
      <c r="C11762" s="111" t="s">
        <v>22609</v>
      </c>
      <c r="D11762" s="111" t="str">
        <f t="shared" ref="D11762:E11762" si="11760">TRIM(B11762)</f>
        <v>North Dakota</v>
      </c>
      <c r="E11762" s="111" t="str">
        <f t="shared" si="11760"/>
        <v>Gackle</v>
      </c>
    </row>
    <row r="11763" spans="1:5">
      <c r="A11763" s="3" t="s">
        <v>22610</v>
      </c>
      <c r="B11763" s="110" t="s">
        <v>1359</v>
      </c>
      <c r="C11763" s="111" t="s">
        <v>22611</v>
      </c>
      <c r="D11763" s="111" t="str">
        <f t="shared" ref="D11763:E11763" si="11761">TRIM(B11763)</f>
        <v>North Dakota</v>
      </c>
      <c r="E11763" s="111" t="str">
        <f t="shared" si="11761"/>
        <v>Garrison</v>
      </c>
    </row>
    <row r="11764" spans="1:5">
      <c r="A11764" s="3" t="s">
        <v>22612</v>
      </c>
      <c r="B11764" s="110" t="s">
        <v>1359</v>
      </c>
      <c r="C11764" s="111" t="s">
        <v>22613</v>
      </c>
      <c r="D11764" s="111" t="str">
        <f t="shared" ref="D11764:E11764" si="11762">TRIM(B11764)</f>
        <v>North Dakota</v>
      </c>
      <c r="E11764" s="111" t="str">
        <f t="shared" si="11762"/>
        <v>Glen Ullin</v>
      </c>
    </row>
    <row r="11765" spans="1:5">
      <c r="A11765" s="3" t="s">
        <v>22614</v>
      </c>
      <c r="B11765" s="110" t="s">
        <v>1359</v>
      </c>
      <c r="C11765" s="111" t="s">
        <v>22615</v>
      </c>
      <c r="D11765" s="111" t="str">
        <f t="shared" ref="D11765:E11765" si="11763">TRIM(B11765)</f>
        <v>North Dakota</v>
      </c>
      <c r="E11765" s="111" t="str">
        <f t="shared" si="11763"/>
        <v>Glenburn</v>
      </c>
    </row>
    <row r="11766" spans="1:5">
      <c r="A11766" s="3" t="s">
        <v>22616</v>
      </c>
      <c r="B11766" s="110" t="s">
        <v>1359</v>
      </c>
      <c r="C11766" s="111" t="s">
        <v>22617</v>
      </c>
      <c r="D11766" s="111" t="str">
        <f t="shared" ref="D11766:E11766" si="11764">TRIM(B11766)</f>
        <v>North Dakota</v>
      </c>
      <c r="E11766" s="111" t="str">
        <f t="shared" si="11764"/>
        <v>Glenfield</v>
      </c>
    </row>
    <row r="11767" spans="1:5">
      <c r="A11767" s="3" t="s">
        <v>17227</v>
      </c>
      <c r="B11767" s="110" t="s">
        <v>1359</v>
      </c>
      <c r="C11767" s="111" t="s">
        <v>7033</v>
      </c>
      <c r="D11767" s="111" t="str">
        <f t="shared" ref="D11767:E11767" si="11765">TRIM(B11767)</f>
        <v>North Dakota</v>
      </c>
      <c r="E11767" s="111" t="str">
        <f t="shared" si="11765"/>
        <v>Goodrich</v>
      </c>
    </row>
    <row r="11768" spans="1:5">
      <c r="A11768" s="3" t="s">
        <v>16654</v>
      </c>
      <c r="B11768" s="110" t="s">
        <v>1359</v>
      </c>
      <c r="C11768" s="111" t="s">
        <v>16655</v>
      </c>
      <c r="D11768" s="111" t="str">
        <f t="shared" ref="D11768:E11768" si="11766">TRIM(B11768)</f>
        <v>North Dakota</v>
      </c>
      <c r="E11768" s="111" t="str">
        <f t="shared" si="11766"/>
        <v>Grafton</v>
      </c>
    </row>
    <row r="11769" spans="1:5">
      <c r="A11769" s="3" t="s">
        <v>1843</v>
      </c>
      <c r="B11769" s="110" t="s">
        <v>1359</v>
      </c>
      <c r="C11769" s="111" t="s">
        <v>370</v>
      </c>
      <c r="D11769" s="111" t="str">
        <f t="shared" ref="D11769:E11769" si="11767">TRIM(B11769)</f>
        <v>North Dakota</v>
      </c>
      <c r="E11769" s="111" t="str">
        <f t="shared" si="11767"/>
        <v>Grand Forks</v>
      </c>
    </row>
    <row r="11770" spans="1:5">
      <c r="A11770" s="3" t="s">
        <v>22618</v>
      </c>
      <c r="B11770" s="110" t="s">
        <v>1359</v>
      </c>
      <c r="C11770" s="111" t="s">
        <v>370</v>
      </c>
      <c r="D11770" s="111" t="str">
        <f t="shared" ref="D11770:E11770" si="11768">TRIM(B11770)</f>
        <v>North Dakota</v>
      </c>
      <c r="E11770" s="111" t="str">
        <f t="shared" si="11768"/>
        <v>Grand Forks</v>
      </c>
    </row>
    <row r="11771" spans="1:5">
      <c r="A11771" s="3" t="s">
        <v>15915</v>
      </c>
      <c r="B11771" s="110" t="s">
        <v>1359</v>
      </c>
      <c r="C11771" s="111" t="s">
        <v>370</v>
      </c>
      <c r="D11771" s="111" t="str">
        <f t="shared" ref="D11771:E11771" si="11769">TRIM(B11771)</f>
        <v>North Dakota</v>
      </c>
      <c r="E11771" s="111" t="str">
        <f t="shared" si="11769"/>
        <v>Grand Forks</v>
      </c>
    </row>
    <row r="11772" spans="1:5">
      <c r="A11772" s="3" t="s">
        <v>22619</v>
      </c>
      <c r="B11772" s="110" t="s">
        <v>1359</v>
      </c>
      <c r="C11772" s="111" t="s">
        <v>12988</v>
      </c>
      <c r="D11772" s="111" t="str">
        <f t="shared" ref="D11772:E11772" si="11770">TRIM(B11772)</f>
        <v>North Dakota</v>
      </c>
      <c r="E11772" s="111" t="str">
        <f t="shared" si="11770"/>
        <v>Granville</v>
      </c>
    </row>
    <row r="11773" spans="1:5">
      <c r="A11773" s="3" t="s">
        <v>22620</v>
      </c>
      <c r="B11773" s="110" t="s">
        <v>1359</v>
      </c>
      <c r="C11773" s="111" t="s">
        <v>22621</v>
      </c>
      <c r="D11773" s="111" t="str">
        <f t="shared" ref="D11773:E11773" si="11771">TRIM(B11773)</f>
        <v>North Dakota</v>
      </c>
      <c r="E11773" s="111" t="str">
        <f t="shared" si="11771"/>
        <v>Grenora</v>
      </c>
    </row>
    <row r="11774" spans="1:5">
      <c r="A11774" s="3" t="s">
        <v>22622</v>
      </c>
      <c r="B11774" s="110" t="s">
        <v>1359</v>
      </c>
      <c r="C11774" s="111" t="s">
        <v>22623</v>
      </c>
      <c r="D11774" s="111" t="str">
        <f t="shared" ref="D11774:E11774" si="11772">TRIM(B11774)</f>
        <v>North Dakota</v>
      </c>
      <c r="E11774" s="111" t="str">
        <f t="shared" si="11772"/>
        <v>Gwinner</v>
      </c>
    </row>
    <row r="11775" spans="1:5">
      <c r="A11775" s="3" t="s">
        <v>22624</v>
      </c>
      <c r="B11775" s="110" t="s">
        <v>1359</v>
      </c>
      <c r="C11775" s="111" t="s">
        <v>22625</v>
      </c>
      <c r="D11775" s="111" t="str">
        <f t="shared" ref="D11775:E11775" si="11773">TRIM(B11775)</f>
        <v>North Dakota</v>
      </c>
      <c r="E11775" s="111" t="str">
        <f t="shared" si="11773"/>
        <v>Hankinson</v>
      </c>
    </row>
    <row r="11776" spans="1:5">
      <c r="A11776" s="3" t="s">
        <v>22626</v>
      </c>
      <c r="B11776" s="110" t="s">
        <v>1359</v>
      </c>
      <c r="C11776" s="111" t="s">
        <v>536</v>
      </c>
      <c r="D11776" s="111" t="str">
        <f t="shared" ref="D11776:E11776" si="11774">TRIM(B11776)</f>
        <v>North Dakota</v>
      </c>
      <c r="E11776" s="111" t="str">
        <f t="shared" si="11774"/>
        <v>Harvey</v>
      </c>
    </row>
    <row r="11777" spans="1:5">
      <c r="A11777" s="3" t="s">
        <v>22627</v>
      </c>
      <c r="B11777" s="110" t="s">
        <v>1359</v>
      </c>
      <c r="C11777" s="111" t="s">
        <v>22628</v>
      </c>
      <c r="D11777" s="111" t="str">
        <f t="shared" ref="D11777:E11777" si="11775">TRIM(B11777)</f>
        <v>North Dakota</v>
      </c>
      <c r="E11777" s="111" t="str">
        <f t="shared" si="11775"/>
        <v>Hatton</v>
      </c>
    </row>
    <row r="11778" spans="1:5">
      <c r="A11778" s="3" t="s">
        <v>22629</v>
      </c>
      <c r="B11778" s="110" t="s">
        <v>1359</v>
      </c>
      <c r="C11778" s="111" t="s">
        <v>22630</v>
      </c>
      <c r="D11778" s="111" t="str">
        <f t="shared" ref="D11778:E11778" si="11776">TRIM(B11778)</f>
        <v>North Dakota</v>
      </c>
      <c r="E11778" s="111" t="str">
        <f t="shared" si="11776"/>
        <v>Hazelton</v>
      </c>
    </row>
    <row r="11779" spans="1:5">
      <c r="A11779" s="3" t="s">
        <v>3857</v>
      </c>
      <c r="B11779" s="110" t="s">
        <v>1359</v>
      </c>
      <c r="C11779" s="111" t="s">
        <v>3858</v>
      </c>
      <c r="D11779" s="111" t="str">
        <f t="shared" ref="D11779:E11779" si="11777">TRIM(B11779)</f>
        <v>North Dakota</v>
      </c>
      <c r="E11779" s="111" t="str">
        <f t="shared" si="11777"/>
        <v>Hazen</v>
      </c>
    </row>
    <row r="11780" spans="1:5">
      <c r="A11780" s="3" t="s">
        <v>14388</v>
      </c>
      <c r="B11780" s="110" t="s">
        <v>1359</v>
      </c>
      <c r="C11780" s="111" t="s">
        <v>8519</v>
      </c>
      <c r="D11780" s="111" t="str">
        <f t="shared" ref="D11780:E11780" si="11778">TRIM(B11780)</f>
        <v>North Dakota</v>
      </c>
      <c r="E11780" s="111" t="str">
        <f t="shared" si="11778"/>
        <v>Hebron</v>
      </c>
    </row>
    <row r="11781" spans="1:5">
      <c r="A11781" s="3" t="s">
        <v>22631</v>
      </c>
      <c r="B11781" s="110" t="s">
        <v>1359</v>
      </c>
      <c r="C11781" s="111" t="s">
        <v>22632</v>
      </c>
      <c r="D11781" s="111" t="str">
        <f t="shared" ref="D11781:E11781" si="11779">TRIM(B11781)</f>
        <v>North Dakota</v>
      </c>
      <c r="E11781" s="111" t="str">
        <f t="shared" si="11779"/>
        <v>Hettinger</v>
      </c>
    </row>
    <row r="11782" spans="1:5">
      <c r="A11782" s="3" t="s">
        <v>13068</v>
      </c>
      <c r="B11782" s="110" t="s">
        <v>1359</v>
      </c>
      <c r="C11782" s="111" t="s">
        <v>13070</v>
      </c>
      <c r="D11782" s="111" t="str">
        <f t="shared" ref="D11782:E11782" si="11780">TRIM(B11782)</f>
        <v>North Dakota</v>
      </c>
      <c r="E11782" s="111" t="str">
        <f t="shared" si="11780"/>
        <v>Hillsboro</v>
      </c>
    </row>
    <row r="11783" spans="1:5">
      <c r="A11783" s="3" t="s">
        <v>3020</v>
      </c>
      <c r="B11783" s="110" t="s">
        <v>1359</v>
      </c>
      <c r="C11783" s="111" t="s">
        <v>3871</v>
      </c>
      <c r="D11783" s="111" t="str">
        <f t="shared" ref="D11783:E11783" si="11781">TRIM(B11783)</f>
        <v>North Dakota</v>
      </c>
      <c r="E11783" s="111" t="str">
        <f t="shared" si="11781"/>
        <v>Hope</v>
      </c>
    </row>
    <row r="11784" spans="1:5">
      <c r="A11784" s="3" t="s">
        <v>22633</v>
      </c>
      <c r="B11784" s="110" t="s">
        <v>1359</v>
      </c>
      <c r="C11784" s="111" t="s">
        <v>22634</v>
      </c>
      <c r="D11784" s="111" t="str">
        <f t="shared" ref="D11784:E11784" si="11782">TRIM(B11784)</f>
        <v>North Dakota</v>
      </c>
      <c r="E11784" s="111" t="str">
        <f t="shared" si="11782"/>
        <v>Hunter</v>
      </c>
    </row>
    <row r="11785" spans="1:5">
      <c r="A11785" s="3" t="s">
        <v>18703</v>
      </c>
      <c r="B11785" s="110" t="s">
        <v>1359</v>
      </c>
      <c r="C11785" s="111" t="s">
        <v>17316</v>
      </c>
      <c r="D11785" s="111" t="str">
        <f t="shared" ref="D11785:E11785" si="11783">TRIM(B11785)</f>
        <v>North Dakota</v>
      </c>
      <c r="E11785" s="111" t="str">
        <f t="shared" si="11783"/>
        <v>Inkster</v>
      </c>
    </row>
    <row r="11786" spans="1:5">
      <c r="A11786" s="3" t="s">
        <v>21361</v>
      </c>
      <c r="B11786" s="110" t="s">
        <v>1359</v>
      </c>
      <c r="C11786" s="111" t="s">
        <v>18854</v>
      </c>
      <c r="D11786" s="111" t="str">
        <f t="shared" ref="D11786:E11786" si="11784">TRIM(B11786)</f>
        <v>North Dakota</v>
      </c>
      <c r="E11786" s="111" t="str">
        <f t="shared" si="11784"/>
        <v>Jamestown</v>
      </c>
    </row>
    <row r="11787" spans="1:5">
      <c r="A11787" s="3" t="s">
        <v>22635</v>
      </c>
      <c r="B11787" s="110" t="s">
        <v>1359</v>
      </c>
      <c r="C11787" s="111" t="s">
        <v>22636</v>
      </c>
      <c r="D11787" s="111" t="str">
        <f t="shared" ref="D11787:E11787" si="11785">TRIM(B11787)</f>
        <v>North Dakota</v>
      </c>
      <c r="E11787" s="111" t="str">
        <f t="shared" si="11785"/>
        <v>Kenmare</v>
      </c>
    </row>
    <row r="11788" spans="1:5">
      <c r="A11788" s="3" t="s">
        <v>22637</v>
      </c>
      <c r="B11788" s="110" t="s">
        <v>1359</v>
      </c>
      <c r="C11788" s="111" t="s">
        <v>22638</v>
      </c>
      <c r="D11788" s="111" t="str">
        <f t="shared" ref="D11788:E11788" si="11786">TRIM(B11788)</f>
        <v>North Dakota</v>
      </c>
      <c r="E11788" s="111" t="str">
        <f t="shared" si="11786"/>
        <v>Killdeer</v>
      </c>
    </row>
    <row r="11789" spans="1:5">
      <c r="A11789" s="3" t="s">
        <v>22639</v>
      </c>
      <c r="B11789" s="110" t="s">
        <v>1359</v>
      </c>
      <c r="C11789" s="111" t="s">
        <v>22640</v>
      </c>
      <c r="D11789" s="111" t="str">
        <f t="shared" ref="D11789:E11789" si="11787">TRIM(B11789)</f>
        <v>North Dakota</v>
      </c>
      <c r="E11789" s="111" t="str">
        <f t="shared" si="11787"/>
        <v>Kindred</v>
      </c>
    </row>
    <row r="11790" spans="1:5">
      <c r="A11790" s="3" t="s">
        <v>22641</v>
      </c>
      <c r="B11790" s="110" t="s">
        <v>1359</v>
      </c>
      <c r="C11790" s="111" t="s">
        <v>22642</v>
      </c>
      <c r="D11790" s="111" t="str">
        <f t="shared" ref="D11790:E11790" si="11788">TRIM(B11790)</f>
        <v>North Dakota</v>
      </c>
      <c r="E11790" s="111" t="str">
        <f t="shared" si="11788"/>
        <v>Kulm</v>
      </c>
    </row>
    <row r="11791" spans="1:5">
      <c r="A11791" s="3" t="s">
        <v>22643</v>
      </c>
      <c r="B11791" s="110" t="s">
        <v>1359</v>
      </c>
      <c r="C11791" s="111" t="s">
        <v>22644</v>
      </c>
      <c r="D11791" s="111" t="str">
        <f t="shared" ref="D11791:E11791" si="11789">TRIM(B11791)</f>
        <v>North Dakota</v>
      </c>
      <c r="E11791" s="111" t="str">
        <f t="shared" si="11789"/>
        <v>Lakota</v>
      </c>
    </row>
    <row r="11792" spans="1:5">
      <c r="A11792" s="3" t="s">
        <v>22645</v>
      </c>
      <c r="B11792" s="110" t="s">
        <v>1359</v>
      </c>
      <c r="C11792" s="111" t="s">
        <v>22646</v>
      </c>
      <c r="D11792" s="111" t="str">
        <f t="shared" ref="D11792:E11792" si="11790">TRIM(B11792)</f>
        <v>North Dakota</v>
      </c>
      <c r="E11792" s="111" t="str">
        <f t="shared" si="11790"/>
        <v>Lamoure</v>
      </c>
    </row>
    <row r="11793" spans="1:5">
      <c r="A11793" s="3" t="s">
        <v>22647</v>
      </c>
      <c r="B11793" s="110" t="s">
        <v>1359</v>
      </c>
      <c r="C11793" s="111" t="s">
        <v>19961</v>
      </c>
      <c r="D11793" s="111" t="str">
        <f t="shared" ref="D11793:E11793" si="11791">TRIM(B11793)</f>
        <v>North Dakota</v>
      </c>
      <c r="E11793" s="111" t="str">
        <f t="shared" si="11791"/>
        <v>Langdon</v>
      </c>
    </row>
    <row r="11794" spans="1:5">
      <c r="A11794" s="3" t="s">
        <v>22648</v>
      </c>
      <c r="B11794" s="110" t="s">
        <v>1359</v>
      </c>
      <c r="C11794" s="111" t="s">
        <v>22649</v>
      </c>
      <c r="D11794" s="111" t="str">
        <f t="shared" ref="D11794:E11794" si="11792">TRIM(B11794)</f>
        <v>North Dakota</v>
      </c>
      <c r="E11794" s="111" t="str">
        <f t="shared" si="11792"/>
        <v>Larimore</v>
      </c>
    </row>
    <row r="11795" spans="1:5">
      <c r="A11795" s="3" t="s">
        <v>1910</v>
      </c>
      <c r="B11795" s="110" t="s">
        <v>1359</v>
      </c>
      <c r="C11795" s="111" t="s">
        <v>1912</v>
      </c>
      <c r="D11795" s="111" t="str">
        <f t="shared" ref="D11795:E11795" si="11793">TRIM(B11795)</f>
        <v>North Dakota</v>
      </c>
      <c r="E11795" s="111" t="str">
        <f t="shared" si="11793"/>
        <v>Leeds</v>
      </c>
    </row>
    <row r="11796" spans="1:5">
      <c r="A11796" s="3" t="s">
        <v>22650</v>
      </c>
      <c r="B11796" s="110" t="s">
        <v>1359</v>
      </c>
      <c r="C11796" s="111" t="s">
        <v>22651</v>
      </c>
      <c r="D11796" s="111" t="str">
        <f t="shared" ref="D11796:E11796" si="11794">TRIM(B11796)</f>
        <v>North Dakota</v>
      </c>
      <c r="E11796" s="111" t="str">
        <f t="shared" si="11794"/>
        <v>Lidgerwood</v>
      </c>
    </row>
    <row r="11797" spans="1:5">
      <c r="A11797" s="3" t="s">
        <v>22652</v>
      </c>
      <c r="B11797" s="110" t="s">
        <v>1359</v>
      </c>
      <c r="C11797" s="111" t="s">
        <v>22653</v>
      </c>
      <c r="D11797" s="111" t="str">
        <f t="shared" ref="D11797:E11797" si="11795">TRIM(B11797)</f>
        <v>North Dakota</v>
      </c>
      <c r="E11797" s="111" t="str">
        <f t="shared" si="11795"/>
        <v>Lignite</v>
      </c>
    </row>
    <row r="11798" spans="1:5">
      <c r="A11798" s="3" t="s">
        <v>22654</v>
      </c>
      <c r="B11798" s="110" t="s">
        <v>1359</v>
      </c>
      <c r="C11798" s="111" t="s">
        <v>14468</v>
      </c>
      <c r="D11798" s="111" t="str">
        <f t="shared" ref="D11798:E11798" si="11796">TRIM(B11798)</f>
        <v>North Dakota</v>
      </c>
      <c r="E11798" s="111" t="str">
        <f t="shared" si="11796"/>
        <v>Linton</v>
      </c>
    </row>
    <row r="11799" spans="1:5">
      <c r="A11799" s="3" t="s">
        <v>14933</v>
      </c>
      <c r="B11799" s="110" t="s">
        <v>1359</v>
      </c>
      <c r="C11799" s="111" t="s">
        <v>14934</v>
      </c>
      <c r="D11799" s="111" t="str">
        <f t="shared" ref="D11799:E11799" si="11797">TRIM(B11799)</f>
        <v>North Dakota</v>
      </c>
      <c r="E11799" s="111" t="str">
        <f t="shared" si="11797"/>
        <v>Lisbon</v>
      </c>
    </row>
    <row r="11800" spans="1:5">
      <c r="A11800" s="3" t="s">
        <v>22655</v>
      </c>
      <c r="B11800" s="110" t="s">
        <v>1359</v>
      </c>
      <c r="C11800" s="111" t="s">
        <v>22656</v>
      </c>
      <c r="D11800" s="111" t="str">
        <f t="shared" ref="D11800:E11800" si="11798">TRIM(B11800)</f>
        <v>North Dakota</v>
      </c>
      <c r="E11800" s="111" t="str">
        <f t="shared" si="11798"/>
        <v>Maddock</v>
      </c>
    </row>
    <row r="11801" spans="1:5">
      <c r="A11801" s="3" t="s">
        <v>22657</v>
      </c>
      <c r="B11801" s="110" t="s">
        <v>1359</v>
      </c>
      <c r="C11801" s="111" t="s">
        <v>22658</v>
      </c>
      <c r="D11801" s="111" t="str">
        <f t="shared" ref="D11801:E11801" si="11799">TRIM(B11801)</f>
        <v>North Dakota</v>
      </c>
      <c r="E11801" s="111" t="str">
        <f t="shared" si="11799"/>
        <v>Mandan</v>
      </c>
    </row>
    <row r="11802" spans="1:5">
      <c r="A11802" s="3" t="s">
        <v>22659</v>
      </c>
      <c r="B11802" s="110" t="s">
        <v>1359</v>
      </c>
      <c r="C11802" s="111" t="s">
        <v>22658</v>
      </c>
      <c r="D11802" s="111" t="str">
        <f t="shared" ref="D11802:E11802" si="11800">TRIM(B11802)</f>
        <v>North Dakota</v>
      </c>
      <c r="E11802" s="111" t="str">
        <f t="shared" si="11800"/>
        <v>Mandan</v>
      </c>
    </row>
    <row r="11803" spans="1:5">
      <c r="A11803" s="110" t="s">
        <v>22660</v>
      </c>
      <c r="B11803" s="110" t="s">
        <v>1359</v>
      </c>
      <c r="C11803" s="111" t="s">
        <v>22658</v>
      </c>
      <c r="D11803" s="111" t="str">
        <f t="shared" ref="D11803:E11803" si="11801">TRIM(B11803)</f>
        <v>North Dakota</v>
      </c>
      <c r="E11803" s="111" t="str">
        <f t="shared" si="11801"/>
        <v>Mandan</v>
      </c>
    </row>
    <row r="11804" spans="1:5">
      <c r="A11804" s="3" t="s">
        <v>22661</v>
      </c>
      <c r="B11804" s="110" t="s">
        <v>1359</v>
      </c>
      <c r="C11804" s="111" t="s">
        <v>3995</v>
      </c>
      <c r="D11804" s="111" t="str">
        <f t="shared" ref="D11804:E11804" si="11802">TRIM(B11804)</f>
        <v>North Dakota</v>
      </c>
      <c r="E11804" s="111" t="str">
        <f t="shared" si="11802"/>
        <v>Marion</v>
      </c>
    </row>
    <row r="11805" spans="1:5">
      <c r="A11805" s="3" t="s">
        <v>22662</v>
      </c>
      <c r="B11805" s="110" t="s">
        <v>1359</v>
      </c>
      <c r="C11805" s="111" t="s">
        <v>22663</v>
      </c>
      <c r="D11805" s="111" t="str">
        <f t="shared" ref="D11805:E11805" si="11803">TRIM(B11805)</f>
        <v>North Dakota</v>
      </c>
      <c r="E11805" s="111" t="str">
        <f t="shared" si="11803"/>
        <v>Max</v>
      </c>
    </row>
    <row r="11806" spans="1:5">
      <c r="A11806" s="3" t="s">
        <v>22664</v>
      </c>
      <c r="B11806" s="110" t="s">
        <v>1359</v>
      </c>
      <c r="C11806" s="111" t="s">
        <v>17403</v>
      </c>
      <c r="D11806" s="111" t="str">
        <f t="shared" ref="D11806:E11806" si="11804">TRIM(B11806)</f>
        <v>North Dakota</v>
      </c>
      <c r="E11806" s="111" t="str">
        <f t="shared" si="11804"/>
        <v>Mayville</v>
      </c>
    </row>
    <row r="11807" spans="1:5">
      <c r="A11807" s="3" t="s">
        <v>22665</v>
      </c>
      <c r="B11807" s="110" t="s">
        <v>1359</v>
      </c>
      <c r="C11807" s="111" t="s">
        <v>22666</v>
      </c>
      <c r="D11807" s="111" t="str">
        <f t="shared" ref="D11807:E11807" si="11805">TRIM(B11807)</f>
        <v>North Dakota</v>
      </c>
      <c r="E11807" s="111" t="str">
        <f t="shared" si="11805"/>
        <v>Mcclusky</v>
      </c>
    </row>
    <row r="11808" spans="1:5">
      <c r="A11808" s="3" t="s">
        <v>21465</v>
      </c>
      <c r="B11808" s="110" t="s">
        <v>1359</v>
      </c>
      <c r="C11808" s="111" t="s">
        <v>2947</v>
      </c>
      <c r="D11808" s="111" t="str">
        <f t="shared" ref="D11808:E11808" si="11806">TRIM(B11808)</f>
        <v>North Dakota</v>
      </c>
      <c r="E11808" s="111" t="str">
        <f t="shared" si="11806"/>
        <v>Medina</v>
      </c>
    </row>
    <row r="11809" spans="1:5">
      <c r="A11809" s="3" t="s">
        <v>22667</v>
      </c>
      <c r="B11809" s="110" t="s">
        <v>1359</v>
      </c>
      <c r="C11809" s="111" t="s">
        <v>22668</v>
      </c>
      <c r="D11809" s="111" t="str">
        <f t="shared" ref="D11809:E11809" si="11807">TRIM(B11809)</f>
        <v>North Dakota</v>
      </c>
      <c r="E11809" s="111" t="str">
        <f t="shared" si="11807"/>
        <v>Milnor</v>
      </c>
    </row>
    <row r="11810" spans="1:5">
      <c r="A11810" s="3" t="s">
        <v>22669</v>
      </c>
      <c r="B11810" s="110" t="s">
        <v>1359</v>
      </c>
      <c r="C11810" s="111" t="s">
        <v>22668</v>
      </c>
      <c r="D11810" s="111" t="str">
        <f t="shared" ref="D11810:E11810" si="11808">TRIM(B11810)</f>
        <v>North Dakota</v>
      </c>
      <c r="E11810" s="111" t="str">
        <f t="shared" si="11808"/>
        <v>Milnor</v>
      </c>
    </row>
    <row r="11811" spans="1:5">
      <c r="A11811" s="3" t="s">
        <v>22670</v>
      </c>
      <c r="B11811" s="110" t="s">
        <v>1359</v>
      </c>
      <c r="C11811" s="111" t="s">
        <v>22671</v>
      </c>
      <c r="D11811" s="111" t="str">
        <f t="shared" ref="D11811:E11811" si="11809">TRIM(B11811)</f>
        <v>North Dakota</v>
      </c>
      <c r="E11811" s="111" t="str">
        <f t="shared" si="11809"/>
        <v>Minnewaukan</v>
      </c>
    </row>
    <row r="11812" spans="1:5">
      <c r="A11812" s="3" t="s">
        <v>22672</v>
      </c>
      <c r="B11812" s="110" t="s">
        <v>1359</v>
      </c>
      <c r="C11812" s="111" t="s">
        <v>22673</v>
      </c>
      <c r="D11812" s="111" t="str">
        <f t="shared" ref="D11812:E11812" si="11810">TRIM(B11812)</f>
        <v>North Dakota</v>
      </c>
      <c r="E11812" s="111" t="str">
        <f t="shared" si="11810"/>
        <v>Minot</v>
      </c>
    </row>
    <row r="11813" spans="1:5">
      <c r="A11813" s="3" t="s">
        <v>22674</v>
      </c>
      <c r="B11813" s="110" t="s">
        <v>1359</v>
      </c>
      <c r="C11813" s="111" t="s">
        <v>22673</v>
      </c>
      <c r="D11813" s="111" t="str">
        <f t="shared" ref="D11813:E11813" si="11811">TRIM(B11813)</f>
        <v>North Dakota</v>
      </c>
      <c r="E11813" s="111" t="str">
        <f t="shared" si="11811"/>
        <v>Minot</v>
      </c>
    </row>
    <row r="11814" spans="1:5">
      <c r="A11814" s="3" t="s">
        <v>22675</v>
      </c>
      <c r="B11814" s="110" t="s">
        <v>1359</v>
      </c>
      <c r="C11814" s="111" t="s">
        <v>22673</v>
      </c>
      <c r="D11814" s="111" t="str">
        <f t="shared" ref="D11814:E11814" si="11812">TRIM(B11814)</f>
        <v>North Dakota</v>
      </c>
      <c r="E11814" s="111" t="str">
        <f t="shared" si="11812"/>
        <v>Minot</v>
      </c>
    </row>
    <row r="11815" spans="1:5">
      <c r="A11815" s="3" t="s">
        <v>22676</v>
      </c>
      <c r="B11815" s="110" t="s">
        <v>1359</v>
      </c>
      <c r="C11815" s="111" t="s">
        <v>22673</v>
      </c>
      <c r="D11815" s="111" t="str">
        <f t="shared" ref="D11815:E11815" si="11813">TRIM(B11815)</f>
        <v>North Dakota</v>
      </c>
      <c r="E11815" s="111" t="str">
        <f t="shared" si="11813"/>
        <v>Minot</v>
      </c>
    </row>
    <row r="11816" spans="1:5">
      <c r="A11816" s="3" t="s">
        <v>22677</v>
      </c>
      <c r="B11816" s="110" t="s">
        <v>1359</v>
      </c>
      <c r="C11816" s="111" t="s">
        <v>22678</v>
      </c>
      <c r="D11816" s="111" t="str">
        <f t="shared" ref="D11816:E11816" si="11814">TRIM(B11816)</f>
        <v>North Dakota</v>
      </c>
      <c r="E11816" s="111" t="str">
        <f t="shared" si="11814"/>
        <v>Minto</v>
      </c>
    </row>
    <row r="11817" spans="1:5">
      <c r="A11817" s="3" t="s">
        <v>22679</v>
      </c>
      <c r="B11817" s="110" t="s">
        <v>1359</v>
      </c>
      <c r="C11817" s="111" t="s">
        <v>22680</v>
      </c>
      <c r="D11817" s="111" t="str">
        <f t="shared" ref="D11817:E11817" si="11815">TRIM(B11817)</f>
        <v>North Dakota</v>
      </c>
      <c r="E11817" s="111" t="str">
        <f t="shared" si="11815"/>
        <v>Mohall</v>
      </c>
    </row>
    <row r="11818" spans="1:5">
      <c r="A11818" s="3" t="s">
        <v>22681</v>
      </c>
      <c r="B11818" s="110" t="s">
        <v>1359</v>
      </c>
      <c r="C11818" s="111" t="s">
        <v>6441</v>
      </c>
      <c r="D11818" s="111" t="str">
        <f t="shared" ref="D11818:E11818" si="11816">TRIM(B11818)</f>
        <v>North Dakota</v>
      </c>
      <c r="E11818" s="111" t="str">
        <f t="shared" si="11816"/>
        <v>Montpelier</v>
      </c>
    </row>
    <row r="11819" spans="1:5">
      <c r="A11819" s="3" t="s">
        <v>22682</v>
      </c>
      <c r="B11819" s="110" t="s">
        <v>1359</v>
      </c>
      <c r="C11819" s="111" t="s">
        <v>22683</v>
      </c>
      <c r="D11819" s="111" t="str">
        <f t="shared" ref="D11819:E11819" si="11817">TRIM(B11819)</f>
        <v>North Dakota</v>
      </c>
      <c r="E11819" s="111" t="str">
        <f t="shared" si="11817"/>
        <v>Mott</v>
      </c>
    </row>
    <row r="11820" spans="1:5">
      <c r="A11820" s="3" t="s">
        <v>22684</v>
      </c>
      <c r="B11820" s="110" t="s">
        <v>1359</v>
      </c>
      <c r="C11820" s="111" t="s">
        <v>22685</v>
      </c>
      <c r="D11820" s="111" t="str">
        <f t="shared" ref="D11820:E11820" si="11818">TRIM(B11820)</f>
        <v>North Dakota</v>
      </c>
      <c r="E11820" s="111" t="str">
        <f t="shared" si="11818"/>
        <v>Munich</v>
      </c>
    </row>
    <row r="11821" spans="1:5">
      <c r="A11821" s="3" t="s">
        <v>17451</v>
      </c>
      <c r="B11821" s="110" t="s">
        <v>1359</v>
      </c>
      <c r="C11821" s="111" t="s">
        <v>17452</v>
      </c>
      <c r="D11821" s="111" t="str">
        <f t="shared" ref="D11821:E11821" si="11819">TRIM(B11821)</f>
        <v>North Dakota</v>
      </c>
      <c r="E11821" s="111" t="str">
        <f t="shared" si="11819"/>
        <v>Napoleon</v>
      </c>
    </row>
    <row r="11822" spans="1:5">
      <c r="A11822" s="3" t="s">
        <v>22686</v>
      </c>
      <c r="B11822" s="110" t="s">
        <v>1359</v>
      </c>
      <c r="C11822" s="111" t="s">
        <v>22687</v>
      </c>
      <c r="D11822" s="111" t="str">
        <f t="shared" ref="D11822:E11822" si="11820">TRIM(B11822)</f>
        <v>North Dakota</v>
      </c>
      <c r="E11822" s="111" t="str">
        <f t="shared" si="11820"/>
        <v>New England</v>
      </c>
    </row>
    <row r="11823" spans="1:5">
      <c r="A11823" s="3" t="s">
        <v>22688</v>
      </c>
      <c r="B11823" s="110" t="s">
        <v>1359</v>
      </c>
      <c r="C11823" s="111" t="s">
        <v>22689</v>
      </c>
      <c r="D11823" s="111" t="str">
        <f t="shared" ref="D11823:E11823" si="11821">TRIM(B11823)</f>
        <v>North Dakota</v>
      </c>
      <c r="E11823" s="111" t="str">
        <f t="shared" si="11821"/>
        <v>New Rockford</v>
      </c>
    </row>
    <row r="11824" spans="1:5">
      <c r="A11824" s="3" t="s">
        <v>22690</v>
      </c>
      <c r="B11824" s="110" t="s">
        <v>1359</v>
      </c>
      <c r="C11824" s="111" t="s">
        <v>22691</v>
      </c>
      <c r="D11824" s="111" t="str">
        <f t="shared" ref="D11824:E11824" si="11822">TRIM(B11824)</f>
        <v>North Dakota</v>
      </c>
      <c r="E11824" s="111" t="str">
        <f t="shared" si="11822"/>
        <v>New Salem</v>
      </c>
    </row>
    <row r="11825" spans="1:5">
      <c r="A11825" s="3" t="s">
        <v>16464</v>
      </c>
      <c r="B11825" s="110" t="s">
        <v>1359</v>
      </c>
      <c r="C11825" s="111" t="s">
        <v>22692</v>
      </c>
      <c r="D11825" s="111" t="str">
        <f t="shared" ref="D11825:E11825" si="11823">TRIM(B11825)</f>
        <v>North Dakota</v>
      </c>
      <c r="E11825" s="111" t="str">
        <f t="shared" si="11823"/>
        <v>New Town</v>
      </c>
    </row>
    <row r="11826" spans="1:5">
      <c r="A11826" s="3" t="s">
        <v>22693</v>
      </c>
      <c r="B11826" s="110" t="s">
        <v>1359</v>
      </c>
      <c r="C11826" s="111" t="s">
        <v>18986</v>
      </c>
      <c r="D11826" s="111" t="str">
        <f t="shared" ref="D11826:E11826" si="11824">TRIM(B11826)</f>
        <v>North Dakota</v>
      </c>
      <c r="E11826" s="111" t="str">
        <f t="shared" si="11824"/>
        <v>Newburg</v>
      </c>
    </row>
    <row r="11827" spans="1:5">
      <c r="A11827" s="3" t="s">
        <v>5341</v>
      </c>
      <c r="B11827" s="110" t="s">
        <v>1359</v>
      </c>
      <c r="C11827" s="111" t="s">
        <v>15000</v>
      </c>
      <c r="D11827" s="111" t="str">
        <f t="shared" ref="D11827:E11827" si="11825">TRIM(B11827)</f>
        <v>North Dakota</v>
      </c>
      <c r="E11827" s="111" t="str">
        <f t="shared" si="11825"/>
        <v>Northwood</v>
      </c>
    </row>
    <row r="11828" spans="1:5">
      <c r="A11828" s="3" t="s">
        <v>22694</v>
      </c>
      <c r="B11828" s="110" t="s">
        <v>1359</v>
      </c>
      <c r="C11828" s="111" t="s">
        <v>22695</v>
      </c>
      <c r="D11828" s="111" t="str">
        <f t="shared" ref="D11828:E11828" si="11826">TRIM(B11828)</f>
        <v>North Dakota</v>
      </c>
      <c r="E11828" s="111" t="str">
        <f t="shared" si="11826"/>
        <v>Oakes</v>
      </c>
    </row>
    <row r="11829" spans="1:5">
      <c r="A11829" s="3" t="s">
        <v>22696</v>
      </c>
      <c r="B11829" s="110" t="s">
        <v>1359</v>
      </c>
      <c r="C11829" s="111" t="s">
        <v>22697</v>
      </c>
      <c r="D11829" s="111" t="str">
        <f t="shared" ref="D11829:E11829" si="11827">TRIM(B11829)</f>
        <v>North Dakota</v>
      </c>
      <c r="E11829" s="111" t="str">
        <f t="shared" si="11827"/>
        <v>Park River</v>
      </c>
    </row>
    <row r="11830" spans="1:5">
      <c r="A11830" s="3" t="s">
        <v>22698</v>
      </c>
      <c r="B11830" s="110" t="s">
        <v>1359</v>
      </c>
      <c r="C11830" s="111" t="s">
        <v>22699</v>
      </c>
      <c r="D11830" s="111" t="str">
        <f t="shared" ref="D11830:E11830" si="11828">TRIM(B11830)</f>
        <v>North Dakota</v>
      </c>
      <c r="E11830" s="111" t="str">
        <f t="shared" si="11828"/>
        <v>Parshall</v>
      </c>
    </row>
    <row r="11831" spans="1:5">
      <c r="A11831" s="3" t="s">
        <v>22700</v>
      </c>
      <c r="B11831" s="110" t="s">
        <v>1359</v>
      </c>
      <c r="C11831" s="111" t="s">
        <v>22701</v>
      </c>
      <c r="D11831" s="111" t="str">
        <f t="shared" ref="D11831:E11831" si="11829">TRIM(B11831)</f>
        <v>North Dakota</v>
      </c>
      <c r="E11831" s="111" t="str">
        <f t="shared" si="11829"/>
        <v>Pembina</v>
      </c>
    </row>
    <row r="11832" spans="1:5">
      <c r="A11832" s="3" t="s">
        <v>22702</v>
      </c>
      <c r="B11832" s="110" t="s">
        <v>1359</v>
      </c>
      <c r="C11832" s="111" t="s">
        <v>2409</v>
      </c>
      <c r="D11832" s="111" t="str">
        <f t="shared" ref="D11832:E11832" si="11830">TRIM(B11832)</f>
        <v>North Dakota</v>
      </c>
      <c r="E11832" s="111" t="str">
        <f t="shared" si="11830"/>
        <v>Petersburg</v>
      </c>
    </row>
    <row r="11833" spans="1:5">
      <c r="A11833" s="3" t="s">
        <v>22703</v>
      </c>
      <c r="B11833" s="110" t="s">
        <v>1359</v>
      </c>
      <c r="C11833" s="111" t="s">
        <v>22704</v>
      </c>
      <c r="D11833" s="111" t="str">
        <f t="shared" ref="D11833:E11833" si="11831">TRIM(B11833)</f>
        <v>North Dakota</v>
      </c>
      <c r="E11833" s="111" t="str">
        <f t="shared" si="11831"/>
        <v>Pingree</v>
      </c>
    </row>
    <row r="11834" spans="1:5">
      <c r="A11834" s="3" t="s">
        <v>22705</v>
      </c>
      <c r="B11834" s="110" t="s">
        <v>1359</v>
      </c>
      <c r="C11834" s="111" t="s">
        <v>22706</v>
      </c>
      <c r="D11834" s="111" t="str">
        <f t="shared" ref="D11834:E11834" si="11832">TRIM(B11834)</f>
        <v>North Dakota</v>
      </c>
      <c r="E11834" s="111" t="str">
        <f t="shared" si="11832"/>
        <v>Plaza</v>
      </c>
    </row>
    <row r="11835" spans="1:5">
      <c r="A11835" s="3" t="s">
        <v>22707</v>
      </c>
      <c r="B11835" s="110" t="s">
        <v>1359</v>
      </c>
      <c r="C11835" s="111" t="s">
        <v>22708</v>
      </c>
      <c r="D11835" s="111" t="str">
        <f t="shared" ref="D11835:E11835" si="11833">TRIM(B11835)</f>
        <v>North Dakota</v>
      </c>
      <c r="E11835" s="111" t="str">
        <f t="shared" si="11833"/>
        <v>Powers Lake</v>
      </c>
    </row>
    <row r="11836" spans="1:5">
      <c r="A11836" s="3" t="s">
        <v>22709</v>
      </c>
      <c r="B11836" s="110" t="s">
        <v>1359</v>
      </c>
      <c r="C11836" s="111" t="s">
        <v>22710</v>
      </c>
      <c r="D11836" s="111" t="str">
        <f t="shared" ref="D11836:E11836" si="11834">TRIM(B11836)</f>
        <v>North Dakota</v>
      </c>
      <c r="E11836" s="111" t="str">
        <f t="shared" si="11834"/>
        <v>Ray</v>
      </c>
    </row>
    <row r="11837" spans="1:5">
      <c r="A11837" s="3" t="s">
        <v>22711</v>
      </c>
      <c r="B11837" s="110" t="s">
        <v>1359</v>
      </c>
      <c r="C11837" s="111" t="s">
        <v>22712</v>
      </c>
      <c r="D11837" s="111" t="str">
        <f t="shared" ref="D11837:E11837" si="11835">TRIM(B11837)</f>
        <v>North Dakota</v>
      </c>
      <c r="E11837" s="111" t="str">
        <f t="shared" si="11835"/>
        <v>Richardton</v>
      </c>
    </row>
    <row r="11838" spans="1:5">
      <c r="A11838" s="3" t="s">
        <v>22713</v>
      </c>
      <c r="B11838" s="110" t="s">
        <v>1359</v>
      </c>
      <c r="C11838" s="111" t="s">
        <v>22714</v>
      </c>
      <c r="D11838" s="111" t="str">
        <f t="shared" ref="D11838:E11838" si="11836">TRIM(B11838)</f>
        <v>North Dakota</v>
      </c>
      <c r="E11838" s="111" t="str">
        <f t="shared" si="11836"/>
        <v>Rolette</v>
      </c>
    </row>
    <row r="11839" spans="1:5">
      <c r="A11839" s="3" t="s">
        <v>22715</v>
      </c>
      <c r="B11839" s="110" t="s">
        <v>1359</v>
      </c>
      <c r="C11839" s="111" t="s">
        <v>15485</v>
      </c>
      <c r="D11839" s="111" t="str">
        <f t="shared" ref="D11839:E11839" si="11837">TRIM(B11839)</f>
        <v>North Dakota</v>
      </c>
      <c r="E11839" s="111" t="str">
        <f t="shared" si="11837"/>
        <v>Rolla</v>
      </c>
    </row>
    <row r="11840" spans="1:5">
      <c r="A11840" s="3" t="s">
        <v>22716</v>
      </c>
      <c r="B11840" s="110" t="s">
        <v>1359</v>
      </c>
      <c r="C11840" s="111" t="s">
        <v>8400</v>
      </c>
      <c r="D11840" s="111" t="str">
        <f t="shared" ref="D11840:E11840" si="11838">TRIM(B11840)</f>
        <v>North Dakota</v>
      </c>
      <c r="E11840" s="111" t="str">
        <f t="shared" si="11838"/>
        <v>Rugby</v>
      </c>
    </row>
    <row r="11841" spans="1:5">
      <c r="A11841" s="3" t="s">
        <v>22717</v>
      </c>
      <c r="B11841" s="110" t="s">
        <v>1359</v>
      </c>
      <c r="C11841" s="111" t="s">
        <v>14586</v>
      </c>
      <c r="D11841" s="111" t="str">
        <f t="shared" ref="D11841:E11841" si="11839">TRIM(B11841)</f>
        <v>North Dakota</v>
      </c>
      <c r="E11841" s="111" t="str">
        <f t="shared" si="11839"/>
        <v>Saint John</v>
      </c>
    </row>
    <row r="11842" spans="1:5">
      <c r="A11842" s="3" t="s">
        <v>22718</v>
      </c>
      <c r="B11842" s="110" t="s">
        <v>1359</v>
      </c>
      <c r="C11842" s="111" t="s">
        <v>22719</v>
      </c>
      <c r="D11842" s="111" t="str">
        <f t="shared" ref="D11842:E11842" si="11840">TRIM(B11842)</f>
        <v>North Dakota</v>
      </c>
      <c r="E11842" s="111" t="str">
        <f t="shared" si="11840"/>
        <v>Saint Thomas</v>
      </c>
    </row>
    <row r="11843" spans="1:5">
      <c r="A11843" s="3" t="s">
        <v>4179</v>
      </c>
      <c r="B11843" s="110" t="s">
        <v>1359</v>
      </c>
      <c r="C11843" s="111" t="s">
        <v>4180</v>
      </c>
      <c r="D11843" s="111" t="str">
        <f t="shared" ref="D11843:E11843" si="11841">TRIM(B11843)</f>
        <v>North Dakota</v>
      </c>
      <c r="E11843" s="111" t="str">
        <f t="shared" si="11841"/>
        <v>Scranton</v>
      </c>
    </row>
    <row r="11844" spans="1:5">
      <c r="A11844" s="3" t="s">
        <v>22720</v>
      </c>
      <c r="B11844" s="110" t="s">
        <v>1359</v>
      </c>
      <c r="C11844" s="111" t="s">
        <v>22721</v>
      </c>
      <c r="D11844" s="111" t="str">
        <f t="shared" ref="D11844:E11844" si="11842">TRIM(B11844)</f>
        <v>North Dakota</v>
      </c>
      <c r="E11844" s="111" t="str">
        <f t="shared" si="11842"/>
        <v>Selfridge</v>
      </c>
    </row>
    <row r="11845" spans="1:5">
      <c r="A11845" s="3" t="s">
        <v>22722</v>
      </c>
      <c r="B11845" s="110" t="s">
        <v>1359</v>
      </c>
      <c r="C11845" s="111" t="s">
        <v>22723</v>
      </c>
      <c r="D11845" s="111" t="str">
        <f t="shared" ref="D11845:E11845" si="11843">TRIM(B11845)</f>
        <v>North Dakota</v>
      </c>
      <c r="E11845" s="111" t="str">
        <f t="shared" si="11843"/>
        <v>Solen</v>
      </c>
    </row>
    <row r="11846" spans="1:5">
      <c r="A11846" s="3" t="s">
        <v>22724</v>
      </c>
      <c r="B11846" s="110" t="s">
        <v>1359</v>
      </c>
      <c r="C11846" s="111" t="s">
        <v>22725</v>
      </c>
      <c r="D11846" s="111" t="str">
        <f t="shared" ref="D11846:E11846" si="11844">TRIM(B11846)</f>
        <v>North Dakota</v>
      </c>
      <c r="E11846" s="111" t="str">
        <f t="shared" si="11844"/>
        <v>South Heart</v>
      </c>
    </row>
    <row r="11847" spans="1:5">
      <c r="A11847" s="3" t="s">
        <v>22726</v>
      </c>
      <c r="B11847" s="110" t="s">
        <v>1359</v>
      </c>
      <c r="C11847" s="111" t="s">
        <v>22727</v>
      </c>
      <c r="D11847" s="111" t="str">
        <f t="shared" ref="D11847:E11847" si="11845">TRIM(B11847)</f>
        <v>North Dakota</v>
      </c>
      <c r="E11847" s="111" t="str">
        <f t="shared" si="11845"/>
        <v>Stanley</v>
      </c>
    </row>
    <row r="11848" spans="1:5">
      <c r="A11848" s="3" t="s">
        <v>22728</v>
      </c>
      <c r="B11848" s="110" t="s">
        <v>1359</v>
      </c>
      <c r="C11848" s="111" t="s">
        <v>22729</v>
      </c>
      <c r="D11848" s="111" t="str">
        <f t="shared" ref="D11848:E11848" si="11846">TRIM(B11848)</f>
        <v>North Dakota</v>
      </c>
      <c r="E11848" s="111" t="str">
        <f t="shared" si="11846"/>
        <v>Starkweather</v>
      </c>
    </row>
    <row r="11849" spans="1:5">
      <c r="A11849" s="3" t="s">
        <v>22730</v>
      </c>
      <c r="B11849" s="110" t="s">
        <v>1359</v>
      </c>
      <c r="C11849" s="111" t="s">
        <v>19164</v>
      </c>
      <c r="D11849" s="111" t="str">
        <f t="shared" ref="D11849:E11849" si="11847">TRIM(B11849)</f>
        <v>North Dakota</v>
      </c>
      <c r="E11849" s="111" t="str">
        <f t="shared" si="11847"/>
        <v>Steele</v>
      </c>
    </row>
    <row r="11850" spans="1:5">
      <c r="A11850" s="3" t="s">
        <v>8250</v>
      </c>
      <c r="B11850" s="110" t="s">
        <v>1359</v>
      </c>
      <c r="C11850" s="111" t="s">
        <v>8251</v>
      </c>
      <c r="D11850" s="111" t="str">
        <f t="shared" ref="D11850:E11850" si="11848">TRIM(B11850)</f>
        <v>North Dakota</v>
      </c>
      <c r="E11850" s="111" t="str">
        <f t="shared" si="11848"/>
        <v>Strasburg</v>
      </c>
    </row>
    <row r="11851" spans="1:5">
      <c r="A11851" s="3" t="s">
        <v>22731</v>
      </c>
      <c r="B11851" s="110" t="s">
        <v>1359</v>
      </c>
      <c r="C11851" s="111" t="s">
        <v>22732</v>
      </c>
      <c r="D11851" s="111" t="str">
        <f t="shared" ref="D11851:E11851" si="11849">TRIM(B11851)</f>
        <v>North Dakota</v>
      </c>
      <c r="E11851" s="111" t="str">
        <f t="shared" si="11849"/>
        <v>Surrey</v>
      </c>
    </row>
    <row r="11852" spans="1:5">
      <c r="A11852" s="3" t="s">
        <v>1480</v>
      </c>
      <c r="B11852" s="110" t="s">
        <v>1359</v>
      </c>
      <c r="C11852" s="111" t="s">
        <v>22733</v>
      </c>
      <c r="D11852" s="111" t="str">
        <f t="shared" ref="D11852:E11852" si="11850">TRIM(B11852)</f>
        <v>North Dakota</v>
      </c>
      <c r="E11852" s="111" t="str">
        <f t="shared" si="11850"/>
        <v>Thompson</v>
      </c>
    </row>
    <row r="11853" spans="1:5">
      <c r="A11853" s="3" t="s">
        <v>5196</v>
      </c>
      <c r="B11853" s="110" t="s">
        <v>1359</v>
      </c>
      <c r="C11853" s="111" t="s">
        <v>16138</v>
      </c>
      <c r="D11853" s="111" t="str">
        <f t="shared" ref="D11853:E11853" si="11851">TRIM(B11853)</f>
        <v>North Dakota</v>
      </c>
      <c r="E11853" s="111" t="str">
        <f t="shared" si="11851"/>
        <v>Tioga</v>
      </c>
    </row>
    <row r="11854" spans="1:5">
      <c r="A11854" s="3" t="s">
        <v>22734</v>
      </c>
      <c r="B11854" s="110" t="s">
        <v>1359</v>
      </c>
      <c r="C11854" s="111" t="s">
        <v>22735</v>
      </c>
      <c r="D11854" s="111" t="str">
        <f t="shared" ref="D11854:E11854" si="11852">TRIM(B11854)</f>
        <v>North Dakota</v>
      </c>
      <c r="E11854" s="111" t="str">
        <f t="shared" si="11852"/>
        <v>Tower City</v>
      </c>
    </row>
    <row r="11855" spans="1:5">
      <c r="A11855" s="3" t="s">
        <v>22736</v>
      </c>
      <c r="B11855" s="110" t="s">
        <v>1359</v>
      </c>
      <c r="C11855" s="111" t="s">
        <v>22737</v>
      </c>
      <c r="D11855" s="111" t="str">
        <f t="shared" ref="D11855:E11855" si="11853">TRIM(B11855)</f>
        <v>North Dakota</v>
      </c>
      <c r="E11855" s="111" t="str">
        <f t="shared" si="11853"/>
        <v>Towner</v>
      </c>
    </row>
    <row r="11856" spans="1:5">
      <c r="A11856" s="3" t="s">
        <v>22738</v>
      </c>
      <c r="B11856" s="110" t="s">
        <v>1359</v>
      </c>
      <c r="C11856" s="111" t="s">
        <v>10194</v>
      </c>
      <c r="D11856" s="111" t="str">
        <f t="shared" ref="D11856:E11856" si="11854">TRIM(B11856)</f>
        <v>North Dakota</v>
      </c>
      <c r="E11856" s="111" t="str">
        <f t="shared" si="11854"/>
        <v>Trenton</v>
      </c>
    </row>
    <row r="11857" spans="1:5">
      <c r="A11857" s="3" t="s">
        <v>22739</v>
      </c>
      <c r="B11857" s="110" t="s">
        <v>1359</v>
      </c>
      <c r="C11857" s="111" t="s">
        <v>22740</v>
      </c>
      <c r="D11857" s="111" t="str">
        <f t="shared" ref="D11857:E11857" si="11855">TRIM(B11857)</f>
        <v>North Dakota</v>
      </c>
      <c r="E11857" s="111" t="str">
        <f t="shared" si="11855"/>
        <v>Turtle Lake</v>
      </c>
    </row>
    <row r="11858" spans="1:5">
      <c r="A11858" s="3" t="s">
        <v>15096</v>
      </c>
      <c r="B11858" s="110" t="s">
        <v>1359</v>
      </c>
      <c r="C11858" s="111" t="s">
        <v>15097</v>
      </c>
      <c r="D11858" s="111" t="str">
        <f t="shared" ref="D11858:E11858" si="11856">TRIM(B11858)</f>
        <v>North Dakota</v>
      </c>
      <c r="E11858" s="111" t="str">
        <f t="shared" si="11856"/>
        <v>Underwood</v>
      </c>
    </row>
    <row r="11859" spans="1:5">
      <c r="A11859" s="3" t="s">
        <v>22741</v>
      </c>
      <c r="B11859" s="110" t="s">
        <v>1359</v>
      </c>
      <c r="C11859" s="111" t="s">
        <v>22742</v>
      </c>
      <c r="D11859" s="111" t="str">
        <f t="shared" ref="D11859:E11859" si="11857">TRIM(B11859)</f>
        <v>North Dakota</v>
      </c>
      <c r="E11859" s="111" t="str">
        <f t="shared" si="11857"/>
        <v>Valley City</v>
      </c>
    </row>
    <row r="11860" spans="1:5">
      <c r="A11860" s="3" t="s">
        <v>22743</v>
      </c>
      <c r="B11860" s="110" t="s">
        <v>1359</v>
      </c>
      <c r="C11860" s="111" t="s">
        <v>22744</v>
      </c>
      <c r="D11860" s="111" t="str">
        <f t="shared" ref="D11860:E11860" si="11858">TRIM(B11860)</f>
        <v>North Dakota</v>
      </c>
      <c r="E11860" s="111" t="str">
        <f t="shared" si="11858"/>
        <v>Velva</v>
      </c>
    </row>
    <row r="11861" spans="1:5">
      <c r="A11861" s="3" t="s">
        <v>22745</v>
      </c>
      <c r="B11861" s="110" t="s">
        <v>1359</v>
      </c>
      <c r="C11861" s="111" t="s">
        <v>22746</v>
      </c>
      <c r="D11861" s="111" t="str">
        <f t="shared" ref="D11861:E11861" si="11859">TRIM(B11861)</f>
        <v>North Dakota</v>
      </c>
      <c r="E11861" s="111" t="str">
        <f t="shared" si="11859"/>
        <v>Wahpeton</v>
      </c>
    </row>
    <row r="11862" spans="1:5">
      <c r="A11862" s="3" t="s">
        <v>22747</v>
      </c>
      <c r="B11862" s="110" t="s">
        <v>1359</v>
      </c>
      <c r="C11862" s="111" t="s">
        <v>22748</v>
      </c>
      <c r="D11862" s="111" t="str">
        <f t="shared" ref="D11862:E11862" si="11860">TRIM(B11862)</f>
        <v>North Dakota</v>
      </c>
      <c r="E11862" s="111" t="str">
        <f t="shared" si="11860"/>
        <v>Walhalla</v>
      </c>
    </row>
    <row r="11863" spans="1:5">
      <c r="A11863" s="3" t="s">
        <v>22749</v>
      </c>
      <c r="B11863" s="110" t="s">
        <v>1359</v>
      </c>
      <c r="C11863" s="111" t="s">
        <v>13273</v>
      </c>
      <c r="D11863" s="111" t="str">
        <f t="shared" ref="D11863:E11863" si="11861">TRIM(B11863)</f>
        <v>North Dakota</v>
      </c>
      <c r="E11863" s="111" t="str">
        <f t="shared" si="11861"/>
        <v>Warwick</v>
      </c>
    </row>
    <row r="11864" spans="1:5">
      <c r="A11864" s="3" t="s">
        <v>22750</v>
      </c>
      <c r="B11864" s="110" t="s">
        <v>1359</v>
      </c>
      <c r="C11864" s="111" t="s">
        <v>13983</v>
      </c>
      <c r="D11864" s="111" t="str">
        <f t="shared" ref="D11864:E11864" si="11862">TRIM(B11864)</f>
        <v>North Dakota</v>
      </c>
      <c r="E11864" s="111" t="str">
        <f t="shared" si="11862"/>
        <v>Washburn</v>
      </c>
    </row>
    <row r="11865" spans="1:5">
      <c r="A11865" s="3" t="s">
        <v>22751</v>
      </c>
      <c r="B11865" s="110" t="s">
        <v>1359</v>
      </c>
      <c r="C11865" s="111" t="s">
        <v>22752</v>
      </c>
      <c r="D11865" s="111" t="str">
        <f t="shared" ref="D11865:E11865" si="11863">TRIM(B11865)</f>
        <v>North Dakota</v>
      </c>
      <c r="E11865" s="111" t="str">
        <f t="shared" si="11863"/>
        <v>Watford City</v>
      </c>
    </row>
    <row r="11866" spans="1:5">
      <c r="A11866" s="3" t="s">
        <v>22753</v>
      </c>
      <c r="B11866" s="110" t="s">
        <v>1359</v>
      </c>
      <c r="C11866" s="111" t="s">
        <v>22754</v>
      </c>
      <c r="D11866" s="111" t="str">
        <f t="shared" ref="D11866:E11866" si="11864">TRIM(B11866)</f>
        <v>North Dakota</v>
      </c>
      <c r="E11866" s="111" t="str">
        <f t="shared" si="11864"/>
        <v>West Fargo</v>
      </c>
    </row>
    <row r="11867" spans="1:5">
      <c r="A11867" s="3" t="s">
        <v>22755</v>
      </c>
      <c r="B11867" s="110" t="s">
        <v>1359</v>
      </c>
      <c r="C11867" s="111" t="s">
        <v>22754</v>
      </c>
      <c r="D11867" s="111" t="str">
        <f t="shared" ref="D11867:E11867" si="11865">TRIM(B11867)</f>
        <v>North Dakota</v>
      </c>
      <c r="E11867" s="111" t="str">
        <f t="shared" si="11865"/>
        <v>West Fargo</v>
      </c>
    </row>
    <row r="11868" spans="1:5">
      <c r="A11868" s="3" t="s">
        <v>22756</v>
      </c>
      <c r="B11868" s="110" t="s">
        <v>1359</v>
      </c>
      <c r="C11868" s="111" t="s">
        <v>22757</v>
      </c>
      <c r="D11868" s="111" t="str">
        <f t="shared" ref="D11868:E11868" si="11866">TRIM(B11868)</f>
        <v>North Dakota</v>
      </c>
      <c r="E11868" s="111" t="str">
        <f t="shared" si="11866"/>
        <v>Westhope</v>
      </c>
    </row>
    <row r="11869" spans="1:5">
      <c r="A11869" s="3" t="s">
        <v>22758</v>
      </c>
      <c r="B11869" s="110" t="s">
        <v>1359</v>
      </c>
      <c r="C11869" s="111" t="s">
        <v>10256</v>
      </c>
      <c r="D11869" s="111" t="str">
        <f t="shared" ref="D11869:E11869" si="11867">TRIM(B11869)</f>
        <v>North Dakota</v>
      </c>
      <c r="E11869" s="111" t="str">
        <f t="shared" si="11867"/>
        <v>Williston</v>
      </c>
    </row>
    <row r="11870" spans="1:5">
      <c r="A11870" s="3" t="s">
        <v>22759</v>
      </c>
      <c r="B11870" s="110" t="s">
        <v>1359</v>
      </c>
      <c r="C11870" s="111" t="s">
        <v>10256</v>
      </c>
      <c r="D11870" s="111" t="str">
        <f t="shared" ref="D11870:E11870" si="11868">TRIM(B11870)</f>
        <v>North Dakota</v>
      </c>
      <c r="E11870" s="111" t="str">
        <f t="shared" si="11868"/>
        <v>Williston</v>
      </c>
    </row>
    <row r="11871" spans="1:5">
      <c r="A11871" s="3" t="s">
        <v>8765</v>
      </c>
      <c r="B11871" s="110" t="s">
        <v>1359</v>
      </c>
      <c r="C11871" s="111" t="s">
        <v>8766</v>
      </c>
      <c r="D11871" s="111" t="str">
        <f t="shared" ref="D11871:E11871" si="11869">TRIM(B11871)</f>
        <v>North Dakota</v>
      </c>
      <c r="E11871" s="111" t="str">
        <f t="shared" si="11869"/>
        <v>Wilton</v>
      </c>
    </row>
    <row r="11872" spans="1:5">
      <c r="A11872" s="3" t="s">
        <v>22760</v>
      </c>
      <c r="B11872" s="110" t="s">
        <v>1359</v>
      </c>
      <c r="C11872" s="111" t="s">
        <v>22761</v>
      </c>
      <c r="D11872" s="111" t="str">
        <f t="shared" ref="D11872:E11872" si="11870">TRIM(B11872)</f>
        <v>North Dakota</v>
      </c>
      <c r="E11872" s="111" t="str">
        <f t="shared" si="11870"/>
        <v>Wimbledon</v>
      </c>
    </row>
    <row r="11873" spans="1:5">
      <c r="A11873" s="3" t="s">
        <v>22762</v>
      </c>
      <c r="B11873" s="110" t="s">
        <v>1359</v>
      </c>
      <c r="C11873" s="111" t="s">
        <v>22763</v>
      </c>
      <c r="D11873" s="111" t="str">
        <f t="shared" ref="D11873:E11873" si="11871">TRIM(B11873)</f>
        <v>North Dakota</v>
      </c>
      <c r="E11873" s="111" t="str">
        <f t="shared" si="11871"/>
        <v>Wing</v>
      </c>
    </row>
    <row r="11874" spans="1:5">
      <c r="A11874" s="3" t="s">
        <v>22764</v>
      </c>
      <c r="B11874" s="110" t="s">
        <v>1359</v>
      </c>
      <c r="C11874" s="111" t="s">
        <v>22765</v>
      </c>
      <c r="D11874" s="111" t="str">
        <f t="shared" ref="D11874:E11874" si="11872">TRIM(B11874)</f>
        <v>North Dakota</v>
      </c>
      <c r="E11874" s="111" t="str">
        <f t="shared" si="11872"/>
        <v>Wishek</v>
      </c>
    </row>
    <row r="11875" spans="1:5">
      <c r="A11875" s="3" t="s">
        <v>22766</v>
      </c>
      <c r="B11875" s="110" t="s">
        <v>1359</v>
      </c>
      <c r="C11875" s="111" t="s">
        <v>22767</v>
      </c>
      <c r="D11875" s="111" t="str">
        <f t="shared" ref="D11875:E11875" si="11873">TRIM(B11875)</f>
        <v>North Dakota</v>
      </c>
      <c r="E11875" s="111" t="str">
        <f t="shared" si="11873"/>
        <v>Wolford</v>
      </c>
    </row>
    <row r="11876" spans="1:5">
      <c r="A11876" s="3" t="s">
        <v>22768</v>
      </c>
      <c r="B11876" s="110" t="s">
        <v>1359</v>
      </c>
      <c r="C11876" s="111" t="s">
        <v>22769</v>
      </c>
      <c r="D11876" s="111" t="str">
        <f t="shared" ref="D11876:E11876" si="11874">TRIM(B11876)</f>
        <v>North Dakota</v>
      </c>
      <c r="E11876" s="111" t="str">
        <f t="shared" si="11874"/>
        <v>Wyndmere</v>
      </c>
    </row>
    <row r="11877" spans="1:5">
      <c r="A11877" s="3" t="s">
        <v>22770</v>
      </c>
      <c r="B11877" s="110" t="s">
        <v>1359</v>
      </c>
      <c r="C11877" s="111" t="s">
        <v>17694</v>
      </c>
      <c r="D11877" s="111" t="str">
        <f t="shared" ref="D11877:E11877" si="11875">TRIM(B11877)</f>
        <v>North Dakota</v>
      </c>
      <c r="E11877" s="111" t="str">
        <f t="shared" si="11875"/>
        <v>Zeeland</v>
      </c>
    </row>
    <row r="11878" spans="1:5">
      <c r="A11878" s="3" t="s">
        <v>22771</v>
      </c>
      <c r="B11878" s="110" t="s">
        <v>1361</v>
      </c>
      <c r="C11878" s="111" t="s">
        <v>16929</v>
      </c>
      <c r="D11878" s="111" t="str">
        <f t="shared" ref="D11878:E11878" si="11876">TRIM(B11878)</f>
        <v>Ohio</v>
      </c>
      <c r="E11878" s="111" t="str">
        <f t="shared" si="11876"/>
        <v>Ada</v>
      </c>
    </row>
    <row r="11879" spans="1:5">
      <c r="A11879" s="3" t="s">
        <v>22772</v>
      </c>
      <c r="B11879" s="110" t="s">
        <v>1361</v>
      </c>
      <c r="C11879" s="111" t="s">
        <v>614</v>
      </c>
      <c r="D11879" s="111" t="str">
        <f t="shared" ref="D11879:E11879" si="11877">TRIM(B11879)</f>
        <v>Ohio</v>
      </c>
      <c r="E11879" s="111" t="str">
        <f t="shared" si="11877"/>
        <v>Akron</v>
      </c>
    </row>
    <row r="11880" spans="1:5">
      <c r="A11880" s="3" t="s">
        <v>22773</v>
      </c>
      <c r="B11880" s="110" t="s">
        <v>1361</v>
      </c>
      <c r="C11880" s="111" t="s">
        <v>614</v>
      </c>
      <c r="D11880" s="111" t="str">
        <f t="shared" ref="D11880:E11880" si="11878">TRIM(B11880)</f>
        <v>Ohio</v>
      </c>
      <c r="E11880" s="111" t="str">
        <f t="shared" si="11878"/>
        <v>Akron</v>
      </c>
    </row>
    <row r="11881" spans="1:5">
      <c r="A11881" s="3" t="s">
        <v>22774</v>
      </c>
      <c r="B11881" s="110" t="s">
        <v>1361</v>
      </c>
      <c r="C11881" s="111" t="s">
        <v>614</v>
      </c>
      <c r="D11881" s="111" t="str">
        <f t="shared" ref="D11881:E11881" si="11879">TRIM(B11881)</f>
        <v>Ohio</v>
      </c>
      <c r="E11881" s="111" t="str">
        <f t="shared" si="11879"/>
        <v>Akron</v>
      </c>
    </row>
    <row r="11882" spans="1:5">
      <c r="A11882" s="3" t="s">
        <v>22775</v>
      </c>
      <c r="B11882" s="110" t="s">
        <v>1361</v>
      </c>
      <c r="C11882" s="111" t="s">
        <v>614</v>
      </c>
      <c r="D11882" s="111" t="str">
        <f t="shared" ref="D11882:E11882" si="11880">TRIM(B11882)</f>
        <v>Ohio</v>
      </c>
      <c r="E11882" s="111" t="str">
        <f t="shared" si="11880"/>
        <v>Akron</v>
      </c>
    </row>
    <row r="11883" spans="1:5">
      <c r="A11883" s="3" t="s">
        <v>8396</v>
      </c>
      <c r="B11883" s="110" t="s">
        <v>1361</v>
      </c>
      <c r="C11883" s="111" t="s">
        <v>614</v>
      </c>
      <c r="D11883" s="111" t="str">
        <f t="shared" ref="D11883:E11883" si="11881">TRIM(B11883)</f>
        <v>Ohio</v>
      </c>
      <c r="E11883" s="111" t="str">
        <f t="shared" si="11881"/>
        <v>Akron</v>
      </c>
    </row>
    <row r="11884" spans="1:5">
      <c r="A11884" s="110" t="s">
        <v>22776</v>
      </c>
      <c r="B11884" s="110" t="s">
        <v>1361</v>
      </c>
      <c r="C11884" s="111" t="s">
        <v>614</v>
      </c>
      <c r="D11884" s="111" t="str">
        <f t="shared" ref="D11884:E11884" si="11882">TRIM(B11884)</f>
        <v>Ohio</v>
      </c>
      <c r="E11884" s="111" t="str">
        <f t="shared" si="11882"/>
        <v>Akron</v>
      </c>
    </row>
    <row r="11885" spans="1:5">
      <c r="A11885" s="3" t="s">
        <v>22777</v>
      </c>
      <c r="B11885" s="110" t="s">
        <v>1361</v>
      </c>
      <c r="C11885" s="111" t="s">
        <v>614</v>
      </c>
      <c r="D11885" s="111" t="str">
        <f t="shared" ref="D11885:E11885" si="11883">TRIM(B11885)</f>
        <v>Ohio</v>
      </c>
      <c r="E11885" s="111" t="str">
        <f t="shared" si="11883"/>
        <v>Akron</v>
      </c>
    </row>
    <row r="11886" spans="1:5">
      <c r="A11886" s="3" t="s">
        <v>22778</v>
      </c>
      <c r="B11886" s="110" t="s">
        <v>1361</v>
      </c>
      <c r="C11886" s="111" t="s">
        <v>614</v>
      </c>
      <c r="D11886" s="111" t="str">
        <f t="shared" ref="D11886:E11886" si="11884">TRIM(B11886)</f>
        <v>Ohio</v>
      </c>
      <c r="E11886" s="111" t="str">
        <f t="shared" si="11884"/>
        <v>Akron</v>
      </c>
    </row>
    <row r="11887" spans="1:5">
      <c r="A11887" s="3" t="s">
        <v>22779</v>
      </c>
      <c r="B11887" s="110" t="s">
        <v>1361</v>
      </c>
      <c r="C11887" s="111" t="s">
        <v>614</v>
      </c>
      <c r="D11887" s="111" t="str">
        <f t="shared" ref="D11887:E11887" si="11885">TRIM(B11887)</f>
        <v>Ohio</v>
      </c>
      <c r="E11887" s="111" t="str">
        <f t="shared" si="11885"/>
        <v>Akron</v>
      </c>
    </row>
    <row r="11888" spans="1:5">
      <c r="A11888" s="110" t="s">
        <v>22780</v>
      </c>
      <c r="B11888" s="110" t="s">
        <v>1361</v>
      </c>
      <c r="C11888" s="111" t="s">
        <v>614</v>
      </c>
      <c r="D11888" s="111" t="str">
        <f t="shared" ref="D11888:E11888" si="11886">TRIM(B11888)</f>
        <v>Ohio</v>
      </c>
      <c r="E11888" s="111" t="str">
        <f t="shared" si="11886"/>
        <v>Akron</v>
      </c>
    </row>
    <row r="11889" spans="1:5">
      <c r="A11889" s="3" t="s">
        <v>8541</v>
      </c>
      <c r="B11889" s="110" t="s">
        <v>1361</v>
      </c>
      <c r="C11889" s="111" t="s">
        <v>614</v>
      </c>
      <c r="D11889" s="111" t="str">
        <f t="shared" ref="D11889:E11889" si="11887">TRIM(B11889)</f>
        <v>Ohio</v>
      </c>
      <c r="E11889" s="111" t="str">
        <f t="shared" si="11887"/>
        <v>Akron</v>
      </c>
    </row>
    <row r="11890" spans="1:5">
      <c r="A11890" s="3" t="s">
        <v>3069</v>
      </c>
      <c r="B11890" s="110" t="s">
        <v>1361</v>
      </c>
      <c r="C11890" s="111" t="s">
        <v>614</v>
      </c>
      <c r="D11890" s="111" t="str">
        <f t="shared" ref="D11890:E11890" si="11888">TRIM(B11890)</f>
        <v>Ohio</v>
      </c>
      <c r="E11890" s="111" t="str">
        <f t="shared" si="11888"/>
        <v>Akron</v>
      </c>
    </row>
    <row r="11891" spans="1:5">
      <c r="A11891" s="3" t="s">
        <v>8242</v>
      </c>
      <c r="B11891" s="110" t="s">
        <v>1361</v>
      </c>
      <c r="C11891" s="111" t="s">
        <v>614</v>
      </c>
      <c r="D11891" s="111" t="str">
        <f t="shared" ref="D11891:E11891" si="11889">TRIM(B11891)</f>
        <v>Ohio</v>
      </c>
      <c r="E11891" s="111" t="str">
        <f t="shared" si="11889"/>
        <v>Akron</v>
      </c>
    </row>
    <row r="11892" spans="1:5">
      <c r="A11892" s="3" t="s">
        <v>22781</v>
      </c>
      <c r="B11892" s="110" t="s">
        <v>1361</v>
      </c>
      <c r="C11892" s="111" t="s">
        <v>614</v>
      </c>
      <c r="D11892" s="111" t="str">
        <f t="shared" ref="D11892:E11892" si="11890">TRIM(B11892)</f>
        <v>Ohio</v>
      </c>
      <c r="E11892" s="111" t="str">
        <f t="shared" si="11890"/>
        <v>Akron</v>
      </c>
    </row>
    <row r="11893" spans="1:5">
      <c r="A11893" s="3" t="s">
        <v>22782</v>
      </c>
      <c r="B11893" s="110" t="s">
        <v>1361</v>
      </c>
      <c r="C11893" s="111" t="s">
        <v>182</v>
      </c>
      <c r="D11893" s="111" t="str">
        <f t="shared" ref="D11893:E11893" si="11891">TRIM(B11893)</f>
        <v>Ohio</v>
      </c>
      <c r="E11893" s="111" t="str">
        <f t="shared" si="11891"/>
        <v>Albany</v>
      </c>
    </row>
    <row r="11894" spans="1:5">
      <c r="A11894" s="3" t="s">
        <v>19480</v>
      </c>
      <c r="B11894" s="110" t="s">
        <v>1361</v>
      </c>
      <c r="C11894" s="111" t="s">
        <v>19481</v>
      </c>
      <c r="D11894" s="111" t="str">
        <f t="shared" ref="D11894:E11894" si="11892">TRIM(B11894)</f>
        <v>Ohio</v>
      </c>
      <c r="E11894" s="111" t="str">
        <f t="shared" si="11892"/>
        <v>Alliance</v>
      </c>
    </row>
    <row r="11895" spans="1:5">
      <c r="A11895" s="3" t="s">
        <v>22783</v>
      </c>
      <c r="B11895" s="110" t="s">
        <v>1361</v>
      </c>
      <c r="C11895" s="111" t="s">
        <v>19481</v>
      </c>
      <c r="D11895" s="111" t="str">
        <f t="shared" ref="D11895:E11895" si="11893">TRIM(B11895)</f>
        <v>Ohio</v>
      </c>
      <c r="E11895" s="111" t="str">
        <f t="shared" si="11893"/>
        <v>Alliance</v>
      </c>
    </row>
    <row r="11896" spans="1:5">
      <c r="A11896" s="3" t="s">
        <v>22784</v>
      </c>
      <c r="B11896" s="110" t="s">
        <v>1361</v>
      </c>
      <c r="C11896" s="111" t="s">
        <v>22785</v>
      </c>
      <c r="D11896" s="111" t="str">
        <f t="shared" ref="D11896:E11896" si="11894">TRIM(B11896)</f>
        <v>Ohio</v>
      </c>
      <c r="E11896" s="111" t="str">
        <f t="shared" si="11894"/>
        <v>Amanda</v>
      </c>
    </row>
    <row r="11897" spans="1:5">
      <c r="A11897" s="3" t="s">
        <v>22786</v>
      </c>
      <c r="B11897" s="110" t="s">
        <v>1361</v>
      </c>
      <c r="C11897" s="111" t="s">
        <v>16546</v>
      </c>
      <c r="D11897" s="111" t="str">
        <f t="shared" ref="D11897:E11897" si="11895">TRIM(B11897)</f>
        <v>Ohio</v>
      </c>
      <c r="E11897" s="111" t="str">
        <f t="shared" si="11895"/>
        <v>Amherst</v>
      </c>
    </row>
    <row r="11898" spans="1:5">
      <c r="A11898" s="3" t="s">
        <v>22787</v>
      </c>
      <c r="B11898" s="110" t="s">
        <v>1361</v>
      </c>
      <c r="C11898" s="111" t="s">
        <v>1096</v>
      </c>
      <c r="D11898" s="111" t="str">
        <f t="shared" ref="D11898:E11898" si="11896">TRIM(B11898)</f>
        <v>Ohio</v>
      </c>
      <c r="E11898" s="111" t="str">
        <f t="shared" si="11896"/>
        <v>Andover</v>
      </c>
    </row>
    <row r="11899" spans="1:5">
      <c r="A11899" s="3" t="s">
        <v>22788</v>
      </c>
      <c r="B11899" s="110" t="s">
        <v>1361</v>
      </c>
      <c r="C11899" s="111" t="s">
        <v>11971</v>
      </c>
      <c r="D11899" s="111" t="str">
        <f t="shared" ref="D11899:E11899" si="11897">TRIM(B11899)</f>
        <v>Ohio</v>
      </c>
      <c r="E11899" s="111" t="str">
        <f t="shared" si="11897"/>
        <v>Anna</v>
      </c>
    </row>
    <row r="11900" spans="1:5">
      <c r="A11900" s="3" t="s">
        <v>8326</v>
      </c>
      <c r="B11900" s="110" t="s">
        <v>1361</v>
      </c>
      <c r="C11900" s="111" t="s">
        <v>8328</v>
      </c>
      <c r="D11900" s="111" t="str">
        <f t="shared" ref="D11900:E11900" si="11898">TRIM(B11900)</f>
        <v>Ohio</v>
      </c>
      <c r="E11900" s="111" t="str">
        <f t="shared" si="11898"/>
        <v>Ansonia</v>
      </c>
    </row>
    <row r="11901" spans="1:5">
      <c r="A11901" s="3" t="s">
        <v>22789</v>
      </c>
      <c r="B11901" s="110" t="s">
        <v>1361</v>
      </c>
      <c r="C11901" s="111" t="s">
        <v>22790</v>
      </c>
      <c r="D11901" s="111" t="str">
        <f t="shared" ref="D11901:E11901" si="11899">TRIM(B11901)</f>
        <v>Ohio</v>
      </c>
      <c r="E11901" s="111" t="str">
        <f t="shared" si="11899"/>
        <v>Antwerp</v>
      </c>
    </row>
    <row r="11902" spans="1:5">
      <c r="A11902" s="3" t="s">
        <v>22791</v>
      </c>
      <c r="B11902" s="110" t="s">
        <v>1361</v>
      </c>
      <c r="C11902" s="111" t="s">
        <v>22792</v>
      </c>
      <c r="D11902" s="111" t="str">
        <f t="shared" ref="D11902:E11902" si="11900">TRIM(B11902)</f>
        <v>Ohio</v>
      </c>
      <c r="E11902" s="111" t="str">
        <f t="shared" si="11900"/>
        <v>Apple Creek</v>
      </c>
    </row>
    <row r="11903" spans="1:5">
      <c r="A11903" s="3" t="s">
        <v>2934</v>
      </c>
      <c r="B11903" s="110" t="s">
        <v>1361</v>
      </c>
      <c r="C11903" s="111" t="s">
        <v>4375</v>
      </c>
      <c r="D11903" s="111" t="str">
        <f t="shared" ref="D11903:E11903" si="11901">TRIM(B11903)</f>
        <v>Ohio</v>
      </c>
      <c r="E11903" s="111" t="str">
        <f t="shared" si="11901"/>
        <v>Arcadia</v>
      </c>
    </row>
    <row r="11904" spans="1:5">
      <c r="A11904" s="3" t="s">
        <v>22793</v>
      </c>
      <c r="B11904" s="110" t="s">
        <v>1361</v>
      </c>
      <c r="C11904" s="111" t="s">
        <v>22794</v>
      </c>
      <c r="D11904" s="111" t="str">
        <f t="shared" ref="D11904:E11904" si="11902">TRIM(B11904)</f>
        <v>Ohio</v>
      </c>
      <c r="E11904" s="111" t="str">
        <f t="shared" si="11902"/>
        <v>Arcanum</v>
      </c>
    </row>
    <row r="11905" spans="1:5">
      <c r="A11905" s="3" t="s">
        <v>22795</v>
      </c>
      <c r="B11905" s="110" t="s">
        <v>1361</v>
      </c>
      <c r="C11905" s="111" t="s">
        <v>22796</v>
      </c>
      <c r="D11905" s="111" t="str">
        <f t="shared" ref="D11905:E11905" si="11903">TRIM(B11905)</f>
        <v>Ohio</v>
      </c>
      <c r="E11905" s="111" t="str">
        <f t="shared" si="11903"/>
        <v>Archbold</v>
      </c>
    </row>
    <row r="11906" spans="1:5">
      <c r="A11906" s="3" t="s">
        <v>22797</v>
      </c>
      <c r="B11906" s="110" t="s">
        <v>1361</v>
      </c>
      <c r="C11906" s="111" t="s">
        <v>1048</v>
      </c>
      <c r="D11906" s="111" t="str">
        <f t="shared" ref="D11906:E11906" si="11904">TRIM(B11906)</f>
        <v>Ohio</v>
      </c>
      <c r="E11906" s="111" t="str">
        <f t="shared" si="11904"/>
        <v>Arlington</v>
      </c>
    </row>
    <row r="11907" spans="1:5">
      <c r="A11907" s="3" t="s">
        <v>22798</v>
      </c>
      <c r="B11907" s="110" t="s">
        <v>1361</v>
      </c>
      <c r="C11907" s="111" t="s">
        <v>10817</v>
      </c>
      <c r="D11907" s="111" t="str">
        <f t="shared" ref="D11907:E11907" si="11905">TRIM(B11907)</f>
        <v>Ohio</v>
      </c>
      <c r="E11907" s="111" t="str">
        <f t="shared" si="11905"/>
        <v>Ashland</v>
      </c>
    </row>
    <row r="11908" spans="1:5">
      <c r="A11908" s="3" t="s">
        <v>15164</v>
      </c>
      <c r="B11908" s="110" t="s">
        <v>1361</v>
      </c>
      <c r="C11908" s="111" t="s">
        <v>10817</v>
      </c>
      <c r="D11908" s="111" t="str">
        <f t="shared" ref="D11908:E11908" si="11906">TRIM(B11908)</f>
        <v>Ohio</v>
      </c>
      <c r="E11908" s="111" t="str">
        <f t="shared" si="11906"/>
        <v>Ashland</v>
      </c>
    </row>
    <row r="11909" spans="1:5">
      <c r="A11909" s="3" t="s">
        <v>9108</v>
      </c>
      <c r="B11909" s="110" t="s">
        <v>1361</v>
      </c>
      <c r="C11909" s="111" t="s">
        <v>10817</v>
      </c>
      <c r="D11909" s="111" t="str">
        <f t="shared" ref="D11909:E11909" si="11907">TRIM(B11909)</f>
        <v>Ohio</v>
      </c>
      <c r="E11909" s="111" t="str">
        <f t="shared" si="11907"/>
        <v>Ashland</v>
      </c>
    </row>
    <row r="11910" spans="1:5">
      <c r="A11910" s="3" t="s">
        <v>22799</v>
      </c>
      <c r="B11910" s="110" t="s">
        <v>1361</v>
      </c>
      <c r="C11910" s="111" t="s">
        <v>10817</v>
      </c>
      <c r="D11910" s="111" t="str">
        <f t="shared" ref="D11910:E11910" si="11908">TRIM(B11910)</f>
        <v>Ohio</v>
      </c>
      <c r="E11910" s="111" t="str">
        <f t="shared" si="11908"/>
        <v>Ashland</v>
      </c>
    </row>
    <row r="11911" spans="1:5">
      <c r="A11911" s="3" t="s">
        <v>7466</v>
      </c>
      <c r="B11911" s="110" t="s">
        <v>1361</v>
      </c>
      <c r="C11911" s="111" t="s">
        <v>12852</v>
      </c>
      <c r="D11911" s="111" t="str">
        <f t="shared" ref="D11911:E11911" si="11909">TRIM(B11911)</f>
        <v>Ohio</v>
      </c>
      <c r="E11911" s="111" t="str">
        <f t="shared" si="11909"/>
        <v>Ashtabula</v>
      </c>
    </row>
    <row r="11912" spans="1:5">
      <c r="A11912" s="3" t="s">
        <v>3886</v>
      </c>
      <c r="B11912" s="110" t="s">
        <v>1361</v>
      </c>
      <c r="C11912" s="111" t="s">
        <v>12852</v>
      </c>
      <c r="D11912" s="111" t="str">
        <f t="shared" ref="D11912:E11912" si="11910">TRIM(B11912)</f>
        <v>Ohio</v>
      </c>
      <c r="E11912" s="111" t="str">
        <f t="shared" si="11910"/>
        <v>Ashtabula</v>
      </c>
    </row>
    <row r="11913" spans="1:5">
      <c r="A11913" s="3" t="s">
        <v>22800</v>
      </c>
      <c r="B11913" s="110" t="s">
        <v>1361</v>
      </c>
      <c r="C11913" s="111" t="s">
        <v>1519</v>
      </c>
      <c r="D11913" s="111" t="str">
        <f t="shared" ref="D11913:E11913" si="11911">TRIM(B11913)</f>
        <v>Ohio</v>
      </c>
      <c r="E11913" s="111" t="str">
        <f t="shared" si="11911"/>
        <v>Ashville</v>
      </c>
    </row>
    <row r="11914" spans="1:5">
      <c r="A11914" s="3" t="s">
        <v>22801</v>
      </c>
      <c r="B11914" s="110" t="s">
        <v>1361</v>
      </c>
      <c r="C11914" s="111" t="s">
        <v>14106</v>
      </c>
      <c r="D11914" s="111" t="str">
        <f t="shared" ref="D11914:E11914" si="11912">TRIM(B11914)</f>
        <v>Ohio</v>
      </c>
      <c r="E11914" s="111" t="str">
        <f t="shared" si="11912"/>
        <v>Attica</v>
      </c>
    </row>
    <row r="11915" spans="1:5">
      <c r="A11915" s="3" t="s">
        <v>13988</v>
      </c>
      <c r="B11915" s="110" t="s">
        <v>1361</v>
      </c>
      <c r="C11915" s="111" t="s">
        <v>4401</v>
      </c>
      <c r="D11915" s="111" t="str">
        <f t="shared" ref="D11915:E11915" si="11913">TRIM(B11915)</f>
        <v>Ohio</v>
      </c>
      <c r="E11915" s="111" t="str">
        <f t="shared" si="11913"/>
        <v>Atwater</v>
      </c>
    </row>
    <row r="11916" spans="1:5">
      <c r="A11916" s="3" t="s">
        <v>18614</v>
      </c>
      <c r="B11916" s="110" t="s">
        <v>1361</v>
      </c>
      <c r="C11916" s="111" t="s">
        <v>353</v>
      </c>
      <c r="D11916" s="111" t="str">
        <f t="shared" ref="D11916:E11916" si="11914">TRIM(B11916)</f>
        <v>Ohio</v>
      </c>
      <c r="E11916" s="111" t="str">
        <f t="shared" si="11914"/>
        <v>Aurora</v>
      </c>
    </row>
    <row r="11917" spans="1:5">
      <c r="A11917" s="3" t="s">
        <v>8330</v>
      </c>
      <c r="B11917" s="110" t="s">
        <v>1361</v>
      </c>
      <c r="C11917" s="111" t="s">
        <v>8331</v>
      </c>
      <c r="D11917" s="111" t="str">
        <f t="shared" ref="D11917:E11917" si="11915">TRIM(B11917)</f>
        <v>Ohio</v>
      </c>
      <c r="E11917" s="111" t="str">
        <f t="shared" si="11915"/>
        <v>Avon</v>
      </c>
    </row>
    <row r="11918" spans="1:5">
      <c r="A11918" s="3" t="s">
        <v>22802</v>
      </c>
      <c r="B11918" s="110" t="s">
        <v>1361</v>
      </c>
      <c r="C11918" s="111" t="s">
        <v>22803</v>
      </c>
      <c r="D11918" s="111" t="str">
        <f t="shared" ref="D11918:E11918" si="11916">TRIM(B11918)</f>
        <v>Ohio</v>
      </c>
      <c r="E11918" s="111" t="str">
        <f t="shared" si="11916"/>
        <v>Avon Lake</v>
      </c>
    </row>
    <row r="11919" spans="1:5">
      <c r="A11919" s="3" t="s">
        <v>22804</v>
      </c>
      <c r="B11919" s="110" t="s">
        <v>1361</v>
      </c>
      <c r="C11919" s="111" t="s">
        <v>10420</v>
      </c>
      <c r="D11919" s="111" t="str">
        <f t="shared" ref="D11919:E11919" si="11917">TRIM(B11919)</f>
        <v>Ohio</v>
      </c>
      <c r="E11919" s="111" t="str">
        <f t="shared" si="11917"/>
        <v>Bainbridge</v>
      </c>
    </row>
    <row r="11920" spans="1:5">
      <c r="A11920" s="3" t="s">
        <v>22805</v>
      </c>
      <c r="B11920" s="110" t="s">
        <v>1361</v>
      </c>
      <c r="C11920" s="111" t="s">
        <v>242</v>
      </c>
      <c r="D11920" s="111" t="str">
        <f t="shared" ref="D11920:E11920" si="11918">TRIM(B11920)</f>
        <v>Ohio</v>
      </c>
      <c r="E11920" s="111" t="str">
        <f t="shared" si="11918"/>
        <v>Baltimore</v>
      </c>
    </row>
    <row r="11921" spans="1:5">
      <c r="A11921" s="3" t="s">
        <v>22806</v>
      </c>
      <c r="B11921" s="110" t="s">
        <v>1361</v>
      </c>
      <c r="C11921" s="111" t="s">
        <v>22807</v>
      </c>
      <c r="D11921" s="111" t="str">
        <f t="shared" ref="D11921:E11921" si="11919">TRIM(B11921)</f>
        <v>Ohio</v>
      </c>
      <c r="E11921" s="111" t="str">
        <f t="shared" si="11919"/>
        <v>Barberton</v>
      </c>
    </row>
    <row r="11922" spans="1:5">
      <c r="A11922" s="3" t="s">
        <v>22808</v>
      </c>
      <c r="B11922" s="110" t="s">
        <v>1361</v>
      </c>
      <c r="C11922" s="111" t="s">
        <v>10425</v>
      </c>
      <c r="D11922" s="111" t="str">
        <f t="shared" ref="D11922:E11922" si="11920">TRIM(B11922)</f>
        <v>Ohio</v>
      </c>
      <c r="E11922" s="111" t="str">
        <f t="shared" si="11920"/>
        <v>Barnesville</v>
      </c>
    </row>
    <row r="11923" spans="1:5">
      <c r="A11923" s="3" t="s">
        <v>22809</v>
      </c>
      <c r="B11923" s="110" t="s">
        <v>1361</v>
      </c>
      <c r="C11923" s="111" t="s">
        <v>22810</v>
      </c>
      <c r="D11923" s="111" t="str">
        <f t="shared" ref="D11923:E11923" si="11921">TRIM(B11923)</f>
        <v>Ohio</v>
      </c>
      <c r="E11923" s="111" t="str">
        <f t="shared" si="11921"/>
        <v>Bascom</v>
      </c>
    </row>
    <row r="11924" spans="1:5">
      <c r="A11924" s="3" t="s">
        <v>20717</v>
      </c>
      <c r="B11924" s="110" t="s">
        <v>1361</v>
      </c>
      <c r="C11924" s="111" t="s">
        <v>12041</v>
      </c>
      <c r="D11924" s="111" t="str">
        <f t="shared" ref="D11924:E11924" si="11922">TRIM(B11924)</f>
        <v>Ohio</v>
      </c>
      <c r="E11924" s="111" t="str">
        <f t="shared" si="11922"/>
        <v>Batavia</v>
      </c>
    </row>
    <row r="11925" spans="1:5">
      <c r="A11925" s="3" t="s">
        <v>22811</v>
      </c>
      <c r="B11925" s="110" t="s">
        <v>1361</v>
      </c>
      <c r="C11925" s="111" t="s">
        <v>12041</v>
      </c>
      <c r="D11925" s="111" t="str">
        <f t="shared" ref="D11925:E11925" si="11923">TRIM(B11925)</f>
        <v>Ohio</v>
      </c>
      <c r="E11925" s="111" t="str">
        <f t="shared" si="11923"/>
        <v>Batavia</v>
      </c>
    </row>
    <row r="11926" spans="1:5">
      <c r="A11926" s="3" t="s">
        <v>3592</v>
      </c>
      <c r="B11926" s="110" t="s">
        <v>1361</v>
      </c>
      <c r="C11926" s="111" t="s">
        <v>22812</v>
      </c>
      <c r="D11926" s="111" t="str">
        <f t="shared" ref="D11926:E11926" si="11924">TRIM(B11926)</f>
        <v>Ohio</v>
      </c>
      <c r="E11926" s="111" t="str">
        <f t="shared" si="11924"/>
        <v>Bay Village</v>
      </c>
    </row>
    <row r="11927" spans="1:5">
      <c r="A11927" s="3" t="s">
        <v>22813</v>
      </c>
      <c r="B11927" s="110" t="s">
        <v>1361</v>
      </c>
      <c r="C11927" s="111" t="s">
        <v>12757</v>
      </c>
      <c r="D11927" s="111" t="str">
        <f t="shared" ref="D11927:E11927" si="11925">TRIM(B11927)</f>
        <v>Ohio</v>
      </c>
      <c r="E11927" s="111" t="str">
        <f t="shared" si="11925"/>
        <v>Beachwood</v>
      </c>
    </row>
    <row r="11928" spans="1:5">
      <c r="A11928" s="3" t="s">
        <v>22814</v>
      </c>
      <c r="B11928" s="110" t="s">
        <v>1361</v>
      </c>
      <c r="C11928" s="111" t="s">
        <v>22815</v>
      </c>
      <c r="D11928" s="111" t="str">
        <f t="shared" ref="D11928:E11928" si="11926">TRIM(B11928)</f>
        <v>Ohio</v>
      </c>
      <c r="E11928" s="111" t="str">
        <f t="shared" si="11926"/>
        <v>Beallsville</v>
      </c>
    </row>
    <row r="11929" spans="1:5">
      <c r="A11929" s="3" t="s">
        <v>8899</v>
      </c>
      <c r="B11929" s="110" t="s">
        <v>1361</v>
      </c>
      <c r="C11929" s="111" t="s">
        <v>22816</v>
      </c>
      <c r="D11929" s="111" t="str">
        <f t="shared" ref="D11929:E11929" si="11927">TRIM(B11929)</f>
        <v>Ohio</v>
      </c>
      <c r="E11929" s="111" t="str">
        <f t="shared" si="11927"/>
        <v>Beaver</v>
      </c>
    </row>
    <row r="11930" spans="1:5">
      <c r="A11930" s="3" t="s">
        <v>22817</v>
      </c>
      <c r="B11930" s="110" t="s">
        <v>1361</v>
      </c>
      <c r="C11930" s="111" t="s">
        <v>22818</v>
      </c>
      <c r="D11930" s="111" t="str">
        <f t="shared" ref="D11930:E11930" si="11928">TRIM(B11930)</f>
        <v>Ohio</v>
      </c>
      <c r="E11930" s="111" t="str">
        <f t="shared" si="11928"/>
        <v>Beavercreek</v>
      </c>
    </row>
    <row r="11931" spans="1:5">
      <c r="A11931" s="3" t="s">
        <v>14712</v>
      </c>
      <c r="B11931" s="110" t="s">
        <v>1361</v>
      </c>
      <c r="C11931" s="111" t="s">
        <v>14119</v>
      </c>
      <c r="D11931" s="111" t="str">
        <f t="shared" ref="D11931:E11931" si="11929">TRIM(B11931)</f>
        <v>Ohio</v>
      </c>
      <c r="E11931" s="111" t="str">
        <f t="shared" si="11929"/>
        <v>Bedford</v>
      </c>
    </row>
    <row r="11932" spans="1:5">
      <c r="A11932" s="3" t="s">
        <v>22819</v>
      </c>
      <c r="B11932" s="110" t="s">
        <v>1361</v>
      </c>
      <c r="C11932" s="111" t="s">
        <v>4281</v>
      </c>
      <c r="D11932" s="111" t="str">
        <f t="shared" ref="D11932:E11932" si="11930">TRIM(B11932)</f>
        <v>Ohio</v>
      </c>
      <c r="E11932" s="111" t="str">
        <f t="shared" si="11930"/>
        <v>Bellaire</v>
      </c>
    </row>
    <row r="11933" spans="1:5">
      <c r="A11933" s="3" t="s">
        <v>22820</v>
      </c>
      <c r="B11933" s="110" t="s">
        <v>1361</v>
      </c>
      <c r="C11933" s="111" t="s">
        <v>379</v>
      </c>
      <c r="D11933" s="111" t="str">
        <f t="shared" ref="D11933:E11933" si="11931">TRIM(B11933)</f>
        <v>Ohio</v>
      </c>
      <c r="E11933" s="111" t="str">
        <f t="shared" si="11931"/>
        <v>Bellbrook</v>
      </c>
    </row>
    <row r="11934" spans="1:5">
      <c r="A11934" s="3" t="s">
        <v>22821</v>
      </c>
      <c r="B11934" s="110" t="s">
        <v>1361</v>
      </c>
      <c r="C11934" s="111" t="s">
        <v>22822</v>
      </c>
      <c r="D11934" s="111" t="str">
        <f t="shared" ref="D11934:E11934" si="11932">TRIM(B11934)</f>
        <v>Ohio</v>
      </c>
      <c r="E11934" s="111" t="str">
        <f t="shared" si="11932"/>
        <v>Bellefontaine</v>
      </c>
    </row>
    <row r="11935" spans="1:5">
      <c r="A11935" s="3" t="s">
        <v>22823</v>
      </c>
      <c r="B11935" s="110" t="s">
        <v>1361</v>
      </c>
      <c r="C11935" s="111" t="s">
        <v>22822</v>
      </c>
      <c r="D11935" s="111" t="str">
        <f t="shared" ref="D11935:E11935" si="11933">TRIM(B11935)</f>
        <v>Ohio</v>
      </c>
      <c r="E11935" s="111" t="str">
        <f t="shared" si="11933"/>
        <v>Bellefontaine</v>
      </c>
    </row>
    <row r="11936" spans="1:5">
      <c r="A11936" s="3" t="s">
        <v>14715</v>
      </c>
      <c r="B11936" s="110" t="s">
        <v>1361</v>
      </c>
      <c r="C11936" s="111" t="s">
        <v>14159</v>
      </c>
      <c r="D11936" s="111" t="str">
        <f t="shared" ref="D11936:E11936" si="11934">TRIM(B11936)</f>
        <v>Ohio</v>
      </c>
      <c r="E11936" s="111" t="str">
        <f t="shared" si="11934"/>
        <v>Bellevue</v>
      </c>
    </row>
    <row r="11937" spans="1:5">
      <c r="A11937" s="3" t="s">
        <v>22824</v>
      </c>
      <c r="B11937" s="110" t="s">
        <v>1361</v>
      </c>
      <c r="C11937" s="111" t="s">
        <v>22825</v>
      </c>
      <c r="D11937" s="111" t="str">
        <f t="shared" ref="D11937:E11937" si="11935">TRIM(B11937)</f>
        <v>Ohio</v>
      </c>
      <c r="E11937" s="111" t="str">
        <f t="shared" si="11935"/>
        <v>Bellville</v>
      </c>
    </row>
    <row r="11938" spans="1:5">
      <c r="A11938" s="3" t="s">
        <v>22826</v>
      </c>
      <c r="B11938" s="110" t="s">
        <v>1361</v>
      </c>
      <c r="C11938" s="111" t="s">
        <v>4471</v>
      </c>
      <c r="D11938" s="111" t="str">
        <f t="shared" ref="D11938:E11938" si="11936">TRIM(B11938)</f>
        <v>Ohio</v>
      </c>
      <c r="E11938" s="111" t="str">
        <f t="shared" si="11936"/>
        <v>Belmont</v>
      </c>
    </row>
    <row r="11939" spans="1:5">
      <c r="A11939" s="3" t="s">
        <v>15121</v>
      </c>
      <c r="B11939" s="110" t="s">
        <v>1361</v>
      </c>
      <c r="C11939" s="111" t="s">
        <v>7735</v>
      </c>
      <c r="D11939" s="111" t="str">
        <f t="shared" ref="D11939:E11939" si="11937">TRIM(B11939)</f>
        <v>Ohio</v>
      </c>
      <c r="E11939" s="111" t="str">
        <f t="shared" si="11937"/>
        <v>Beloit</v>
      </c>
    </row>
    <row r="11940" spans="1:5">
      <c r="A11940" s="3" t="s">
        <v>22827</v>
      </c>
      <c r="B11940" s="110" t="s">
        <v>1361</v>
      </c>
      <c r="C11940" s="111" t="s">
        <v>22828</v>
      </c>
      <c r="D11940" s="111" t="str">
        <f t="shared" ref="D11940:E11940" si="11938">TRIM(B11940)</f>
        <v>Ohio</v>
      </c>
      <c r="E11940" s="111" t="str">
        <f t="shared" si="11938"/>
        <v>Belpre</v>
      </c>
    </row>
    <row r="11941" spans="1:5">
      <c r="A11941" s="3" t="s">
        <v>22829</v>
      </c>
      <c r="B11941" s="110" t="s">
        <v>1361</v>
      </c>
      <c r="C11941" s="111" t="s">
        <v>15621</v>
      </c>
      <c r="D11941" s="111" t="str">
        <f t="shared" ref="D11941:E11941" si="11939">TRIM(B11941)</f>
        <v>Ohio</v>
      </c>
      <c r="E11941" s="111" t="str">
        <f t="shared" si="11939"/>
        <v>Berea</v>
      </c>
    </row>
    <row r="11942" spans="1:5">
      <c r="A11942" s="3" t="s">
        <v>22830</v>
      </c>
      <c r="B11942" s="110" t="s">
        <v>1361</v>
      </c>
      <c r="C11942" s="111" t="s">
        <v>8338</v>
      </c>
      <c r="D11942" s="111" t="str">
        <f t="shared" ref="D11942:E11942" si="11940">TRIM(B11942)</f>
        <v>Ohio</v>
      </c>
      <c r="E11942" s="111" t="str">
        <f t="shared" si="11940"/>
        <v>Berlin</v>
      </c>
    </row>
    <row r="11943" spans="1:5">
      <c r="A11943" s="3" t="s">
        <v>22831</v>
      </c>
      <c r="B11943" s="110" t="s">
        <v>1361</v>
      </c>
      <c r="C11943" s="111" t="s">
        <v>22832</v>
      </c>
      <c r="D11943" s="111" t="str">
        <f t="shared" ref="D11943:E11943" si="11941">TRIM(B11943)</f>
        <v>Ohio</v>
      </c>
      <c r="E11943" s="111" t="str">
        <f t="shared" si="11941"/>
        <v>Berlin Center</v>
      </c>
    </row>
    <row r="11944" spans="1:5">
      <c r="A11944" s="3" t="s">
        <v>22833</v>
      </c>
      <c r="B11944" s="110" t="s">
        <v>1361</v>
      </c>
      <c r="C11944" s="111" t="s">
        <v>2309</v>
      </c>
      <c r="D11944" s="111" t="str">
        <f t="shared" ref="D11944:E11944" si="11942">TRIM(B11944)</f>
        <v>Ohio</v>
      </c>
      <c r="E11944" s="111" t="str">
        <f t="shared" si="11942"/>
        <v>Bethel</v>
      </c>
    </row>
    <row r="11945" spans="1:5">
      <c r="A11945" s="3" t="s">
        <v>22834</v>
      </c>
      <c r="B11945" s="110" t="s">
        <v>1361</v>
      </c>
      <c r="C11945" s="111" t="s">
        <v>7494</v>
      </c>
      <c r="D11945" s="111" t="str">
        <f t="shared" ref="D11945:E11945" si="11943">TRIM(B11945)</f>
        <v>Ohio</v>
      </c>
      <c r="E11945" s="111" t="str">
        <f t="shared" si="11943"/>
        <v>Beverly</v>
      </c>
    </row>
    <row r="11946" spans="1:5">
      <c r="A11946" s="3" t="s">
        <v>22835</v>
      </c>
      <c r="B11946" s="110" t="s">
        <v>1361</v>
      </c>
      <c r="C11946" s="111" t="s">
        <v>22836</v>
      </c>
      <c r="D11946" s="111" t="str">
        <f t="shared" ref="D11946:E11946" si="11944">TRIM(B11946)</f>
        <v>Ohio</v>
      </c>
      <c r="E11946" s="111" t="str">
        <f t="shared" si="11944"/>
        <v>Bexley</v>
      </c>
    </row>
    <row r="11947" spans="1:5">
      <c r="A11947" s="3" t="s">
        <v>2863</v>
      </c>
      <c r="B11947" s="110" t="s">
        <v>1361</v>
      </c>
      <c r="C11947" s="111" t="s">
        <v>22837</v>
      </c>
      <c r="D11947" s="111" t="str">
        <f t="shared" ref="D11947:E11947" si="11945">TRIM(B11947)</f>
        <v>Ohio</v>
      </c>
      <c r="E11947" s="111" t="str">
        <f t="shared" si="11945"/>
        <v>Bidwell</v>
      </c>
    </row>
    <row r="11948" spans="1:5">
      <c r="A11948" s="3" t="s">
        <v>22838</v>
      </c>
      <c r="B11948" s="110" t="s">
        <v>1361</v>
      </c>
      <c r="C11948" s="111" t="s">
        <v>22839</v>
      </c>
      <c r="D11948" s="111" t="str">
        <f t="shared" ref="D11948:E11948" si="11946">TRIM(B11948)</f>
        <v>Ohio</v>
      </c>
      <c r="E11948" s="111" t="str">
        <f t="shared" si="11946"/>
        <v>Blanchester</v>
      </c>
    </row>
    <row r="11949" spans="1:5">
      <c r="A11949" s="3" t="s">
        <v>12861</v>
      </c>
      <c r="B11949" s="110" t="s">
        <v>1361</v>
      </c>
      <c r="C11949" s="111" t="s">
        <v>22840</v>
      </c>
      <c r="D11949" s="111" t="str">
        <f t="shared" ref="D11949:E11949" si="11947">TRIM(B11949)</f>
        <v>Ohio</v>
      </c>
      <c r="E11949" s="111" t="str">
        <f t="shared" si="11947"/>
        <v>Bloomdale</v>
      </c>
    </row>
    <row r="11950" spans="1:5">
      <c r="A11950" s="3" t="s">
        <v>14144</v>
      </c>
      <c r="B11950" s="110" t="s">
        <v>1361</v>
      </c>
      <c r="C11950" s="111" t="s">
        <v>14145</v>
      </c>
      <c r="D11950" s="111" t="str">
        <f t="shared" ref="D11950:E11950" si="11948">TRIM(B11950)</f>
        <v>Ohio</v>
      </c>
      <c r="E11950" s="111" t="str">
        <f t="shared" si="11948"/>
        <v>Bluffton</v>
      </c>
    </row>
    <row r="11951" spans="1:5">
      <c r="A11951" s="3" t="s">
        <v>22841</v>
      </c>
      <c r="B11951" s="110" t="s">
        <v>1361</v>
      </c>
      <c r="C11951" s="111" t="s">
        <v>22842</v>
      </c>
      <c r="D11951" s="111" t="str">
        <f t="shared" ref="D11951:E11951" si="11949">TRIM(B11951)</f>
        <v>Ohio</v>
      </c>
      <c r="E11951" s="111" t="str">
        <f t="shared" si="11949"/>
        <v>Botkins</v>
      </c>
    </row>
    <row r="11952" spans="1:5">
      <c r="A11952" s="3" t="s">
        <v>22843</v>
      </c>
      <c r="B11952" s="110" t="s">
        <v>1361</v>
      </c>
      <c r="C11952" s="111" t="s">
        <v>22844</v>
      </c>
      <c r="D11952" s="111" t="str">
        <f t="shared" ref="D11952:E11952" si="11950">TRIM(B11952)</f>
        <v>Ohio</v>
      </c>
      <c r="E11952" s="111" t="str">
        <f t="shared" si="11950"/>
        <v>Bowerston</v>
      </c>
    </row>
    <row r="11953" spans="1:5">
      <c r="A11953" s="3" t="s">
        <v>15626</v>
      </c>
      <c r="B11953" s="110" t="s">
        <v>1361</v>
      </c>
      <c r="C11953" s="111" t="s">
        <v>15627</v>
      </c>
      <c r="D11953" s="111" t="str">
        <f t="shared" ref="D11953:E11953" si="11951">TRIM(B11953)</f>
        <v>Ohio</v>
      </c>
      <c r="E11953" s="111" t="str">
        <f t="shared" si="11951"/>
        <v>Bowling Green</v>
      </c>
    </row>
    <row r="11954" spans="1:5">
      <c r="A11954" s="3" t="s">
        <v>17488</v>
      </c>
      <c r="B11954" s="110" t="s">
        <v>1361</v>
      </c>
      <c r="C11954" s="111" t="s">
        <v>15627</v>
      </c>
      <c r="D11954" s="111" t="str">
        <f t="shared" ref="D11954:E11954" si="11952">TRIM(B11954)</f>
        <v>Ohio</v>
      </c>
      <c r="E11954" s="111" t="str">
        <f t="shared" si="11952"/>
        <v>Bowling Green</v>
      </c>
    </row>
    <row r="11955" spans="1:5">
      <c r="A11955" s="3" t="s">
        <v>3640</v>
      </c>
      <c r="B11955" s="110" t="s">
        <v>1361</v>
      </c>
      <c r="C11955" s="111" t="s">
        <v>3641</v>
      </c>
      <c r="D11955" s="111" t="str">
        <f t="shared" ref="D11955:E11955" si="11953">TRIM(B11955)</f>
        <v>Ohio</v>
      </c>
      <c r="E11955" s="111" t="str">
        <f t="shared" si="11953"/>
        <v>Bradford</v>
      </c>
    </row>
    <row r="11956" spans="1:5">
      <c r="A11956" s="3" t="s">
        <v>22845</v>
      </c>
      <c r="B11956" s="110" t="s">
        <v>1361</v>
      </c>
      <c r="C11956" s="112" t="s">
        <v>3478</v>
      </c>
      <c r="D11956" s="111" t="str">
        <f t="shared" ref="D11956:E11956" si="11954">TRIM(B11956)</f>
        <v>Ohio</v>
      </c>
      <c r="E11956" s="111" t="str">
        <f t="shared" si="11954"/>
        <v>Bridgeport</v>
      </c>
    </row>
    <row r="11957" spans="1:5">
      <c r="A11957" s="3" t="s">
        <v>22846</v>
      </c>
      <c r="B11957" s="110" t="s">
        <v>1361</v>
      </c>
      <c r="C11957" s="112" t="s">
        <v>22847</v>
      </c>
      <c r="D11957" s="111" t="str">
        <f t="shared" ref="D11957:E11957" si="11955">TRIM(B11957)</f>
        <v>Ohio</v>
      </c>
      <c r="E11957" s="111" t="str">
        <f t="shared" si="11955"/>
        <v>Bristolville</v>
      </c>
    </row>
    <row r="11958" spans="1:5">
      <c r="A11958" s="3" t="s">
        <v>22848</v>
      </c>
      <c r="B11958" s="110" t="s">
        <v>1361</v>
      </c>
      <c r="C11958" s="113" t="s">
        <v>22849</v>
      </c>
      <c r="D11958" s="111" t="str">
        <f t="shared" ref="D11958:E11958" si="11956">TRIM(B11958)</f>
        <v>Ohio</v>
      </c>
      <c r="E11958" s="111" t="str">
        <f t="shared" si="11956"/>
        <v>Broadview Heights</v>
      </c>
    </row>
    <row r="11959" spans="1:5">
      <c r="A11959" s="3" t="s">
        <v>8375</v>
      </c>
      <c r="B11959" s="110" t="s">
        <v>1361</v>
      </c>
      <c r="C11959" s="112" t="s">
        <v>430</v>
      </c>
      <c r="D11959" s="111" t="str">
        <f t="shared" ref="D11959:E11959" si="11957">TRIM(B11959)</f>
        <v>Ohio</v>
      </c>
      <c r="E11959" s="111" t="str">
        <f t="shared" si="11957"/>
        <v>Brookfield</v>
      </c>
    </row>
    <row r="11960" spans="1:5">
      <c r="A11960" s="3" t="s">
        <v>22850</v>
      </c>
      <c r="B11960" s="110" t="s">
        <v>1361</v>
      </c>
      <c r="C11960" s="111" t="s">
        <v>326</v>
      </c>
      <c r="D11960" s="111" t="str">
        <f t="shared" ref="D11960:E11960" si="11958">TRIM(B11960)</f>
        <v>Ohio</v>
      </c>
      <c r="E11960" s="111" t="str">
        <f t="shared" si="11958"/>
        <v>Brooklyn</v>
      </c>
    </row>
    <row r="11961" spans="1:5">
      <c r="A11961" s="3" t="s">
        <v>22851</v>
      </c>
      <c r="B11961" s="110" t="s">
        <v>1361</v>
      </c>
      <c r="C11961" s="111" t="s">
        <v>14162</v>
      </c>
      <c r="D11961" s="111" t="str">
        <f t="shared" ref="D11961:E11961" si="11959">TRIM(B11961)</f>
        <v>Ohio</v>
      </c>
      <c r="E11961" s="111" t="str">
        <f t="shared" si="11959"/>
        <v>Brookville</v>
      </c>
    </row>
    <row r="11962" spans="1:5">
      <c r="A11962" s="3" t="s">
        <v>10466</v>
      </c>
      <c r="B11962" s="110" t="s">
        <v>1361</v>
      </c>
      <c r="C11962" s="111" t="s">
        <v>10467</v>
      </c>
      <c r="D11962" s="111" t="str">
        <f t="shared" ref="D11962:E11962" si="11960">TRIM(B11962)</f>
        <v>Ohio</v>
      </c>
      <c r="E11962" s="111" t="str">
        <f t="shared" si="11960"/>
        <v>Brunswick</v>
      </c>
    </row>
    <row r="11963" spans="1:5">
      <c r="A11963" s="3" t="s">
        <v>22852</v>
      </c>
      <c r="B11963" s="110" t="s">
        <v>1361</v>
      </c>
      <c r="C11963" s="111" t="s">
        <v>13607</v>
      </c>
      <c r="D11963" s="111" t="str">
        <f t="shared" ref="D11963:E11963" si="11961">TRIM(B11963)</f>
        <v>Ohio</v>
      </c>
      <c r="E11963" s="111" t="str">
        <f t="shared" si="11961"/>
        <v>Bryan</v>
      </c>
    </row>
    <row r="11964" spans="1:5">
      <c r="A11964" s="110" t="s">
        <v>22853</v>
      </c>
      <c r="B11964" s="110" t="s">
        <v>1361</v>
      </c>
      <c r="C11964" s="111" t="s">
        <v>22854</v>
      </c>
      <c r="D11964" s="111" t="str">
        <f t="shared" ref="D11964:E11964" si="11962">TRIM(B11964)</f>
        <v>Ohio</v>
      </c>
      <c r="E11964" s="111" t="str">
        <f t="shared" si="11962"/>
        <v>Bucyrus</v>
      </c>
    </row>
    <row r="11965" spans="1:5">
      <c r="A11965" s="3" t="s">
        <v>22855</v>
      </c>
      <c r="B11965" s="110" t="s">
        <v>1361</v>
      </c>
      <c r="C11965" s="111" t="s">
        <v>22854</v>
      </c>
      <c r="D11965" s="111" t="str">
        <f t="shared" ref="D11965:E11965" si="11963">TRIM(B11965)</f>
        <v>Ohio</v>
      </c>
      <c r="E11965" s="111" t="str">
        <f t="shared" si="11963"/>
        <v>Bucyrus</v>
      </c>
    </row>
    <row r="11966" spans="1:5">
      <c r="A11966" s="3" t="s">
        <v>22856</v>
      </c>
      <c r="B11966" s="110" t="s">
        <v>1361</v>
      </c>
      <c r="C11966" s="111" t="s">
        <v>11495</v>
      </c>
      <c r="D11966" s="111" t="str">
        <f t="shared" ref="D11966:E11966" si="11964">TRIM(B11966)</f>
        <v>Ohio</v>
      </c>
      <c r="E11966" s="111" t="str">
        <f t="shared" si="11964"/>
        <v>Burton</v>
      </c>
    </row>
    <row r="11967" spans="1:5">
      <c r="A11967" s="3" t="s">
        <v>22857</v>
      </c>
      <c r="B11967" s="110" t="s">
        <v>1361</v>
      </c>
      <c r="C11967" s="112" t="s">
        <v>22858</v>
      </c>
      <c r="D11967" s="111" t="str">
        <f t="shared" ref="D11967:E11967" si="11965">TRIM(B11967)</f>
        <v>Ohio</v>
      </c>
      <c r="E11967" s="111" t="str">
        <f t="shared" si="11965"/>
        <v>Byesville</v>
      </c>
    </row>
    <row r="11968" spans="1:5">
      <c r="A11968" s="3" t="s">
        <v>22859</v>
      </c>
      <c r="B11968" s="110" t="s">
        <v>1361</v>
      </c>
      <c r="C11968" s="111" t="s">
        <v>15639</v>
      </c>
      <c r="D11968" s="111" t="str">
        <f t="shared" ref="D11968:E11968" si="11966">TRIM(B11968)</f>
        <v>Ohio</v>
      </c>
      <c r="E11968" s="111" t="str">
        <f t="shared" si="11966"/>
        <v>Cadiz</v>
      </c>
    </row>
    <row r="11969" spans="1:5">
      <c r="A11969" s="3" t="s">
        <v>22860</v>
      </c>
      <c r="B11969" s="110" t="s">
        <v>1361</v>
      </c>
      <c r="C11969" s="111" t="s">
        <v>271</v>
      </c>
      <c r="D11969" s="111" t="str">
        <f t="shared" ref="D11969:E11969" si="11967">TRIM(B11969)</f>
        <v>Ohio</v>
      </c>
      <c r="E11969" s="111" t="str">
        <f t="shared" si="11967"/>
        <v>Caldwell</v>
      </c>
    </row>
    <row r="11970" spans="1:5">
      <c r="A11970" s="3" t="s">
        <v>2863</v>
      </c>
      <c r="B11970" s="110" t="s">
        <v>1361</v>
      </c>
      <c r="C11970" s="111" t="s">
        <v>2063</v>
      </c>
      <c r="D11970" s="111" t="str">
        <f t="shared" ref="D11970:E11970" si="11968">TRIM(B11970)</f>
        <v>Ohio</v>
      </c>
      <c r="E11970" s="111" t="str">
        <f t="shared" si="11968"/>
        <v>Caledonia</v>
      </c>
    </row>
    <row r="11971" spans="1:5">
      <c r="A11971" s="3" t="s">
        <v>11094</v>
      </c>
      <c r="B11971" s="110" t="s">
        <v>1361</v>
      </c>
      <c r="C11971" s="111" t="s">
        <v>11260</v>
      </c>
      <c r="D11971" s="111" t="str">
        <f t="shared" ref="D11971:E11971" si="11969">TRIM(B11971)</f>
        <v>Ohio</v>
      </c>
      <c r="E11971" s="111" t="str">
        <f t="shared" si="11969"/>
        <v>Cambridge</v>
      </c>
    </row>
    <row r="11972" spans="1:5">
      <c r="A11972" s="3" t="s">
        <v>22861</v>
      </c>
      <c r="B11972" s="110" t="s">
        <v>1361</v>
      </c>
      <c r="C11972" s="111" t="s">
        <v>773</v>
      </c>
      <c r="D11972" s="111" t="str">
        <f t="shared" ref="D11972:E11972" si="11970">TRIM(B11972)</f>
        <v>Ohio</v>
      </c>
      <c r="E11972" s="111" t="str">
        <f t="shared" si="11970"/>
        <v>Camden</v>
      </c>
    </row>
    <row r="11973" spans="1:5">
      <c r="A11973" s="3" t="s">
        <v>17870</v>
      </c>
      <c r="B11973" s="110" t="s">
        <v>1361</v>
      </c>
      <c r="C11973" s="111" t="s">
        <v>4578</v>
      </c>
      <c r="D11973" s="111" t="str">
        <f t="shared" ref="D11973:E11973" si="11971">TRIM(B11973)</f>
        <v>Ohio</v>
      </c>
      <c r="E11973" s="111" t="str">
        <f t="shared" si="11971"/>
        <v>Campbell</v>
      </c>
    </row>
    <row r="11974" spans="1:5">
      <c r="A11974" s="3" t="s">
        <v>15590</v>
      </c>
      <c r="B11974" s="110" t="s">
        <v>1361</v>
      </c>
      <c r="C11974" s="111" t="s">
        <v>22862</v>
      </c>
      <c r="D11974" s="111" t="str">
        <f t="shared" ref="D11974:E11974" si="11972">TRIM(B11974)</f>
        <v>Ohio</v>
      </c>
      <c r="E11974" s="111" t="str">
        <f t="shared" si="11972"/>
        <v>Canal Fulton</v>
      </c>
    </row>
    <row r="11975" spans="1:5">
      <c r="A11975" s="3" t="s">
        <v>22863</v>
      </c>
      <c r="B11975" s="110" t="s">
        <v>1361</v>
      </c>
      <c r="C11975" s="113" t="s">
        <v>12767</v>
      </c>
      <c r="D11975" s="111" t="str">
        <f t="shared" ref="D11975:E11975" si="11973">TRIM(B11975)</f>
        <v>Ohio</v>
      </c>
      <c r="E11975" s="111" t="str">
        <f t="shared" si="11973"/>
        <v>Canal Winchester</v>
      </c>
    </row>
    <row r="11976" spans="1:5">
      <c r="A11976" s="3" t="s">
        <v>22864</v>
      </c>
      <c r="B11976" s="110" t="s">
        <v>1361</v>
      </c>
      <c r="C11976" s="111" t="s">
        <v>22865</v>
      </c>
      <c r="D11976" s="111" t="str">
        <f t="shared" ref="D11976:E11976" si="11974">TRIM(B11976)</f>
        <v>Ohio</v>
      </c>
      <c r="E11976" s="111" t="str">
        <f t="shared" si="11974"/>
        <v>Canfield</v>
      </c>
    </row>
    <row r="11977" spans="1:5">
      <c r="A11977" s="3" t="s">
        <v>22866</v>
      </c>
      <c r="B11977" s="110" t="s">
        <v>1361</v>
      </c>
      <c r="C11977" s="111" t="s">
        <v>22865</v>
      </c>
      <c r="D11977" s="111" t="str">
        <f t="shared" ref="D11977:E11977" si="11975">TRIM(B11977)</f>
        <v>Ohio</v>
      </c>
      <c r="E11977" s="111" t="str">
        <f t="shared" si="11975"/>
        <v>Canfield</v>
      </c>
    </row>
    <row r="11978" spans="1:5">
      <c r="A11978" s="3" t="s">
        <v>22867</v>
      </c>
      <c r="B11978" s="110" t="s">
        <v>1361</v>
      </c>
      <c r="C11978" s="111" t="s">
        <v>1205</v>
      </c>
      <c r="D11978" s="111" t="str">
        <f t="shared" ref="D11978:E11978" si="11976">TRIM(B11978)</f>
        <v>Ohio</v>
      </c>
      <c r="E11978" s="111" t="str">
        <f t="shared" si="11976"/>
        <v>Canton</v>
      </c>
    </row>
    <row r="11979" spans="1:5">
      <c r="A11979" s="3" t="s">
        <v>22868</v>
      </c>
      <c r="B11979" s="110" t="s">
        <v>1361</v>
      </c>
      <c r="C11979" s="111" t="s">
        <v>1205</v>
      </c>
      <c r="D11979" s="111" t="str">
        <f t="shared" ref="D11979:E11979" si="11977">TRIM(B11979)</f>
        <v>Ohio</v>
      </c>
      <c r="E11979" s="111" t="str">
        <f t="shared" si="11977"/>
        <v>Canton</v>
      </c>
    </row>
    <row r="11980" spans="1:5">
      <c r="A11980" s="3" t="s">
        <v>22869</v>
      </c>
      <c r="B11980" s="110" t="s">
        <v>1361</v>
      </c>
      <c r="C11980" s="111" t="s">
        <v>1205</v>
      </c>
      <c r="D11980" s="111" t="str">
        <f t="shared" ref="D11980:E11980" si="11978">TRIM(B11980)</f>
        <v>Ohio</v>
      </c>
      <c r="E11980" s="111" t="str">
        <f t="shared" si="11978"/>
        <v>Canton</v>
      </c>
    </row>
    <row r="11981" spans="1:5">
      <c r="A11981" s="110" t="s">
        <v>22870</v>
      </c>
      <c r="B11981" s="110" t="s">
        <v>1361</v>
      </c>
      <c r="C11981" s="111" t="s">
        <v>1205</v>
      </c>
      <c r="D11981" s="111" t="str">
        <f t="shared" ref="D11981:E11981" si="11979">TRIM(B11981)</f>
        <v>Ohio</v>
      </c>
      <c r="E11981" s="111" t="str">
        <f t="shared" si="11979"/>
        <v>Canton</v>
      </c>
    </row>
    <row r="11982" spans="1:5">
      <c r="A11982" s="3" t="s">
        <v>22871</v>
      </c>
      <c r="B11982" s="110" t="s">
        <v>1361</v>
      </c>
      <c r="C11982" s="111" t="s">
        <v>1205</v>
      </c>
      <c r="D11982" s="111" t="str">
        <f t="shared" ref="D11982:E11982" si="11980">TRIM(B11982)</f>
        <v>Ohio</v>
      </c>
      <c r="E11982" s="111" t="str">
        <f t="shared" si="11980"/>
        <v>Canton</v>
      </c>
    </row>
    <row r="11983" spans="1:5">
      <c r="A11983" s="3" t="s">
        <v>22872</v>
      </c>
      <c r="B11983" s="110" t="s">
        <v>1361</v>
      </c>
      <c r="C11983" s="111" t="s">
        <v>1205</v>
      </c>
      <c r="D11983" s="111" t="str">
        <f t="shared" ref="D11983:E11983" si="11981">TRIM(B11983)</f>
        <v>Ohio</v>
      </c>
      <c r="E11983" s="111" t="str">
        <f t="shared" si="11981"/>
        <v>Canton</v>
      </c>
    </row>
    <row r="11984" spans="1:5">
      <c r="A11984" s="3" t="s">
        <v>22873</v>
      </c>
      <c r="B11984" s="110" t="s">
        <v>1361</v>
      </c>
      <c r="C11984" s="111" t="s">
        <v>1205</v>
      </c>
      <c r="D11984" s="111" t="str">
        <f t="shared" ref="D11984:E11984" si="11982">TRIM(B11984)</f>
        <v>Ohio</v>
      </c>
      <c r="E11984" s="111" t="str">
        <f t="shared" si="11982"/>
        <v>Canton</v>
      </c>
    </row>
    <row r="11985" spans="1:5">
      <c r="A11985" s="3" t="s">
        <v>22874</v>
      </c>
      <c r="B11985" s="110" t="s">
        <v>1361</v>
      </c>
      <c r="C11985" s="111" t="s">
        <v>22875</v>
      </c>
      <c r="D11985" s="111" t="str">
        <f t="shared" ref="D11985:E11985" si="11983">TRIM(B11985)</f>
        <v>Ohio</v>
      </c>
      <c r="E11985" s="111" t="str">
        <f t="shared" si="11983"/>
        <v>Cardington</v>
      </c>
    </row>
    <row r="11986" spans="1:5">
      <c r="A11986" s="110" t="s">
        <v>22876</v>
      </c>
      <c r="B11986" s="110" t="s">
        <v>1361</v>
      </c>
      <c r="C11986" s="111" t="s">
        <v>22875</v>
      </c>
      <c r="D11986" s="111" t="str">
        <f t="shared" ref="D11986:E11986" si="11984">TRIM(B11986)</f>
        <v>Ohio</v>
      </c>
      <c r="E11986" s="111" t="str">
        <f t="shared" si="11984"/>
        <v>Cardington</v>
      </c>
    </row>
    <row r="11987" spans="1:5">
      <c r="A11987" s="3" t="s">
        <v>22877</v>
      </c>
      <c r="B11987" s="110" t="s">
        <v>1361</v>
      </c>
      <c r="C11987" s="111" t="s">
        <v>22878</v>
      </c>
      <c r="D11987" s="111" t="str">
        <f t="shared" ref="D11987:E11987" si="11985">TRIM(B11987)</f>
        <v>Ohio</v>
      </c>
      <c r="E11987" s="111" t="str">
        <f t="shared" si="11985"/>
        <v>Carey</v>
      </c>
    </row>
    <row r="11988" spans="1:5">
      <c r="A11988" s="3" t="s">
        <v>3669</v>
      </c>
      <c r="B11988" s="110" t="s">
        <v>1361</v>
      </c>
      <c r="C11988" s="111" t="s">
        <v>3670</v>
      </c>
      <c r="D11988" s="111" t="str">
        <f t="shared" ref="D11988:E11988" si="11986">TRIM(B11988)</f>
        <v>Ohio</v>
      </c>
      <c r="E11988" s="111" t="str">
        <f t="shared" si="11986"/>
        <v>Carlisle</v>
      </c>
    </row>
    <row r="11989" spans="1:5">
      <c r="A11989" s="3" t="s">
        <v>22879</v>
      </c>
      <c r="B11989" s="110" t="s">
        <v>1361</v>
      </c>
      <c r="C11989" s="112" t="s">
        <v>14736</v>
      </c>
      <c r="D11989" s="111" t="str">
        <f t="shared" ref="D11989:E11989" si="11987">TRIM(B11989)</f>
        <v>Ohio</v>
      </c>
      <c r="E11989" s="111" t="str">
        <f t="shared" si="11987"/>
        <v>Carroll</v>
      </c>
    </row>
    <row r="11990" spans="1:5">
      <c r="A11990" s="3" t="s">
        <v>10505</v>
      </c>
      <c r="B11990" s="110" t="s">
        <v>1361</v>
      </c>
      <c r="C11990" s="112" t="s">
        <v>5618</v>
      </c>
      <c r="D11990" s="111" t="str">
        <f t="shared" ref="D11990:E11990" si="11988">TRIM(B11990)</f>
        <v>Ohio</v>
      </c>
      <c r="E11990" s="111" t="str">
        <f t="shared" si="11988"/>
        <v>Carrollton</v>
      </c>
    </row>
    <row r="11991" spans="1:5">
      <c r="A11991" s="3" t="s">
        <v>22880</v>
      </c>
      <c r="B11991" s="110" t="s">
        <v>1361</v>
      </c>
      <c r="C11991" s="111" t="s">
        <v>22881</v>
      </c>
      <c r="D11991" s="111" t="str">
        <f t="shared" ref="D11991:E11991" si="11989">TRIM(B11991)</f>
        <v>Ohio</v>
      </c>
      <c r="E11991" s="111" t="str">
        <f t="shared" si="11989"/>
        <v>Casstown</v>
      </c>
    </row>
    <row r="11992" spans="1:5">
      <c r="A11992" s="3" t="s">
        <v>22882</v>
      </c>
      <c r="B11992" s="110" t="s">
        <v>1361</v>
      </c>
      <c r="C11992" s="111" t="s">
        <v>22883</v>
      </c>
      <c r="D11992" s="111" t="str">
        <f t="shared" ref="D11992:E11992" si="11990">TRIM(B11992)</f>
        <v>Ohio</v>
      </c>
      <c r="E11992" s="111" t="str">
        <f t="shared" si="11990"/>
        <v>Castalia</v>
      </c>
    </row>
    <row r="11993" spans="1:5">
      <c r="A11993" s="110" t="s">
        <v>22884</v>
      </c>
      <c r="B11993" s="110" t="s">
        <v>1361</v>
      </c>
      <c r="C11993" s="111" t="s">
        <v>22883</v>
      </c>
      <c r="D11993" s="111" t="str">
        <f t="shared" ref="D11993:E11993" si="11991">TRIM(B11993)</f>
        <v>Ohio</v>
      </c>
      <c r="E11993" s="111" t="str">
        <f t="shared" si="11991"/>
        <v>Castalia</v>
      </c>
    </row>
    <row r="11994" spans="1:5">
      <c r="A11994" s="3" t="s">
        <v>3675</v>
      </c>
      <c r="B11994" s="110" t="s">
        <v>1361</v>
      </c>
      <c r="C11994" s="111" t="s">
        <v>3676</v>
      </c>
      <c r="D11994" s="111" t="str">
        <f t="shared" ref="D11994:E11994" si="11992">TRIM(B11994)</f>
        <v>Ohio</v>
      </c>
      <c r="E11994" s="111" t="str">
        <f t="shared" si="11992"/>
        <v>Cedarville</v>
      </c>
    </row>
    <row r="11995" spans="1:5">
      <c r="A11995" s="3" t="s">
        <v>22885</v>
      </c>
      <c r="B11995" s="110" t="s">
        <v>1361</v>
      </c>
      <c r="C11995" s="111" t="s">
        <v>22886</v>
      </c>
      <c r="D11995" s="111" t="str">
        <f t="shared" ref="D11995:E11995" si="11993">TRIM(B11995)</f>
        <v>Ohio</v>
      </c>
      <c r="E11995" s="111" t="str">
        <f t="shared" si="11993"/>
        <v>Celina</v>
      </c>
    </row>
    <row r="11996" spans="1:5">
      <c r="A11996" s="3" t="s">
        <v>22887</v>
      </c>
      <c r="B11996" s="110" t="s">
        <v>1361</v>
      </c>
      <c r="C11996" s="111" t="s">
        <v>22888</v>
      </c>
      <c r="D11996" s="111" t="str">
        <f t="shared" ref="D11996:E11996" si="11994">TRIM(B11996)</f>
        <v>Ohio</v>
      </c>
      <c r="E11996" s="111" t="str">
        <f t="shared" si="11994"/>
        <v>Centerburg</v>
      </c>
    </row>
    <row r="11997" spans="1:5">
      <c r="A11997" s="3" t="s">
        <v>14741</v>
      </c>
      <c r="B11997" s="110" t="s">
        <v>1361</v>
      </c>
      <c r="C11997" s="111" t="s">
        <v>12830</v>
      </c>
      <c r="D11997" s="111" t="str">
        <f t="shared" ref="D11997:E11997" si="11995">TRIM(B11997)</f>
        <v>Ohio</v>
      </c>
      <c r="E11997" s="111" t="str">
        <f t="shared" si="11995"/>
        <v>Centerville</v>
      </c>
    </row>
    <row r="11998" spans="1:5">
      <c r="A11998" s="3" t="s">
        <v>22889</v>
      </c>
      <c r="B11998" s="110" t="s">
        <v>1361</v>
      </c>
      <c r="C11998" s="111" t="s">
        <v>12889</v>
      </c>
      <c r="D11998" s="111" t="str">
        <f t="shared" ref="D11998:E11998" si="11996">TRIM(B11998)</f>
        <v>Ohio</v>
      </c>
      <c r="E11998" s="111" t="str">
        <f t="shared" si="11996"/>
        <v>Chagrin Falls</v>
      </c>
    </row>
    <row r="11999" spans="1:5">
      <c r="A11999" s="3" t="s">
        <v>22890</v>
      </c>
      <c r="B11999" s="110" t="s">
        <v>1361</v>
      </c>
      <c r="C11999" s="111" t="s">
        <v>12889</v>
      </c>
      <c r="D11999" s="111" t="str">
        <f t="shared" ref="D11999:E11999" si="11997">TRIM(B11999)</f>
        <v>Ohio</v>
      </c>
      <c r="E11999" s="111" t="str">
        <f t="shared" si="11997"/>
        <v>Chagrin Falls</v>
      </c>
    </row>
    <row r="12000" spans="1:5">
      <c r="A12000" s="3" t="s">
        <v>22891</v>
      </c>
      <c r="B12000" s="110" t="s">
        <v>1361</v>
      </c>
      <c r="C12000" s="111" t="s">
        <v>22892</v>
      </c>
      <c r="D12000" s="111" t="str">
        <f t="shared" ref="D12000:E12000" si="11998">TRIM(B12000)</f>
        <v>Ohio</v>
      </c>
      <c r="E12000" s="111" t="str">
        <f t="shared" si="11998"/>
        <v>Chardon</v>
      </c>
    </row>
    <row r="12001" spans="1:5">
      <c r="A12001" s="3" t="s">
        <v>16335</v>
      </c>
      <c r="B12001" s="110" t="s">
        <v>1361</v>
      </c>
      <c r="C12001" s="111" t="s">
        <v>14080</v>
      </c>
      <c r="D12001" s="111" t="str">
        <f t="shared" ref="D12001:E12001" si="11999">TRIM(B12001)</f>
        <v>Ohio</v>
      </c>
      <c r="E12001" s="111" t="str">
        <f t="shared" si="11999"/>
        <v>Chesapeake</v>
      </c>
    </row>
    <row r="12002" spans="1:5">
      <c r="A12002" s="3" t="s">
        <v>22893</v>
      </c>
      <c r="B12002" s="110" t="s">
        <v>1361</v>
      </c>
      <c r="C12002" s="111" t="s">
        <v>22894</v>
      </c>
      <c r="D12002" s="111" t="str">
        <f t="shared" ref="D12002:E12002" si="12000">TRIM(B12002)</f>
        <v>Ohio</v>
      </c>
      <c r="E12002" s="111" t="str">
        <f t="shared" si="12000"/>
        <v>Chesterland</v>
      </c>
    </row>
    <row r="12003" spans="1:5">
      <c r="A12003" s="3" t="s">
        <v>18698</v>
      </c>
      <c r="B12003" s="110" t="s">
        <v>1361</v>
      </c>
      <c r="C12003" s="111" t="s">
        <v>1178</v>
      </c>
      <c r="D12003" s="111" t="str">
        <f t="shared" ref="D12003:E12003" si="12001">TRIM(B12003)</f>
        <v>Ohio</v>
      </c>
      <c r="E12003" s="111" t="str">
        <f t="shared" si="12001"/>
        <v>Chillicothe</v>
      </c>
    </row>
    <row r="12004" spans="1:5">
      <c r="A12004" s="3" t="s">
        <v>16109</v>
      </c>
      <c r="B12004" s="110" t="s">
        <v>1361</v>
      </c>
      <c r="C12004" s="111" t="s">
        <v>1178</v>
      </c>
      <c r="D12004" s="111" t="str">
        <f t="shared" ref="D12004:E12004" si="12002">TRIM(B12004)</f>
        <v>Ohio</v>
      </c>
      <c r="E12004" s="111" t="str">
        <f t="shared" si="12002"/>
        <v>Chillicothe</v>
      </c>
    </row>
    <row r="12005" spans="1:5">
      <c r="A12005" s="3" t="s">
        <v>10150</v>
      </c>
      <c r="B12005" s="110" t="s">
        <v>1361</v>
      </c>
      <c r="C12005" s="111" t="s">
        <v>1178</v>
      </c>
      <c r="D12005" s="111" t="str">
        <f t="shared" ref="D12005:E12005" si="12003">TRIM(B12005)</f>
        <v>Ohio</v>
      </c>
      <c r="E12005" s="111" t="str">
        <f t="shared" si="12003"/>
        <v>Chillicothe</v>
      </c>
    </row>
    <row r="12006" spans="1:5">
      <c r="A12006" s="3" t="s">
        <v>22895</v>
      </c>
      <c r="B12006" s="110" t="s">
        <v>1361</v>
      </c>
      <c r="C12006" s="111" t="s">
        <v>1178</v>
      </c>
      <c r="D12006" s="111" t="str">
        <f t="shared" ref="D12006:E12006" si="12004">TRIM(B12006)</f>
        <v>Ohio</v>
      </c>
      <c r="E12006" s="111" t="str">
        <f t="shared" si="12004"/>
        <v>Chillicothe</v>
      </c>
    </row>
    <row r="12007" spans="1:5">
      <c r="A12007" s="3" t="s">
        <v>22896</v>
      </c>
      <c r="B12007" s="110" t="s">
        <v>1361</v>
      </c>
      <c r="C12007" s="111" t="s">
        <v>1178</v>
      </c>
      <c r="D12007" s="111" t="str">
        <f t="shared" ref="D12007:E12007" si="12005">TRIM(B12007)</f>
        <v>Ohio</v>
      </c>
      <c r="E12007" s="111" t="str">
        <f t="shared" si="12005"/>
        <v>Chillicothe</v>
      </c>
    </row>
    <row r="12008" spans="1:5">
      <c r="A12008" s="3" t="s">
        <v>22897</v>
      </c>
      <c r="B12008" s="110" t="s">
        <v>1361</v>
      </c>
      <c r="C12008" s="111" t="s">
        <v>665</v>
      </c>
      <c r="D12008" s="111" t="str">
        <f t="shared" ref="D12008:E12008" si="12006">TRIM(B12008)</f>
        <v>Ohio</v>
      </c>
      <c r="E12008" s="111" t="str">
        <f t="shared" si="12006"/>
        <v>Cincinnati</v>
      </c>
    </row>
    <row r="12009" spans="1:5">
      <c r="A12009" s="3" t="s">
        <v>22898</v>
      </c>
      <c r="B12009" s="110" t="s">
        <v>1361</v>
      </c>
      <c r="C12009" s="111" t="s">
        <v>665</v>
      </c>
      <c r="D12009" s="111" t="str">
        <f t="shared" ref="D12009:E12009" si="12007">TRIM(B12009)</f>
        <v>Ohio</v>
      </c>
      <c r="E12009" s="111" t="str">
        <f t="shared" si="12007"/>
        <v>Cincinnati</v>
      </c>
    </row>
    <row r="12010" spans="1:5">
      <c r="A12010" s="3" t="s">
        <v>4344</v>
      </c>
      <c r="B12010" s="110" t="s">
        <v>1361</v>
      </c>
      <c r="C12010" s="111" t="s">
        <v>665</v>
      </c>
      <c r="D12010" s="111" t="str">
        <f t="shared" ref="D12010:E12010" si="12008">TRIM(B12010)</f>
        <v>Ohio</v>
      </c>
      <c r="E12010" s="111" t="str">
        <f t="shared" si="12008"/>
        <v>Cincinnati</v>
      </c>
    </row>
    <row r="12011" spans="1:5">
      <c r="A12011" s="3" t="s">
        <v>22899</v>
      </c>
      <c r="B12011" s="110" t="s">
        <v>1361</v>
      </c>
      <c r="C12011" s="111" t="s">
        <v>665</v>
      </c>
      <c r="D12011" s="111" t="str">
        <f t="shared" ref="D12011:E12011" si="12009">TRIM(B12011)</f>
        <v>Ohio</v>
      </c>
      <c r="E12011" s="111" t="str">
        <f t="shared" si="12009"/>
        <v>Cincinnati</v>
      </c>
    </row>
    <row r="12012" spans="1:5">
      <c r="A12012" s="3" t="s">
        <v>22900</v>
      </c>
      <c r="B12012" s="110" t="s">
        <v>1361</v>
      </c>
      <c r="C12012" s="111" t="s">
        <v>665</v>
      </c>
      <c r="D12012" s="111" t="str">
        <f t="shared" ref="D12012:E12012" si="12010">TRIM(B12012)</f>
        <v>Ohio</v>
      </c>
      <c r="E12012" s="111" t="str">
        <f t="shared" si="12010"/>
        <v>Cincinnati</v>
      </c>
    </row>
    <row r="12013" spans="1:5">
      <c r="A12013" s="3" t="s">
        <v>22901</v>
      </c>
      <c r="B12013" s="110" t="s">
        <v>1361</v>
      </c>
      <c r="C12013" s="111" t="s">
        <v>665</v>
      </c>
      <c r="D12013" s="111" t="str">
        <f t="shared" ref="D12013:E12013" si="12011">TRIM(B12013)</f>
        <v>Ohio</v>
      </c>
      <c r="E12013" s="111" t="str">
        <f t="shared" si="12011"/>
        <v>Cincinnati</v>
      </c>
    </row>
    <row r="12014" spans="1:5">
      <c r="A12014" s="110" t="s">
        <v>22902</v>
      </c>
      <c r="B12014" s="110" t="s">
        <v>1361</v>
      </c>
      <c r="C12014" s="111" t="s">
        <v>665</v>
      </c>
      <c r="D12014" s="111" t="str">
        <f t="shared" ref="D12014:E12014" si="12012">TRIM(B12014)</f>
        <v>Ohio</v>
      </c>
      <c r="E12014" s="111" t="str">
        <f t="shared" si="12012"/>
        <v>Cincinnati</v>
      </c>
    </row>
    <row r="12015" spans="1:5">
      <c r="A12015" s="110" t="s">
        <v>22903</v>
      </c>
      <c r="B12015" s="110" t="s">
        <v>1361</v>
      </c>
      <c r="C12015" s="111" t="s">
        <v>665</v>
      </c>
      <c r="D12015" s="111" t="str">
        <f t="shared" ref="D12015:E12015" si="12013">TRIM(B12015)</f>
        <v>Ohio</v>
      </c>
      <c r="E12015" s="111" t="str">
        <f t="shared" si="12013"/>
        <v>Cincinnati</v>
      </c>
    </row>
    <row r="12016" spans="1:5">
      <c r="A12016" s="3" t="s">
        <v>22904</v>
      </c>
      <c r="B12016" s="110" t="s">
        <v>1361</v>
      </c>
      <c r="C12016" s="111" t="s">
        <v>665</v>
      </c>
      <c r="D12016" s="111" t="str">
        <f t="shared" ref="D12016:E12016" si="12014">TRIM(B12016)</f>
        <v>Ohio</v>
      </c>
      <c r="E12016" s="111" t="str">
        <f t="shared" si="12014"/>
        <v>Cincinnati</v>
      </c>
    </row>
    <row r="12017" spans="1:5">
      <c r="A12017" s="3" t="s">
        <v>22905</v>
      </c>
      <c r="B12017" s="110" t="s">
        <v>1361</v>
      </c>
      <c r="C12017" s="111" t="s">
        <v>665</v>
      </c>
      <c r="D12017" s="111" t="str">
        <f t="shared" ref="D12017:E12017" si="12015">TRIM(B12017)</f>
        <v>Ohio</v>
      </c>
      <c r="E12017" s="111" t="str">
        <f t="shared" si="12015"/>
        <v>Cincinnati</v>
      </c>
    </row>
    <row r="12018" spans="1:5">
      <c r="A12018" s="3" t="s">
        <v>22906</v>
      </c>
      <c r="B12018" s="110" t="s">
        <v>1361</v>
      </c>
      <c r="C12018" s="111" t="s">
        <v>665</v>
      </c>
      <c r="D12018" s="111" t="str">
        <f t="shared" ref="D12018:E12018" si="12016">TRIM(B12018)</f>
        <v>Ohio</v>
      </c>
      <c r="E12018" s="111" t="str">
        <f t="shared" si="12016"/>
        <v>Cincinnati</v>
      </c>
    </row>
    <row r="12019" spans="1:5">
      <c r="A12019" s="3" t="s">
        <v>22907</v>
      </c>
      <c r="B12019" s="110" t="s">
        <v>1361</v>
      </c>
      <c r="C12019" s="111" t="s">
        <v>665</v>
      </c>
      <c r="D12019" s="111" t="str">
        <f t="shared" ref="D12019:E12019" si="12017">TRIM(B12019)</f>
        <v>Ohio</v>
      </c>
      <c r="E12019" s="111" t="str">
        <f t="shared" si="12017"/>
        <v>Cincinnati</v>
      </c>
    </row>
    <row r="12020" spans="1:5">
      <c r="A12020" s="110" t="s">
        <v>22908</v>
      </c>
      <c r="B12020" s="110" t="s">
        <v>1361</v>
      </c>
      <c r="C12020" s="111" t="s">
        <v>665</v>
      </c>
      <c r="D12020" s="111" t="str">
        <f t="shared" ref="D12020:E12020" si="12018">TRIM(B12020)</f>
        <v>Ohio</v>
      </c>
      <c r="E12020" s="111" t="str">
        <f t="shared" si="12018"/>
        <v>Cincinnati</v>
      </c>
    </row>
    <row r="12021" spans="1:5">
      <c r="A12021" s="110" t="s">
        <v>22909</v>
      </c>
      <c r="B12021" s="110" t="s">
        <v>1361</v>
      </c>
      <c r="C12021" s="111" t="s">
        <v>665</v>
      </c>
      <c r="D12021" s="111" t="str">
        <f t="shared" ref="D12021:E12021" si="12019">TRIM(B12021)</f>
        <v>Ohio</v>
      </c>
      <c r="E12021" s="111" t="str">
        <f t="shared" si="12019"/>
        <v>Cincinnati</v>
      </c>
    </row>
    <row r="12022" spans="1:5">
      <c r="A12022" s="3" t="s">
        <v>22910</v>
      </c>
      <c r="B12022" s="110" t="s">
        <v>1361</v>
      </c>
      <c r="C12022" s="111" t="s">
        <v>665</v>
      </c>
      <c r="D12022" s="111" t="str">
        <f t="shared" ref="D12022:E12022" si="12020">TRIM(B12022)</f>
        <v>Ohio</v>
      </c>
      <c r="E12022" s="111" t="str">
        <f t="shared" si="12020"/>
        <v>Cincinnati</v>
      </c>
    </row>
    <row r="12023" spans="1:5">
      <c r="A12023" s="3" t="s">
        <v>22911</v>
      </c>
      <c r="B12023" s="110" t="s">
        <v>1361</v>
      </c>
      <c r="C12023" s="111" t="s">
        <v>665</v>
      </c>
      <c r="D12023" s="111" t="str">
        <f t="shared" ref="D12023:E12023" si="12021">TRIM(B12023)</f>
        <v>Ohio</v>
      </c>
      <c r="E12023" s="111" t="str">
        <f t="shared" si="12021"/>
        <v>Cincinnati</v>
      </c>
    </row>
    <row r="12024" spans="1:5">
      <c r="A12024" s="3" t="s">
        <v>22912</v>
      </c>
      <c r="B12024" s="110" t="s">
        <v>1361</v>
      </c>
      <c r="C12024" s="111" t="s">
        <v>665</v>
      </c>
      <c r="D12024" s="111" t="str">
        <f t="shared" ref="D12024:E12024" si="12022">TRIM(B12024)</f>
        <v>Ohio</v>
      </c>
      <c r="E12024" s="111" t="str">
        <f t="shared" si="12022"/>
        <v>Cincinnati</v>
      </c>
    </row>
    <row r="12025" spans="1:5">
      <c r="A12025" s="3" t="s">
        <v>22913</v>
      </c>
      <c r="B12025" s="110" t="s">
        <v>1361</v>
      </c>
      <c r="C12025" s="111" t="s">
        <v>665</v>
      </c>
      <c r="D12025" s="111" t="str">
        <f t="shared" ref="D12025:E12025" si="12023">TRIM(B12025)</f>
        <v>Ohio</v>
      </c>
      <c r="E12025" s="111" t="str">
        <f t="shared" si="12023"/>
        <v>Cincinnati</v>
      </c>
    </row>
    <row r="12026" spans="1:5">
      <c r="A12026" s="3" t="s">
        <v>15590</v>
      </c>
      <c r="B12026" s="110" t="s">
        <v>1361</v>
      </c>
      <c r="C12026" s="111" t="s">
        <v>665</v>
      </c>
      <c r="D12026" s="111" t="str">
        <f t="shared" ref="D12026:E12026" si="12024">TRIM(B12026)</f>
        <v>Ohio</v>
      </c>
      <c r="E12026" s="111" t="str">
        <f t="shared" si="12024"/>
        <v>Cincinnati</v>
      </c>
    </row>
    <row r="12027" spans="1:5">
      <c r="A12027" s="3" t="s">
        <v>6113</v>
      </c>
      <c r="B12027" s="110" t="s">
        <v>1361</v>
      </c>
      <c r="C12027" s="111" t="s">
        <v>665</v>
      </c>
      <c r="D12027" s="111" t="str">
        <f t="shared" ref="D12027:E12027" si="12025">TRIM(B12027)</f>
        <v>Ohio</v>
      </c>
      <c r="E12027" s="111" t="str">
        <f t="shared" si="12025"/>
        <v>Cincinnati</v>
      </c>
    </row>
    <row r="12028" spans="1:5">
      <c r="A12028" s="3" t="s">
        <v>13665</v>
      </c>
      <c r="B12028" s="110" t="s">
        <v>1361</v>
      </c>
      <c r="C12028" s="111" t="s">
        <v>665</v>
      </c>
      <c r="D12028" s="111" t="str">
        <f t="shared" ref="D12028:E12028" si="12026">TRIM(B12028)</f>
        <v>Ohio</v>
      </c>
      <c r="E12028" s="111" t="str">
        <f t="shared" si="12026"/>
        <v>Cincinnati</v>
      </c>
    </row>
    <row r="12029" spans="1:5">
      <c r="A12029" s="110" t="s">
        <v>22914</v>
      </c>
      <c r="B12029" s="110" t="s">
        <v>1361</v>
      </c>
      <c r="C12029" s="111" t="s">
        <v>665</v>
      </c>
      <c r="D12029" s="111" t="str">
        <f t="shared" ref="D12029:E12029" si="12027">TRIM(B12029)</f>
        <v>Ohio</v>
      </c>
      <c r="E12029" s="111" t="str">
        <f t="shared" si="12027"/>
        <v>Cincinnati</v>
      </c>
    </row>
    <row r="12030" spans="1:5">
      <c r="A12030" s="3" t="s">
        <v>22915</v>
      </c>
      <c r="B12030" s="110" t="s">
        <v>1361</v>
      </c>
      <c r="C12030" s="111" t="s">
        <v>665</v>
      </c>
      <c r="D12030" s="111" t="str">
        <f t="shared" ref="D12030:E12030" si="12028">TRIM(B12030)</f>
        <v>Ohio</v>
      </c>
      <c r="E12030" s="111" t="str">
        <f t="shared" si="12028"/>
        <v>Cincinnati</v>
      </c>
    </row>
    <row r="12031" spans="1:5">
      <c r="A12031" s="3" t="s">
        <v>22916</v>
      </c>
      <c r="B12031" s="110" t="s">
        <v>1361</v>
      </c>
      <c r="C12031" s="111" t="s">
        <v>665</v>
      </c>
      <c r="D12031" s="111" t="str">
        <f t="shared" ref="D12031:E12031" si="12029">TRIM(B12031)</f>
        <v>Ohio</v>
      </c>
      <c r="E12031" s="111" t="str">
        <f t="shared" si="12029"/>
        <v>Cincinnati</v>
      </c>
    </row>
    <row r="12032" spans="1:5">
      <c r="A12032" s="3" t="s">
        <v>13881</v>
      </c>
      <c r="B12032" s="110" t="s">
        <v>1361</v>
      </c>
      <c r="C12032" s="111" t="s">
        <v>665</v>
      </c>
      <c r="D12032" s="111" t="str">
        <f t="shared" ref="D12032:E12032" si="12030">TRIM(B12032)</f>
        <v>Ohio</v>
      </c>
      <c r="E12032" s="111" t="str">
        <f t="shared" si="12030"/>
        <v>Cincinnati</v>
      </c>
    </row>
    <row r="12033" spans="1:5">
      <c r="A12033" s="3" t="s">
        <v>22917</v>
      </c>
      <c r="B12033" s="110" t="s">
        <v>1361</v>
      </c>
      <c r="C12033" s="111" t="s">
        <v>665</v>
      </c>
      <c r="D12033" s="111" t="str">
        <f t="shared" ref="D12033:E12033" si="12031">TRIM(B12033)</f>
        <v>Ohio</v>
      </c>
      <c r="E12033" s="111" t="str">
        <f t="shared" si="12031"/>
        <v>Cincinnati</v>
      </c>
    </row>
    <row r="12034" spans="1:5">
      <c r="A12034" s="3" t="s">
        <v>22918</v>
      </c>
      <c r="B12034" s="110" t="s">
        <v>1361</v>
      </c>
      <c r="C12034" s="111" t="s">
        <v>665</v>
      </c>
      <c r="D12034" s="111" t="str">
        <f t="shared" ref="D12034:E12034" si="12032">TRIM(B12034)</f>
        <v>Ohio</v>
      </c>
      <c r="E12034" s="111" t="str">
        <f t="shared" si="12032"/>
        <v>Cincinnati</v>
      </c>
    </row>
    <row r="12035" spans="1:5">
      <c r="A12035" s="3" t="s">
        <v>22919</v>
      </c>
      <c r="B12035" s="110" t="s">
        <v>1361</v>
      </c>
      <c r="C12035" s="111" t="s">
        <v>665</v>
      </c>
      <c r="D12035" s="111" t="str">
        <f t="shared" ref="D12035:E12035" si="12033">TRIM(B12035)</f>
        <v>Ohio</v>
      </c>
      <c r="E12035" s="111" t="str">
        <f t="shared" si="12033"/>
        <v>Cincinnati</v>
      </c>
    </row>
    <row r="12036" spans="1:5">
      <c r="A12036" s="3" t="s">
        <v>22920</v>
      </c>
      <c r="B12036" s="110" t="s">
        <v>1361</v>
      </c>
      <c r="C12036" s="111" t="s">
        <v>665</v>
      </c>
      <c r="D12036" s="111" t="str">
        <f t="shared" ref="D12036:E12036" si="12034">TRIM(B12036)</f>
        <v>Ohio</v>
      </c>
      <c r="E12036" s="111" t="str">
        <f t="shared" si="12034"/>
        <v>Cincinnati</v>
      </c>
    </row>
    <row r="12037" spans="1:5">
      <c r="A12037" s="3" t="s">
        <v>22921</v>
      </c>
      <c r="B12037" s="110" t="s">
        <v>1361</v>
      </c>
      <c r="C12037" s="111" t="s">
        <v>665</v>
      </c>
      <c r="D12037" s="111" t="str">
        <f t="shared" ref="D12037:E12037" si="12035">TRIM(B12037)</f>
        <v>Ohio</v>
      </c>
      <c r="E12037" s="111" t="str">
        <f t="shared" si="12035"/>
        <v>Cincinnati</v>
      </c>
    </row>
    <row r="12038" spans="1:5">
      <c r="A12038" s="3" t="s">
        <v>22922</v>
      </c>
      <c r="B12038" s="110" t="s">
        <v>1361</v>
      </c>
      <c r="C12038" s="111" t="s">
        <v>665</v>
      </c>
      <c r="D12038" s="111" t="str">
        <f t="shared" ref="D12038:E12038" si="12036">TRIM(B12038)</f>
        <v>Ohio</v>
      </c>
      <c r="E12038" s="111" t="str">
        <f t="shared" si="12036"/>
        <v>Cincinnati</v>
      </c>
    </row>
    <row r="12039" spans="1:5">
      <c r="A12039" s="3" t="s">
        <v>22923</v>
      </c>
      <c r="B12039" s="110" t="s">
        <v>1361</v>
      </c>
      <c r="C12039" s="111" t="s">
        <v>665</v>
      </c>
      <c r="D12039" s="111" t="str">
        <f t="shared" ref="D12039:E12039" si="12037">TRIM(B12039)</f>
        <v>Ohio</v>
      </c>
      <c r="E12039" s="111" t="str">
        <f t="shared" si="12037"/>
        <v>Cincinnati</v>
      </c>
    </row>
    <row r="12040" spans="1:5">
      <c r="A12040" s="3" t="s">
        <v>22924</v>
      </c>
      <c r="B12040" s="110" t="s">
        <v>1361</v>
      </c>
      <c r="C12040" s="111" t="s">
        <v>22925</v>
      </c>
      <c r="D12040" s="111" t="str">
        <f t="shared" ref="D12040:E12040" si="12038">TRIM(B12040)</f>
        <v>Ohio</v>
      </c>
      <c r="E12040" s="111" t="str">
        <f t="shared" si="12038"/>
        <v>Circleville</v>
      </c>
    </row>
    <row r="12041" spans="1:5">
      <c r="A12041" s="3" t="s">
        <v>22926</v>
      </c>
      <c r="B12041" s="110" t="s">
        <v>1361</v>
      </c>
      <c r="C12041" s="111" t="s">
        <v>22925</v>
      </c>
      <c r="D12041" s="111" t="str">
        <f t="shared" ref="D12041:E12041" si="12039">TRIM(B12041)</f>
        <v>Ohio</v>
      </c>
      <c r="E12041" s="111" t="str">
        <f t="shared" si="12039"/>
        <v>Circleville</v>
      </c>
    </row>
    <row r="12042" spans="1:5">
      <c r="A12042" s="3" t="s">
        <v>22927</v>
      </c>
      <c r="B12042" s="110" t="s">
        <v>1361</v>
      </c>
      <c r="C12042" s="111" t="s">
        <v>3693</v>
      </c>
      <c r="D12042" s="111" t="str">
        <f t="shared" ref="D12042:E12042" si="12040">TRIM(B12042)</f>
        <v>Ohio</v>
      </c>
      <c r="E12042" s="111" t="str">
        <f t="shared" si="12040"/>
        <v>Clarksville</v>
      </c>
    </row>
    <row r="12043" spans="1:5">
      <c r="A12043" s="3" t="s">
        <v>22928</v>
      </c>
      <c r="B12043" s="110" t="s">
        <v>1361</v>
      </c>
      <c r="C12043" s="111" t="s">
        <v>1640</v>
      </c>
      <c r="D12043" s="111" t="str">
        <f t="shared" ref="D12043:E12043" si="12041">TRIM(B12043)</f>
        <v>Ohio</v>
      </c>
      <c r="E12043" s="111" t="str">
        <f t="shared" si="12041"/>
        <v>Clayton</v>
      </c>
    </row>
    <row r="12044" spans="1:5">
      <c r="A12044" s="110" t="s">
        <v>22929</v>
      </c>
      <c r="B12044" s="110" t="s">
        <v>1361</v>
      </c>
      <c r="C12044" s="111" t="s">
        <v>127</v>
      </c>
      <c r="D12044" s="111" t="str">
        <f t="shared" ref="D12044:E12044" si="12042">TRIM(B12044)</f>
        <v>Ohio</v>
      </c>
      <c r="E12044" s="111" t="str">
        <f t="shared" si="12042"/>
        <v>Cleveland</v>
      </c>
    </row>
    <row r="12045" spans="1:5">
      <c r="A12045" s="3" t="s">
        <v>22930</v>
      </c>
      <c r="B12045" s="110" t="s">
        <v>1361</v>
      </c>
      <c r="C12045" s="111" t="s">
        <v>127</v>
      </c>
      <c r="D12045" s="111" t="str">
        <f t="shared" ref="D12045:E12045" si="12043">TRIM(B12045)</f>
        <v>Ohio</v>
      </c>
      <c r="E12045" s="111" t="str">
        <f t="shared" si="12043"/>
        <v>Cleveland</v>
      </c>
    </row>
    <row r="12046" spans="1:5">
      <c r="A12046" s="3" t="s">
        <v>22931</v>
      </c>
      <c r="B12046" s="110" t="s">
        <v>1361</v>
      </c>
      <c r="C12046" s="111" t="s">
        <v>127</v>
      </c>
      <c r="D12046" s="111" t="str">
        <f t="shared" ref="D12046:E12046" si="12044">TRIM(B12046)</f>
        <v>Ohio</v>
      </c>
      <c r="E12046" s="111" t="str">
        <f t="shared" si="12044"/>
        <v>Cleveland</v>
      </c>
    </row>
    <row r="12047" spans="1:5">
      <c r="A12047" s="3" t="s">
        <v>22932</v>
      </c>
      <c r="B12047" s="110" t="s">
        <v>1361</v>
      </c>
      <c r="C12047" s="111" t="s">
        <v>127</v>
      </c>
      <c r="D12047" s="111" t="str">
        <f t="shared" ref="D12047:E12047" si="12045">TRIM(B12047)</f>
        <v>Ohio</v>
      </c>
      <c r="E12047" s="111" t="str">
        <f t="shared" si="12045"/>
        <v>Cleveland</v>
      </c>
    </row>
    <row r="12048" spans="1:5">
      <c r="A12048" s="110" t="s">
        <v>22933</v>
      </c>
      <c r="B12048" s="110" t="s">
        <v>1361</v>
      </c>
      <c r="C12048" s="111" t="s">
        <v>127</v>
      </c>
      <c r="D12048" s="111" t="str">
        <f t="shared" ref="D12048:E12048" si="12046">TRIM(B12048)</f>
        <v>Ohio</v>
      </c>
      <c r="E12048" s="111" t="str">
        <f t="shared" si="12046"/>
        <v>Cleveland</v>
      </c>
    </row>
    <row r="12049" spans="1:5">
      <c r="A12049" s="110" t="s">
        <v>22934</v>
      </c>
      <c r="B12049" s="110" t="s">
        <v>1361</v>
      </c>
      <c r="C12049" s="111" t="s">
        <v>127</v>
      </c>
      <c r="D12049" s="111" t="str">
        <f t="shared" ref="D12049:E12049" si="12047">TRIM(B12049)</f>
        <v>Ohio</v>
      </c>
      <c r="E12049" s="111" t="str">
        <f t="shared" si="12047"/>
        <v>Cleveland</v>
      </c>
    </row>
    <row r="12050" spans="1:5">
      <c r="A12050" s="3" t="s">
        <v>22935</v>
      </c>
      <c r="B12050" s="110" t="s">
        <v>1361</v>
      </c>
      <c r="C12050" s="111" t="s">
        <v>127</v>
      </c>
      <c r="D12050" s="111" t="str">
        <f t="shared" ref="D12050:E12050" si="12048">TRIM(B12050)</f>
        <v>Ohio</v>
      </c>
      <c r="E12050" s="111" t="str">
        <f t="shared" si="12048"/>
        <v>Cleveland</v>
      </c>
    </row>
    <row r="12051" spans="1:5">
      <c r="A12051" s="3" t="s">
        <v>22936</v>
      </c>
      <c r="B12051" s="110" t="s">
        <v>1361</v>
      </c>
      <c r="C12051" s="111" t="s">
        <v>127</v>
      </c>
      <c r="D12051" s="111" t="str">
        <f t="shared" ref="D12051:E12051" si="12049">TRIM(B12051)</f>
        <v>Ohio</v>
      </c>
      <c r="E12051" s="111" t="str">
        <f t="shared" si="12049"/>
        <v>Cleveland</v>
      </c>
    </row>
    <row r="12052" spans="1:5">
      <c r="A12052" s="110" t="s">
        <v>22937</v>
      </c>
      <c r="B12052" s="110" t="s">
        <v>1361</v>
      </c>
      <c r="C12052" s="111" t="s">
        <v>127</v>
      </c>
      <c r="D12052" s="111" t="str">
        <f t="shared" ref="D12052:E12052" si="12050">TRIM(B12052)</f>
        <v>Ohio</v>
      </c>
      <c r="E12052" s="111" t="str">
        <f t="shared" si="12050"/>
        <v>Cleveland</v>
      </c>
    </row>
    <row r="12053" spans="1:5">
      <c r="A12053" s="3" t="s">
        <v>22938</v>
      </c>
      <c r="B12053" s="110" t="s">
        <v>1361</v>
      </c>
      <c r="C12053" s="111" t="s">
        <v>127</v>
      </c>
      <c r="D12053" s="111" t="str">
        <f t="shared" ref="D12053:E12053" si="12051">TRIM(B12053)</f>
        <v>Ohio</v>
      </c>
      <c r="E12053" s="111" t="str">
        <f t="shared" si="12051"/>
        <v>Cleveland</v>
      </c>
    </row>
    <row r="12054" spans="1:5">
      <c r="A12054" s="3" t="s">
        <v>22939</v>
      </c>
      <c r="B12054" s="110" t="s">
        <v>1361</v>
      </c>
      <c r="C12054" s="111" t="s">
        <v>127</v>
      </c>
      <c r="D12054" s="111" t="str">
        <f t="shared" ref="D12054:E12054" si="12052">TRIM(B12054)</f>
        <v>Ohio</v>
      </c>
      <c r="E12054" s="111" t="str">
        <f t="shared" si="12052"/>
        <v>Cleveland</v>
      </c>
    </row>
    <row r="12055" spans="1:5">
      <c r="A12055" s="3" t="s">
        <v>22940</v>
      </c>
      <c r="B12055" s="110" t="s">
        <v>1361</v>
      </c>
      <c r="C12055" s="111" t="s">
        <v>127</v>
      </c>
      <c r="D12055" s="111" t="str">
        <f t="shared" ref="D12055:E12055" si="12053">TRIM(B12055)</f>
        <v>Ohio</v>
      </c>
      <c r="E12055" s="111" t="str">
        <f t="shared" si="12053"/>
        <v>Cleveland</v>
      </c>
    </row>
    <row r="12056" spans="1:5">
      <c r="A12056" s="3" t="s">
        <v>15735</v>
      </c>
      <c r="B12056" s="110" t="s">
        <v>1361</v>
      </c>
      <c r="C12056" s="111" t="s">
        <v>127</v>
      </c>
      <c r="D12056" s="111" t="str">
        <f t="shared" ref="D12056:E12056" si="12054">TRIM(B12056)</f>
        <v>Ohio</v>
      </c>
      <c r="E12056" s="111" t="str">
        <f t="shared" si="12054"/>
        <v>Cleveland</v>
      </c>
    </row>
    <row r="12057" spans="1:5">
      <c r="A12057" s="110" t="s">
        <v>22941</v>
      </c>
      <c r="B12057" s="110" t="s">
        <v>1361</v>
      </c>
      <c r="C12057" s="111" t="s">
        <v>127</v>
      </c>
      <c r="D12057" s="111" t="str">
        <f t="shared" ref="D12057:E12057" si="12055">TRIM(B12057)</f>
        <v>Ohio</v>
      </c>
      <c r="E12057" s="111" t="str">
        <f t="shared" si="12055"/>
        <v>Cleveland</v>
      </c>
    </row>
    <row r="12058" spans="1:5">
      <c r="A12058" s="3" t="s">
        <v>22942</v>
      </c>
      <c r="B12058" s="110" t="s">
        <v>1361</v>
      </c>
      <c r="C12058" s="111" t="s">
        <v>127</v>
      </c>
      <c r="D12058" s="111" t="str">
        <f t="shared" ref="D12058:E12058" si="12056">TRIM(B12058)</f>
        <v>Ohio</v>
      </c>
      <c r="E12058" s="111" t="str">
        <f t="shared" si="12056"/>
        <v>Cleveland</v>
      </c>
    </row>
    <row r="12059" spans="1:5">
      <c r="A12059" s="3" t="s">
        <v>22943</v>
      </c>
      <c r="B12059" s="110" t="s">
        <v>1361</v>
      </c>
      <c r="C12059" s="111" t="s">
        <v>127</v>
      </c>
      <c r="D12059" s="111" t="str">
        <f t="shared" ref="D12059:E12059" si="12057">TRIM(B12059)</f>
        <v>Ohio</v>
      </c>
      <c r="E12059" s="111" t="str">
        <f t="shared" si="12057"/>
        <v>Cleveland</v>
      </c>
    </row>
    <row r="12060" spans="1:5">
      <c r="A12060" s="3" t="s">
        <v>22944</v>
      </c>
      <c r="B12060" s="110" t="s">
        <v>1361</v>
      </c>
      <c r="C12060" s="111" t="s">
        <v>127</v>
      </c>
      <c r="D12060" s="111" t="str">
        <f t="shared" ref="D12060:E12060" si="12058">TRIM(B12060)</f>
        <v>Ohio</v>
      </c>
      <c r="E12060" s="111" t="str">
        <f t="shared" si="12058"/>
        <v>Cleveland</v>
      </c>
    </row>
    <row r="12061" spans="1:5">
      <c r="A12061" s="3" t="s">
        <v>22945</v>
      </c>
      <c r="B12061" s="110" t="s">
        <v>1361</v>
      </c>
      <c r="C12061" s="111" t="s">
        <v>127</v>
      </c>
      <c r="D12061" s="111" t="str">
        <f t="shared" ref="D12061:E12061" si="12059">TRIM(B12061)</f>
        <v>Ohio</v>
      </c>
      <c r="E12061" s="111" t="str">
        <f t="shared" si="12059"/>
        <v>Cleveland</v>
      </c>
    </row>
    <row r="12062" spans="1:5">
      <c r="A12062" s="3" t="s">
        <v>21659</v>
      </c>
      <c r="B12062" s="110" t="s">
        <v>1361</v>
      </c>
      <c r="C12062" s="111" t="s">
        <v>127</v>
      </c>
      <c r="D12062" s="111" t="str">
        <f t="shared" ref="D12062:E12062" si="12060">TRIM(B12062)</f>
        <v>Ohio</v>
      </c>
      <c r="E12062" s="111" t="str">
        <f t="shared" si="12060"/>
        <v>Cleveland</v>
      </c>
    </row>
    <row r="12063" spans="1:5">
      <c r="A12063" s="110" t="s">
        <v>22946</v>
      </c>
      <c r="B12063" s="110" t="s">
        <v>1361</v>
      </c>
      <c r="C12063" s="111" t="s">
        <v>127</v>
      </c>
      <c r="D12063" s="111" t="str">
        <f t="shared" ref="D12063:E12063" si="12061">TRIM(B12063)</f>
        <v>Ohio</v>
      </c>
      <c r="E12063" s="111" t="str">
        <f t="shared" si="12061"/>
        <v>Cleveland</v>
      </c>
    </row>
    <row r="12064" spans="1:5">
      <c r="A12064" s="110" t="s">
        <v>22947</v>
      </c>
      <c r="B12064" s="110" t="s">
        <v>1361</v>
      </c>
      <c r="C12064" s="111" t="s">
        <v>127</v>
      </c>
      <c r="D12064" s="111" t="str">
        <f t="shared" ref="D12064:E12064" si="12062">TRIM(B12064)</f>
        <v>Ohio</v>
      </c>
      <c r="E12064" s="111" t="str">
        <f t="shared" si="12062"/>
        <v>Cleveland</v>
      </c>
    </row>
    <row r="12065" spans="1:5">
      <c r="A12065" s="110" t="s">
        <v>22948</v>
      </c>
      <c r="B12065" s="110" t="s">
        <v>1361</v>
      </c>
      <c r="C12065" s="111" t="s">
        <v>127</v>
      </c>
      <c r="D12065" s="111" t="str">
        <f t="shared" ref="D12065:E12065" si="12063">TRIM(B12065)</f>
        <v>Ohio</v>
      </c>
      <c r="E12065" s="111" t="str">
        <f t="shared" si="12063"/>
        <v>Cleveland</v>
      </c>
    </row>
    <row r="12066" spans="1:5">
      <c r="A12066" s="3" t="s">
        <v>22949</v>
      </c>
      <c r="B12066" s="110" t="s">
        <v>1361</v>
      </c>
      <c r="C12066" s="111" t="s">
        <v>127</v>
      </c>
      <c r="D12066" s="111" t="str">
        <f t="shared" ref="D12066:E12066" si="12064">TRIM(B12066)</f>
        <v>Ohio</v>
      </c>
      <c r="E12066" s="111" t="str">
        <f t="shared" si="12064"/>
        <v>Cleveland</v>
      </c>
    </row>
    <row r="12067" spans="1:5">
      <c r="A12067" s="110" t="s">
        <v>22950</v>
      </c>
      <c r="B12067" s="110" t="s">
        <v>1361</v>
      </c>
      <c r="C12067" s="111" t="s">
        <v>127</v>
      </c>
      <c r="D12067" s="111" t="str">
        <f t="shared" ref="D12067:E12067" si="12065">TRIM(B12067)</f>
        <v>Ohio</v>
      </c>
      <c r="E12067" s="111" t="str">
        <f t="shared" si="12065"/>
        <v>Cleveland</v>
      </c>
    </row>
    <row r="12068" spans="1:5">
      <c r="A12068" s="3" t="s">
        <v>22951</v>
      </c>
      <c r="B12068" s="110" t="s">
        <v>1361</v>
      </c>
      <c r="C12068" s="111" t="s">
        <v>127</v>
      </c>
      <c r="D12068" s="111" t="str">
        <f t="shared" ref="D12068:E12068" si="12066">TRIM(B12068)</f>
        <v>Ohio</v>
      </c>
      <c r="E12068" s="111" t="str">
        <f t="shared" si="12066"/>
        <v>Cleveland</v>
      </c>
    </row>
    <row r="12069" spans="1:5">
      <c r="A12069" s="110" t="s">
        <v>22952</v>
      </c>
      <c r="B12069" s="110" t="s">
        <v>1361</v>
      </c>
      <c r="C12069" s="111" t="s">
        <v>127</v>
      </c>
      <c r="D12069" s="111" t="str">
        <f t="shared" ref="D12069:E12069" si="12067">TRIM(B12069)</f>
        <v>Ohio</v>
      </c>
      <c r="E12069" s="111" t="str">
        <f t="shared" si="12067"/>
        <v>Cleveland</v>
      </c>
    </row>
    <row r="12070" spans="1:5">
      <c r="A12070" s="3" t="s">
        <v>22953</v>
      </c>
      <c r="B12070" s="110" t="s">
        <v>1361</v>
      </c>
      <c r="C12070" s="111" t="s">
        <v>127</v>
      </c>
      <c r="D12070" s="111" t="str">
        <f t="shared" ref="D12070:E12070" si="12068">TRIM(B12070)</f>
        <v>Ohio</v>
      </c>
      <c r="E12070" s="111" t="str">
        <f t="shared" si="12068"/>
        <v>Cleveland</v>
      </c>
    </row>
    <row r="12071" spans="1:5">
      <c r="A12071" s="3" t="s">
        <v>15769</v>
      </c>
      <c r="B12071" s="110" t="s">
        <v>1361</v>
      </c>
      <c r="C12071" s="111" t="s">
        <v>127</v>
      </c>
      <c r="D12071" s="111" t="str">
        <f t="shared" ref="D12071:E12071" si="12069">TRIM(B12071)</f>
        <v>Ohio</v>
      </c>
      <c r="E12071" s="111" t="str">
        <f t="shared" si="12069"/>
        <v>Cleveland</v>
      </c>
    </row>
    <row r="12072" spans="1:5">
      <c r="A12072" s="3" t="s">
        <v>22954</v>
      </c>
      <c r="B12072" s="110" t="s">
        <v>1361</v>
      </c>
      <c r="C12072" s="111" t="s">
        <v>127</v>
      </c>
      <c r="D12072" s="111" t="str">
        <f t="shared" ref="D12072:E12072" si="12070">TRIM(B12072)</f>
        <v>Ohio</v>
      </c>
      <c r="E12072" s="111" t="str">
        <f t="shared" si="12070"/>
        <v>Cleveland</v>
      </c>
    </row>
    <row r="12073" spans="1:5">
      <c r="A12073" s="3" t="s">
        <v>22955</v>
      </c>
      <c r="B12073" s="110" t="s">
        <v>1361</v>
      </c>
      <c r="C12073" s="111" t="s">
        <v>127</v>
      </c>
      <c r="D12073" s="111" t="str">
        <f t="shared" ref="D12073:E12073" si="12071">TRIM(B12073)</f>
        <v>Ohio</v>
      </c>
      <c r="E12073" s="111" t="str">
        <f t="shared" si="12071"/>
        <v>Cleveland</v>
      </c>
    </row>
    <row r="12074" spans="1:5">
      <c r="A12074" s="110" t="s">
        <v>22956</v>
      </c>
      <c r="B12074" s="110" t="s">
        <v>1361</v>
      </c>
      <c r="C12074" s="111" t="s">
        <v>127</v>
      </c>
      <c r="D12074" s="111" t="str">
        <f t="shared" ref="D12074:E12074" si="12072">TRIM(B12074)</f>
        <v>Ohio</v>
      </c>
      <c r="E12074" s="111" t="str">
        <f t="shared" si="12072"/>
        <v>Cleveland</v>
      </c>
    </row>
    <row r="12075" spans="1:5">
      <c r="A12075" s="3" t="s">
        <v>22957</v>
      </c>
      <c r="B12075" s="110" t="s">
        <v>1361</v>
      </c>
      <c r="C12075" s="111" t="s">
        <v>127</v>
      </c>
      <c r="D12075" s="111" t="str">
        <f t="shared" ref="D12075:E12075" si="12073">TRIM(B12075)</f>
        <v>Ohio</v>
      </c>
      <c r="E12075" s="111" t="str">
        <f t="shared" si="12073"/>
        <v>Cleveland</v>
      </c>
    </row>
    <row r="12076" spans="1:5">
      <c r="A12076" s="110" t="s">
        <v>22958</v>
      </c>
      <c r="B12076" s="110" t="s">
        <v>1361</v>
      </c>
      <c r="C12076" s="111" t="s">
        <v>127</v>
      </c>
      <c r="D12076" s="111" t="str">
        <f t="shared" ref="D12076:E12076" si="12074">TRIM(B12076)</f>
        <v>Ohio</v>
      </c>
      <c r="E12076" s="111" t="str">
        <f t="shared" si="12074"/>
        <v>Cleveland</v>
      </c>
    </row>
    <row r="12077" spans="1:5">
      <c r="A12077" s="3" t="s">
        <v>22959</v>
      </c>
      <c r="B12077" s="110" t="s">
        <v>1361</v>
      </c>
      <c r="C12077" s="111" t="s">
        <v>127</v>
      </c>
      <c r="D12077" s="111" t="str">
        <f t="shared" ref="D12077:E12077" si="12075">TRIM(B12077)</f>
        <v>Ohio</v>
      </c>
      <c r="E12077" s="111" t="str">
        <f t="shared" si="12075"/>
        <v>Cleveland</v>
      </c>
    </row>
    <row r="12078" spans="1:5">
      <c r="A12078" s="3" t="s">
        <v>22960</v>
      </c>
      <c r="B12078" s="110" t="s">
        <v>1361</v>
      </c>
      <c r="C12078" s="111" t="s">
        <v>127</v>
      </c>
      <c r="D12078" s="111" t="str">
        <f t="shared" ref="D12078:E12078" si="12076">TRIM(B12078)</f>
        <v>Ohio</v>
      </c>
      <c r="E12078" s="111" t="str">
        <f t="shared" si="12076"/>
        <v>Cleveland</v>
      </c>
    </row>
    <row r="12079" spans="1:5">
      <c r="A12079" s="110" t="s">
        <v>22961</v>
      </c>
      <c r="B12079" s="110" t="s">
        <v>1361</v>
      </c>
      <c r="C12079" s="111" t="s">
        <v>127</v>
      </c>
      <c r="D12079" s="111" t="str">
        <f t="shared" ref="D12079:E12079" si="12077">TRIM(B12079)</f>
        <v>Ohio</v>
      </c>
      <c r="E12079" s="111" t="str">
        <f t="shared" si="12077"/>
        <v>Cleveland</v>
      </c>
    </row>
    <row r="12080" spans="1:5">
      <c r="A12080" s="110" t="s">
        <v>22962</v>
      </c>
      <c r="B12080" s="110" t="s">
        <v>1361</v>
      </c>
      <c r="C12080" s="111" t="s">
        <v>127</v>
      </c>
      <c r="D12080" s="111" t="str">
        <f t="shared" ref="D12080:E12080" si="12078">TRIM(B12080)</f>
        <v>Ohio</v>
      </c>
      <c r="E12080" s="111" t="str">
        <f t="shared" si="12078"/>
        <v>Cleveland</v>
      </c>
    </row>
    <row r="12081" spans="1:5">
      <c r="A12081" s="3" t="s">
        <v>22963</v>
      </c>
      <c r="B12081" s="110" t="s">
        <v>1361</v>
      </c>
      <c r="C12081" s="113" t="s">
        <v>1084</v>
      </c>
      <c r="D12081" s="111" t="str">
        <f t="shared" ref="D12081:E12081" si="12079">TRIM(B12081)</f>
        <v>Ohio</v>
      </c>
      <c r="E12081" s="111" t="str">
        <f t="shared" si="12079"/>
        <v>Cleveland Heights</v>
      </c>
    </row>
    <row r="12082" spans="1:5">
      <c r="A12082" s="3" t="s">
        <v>4225</v>
      </c>
      <c r="B12082" s="110" t="s">
        <v>1361</v>
      </c>
      <c r="C12082" s="111" t="s">
        <v>22964</v>
      </c>
      <c r="D12082" s="111" t="str">
        <f t="shared" ref="D12082:E12082" si="12080">TRIM(B12082)</f>
        <v>Ohio</v>
      </c>
      <c r="E12082" s="111" t="str">
        <f t="shared" si="12080"/>
        <v>Cleves</v>
      </c>
    </row>
    <row r="12083" spans="1:5">
      <c r="A12083" s="3" t="s">
        <v>22965</v>
      </c>
      <c r="B12083" s="110" t="s">
        <v>1361</v>
      </c>
      <c r="C12083" s="111" t="s">
        <v>15226</v>
      </c>
      <c r="D12083" s="111" t="str">
        <f t="shared" ref="D12083:E12083" si="12081">TRIM(B12083)</f>
        <v>Ohio</v>
      </c>
      <c r="E12083" s="111" t="str">
        <f t="shared" si="12081"/>
        <v>Clyde</v>
      </c>
    </row>
    <row r="12084" spans="1:5">
      <c r="A12084" s="3" t="s">
        <v>22966</v>
      </c>
      <c r="B12084" s="110" t="s">
        <v>1361</v>
      </c>
      <c r="C12084" s="111" t="s">
        <v>22967</v>
      </c>
      <c r="D12084" s="111" t="str">
        <f t="shared" ref="D12084:E12084" si="12082">TRIM(B12084)</f>
        <v>Ohio</v>
      </c>
      <c r="E12084" s="111" t="str">
        <f t="shared" si="12082"/>
        <v>Coal Grove</v>
      </c>
    </row>
    <row r="12085" spans="1:5">
      <c r="A12085" s="3" t="s">
        <v>17072</v>
      </c>
      <c r="B12085" s="110" t="s">
        <v>1361</v>
      </c>
      <c r="C12085" s="111" t="s">
        <v>15231</v>
      </c>
      <c r="D12085" s="111" t="str">
        <f t="shared" ref="D12085:E12085" si="12083">TRIM(B12085)</f>
        <v>Ohio</v>
      </c>
      <c r="E12085" s="111" t="str">
        <f t="shared" si="12083"/>
        <v>Coldwater</v>
      </c>
    </row>
    <row r="12086" spans="1:5">
      <c r="A12086" s="3" t="s">
        <v>22831</v>
      </c>
      <c r="B12086" s="110" t="s">
        <v>1361</v>
      </c>
      <c r="C12086" s="111" t="s">
        <v>18397</v>
      </c>
      <c r="D12086" s="111" t="str">
        <f t="shared" ref="D12086:E12086" si="12084">TRIM(B12086)</f>
        <v>Ohio</v>
      </c>
      <c r="E12086" s="111" t="str">
        <f t="shared" si="12084"/>
        <v>Collins</v>
      </c>
    </row>
    <row r="12087" spans="1:5">
      <c r="A12087" s="3" t="s">
        <v>1870</v>
      </c>
      <c r="B12087" s="110" t="s">
        <v>1361</v>
      </c>
      <c r="C12087" s="113" t="s">
        <v>22968</v>
      </c>
      <c r="D12087" s="111" t="str">
        <f t="shared" ref="D12087:E12087" si="12085">TRIM(B12087)</f>
        <v>Ohio</v>
      </c>
      <c r="E12087" s="111" t="str">
        <f t="shared" si="12085"/>
        <v>Columbia Station</v>
      </c>
    </row>
    <row r="12088" spans="1:5">
      <c r="A12088" s="3" t="s">
        <v>22969</v>
      </c>
      <c r="B12088" s="110" t="s">
        <v>1361</v>
      </c>
      <c r="C12088" s="111" t="s">
        <v>1647</v>
      </c>
      <c r="D12088" s="111" t="str">
        <f t="shared" ref="D12088:E12088" si="12086">TRIM(B12088)</f>
        <v>Ohio</v>
      </c>
      <c r="E12088" s="111" t="str">
        <f t="shared" si="12086"/>
        <v>Columbiana</v>
      </c>
    </row>
    <row r="12089" spans="1:5">
      <c r="A12089" s="3" t="s">
        <v>9108</v>
      </c>
      <c r="B12089" s="110" t="s">
        <v>1361</v>
      </c>
      <c r="C12089" s="111" t="s">
        <v>1647</v>
      </c>
      <c r="D12089" s="111" t="str">
        <f t="shared" ref="D12089:E12089" si="12087">TRIM(B12089)</f>
        <v>Ohio</v>
      </c>
      <c r="E12089" s="111" t="str">
        <f t="shared" si="12087"/>
        <v>Columbiana</v>
      </c>
    </row>
    <row r="12090" spans="1:5">
      <c r="A12090" s="3" t="s">
        <v>22970</v>
      </c>
      <c r="B12090" s="110" t="s">
        <v>1361</v>
      </c>
      <c r="C12090" s="111" t="s">
        <v>138</v>
      </c>
      <c r="D12090" s="111" t="str">
        <f t="shared" ref="D12090:E12090" si="12088">TRIM(B12090)</f>
        <v>Ohio</v>
      </c>
      <c r="E12090" s="111" t="str">
        <f t="shared" si="12088"/>
        <v>Columbus</v>
      </c>
    </row>
    <row r="12091" spans="1:5">
      <c r="A12091" s="3" t="s">
        <v>22971</v>
      </c>
      <c r="B12091" s="110" t="s">
        <v>1361</v>
      </c>
      <c r="C12091" s="111" t="s">
        <v>138</v>
      </c>
      <c r="D12091" s="111" t="str">
        <f t="shared" ref="D12091:E12091" si="12089">TRIM(B12091)</f>
        <v>Ohio</v>
      </c>
      <c r="E12091" s="111" t="str">
        <f t="shared" si="12089"/>
        <v>Columbus</v>
      </c>
    </row>
    <row r="12092" spans="1:5">
      <c r="A12092" s="3" t="s">
        <v>22972</v>
      </c>
      <c r="B12092" s="110" t="s">
        <v>1361</v>
      </c>
      <c r="C12092" s="111" t="s">
        <v>138</v>
      </c>
      <c r="D12092" s="111" t="str">
        <f t="shared" ref="D12092:E12092" si="12090">TRIM(B12092)</f>
        <v>Ohio</v>
      </c>
      <c r="E12092" s="111" t="str">
        <f t="shared" si="12090"/>
        <v>Columbus</v>
      </c>
    </row>
    <row r="12093" spans="1:5">
      <c r="A12093" s="3" t="s">
        <v>22973</v>
      </c>
      <c r="B12093" s="110" t="s">
        <v>1361</v>
      </c>
      <c r="C12093" s="111" t="s">
        <v>138</v>
      </c>
      <c r="D12093" s="111" t="str">
        <f t="shared" ref="D12093:E12093" si="12091">TRIM(B12093)</f>
        <v>Ohio</v>
      </c>
      <c r="E12093" s="111" t="str">
        <f t="shared" si="12091"/>
        <v>Columbus</v>
      </c>
    </row>
    <row r="12094" spans="1:5">
      <c r="A12094" s="3" t="s">
        <v>19346</v>
      </c>
      <c r="B12094" s="110" t="s">
        <v>1361</v>
      </c>
      <c r="C12094" s="111" t="s">
        <v>138</v>
      </c>
      <c r="D12094" s="111" t="str">
        <f t="shared" ref="D12094:E12094" si="12092">TRIM(B12094)</f>
        <v>Ohio</v>
      </c>
      <c r="E12094" s="111" t="str">
        <f t="shared" si="12092"/>
        <v>Columbus</v>
      </c>
    </row>
    <row r="12095" spans="1:5">
      <c r="A12095" s="3" t="s">
        <v>2905</v>
      </c>
      <c r="B12095" s="110" t="s">
        <v>1361</v>
      </c>
      <c r="C12095" s="111" t="s">
        <v>138</v>
      </c>
      <c r="D12095" s="111" t="str">
        <f t="shared" ref="D12095:E12095" si="12093">TRIM(B12095)</f>
        <v>Ohio</v>
      </c>
      <c r="E12095" s="111" t="str">
        <f t="shared" si="12093"/>
        <v>Columbus</v>
      </c>
    </row>
    <row r="12096" spans="1:5">
      <c r="A12096" s="3" t="s">
        <v>1843</v>
      </c>
      <c r="B12096" s="110" t="s">
        <v>1361</v>
      </c>
      <c r="C12096" s="111" t="s">
        <v>138</v>
      </c>
      <c r="D12096" s="111" t="str">
        <f t="shared" ref="D12096:E12096" si="12094">TRIM(B12096)</f>
        <v>Ohio</v>
      </c>
      <c r="E12096" s="111" t="str">
        <f t="shared" si="12094"/>
        <v>Columbus</v>
      </c>
    </row>
    <row r="12097" spans="1:5">
      <c r="A12097" s="110" t="s">
        <v>22974</v>
      </c>
      <c r="B12097" s="110" t="s">
        <v>1361</v>
      </c>
      <c r="C12097" s="111" t="s">
        <v>138</v>
      </c>
      <c r="D12097" s="111" t="str">
        <f t="shared" ref="D12097:E12097" si="12095">TRIM(B12097)</f>
        <v>Ohio</v>
      </c>
      <c r="E12097" s="111" t="str">
        <f t="shared" si="12095"/>
        <v>Columbus</v>
      </c>
    </row>
    <row r="12098" spans="1:5">
      <c r="A12098" s="3" t="s">
        <v>22975</v>
      </c>
      <c r="B12098" s="110" t="s">
        <v>1361</v>
      </c>
      <c r="C12098" s="111" t="s">
        <v>138</v>
      </c>
      <c r="D12098" s="111" t="str">
        <f t="shared" ref="D12098:E12098" si="12096">TRIM(B12098)</f>
        <v>Ohio</v>
      </c>
      <c r="E12098" s="111" t="str">
        <f t="shared" si="12096"/>
        <v>Columbus</v>
      </c>
    </row>
    <row r="12099" spans="1:5">
      <c r="A12099" s="3" t="s">
        <v>22976</v>
      </c>
      <c r="B12099" s="110" t="s">
        <v>1361</v>
      </c>
      <c r="C12099" s="111" t="s">
        <v>138</v>
      </c>
      <c r="D12099" s="111" t="str">
        <f t="shared" ref="D12099:E12099" si="12097">TRIM(B12099)</f>
        <v>Ohio</v>
      </c>
      <c r="E12099" s="111" t="str">
        <f t="shared" si="12097"/>
        <v>Columbus</v>
      </c>
    </row>
    <row r="12100" spans="1:5">
      <c r="A12100" s="110" t="s">
        <v>22977</v>
      </c>
      <c r="B12100" s="110" t="s">
        <v>1361</v>
      </c>
      <c r="C12100" s="111" t="s">
        <v>138</v>
      </c>
      <c r="D12100" s="111" t="str">
        <f t="shared" ref="D12100:E12100" si="12098">TRIM(B12100)</f>
        <v>Ohio</v>
      </c>
      <c r="E12100" s="111" t="str">
        <f t="shared" si="12098"/>
        <v>Columbus</v>
      </c>
    </row>
    <row r="12101" spans="1:5">
      <c r="A12101" s="3" t="s">
        <v>7945</v>
      </c>
      <c r="B12101" s="110" t="s">
        <v>1361</v>
      </c>
      <c r="C12101" s="111" t="s">
        <v>138</v>
      </c>
      <c r="D12101" s="111" t="str">
        <f t="shared" ref="D12101:E12101" si="12099">TRIM(B12101)</f>
        <v>Ohio</v>
      </c>
      <c r="E12101" s="111" t="str">
        <f t="shared" si="12099"/>
        <v>Columbus</v>
      </c>
    </row>
    <row r="12102" spans="1:5">
      <c r="A12102" s="3" t="s">
        <v>2294</v>
      </c>
      <c r="B12102" s="110" t="s">
        <v>1361</v>
      </c>
      <c r="C12102" s="111" t="s">
        <v>138</v>
      </c>
      <c r="D12102" s="111" t="str">
        <f t="shared" ref="D12102:E12102" si="12100">TRIM(B12102)</f>
        <v>Ohio</v>
      </c>
      <c r="E12102" s="111" t="str">
        <f t="shared" si="12100"/>
        <v>Columbus</v>
      </c>
    </row>
    <row r="12103" spans="1:5">
      <c r="A12103" s="3" t="s">
        <v>22978</v>
      </c>
      <c r="B12103" s="110" t="s">
        <v>1361</v>
      </c>
      <c r="C12103" s="111" t="s">
        <v>138</v>
      </c>
      <c r="D12103" s="111" t="str">
        <f t="shared" ref="D12103:E12103" si="12101">TRIM(B12103)</f>
        <v>Ohio</v>
      </c>
      <c r="E12103" s="111" t="str">
        <f t="shared" si="12101"/>
        <v>Columbus</v>
      </c>
    </row>
    <row r="12104" spans="1:5">
      <c r="A12104" s="3" t="s">
        <v>22979</v>
      </c>
      <c r="B12104" s="110" t="s">
        <v>1361</v>
      </c>
      <c r="C12104" s="111" t="s">
        <v>138</v>
      </c>
      <c r="D12104" s="111" t="str">
        <f t="shared" ref="D12104:E12104" si="12102">TRIM(B12104)</f>
        <v>Ohio</v>
      </c>
      <c r="E12104" s="111" t="str">
        <f t="shared" si="12102"/>
        <v>Columbus</v>
      </c>
    </row>
    <row r="12105" spans="1:5">
      <c r="A12105" s="3" t="s">
        <v>22980</v>
      </c>
      <c r="B12105" s="110" t="s">
        <v>1361</v>
      </c>
      <c r="C12105" s="111" t="s">
        <v>138</v>
      </c>
      <c r="D12105" s="111" t="str">
        <f t="shared" ref="D12105:E12105" si="12103">TRIM(B12105)</f>
        <v>Ohio</v>
      </c>
      <c r="E12105" s="111" t="str">
        <f t="shared" si="12103"/>
        <v>Columbus</v>
      </c>
    </row>
    <row r="12106" spans="1:5">
      <c r="A12106" s="3" t="s">
        <v>22981</v>
      </c>
      <c r="B12106" s="110" t="s">
        <v>1361</v>
      </c>
      <c r="C12106" s="111" t="s">
        <v>138</v>
      </c>
      <c r="D12106" s="111" t="str">
        <f t="shared" ref="D12106:E12106" si="12104">TRIM(B12106)</f>
        <v>Ohio</v>
      </c>
      <c r="E12106" s="111" t="str">
        <f t="shared" si="12104"/>
        <v>Columbus</v>
      </c>
    </row>
    <row r="12107" spans="1:5">
      <c r="A12107" s="3" t="s">
        <v>22982</v>
      </c>
      <c r="B12107" s="110" t="s">
        <v>1361</v>
      </c>
      <c r="C12107" s="111" t="s">
        <v>138</v>
      </c>
      <c r="D12107" s="111" t="str">
        <f t="shared" ref="D12107:E12107" si="12105">TRIM(B12107)</f>
        <v>Ohio</v>
      </c>
      <c r="E12107" s="111" t="str">
        <f t="shared" si="12105"/>
        <v>Columbus</v>
      </c>
    </row>
    <row r="12108" spans="1:5">
      <c r="A12108" s="3" t="s">
        <v>22983</v>
      </c>
      <c r="B12108" s="110" t="s">
        <v>1361</v>
      </c>
      <c r="C12108" s="111" t="s">
        <v>138</v>
      </c>
      <c r="D12108" s="111" t="str">
        <f t="shared" ref="D12108:E12108" si="12106">TRIM(B12108)</f>
        <v>Ohio</v>
      </c>
      <c r="E12108" s="111" t="str">
        <f t="shared" si="12106"/>
        <v>Columbus</v>
      </c>
    </row>
    <row r="12109" spans="1:5">
      <c r="A12109" s="3" t="s">
        <v>22984</v>
      </c>
      <c r="B12109" s="110" t="s">
        <v>1361</v>
      </c>
      <c r="C12109" s="111" t="s">
        <v>138</v>
      </c>
      <c r="D12109" s="111" t="str">
        <f t="shared" ref="D12109:E12109" si="12107">TRIM(B12109)</f>
        <v>Ohio</v>
      </c>
      <c r="E12109" s="111" t="str">
        <f t="shared" si="12107"/>
        <v>Columbus</v>
      </c>
    </row>
    <row r="12110" spans="1:5">
      <c r="A12110" s="3" t="s">
        <v>22985</v>
      </c>
      <c r="B12110" s="110" t="s">
        <v>1361</v>
      </c>
      <c r="C12110" s="111" t="s">
        <v>138</v>
      </c>
      <c r="D12110" s="111" t="str">
        <f t="shared" ref="D12110:E12110" si="12108">TRIM(B12110)</f>
        <v>Ohio</v>
      </c>
      <c r="E12110" s="111" t="str">
        <f t="shared" si="12108"/>
        <v>Columbus</v>
      </c>
    </row>
    <row r="12111" spans="1:5">
      <c r="A12111" s="110" t="s">
        <v>22986</v>
      </c>
      <c r="B12111" s="110" t="s">
        <v>1361</v>
      </c>
      <c r="C12111" s="111" t="s">
        <v>138</v>
      </c>
      <c r="D12111" s="111" t="str">
        <f t="shared" ref="D12111:E12111" si="12109">TRIM(B12111)</f>
        <v>Ohio</v>
      </c>
      <c r="E12111" s="111" t="str">
        <f t="shared" si="12109"/>
        <v>Columbus</v>
      </c>
    </row>
    <row r="12112" spans="1:5">
      <c r="A12112" s="3" t="s">
        <v>22987</v>
      </c>
      <c r="B12112" s="110" t="s">
        <v>1361</v>
      </c>
      <c r="C12112" s="111" t="s">
        <v>138</v>
      </c>
      <c r="D12112" s="111" t="str">
        <f t="shared" ref="D12112:E12112" si="12110">TRIM(B12112)</f>
        <v>Ohio</v>
      </c>
      <c r="E12112" s="111" t="str">
        <f t="shared" si="12110"/>
        <v>Columbus</v>
      </c>
    </row>
    <row r="12113" spans="1:5">
      <c r="A12113" s="3" t="s">
        <v>22988</v>
      </c>
      <c r="B12113" s="110" t="s">
        <v>1361</v>
      </c>
      <c r="C12113" s="111" t="s">
        <v>138</v>
      </c>
      <c r="D12113" s="111" t="str">
        <f t="shared" ref="D12113:E12113" si="12111">TRIM(B12113)</f>
        <v>Ohio</v>
      </c>
      <c r="E12113" s="111" t="str">
        <f t="shared" si="12111"/>
        <v>Columbus</v>
      </c>
    </row>
    <row r="12114" spans="1:5">
      <c r="A12114" s="3" t="s">
        <v>22989</v>
      </c>
      <c r="B12114" s="110" t="s">
        <v>1361</v>
      </c>
      <c r="C12114" s="111" t="s">
        <v>138</v>
      </c>
      <c r="D12114" s="111" t="str">
        <f t="shared" ref="D12114:E12114" si="12112">TRIM(B12114)</f>
        <v>Ohio</v>
      </c>
      <c r="E12114" s="111" t="str">
        <f t="shared" si="12112"/>
        <v>Columbus</v>
      </c>
    </row>
    <row r="12115" spans="1:5">
      <c r="A12115" s="3" t="s">
        <v>2727</v>
      </c>
      <c r="B12115" s="110" t="s">
        <v>1361</v>
      </c>
      <c r="C12115" s="111" t="s">
        <v>138</v>
      </c>
      <c r="D12115" s="111" t="str">
        <f t="shared" ref="D12115:E12115" si="12113">TRIM(B12115)</f>
        <v>Ohio</v>
      </c>
      <c r="E12115" s="111" t="str">
        <f t="shared" si="12113"/>
        <v>Columbus</v>
      </c>
    </row>
    <row r="12116" spans="1:5">
      <c r="A12116" s="110" t="s">
        <v>22990</v>
      </c>
      <c r="B12116" s="110" t="s">
        <v>1361</v>
      </c>
      <c r="C12116" s="111" t="s">
        <v>138</v>
      </c>
      <c r="D12116" s="111" t="str">
        <f t="shared" ref="D12116:E12116" si="12114">TRIM(B12116)</f>
        <v>Ohio</v>
      </c>
      <c r="E12116" s="111" t="str">
        <f t="shared" si="12114"/>
        <v>Columbus</v>
      </c>
    </row>
    <row r="12117" spans="1:5">
      <c r="A12117" s="110" t="s">
        <v>22991</v>
      </c>
      <c r="B12117" s="110" t="s">
        <v>1361</v>
      </c>
      <c r="C12117" s="111" t="s">
        <v>138</v>
      </c>
      <c r="D12117" s="111" t="str">
        <f t="shared" ref="D12117:E12117" si="12115">TRIM(B12117)</f>
        <v>Ohio</v>
      </c>
      <c r="E12117" s="111" t="str">
        <f t="shared" si="12115"/>
        <v>Columbus</v>
      </c>
    </row>
    <row r="12118" spans="1:5">
      <c r="A12118" s="3" t="s">
        <v>22992</v>
      </c>
      <c r="B12118" s="110" t="s">
        <v>1361</v>
      </c>
      <c r="C12118" s="111" t="s">
        <v>138</v>
      </c>
      <c r="D12118" s="111" t="str">
        <f t="shared" ref="D12118:E12118" si="12116">TRIM(B12118)</f>
        <v>Ohio</v>
      </c>
      <c r="E12118" s="111" t="str">
        <f t="shared" si="12116"/>
        <v>Columbus</v>
      </c>
    </row>
    <row r="12119" spans="1:5">
      <c r="A12119" s="3" t="s">
        <v>22993</v>
      </c>
      <c r="B12119" s="110" t="s">
        <v>1361</v>
      </c>
      <c r="C12119" s="111" t="s">
        <v>138</v>
      </c>
      <c r="D12119" s="111" t="str">
        <f t="shared" ref="D12119:E12119" si="12117">TRIM(B12119)</f>
        <v>Ohio</v>
      </c>
      <c r="E12119" s="111" t="str">
        <f t="shared" si="12117"/>
        <v>Columbus</v>
      </c>
    </row>
    <row r="12120" spans="1:5">
      <c r="A12120" s="3" t="s">
        <v>22994</v>
      </c>
      <c r="B12120" s="110" t="s">
        <v>1361</v>
      </c>
      <c r="C12120" s="111" t="s">
        <v>138</v>
      </c>
      <c r="D12120" s="111" t="str">
        <f t="shared" ref="D12120:E12120" si="12118">TRIM(B12120)</f>
        <v>Ohio</v>
      </c>
      <c r="E12120" s="111" t="str">
        <f t="shared" si="12118"/>
        <v>Columbus</v>
      </c>
    </row>
    <row r="12121" spans="1:5">
      <c r="A12121" s="3" t="s">
        <v>22995</v>
      </c>
      <c r="B12121" s="110" t="s">
        <v>1361</v>
      </c>
      <c r="C12121" s="111" t="s">
        <v>138</v>
      </c>
      <c r="D12121" s="111" t="str">
        <f t="shared" ref="D12121:E12121" si="12119">TRIM(B12121)</f>
        <v>Ohio</v>
      </c>
      <c r="E12121" s="111" t="str">
        <f t="shared" si="12119"/>
        <v>Columbus</v>
      </c>
    </row>
    <row r="12122" spans="1:5">
      <c r="A12122" s="3" t="s">
        <v>22996</v>
      </c>
      <c r="B12122" s="110" t="s">
        <v>1361</v>
      </c>
      <c r="C12122" s="111" t="s">
        <v>138</v>
      </c>
      <c r="D12122" s="111" t="str">
        <f t="shared" ref="D12122:E12122" si="12120">TRIM(B12122)</f>
        <v>Ohio</v>
      </c>
      <c r="E12122" s="111" t="str">
        <f t="shared" si="12120"/>
        <v>Columbus</v>
      </c>
    </row>
    <row r="12123" spans="1:5">
      <c r="A12123" s="3" t="s">
        <v>22997</v>
      </c>
      <c r="B12123" s="110" t="s">
        <v>1361</v>
      </c>
      <c r="C12123" s="111" t="s">
        <v>138</v>
      </c>
      <c r="D12123" s="111" t="str">
        <f t="shared" ref="D12123:E12123" si="12121">TRIM(B12123)</f>
        <v>Ohio</v>
      </c>
      <c r="E12123" s="111" t="str">
        <f t="shared" si="12121"/>
        <v>Columbus</v>
      </c>
    </row>
    <row r="12124" spans="1:5">
      <c r="A12124" s="3" t="s">
        <v>22998</v>
      </c>
      <c r="B12124" s="110" t="s">
        <v>1361</v>
      </c>
      <c r="C12124" s="111" t="s">
        <v>138</v>
      </c>
      <c r="D12124" s="111" t="str">
        <f t="shared" ref="D12124:E12124" si="12122">TRIM(B12124)</f>
        <v>Ohio</v>
      </c>
      <c r="E12124" s="111" t="str">
        <f t="shared" si="12122"/>
        <v>Columbus</v>
      </c>
    </row>
    <row r="12125" spans="1:5">
      <c r="A12125" s="3" t="s">
        <v>22999</v>
      </c>
      <c r="B12125" s="110" t="s">
        <v>1361</v>
      </c>
      <c r="C12125" s="111" t="s">
        <v>138</v>
      </c>
      <c r="D12125" s="111" t="str">
        <f t="shared" ref="D12125:E12125" si="12123">TRIM(B12125)</f>
        <v>Ohio</v>
      </c>
      <c r="E12125" s="111" t="str">
        <f t="shared" si="12123"/>
        <v>Columbus</v>
      </c>
    </row>
    <row r="12126" spans="1:5">
      <c r="A12126" s="3" t="s">
        <v>4439</v>
      </c>
      <c r="B12126" s="110" t="s">
        <v>1361</v>
      </c>
      <c r="C12126" s="111" t="s">
        <v>138</v>
      </c>
      <c r="D12126" s="111" t="str">
        <f t="shared" ref="D12126:E12126" si="12124">TRIM(B12126)</f>
        <v>Ohio</v>
      </c>
      <c r="E12126" s="111" t="str">
        <f t="shared" si="12124"/>
        <v>Columbus</v>
      </c>
    </row>
    <row r="12127" spans="1:5">
      <c r="A12127" s="110" t="s">
        <v>23000</v>
      </c>
      <c r="B12127" s="110" t="s">
        <v>1361</v>
      </c>
      <c r="C12127" s="111" t="s">
        <v>138</v>
      </c>
      <c r="D12127" s="111" t="str">
        <f t="shared" ref="D12127:E12127" si="12125">TRIM(B12127)</f>
        <v>Ohio</v>
      </c>
      <c r="E12127" s="111" t="str">
        <f t="shared" si="12125"/>
        <v>Columbus</v>
      </c>
    </row>
    <row r="12128" spans="1:5">
      <c r="A12128" s="3" t="s">
        <v>23001</v>
      </c>
      <c r="B12128" s="110" t="s">
        <v>1361</v>
      </c>
      <c r="C12128" s="111" t="s">
        <v>138</v>
      </c>
      <c r="D12128" s="111" t="str">
        <f t="shared" ref="D12128:E12128" si="12126">TRIM(B12128)</f>
        <v>Ohio</v>
      </c>
      <c r="E12128" s="111" t="str">
        <f t="shared" si="12126"/>
        <v>Columbus</v>
      </c>
    </row>
    <row r="12129" spans="1:5">
      <c r="A12129" s="3" t="s">
        <v>4261</v>
      </c>
      <c r="B12129" s="110" t="s">
        <v>1361</v>
      </c>
      <c r="C12129" s="111" t="s">
        <v>138</v>
      </c>
      <c r="D12129" s="111" t="str">
        <f t="shared" ref="D12129:E12129" si="12127">TRIM(B12129)</f>
        <v>Ohio</v>
      </c>
      <c r="E12129" s="111" t="str">
        <f t="shared" si="12127"/>
        <v>Columbus</v>
      </c>
    </row>
    <row r="12130" spans="1:5">
      <c r="A12130" s="3" t="s">
        <v>2304</v>
      </c>
      <c r="B12130" s="110" t="s">
        <v>1361</v>
      </c>
      <c r="C12130" s="111" t="s">
        <v>138</v>
      </c>
      <c r="D12130" s="111" t="str">
        <f t="shared" ref="D12130:E12130" si="12128">TRIM(B12130)</f>
        <v>Ohio</v>
      </c>
      <c r="E12130" s="111" t="str">
        <f t="shared" si="12128"/>
        <v>Columbus</v>
      </c>
    </row>
    <row r="12131" spans="1:5">
      <c r="A12131" s="3" t="s">
        <v>23002</v>
      </c>
      <c r="B12131" s="110" t="s">
        <v>1361</v>
      </c>
      <c r="C12131" s="111" t="s">
        <v>138</v>
      </c>
      <c r="D12131" s="111" t="str">
        <f t="shared" ref="D12131:E12131" si="12129">TRIM(B12131)</f>
        <v>Ohio</v>
      </c>
      <c r="E12131" s="111" t="str">
        <f t="shared" si="12129"/>
        <v>Columbus</v>
      </c>
    </row>
    <row r="12132" spans="1:5">
      <c r="A12132" s="110" t="s">
        <v>23003</v>
      </c>
      <c r="B12132" s="110" t="s">
        <v>1361</v>
      </c>
      <c r="C12132" s="111" t="s">
        <v>138</v>
      </c>
      <c r="D12132" s="111" t="str">
        <f t="shared" ref="D12132:E12132" si="12130">TRIM(B12132)</f>
        <v>Ohio</v>
      </c>
      <c r="E12132" s="111" t="str">
        <f t="shared" si="12130"/>
        <v>Columbus</v>
      </c>
    </row>
    <row r="12133" spans="1:5">
      <c r="A12133" s="3" t="s">
        <v>23004</v>
      </c>
      <c r="B12133" s="110" t="s">
        <v>1361</v>
      </c>
      <c r="C12133" s="111" t="s">
        <v>5299</v>
      </c>
      <c r="D12133" s="111" t="str">
        <f t="shared" ref="D12133:E12133" si="12131">TRIM(B12133)</f>
        <v>Ohio</v>
      </c>
      <c r="E12133" s="111" t="str">
        <f t="shared" si="12131"/>
        <v>Columbus Grove</v>
      </c>
    </row>
    <row r="12134" spans="1:5">
      <c r="A12134" s="3" t="s">
        <v>23005</v>
      </c>
      <c r="B12134" s="110" t="s">
        <v>1361</v>
      </c>
      <c r="C12134" s="111" t="s">
        <v>286</v>
      </c>
      <c r="D12134" s="111" t="str">
        <f t="shared" ref="D12134:E12134" si="12132">TRIM(B12134)</f>
        <v>Ohio</v>
      </c>
      <c r="E12134" s="111" t="str">
        <f t="shared" si="12132"/>
        <v>Concord</v>
      </c>
    </row>
    <row r="12135" spans="1:5">
      <c r="A12135" s="3" t="s">
        <v>23006</v>
      </c>
      <c r="B12135" s="110" t="s">
        <v>1361</v>
      </c>
      <c r="C12135" s="111" t="s">
        <v>23007</v>
      </c>
      <c r="D12135" s="111" t="str">
        <f t="shared" ref="D12135:E12135" si="12133">TRIM(B12135)</f>
        <v>Ohio</v>
      </c>
      <c r="E12135" s="111" t="str">
        <f t="shared" si="12133"/>
        <v>Conneaut</v>
      </c>
    </row>
    <row r="12136" spans="1:5">
      <c r="A12136" s="3" t="s">
        <v>23008</v>
      </c>
      <c r="B12136" s="110" t="s">
        <v>1361</v>
      </c>
      <c r="C12136" s="111" t="s">
        <v>23009</v>
      </c>
      <c r="D12136" s="111" t="str">
        <f t="shared" ref="D12136:E12136" si="12134">TRIM(B12136)</f>
        <v>Ohio</v>
      </c>
      <c r="E12136" s="111" t="str">
        <f t="shared" si="12134"/>
        <v>Continental</v>
      </c>
    </row>
    <row r="12137" spans="1:5">
      <c r="A12137" s="3" t="s">
        <v>9108</v>
      </c>
      <c r="B12137" s="110" t="s">
        <v>1361</v>
      </c>
      <c r="C12137" s="111" t="s">
        <v>23010</v>
      </c>
      <c r="D12137" s="111" t="str">
        <f t="shared" ref="D12137:E12137" si="12135">TRIM(B12137)</f>
        <v>Ohio</v>
      </c>
      <c r="E12137" s="111" t="str">
        <f t="shared" si="12135"/>
        <v>Convoy</v>
      </c>
    </row>
    <row r="12138" spans="1:5">
      <c r="A12138" s="3" t="s">
        <v>23011</v>
      </c>
      <c r="B12138" s="110" t="s">
        <v>1361</v>
      </c>
      <c r="C12138" s="111" t="s">
        <v>23012</v>
      </c>
      <c r="D12138" s="111" t="str">
        <f t="shared" ref="D12138:E12138" si="12136">TRIM(B12138)</f>
        <v>Ohio</v>
      </c>
      <c r="E12138" s="111" t="str">
        <f t="shared" si="12136"/>
        <v>Copley</v>
      </c>
    </row>
    <row r="12139" spans="1:5">
      <c r="A12139" s="3" t="s">
        <v>18953</v>
      </c>
      <c r="B12139" s="110" t="s">
        <v>1361</v>
      </c>
      <c r="C12139" s="111" t="s">
        <v>3707</v>
      </c>
      <c r="D12139" s="111" t="str">
        <f t="shared" ref="D12139:E12139" si="12137">TRIM(B12139)</f>
        <v>Ohio</v>
      </c>
      <c r="E12139" s="111" t="str">
        <f t="shared" si="12137"/>
        <v>Corning</v>
      </c>
    </row>
    <row r="12140" spans="1:5">
      <c r="A12140" s="3" t="s">
        <v>16963</v>
      </c>
      <c r="B12140" s="110" t="s">
        <v>1361</v>
      </c>
      <c r="C12140" s="111" t="s">
        <v>21125</v>
      </c>
      <c r="D12140" s="111" t="str">
        <f t="shared" ref="D12140:E12140" si="12138">TRIM(B12140)</f>
        <v>Ohio</v>
      </c>
      <c r="E12140" s="111" t="str">
        <f t="shared" si="12138"/>
        <v>Cortland</v>
      </c>
    </row>
    <row r="12141" spans="1:5">
      <c r="A12141" s="3" t="s">
        <v>23013</v>
      </c>
      <c r="B12141" s="110" t="s">
        <v>1361</v>
      </c>
      <c r="C12141" s="111" t="s">
        <v>21125</v>
      </c>
      <c r="D12141" s="111" t="str">
        <f t="shared" ref="D12141:E12141" si="12139">TRIM(B12141)</f>
        <v>Ohio</v>
      </c>
      <c r="E12141" s="111" t="str">
        <f t="shared" si="12139"/>
        <v>Cortland</v>
      </c>
    </row>
    <row r="12142" spans="1:5">
      <c r="A12142" s="3" t="s">
        <v>23014</v>
      </c>
      <c r="B12142" s="110" t="s">
        <v>1361</v>
      </c>
      <c r="C12142" s="111" t="s">
        <v>23015</v>
      </c>
      <c r="D12142" s="111" t="str">
        <f t="shared" ref="D12142:E12142" si="12140">TRIM(B12142)</f>
        <v>Ohio</v>
      </c>
      <c r="E12142" s="111" t="str">
        <f t="shared" si="12140"/>
        <v>Coshocton</v>
      </c>
    </row>
    <row r="12143" spans="1:5">
      <c r="A12143" s="110" t="s">
        <v>23016</v>
      </c>
      <c r="B12143" s="110" t="s">
        <v>1361</v>
      </c>
      <c r="C12143" s="111" t="s">
        <v>23015</v>
      </c>
      <c r="D12143" s="111" t="str">
        <f t="shared" ref="D12143:E12143" si="12141">TRIM(B12143)</f>
        <v>Ohio</v>
      </c>
      <c r="E12143" s="111" t="str">
        <f t="shared" si="12141"/>
        <v>Coshocton</v>
      </c>
    </row>
    <row r="12144" spans="1:5">
      <c r="A12144" s="3" t="s">
        <v>15917</v>
      </c>
      <c r="B12144" s="110" t="s">
        <v>1361</v>
      </c>
      <c r="C12144" s="112" t="s">
        <v>10597</v>
      </c>
      <c r="D12144" s="111" t="str">
        <f t="shared" ref="D12144:E12144" si="12142">TRIM(B12144)</f>
        <v>Ohio</v>
      </c>
      <c r="E12144" s="111" t="str">
        <f t="shared" si="12142"/>
        <v>Covington</v>
      </c>
    </row>
    <row r="12145" spans="1:5">
      <c r="A12145" s="3" t="s">
        <v>23017</v>
      </c>
      <c r="B12145" s="110" t="s">
        <v>1361</v>
      </c>
      <c r="C12145" s="111" t="s">
        <v>23018</v>
      </c>
      <c r="D12145" s="111" t="str">
        <f t="shared" ref="D12145:E12145" si="12143">TRIM(B12145)</f>
        <v>Ohio</v>
      </c>
      <c r="E12145" s="111" t="str">
        <f t="shared" si="12143"/>
        <v>Crestline</v>
      </c>
    </row>
    <row r="12146" spans="1:5">
      <c r="A12146" s="3" t="s">
        <v>23019</v>
      </c>
      <c r="B12146" s="110" t="s">
        <v>1361</v>
      </c>
      <c r="C12146" s="111" t="s">
        <v>23018</v>
      </c>
      <c r="D12146" s="111" t="str">
        <f t="shared" ref="D12146:E12146" si="12144">TRIM(B12146)</f>
        <v>Ohio</v>
      </c>
      <c r="E12146" s="111" t="str">
        <f t="shared" si="12144"/>
        <v>Crestline</v>
      </c>
    </row>
    <row r="12147" spans="1:5">
      <c r="A12147" s="3" t="s">
        <v>23020</v>
      </c>
      <c r="B12147" s="110" t="s">
        <v>1361</v>
      </c>
      <c r="C12147" s="111" t="s">
        <v>14774</v>
      </c>
      <c r="D12147" s="111" t="str">
        <f t="shared" ref="D12147:E12147" si="12145">TRIM(B12147)</f>
        <v>Ohio</v>
      </c>
      <c r="E12147" s="111" t="str">
        <f t="shared" si="12145"/>
        <v>Creston</v>
      </c>
    </row>
    <row r="12148" spans="1:5">
      <c r="A12148" s="3" t="s">
        <v>23021</v>
      </c>
      <c r="B12148" s="110" t="s">
        <v>1361</v>
      </c>
      <c r="C12148" s="111" t="s">
        <v>23022</v>
      </c>
      <c r="D12148" s="111" t="str">
        <f t="shared" ref="D12148:E12148" si="12146">TRIM(B12148)</f>
        <v>Ohio</v>
      </c>
      <c r="E12148" s="111" t="str">
        <f t="shared" si="12146"/>
        <v>Crooksville</v>
      </c>
    </row>
    <row r="12149" spans="1:5">
      <c r="A12149" s="3" t="s">
        <v>23023</v>
      </c>
      <c r="B12149" s="110" t="s">
        <v>1361</v>
      </c>
      <c r="C12149" s="111" t="s">
        <v>23024</v>
      </c>
      <c r="D12149" s="111" t="str">
        <f t="shared" ref="D12149:E12149" si="12147">TRIM(B12149)</f>
        <v>Ohio</v>
      </c>
      <c r="E12149" s="111" t="str">
        <f t="shared" si="12147"/>
        <v>Crown City</v>
      </c>
    </row>
    <row r="12150" spans="1:5">
      <c r="A12150" s="3" t="s">
        <v>23025</v>
      </c>
      <c r="B12150" s="110" t="s">
        <v>1361</v>
      </c>
      <c r="C12150" s="111" t="s">
        <v>23026</v>
      </c>
      <c r="D12150" s="111" t="str">
        <f t="shared" ref="D12150:E12150" si="12148">TRIM(B12150)</f>
        <v>Ohio</v>
      </c>
      <c r="E12150" s="111" t="str">
        <f t="shared" si="12148"/>
        <v>Cuyahoga Falls</v>
      </c>
    </row>
    <row r="12151" spans="1:5">
      <c r="A12151" s="110" t="s">
        <v>23027</v>
      </c>
      <c r="B12151" s="110" t="s">
        <v>1361</v>
      </c>
      <c r="C12151" s="111" t="s">
        <v>23026</v>
      </c>
      <c r="D12151" s="111" t="str">
        <f t="shared" ref="D12151:E12151" si="12149">TRIM(B12151)</f>
        <v>Ohio</v>
      </c>
      <c r="E12151" s="111" t="str">
        <f t="shared" si="12149"/>
        <v>Cuyahoga Falls</v>
      </c>
    </row>
    <row r="12152" spans="1:5">
      <c r="A12152" s="3" t="s">
        <v>23028</v>
      </c>
      <c r="B12152" s="110" t="s">
        <v>1361</v>
      </c>
      <c r="C12152" s="113" t="s">
        <v>23029</v>
      </c>
      <c r="D12152" s="111" t="str">
        <f t="shared" ref="D12152:E12152" si="12150">TRIM(B12152)</f>
        <v>Ohio</v>
      </c>
      <c r="E12152" s="111" t="str">
        <f t="shared" si="12150"/>
        <v>Cuyahoga Heights</v>
      </c>
    </row>
    <row r="12153" spans="1:5">
      <c r="A12153" s="3" t="s">
        <v>10636</v>
      </c>
      <c r="B12153" s="110" t="s">
        <v>1361</v>
      </c>
      <c r="C12153" s="111" t="s">
        <v>365</v>
      </c>
      <c r="D12153" s="111" t="str">
        <f t="shared" ref="D12153:E12153" si="12151">TRIM(B12153)</f>
        <v>Ohio</v>
      </c>
      <c r="E12153" s="111" t="str">
        <f t="shared" si="12151"/>
        <v>Dalton</v>
      </c>
    </row>
    <row r="12154" spans="1:5">
      <c r="A12154" s="3" t="s">
        <v>1676</v>
      </c>
      <c r="B12154" s="110" t="s">
        <v>1361</v>
      </c>
      <c r="C12154" s="111" t="s">
        <v>529</v>
      </c>
      <c r="D12154" s="111" t="str">
        <f t="shared" ref="D12154:E12154" si="12152">TRIM(B12154)</f>
        <v>Ohio</v>
      </c>
      <c r="E12154" s="111" t="str">
        <f t="shared" si="12152"/>
        <v>Danville</v>
      </c>
    </row>
    <row r="12155" spans="1:5">
      <c r="A12155" s="3" t="s">
        <v>16563</v>
      </c>
      <c r="B12155" s="110" t="s">
        <v>1361</v>
      </c>
      <c r="C12155" s="111" t="s">
        <v>568</v>
      </c>
      <c r="D12155" s="111" t="str">
        <f t="shared" ref="D12155:E12155" si="12153">TRIM(B12155)</f>
        <v>Ohio</v>
      </c>
      <c r="E12155" s="111" t="str">
        <f t="shared" si="12153"/>
        <v>Dayton</v>
      </c>
    </row>
    <row r="12156" spans="1:5">
      <c r="A12156" s="110" t="s">
        <v>23030</v>
      </c>
      <c r="B12156" s="110" t="s">
        <v>1361</v>
      </c>
      <c r="C12156" s="111" t="s">
        <v>568</v>
      </c>
      <c r="D12156" s="111" t="str">
        <f t="shared" ref="D12156:E12156" si="12154">TRIM(B12156)</f>
        <v>Ohio</v>
      </c>
      <c r="E12156" s="111" t="str">
        <f t="shared" si="12154"/>
        <v>Dayton</v>
      </c>
    </row>
    <row r="12157" spans="1:5">
      <c r="A12157" s="3" t="s">
        <v>23031</v>
      </c>
      <c r="B12157" s="110" t="s">
        <v>1361</v>
      </c>
      <c r="C12157" s="111" t="s">
        <v>568</v>
      </c>
      <c r="D12157" s="111" t="str">
        <f t="shared" ref="D12157:E12157" si="12155">TRIM(B12157)</f>
        <v>Ohio</v>
      </c>
      <c r="E12157" s="111" t="str">
        <f t="shared" si="12155"/>
        <v>Dayton</v>
      </c>
    </row>
    <row r="12158" spans="1:5">
      <c r="A12158" s="3" t="s">
        <v>23032</v>
      </c>
      <c r="B12158" s="110" t="s">
        <v>1361</v>
      </c>
      <c r="C12158" s="111" t="s">
        <v>568</v>
      </c>
      <c r="D12158" s="111" t="str">
        <f t="shared" ref="D12158:E12158" si="12156">TRIM(B12158)</f>
        <v>Ohio</v>
      </c>
      <c r="E12158" s="111" t="str">
        <f t="shared" si="12156"/>
        <v>Dayton</v>
      </c>
    </row>
    <row r="12159" spans="1:5">
      <c r="A12159" s="3" t="s">
        <v>23033</v>
      </c>
      <c r="B12159" s="110" t="s">
        <v>1361</v>
      </c>
      <c r="C12159" s="111" t="s">
        <v>568</v>
      </c>
      <c r="D12159" s="111" t="str">
        <f t="shared" ref="D12159:E12159" si="12157">TRIM(B12159)</f>
        <v>Ohio</v>
      </c>
      <c r="E12159" s="111" t="str">
        <f t="shared" si="12157"/>
        <v>Dayton</v>
      </c>
    </row>
    <row r="12160" spans="1:5">
      <c r="A12160" s="3" t="s">
        <v>23034</v>
      </c>
      <c r="B12160" s="110" t="s">
        <v>1361</v>
      </c>
      <c r="C12160" s="111" t="s">
        <v>568</v>
      </c>
      <c r="D12160" s="111" t="str">
        <f t="shared" ref="D12160:E12160" si="12158">TRIM(B12160)</f>
        <v>Ohio</v>
      </c>
      <c r="E12160" s="111" t="str">
        <f t="shared" si="12158"/>
        <v>Dayton</v>
      </c>
    </row>
    <row r="12161" spans="1:5">
      <c r="A12161" s="3" t="s">
        <v>4802</v>
      </c>
      <c r="B12161" s="110" t="s">
        <v>1361</v>
      </c>
      <c r="C12161" s="111" t="s">
        <v>568</v>
      </c>
      <c r="D12161" s="111" t="str">
        <f t="shared" ref="D12161:E12161" si="12159">TRIM(B12161)</f>
        <v>Ohio</v>
      </c>
      <c r="E12161" s="111" t="str">
        <f t="shared" si="12159"/>
        <v>Dayton</v>
      </c>
    </row>
    <row r="12162" spans="1:5">
      <c r="A12162" s="3" t="s">
        <v>2745</v>
      </c>
      <c r="B12162" s="110" t="s">
        <v>1361</v>
      </c>
      <c r="C12162" s="111" t="s">
        <v>568</v>
      </c>
      <c r="D12162" s="111" t="str">
        <f t="shared" ref="D12162:E12162" si="12160">TRIM(B12162)</f>
        <v>Ohio</v>
      </c>
      <c r="E12162" s="111" t="str">
        <f t="shared" si="12160"/>
        <v>Dayton</v>
      </c>
    </row>
    <row r="12163" spans="1:5">
      <c r="A12163" s="110" t="s">
        <v>23035</v>
      </c>
      <c r="B12163" s="110" t="s">
        <v>1361</v>
      </c>
      <c r="C12163" s="111" t="s">
        <v>568</v>
      </c>
      <c r="D12163" s="111" t="str">
        <f t="shared" ref="D12163:E12163" si="12161">TRIM(B12163)</f>
        <v>Ohio</v>
      </c>
      <c r="E12163" s="111" t="str">
        <f t="shared" si="12161"/>
        <v>Dayton</v>
      </c>
    </row>
    <row r="12164" spans="1:5">
      <c r="A12164" s="3" t="s">
        <v>23036</v>
      </c>
      <c r="B12164" s="110" t="s">
        <v>1361</v>
      </c>
      <c r="C12164" s="111" t="s">
        <v>568</v>
      </c>
      <c r="D12164" s="111" t="str">
        <f t="shared" ref="D12164:E12164" si="12162">TRIM(B12164)</f>
        <v>Ohio</v>
      </c>
      <c r="E12164" s="111" t="str">
        <f t="shared" si="12162"/>
        <v>Dayton</v>
      </c>
    </row>
    <row r="12165" spans="1:5">
      <c r="A12165" s="3" t="s">
        <v>23037</v>
      </c>
      <c r="B12165" s="110" t="s">
        <v>1361</v>
      </c>
      <c r="C12165" s="111" t="s">
        <v>568</v>
      </c>
      <c r="D12165" s="111" t="str">
        <f t="shared" ref="D12165:E12165" si="12163">TRIM(B12165)</f>
        <v>Ohio</v>
      </c>
      <c r="E12165" s="111" t="str">
        <f t="shared" si="12163"/>
        <v>Dayton</v>
      </c>
    </row>
    <row r="12166" spans="1:5">
      <c r="A12166" s="3" t="s">
        <v>2240</v>
      </c>
      <c r="B12166" s="110" t="s">
        <v>1361</v>
      </c>
      <c r="C12166" s="111" t="s">
        <v>568</v>
      </c>
      <c r="D12166" s="111" t="str">
        <f t="shared" ref="D12166:E12166" si="12164">TRIM(B12166)</f>
        <v>Ohio</v>
      </c>
      <c r="E12166" s="111" t="str">
        <f t="shared" si="12164"/>
        <v>Dayton</v>
      </c>
    </row>
    <row r="12167" spans="1:5">
      <c r="A12167" s="3" t="s">
        <v>12890</v>
      </c>
      <c r="B12167" s="110" t="s">
        <v>1361</v>
      </c>
      <c r="C12167" s="111" t="s">
        <v>568</v>
      </c>
      <c r="D12167" s="111" t="str">
        <f t="shared" ref="D12167:E12167" si="12165">TRIM(B12167)</f>
        <v>Ohio</v>
      </c>
      <c r="E12167" s="111" t="str">
        <f t="shared" si="12165"/>
        <v>Dayton</v>
      </c>
    </row>
    <row r="12168" spans="1:5">
      <c r="A12168" s="3" t="s">
        <v>23038</v>
      </c>
      <c r="B12168" s="110" t="s">
        <v>1361</v>
      </c>
      <c r="C12168" s="111" t="s">
        <v>568</v>
      </c>
      <c r="D12168" s="111" t="str">
        <f t="shared" ref="D12168:E12168" si="12166">TRIM(B12168)</f>
        <v>Ohio</v>
      </c>
      <c r="E12168" s="111" t="str">
        <f t="shared" si="12166"/>
        <v>Dayton</v>
      </c>
    </row>
    <row r="12169" spans="1:5">
      <c r="A12169" s="110" t="s">
        <v>23039</v>
      </c>
      <c r="B12169" s="110" t="s">
        <v>1361</v>
      </c>
      <c r="C12169" s="111" t="s">
        <v>568</v>
      </c>
      <c r="D12169" s="111" t="str">
        <f t="shared" ref="D12169:E12169" si="12167">TRIM(B12169)</f>
        <v>Ohio</v>
      </c>
      <c r="E12169" s="111" t="str">
        <f t="shared" si="12167"/>
        <v>Dayton</v>
      </c>
    </row>
    <row r="12170" spans="1:5">
      <c r="A12170" s="3" t="s">
        <v>23040</v>
      </c>
      <c r="B12170" s="110" t="s">
        <v>1361</v>
      </c>
      <c r="C12170" s="111" t="s">
        <v>568</v>
      </c>
      <c r="D12170" s="111" t="str">
        <f t="shared" ref="D12170:E12170" si="12168">TRIM(B12170)</f>
        <v>Ohio</v>
      </c>
      <c r="E12170" s="111" t="str">
        <f t="shared" si="12168"/>
        <v>Dayton</v>
      </c>
    </row>
    <row r="12171" spans="1:5">
      <c r="A12171" s="110" t="s">
        <v>23041</v>
      </c>
      <c r="B12171" s="110" t="s">
        <v>1361</v>
      </c>
      <c r="C12171" s="111" t="s">
        <v>568</v>
      </c>
      <c r="D12171" s="111" t="str">
        <f t="shared" ref="D12171:E12171" si="12169">TRIM(B12171)</f>
        <v>Ohio</v>
      </c>
      <c r="E12171" s="111" t="str">
        <f t="shared" si="12169"/>
        <v>Dayton</v>
      </c>
    </row>
    <row r="12172" spans="1:5">
      <c r="A12172" s="3" t="s">
        <v>3921</v>
      </c>
      <c r="B12172" s="110" t="s">
        <v>1361</v>
      </c>
      <c r="C12172" s="111" t="s">
        <v>23042</v>
      </c>
      <c r="D12172" s="111" t="str">
        <f t="shared" ref="D12172:E12172" si="12170">TRIM(B12172)</f>
        <v>Ohio</v>
      </c>
      <c r="E12172" s="111" t="str">
        <f t="shared" si="12170"/>
        <v>De Graff</v>
      </c>
    </row>
    <row r="12173" spans="1:5">
      <c r="A12173" s="3" t="s">
        <v>23043</v>
      </c>
      <c r="B12173" s="110" t="s">
        <v>1361</v>
      </c>
      <c r="C12173" s="111" t="s">
        <v>23044</v>
      </c>
      <c r="D12173" s="111" t="str">
        <f t="shared" ref="D12173:E12173" si="12171">TRIM(B12173)</f>
        <v>Ohio</v>
      </c>
      <c r="E12173" s="111" t="str">
        <f t="shared" si="12171"/>
        <v>Defiance</v>
      </c>
    </row>
    <row r="12174" spans="1:5">
      <c r="A12174" s="3" t="s">
        <v>23045</v>
      </c>
      <c r="B12174" s="110" t="s">
        <v>1361</v>
      </c>
      <c r="C12174" s="111" t="s">
        <v>23044</v>
      </c>
      <c r="D12174" s="111" t="str">
        <f t="shared" ref="D12174:E12174" si="12172">TRIM(B12174)</f>
        <v>Ohio</v>
      </c>
      <c r="E12174" s="111" t="str">
        <f t="shared" si="12172"/>
        <v>Defiance</v>
      </c>
    </row>
    <row r="12175" spans="1:5">
      <c r="A12175" s="3" t="s">
        <v>23046</v>
      </c>
      <c r="B12175" s="110" t="s">
        <v>1361</v>
      </c>
      <c r="C12175" s="111" t="s">
        <v>23044</v>
      </c>
      <c r="D12175" s="111" t="str">
        <f t="shared" ref="D12175:E12175" si="12173">TRIM(B12175)</f>
        <v>Ohio</v>
      </c>
      <c r="E12175" s="111" t="str">
        <f t="shared" si="12173"/>
        <v>Defiance</v>
      </c>
    </row>
    <row r="12176" spans="1:5">
      <c r="A12176" s="3" t="s">
        <v>23047</v>
      </c>
      <c r="B12176" s="110" t="s">
        <v>1361</v>
      </c>
      <c r="C12176" s="111" t="s">
        <v>1327</v>
      </c>
      <c r="D12176" s="111" t="str">
        <f t="shared" ref="D12176:E12176" si="12174">TRIM(B12176)</f>
        <v>Ohio</v>
      </c>
      <c r="E12176" s="111" t="str">
        <f t="shared" si="12174"/>
        <v>Delaware</v>
      </c>
    </row>
    <row r="12177" spans="1:5">
      <c r="A12177" s="3" t="s">
        <v>23048</v>
      </c>
      <c r="B12177" s="110" t="s">
        <v>1361</v>
      </c>
      <c r="C12177" s="111" t="s">
        <v>1327</v>
      </c>
      <c r="D12177" s="111" t="str">
        <f t="shared" ref="D12177:E12177" si="12175">TRIM(B12177)</f>
        <v>Ohio</v>
      </c>
      <c r="E12177" s="111" t="str">
        <f t="shared" si="12175"/>
        <v>Delaware</v>
      </c>
    </row>
    <row r="12178" spans="1:5">
      <c r="A12178" s="3" t="s">
        <v>4802</v>
      </c>
      <c r="B12178" s="110" t="s">
        <v>1361</v>
      </c>
      <c r="C12178" s="111" t="s">
        <v>12849</v>
      </c>
      <c r="D12178" s="111" t="str">
        <f t="shared" ref="D12178:E12178" si="12176">TRIM(B12178)</f>
        <v>Ohio</v>
      </c>
      <c r="E12178" s="111" t="str">
        <f t="shared" si="12176"/>
        <v>Delphos</v>
      </c>
    </row>
    <row r="12179" spans="1:5">
      <c r="A12179" s="3" t="s">
        <v>23049</v>
      </c>
      <c r="B12179" s="110" t="s">
        <v>1361</v>
      </c>
      <c r="C12179" s="111" t="s">
        <v>7778</v>
      </c>
      <c r="D12179" s="111" t="str">
        <f t="shared" ref="D12179:E12179" si="12177">TRIM(B12179)</f>
        <v>Ohio</v>
      </c>
      <c r="E12179" s="111" t="str">
        <f t="shared" si="12177"/>
        <v>Delta</v>
      </c>
    </row>
    <row r="12180" spans="1:5">
      <c r="A12180" s="3" t="s">
        <v>23050</v>
      </c>
      <c r="B12180" s="110" t="s">
        <v>1361</v>
      </c>
      <c r="C12180" s="111" t="s">
        <v>23051</v>
      </c>
      <c r="D12180" s="111" t="str">
        <f t="shared" ref="D12180:E12180" si="12178">TRIM(B12180)</f>
        <v>Ohio</v>
      </c>
      <c r="E12180" s="111" t="str">
        <f t="shared" si="12178"/>
        <v>Dola</v>
      </c>
    </row>
    <row r="12181" spans="1:5">
      <c r="A12181" s="3" t="s">
        <v>3743</v>
      </c>
      <c r="B12181" s="110" t="s">
        <v>1361</v>
      </c>
      <c r="C12181" s="111" t="s">
        <v>3744</v>
      </c>
      <c r="D12181" s="111" t="str">
        <f t="shared" ref="D12181:E12181" si="12179">TRIM(B12181)</f>
        <v>Ohio</v>
      </c>
      <c r="E12181" s="111" t="str">
        <f t="shared" si="12179"/>
        <v>Dover</v>
      </c>
    </row>
    <row r="12182" spans="1:5">
      <c r="A12182" s="3" t="s">
        <v>23052</v>
      </c>
      <c r="B12182" s="110" t="s">
        <v>1361</v>
      </c>
      <c r="C12182" s="111" t="s">
        <v>23053</v>
      </c>
      <c r="D12182" s="111" t="str">
        <f t="shared" ref="D12182:E12182" si="12180">TRIM(B12182)</f>
        <v>Ohio</v>
      </c>
      <c r="E12182" s="111" t="str">
        <f t="shared" si="12180"/>
        <v>Doylestown</v>
      </c>
    </row>
    <row r="12183" spans="1:5">
      <c r="A12183" s="3" t="s">
        <v>12789</v>
      </c>
      <c r="B12183" s="110" t="s">
        <v>1361</v>
      </c>
      <c r="C12183" s="111" t="s">
        <v>23054</v>
      </c>
      <c r="D12183" s="111" t="str">
        <f t="shared" ref="D12183:E12183" si="12181">TRIM(B12183)</f>
        <v>Ohio</v>
      </c>
      <c r="E12183" s="111" t="str">
        <f t="shared" si="12181"/>
        <v>Dresden</v>
      </c>
    </row>
    <row r="12184" spans="1:5">
      <c r="A12184" s="3" t="s">
        <v>23055</v>
      </c>
      <c r="B12184" s="110" t="s">
        <v>1361</v>
      </c>
      <c r="C12184" s="111" t="s">
        <v>850</v>
      </c>
      <c r="D12184" s="111" t="str">
        <f t="shared" ref="D12184:E12184" si="12182">TRIM(B12184)</f>
        <v>Ohio</v>
      </c>
      <c r="E12184" s="111" t="str">
        <f t="shared" si="12182"/>
        <v>Dublin</v>
      </c>
    </row>
    <row r="12185" spans="1:5">
      <c r="A12185" s="3" t="s">
        <v>23056</v>
      </c>
      <c r="B12185" s="110" t="s">
        <v>1361</v>
      </c>
      <c r="C12185" s="111" t="s">
        <v>850</v>
      </c>
      <c r="D12185" s="111" t="str">
        <f t="shared" ref="D12185:E12185" si="12183">TRIM(B12185)</f>
        <v>Ohio</v>
      </c>
      <c r="E12185" s="111" t="str">
        <f t="shared" si="12183"/>
        <v>Dublin</v>
      </c>
    </row>
    <row r="12186" spans="1:5">
      <c r="A12186" s="3" t="s">
        <v>23057</v>
      </c>
      <c r="B12186" s="110" t="s">
        <v>1361</v>
      </c>
      <c r="C12186" s="111" t="s">
        <v>850</v>
      </c>
      <c r="D12186" s="111" t="str">
        <f t="shared" ref="D12186:E12186" si="12184">TRIM(B12186)</f>
        <v>Ohio</v>
      </c>
      <c r="E12186" s="111" t="str">
        <f t="shared" si="12184"/>
        <v>Dublin</v>
      </c>
    </row>
    <row r="12187" spans="1:5">
      <c r="A12187" s="3" t="s">
        <v>23058</v>
      </c>
      <c r="B12187" s="110" t="s">
        <v>1361</v>
      </c>
      <c r="C12187" s="111" t="s">
        <v>23059</v>
      </c>
      <c r="D12187" s="111" t="str">
        <f t="shared" ref="D12187:E12187" si="12185">TRIM(B12187)</f>
        <v>Ohio</v>
      </c>
      <c r="E12187" s="111" t="str">
        <f t="shared" si="12185"/>
        <v>Duncan Falls</v>
      </c>
    </row>
    <row r="12188" spans="1:5">
      <c r="A12188" s="3" t="s">
        <v>23060</v>
      </c>
      <c r="B12188" s="110" t="s">
        <v>1361</v>
      </c>
      <c r="C12188" s="111" t="s">
        <v>23061</v>
      </c>
      <c r="D12188" s="111" t="str">
        <f t="shared" ref="D12188:E12188" si="12186">TRIM(B12188)</f>
        <v>Ohio</v>
      </c>
      <c r="E12188" s="111" t="str">
        <f t="shared" si="12186"/>
        <v>East Canton</v>
      </c>
    </row>
    <row r="12189" spans="1:5">
      <c r="A12189" s="3" t="s">
        <v>10575</v>
      </c>
      <c r="B12189" s="110" t="s">
        <v>1361</v>
      </c>
      <c r="C12189" s="111" t="s">
        <v>23062</v>
      </c>
      <c r="D12189" s="111" t="str">
        <f t="shared" ref="D12189:E12189" si="12187">TRIM(B12189)</f>
        <v>Ohio</v>
      </c>
      <c r="E12189" s="111" t="str">
        <f t="shared" si="12187"/>
        <v>East Cleveland</v>
      </c>
    </row>
    <row r="12190" spans="1:5">
      <c r="A12190" s="3" t="s">
        <v>23063</v>
      </c>
      <c r="B12190" s="110" t="s">
        <v>1361</v>
      </c>
      <c r="C12190" s="111" t="s">
        <v>23064</v>
      </c>
      <c r="D12190" s="111" t="str">
        <f t="shared" ref="D12190:E12190" si="12188">TRIM(B12190)</f>
        <v>Ohio</v>
      </c>
      <c r="E12190" s="111" t="str">
        <f t="shared" si="12188"/>
        <v>East Liverpool</v>
      </c>
    </row>
    <row r="12191" spans="1:5">
      <c r="A12191" s="3" t="s">
        <v>23065</v>
      </c>
      <c r="B12191" s="110" t="s">
        <v>1361</v>
      </c>
      <c r="C12191" s="111" t="s">
        <v>23064</v>
      </c>
      <c r="D12191" s="111" t="str">
        <f t="shared" ref="D12191:E12191" si="12189">TRIM(B12191)</f>
        <v>Ohio</v>
      </c>
      <c r="E12191" s="111" t="str">
        <f t="shared" si="12189"/>
        <v>East Liverpool</v>
      </c>
    </row>
    <row r="12192" spans="1:5">
      <c r="A12192" s="3" t="s">
        <v>23066</v>
      </c>
      <c r="B12192" s="110" t="s">
        <v>1361</v>
      </c>
      <c r="C12192" s="111" t="s">
        <v>23067</v>
      </c>
      <c r="D12192" s="111" t="str">
        <f t="shared" ref="D12192:E12192" si="12190">TRIM(B12192)</f>
        <v>Ohio</v>
      </c>
      <c r="E12192" s="111" t="str">
        <f t="shared" si="12190"/>
        <v>East Palestine</v>
      </c>
    </row>
    <row r="12193" spans="1:5">
      <c r="A12193" s="3" t="s">
        <v>3069</v>
      </c>
      <c r="B12193" s="110" t="s">
        <v>1361</v>
      </c>
      <c r="C12193" s="111" t="s">
        <v>23068</v>
      </c>
      <c r="D12193" s="111" t="str">
        <f t="shared" ref="D12193:E12193" si="12191">TRIM(B12193)</f>
        <v>Ohio</v>
      </c>
      <c r="E12193" s="111" t="str">
        <f t="shared" si="12191"/>
        <v>Eastlake</v>
      </c>
    </row>
    <row r="12194" spans="1:5">
      <c r="A12194" s="3" t="s">
        <v>7865</v>
      </c>
      <c r="B12194" s="110" t="s">
        <v>1361</v>
      </c>
      <c r="C12194" s="111" t="s">
        <v>7866</v>
      </c>
      <c r="D12194" s="111" t="str">
        <f t="shared" ref="D12194:E12194" si="12192">TRIM(B12194)</f>
        <v>Ohio</v>
      </c>
      <c r="E12194" s="111" t="str">
        <f t="shared" si="12192"/>
        <v>Eaton</v>
      </c>
    </row>
    <row r="12195" spans="1:5">
      <c r="A12195" s="3" t="s">
        <v>23069</v>
      </c>
      <c r="B12195" s="110" t="s">
        <v>1361</v>
      </c>
      <c r="C12195" s="111" t="s">
        <v>576</v>
      </c>
      <c r="D12195" s="111" t="str">
        <f t="shared" ref="D12195:E12195" si="12193">TRIM(B12195)</f>
        <v>Ohio</v>
      </c>
      <c r="E12195" s="111" t="str">
        <f t="shared" si="12193"/>
        <v>Edgerton</v>
      </c>
    </row>
    <row r="12196" spans="1:5">
      <c r="A12196" s="3" t="s">
        <v>23070</v>
      </c>
      <c r="B12196" s="110" t="s">
        <v>1361</v>
      </c>
      <c r="C12196" s="111" t="s">
        <v>23071</v>
      </c>
      <c r="D12196" s="111" t="str">
        <f t="shared" ref="D12196:E12196" si="12194">TRIM(B12196)</f>
        <v>Ohio</v>
      </c>
      <c r="E12196" s="111" t="str">
        <f t="shared" si="12194"/>
        <v>Edon</v>
      </c>
    </row>
    <row r="12197" spans="1:5">
      <c r="A12197" s="3" t="s">
        <v>20540</v>
      </c>
      <c r="B12197" s="110" t="s">
        <v>1361</v>
      </c>
      <c r="C12197" s="111" t="s">
        <v>20541</v>
      </c>
      <c r="D12197" s="111" t="str">
        <f t="shared" ref="D12197:E12197" si="12195">TRIM(B12197)</f>
        <v>Ohio</v>
      </c>
      <c r="E12197" s="111" t="str">
        <f t="shared" si="12195"/>
        <v>Elida</v>
      </c>
    </row>
    <row r="12198" spans="1:5">
      <c r="A12198" s="3" t="s">
        <v>23072</v>
      </c>
      <c r="B12198" s="110" t="s">
        <v>1361</v>
      </c>
      <c r="C12198" s="111" t="s">
        <v>8984</v>
      </c>
      <c r="D12198" s="111" t="str">
        <f t="shared" ref="D12198:E12198" si="12196">TRIM(B12198)</f>
        <v>Ohio</v>
      </c>
      <c r="E12198" s="111" t="str">
        <f t="shared" si="12196"/>
        <v>Elmore</v>
      </c>
    </row>
    <row r="12199" spans="1:5">
      <c r="A12199" s="3" t="s">
        <v>23073</v>
      </c>
      <c r="B12199" s="110" t="s">
        <v>1361</v>
      </c>
      <c r="C12199" s="111" t="s">
        <v>23074</v>
      </c>
      <c r="D12199" s="111" t="str">
        <f t="shared" ref="D12199:E12199" si="12197">TRIM(B12199)</f>
        <v>Ohio</v>
      </c>
      <c r="E12199" s="111" t="str">
        <f t="shared" si="12197"/>
        <v>Elyria</v>
      </c>
    </row>
    <row r="12200" spans="1:5">
      <c r="A12200" s="110" t="s">
        <v>23075</v>
      </c>
      <c r="B12200" s="110" t="s">
        <v>1361</v>
      </c>
      <c r="C12200" s="111" t="s">
        <v>23074</v>
      </c>
      <c r="D12200" s="111" t="str">
        <f t="shared" ref="D12200:E12200" si="12198">TRIM(B12200)</f>
        <v>Ohio</v>
      </c>
      <c r="E12200" s="111" t="str">
        <f t="shared" si="12198"/>
        <v>Elyria</v>
      </c>
    </row>
    <row r="12201" spans="1:5">
      <c r="A12201" s="3" t="s">
        <v>23076</v>
      </c>
      <c r="B12201" s="110" t="s">
        <v>1361</v>
      </c>
      <c r="C12201" s="111" t="s">
        <v>23077</v>
      </c>
      <c r="D12201" s="111" t="str">
        <f t="shared" ref="D12201:E12201" si="12199">TRIM(B12201)</f>
        <v>Ohio</v>
      </c>
      <c r="E12201" s="111" t="str">
        <f t="shared" si="12199"/>
        <v>Euclid</v>
      </c>
    </row>
    <row r="12202" spans="1:5">
      <c r="A12202" s="3" t="s">
        <v>23078</v>
      </c>
      <c r="B12202" s="110" t="s">
        <v>1361</v>
      </c>
      <c r="C12202" s="111" t="s">
        <v>23079</v>
      </c>
      <c r="D12202" s="111" t="str">
        <f t="shared" ref="D12202:E12202" si="12200">TRIM(B12202)</f>
        <v>Ohio</v>
      </c>
      <c r="E12202" s="111" t="str">
        <f t="shared" si="12200"/>
        <v>Fairborn</v>
      </c>
    </row>
    <row r="12203" spans="1:5">
      <c r="A12203" s="3" t="s">
        <v>23080</v>
      </c>
      <c r="B12203" s="110" t="s">
        <v>1361</v>
      </c>
      <c r="C12203" s="111" t="s">
        <v>23079</v>
      </c>
      <c r="D12203" s="111" t="str">
        <f t="shared" ref="D12203:E12203" si="12201">TRIM(B12203)</f>
        <v>Ohio</v>
      </c>
      <c r="E12203" s="111" t="str">
        <f t="shared" si="12201"/>
        <v>Fairborn</v>
      </c>
    </row>
    <row r="12204" spans="1:5">
      <c r="A12204" s="3" t="s">
        <v>5002</v>
      </c>
      <c r="B12204" s="110" t="s">
        <v>1361</v>
      </c>
      <c r="C12204" s="111" t="s">
        <v>303</v>
      </c>
      <c r="D12204" s="111" t="str">
        <f t="shared" ref="D12204:E12204" si="12202">TRIM(B12204)</f>
        <v>Ohio</v>
      </c>
      <c r="E12204" s="111" t="str">
        <f t="shared" si="12202"/>
        <v>Fairfield</v>
      </c>
    </row>
    <row r="12205" spans="1:5">
      <c r="A12205" s="3" t="s">
        <v>23081</v>
      </c>
      <c r="B12205" s="110" t="s">
        <v>1361</v>
      </c>
      <c r="C12205" s="111" t="s">
        <v>23082</v>
      </c>
      <c r="D12205" s="111" t="str">
        <f t="shared" ref="D12205:E12205" si="12203">TRIM(B12205)</f>
        <v>Ohio</v>
      </c>
      <c r="E12205" s="111" t="str">
        <f t="shared" si="12203"/>
        <v>Fairport Harbor</v>
      </c>
    </row>
    <row r="12206" spans="1:5">
      <c r="A12206" s="3" t="s">
        <v>1663</v>
      </c>
      <c r="B12206" s="110" t="s">
        <v>1361</v>
      </c>
      <c r="C12206" s="111" t="s">
        <v>23083</v>
      </c>
      <c r="D12206" s="111" t="str">
        <f t="shared" ref="D12206:E12206" si="12204">TRIM(B12206)</f>
        <v>Ohio</v>
      </c>
      <c r="E12206" s="111" t="str">
        <f t="shared" si="12204"/>
        <v>Fairview Park</v>
      </c>
    </row>
    <row r="12207" spans="1:5">
      <c r="A12207" s="3" t="s">
        <v>23084</v>
      </c>
      <c r="B12207" s="110" t="s">
        <v>1361</v>
      </c>
      <c r="C12207" s="111" t="s">
        <v>1747</v>
      </c>
      <c r="D12207" s="111" t="str">
        <f t="shared" ref="D12207:E12207" si="12205">TRIM(B12207)</f>
        <v>Ohio</v>
      </c>
      <c r="E12207" s="111" t="str">
        <f t="shared" si="12205"/>
        <v>Fayette</v>
      </c>
    </row>
    <row r="12208" spans="1:5">
      <c r="A12208" s="3" t="s">
        <v>23085</v>
      </c>
      <c r="B12208" s="110" t="s">
        <v>1361</v>
      </c>
      <c r="C12208" s="111" t="s">
        <v>554</v>
      </c>
      <c r="D12208" s="111" t="str">
        <f t="shared" ref="D12208:E12208" si="12206">TRIM(B12208)</f>
        <v>Ohio</v>
      </c>
      <c r="E12208" s="111" t="str">
        <f t="shared" si="12206"/>
        <v>Fayetteville</v>
      </c>
    </row>
    <row r="12209" spans="1:5">
      <c r="A12209" s="3" t="s">
        <v>23086</v>
      </c>
      <c r="B12209" s="110" t="s">
        <v>1361</v>
      </c>
      <c r="C12209" s="111" t="s">
        <v>23087</v>
      </c>
      <c r="D12209" s="111" t="str">
        <f t="shared" ref="D12209:E12209" si="12207">TRIM(B12209)</f>
        <v>Ohio</v>
      </c>
      <c r="E12209" s="111" t="str">
        <f t="shared" si="12207"/>
        <v>Felicity</v>
      </c>
    </row>
    <row r="12210" spans="1:5">
      <c r="A12210" s="3" t="s">
        <v>23088</v>
      </c>
      <c r="B12210" s="110" t="s">
        <v>1361</v>
      </c>
      <c r="C12210" s="111" t="s">
        <v>23089</v>
      </c>
      <c r="D12210" s="111" t="str">
        <f t="shared" ref="D12210:E12210" si="12208">TRIM(B12210)</f>
        <v>Ohio</v>
      </c>
      <c r="E12210" s="111" t="str">
        <f t="shared" si="12208"/>
        <v>Findlay</v>
      </c>
    </row>
    <row r="12211" spans="1:5">
      <c r="A12211" s="3" t="s">
        <v>23090</v>
      </c>
      <c r="B12211" s="110" t="s">
        <v>1361</v>
      </c>
      <c r="C12211" s="111" t="s">
        <v>23089</v>
      </c>
      <c r="D12211" s="111" t="str">
        <f t="shared" ref="D12211:E12211" si="12209">TRIM(B12211)</f>
        <v>Ohio</v>
      </c>
      <c r="E12211" s="111" t="str">
        <f t="shared" si="12209"/>
        <v>Findlay</v>
      </c>
    </row>
    <row r="12212" spans="1:5">
      <c r="A12212" s="3" t="s">
        <v>23091</v>
      </c>
      <c r="B12212" s="110" t="s">
        <v>1361</v>
      </c>
      <c r="C12212" s="111" t="s">
        <v>23089</v>
      </c>
      <c r="D12212" s="111" t="str">
        <f t="shared" ref="D12212:E12212" si="12210">TRIM(B12212)</f>
        <v>Ohio</v>
      </c>
      <c r="E12212" s="111" t="str">
        <f t="shared" si="12210"/>
        <v>Findlay</v>
      </c>
    </row>
    <row r="12213" spans="1:5">
      <c r="A12213" s="3" t="s">
        <v>23092</v>
      </c>
      <c r="B12213" s="110" t="s">
        <v>1361</v>
      </c>
      <c r="C12213" s="111" t="s">
        <v>23093</v>
      </c>
      <c r="D12213" s="111" t="str">
        <f t="shared" ref="D12213:E12213" si="12211">TRIM(B12213)</f>
        <v>Ohio</v>
      </c>
      <c r="E12213" s="111" t="str">
        <f t="shared" si="12211"/>
        <v>Fort Jennings</v>
      </c>
    </row>
    <row r="12214" spans="1:5">
      <c r="A12214" s="3" t="s">
        <v>23094</v>
      </c>
      <c r="B12214" s="110" t="s">
        <v>1361</v>
      </c>
      <c r="C12214" s="111" t="s">
        <v>23095</v>
      </c>
      <c r="D12214" s="111" t="str">
        <f t="shared" ref="D12214:E12214" si="12212">TRIM(B12214)</f>
        <v>Ohio</v>
      </c>
      <c r="E12214" s="111" t="str">
        <f t="shared" si="12212"/>
        <v>Fort Loramie</v>
      </c>
    </row>
    <row r="12215" spans="1:5">
      <c r="A12215" s="3" t="s">
        <v>23096</v>
      </c>
      <c r="B12215" s="110" t="s">
        <v>1361</v>
      </c>
      <c r="C12215" s="111" t="s">
        <v>23097</v>
      </c>
      <c r="D12215" s="111" t="str">
        <f t="shared" ref="D12215:E12215" si="12213">TRIM(B12215)</f>
        <v>Ohio</v>
      </c>
      <c r="E12215" s="111" t="str">
        <f t="shared" si="12213"/>
        <v>Fort Recovery</v>
      </c>
    </row>
    <row r="12216" spans="1:5">
      <c r="A12216" s="3" t="s">
        <v>23098</v>
      </c>
      <c r="B12216" s="110" t="s">
        <v>1361</v>
      </c>
      <c r="C12216" s="111" t="s">
        <v>23099</v>
      </c>
      <c r="D12216" s="111" t="str">
        <f t="shared" ref="D12216:E12216" si="12214">TRIM(B12216)</f>
        <v>Ohio</v>
      </c>
      <c r="E12216" s="111" t="str">
        <f t="shared" si="12214"/>
        <v>Fostoria</v>
      </c>
    </row>
    <row r="12217" spans="1:5">
      <c r="A12217" s="3" t="s">
        <v>23100</v>
      </c>
      <c r="B12217" s="110" t="s">
        <v>1361</v>
      </c>
      <c r="C12217" s="111" t="s">
        <v>12913</v>
      </c>
      <c r="D12217" s="111" t="str">
        <f t="shared" ref="D12217:E12217" si="12215">TRIM(B12217)</f>
        <v>Ohio</v>
      </c>
      <c r="E12217" s="111" t="str">
        <f t="shared" si="12215"/>
        <v>Frankfort</v>
      </c>
    </row>
    <row r="12218" spans="1:5">
      <c r="A12218" s="3" t="s">
        <v>4937</v>
      </c>
      <c r="B12218" s="110" t="s">
        <v>1361</v>
      </c>
      <c r="C12218" s="111" t="s">
        <v>525</v>
      </c>
      <c r="D12218" s="111" t="str">
        <f t="shared" ref="D12218:E12218" si="12216">TRIM(B12218)</f>
        <v>Ohio</v>
      </c>
      <c r="E12218" s="111" t="str">
        <f t="shared" si="12216"/>
        <v>Franklin</v>
      </c>
    </row>
    <row r="12219" spans="1:5">
      <c r="A12219" s="3" t="s">
        <v>23101</v>
      </c>
      <c r="B12219" s="110" t="s">
        <v>1361</v>
      </c>
      <c r="C12219" s="111" t="s">
        <v>23102</v>
      </c>
      <c r="D12219" s="111" t="str">
        <f t="shared" ref="D12219:E12219" si="12217">TRIM(B12219)</f>
        <v>Ohio</v>
      </c>
      <c r="E12219" s="111" t="str">
        <f t="shared" si="12217"/>
        <v>Franklin Furnace</v>
      </c>
    </row>
    <row r="12220" spans="1:5">
      <c r="A12220" s="3" t="s">
        <v>18781</v>
      </c>
      <c r="B12220" s="110" t="s">
        <v>1361</v>
      </c>
      <c r="C12220" s="111" t="s">
        <v>18782</v>
      </c>
      <c r="D12220" s="111" t="str">
        <f t="shared" ref="D12220:E12220" si="12218">TRIM(B12220)</f>
        <v>Ohio</v>
      </c>
      <c r="E12220" s="111" t="str">
        <f t="shared" si="12218"/>
        <v>Fredericktown</v>
      </c>
    </row>
    <row r="12221" spans="1:5">
      <c r="A12221" s="3" t="s">
        <v>23103</v>
      </c>
      <c r="B12221" s="110" t="s">
        <v>1361</v>
      </c>
      <c r="C12221" s="111" t="s">
        <v>496</v>
      </c>
      <c r="D12221" s="111" t="str">
        <f t="shared" ref="D12221:E12221" si="12219">TRIM(B12221)</f>
        <v>Ohio</v>
      </c>
      <c r="E12221" s="111" t="str">
        <f t="shared" si="12219"/>
        <v>Fremont</v>
      </c>
    </row>
    <row r="12222" spans="1:5">
      <c r="A12222" s="3" t="s">
        <v>1925</v>
      </c>
      <c r="B12222" s="110" t="s">
        <v>1361</v>
      </c>
      <c r="C12222" s="111" t="s">
        <v>1133</v>
      </c>
      <c r="D12222" s="111" t="str">
        <f t="shared" ref="D12222:E12222" si="12220">TRIM(B12222)</f>
        <v>Ohio</v>
      </c>
      <c r="E12222" s="111" t="str">
        <f t="shared" si="12220"/>
        <v>Gahanna</v>
      </c>
    </row>
    <row r="12223" spans="1:5">
      <c r="A12223" s="3" t="s">
        <v>23104</v>
      </c>
      <c r="B12223" s="110" t="s">
        <v>1361</v>
      </c>
      <c r="C12223" s="111" t="s">
        <v>23105</v>
      </c>
      <c r="D12223" s="111" t="str">
        <f t="shared" ref="D12223:E12223" si="12221">TRIM(B12223)</f>
        <v>Ohio</v>
      </c>
      <c r="E12223" s="111" t="str">
        <f t="shared" si="12221"/>
        <v>Galion</v>
      </c>
    </row>
    <row r="12224" spans="1:5">
      <c r="A12224" s="3" t="s">
        <v>23106</v>
      </c>
      <c r="B12224" s="110" t="s">
        <v>1361</v>
      </c>
      <c r="C12224" s="111" t="s">
        <v>23105</v>
      </c>
      <c r="D12224" s="111" t="str">
        <f t="shared" ref="D12224:E12224" si="12222">TRIM(B12224)</f>
        <v>Ohio</v>
      </c>
      <c r="E12224" s="111" t="str">
        <f t="shared" si="12222"/>
        <v>Galion</v>
      </c>
    </row>
    <row r="12225" spans="1:5">
      <c r="A12225" s="3" t="s">
        <v>23107</v>
      </c>
      <c r="B12225" s="110" t="s">
        <v>1361</v>
      </c>
      <c r="C12225" s="111" t="s">
        <v>23108</v>
      </c>
      <c r="D12225" s="111" t="str">
        <f t="shared" ref="D12225:E12225" si="12223">TRIM(B12225)</f>
        <v>Ohio</v>
      </c>
      <c r="E12225" s="111" t="str">
        <f t="shared" si="12223"/>
        <v>Gallipolis</v>
      </c>
    </row>
    <row r="12226" spans="1:5">
      <c r="A12226" s="3" t="s">
        <v>23109</v>
      </c>
      <c r="B12226" s="110" t="s">
        <v>1361</v>
      </c>
      <c r="C12226" s="111" t="s">
        <v>20157</v>
      </c>
      <c r="D12226" s="111" t="str">
        <f t="shared" ref="D12226:E12226" si="12224">TRIM(B12226)</f>
        <v>Ohio</v>
      </c>
      <c r="E12226" s="111" t="str">
        <f t="shared" si="12224"/>
        <v>Galloway</v>
      </c>
    </row>
    <row r="12227" spans="1:5">
      <c r="A12227" s="3" t="s">
        <v>23110</v>
      </c>
      <c r="B12227" s="110" t="s">
        <v>1361</v>
      </c>
      <c r="C12227" s="111" t="s">
        <v>7280</v>
      </c>
      <c r="D12227" s="111" t="str">
        <f t="shared" ref="D12227:E12227" si="12225">TRIM(B12227)</f>
        <v>Ohio</v>
      </c>
      <c r="E12227" s="111" t="str">
        <f t="shared" si="12225"/>
        <v>Garfield Heights</v>
      </c>
    </row>
    <row r="12228" spans="1:5">
      <c r="A12228" s="3" t="s">
        <v>23111</v>
      </c>
      <c r="B12228" s="110" t="s">
        <v>1361</v>
      </c>
      <c r="C12228" s="111" t="s">
        <v>23112</v>
      </c>
      <c r="D12228" s="111" t="str">
        <f t="shared" ref="D12228:E12228" si="12226">TRIM(B12228)</f>
        <v>Ohio</v>
      </c>
      <c r="E12228" s="111" t="str">
        <f t="shared" si="12226"/>
        <v>Garrettsville</v>
      </c>
    </row>
    <row r="12229" spans="1:5">
      <c r="A12229" s="3" t="s">
        <v>1772</v>
      </c>
      <c r="B12229" s="110" t="s">
        <v>1361</v>
      </c>
      <c r="C12229" s="111" t="s">
        <v>1773</v>
      </c>
      <c r="D12229" s="111" t="str">
        <f t="shared" ref="D12229:E12229" si="12227">TRIM(B12229)</f>
        <v>Ohio</v>
      </c>
      <c r="E12229" s="111" t="str">
        <f t="shared" si="12227"/>
        <v>Geneva</v>
      </c>
    </row>
    <row r="12230" spans="1:5">
      <c r="A12230" s="3" t="s">
        <v>23113</v>
      </c>
      <c r="B12230" s="110" t="s">
        <v>1361</v>
      </c>
      <c r="C12230" s="111" t="s">
        <v>12953</v>
      </c>
      <c r="D12230" s="111" t="str">
        <f t="shared" ref="D12230:E12230" si="12228">TRIM(B12230)</f>
        <v>Ohio</v>
      </c>
      <c r="E12230" s="111" t="str">
        <f t="shared" si="12228"/>
        <v>Genoa</v>
      </c>
    </row>
    <row r="12231" spans="1:5">
      <c r="A12231" s="3" t="s">
        <v>23114</v>
      </c>
      <c r="B12231" s="110" t="s">
        <v>1361</v>
      </c>
      <c r="C12231" s="111" t="s">
        <v>8818</v>
      </c>
      <c r="D12231" s="111" t="str">
        <f t="shared" ref="D12231:E12231" si="12229">TRIM(B12231)</f>
        <v>Ohio</v>
      </c>
      <c r="E12231" s="111" t="str">
        <f t="shared" si="12229"/>
        <v>Georgetown</v>
      </c>
    </row>
    <row r="12232" spans="1:5">
      <c r="A12232" s="3" t="s">
        <v>3908</v>
      </c>
      <c r="B12232" s="110" t="s">
        <v>1361</v>
      </c>
      <c r="C12232" s="111" t="s">
        <v>1157</v>
      </c>
      <c r="D12232" s="111" t="str">
        <f t="shared" ref="D12232:E12232" si="12230">TRIM(B12232)</f>
        <v>Ohio</v>
      </c>
      <c r="E12232" s="111" t="str">
        <f t="shared" si="12230"/>
        <v>Germantown</v>
      </c>
    </row>
    <row r="12233" spans="1:5">
      <c r="A12233" s="3" t="s">
        <v>23115</v>
      </c>
      <c r="B12233" s="110" t="s">
        <v>1361</v>
      </c>
      <c r="C12233" s="111" t="s">
        <v>23116</v>
      </c>
      <c r="D12233" s="111" t="str">
        <f t="shared" ref="D12233:E12233" si="12231">TRIM(B12233)</f>
        <v>Ohio</v>
      </c>
      <c r="E12233" s="111" t="str">
        <f t="shared" si="12231"/>
        <v>Gibsonburg</v>
      </c>
    </row>
    <row r="12234" spans="1:5">
      <c r="A12234" s="3" t="s">
        <v>23117</v>
      </c>
      <c r="B12234" s="110" t="s">
        <v>1361</v>
      </c>
      <c r="C12234" s="111" t="s">
        <v>15279</v>
      </c>
      <c r="D12234" s="111" t="str">
        <f t="shared" ref="D12234:E12234" si="12232">TRIM(B12234)</f>
        <v>Ohio</v>
      </c>
      <c r="E12234" s="111" t="str">
        <f t="shared" si="12232"/>
        <v>Girard</v>
      </c>
    </row>
    <row r="12235" spans="1:5">
      <c r="A12235" s="3" t="s">
        <v>23118</v>
      </c>
      <c r="B12235" s="110" t="s">
        <v>1361</v>
      </c>
      <c r="C12235" s="111" t="s">
        <v>23119</v>
      </c>
      <c r="D12235" s="111" t="str">
        <f t="shared" ref="D12235:E12235" si="12233">TRIM(B12235)</f>
        <v>Ohio</v>
      </c>
      <c r="E12235" s="111" t="str">
        <f t="shared" si="12233"/>
        <v>Glouster</v>
      </c>
    </row>
    <row r="12236" spans="1:5">
      <c r="A12236" s="3" t="s">
        <v>23120</v>
      </c>
      <c r="B12236" s="110" t="s">
        <v>1361</v>
      </c>
      <c r="C12236" s="111" t="s">
        <v>23121</v>
      </c>
      <c r="D12236" s="111" t="str">
        <f t="shared" ref="D12236:E12236" si="12234">TRIM(B12236)</f>
        <v>Ohio</v>
      </c>
      <c r="E12236" s="111" t="str">
        <f t="shared" si="12234"/>
        <v>Gnadenhutten</v>
      </c>
    </row>
    <row r="12237" spans="1:5">
      <c r="A12237" s="3" t="s">
        <v>1795</v>
      </c>
      <c r="B12237" s="110" t="s">
        <v>1361</v>
      </c>
      <c r="C12237" s="111" t="s">
        <v>1796</v>
      </c>
      <c r="D12237" s="111" t="str">
        <f t="shared" ref="D12237:E12237" si="12235">TRIM(B12237)</f>
        <v>Ohio</v>
      </c>
      <c r="E12237" s="111" t="str">
        <f t="shared" si="12235"/>
        <v>Goshen</v>
      </c>
    </row>
    <row r="12238" spans="1:5">
      <c r="A12238" s="3" t="s">
        <v>23122</v>
      </c>
      <c r="B12238" s="110" t="s">
        <v>1361</v>
      </c>
      <c r="C12238" s="111" t="s">
        <v>16655</v>
      </c>
      <c r="D12238" s="111" t="str">
        <f t="shared" ref="D12238:E12238" si="12236">TRIM(B12238)</f>
        <v>Ohio</v>
      </c>
      <c r="E12238" s="111" t="str">
        <f t="shared" si="12236"/>
        <v>Grafton</v>
      </c>
    </row>
    <row r="12239" spans="1:5">
      <c r="A12239" s="3" t="s">
        <v>23123</v>
      </c>
      <c r="B12239" s="110" t="s">
        <v>1361</v>
      </c>
      <c r="C12239" s="111" t="s">
        <v>12988</v>
      </c>
      <c r="D12239" s="111" t="str">
        <f t="shared" ref="D12239:E12239" si="12237">TRIM(B12239)</f>
        <v>Ohio</v>
      </c>
      <c r="E12239" s="111" t="str">
        <f t="shared" si="12237"/>
        <v>Granville</v>
      </c>
    </row>
    <row r="12240" spans="1:5">
      <c r="A12240" s="3" t="s">
        <v>23101</v>
      </c>
      <c r="B12240" s="110" t="s">
        <v>1361</v>
      </c>
      <c r="C12240" s="111" t="s">
        <v>23124</v>
      </c>
      <c r="D12240" s="111" t="str">
        <f t="shared" ref="D12240:E12240" si="12238">TRIM(B12240)</f>
        <v>Ohio</v>
      </c>
      <c r="E12240" s="111" t="str">
        <f t="shared" si="12238"/>
        <v>Green</v>
      </c>
    </row>
    <row r="12241" spans="1:5">
      <c r="A12241" s="3" t="s">
        <v>23125</v>
      </c>
      <c r="B12241" s="110" t="s">
        <v>1361</v>
      </c>
      <c r="C12241" s="111" t="s">
        <v>5188</v>
      </c>
      <c r="D12241" s="111" t="str">
        <f t="shared" ref="D12241:E12241" si="12239">TRIM(B12241)</f>
        <v>Ohio</v>
      </c>
      <c r="E12241" s="111" t="str">
        <f t="shared" si="12239"/>
        <v>Greenfield</v>
      </c>
    </row>
    <row r="12242" spans="1:5">
      <c r="A12242" s="3" t="s">
        <v>17257</v>
      </c>
      <c r="B12242" s="110" t="s">
        <v>1361</v>
      </c>
      <c r="C12242" s="111" t="s">
        <v>1804</v>
      </c>
      <c r="D12242" s="111" t="str">
        <f t="shared" ref="D12242:E12242" si="12240">TRIM(B12242)</f>
        <v>Ohio</v>
      </c>
      <c r="E12242" s="111" t="str">
        <f t="shared" si="12240"/>
        <v>Greenville</v>
      </c>
    </row>
    <row r="12243" spans="1:5">
      <c r="A12243" s="3" t="s">
        <v>12878</v>
      </c>
      <c r="B12243" s="110" t="s">
        <v>1361</v>
      </c>
      <c r="C12243" s="111" t="s">
        <v>8476</v>
      </c>
      <c r="D12243" s="111" t="str">
        <f t="shared" ref="D12243:E12243" si="12241">TRIM(B12243)</f>
        <v>Ohio</v>
      </c>
      <c r="E12243" s="111" t="str">
        <f t="shared" si="12241"/>
        <v>Greenwich</v>
      </c>
    </row>
    <row r="12244" spans="1:5">
      <c r="A12244" s="3" t="s">
        <v>23126</v>
      </c>
      <c r="B12244" s="110" t="s">
        <v>1361</v>
      </c>
      <c r="C12244" s="111" t="s">
        <v>17928</v>
      </c>
      <c r="D12244" s="111" t="str">
        <f t="shared" ref="D12244:E12244" si="12242">TRIM(B12244)</f>
        <v>Ohio</v>
      </c>
      <c r="E12244" s="111" t="str">
        <f t="shared" si="12242"/>
        <v>Grove City</v>
      </c>
    </row>
    <row r="12245" spans="1:5">
      <c r="A12245" s="3" t="s">
        <v>23127</v>
      </c>
      <c r="B12245" s="110" t="s">
        <v>1361</v>
      </c>
      <c r="C12245" s="111" t="s">
        <v>17928</v>
      </c>
      <c r="D12245" s="111" t="str">
        <f t="shared" ref="D12245:E12245" si="12243">TRIM(B12245)</f>
        <v>Ohio</v>
      </c>
      <c r="E12245" s="111" t="str">
        <f t="shared" si="12243"/>
        <v>Grove City</v>
      </c>
    </row>
    <row r="12246" spans="1:5">
      <c r="A12246" s="3" t="s">
        <v>23128</v>
      </c>
      <c r="B12246" s="110" t="s">
        <v>1361</v>
      </c>
      <c r="C12246" s="111" t="s">
        <v>23129</v>
      </c>
      <c r="D12246" s="111" t="str">
        <f t="shared" ref="D12246:E12246" si="12244">TRIM(B12246)</f>
        <v>Ohio</v>
      </c>
      <c r="E12246" s="111" t="str">
        <f t="shared" si="12244"/>
        <v>Groveport</v>
      </c>
    </row>
    <row r="12247" spans="1:5">
      <c r="A12247" s="3" t="s">
        <v>23130</v>
      </c>
      <c r="B12247" s="110" t="s">
        <v>1361</v>
      </c>
      <c r="C12247" s="111" t="s">
        <v>23129</v>
      </c>
      <c r="D12247" s="111" t="str">
        <f t="shared" ref="D12247:E12247" si="12245">TRIM(B12247)</f>
        <v>Ohio</v>
      </c>
      <c r="E12247" s="111" t="str">
        <f t="shared" si="12245"/>
        <v>Groveport</v>
      </c>
    </row>
    <row r="12248" spans="1:5">
      <c r="A12248" s="3" t="s">
        <v>1827</v>
      </c>
      <c r="B12248" s="110" t="s">
        <v>1361</v>
      </c>
      <c r="C12248" s="111" t="s">
        <v>344</v>
      </c>
      <c r="D12248" s="111" t="str">
        <f t="shared" ref="D12248:E12248" si="12246">TRIM(B12248)</f>
        <v>Ohio</v>
      </c>
      <c r="E12248" s="111" t="str">
        <f t="shared" si="12246"/>
        <v>Hamilton</v>
      </c>
    </row>
    <row r="12249" spans="1:5">
      <c r="A12249" s="110" t="s">
        <v>23131</v>
      </c>
      <c r="B12249" s="110" t="s">
        <v>1361</v>
      </c>
      <c r="C12249" s="111" t="s">
        <v>344</v>
      </c>
      <c r="D12249" s="111" t="str">
        <f t="shared" ref="D12249:E12249" si="12247">TRIM(B12249)</f>
        <v>Ohio</v>
      </c>
      <c r="E12249" s="111" t="str">
        <f t="shared" si="12247"/>
        <v>Hamilton</v>
      </c>
    </row>
    <row r="12250" spans="1:5">
      <c r="A12250" s="3" t="s">
        <v>23132</v>
      </c>
      <c r="B12250" s="110" t="s">
        <v>1361</v>
      </c>
      <c r="C12250" s="111" t="s">
        <v>344</v>
      </c>
      <c r="D12250" s="111" t="str">
        <f t="shared" ref="D12250:E12250" si="12248">TRIM(B12250)</f>
        <v>Ohio</v>
      </c>
      <c r="E12250" s="111" t="str">
        <f t="shared" si="12248"/>
        <v>Hamilton</v>
      </c>
    </row>
    <row r="12251" spans="1:5">
      <c r="A12251" s="3" t="s">
        <v>23133</v>
      </c>
      <c r="B12251" s="110" t="s">
        <v>1361</v>
      </c>
      <c r="C12251" s="111" t="s">
        <v>344</v>
      </c>
      <c r="D12251" s="111" t="str">
        <f t="shared" ref="D12251:E12251" si="12249">TRIM(B12251)</f>
        <v>Ohio</v>
      </c>
      <c r="E12251" s="111" t="str">
        <f t="shared" si="12249"/>
        <v>Hamilton</v>
      </c>
    </row>
    <row r="12252" spans="1:5">
      <c r="A12252" s="3" t="s">
        <v>23134</v>
      </c>
      <c r="B12252" s="110" t="s">
        <v>1361</v>
      </c>
      <c r="C12252" s="111" t="s">
        <v>23135</v>
      </c>
      <c r="D12252" s="111" t="str">
        <f t="shared" ref="D12252:E12252" si="12250">TRIM(B12252)</f>
        <v>Ohio</v>
      </c>
      <c r="E12252" s="111" t="str">
        <f t="shared" si="12250"/>
        <v>Hamler</v>
      </c>
    </row>
    <row r="12253" spans="1:5">
      <c r="A12253" s="3" t="s">
        <v>23136</v>
      </c>
      <c r="B12253" s="110" t="s">
        <v>1361</v>
      </c>
      <c r="C12253" s="111" t="s">
        <v>18814</v>
      </c>
      <c r="D12253" s="111" t="str">
        <f t="shared" ref="D12253:E12253" si="12251">TRIM(B12253)</f>
        <v>Ohio</v>
      </c>
      <c r="E12253" s="111" t="str">
        <f t="shared" si="12251"/>
        <v>Hannibal</v>
      </c>
    </row>
    <row r="12254" spans="1:5">
      <c r="A12254" s="3" t="s">
        <v>13363</v>
      </c>
      <c r="B12254" s="110" t="s">
        <v>1361</v>
      </c>
      <c r="C12254" s="111" t="s">
        <v>23137</v>
      </c>
      <c r="D12254" s="111" t="str">
        <f t="shared" ref="D12254:E12254" si="12252">TRIM(B12254)</f>
        <v>Ohio</v>
      </c>
      <c r="E12254" s="111" t="str">
        <f t="shared" si="12252"/>
        <v>Hanoverton</v>
      </c>
    </row>
    <row r="12255" spans="1:5">
      <c r="A12255" s="3" t="s">
        <v>14315</v>
      </c>
      <c r="B12255" s="110" t="s">
        <v>1361</v>
      </c>
      <c r="C12255" s="111" t="s">
        <v>3849</v>
      </c>
      <c r="D12255" s="111" t="str">
        <f t="shared" ref="D12255:E12255" si="12253">TRIM(B12255)</f>
        <v>Ohio</v>
      </c>
      <c r="E12255" s="111" t="str">
        <f t="shared" si="12253"/>
        <v>Harrison</v>
      </c>
    </row>
    <row r="12256" spans="1:5">
      <c r="A12256" s="3" t="s">
        <v>23138</v>
      </c>
      <c r="B12256" s="110" t="s">
        <v>1361</v>
      </c>
      <c r="C12256" s="111" t="s">
        <v>23139</v>
      </c>
      <c r="D12256" s="111" t="str">
        <f t="shared" ref="D12256:E12256" si="12254">TRIM(B12256)</f>
        <v>Ohio</v>
      </c>
      <c r="E12256" s="111" t="str">
        <f t="shared" si="12254"/>
        <v>Harrod</v>
      </c>
    </row>
    <row r="12257" spans="1:5">
      <c r="A12257" s="3" t="s">
        <v>23140</v>
      </c>
      <c r="B12257" s="110" t="s">
        <v>1361</v>
      </c>
      <c r="C12257" s="111" t="s">
        <v>23141</v>
      </c>
      <c r="D12257" s="111" t="str">
        <f t="shared" ref="D12257:E12257" si="12255">TRIM(B12257)</f>
        <v>Ohio</v>
      </c>
      <c r="E12257" s="111" t="str">
        <f t="shared" si="12255"/>
        <v>Haviland</v>
      </c>
    </row>
    <row r="12258" spans="1:5">
      <c r="A12258" s="3" t="s">
        <v>23142</v>
      </c>
      <c r="B12258" s="110" t="s">
        <v>1361</v>
      </c>
      <c r="C12258" s="111" t="s">
        <v>13826</v>
      </c>
      <c r="D12258" s="111" t="str">
        <f t="shared" ref="D12258:E12258" si="12256">TRIM(B12258)</f>
        <v>Ohio</v>
      </c>
      <c r="E12258" s="111" t="str">
        <f t="shared" si="12256"/>
        <v>Heath</v>
      </c>
    </row>
    <row r="12259" spans="1:5">
      <c r="A12259" s="3" t="s">
        <v>5451</v>
      </c>
      <c r="B12259" s="110" t="s">
        <v>1361</v>
      </c>
      <c r="C12259" s="111" t="s">
        <v>8519</v>
      </c>
      <c r="D12259" s="111" t="str">
        <f t="shared" ref="D12259:E12259" si="12257">TRIM(B12259)</f>
        <v>Ohio</v>
      </c>
      <c r="E12259" s="111" t="str">
        <f t="shared" si="12257"/>
        <v>Hebron</v>
      </c>
    </row>
    <row r="12260" spans="1:5">
      <c r="A12260" s="3" t="s">
        <v>21312</v>
      </c>
      <c r="B12260" s="110" t="s">
        <v>1361</v>
      </c>
      <c r="C12260" s="111" t="s">
        <v>21313</v>
      </c>
      <c r="D12260" s="111" t="str">
        <f t="shared" ref="D12260:E12260" si="12258">TRIM(B12260)</f>
        <v>Ohio</v>
      </c>
      <c r="E12260" s="111" t="str">
        <f t="shared" si="12258"/>
        <v>Hicksville</v>
      </c>
    </row>
    <row r="12261" spans="1:5">
      <c r="A12261" s="110" t="s">
        <v>23143</v>
      </c>
      <c r="B12261" s="110" t="s">
        <v>1361</v>
      </c>
      <c r="C12261" s="111" t="s">
        <v>23144</v>
      </c>
      <c r="D12261" s="111" t="str">
        <f t="shared" ref="D12261:E12261" si="12259">TRIM(B12261)</f>
        <v>Ohio</v>
      </c>
      <c r="E12261" s="111" t="str">
        <f t="shared" si="12259"/>
        <v>Highland Hills</v>
      </c>
    </row>
    <row r="12262" spans="1:5">
      <c r="A12262" s="3" t="s">
        <v>23145</v>
      </c>
      <c r="B12262" s="110" t="s">
        <v>1361</v>
      </c>
      <c r="C12262" s="111" t="s">
        <v>1101</v>
      </c>
      <c r="D12262" s="111" t="str">
        <f t="shared" ref="D12262:E12262" si="12260">TRIM(B12262)</f>
        <v>Ohio</v>
      </c>
      <c r="E12262" s="111" t="str">
        <f t="shared" si="12260"/>
        <v>Hilliard</v>
      </c>
    </row>
    <row r="12263" spans="1:5">
      <c r="A12263" s="3" t="s">
        <v>23146</v>
      </c>
      <c r="B12263" s="110" t="s">
        <v>1361</v>
      </c>
      <c r="C12263" s="111" t="s">
        <v>1101</v>
      </c>
      <c r="D12263" s="111" t="str">
        <f t="shared" ref="D12263:E12263" si="12261">TRIM(B12263)</f>
        <v>Ohio</v>
      </c>
      <c r="E12263" s="111" t="str">
        <f t="shared" si="12261"/>
        <v>Hilliard</v>
      </c>
    </row>
    <row r="12264" spans="1:5">
      <c r="A12264" s="3" t="s">
        <v>23147</v>
      </c>
      <c r="B12264" s="110" t="s">
        <v>1361</v>
      </c>
      <c r="C12264" s="111" t="s">
        <v>1101</v>
      </c>
      <c r="D12264" s="111" t="str">
        <f t="shared" ref="D12264:E12264" si="12262">TRIM(B12264)</f>
        <v>Ohio</v>
      </c>
      <c r="E12264" s="111" t="str">
        <f t="shared" si="12262"/>
        <v>Hilliard</v>
      </c>
    </row>
    <row r="12265" spans="1:5">
      <c r="A12265" s="3" t="s">
        <v>13068</v>
      </c>
      <c r="B12265" s="110" t="s">
        <v>1361</v>
      </c>
      <c r="C12265" s="111" t="s">
        <v>13070</v>
      </c>
      <c r="D12265" s="111" t="str">
        <f t="shared" ref="D12265:E12265" si="12263">TRIM(B12265)</f>
        <v>Ohio</v>
      </c>
      <c r="E12265" s="111" t="str">
        <f t="shared" si="12263"/>
        <v>Hillsboro</v>
      </c>
    </row>
    <row r="12266" spans="1:5">
      <c r="A12266" s="3" t="s">
        <v>23148</v>
      </c>
      <c r="B12266" s="110" t="s">
        <v>1361</v>
      </c>
      <c r="C12266" s="111" t="s">
        <v>23149</v>
      </c>
      <c r="D12266" s="111" t="str">
        <f t="shared" ref="D12266:E12266" si="12264">TRIM(B12266)</f>
        <v>Ohio</v>
      </c>
      <c r="E12266" s="111" t="str">
        <f t="shared" si="12264"/>
        <v>Holgate</v>
      </c>
    </row>
    <row r="12267" spans="1:5">
      <c r="A12267" s="3" t="s">
        <v>13829</v>
      </c>
      <c r="B12267" s="110" t="s">
        <v>1361</v>
      </c>
      <c r="C12267" s="111" t="s">
        <v>11430</v>
      </c>
      <c r="D12267" s="111" t="str">
        <f t="shared" ref="D12267:E12267" si="12265">TRIM(B12267)</f>
        <v>Ohio</v>
      </c>
      <c r="E12267" s="111" t="str">
        <f t="shared" si="12265"/>
        <v>Holland</v>
      </c>
    </row>
    <row r="12268" spans="1:5">
      <c r="A12268" s="3" t="s">
        <v>2358</v>
      </c>
      <c r="B12268" s="110" t="s">
        <v>1361</v>
      </c>
      <c r="C12268" s="111" t="s">
        <v>368</v>
      </c>
      <c r="D12268" s="111" t="str">
        <f t="shared" ref="D12268:E12268" si="12266">TRIM(B12268)</f>
        <v>Ohio</v>
      </c>
      <c r="E12268" s="111" t="str">
        <f t="shared" si="12266"/>
        <v>Houston</v>
      </c>
    </row>
    <row r="12269" spans="1:5">
      <c r="A12269" s="3" t="s">
        <v>23150</v>
      </c>
      <c r="B12269" s="110" t="s">
        <v>1361</v>
      </c>
      <c r="C12269" s="111" t="s">
        <v>23151</v>
      </c>
      <c r="D12269" s="111" t="str">
        <f t="shared" ref="D12269:E12269" si="12267">TRIM(B12269)</f>
        <v>Ohio</v>
      </c>
      <c r="E12269" s="111" t="str">
        <f t="shared" si="12267"/>
        <v>Howard</v>
      </c>
    </row>
    <row r="12270" spans="1:5">
      <c r="A12270" s="3" t="s">
        <v>12354</v>
      </c>
      <c r="B12270" s="110" t="s">
        <v>1361</v>
      </c>
      <c r="C12270" s="111" t="s">
        <v>23152</v>
      </c>
      <c r="D12270" s="111" t="str">
        <f t="shared" ref="D12270:E12270" si="12268">TRIM(B12270)</f>
        <v>Ohio</v>
      </c>
      <c r="E12270" s="111" t="str">
        <f t="shared" si="12268"/>
        <v>Hubbard</v>
      </c>
    </row>
    <row r="12271" spans="1:5">
      <c r="A12271" s="3" t="s">
        <v>14335</v>
      </c>
      <c r="B12271" s="110" t="s">
        <v>1361</v>
      </c>
      <c r="C12271" s="111" t="s">
        <v>23153</v>
      </c>
      <c r="D12271" s="111" t="str">
        <f t="shared" ref="D12271:E12271" si="12269">TRIM(B12271)</f>
        <v>Ohio</v>
      </c>
      <c r="E12271" s="111" t="str">
        <f t="shared" si="12269"/>
        <v>Huber Heights</v>
      </c>
    </row>
    <row r="12272" spans="1:5">
      <c r="A12272" s="3" t="s">
        <v>9374</v>
      </c>
      <c r="B12272" s="110" t="s">
        <v>1361</v>
      </c>
      <c r="C12272" s="111" t="s">
        <v>886</v>
      </c>
      <c r="D12272" s="111" t="str">
        <f t="shared" ref="D12272:E12272" si="12270">TRIM(B12272)</f>
        <v>Ohio</v>
      </c>
      <c r="E12272" s="111" t="str">
        <f t="shared" si="12270"/>
        <v>Hudson</v>
      </c>
    </row>
    <row r="12273" spans="1:5">
      <c r="A12273" s="3" t="s">
        <v>16942</v>
      </c>
      <c r="B12273" s="110" t="s">
        <v>1361</v>
      </c>
      <c r="C12273" s="111" t="s">
        <v>6878</v>
      </c>
      <c r="D12273" s="111" t="str">
        <f t="shared" ref="D12273:E12273" si="12271">TRIM(B12273)</f>
        <v>Ohio</v>
      </c>
      <c r="E12273" s="111" t="str">
        <f t="shared" si="12271"/>
        <v>Huron</v>
      </c>
    </row>
    <row r="12274" spans="1:5">
      <c r="A12274" s="3" t="s">
        <v>2727</v>
      </c>
      <c r="B12274" s="110" t="s">
        <v>1361</v>
      </c>
      <c r="C12274" s="111" t="s">
        <v>5323</v>
      </c>
      <c r="D12274" s="111" t="str">
        <f t="shared" ref="D12274:E12274" si="12272">TRIM(B12274)</f>
        <v>Ohio</v>
      </c>
      <c r="E12274" s="111" t="str">
        <f t="shared" si="12272"/>
        <v>Independence</v>
      </c>
    </row>
    <row r="12275" spans="1:5">
      <c r="A12275" s="3" t="s">
        <v>23154</v>
      </c>
      <c r="B12275" s="110" t="s">
        <v>1361</v>
      </c>
      <c r="C12275" s="111" t="s">
        <v>12854</v>
      </c>
      <c r="D12275" s="111" t="str">
        <f t="shared" ref="D12275:E12275" si="12273">TRIM(B12275)</f>
        <v>Ohio</v>
      </c>
      <c r="E12275" s="111" t="str">
        <f t="shared" si="12273"/>
        <v>Ironton</v>
      </c>
    </row>
    <row r="12276" spans="1:5">
      <c r="A12276" s="3" t="s">
        <v>23155</v>
      </c>
      <c r="B12276" s="110" t="s">
        <v>1361</v>
      </c>
      <c r="C12276" s="111" t="s">
        <v>12854</v>
      </c>
      <c r="D12276" s="111" t="str">
        <f t="shared" ref="D12276:E12276" si="12274">TRIM(B12276)</f>
        <v>Ohio</v>
      </c>
      <c r="E12276" s="111" t="str">
        <f t="shared" si="12274"/>
        <v>Ironton</v>
      </c>
    </row>
    <row r="12277" spans="1:5">
      <c r="A12277" s="3" t="s">
        <v>1890</v>
      </c>
      <c r="B12277" s="110" t="s">
        <v>1361</v>
      </c>
      <c r="C12277" s="111" t="s">
        <v>297</v>
      </c>
      <c r="D12277" s="111" t="str">
        <f t="shared" ref="D12277:E12277" si="12275">TRIM(B12277)</f>
        <v>Ohio</v>
      </c>
      <c r="E12277" s="111" t="str">
        <f t="shared" si="12275"/>
        <v>Jackson</v>
      </c>
    </row>
    <row r="12278" spans="1:5">
      <c r="A12278" s="3" t="s">
        <v>23156</v>
      </c>
      <c r="B12278" s="110" t="s">
        <v>1361</v>
      </c>
      <c r="C12278" s="111" t="s">
        <v>23157</v>
      </c>
      <c r="D12278" s="111" t="str">
        <f t="shared" ref="D12278:E12278" si="12276">TRIM(B12278)</f>
        <v>Ohio</v>
      </c>
      <c r="E12278" s="111" t="str">
        <f t="shared" si="12276"/>
        <v>Jackson Center</v>
      </c>
    </row>
    <row r="12279" spans="1:5">
      <c r="A12279" s="3" t="s">
        <v>23158</v>
      </c>
      <c r="B12279" s="110" t="s">
        <v>1361</v>
      </c>
      <c r="C12279" s="111" t="s">
        <v>18854</v>
      </c>
      <c r="D12279" s="111" t="str">
        <f t="shared" ref="D12279:E12279" si="12277">TRIM(B12279)</f>
        <v>Ohio</v>
      </c>
      <c r="E12279" s="111" t="str">
        <f t="shared" si="12277"/>
        <v>Jamestown</v>
      </c>
    </row>
    <row r="12280" spans="1:5">
      <c r="A12280" s="3" t="s">
        <v>23159</v>
      </c>
      <c r="B12280" s="110" t="s">
        <v>1361</v>
      </c>
      <c r="C12280" s="111" t="s">
        <v>7891</v>
      </c>
      <c r="D12280" s="111" t="str">
        <f t="shared" ref="D12280:E12280" si="12278">TRIM(B12280)</f>
        <v>Ohio</v>
      </c>
      <c r="E12280" s="111" t="str">
        <f t="shared" si="12278"/>
        <v>Jefferson</v>
      </c>
    </row>
    <row r="12281" spans="1:5">
      <c r="A12281" s="3" t="s">
        <v>6992</v>
      </c>
      <c r="B12281" s="110" t="s">
        <v>1361</v>
      </c>
      <c r="C12281" s="111" t="s">
        <v>23160</v>
      </c>
      <c r="D12281" s="111" t="str">
        <f t="shared" ref="D12281:E12281" si="12279">TRIM(B12281)</f>
        <v>Ohio</v>
      </c>
      <c r="E12281" s="111" t="str">
        <f t="shared" si="12279"/>
        <v>Jeromesville</v>
      </c>
    </row>
    <row r="12282" spans="1:5">
      <c r="A12282" s="3" t="s">
        <v>23161</v>
      </c>
      <c r="B12282" s="110" t="s">
        <v>1361</v>
      </c>
      <c r="C12282" s="111" t="s">
        <v>8000</v>
      </c>
      <c r="D12282" s="111" t="str">
        <f t="shared" ref="D12282:E12282" si="12280">TRIM(B12282)</f>
        <v>Ohio</v>
      </c>
      <c r="E12282" s="111" t="str">
        <f t="shared" si="12280"/>
        <v>Johnstown</v>
      </c>
    </row>
    <row r="12283" spans="1:5">
      <c r="A12283" s="3" t="s">
        <v>2240</v>
      </c>
      <c r="B12283" s="110" t="s">
        <v>1361</v>
      </c>
      <c r="C12283" s="111" t="s">
        <v>8000</v>
      </c>
      <c r="D12283" s="111" t="str">
        <f t="shared" ref="D12283:E12283" si="12281">TRIM(B12283)</f>
        <v>Ohio</v>
      </c>
      <c r="E12283" s="111" t="str">
        <f t="shared" si="12281"/>
        <v>Johnstown</v>
      </c>
    </row>
    <row r="12284" spans="1:5">
      <c r="A12284" s="3" t="s">
        <v>23162</v>
      </c>
      <c r="B12284" s="110" t="s">
        <v>1361</v>
      </c>
      <c r="C12284" s="111" t="s">
        <v>23163</v>
      </c>
      <c r="D12284" s="111" t="str">
        <f t="shared" ref="D12284:E12284" si="12282">TRIM(B12284)</f>
        <v>Ohio</v>
      </c>
      <c r="E12284" s="111" t="str">
        <f t="shared" si="12282"/>
        <v>Kalida</v>
      </c>
    </row>
    <row r="12285" spans="1:5">
      <c r="A12285" s="3" t="s">
        <v>22643</v>
      </c>
      <c r="B12285" s="110" t="s">
        <v>1361</v>
      </c>
      <c r="C12285" s="111" t="s">
        <v>1337</v>
      </c>
      <c r="D12285" s="111" t="str">
        <f t="shared" ref="D12285:E12285" si="12283">TRIM(B12285)</f>
        <v>Ohio</v>
      </c>
      <c r="E12285" s="111" t="str">
        <f t="shared" si="12283"/>
        <v>Kansas</v>
      </c>
    </row>
    <row r="12286" spans="1:5">
      <c r="A12286" s="3" t="s">
        <v>23164</v>
      </c>
      <c r="B12286" s="110" t="s">
        <v>1361</v>
      </c>
      <c r="C12286" s="111" t="s">
        <v>246</v>
      </c>
      <c r="D12286" s="111" t="str">
        <f t="shared" ref="D12286:E12286" si="12284">TRIM(B12286)</f>
        <v>Ohio</v>
      </c>
      <c r="E12286" s="111" t="str">
        <f t="shared" si="12284"/>
        <v>Kent</v>
      </c>
    </row>
    <row r="12287" spans="1:5">
      <c r="A12287" s="110" t="s">
        <v>23165</v>
      </c>
      <c r="B12287" s="110" t="s">
        <v>1361</v>
      </c>
      <c r="C12287" s="111" t="s">
        <v>23166</v>
      </c>
      <c r="D12287" s="111" t="str">
        <f t="shared" ref="D12287:E12287" si="12285">TRIM(B12287)</f>
        <v>Ohio</v>
      </c>
      <c r="E12287" s="111" t="str">
        <f t="shared" si="12285"/>
        <v>Kenton</v>
      </c>
    </row>
    <row r="12288" spans="1:5">
      <c r="A12288" s="3" t="s">
        <v>23167</v>
      </c>
      <c r="B12288" s="110" t="s">
        <v>1361</v>
      </c>
      <c r="C12288" s="111" t="s">
        <v>23166</v>
      </c>
      <c r="D12288" s="111" t="str">
        <f t="shared" ref="D12288:E12288" si="12286">TRIM(B12288)</f>
        <v>Ohio</v>
      </c>
      <c r="E12288" s="111" t="str">
        <f t="shared" si="12286"/>
        <v>Kenton</v>
      </c>
    </row>
    <row r="12289" spans="1:5">
      <c r="A12289" s="110" t="s">
        <v>23168</v>
      </c>
      <c r="B12289" s="110" t="s">
        <v>1361</v>
      </c>
      <c r="C12289" s="111" t="s">
        <v>12723</v>
      </c>
      <c r="D12289" s="111" t="str">
        <f t="shared" ref="D12289:E12289" si="12287">TRIM(B12289)</f>
        <v>Ohio</v>
      </c>
      <c r="E12289" s="111" t="str">
        <f t="shared" si="12287"/>
        <v>Kettering</v>
      </c>
    </row>
    <row r="12290" spans="1:5">
      <c r="A12290" s="3" t="s">
        <v>23169</v>
      </c>
      <c r="B12290" s="110" t="s">
        <v>1361</v>
      </c>
      <c r="C12290" s="111" t="s">
        <v>12723</v>
      </c>
      <c r="D12290" s="111" t="str">
        <f t="shared" ref="D12290:E12290" si="12288">TRIM(B12290)</f>
        <v>Ohio</v>
      </c>
      <c r="E12290" s="111" t="str">
        <f t="shared" si="12288"/>
        <v>Kettering</v>
      </c>
    </row>
    <row r="12291" spans="1:5">
      <c r="A12291" s="3" t="s">
        <v>23170</v>
      </c>
      <c r="B12291" s="110" t="s">
        <v>1361</v>
      </c>
      <c r="C12291" s="111" t="s">
        <v>23171</v>
      </c>
      <c r="D12291" s="111" t="str">
        <f t="shared" ref="D12291:E12291" si="12289">TRIM(B12291)</f>
        <v>Ohio</v>
      </c>
      <c r="E12291" s="111" t="str">
        <f t="shared" si="12289"/>
        <v>Kings Mills</v>
      </c>
    </row>
    <row r="12292" spans="1:5">
      <c r="A12292" s="3" t="s">
        <v>23172</v>
      </c>
      <c r="B12292" s="110" t="s">
        <v>1361</v>
      </c>
      <c r="C12292" s="111" t="s">
        <v>23173</v>
      </c>
      <c r="D12292" s="111" t="str">
        <f t="shared" ref="D12292:E12292" si="12290">TRIM(B12292)</f>
        <v>Ohio</v>
      </c>
      <c r="E12292" s="111" t="str">
        <f t="shared" si="12290"/>
        <v>Kinsman</v>
      </c>
    </row>
    <row r="12293" spans="1:5">
      <c r="A12293" s="3" t="s">
        <v>23174</v>
      </c>
      <c r="B12293" s="110" t="s">
        <v>1361</v>
      </c>
      <c r="C12293" s="111" t="s">
        <v>20571</v>
      </c>
      <c r="D12293" s="111" t="str">
        <f t="shared" ref="D12293:E12293" si="12291">TRIM(B12293)</f>
        <v>Ohio</v>
      </c>
      <c r="E12293" s="111" t="str">
        <f t="shared" si="12291"/>
        <v>Kirtland</v>
      </c>
    </row>
    <row r="12294" spans="1:5">
      <c r="A12294" s="3" t="s">
        <v>23175</v>
      </c>
      <c r="B12294" s="110" t="s">
        <v>1361</v>
      </c>
      <c r="C12294" s="111" t="s">
        <v>10337</v>
      </c>
      <c r="D12294" s="111" t="str">
        <f t="shared" ref="D12294:E12294" si="12292">TRIM(B12294)</f>
        <v>Ohio</v>
      </c>
      <c r="E12294" s="111" t="str">
        <f t="shared" si="12292"/>
        <v>Lagrange</v>
      </c>
    </row>
    <row r="12295" spans="1:5">
      <c r="A12295" s="3" t="s">
        <v>8403</v>
      </c>
      <c r="B12295" s="110" t="s">
        <v>1361</v>
      </c>
      <c r="C12295" s="113" t="s">
        <v>23176</v>
      </c>
      <c r="D12295" s="111" t="str">
        <f t="shared" ref="D12295:E12295" si="12293">TRIM(B12295)</f>
        <v>Ohio</v>
      </c>
      <c r="E12295" s="111" t="str">
        <f t="shared" si="12293"/>
        <v>Lakeside Marblehead</v>
      </c>
    </row>
    <row r="12296" spans="1:5">
      <c r="A12296" s="3" t="s">
        <v>5451</v>
      </c>
      <c r="B12296" s="110" t="s">
        <v>1361</v>
      </c>
      <c r="C12296" s="111" t="s">
        <v>609</v>
      </c>
      <c r="D12296" s="111" t="str">
        <f t="shared" ref="D12296:E12296" si="12294">TRIM(B12296)</f>
        <v>Ohio</v>
      </c>
      <c r="E12296" s="111" t="str">
        <f t="shared" si="12294"/>
        <v>Lakewood</v>
      </c>
    </row>
    <row r="12297" spans="1:5">
      <c r="A12297" s="3" t="s">
        <v>23177</v>
      </c>
      <c r="B12297" s="110" t="s">
        <v>1361</v>
      </c>
      <c r="C12297" s="111" t="s">
        <v>61</v>
      </c>
      <c r="D12297" s="111" t="str">
        <f t="shared" ref="D12297:E12297" si="12295">TRIM(B12297)</f>
        <v>Ohio</v>
      </c>
      <c r="E12297" s="111" t="str">
        <f t="shared" si="12295"/>
        <v>Lancaster</v>
      </c>
    </row>
    <row r="12298" spans="1:5">
      <c r="A12298" s="3" t="s">
        <v>5460</v>
      </c>
      <c r="B12298" s="110" t="s">
        <v>1361</v>
      </c>
      <c r="C12298" s="111" t="s">
        <v>61</v>
      </c>
      <c r="D12298" s="111" t="str">
        <f t="shared" ref="D12298:E12298" si="12296">TRIM(B12298)</f>
        <v>Ohio</v>
      </c>
      <c r="E12298" s="111" t="str">
        <f t="shared" si="12296"/>
        <v>Lancaster</v>
      </c>
    </row>
    <row r="12299" spans="1:5">
      <c r="A12299" s="3" t="s">
        <v>4343</v>
      </c>
      <c r="B12299" s="110" t="s">
        <v>1361</v>
      </c>
      <c r="C12299" s="111" t="s">
        <v>21389</v>
      </c>
      <c r="D12299" s="111" t="str">
        <f t="shared" ref="D12299:E12299" si="12297">TRIM(B12299)</f>
        <v>Ohio</v>
      </c>
      <c r="E12299" s="111" t="str">
        <f t="shared" si="12297"/>
        <v>Latham</v>
      </c>
    </row>
    <row r="12300" spans="1:5">
      <c r="A12300" s="3" t="s">
        <v>23178</v>
      </c>
      <c r="B12300" s="110" t="s">
        <v>1361</v>
      </c>
      <c r="C12300" s="111" t="s">
        <v>513</v>
      </c>
      <c r="D12300" s="111" t="str">
        <f t="shared" ref="D12300:E12300" si="12298">TRIM(B12300)</f>
        <v>Ohio</v>
      </c>
      <c r="E12300" s="111" t="str">
        <f t="shared" si="12298"/>
        <v>Leavittsburg</v>
      </c>
    </row>
    <row r="12301" spans="1:5">
      <c r="A12301" s="3" t="s">
        <v>13191</v>
      </c>
      <c r="B12301" s="110" t="s">
        <v>1361</v>
      </c>
      <c r="C12301" s="111" t="s">
        <v>8525</v>
      </c>
      <c r="D12301" s="111" t="str">
        <f t="shared" ref="D12301:E12301" si="12299">TRIM(B12301)</f>
        <v>Ohio</v>
      </c>
      <c r="E12301" s="111" t="str">
        <f t="shared" si="12299"/>
        <v>Lebanon</v>
      </c>
    </row>
    <row r="12302" spans="1:5">
      <c r="A12302" s="3" t="s">
        <v>23179</v>
      </c>
      <c r="B12302" s="110" t="s">
        <v>1361</v>
      </c>
      <c r="C12302" s="111" t="s">
        <v>9550</v>
      </c>
      <c r="D12302" s="111" t="str">
        <f t="shared" ref="D12302:E12302" si="12300">TRIM(B12302)</f>
        <v>Ohio</v>
      </c>
      <c r="E12302" s="111" t="str">
        <f t="shared" si="12300"/>
        <v>Leesburg</v>
      </c>
    </row>
    <row r="12303" spans="1:5">
      <c r="A12303" s="3" t="s">
        <v>23180</v>
      </c>
      <c r="B12303" s="110" t="s">
        <v>1361</v>
      </c>
      <c r="C12303" s="111" t="s">
        <v>23181</v>
      </c>
      <c r="D12303" s="111" t="str">
        <f t="shared" ref="D12303:E12303" si="12301">TRIM(B12303)</f>
        <v>Ohio</v>
      </c>
      <c r="E12303" s="111" t="str">
        <f t="shared" si="12301"/>
        <v>Leetonia</v>
      </c>
    </row>
    <row r="12304" spans="1:5">
      <c r="A12304" s="3" t="s">
        <v>23182</v>
      </c>
      <c r="B12304" s="110" t="s">
        <v>1361</v>
      </c>
      <c r="C12304" s="111" t="s">
        <v>23183</v>
      </c>
      <c r="D12304" s="111" t="str">
        <f t="shared" ref="D12304:E12304" si="12302">TRIM(B12304)</f>
        <v>Ohio</v>
      </c>
      <c r="E12304" s="111" t="str">
        <f t="shared" si="12302"/>
        <v>Leipsic</v>
      </c>
    </row>
    <row r="12305" spans="1:5">
      <c r="A12305" s="3" t="s">
        <v>6232</v>
      </c>
      <c r="B12305" s="110" t="s">
        <v>1361</v>
      </c>
      <c r="C12305" s="111" t="s">
        <v>23184</v>
      </c>
      <c r="D12305" s="111" t="str">
        <f t="shared" ref="D12305:E12305" si="12303">TRIM(B12305)</f>
        <v>Ohio</v>
      </c>
      <c r="E12305" s="111" t="str">
        <f t="shared" si="12303"/>
        <v>Lewis</v>
      </c>
    </row>
    <row r="12306" spans="1:5">
      <c r="A12306" s="3" t="s">
        <v>23185</v>
      </c>
      <c r="B12306" s="110" t="s">
        <v>1361</v>
      </c>
      <c r="C12306" s="111" t="s">
        <v>23186</v>
      </c>
      <c r="D12306" s="111" t="str">
        <f t="shared" ref="D12306:E12306" si="12304">TRIM(B12306)</f>
        <v>Ohio</v>
      </c>
      <c r="E12306" s="111" t="str">
        <f t="shared" si="12304"/>
        <v>Lewis Center</v>
      </c>
    </row>
    <row r="12307" spans="1:5">
      <c r="A12307" s="3" t="s">
        <v>23187</v>
      </c>
      <c r="B12307" s="110" t="s">
        <v>1361</v>
      </c>
      <c r="C12307" s="111" t="s">
        <v>471</v>
      </c>
      <c r="D12307" s="111" t="str">
        <f t="shared" ref="D12307:E12307" si="12305">TRIM(B12307)</f>
        <v>Ohio</v>
      </c>
      <c r="E12307" s="111" t="str">
        <f t="shared" si="12305"/>
        <v>Lewisburg</v>
      </c>
    </row>
    <row r="12308" spans="1:5">
      <c r="A12308" s="3" t="s">
        <v>23188</v>
      </c>
      <c r="B12308" s="110" t="s">
        <v>1361</v>
      </c>
      <c r="C12308" s="111" t="s">
        <v>13206</v>
      </c>
      <c r="D12308" s="111" t="str">
        <f t="shared" ref="D12308:E12308" si="12306">TRIM(B12308)</f>
        <v>Ohio</v>
      </c>
      <c r="E12308" s="111" t="str">
        <f t="shared" si="12306"/>
        <v>Lewistown</v>
      </c>
    </row>
    <row r="12309" spans="1:5">
      <c r="A12309" s="3" t="s">
        <v>13208</v>
      </c>
      <c r="B12309" s="110" t="s">
        <v>1361</v>
      </c>
      <c r="C12309" s="111" t="s">
        <v>506</v>
      </c>
      <c r="D12309" s="111" t="str">
        <f t="shared" ref="D12309:E12309" si="12307">TRIM(B12309)</f>
        <v>Ohio</v>
      </c>
      <c r="E12309" s="111" t="str">
        <f t="shared" si="12307"/>
        <v>Lexington</v>
      </c>
    </row>
    <row r="12310" spans="1:5">
      <c r="A12310" s="3" t="s">
        <v>23189</v>
      </c>
      <c r="B12310" s="110" t="s">
        <v>1361</v>
      </c>
      <c r="C12310" s="111" t="s">
        <v>14932</v>
      </c>
      <c r="D12310" s="111" t="str">
        <f t="shared" ref="D12310:E12310" si="12308">TRIM(B12310)</f>
        <v>Ohio</v>
      </c>
      <c r="E12310" s="111" t="str">
        <f t="shared" si="12308"/>
        <v>Liberty Center</v>
      </c>
    </row>
    <row r="12311" spans="1:5">
      <c r="A12311" s="3" t="s">
        <v>23190</v>
      </c>
      <c r="B12311" s="110" t="s">
        <v>1361</v>
      </c>
      <c r="C12311" s="111" t="s">
        <v>23191</v>
      </c>
      <c r="D12311" s="111" t="str">
        <f t="shared" ref="D12311:E12311" si="12309">TRIM(B12311)</f>
        <v>Ohio</v>
      </c>
      <c r="E12311" s="111" t="str">
        <f t="shared" si="12309"/>
        <v>Liberty Township</v>
      </c>
    </row>
    <row r="12312" spans="1:5">
      <c r="A12312" s="3" t="s">
        <v>23192</v>
      </c>
      <c r="B12312" s="110" t="s">
        <v>1361</v>
      </c>
      <c r="C12312" s="111" t="s">
        <v>19370</v>
      </c>
      <c r="D12312" s="111" t="str">
        <f t="shared" ref="D12312:E12312" si="12310">TRIM(B12312)</f>
        <v>Ohio</v>
      </c>
      <c r="E12312" s="111" t="str">
        <f t="shared" si="12310"/>
        <v>Lima</v>
      </c>
    </row>
    <row r="12313" spans="1:5">
      <c r="A12313" s="3" t="s">
        <v>16958</v>
      </c>
      <c r="B12313" s="110" t="s">
        <v>1361</v>
      </c>
      <c r="C12313" s="111" t="s">
        <v>19370</v>
      </c>
      <c r="D12313" s="111" t="str">
        <f t="shared" ref="D12313:E12313" si="12311">TRIM(B12313)</f>
        <v>Ohio</v>
      </c>
      <c r="E12313" s="111" t="str">
        <f t="shared" si="12311"/>
        <v>Lima</v>
      </c>
    </row>
    <row r="12314" spans="1:5">
      <c r="A12314" s="3" t="s">
        <v>23193</v>
      </c>
      <c r="B12314" s="110" t="s">
        <v>1361</v>
      </c>
      <c r="C12314" s="111" t="s">
        <v>19370</v>
      </c>
      <c r="D12314" s="111" t="str">
        <f t="shared" ref="D12314:E12314" si="12312">TRIM(B12314)</f>
        <v>Ohio</v>
      </c>
      <c r="E12314" s="111" t="str">
        <f t="shared" si="12312"/>
        <v>Lima</v>
      </c>
    </row>
    <row r="12315" spans="1:5">
      <c r="A12315" s="3" t="s">
        <v>2683</v>
      </c>
      <c r="B12315" s="110" t="s">
        <v>1361</v>
      </c>
      <c r="C12315" s="111" t="s">
        <v>19370</v>
      </c>
      <c r="D12315" s="111" t="str">
        <f t="shared" ref="D12315:E12315" si="12313">TRIM(B12315)</f>
        <v>Ohio</v>
      </c>
      <c r="E12315" s="111" t="str">
        <f t="shared" si="12313"/>
        <v>Lima</v>
      </c>
    </row>
    <row r="12316" spans="1:5">
      <c r="A12316" s="3" t="s">
        <v>14054</v>
      </c>
      <c r="B12316" s="110" t="s">
        <v>1361</v>
      </c>
      <c r="C12316" s="111" t="s">
        <v>19370</v>
      </c>
      <c r="D12316" s="111" t="str">
        <f t="shared" ref="D12316:E12316" si="12314">TRIM(B12316)</f>
        <v>Ohio</v>
      </c>
      <c r="E12316" s="111" t="str">
        <f t="shared" si="12314"/>
        <v>Lima</v>
      </c>
    </row>
    <row r="12317" spans="1:5">
      <c r="A12317" s="3" t="s">
        <v>23194</v>
      </c>
      <c r="B12317" s="110" t="s">
        <v>1361</v>
      </c>
      <c r="C12317" s="111" t="s">
        <v>19370</v>
      </c>
      <c r="D12317" s="111" t="str">
        <f t="shared" ref="D12317:E12317" si="12315">TRIM(B12317)</f>
        <v>Ohio</v>
      </c>
      <c r="E12317" s="111" t="str">
        <f t="shared" si="12315"/>
        <v>Lima</v>
      </c>
    </row>
    <row r="12318" spans="1:5">
      <c r="A12318" s="3" t="s">
        <v>23195</v>
      </c>
      <c r="B12318" s="110" t="s">
        <v>1361</v>
      </c>
      <c r="C12318" s="111" t="s">
        <v>14934</v>
      </c>
      <c r="D12318" s="111" t="str">
        <f t="shared" ref="D12318:E12318" si="12316">TRIM(B12318)</f>
        <v>Ohio</v>
      </c>
      <c r="E12318" s="111" t="str">
        <f t="shared" si="12316"/>
        <v>Lisbon</v>
      </c>
    </row>
    <row r="12319" spans="1:5">
      <c r="A12319" s="3" t="s">
        <v>23196</v>
      </c>
      <c r="B12319" s="110" t="s">
        <v>1361</v>
      </c>
      <c r="C12319" s="111" t="s">
        <v>23197</v>
      </c>
      <c r="D12319" s="111" t="str">
        <f t="shared" ref="D12319:E12319" si="12317">TRIM(B12319)</f>
        <v>Ohio</v>
      </c>
      <c r="E12319" s="111" t="str">
        <f t="shared" si="12317"/>
        <v>Lockland</v>
      </c>
    </row>
    <row r="12320" spans="1:5">
      <c r="A12320" s="3" t="s">
        <v>23198</v>
      </c>
      <c r="B12320" s="110" t="s">
        <v>1361</v>
      </c>
      <c r="C12320" s="111" t="s">
        <v>5529</v>
      </c>
      <c r="D12320" s="111" t="str">
        <f t="shared" ref="D12320:E12320" si="12318">TRIM(B12320)</f>
        <v>Ohio</v>
      </c>
      <c r="E12320" s="111" t="str">
        <f t="shared" si="12318"/>
        <v>Lodi</v>
      </c>
    </row>
    <row r="12321" spans="1:5">
      <c r="A12321" s="3" t="s">
        <v>15376</v>
      </c>
      <c r="B12321" s="110" t="s">
        <v>1361</v>
      </c>
      <c r="C12321" s="111" t="s">
        <v>14936</v>
      </c>
      <c r="D12321" s="111" t="str">
        <f t="shared" ref="D12321:E12321" si="12319">TRIM(B12321)</f>
        <v>Ohio</v>
      </c>
      <c r="E12321" s="111" t="str">
        <f t="shared" si="12319"/>
        <v>Logan</v>
      </c>
    </row>
    <row r="12322" spans="1:5">
      <c r="A12322" s="3" t="s">
        <v>23199</v>
      </c>
      <c r="B12322" s="110" t="s">
        <v>1361</v>
      </c>
      <c r="C12322" s="111" t="s">
        <v>241</v>
      </c>
      <c r="D12322" s="111" t="str">
        <f t="shared" ref="D12322:E12322" si="12320">TRIM(B12322)</f>
        <v>Ohio</v>
      </c>
      <c r="E12322" s="111" t="str">
        <f t="shared" si="12320"/>
        <v>London</v>
      </c>
    </row>
    <row r="12323" spans="1:5">
      <c r="A12323" s="3" t="s">
        <v>23200</v>
      </c>
      <c r="B12323" s="110" t="s">
        <v>1361</v>
      </c>
      <c r="C12323" s="111" t="s">
        <v>241</v>
      </c>
      <c r="D12323" s="111" t="str">
        <f t="shared" ref="D12323:E12323" si="12321">TRIM(B12323)</f>
        <v>Ohio</v>
      </c>
      <c r="E12323" s="111" t="str">
        <f t="shared" si="12321"/>
        <v>London</v>
      </c>
    </row>
    <row r="12324" spans="1:5">
      <c r="A12324" s="3" t="s">
        <v>23201</v>
      </c>
      <c r="B12324" s="110" t="s">
        <v>1361</v>
      </c>
      <c r="C12324" s="111" t="s">
        <v>6340</v>
      </c>
      <c r="D12324" s="111" t="str">
        <f t="shared" ref="D12324:E12324" si="12322">TRIM(B12324)</f>
        <v>Ohio</v>
      </c>
      <c r="E12324" s="111" t="str">
        <f t="shared" si="12322"/>
        <v>Lorain</v>
      </c>
    </row>
    <row r="12325" spans="1:5">
      <c r="A12325" s="3" t="s">
        <v>23202</v>
      </c>
      <c r="B12325" s="110" t="s">
        <v>1361</v>
      </c>
      <c r="C12325" s="111" t="s">
        <v>6340</v>
      </c>
      <c r="D12325" s="111" t="str">
        <f t="shared" ref="D12325:E12325" si="12323">TRIM(B12325)</f>
        <v>Ohio</v>
      </c>
      <c r="E12325" s="111" t="str">
        <f t="shared" si="12323"/>
        <v>Lorain</v>
      </c>
    </row>
    <row r="12326" spans="1:5">
      <c r="A12326" s="110" t="s">
        <v>23203</v>
      </c>
      <c r="B12326" s="110" t="s">
        <v>1361</v>
      </c>
      <c r="C12326" s="111" t="s">
        <v>6340</v>
      </c>
      <c r="D12326" s="111" t="str">
        <f t="shared" ref="D12326:E12326" si="12324">TRIM(B12326)</f>
        <v>Ohio</v>
      </c>
      <c r="E12326" s="111" t="str">
        <f t="shared" si="12324"/>
        <v>Lorain</v>
      </c>
    </row>
    <row r="12327" spans="1:5">
      <c r="A12327" s="3" t="s">
        <v>23204</v>
      </c>
      <c r="B12327" s="110" t="s">
        <v>1361</v>
      </c>
      <c r="C12327" s="111" t="s">
        <v>23205</v>
      </c>
      <c r="D12327" s="111" t="str">
        <f t="shared" ref="D12327:E12327" si="12325">TRIM(B12327)</f>
        <v>Ohio</v>
      </c>
      <c r="E12327" s="111" t="str">
        <f t="shared" si="12325"/>
        <v>Lore City</v>
      </c>
    </row>
    <row r="12328" spans="1:5">
      <c r="A12328" s="3" t="s">
        <v>23206</v>
      </c>
      <c r="B12328" s="110" t="s">
        <v>1361</v>
      </c>
      <c r="C12328" s="111" t="s">
        <v>23207</v>
      </c>
      <c r="D12328" s="111" t="str">
        <f t="shared" ref="D12328:E12328" si="12326">TRIM(B12328)</f>
        <v>Ohio</v>
      </c>
      <c r="E12328" s="111" t="str">
        <f t="shared" si="12326"/>
        <v>Loudonville</v>
      </c>
    </row>
    <row r="12329" spans="1:5">
      <c r="A12329" s="3" t="s">
        <v>9412</v>
      </c>
      <c r="B12329" s="110" t="s">
        <v>1361</v>
      </c>
      <c r="C12329" s="111" t="s">
        <v>494</v>
      </c>
      <c r="D12329" s="111" t="str">
        <f t="shared" ref="D12329:E12329" si="12327">TRIM(B12329)</f>
        <v>Ohio</v>
      </c>
      <c r="E12329" s="111" t="str">
        <f t="shared" si="12327"/>
        <v>Louisville</v>
      </c>
    </row>
    <row r="12330" spans="1:5">
      <c r="A12330" s="3" t="s">
        <v>8085</v>
      </c>
      <c r="B12330" s="110" t="s">
        <v>1361</v>
      </c>
      <c r="C12330" s="111" t="s">
        <v>420</v>
      </c>
      <c r="D12330" s="111" t="str">
        <f t="shared" ref="D12330:E12330" si="12328">TRIM(B12330)</f>
        <v>Ohio</v>
      </c>
      <c r="E12330" s="111" t="str">
        <f t="shared" si="12328"/>
        <v>Loveland</v>
      </c>
    </row>
    <row r="12331" spans="1:5">
      <c r="A12331" s="3" t="s">
        <v>23208</v>
      </c>
      <c r="B12331" s="110" t="s">
        <v>1361</v>
      </c>
      <c r="C12331" s="111" t="s">
        <v>23209</v>
      </c>
      <c r="D12331" s="111" t="str">
        <f t="shared" ref="D12331:E12331" si="12329">TRIM(B12331)</f>
        <v>Ohio</v>
      </c>
      <c r="E12331" s="111" t="str">
        <f t="shared" si="12329"/>
        <v>Lowellville</v>
      </c>
    </row>
    <row r="12332" spans="1:5">
      <c r="A12332" s="3" t="s">
        <v>23210</v>
      </c>
      <c r="B12332" s="110" t="s">
        <v>1361</v>
      </c>
      <c r="C12332" s="111" t="s">
        <v>23211</v>
      </c>
      <c r="D12332" s="111" t="str">
        <f t="shared" ref="D12332:E12332" si="12330">TRIM(B12332)</f>
        <v>Ohio</v>
      </c>
      <c r="E12332" s="111" t="str">
        <f t="shared" si="12330"/>
        <v>Lucas</v>
      </c>
    </row>
    <row r="12333" spans="1:5">
      <c r="A12333" s="3" t="s">
        <v>2256</v>
      </c>
      <c r="B12333" s="110" t="s">
        <v>1361</v>
      </c>
      <c r="C12333" s="111" t="s">
        <v>23212</v>
      </c>
      <c r="D12333" s="111" t="str">
        <f t="shared" ref="D12333:E12333" si="12331">TRIM(B12333)</f>
        <v>Ohio</v>
      </c>
      <c r="E12333" s="111" t="str">
        <f t="shared" si="12331"/>
        <v>Lucasville</v>
      </c>
    </row>
    <row r="12334" spans="1:5">
      <c r="A12334" s="3" t="s">
        <v>23213</v>
      </c>
      <c r="B12334" s="110" t="s">
        <v>1361</v>
      </c>
      <c r="C12334" s="111" t="s">
        <v>14005</v>
      </c>
      <c r="D12334" s="111" t="str">
        <f t="shared" ref="D12334:E12334" si="12332">TRIM(B12334)</f>
        <v>Ohio</v>
      </c>
      <c r="E12334" s="111" t="str">
        <f t="shared" si="12332"/>
        <v>Lynchburg</v>
      </c>
    </row>
    <row r="12335" spans="1:5">
      <c r="A12335" s="3" t="s">
        <v>7660</v>
      </c>
      <c r="B12335" s="110" t="s">
        <v>1361</v>
      </c>
      <c r="C12335" s="111" t="s">
        <v>95</v>
      </c>
      <c r="D12335" s="111" t="str">
        <f t="shared" ref="D12335:E12335" si="12333">TRIM(B12335)</f>
        <v>Ohio</v>
      </c>
      <c r="E12335" s="111" t="str">
        <f t="shared" si="12333"/>
        <v>Lyndhurst</v>
      </c>
    </row>
    <row r="12336" spans="1:5">
      <c r="A12336" s="3" t="s">
        <v>23214</v>
      </c>
      <c r="B12336" s="110" t="s">
        <v>1361</v>
      </c>
      <c r="C12336" s="111" t="s">
        <v>23215</v>
      </c>
      <c r="D12336" s="111" t="str">
        <f t="shared" ref="D12336:E12336" si="12334">TRIM(B12336)</f>
        <v>Ohio</v>
      </c>
      <c r="E12336" s="111" t="str">
        <f t="shared" si="12334"/>
        <v>Macedonia</v>
      </c>
    </row>
    <row r="12337" spans="1:5">
      <c r="A12337" s="3" t="s">
        <v>6772</v>
      </c>
      <c r="B12337" s="110" t="s">
        <v>1361</v>
      </c>
      <c r="C12337" s="111" t="s">
        <v>488</v>
      </c>
      <c r="D12337" s="111" t="str">
        <f t="shared" ref="D12337:E12337" si="12335">TRIM(B12337)</f>
        <v>Ohio</v>
      </c>
      <c r="E12337" s="111" t="str">
        <f t="shared" si="12335"/>
        <v>Madison</v>
      </c>
    </row>
    <row r="12338" spans="1:5">
      <c r="A12338" s="3" t="s">
        <v>23216</v>
      </c>
      <c r="B12338" s="110" t="s">
        <v>1361</v>
      </c>
      <c r="C12338" s="111" t="s">
        <v>1146</v>
      </c>
      <c r="D12338" s="111" t="str">
        <f t="shared" ref="D12338:E12338" si="12336">TRIM(B12338)</f>
        <v>Ohio</v>
      </c>
      <c r="E12338" s="111" t="str">
        <f t="shared" si="12336"/>
        <v>Magnolia</v>
      </c>
    </row>
    <row r="12339" spans="1:5">
      <c r="A12339" s="3" t="s">
        <v>3982</v>
      </c>
      <c r="B12339" s="110" t="s">
        <v>1361</v>
      </c>
      <c r="C12339" s="111" t="s">
        <v>3979</v>
      </c>
      <c r="D12339" s="111" t="str">
        <f t="shared" ref="D12339:E12339" si="12337">TRIM(B12339)</f>
        <v>Ohio</v>
      </c>
      <c r="E12339" s="111" t="str">
        <f t="shared" si="12337"/>
        <v>Malvern</v>
      </c>
    </row>
    <row r="12340" spans="1:5">
      <c r="A12340" s="3" t="s">
        <v>8541</v>
      </c>
      <c r="B12340" s="110" t="s">
        <v>1361</v>
      </c>
      <c r="C12340" s="111" t="s">
        <v>8540</v>
      </c>
      <c r="D12340" s="111" t="str">
        <f t="shared" ref="D12340:E12340" si="12338">TRIM(B12340)</f>
        <v>Ohio</v>
      </c>
      <c r="E12340" s="111" t="str">
        <f t="shared" si="12338"/>
        <v>Manchester</v>
      </c>
    </row>
    <row r="12341" spans="1:5">
      <c r="A12341" s="3" t="s">
        <v>6772</v>
      </c>
      <c r="B12341" s="110" t="s">
        <v>1361</v>
      </c>
      <c r="C12341" s="111" t="s">
        <v>2997</v>
      </c>
      <c r="D12341" s="111" t="str">
        <f t="shared" ref="D12341:E12341" si="12339">TRIM(B12341)</f>
        <v>Ohio</v>
      </c>
      <c r="E12341" s="111" t="str">
        <f t="shared" si="12339"/>
        <v>Mansfield</v>
      </c>
    </row>
    <row r="12342" spans="1:5">
      <c r="A12342" s="3" t="s">
        <v>23217</v>
      </c>
      <c r="B12342" s="110" t="s">
        <v>1361</v>
      </c>
      <c r="C12342" s="111" t="s">
        <v>2997</v>
      </c>
      <c r="D12342" s="111" t="str">
        <f t="shared" ref="D12342:E12342" si="12340">TRIM(B12342)</f>
        <v>Ohio</v>
      </c>
      <c r="E12342" s="111" t="str">
        <f t="shared" si="12340"/>
        <v>Mansfield</v>
      </c>
    </row>
    <row r="12343" spans="1:5">
      <c r="A12343" s="3" t="s">
        <v>6224</v>
      </c>
      <c r="B12343" s="110" t="s">
        <v>1361</v>
      </c>
      <c r="C12343" s="111" t="s">
        <v>2997</v>
      </c>
      <c r="D12343" s="111" t="str">
        <f t="shared" ref="D12343:E12343" si="12341">TRIM(B12343)</f>
        <v>Ohio</v>
      </c>
      <c r="E12343" s="111" t="str">
        <f t="shared" si="12341"/>
        <v>Mansfield</v>
      </c>
    </row>
    <row r="12344" spans="1:5">
      <c r="A12344" s="3" t="s">
        <v>14771</v>
      </c>
      <c r="B12344" s="110" t="s">
        <v>1361</v>
      </c>
      <c r="C12344" s="111" t="s">
        <v>23218</v>
      </c>
      <c r="D12344" s="111" t="str">
        <f t="shared" ref="D12344:E12344" si="12342">TRIM(B12344)</f>
        <v>Ohio</v>
      </c>
      <c r="E12344" s="111" t="str">
        <f t="shared" si="12342"/>
        <v>Mantua</v>
      </c>
    </row>
    <row r="12345" spans="1:5">
      <c r="A12345" s="3" t="s">
        <v>23219</v>
      </c>
      <c r="B12345" s="110" t="s">
        <v>1361</v>
      </c>
      <c r="C12345" s="111" t="s">
        <v>23220</v>
      </c>
      <c r="D12345" s="111" t="str">
        <f t="shared" ref="D12345:E12345" si="12343">TRIM(B12345)</f>
        <v>Ohio</v>
      </c>
      <c r="E12345" s="111" t="str">
        <f t="shared" si="12343"/>
        <v>Maple Heights</v>
      </c>
    </row>
    <row r="12346" spans="1:5">
      <c r="A12346" s="3" t="s">
        <v>2665</v>
      </c>
      <c r="B12346" s="110" t="s">
        <v>1361</v>
      </c>
      <c r="C12346" s="111" t="s">
        <v>13270</v>
      </c>
      <c r="D12346" s="111" t="str">
        <f t="shared" ref="D12346:E12346" si="12344">TRIM(B12346)</f>
        <v>Ohio</v>
      </c>
      <c r="E12346" s="111" t="str">
        <f t="shared" si="12344"/>
        <v>Marengo</v>
      </c>
    </row>
    <row r="12347" spans="1:5">
      <c r="A12347" s="3" t="s">
        <v>23221</v>
      </c>
      <c r="B12347" s="110" t="s">
        <v>1361</v>
      </c>
      <c r="C12347" s="111" t="s">
        <v>23222</v>
      </c>
      <c r="D12347" s="111" t="str">
        <f t="shared" ref="D12347:E12347" si="12345">TRIM(B12347)</f>
        <v>Ohio</v>
      </c>
      <c r="E12347" s="111" t="str">
        <f t="shared" si="12345"/>
        <v>Maria Stein</v>
      </c>
    </row>
    <row r="12348" spans="1:5">
      <c r="A12348" s="3" t="s">
        <v>11046</v>
      </c>
      <c r="B12348" s="110" t="s">
        <v>1361</v>
      </c>
      <c r="C12348" s="111" t="s">
        <v>836</v>
      </c>
      <c r="D12348" s="111" t="str">
        <f t="shared" ref="D12348:E12348" si="12346">TRIM(B12348)</f>
        <v>Ohio</v>
      </c>
      <c r="E12348" s="111" t="str">
        <f t="shared" si="12346"/>
        <v>Marietta</v>
      </c>
    </row>
    <row r="12349" spans="1:5">
      <c r="A12349" s="3" t="s">
        <v>12848</v>
      </c>
      <c r="B12349" s="110" t="s">
        <v>1361</v>
      </c>
      <c r="C12349" s="111" t="s">
        <v>3995</v>
      </c>
      <c r="D12349" s="111" t="str">
        <f t="shared" ref="D12349:E12349" si="12347">TRIM(B12349)</f>
        <v>Ohio</v>
      </c>
      <c r="E12349" s="111" t="str">
        <f t="shared" si="12347"/>
        <v>Marion</v>
      </c>
    </row>
    <row r="12350" spans="1:5">
      <c r="A12350" s="3" t="s">
        <v>23223</v>
      </c>
      <c r="B12350" s="110" t="s">
        <v>1361</v>
      </c>
      <c r="C12350" s="111" t="s">
        <v>3995</v>
      </c>
      <c r="D12350" s="111" t="str">
        <f t="shared" ref="D12350:E12350" si="12348">TRIM(B12350)</f>
        <v>Ohio</v>
      </c>
      <c r="E12350" s="111" t="str">
        <f t="shared" si="12348"/>
        <v>Marion</v>
      </c>
    </row>
    <row r="12351" spans="1:5">
      <c r="A12351" s="3" t="s">
        <v>23224</v>
      </c>
      <c r="B12351" s="110" t="s">
        <v>1361</v>
      </c>
      <c r="C12351" s="111" t="s">
        <v>3995</v>
      </c>
      <c r="D12351" s="111" t="str">
        <f t="shared" ref="D12351:E12351" si="12349">TRIM(B12351)</f>
        <v>Ohio</v>
      </c>
      <c r="E12351" s="111" t="str">
        <f t="shared" si="12349"/>
        <v>Marion</v>
      </c>
    </row>
    <row r="12352" spans="1:5">
      <c r="A12352" s="3" t="s">
        <v>23225</v>
      </c>
      <c r="B12352" s="110" t="s">
        <v>1361</v>
      </c>
      <c r="C12352" s="111" t="s">
        <v>23226</v>
      </c>
      <c r="D12352" s="111" t="str">
        <f t="shared" ref="D12352:E12352" si="12350">TRIM(B12352)</f>
        <v>Ohio</v>
      </c>
      <c r="E12352" s="111" t="str">
        <f t="shared" si="12350"/>
        <v>Martins Ferry</v>
      </c>
    </row>
    <row r="12353" spans="1:5">
      <c r="A12353" s="3" t="s">
        <v>5902</v>
      </c>
      <c r="B12353" s="110" t="s">
        <v>1361</v>
      </c>
      <c r="C12353" s="111" t="s">
        <v>305</v>
      </c>
      <c r="D12353" s="111" t="str">
        <f t="shared" ref="D12353:E12353" si="12351">TRIM(B12353)</f>
        <v>Ohio</v>
      </c>
      <c r="E12353" s="111" t="str">
        <f t="shared" si="12351"/>
        <v>Marysville</v>
      </c>
    </row>
    <row r="12354" spans="1:5">
      <c r="A12354" s="3" t="s">
        <v>23227</v>
      </c>
      <c r="B12354" s="110" t="s">
        <v>1361</v>
      </c>
      <c r="C12354" s="111" t="s">
        <v>305</v>
      </c>
      <c r="D12354" s="111" t="str">
        <f t="shared" ref="D12354:E12354" si="12352">TRIM(B12354)</f>
        <v>Ohio</v>
      </c>
      <c r="E12354" s="111" t="str">
        <f t="shared" si="12352"/>
        <v>Marysville</v>
      </c>
    </row>
    <row r="12355" spans="1:5">
      <c r="A12355" s="3" t="s">
        <v>23228</v>
      </c>
      <c r="B12355" s="110" t="s">
        <v>1361</v>
      </c>
      <c r="C12355" s="111" t="s">
        <v>12792</v>
      </c>
      <c r="D12355" s="111" t="str">
        <f t="shared" ref="D12355:E12355" si="12353">TRIM(B12355)</f>
        <v>Ohio</v>
      </c>
      <c r="E12355" s="111" t="str">
        <f t="shared" si="12353"/>
        <v>Mason</v>
      </c>
    </row>
    <row r="12356" spans="1:5">
      <c r="A12356" s="3" t="s">
        <v>1890</v>
      </c>
      <c r="B12356" s="110" t="s">
        <v>1361</v>
      </c>
      <c r="C12356" s="111" t="s">
        <v>23229</v>
      </c>
      <c r="D12356" s="111" t="str">
        <f t="shared" ref="D12356:E12356" si="12354">TRIM(B12356)</f>
        <v>Ohio</v>
      </c>
      <c r="E12356" s="111" t="str">
        <f t="shared" si="12354"/>
        <v>Massillon</v>
      </c>
    </row>
    <row r="12357" spans="1:5">
      <c r="A12357" s="3" t="s">
        <v>2683</v>
      </c>
      <c r="B12357" s="110" t="s">
        <v>1361</v>
      </c>
      <c r="C12357" s="111" t="s">
        <v>23229</v>
      </c>
      <c r="D12357" s="111" t="str">
        <f t="shared" ref="D12357:E12357" si="12355">TRIM(B12357)</f>
        <v>Ohio</v>
      </c>
      <c r="E12357" s="111" t="str">
        <f t="shared" si="12355"/>
        <v>Massillon</v>
      </c>
    </row>
    <row r="12358" spans="1:5">
      <c r="A12358" s="3" t="s">
        <v>23230</v>
      </c>
      <c r="B12358" s="110" t="s">
        <v>1361</v>
      </c>
      <c r="C12358" s="111" t="s">
        <v>23229</v>
      </c>
      <c r="D12358" s="111" t="str">
        <f t="shared" ref="D12358:E12358" si="12356">TRIM(B12358)</f>
        <v>Ohio</v>
      </c>
      <c r="E12358" s="111" t="str">
        <f t="shared" si="12356"/>
        <v>Massillon</v>
      </c>
    </row>
    <row r="12359" spans="1:5">
      <c r="A12359" s="3" t="s">
        <v>3140</v>
      </c>
      <c r="B12359" s="110" t="s">
        <v>1361</v>
      </c>
      <c r="C12359" s="111" t="s">
        <v>23229</v>
      </c>
      <c r="D12359" s="111" t="str">
        <f t="shared" ref="D12359:E12359" si="12357">TRIM(B12359)</f>
        <v>Ohio</v>
      </c>
      <c r="E12359" s="111" t="str">
        <f t="shared" si="12357"/>
        <v>Massillon</v>
      </c>
    </row>
    <row r="12360" spans="1:5">
      <c r="A12360" s="3" t="s">
        <v>23231</v>
      </c>
      <c r="B12360" s="110" t="s">
        <v>1361</v>
      </c>
      <c r="C12360" s="111" t="s">
        <v>23232</v>
      </c>
      <c r="D12360" s="111" t="str">
        <f t="shared" ref="D12360:E12360" si="12358">TRIM(B12360)</f>
        <v>Ohio</v>
      </c>
      <c r="E12360" s="111" t="str">
        <f t="shared" si="12358"/>
        <v>Maumee</v>
      </c>
    </row>
    <row r="12361" spans="1:5">
      <c r="A12361" s="3" t="s">
        <v>23233</v>
      </c>
      <c r="B12361" s="110" t="s">
        <v>1361</v>
      </c>
      <c r="C12361" s="111" t="s">
        <v>23234</v>
      </c>
      <c r="D12361" s="111" t="str">
        <f t="shared" ref="D12361:E12361" si="12359">TRIM(B12361)</f>
        <v>Ohio</v>
      </c>
      <c r="E12361" s="111" t="str">
        <f t="shared" si="12359"/>
        <v>Mc Arthur</v>
      </c>
    </row>
    <row r="12362" spans="1:5">
      <c r="A12362" s="3" t="s">
        <v>23235</v>
      </c>
      <c r="B12362" s="110" t="s">
        <v>1361</v>
      </c>
      <c r="C12362" s="111" t="s">
        <v>23236</v>
      </c>
      <c r="D12362" s="111" t="str">
        <f t="shared" ref="D12362:E12362" si="12360">TRIM(B12362)</f>
        <v>Ohio</v>
      </c>
      <c r="E12362" s="111" t="str">
        <f t="shared" si="12360"/>
        <v>Mc Connelsville</v>
      </c>
    </row>
    <row r="12363" spans="1:5">
      <c r="A12363" s="3" t="s">
        <v>15590</v>
      </c>
      <c r="B12363" s="110" t="s">
        <v>1361</v>
      </c>
      <c r="C12363" s="111" t="s">
        <v>23237</v>
      </c>
      <c r="D12363" s="111" t="str">
        <f t="shared" ref="D12363:E12363" si="12361">TRIM(B12363)</f>
        <v>Ohio</v>
      </c>
      <c r="E12363" s="111" t="str">
        <f t="shared" si="12361"/>
        <v>Mc Dermott</v>
      </c>
    </row>
    <row r="12364" spans="1:5">
      <c r="A12364" s="3" t="s">
        <v>23238</v>
      </c>
      <c r="B12364" s="110" t="s">
        <v>1361</v>
      </c>
      <c r="C12364" s="111" t="s">
        <v>23239</v>
      </c>
      <c r="D12364" s="111" t="str">
        <f t="shared" ref="D12364:E12364" si="12362">TRIM(B12364)</f>
        <v>Ohio</v>
      </c>
      <c r="E12364" s="111" t="str">
        <f t="shared" si="12362"/>
        <v>Mc Donald</v>
      </c>
    </row>
    <row r="12365" spans="1:5">
      <c r="A12365" s="3" t="s">
        <v>23240</v>
      </c>
      <c r="B12365" s="110" t="s">
        <v>1361</v>
      </c>
      <c r="C12365" s="111" t="s">
        <v>23241</v>
      </c>
      <c r="D12365" s="111" t="str">
        <f t="shared" ref="D12365:E12365" si="12363">TRIM(B12365)</f>
        <v>Ohio</v>
      </c>
      <c r="E12365" s="111" t="str">
        <f t="shared" si="12363"/>
        <v>Mc Guffey</v>
      </c>
    </row>
    <row r="12366" spans="1:5">
      <c r="A12366" s="3" t="s">
        <v>23242</v>
      </c>
      <c r="B12366" s="110" t="s">
        <v>1361</v>
      </c>
      <c r="C12366" s="111" t="s">
        <v>11731</v>
      </c>
      <c r="D12366" s="111" t="str">
        <f t="shared" ref="D12366:E12366" si="12364">TRIM(B12366)</f>
        <v>Ohio</v>
      </c>
      <c r="E12366" s="111" t="str">
        <f t="shared" si="12364"/>
        <v>Mccomb</v>
      </c>
    </row>
    <row r="12367" spans="1:5">
      <c r="A12367" s="3" t="s">
        <v>23243</v>
      </c>
      <c r="B12367" s="110" t="s">
        <v>1361</v>
      </c>
      <c r="C12367" s="111" t="s">
        <v>23244</v>
      </c>
      <c r="D12367" s="111" t="str">
        <f t="shared" ref="D12367:E12367" si="12365">TRIM(B12367)</f>
        <v>Ohio</v>
      </c>
      <c r="E12367" s="111" t="str">
        <f t="shared" si="12365"/>
        <v>Mechanicsburg</v>
      </c>
    </row>
    <row r="12368" spans="1:5">
      <c r="A12368" s="3" t="s">
        <v>15861</v>
      </c>
      <c r="B12368" s="110" t="s">
        <v>1361</v>
      </c>
      <c r="C12368" s="111" t="s">
        <v>2947</v>
      </c>
      <c r="D12368" s="111" t="str">
        <f t="shared" ref="D12368:E12368" si="12366">TRIM(B12368)</f>
        <v>Ohio</v>
      </c>
      <c r="E12368" s="111" t="str">
        <f t="shared" si="12366"/>
        <v>Medina</v>
      </c>
    </row>
    <row r="12369" spans="1:5">
      <c r="A12369" s="3" t="s">
        <v>2665</v>
      </c>
      <c r="B12369" s="110" t="s">
        <v>1361</v>
      </c>
      <c r="C12369" s="111" t="s">
        <v>2947</v>
      </c>
      <c r="D12369" s="111" t="str">
        <f t="shared" ref="D12369:E12369" si="12367">TRIM(B12369)</f>
        <v>Ohio</v>
      </c>
      <c r="E12369" s="111" t="str">
        <f t="shared" si="12367"/>
        <v>Medina</v>
      </c>
    </row>
    <row r="12370" spans="1:5">
      <c r="A12370" s="3" t="s">
        <v>21465</v>
      </c>
      <c r="B12370" s="110" t="s">
        <v>1361</v>
      </c>
      <c r="C12370" s="111" t="s">
        <v>2947</v>
      </c>
      <c r="D12370" s="111" t="str">
        <f t="shared" ref="D12370:E12370" si="12368">TRIM(B12370)</f>
        <v>Ohio</v>
      </c>
      <c r="E12370" s="111" t="str">
        <f t="shared" si="12368"/>
        <v>Medina</v>
      </c>
    </row>
    <row r="12371" spans="1:5">
      <c r="A12371" s="3" t="s">
        <v>23245</v>
      </c>
      <c r="B12371" s="110" t="s">
        <v>1361</v>
      </c>
      <c r="C12371" s="111" t="s">
        <v>1965</v>
      </c>
      <c r="D12371" s="111" t="str">
        <f t="shared" ref="D12371:E12371" si="12369">TRIM(B12371)</f>
        <v>Ohio</v>
      </c>
      <c r="E12371" s="111" t="str">
        <f t="shared" si="12369"/>
        <v>Mentor</v>
      </c>
    </row>
    <row r="12372" spans="1:5">
      <c r="A12372" s="3" t="s">
        <v>7892</v>
      </c>
      <c r="B12372" s="110" t="s">
        <v>1361</v>
      </c>
      <c r="C12372" s="111" t="s">
        <v>13322</v>
      </c>
      <c r="D12372" s="111" t="str">
        <f t="shared" ref="D12372:E12372" si="12370">TRIM(B12372)</f>
        <v>Ohio</v>
      </c>
      <c r="E12372" s="111" t="str">
        <f t="shared" si="12370"/>
        <v>Metamora</v>
      </c>
    </row>
    <row r="12373" spans="1:5">
      <c r="A12373" s="3" t="s">
        <v>23246</v>
      </c>
      <c r="B12373" s="110" t="s">
        <v>1361</v>
      </c>
      <c r="C12373" s="111" t="s">
        <v>23247</v>
      </c>
      <c r="D12373" s="111" t="str">
        <f t="shared" ref="D12373:E12373" si="12371">TRIM(B12373)</f>
        <v>Ohio</v>
      </c>
      <c r="E12373" s="111" t="str">
        <f t="shared" si="12371"/>
        <v>Miamisburg</v>
      </c>
    </row>
    <row r="12374" spans="1:5">
      <c r="A12374" s="3" t="s">
        <v>23248</v>
      </c>
      <c r="B12374" s="110" t="s">
        <v>1361</v>
      </c>
      <c r="C12374" s="111" t="s">
        <v>23249</v>
      </c>
      <c r="D12374" s="111" t="str">
        <f t="shared" ref="D12374:E12374" si="12372">TRIM(B12374)</f>
        <v>Ohio</v>
      </c>
      <c r="E12374" s="111" t="str">
        <f t="shared" si="12372"/>
        <v>Middlefield</v>
      </c>
    </row>
    <row r="12375" spans="1:5">
      <c r="A12375" s="3" t="s">
        <v>6772</v>
      </c>
      <c r="B12375" s="110" t="s">
        <v>1361</v>
      </c>
      <c r="C12375" s="111" t="s">
        <v>500</v>
      </c>
      <c r="D12375" s="111" t="str">
        <f t="shared" ref="D12375:E12375" si="12373">TRIM(B12375)</f>
        <v>Ohio</v>
      </c>
      <c r="E12375" s="111" t="str">
        <f t="shared" si="12373"/>
        <v>Middletown</v>
      </c>
    </row>
    <row r="12376" spans="1:5">
      <c r="A12376" s="3" t="s">
        <v>4004</v>
      </c>
      <c r="B12376" s="110" t="s">
        <v>1361</v>
      </c>
      <c r="C12376" s="111" t="s">
        <v>500</v>
      </c>
      <c r="D12376" s="111" t="str">
        <f t="shared" ref="D12376:E12376" si="12374">TRIM(B12376)</f>
        <v>Ohio</v>
      </c>
      <c r="E12376" s="111" t="str">
        <f t="shared" si="12374"/>
        <v>Middletown</v>
      </c>
    </row>
    <row r="12377" spans="1:5">
      <c r="A12377" s="3" t="s">
        <v>5945</v>
      </c>
      <c r="B12377" s="110" t="s">
        <v>1361</v>
      </c>
      <c r="C12377" s="111" t="s">
        <v>500</v>
      </c>
      <c r="D12377" s="111" t="str">
        <f t="shared" ref="D12377:E12377" si="12375">TRIM(B12377)</f>
        <v>Ohio</v>
      </c>
      <c r="E12377" s="111" t="str">
        <f t="shared" si="12375"/>
        <v>Middletown</v>
      </c>
    </row>
    <row r="12378" spans="1:5">
      <c r="A12378" s="3" t="s">
        <v>5088</v>
      </c>
      <c r="B12378" s="110" t="s">
        <v>1361</v>
      </c>
      <c r="C12378" s="111" t="s">
        <v>14493</v>
      </c>
      <c r="D12378" s="111" t="str">
        <f t="shared" ref="D12378:E12378" si="12376">TRIM(B12378)</f>
        <v>Ohio</v>
      </c>
      <c r="E12378" s="111" t="str">
        <f t="shared" si="12376"/>
        <v>Milan</v>
      </c>
    </row>
    <row r="12379" spans="1:5">
      <c r="A12379" s="3" t="s">
        <v>23250</v>
      </c>
      <c r="B12379" s="110" t="s">
        <v>1361</v>
      </c>
      <c r="C12379" s="111" t="s">
        <v>8552</v>
      </c>
      <c r="D12379" s="111" t="str">
        <f t="shared" ref="D12379:E12379" si="12377">TRIM(B12379)</f>
        <v>Ohio</v>
      </c>
      <c r="E12379" s="111" t="str">
        <f t="shared" si="12377"/>
        <v>Milford</v>
      </c>
    </row>
    <row r="12380" spans="1:5">
      <c r="A12380" s="3" t="s">
        <v>23251</v>
      </c>
      <c r="B12380" s="110" t="s">
        <v>1361</v>
      </c>
      <c r="C12380" s="111" t="s">
        <v>23252</v>
      </c>
      <c r="D12380" s="111" t="str">
        <f t="shared" ref="D12380:E12380" si="12378">TRIM(B12380)</f>
        <v>Ohio</v>
      </c>
      <c r="E12380" s="111" t="str">
        <f t="shared" si="12378"/>
        <v>Milford Center</v>
      </c>
    </row>
    <row r="12381" spans="1:5">
      <c r="A12381" s="3" t="s">
        <v>18464</v>
      </c>
      <c r="B12381" s="110" t="s">
        <v>1361</v>
      </c>
      <c r="C12381" s="111" t="s">
        <v>16745</v>
      </c>
      <c r="D12381" s="111" t="str">
        <f t="shared" ref="D12381:E12381" si="12379">TRIM(B12381)</f>
        <v>Ohio</v>
      </c>
      <c r="E12381" s="111" t="str">
        <f t="shared" si="12379"/>
        <v>Millbury</v>
      </c>
    </row>
    <row r="12382" spans="1:5">
      <c r="A12382" s="3" t="s">
        <v>23253</v>
      </c>
      <c r="B12382" s="110" t="s">
        <v>1361</v>
      </c>
      <c r="C12382" s="111" t="s">
        <v>23254</v>
      </c>
      <c r="D12382" s="111" t="str">
        <f t="shared" ref="D12382:E12382" si="12380">TRIM(B12382)</f>
        <v>Ohio</v>
      </c>
      <c r="E12382" s="111" t="str">
        <f t="shared" si="12380"/>
        <v>Miller City</v>
      </c>
    </row>
    <row r="12383" spans="1:5">
      <c r="A12383" s="3" t="s">
        <v>23255</v>
      </c>
      <c r="B12383" s="110" t="s">
        <v>1361</v>
      </c>
      <c r="C12383" s="111" t="s">
        <v>23256</v>
      </c>
      <c r="D12383" s="111" t="str">
        <f t="shared" ref="D12383:E12383" si="12381">TRIM(B12383)</f>
        <v>Ohio</v>
      </c>
      <c r="E12383" s="111" t="str">
        <f t="shared" si="12381"/>
        <v>Millersburg</v>
      </c>
    </row>
    <row r="12384" spans="1:5">
      <c r="A12384" s="3" t="s">
        <v>23257</v>
      </c>
      <c r="B12384" s="110" t="s">
        <v>1361</v>
      </c>
      <c r="C12384" s="111" t="s">
        <v>23258</v>
      </c>
      <c r="D12384" s="111" t="str">
        <f t="shared" ref="D12384:E12384" si="12382">TRIM(B12384)</f>
        <v>Ohio</v>
      </c>
      <c r="E12384" s="111" t="str">
        <f t="shared" si="12382"/>
        <v>Millersport</v>
      </c>
    </row>
    <row r="12385" spans="1:5">
      <c r="A12385" s="3" t="s">
        <v>23259</v>
      </c>
      <c r="B12385" s="110" t="s">
        <v>1361</v>
      </c>
      <c r="C12385" s="111" t="s">
        <v>23260</v>
      </c>
      <c r="D12385" s="111" t="str">
        <f t="shared" ref="D12385:E12385" si="12383">TRIM(B12385)</f>
        <v>Ohio</v>
      </c>
      <c r="E12385" s="111" t="str">
        <f t="shared" si="12383"/>
        <v>Mineral Ridge</v>
      </c>
    </row>
    <row r="12386" spans="1:5">
      <c r="A12386" s="3" t="s">
        <v>23261</v>
      </c>
      <c r="B12386" s="110" t="s">
        <v>1361</v>
      </c>
      <c r="C12386" s="111" t="s">
        <v>23262</v>
      </c>
      <c r="D12386" s="111" t="str">
        <f t="shared" ref="D12386:E12386" si="12384">TRIM(B12386)</f>
        <v>Ohio</v>
      </c>
      <c r="E12386" s="111" t="str">
        <f t="shared" si="12384"/>
        <v>Minerva</v>
      </c>
    </row>
    <row r="12387" spans="1:5">
      <c r="A12387" s="3" t="s">
        <v>23263</v>
      </c>
      <c r="B12387" s="110" t="s">
        <v>1361</v>
      </c>
      <c r="C12387" s="111" t="s">
        <v>23264</v>
      </c>
      <c r="D12387" s="111" t="str">
        <f t="shared" ref="D12387:E12387" si="12385">TRIM(B12387)</f>
        <v>Ohio</v>
      </c>
      <c r="E12387" s="111" t="str">
        <f t="shared" si="12385"/>
        <v>Minford</v>
      </c>
    </row>
    <row r="12388" spans="1:5">
      <c r="A12388" s="3" t="s">
        <v>23265</v>
      </c>
      <c r="B12388" s="110" t="s">
        <v>1361</v>
      </c>
      <c r="C12388" s="111" t="s">
        <v>23266</v>
      </c>
      <c r="D12388" s="111" t="str">
        <f t="shared" ref="D12388:E12388" si="12386">TRIM(B12388)</f>
        <v>Ohio</v>
      </c>
      <c r="E12388" s="111" t="str">
        <f t="shared" si="12386"/>
        <v>Minster</v>
      </c>
    </row>
    <row r="12389" spans="1:5">
      <c r="A12389" s="3" t="s">
        <v>23267</v>
      </c>
      <c r="B12389" s="110" t="s">
        <v>1361</v>
      </c>
      <c r="C12389" s="111" t="s">
        <v>23268</v>
      </c>
      <c r="D12389" s="111" t="str">
        <f t="shared" ref="D12389:E12389" si="12387">TRIM(B12389)</f>
        <v>Ohio</v>
      </c>
      <c r="E12389" s="111" t="str">
        <f t="shared" si="12387"/>
        <v>Mogadore</v>
      </c>
    </row>
    <row r="12390" spans="1:5">
      <c r="A12390" s="3" t="s">
        <v>23269</v>
      </c>
      <c r="B12390" s="110" t="s">
        <v>1361</v>
      </c>
      <c r="C12390" s="111" t="s">
        <v>23268</v>
      </c>
      <c r="D12390" s="111" t="str">
        <f t="shared" ref="D12390:E12390" si="12388">TRIM(B12390)</f>
        <v>Ohio</v>
      </c>
      <c r="E12390" s="111" t="str">
        <f t="shared" si="12388"/>
        <v>Mogadore</v>
      </c>
    </row>
    <row r="12391" spans="1:5">
      <c r="A12391" s="3" t="s">
        <v>10298</v>
      </c>
      <c r="B12391" s="110" t="s">
        <v>1361</v>
      </c>
      <c r="C12391" s="111" t="s">
        <v>380</v>
      </c>
      <c r="D12391" s="111" t="str">
        <f t="shared" ref="D12391:E12391" si="12389">TRIM(B12391)</f>
        <v>Ohio</v>
      </c>
      <c r="E12391" s="111" t="str">
        <f t="shared" si="12389"/>
        <v>Monroe</v>
      </c>
    </row>
    <row r="12392" spans="1:5">
      <c r="A12392" s="3" t="s">
        <v>23270</v>
      </c>
      <c r="B12392" s="110" t="s">
        <v>1361</v>
      </c>
      <c r="C12392" s="111" t="s">
        <v>1975</v>
      </c>
      <c r="D12392" s="111" t="str">
        <f t="shared" ref="D12392:E12392" si="12390">TRIM(B12392)</f>
        <v>Ohio</v>
      </c>
      <c r="E12392" s="111" t="str">
        <f t="shared" si="12390"/>
        <v>Monroeville</v>
      </c>
    </row>
    <row r="12393" spans="1:5">
      <c r="A12393" s="3" t="s">
        <v>22681</v>
      </c>
      <c r="B12393" s="110" t="s">
        <v>1361</v>
      </c>
      <c r="C12393" s="111" t="s">
        <v>6441</v>
      </c>
      <c r="D12393" s="111" t="str">
        <f t="shared" ref="D12393:E12393" si="12391">TRIM(B12393)</f>
        <v>Ohio</v>
      </c>
      <c r="E12393" s="111" t="str">
        <f t="shared" si="12391"/>
        <v>Montpelier</v>
      </c>
    </row>
    <row r="12394" spans="1:5">
      <c r="A12394" s="3" t="s">
        <v>23271</v>
      </c>
      <c r="B12394" s="110" t="s">
        <v>1361</v>
      </c>
      <c r="C12394" s="111" t="s">
        <v>23272</v>
      </c>
      <c r="D12394" s="111" t="str">
        <f t="shared" ref="D12394:E12394" si="12392">TRIM(B12394)</f>
        <v>Ohio</v>
      </c>
      <c r="E12394" s="111" t="str">
        <f t="shared" si="12392"/>
        <v>Morral</v>
      </c>
    </row>
    <row r="12395" spans="1:5">
      <c r="A12395" s="3" t="s">
        <v>23273</v>
      </c>
      <c r="B12395" s="110" t="s">
        <v>1361</v>
      </c>
      <c r="C12395" s="111" t="s">
        <v>11105</v>
      </c>
      <c r="D12395" s="111" t="str">
        <f t="shared" ref="D12395:E12395" si="12393">TRIM(B12395)</f>
        <v>Ohio</v>
      </c>
      <c r="E12395" s="111" t="str">
        <f t="shared" si="12393"/>
        <v>Morrow</v>
      </c>
    </row>
    <row r="12396" spans="1:5">
      <c r="A12396" s="3" t="s">
        <v>23274</v>
      </c>
      <c r="B12396" s="110" t="s">
        <v>1361</v>
      </c>
      <c r="C12396" s="111" t="s">
        <v>23275</v>
      </c>
      <c r="D12396" s="111" t="str">
        <f t="shared" ref="D12396:E12396" si="12394">TRIM(B12396)</f>
        <v>Ohio</v>
      </c>
      <c r="E12396" s="111" t="str">
        <f t="shared" si="12394"/>
        <v>Mount Eaton</v>
      </c>
    </row>
    <row r="12397" spans="1:5">
      <c r="A12397" s="3" t="s">
        <v>23276</v>
      </c>
      <c r="B12397" s="110" t="s">
        <v>1361</v>
      </c>
      <c r="C12397" s="111" t="s">
        <v>22333</v>
      </c>
      <c r="D12397" s="111" t="str">
        <f t="shared" ref="D12397:E12397" si="12395">TRIM(B12397)</f>
        <v>Ohio</v>
      </c>
      <c r="E12397" s="111" t="str">
        <f t="shared" si="12395"/>
        <v>Mount Gilead</v>
      </c>
    </row>
    <row r="12398" spans="1:5">
      <c r="A12398" s="3" t="s">
        <v>23277</v>
      </c>
      <c r="B12398" s="110" t="s">
        <v>1361</v>
      </c>
      <c r="C12398" s="111" t="s">
        <v>23278</v>
      </c>
      <c r="D12398" s="111" t="str">
        <f t="shared" ref="D12398:E12398" si="12396">TRIM(B12398)</f>
        <v>Ohio</v>
      </c>
      <c r="E12398" s="111" t="str">
        <f t="shared" si="12396"/>
        <v>Mount Orab</v>
      </c>
    </row>
    <row r="12399" spans="1:5">
      <c r="A12399" s="3" t="s">
        <v>13395</v>
      </c>
      <c r="B12399" s="110" t="s">
        <v>1361</v>
      </c>
      <c r="C12399" s="111" t="s">
        <v>6798</v>
      </c>
      <c r="D12399" s="111" t="str">
        <f t="shared" ref="D12399:E12399" si="12397">TRIM(B12399)</f>
        <v>Ohio</v>
      </c>
      <c r="E12399" s="111" t="str">
        <f t="shared" si="12397"/>
        <v>Mount Vernon</v>
      </c>
    </row>
    <row r="12400" spans="1:5">
      <c r="A12400" s="3" t="s">
        <v>23279</v>
      </c>
      <c r="B12400" s="110" t="s">
        <v>1361</v>
      </c>
      <c r="C12400" s="111" t="s">
        <v>23280</v>
      </c>
      <c r="D12400" s="111" t="str">
        <f t="shared" ref="D12400:E12400" si="12398">TRIM(B12400)</f>
        <v>Ohio</v>
      </c>
      <c r="E12400" s="111" t="str">
        <f t="shared" si="12398"/>
        <v>Mount Victory</v>
      </c>
    </row>
    <row r="12401" spans="1:5">
      <c r="A12401" s="3" t="s">
        <v>23281</v>
      </c>
      <c r="B12401" s="110" t="s">
        <v>1361</v>
      </c>
      <c r="C12401" s="111" t="s">
        <v>23282</v>
      </c>
      <c r="D12401" s="111" t="str">
        <f t="shared" ref="D12401:E12401" si="12399">TRIM(B12401)</f>
        <v>Ohio</v>
      </c>
      <c r="E12401" s="111" t="str">
        <f t="shared" si="12399"/>
        <v>Mowrystown</v>
      </c>
    </row>
    <row r="12402" spans="1:5">
      <c r="A12402" s="3" t="s">
        <v>6551</v>
      </c>
      <c r="B12402" s="110" t="s">
        <v>1361</v>
      </c>
      <c r="C12402" s="111" t="s">
        <v>23283</v>
      </c>
      <c r="D12402" s="111" t="str">
        <f t="shared" ref="D12402:E12402" si="12400">TRIM(B12402)</f>
        <v>Ohio</v>
      </c>
      <c r="E12402" s="111" t="str">
        <f t="shared" si="12400"/>
        <v>Mt Blanchard</v>
      </c>
    </row>
    <row r="12403" spans="1:5">
      <c r="A12403" s="3" t="s">
        <v>23284</v>
      </c>
      <c r="B12403" s="110" t="s">
        <v>1361</v>
      </c>
      <c r="C12403" s="111" t="s">
        <v>17452</v>
      </c>
      <c r="D12403" s="111" t="str">
        <f t="shared" ref="D12403:E12403" si="12401">TRIM(B12403)</f>
        <v>Ohio</v>
      </c>
      <c r="E12403" s="111" t="str">
        <f t="shared" si="12401"/>
        <v>Napoleon</v>
      </c>
    </row>
    <row r="12404" spans="1:5">
      <c r="A12404" s="3" t="s">
        <v>23285</v>
      </c>
      <c r="B12404" s="110" t="s">
        <v>1361</v>
      </c>
      <c r="C12404" s="111" t="s">
        <v>23286</v>
      </c>
      <c r="D12404" s="111" t="str">
        <f t="shared" ref="D12404:E12404" si="12402">TRIM(B12404)</f>
        <v>Ohio</v>
      </c>
      <c r="E12404" s="111" t="str">
        <f t="shared" si="12402"/>
        <v>Navarre</v>
      </c>
    </row>
    <row r="12405" spans="1:5">
      <c r="A12405" s="3" t="s">
        <v>23287</v>
      </c>
      <c r="B12405" s="110" t="s">
        <v>1361</v>
      </c>
      <c r="C12405" s="111" t="s">
        <v>23288</v>
      </c>
      <c r="D12405" s="111" t="str">
        <f t="shared" ref="D12405:E12405" si="12403">TRIM(B12405)</f>
        <v>Ohio</v>
      </c>
      <c r="E12405" s="111" t="str">
        <f t="shared" si="12403"/>
        <v>Nelsonville</v>
      </c>
    </row>
    <row r="12406" spans="1:5">
      <c r="A12406" s="3" t="s">
        <v>18501</v>
      </c>
      <c r="B12406" s="110" t="s">
        <v>1361</v>
      </c>
      <c r="C12406" s="111" t="s">
        <v>11755</v>
      </c>
      <c r="D12406" s="111" t="str">
        <f t="shared" ref="D12406:E12406" si="12404">TRIM(B12406)</f>
        <v>Ohio</v>
      </c>
      <c r="E12406" s="111" t="str">
        <f t="shared" si="12404"/>
        <v>New Albany</v>
      </c>
    </row>
    <row r="12407" spans="1:5">
      <c r="A12407" s="3" t="s">
        <v>12219</v>
      </c>
      <c r="B12407" s="110" t="s">
        <v>1361</v>
      </c>
      <c r="C12407" s="111" t="s">
        <v>17455</v>
      </c>
      <c r="D12407" s="111" t="str">
        <f t="shared" ref="D12407:E12407" si="12405">TRIM(B12407)</f>
        <v>Ohio</v>
      </c>
      <c r="E12407" s="111" t="str">
        <f t="shared" si="12405"/>
        <v>New Boston</v>
      </c>
    </row>
    <row r="12408" spans="1:5">
      <c r="A12408" s="3" t="s">
        <v>23289</v>
      </c>
      <c r="B12408" s="110" t="s">
        <v>1361</v>
      </c>
      <c r="C12408" s="111" t="s">
        <v>23290</v>
      </c>
      <c r="D12408" s="111" t="str">
        <f t="shared" ref="D12408:E12408" si="12406">TRIM(B12408)</f>
        <v>Ohio</v>
      </c>
      <c r="E12408" s="111" t="str">
        <f t="shared" si="12406"/>
        <v>New Bremen</v>
      </c>
    </row>
    <row r="12409" spans="1:5">
      <c r="A12409" s="3" t="s">
        <v>14478</v>
      </c>
      <c r="B12409" s="110" t="s">
        <v>1361</v>
      </c>
      <c r="C12409" s="111" t="s">
        <v>14525</v>
      </c>
      <c r="D12409" s="111" t="str">
        <f t="shared" ref="D12409:E12409" si="12407">TRIM(B12409)</f>
        <v>Ohio</v>
      </c>
      <c r="E12409" s="111" t="str">
        <f t="shared" si="12407"/>
        <v>New Carlisle</v>
      </c>
    </row>
    <row r="12410" spans="1:5">
      <c r="A12410" s="3" t="s">
        <v>14651</v>
      </c>
      <c r="B12410" s="110" t="s">
        <v>1361</v>
      </c>
      <c r="C12410" s="111" t="s">
        <v>23291</v>
      </c>
      <c r="D12410" s="111" t="str">
        <f t="shared" ref="D12410:E12410" si="12408">TRIM(B12410)</f>
        <v>Ohio</v>
      </c>
      <c r="E12410" s="111" t="str">
        <f t="shared" si="12408"/>
        <v>New Concord</v>
      </c>
    </row>
    <row r="12411" spans="1:5">
      <c r="A12411" s="3" t="s">
        <v>23292</v>
      </c>
      <c r="B12411" s="110" t="s">
        <v>1361</v>
      </c>
      <c r="C12411" s="111" t="s">
        <v>23293</v>
      </c>
      <c r="D12411" s="111" t="str">
        <f t="shared" ref="D12411:E12411" si="12409">TRIM(B12411)</f>
        <v>Ohio</v>
      </c>
      <c r="E12411" s="111" t="str">
        <f t="shared" si="12409"/>
        <v>New Knoxville</v>
      </c>
    </row>
    <row r="12412" spans="1:5">
      <c r="A12412" s="3" t="s">
        <v>23294</v>
      </c>
      <c r="B12412" s="110" t="s">
        <v>1361</v>
      </c>
      <c r="C12412" s="111" t="s">
        <v>12324</v>
      </c>
      <c r="D12412" s="111" t="str">
        <f t="shared" ref="D12412:E12412" si="12410">TRIM(B12412)</f>
        <v>Ohio</v>
      </c>
      <c r="E12412" s="111" t="str">
        <f t="shared" si="12410"/>
        <v>New Lebanon</v>
      </c>
    </row>
    <row r="12413" spans="1:5">
      <c r="A12413" s="3" t="s">
        <v>23295</v>
      </c>
      <c r="B12413" s="110" t="s">
        <v>1361</v>
      </c>
      <c r="C12413" s="111" t="s">
        <v>23296</v>
      </c>
      <c r="D12413" s="111" t="str">
        <f t="shared" ref="D12413:E12413" si="12411">TRIM(B12413)</f>
        <v>Ohio</v>
      </c>
      <c r="E12413" s="111" t="str">
        <f t="shared" si="12411"/>
        <v>New Lexington</v>
      </c>
    </row>
    <row r="12414" spans="1:5">
      <c r="A12414" s="3" t="s">
        <v>8595</v>
      </c>
      <c r="B12414" s="110" t="s">
        <v>1361</v>
      </c>
      <c r="C12414" s="111" t="s">
        <v>8596</v>
      </c>
      <c r="D12414" s="111" t="str">
        <f t="shared" ref="D12414:E12414" si="12412">TRIM(B12414)</f>
        <v>Ohio</v>
      </c>
      <c r="E12414" s="111" t="str">
        <f t="shared" si="12412"/>
        <v>New London</v>
      </c>
    </row>
    <row r="12415" spans="1:5">
      <c r="A12415" s="3" t="s">
        <v>23297</v>
      </c>
      <c r="B12415" s="110" t="s">
        <v>1361</v>
      </c>
      <c r="C12415" s="111" t="s">
        <v>23298</v>
      </c>
      <c r="D12415" s="111" t="str">
        <f t="shared" ref="D12415:E12415" si="12413">TRIM(B12415)</f>
        <v>Ohio</v>
      </c>
      <c r="E12415" s="111" t="str">
        <f t="shared" si="12413"/>
        <v>New Madison</v>
      </c>
    </row>
    <row r="12416" spans="1:5">
      <c r="A12416" s="3" t="s">
        <v>4425</v>
      </c>
      <c r="B12416" s="110" t="s">
        <v>1361</v>
      </c>
      <c r="C12416" s="111" t="s">
        <v>23299</v>
      </c>
      <c r="D12416" s="111" t="str">
        <f t="shared" ref="D12416:E12416" si="12414">TRIM(B12416)</f>
        <v>Ohio</v>
      </c>
      <c r="E12416" s="111" t="str">
        <f t="shared" si="12414"/>
        <v>New Matamoras</v>
      </c>
    </row>
    <row r="12417" spans="1:5">
      <c r="A12417" s="3" t="s">
        <v>13829</v>
      </c>
      <c r="B12417" s="110" t="s">
        <v>1361</v>
      </c>
      <c r="C12417" s="111" t="s">
        <v>23300</v>
      </c>
      <c r="D12417" s="111" t="str">
        <f t="shared" ref="D12417:E12417" si="12415">TRIM(B12417)</f>
        <v>Ohio</v>
      </c>
      <c r="E12417" s="111" t="str">
        <f t="shared" si="12415"/>
        <v>New Middletown</v>
      </c>
    </row>
    <row r="12418" spans="1:5">
      <c r="A12418" s="3" t="s">
        <v>23301</v>
      </c>
      <c r="B12418" s="110" t="s">
        <v>1361</v>
      </c>
      <c r="C12418" s="111" t="s">
        <v>23302</v>
      </c>
      <c r="D12418" s="111" t="str">
        <f t="shared" ref="D12418:E12418" si="12416">TRIM(B12418)</f>
        <v>Ohio</v>
      </c>
      <c r="E12418" s="111" t="str">
        <f t="shared" si="12416"/>
        <v>New Paris</v>
      </c>
    </row>
    <row r="12419" spans="1:5">
      <c r="A12419" s="3" t="s">
        <v>23303</v>
      </c>
      <c r="B12419" s="110" t="s">
        <v>1361</v>
      </c>
      <c r="C12419" s="113" t="s">
        <v>23304</v>
      </c>
      <c r="D12419" s="111" t="str">
        <f t="shared" ref="D12419:E12419" si="12417">TRIM(B12419)</f>
        <v>Ohio</v>
      </c>
      <c r="E12419" s="111" t="str">
        <f t="shared" si="12417"/>
        <v>New Philadelphia</v>
      </c>
    </row>
    <row r="12420" spans="1:5">
      <c r="A12420" s="3" t="s">
        <v>23305</v>
      </c>
      <c r="B12420" s="110" t="s">
        <v>1361</v>
      </c>
      <c r="C12420" s="112" t="s">
        <v>8334</v>
      </c>
      <c r="D12420" s="111" t="str">
        <f t="shared" ref="D12420:E12420" si="12418">TRIM(B12420)</f>
        <v>Ohio</v>
      </c>
      <c r="E12420" s="111" t="str">
        <f t="shared" si="12418"/>
        <v>New Richmond</v>
      </c>
    </row>
    <row r="12421" spans="1:5">
      <c r="A12421" s="3" t="s">
        <v>23306</v>
      </c>
      <c r="B12421" s="110" t="s">
        <v>1361</v>
      </c>
      <c r="C12421" s="111" t="s">
        <v>23307</v>
      </c>
      <c r="D12421" s="111" t="str">
        <f t="shared" ref="D12421:E12421" si="12419">TRIM(B12421)</f>
        <v>Ohio</v>
      </c>
      <c r="E12421" s="111" t="str">
        <f t="shared" si="12419"/>
        <v>New Riegel</v>
      </c>
    </row>
    <row r="12422" spans="1:5">
      <c r="A12422" s="3" t="s">
        <v>23308</v>
      </c>
      <c r="B12422" s="110" t="s">
        <v>1361</v>
      </c>
      <c r="C12422" s="111" t="s">
        <v>14532</v>
      </c>
      <c r="D12422" s="111" t="str">
        <f t="shared" ref="D12422:E12422" si="12420">TRIM(B12422)</f>
        <v>Ohio</v>
      </c>
      <c r="E12422" s="111" t="str">
        <f t="shared" si="12420"/>
        <v>New Washington</v>
      </c>
    </row>
    <row r="12423" spans="1:5">
      <c r="A12423" s="3" t="s">
        <v>23309</v>
      </c>
      <c r="B12423" s="110" t="s">
        <v>1361</v>
      </c>
      <c r="C12423" s="111" t="s">
        <v>499</v>
      </c>
      <c r="D12423" s="111" t="str">
        <f t="shared" ref="D12423:E12423" si="12421">TRIM(B12423)</f>
        <v>Ohio</v>
      </c>
      <c r="E12423" s="111" t="str">
        <f t="shared" si="12421"/>
        <v>Newark</v>
      </c>
    </row>
    <row r="12424" spans="1:5">
      <c r="A12424" s="3" t="s">
        <v>23310</v>
      </c>
      <c r="B12424" s="110" t="s">
        <v>1361</v>
      </c>
      <c r="C12424" s="111" t="s">
        <v>499</v>
      </c>
      <c r="D12424" s="111" t="str">
        <f t="shared" ref="D12424:E12424" si="12422">TRIM(B12424)</f>
        <v>Ohio</v>
      </c>
      <c r="E12424" s="111" t="str">
        <f t="shared" si="12422"/>
        <v>Newark</v>
      </c>
    </row>
    <row r="12425" spans="1:5">
      <c r="A12425" s="3" t="s">
        <v>8840</v>
      </c>
      <c r="B12425" s="110" t="s">
        <v>1361</v>
      </c>
      <c r="C12425" s="111" t="s">
        <v>499</v>
      </c>
      <c r="D12425" s="111" t="str">
        <f t="shared" ref="D12425:E12425" si="12423">TRIM(B12425)</f>
        <v>Ohio</v>
      </c>
      <c r="E12425" s="111" t="str">
        <f t="shared" si="12423"/>
        <v>Newark</v>
      </c>
    </row>
    <row r="12426" spans="1:5">
      <c r="A12426" s="110" t="s">
        <v>23311</v>
      </c>
      <c r="B12426" s="110" t="s">
        <v>1361</v>
      </c>
      <c r="C12426" s="113" t="s">
        <v>23312</v>
      </c>
      <c r="D12426" s="111" t="str">
        <f t="shared" ref="D12426:E12426" si="12424">TRIM(B12426)</f>
        <v>Ohio</v>
      </c>
      <c r="E12426" s="111" t="str">
        <f t="shared" si="12424"/>
        <v>Newburgh Heights</v>
      </c>
    </row>
    <row r="12427" spans="1:5">
      <c r="A12427" s="3" t="s">
        <v>23313</v>
      </c>
      <c r="B12427" s="110" t="s">
        <v>1361</v>
      </c>
      <c r="C12427" s="111" t="s">
        <v>23314</v>
      </c>
      <c r="D12427" s="111" t="str">
        <f t="shared" ref="D12427:E12427" si="12425">TRIM(B12427)</f>
        <v>Ohio</v>
      </c>
      <c r="E12427" s="111" t="str">
        <f t="shared" si="12425"/>
        <v>Newbury</v>
      </c>
    </row>
    <row r="12428" spans="1:5">
      <c r="A12428" s="3" t="s">
        <v>23315</v>
      </c>
      <c r="B12428" s="110" t="s">
        <v>1361</v>
      </c>
      <c r="C12428" s="111" t="s">
        <v>23316</v>
      </c>
      <c r="D12428" s="111" t="str">
        <f t="shared" ref="D12428:E12428" si="12426">TRIM(B12428)</f>
        <v>Ohio</v>
      </c>
      <c r="E12428" s="111" t="str">
        <f t="shared" si="12426"/>
        <v>Newcomerstown</v>
      </c>
    </row>
    <row r="12429" spans="1:5">
      <c r="A12429" s="3" t="s">
        <v>23317</v>
      </c>
      <c r="B12429" s="110" t="s">
        <v>1361</v>
      </c>
      <c r="C12429" s="111" t="s">
        <v>23318</v>
      </c>
      <c r="D12429" s="111" t="str">
        <f t="shared" ref="D12429:E12429" si="12427">TRIM(B12429)</f>
        <v>Ohio</v>
      </c>
      <c r="E12429" s="111" t="str">
        <f t="shared" si="12427"/>
        <v>Newton Falls</v>
      </c>
    </row>
    <row r="12430" spans="1:5">
      <c r="A12430" s="3" t="s">
        <v>22872</v>
      </c>
      <c r="B12430" s="110" t="s">
        <v>1361</v>
      </c>
      <c r="C12430" s="111" t="s">
        <v>10592</v>
      </c>
      <c r="D12430" s="111" t="str">
        <f t="shared" ref="D12430:E12430" si="12428">TRIM(B12430)</f>
        <v>Ohio</v>
      </c>
      <c r="E12430" s="111" t="str">
        <f t="shared" si="12428"/>
        <v>Niles</v>
      </c>
    </row>
    <row r="12431" spans="1:5">
      <c r="A12431" s="3" t="s">
        <v>23319</v>
      </c>
      <c r="B12431" s="110" t="s">
        <v>1361</v>
      </c>
      <c r="C12431" s="111" t="s">
        <v>23320</v>
      </c>
      <c r="D12431" s="111" t="str">
        <f t="shared" ref="D12431:E12431" si="12429">TRIM(B12431)</f>
        <v>Ohio</v>
      </c>
      <c r="E12431" s="111" t="str">
        <f t="shared" si="12429"/>
        <v>North Baltimore</v>
      </c>
    </row>
    <row r="12432" spans="1:5">
      <c r="A12432" s="3" t="s">
        <v>8342</v>
      </c>
      <c r="B12432" s="110" t="s">
        <v>1361</v>
      </c>
      <c r="C12432" s="111" t="s">
        <v>23321</v>
      </c>
      <c r="D12432" s="111" t="str">
        <f t="shared" ref="D12432:E12432" si="12430">TRIM(B12432)</f>
        <v>Ohio</v>
      </c>
      <c r="E12432" s="111" t="str">
        <f t="shared" si="12430"/>
        <v>North Bloomfield</v>
      </c>
    </row>
    <row r="12433" spans="1:5">
      <c r="A12433" s="3" t="s">
        <v>1865</v>
      </c>
      <c r="B12433" s="110" t="s">
        <v>1361</v>
      </c>
      <c r="C12433" s="111" t="s">
        <v>23322</v>
      </c>
      <c r="D12433" s="111" t="str">
        <f t="shared" ref="D12433:E12433" si="12431">TRIM(B12433)</f>
        <v>Ohio</v>
      </c>
      <c r="E12433" s="111" t="str">
        <f t="shared" si="12431"/>
        <v>North Canton</v>
      </c>
    </row>
    <row r="12434" spans="1:5">
      <c r="A12434" s="3" t="s">
        <v>23323</v>
      </c>
      <c r="B12434" s="110" t="s">
        <v>1361</v>
      </c>
      <c r="C12434" s="111" t="s">
        <v>23324</v>
      </c>
      <c r="D12434" s="111" t="str">
        <f t="shared" ref="D12434:E12434" si="12432">TRIM(B12434)</f>
        <v>Ohio</v>
      </c>
      <c r="E12434" s="111" t="str">
        <f t="shared" si="12432"/>
        <v>North Jackson</v>
      </c>
    </row>
    <row r="12435" spans="1:5">
      <c r="A12435" s="3" t="s">
        <v>13925</v>
      </c>
      <c r="B12435" s="110" t="s">
        <v>1361</v>
      </c>
      <c r="C12435" s="111" t="s">
        <v>23325</v>
      </c>
      <c r="D12435" s="111" t="str">
        <f t="shared" ref="D12435:E12435" si="12433">TRIM(B12435)</f>
        <v>Ohio</v>
      </c>
      <c r="E12435" s="111" t="str">
        <f t="shared" si="12433"/>
        <v>North Lewisburg</v>
      </c>
    </row>
    <row r="12436" spans="1:5">
      <c r="A12436" s="3" t="s">
        <v>23326</v>
      </c>
      <c r="B12436" s="110" t="s">
        <v>1361</v>
      </c>
      <c r="C12436" s="111" t="s">
        <v>23327</v>
      </c>
      <c r="D12436" s="111" t="str">
        <f t="shared" ref="D12436:E12436" si="12434">TRIM(B12436)</f>
        <v>Ohio</v>
      </c>
      <c r="E12436" s="111" t="str">
        <f t="shared" si="12434"/>
        <v>North Olmsted</v>
      </c>
    </row>
    <row r="12437" spans="1:5">
      <c r="A12437" s="3" t="s">
        <v>23328</v>
      </c>
      <c r="B12437" s="110" t="s">
        <v>1361</v>
      </c>
      <c r="C12437" s="111" t="s">
        <v>12778</v>
      </c>
      <c r="D12437" s="111" t="str">
        <f t="shared" ref="D12437:E12437" si="12435">TRIM(B12437)</f>
        <v>Ohio</v>
      </c>
      <c r="E12437" s="111" t="str">
        <f t="shared" si="12435"/>
        <v>North Ridgeville</v>
      </c>
    </row>
    <row r="12438" spans="1:5">
      <c r="A12438" s="3" t="s">
        <v>23329</v>
      </c>
      <c r="B12438" s="110" t="s">
        <v>1361</v>
      </c>
      <c r="C12438" s="111" t="s">
        <v>23330</v>
      </c>
      <c r="D12438" s="111" t="str">
        <f t="shared" ref="D12438:E12438" si="12436">TRIM(B12438)</f>
        <v>Ohio</v>
      </c>
      <c r="E12438" s="111" t="str">
        <f t="shared" si="12436"/>
        <v>North Royalton</v>
      </c>
    </row>
    <row r="12439" spans="1:5">
      <c r="A12439" s="3" t="s">
        <v>5341</v>
      </c>
      <c r="B12439" s="110" t="s">
        <v>1361</v>
      </c>
      <c r="C12439" s="111" t="s">
        <v>15000</v>
      </c>
      <c r="D12439" s="111" t="str">
        <f t="shared" ref="D12439:E12439" si="12437">TRIM(B12439)</f>
        <v>Ohio</v>
      </c>
      <c r="E12439" s="111" t="str">
        <f t="shared" si="12437"/>
        <v>Northwood</v>
      </c>
    </row>
    <row r="12440" spans="1:5">
      <c r="A12440" s="3" t="s">
        <v>15426</v>
      </c>
      <c r="B12440" s="110" t="s">
        <v>1361</v>
      </c>
      <c r="C12440" s="111" t="s">
        <v>15427</v>
      </c>
      <c r="D12440" s="111" t="str">
        <f t="shared" ref="D12440:E12440" si="12438">TRIM(B12440)</f>
        <v>Ohio</v>
      </c>
      <c r="E12440" s="111" t="str">
        <f t="shared" si="12438"/>
        <v>Norton</v>
      </c>
    </row>
    <row r="12441" spans="1:5">
      <c r="A12441" s="3" t="s">
        <v>6098</v>
      </c>
      <c r="B12441" s="110" t="s">
        <v>1361</v>
      </c>
      <c r="C12441" s="111" t="s">
        <v>2873</v>
      </c>
      <c r="D12441" s="111" t="str">
        <f t="shared" ref="D12441:E12441" si="12439">TRIM(B12441)</f>
        <v>Ohio</v>
      </c>
      <c r="E12441" s="111" t="str">
        <f t="shared" si="12439"/>
        <v>Norwalk</v>
      </c>
    </row>
    <row r="12442" spans="1:5">
      <c r="A12442" s="3" t="s">
        <v>16791</v>
      </c>
      <c r="B12442" s="110" t="s">
        <v>1361</v>
      </c>
      <c r="C12442" s="111" t="s">
        <v>16792</v>
      </c>
      <c r="D12442" s="111" t="str">
        <f t="shared" ref="D12442:E12442" si="12440">TRIM(B12442)</f>
        <v>Ohio</v>
      </c>
      <c r="E12442" s="111" t="str">
        <f t="shared" si="12440"/>
        <v>Norwood</v>
      </c>
    </row>
    <row r="12443" spans="1:5">
      <c r="A12443" s="3" t="s">
        <v>23331</v>
      </c>
      <c r="B12443" s="110" t="s">
        <v>1361</v>
      </c>
      <c r="C12443" s="111" t="s">
        <v>23332</v>
      </c>
      <c r="D12443" s="111" t="str">
        <f t="shared" ref="D12443:E12443" si="12441">TRIM(B12443)</f>
        <v>Ohio</v>
      </c>
      <c r="E12443" s="111" t="str">
        <f t="shared" si="12441"/>
        <v>Oak Harbor</v>
      </c>
    </row>
    <row r="12444" spans="1:5">
      <c r="A12444" s="3" t="s">
        <v>23333</v>
      </c>
      <c r="B12444" s="110" t="s">
        <v>1361</v>
      </c>
      <c r="C12444" s="111" t="s">
        <v>23334</v>
      </c>
      <c r="D12444" s="111" t="str">
        <f t="shared" ref="D12444:E12444" si="12442">TRIM(B12444)</f>
        <v>Ohio</v>
      </c>
      <c r="E12444" s="111" t="str">
        <f t="shared" si="12442"/>
        <v>Oak Hill</v>
      </c>
    </row>
    <row r="12445" spans="1:5">
      <c r="A12445" s="3" t="s">
        <v>23335</v>
      </c>
      <c r="B12445" s="110" t="s">
        <v>1361</v>
      </c>
      <c r="C12445" s="112" t="s">
        <v>15431</v>
      </c>
      <c r="D12445" s="111" t="str">
        <f t="shared" ref="D12445:E12445" si="12443">TRIM(B12445)</f>
        <v>Ohio</v>
      </c>
      <c r="E12445" s="111" t="str">
        <f t="shared" si="12443"/>
        <v>Oberlin</v>
      </c>
    </row>
    <row r="12446" spans="1:5">
      <c r="A12446" s="3" t="s">
        <v>16079</v>
      </c>
      <c r="B12446" s="110" t="s">
        <v>1361</v>
      </c>
      <c r="C12446" s="111" t="s">
        <v>15431</v>
      </c>
      <c r="D12446" s="111" t="str">
        <f t="shared" ref="D12446:E12446" si="12444">TRIM(B12446)</f>
        <v>Ohio</v>
      </c>
      <c r="E12446" s="111" t="str">
        <f t="shared" si="12444"/>
        <v>Oberlin</v>
      </c>
    </row>
    <row r="12447" spans="1:5">
      <c r="A12447" s="3" t="s">
        <v>23336</v>
      </c>
      <c r="B12447" s="110" t="s">
        <v>1361</v>
      </c>
      <c r="C12447" s="111" t="s">
        <v>23337</v>
      </c>
      <c r="D12447" s="111" t="str">
        <f t="shared" ref="D12447:E12447" si="12445">TRIM(B12447)</f>
        <v>Ohio</v>
      </c>
      <c r="E12447" s="111" t="str">
        <f t="shared" si="12445"/>
        <v>Olmsted Falls</v>
      </c>
    </row>
    <row r="12448" spans="1:5">
      <c r="A12448" s="3" t="s">
        <v>9276</v>
      </c>
      <c r="B12448" s="110" t="s">
        <v>1361</v>
      </c>
      <c r="C12448" s="111" t="s">
        <v>1363</v>
      </c>
      <c r="D12448" s="111" t="str">
        <f t="shared" ref="D12448:E12448" si="12446">TRIM(B12448)</f>
        <v>Ohio</v>
      </c>
      <c r="E12448" s="111" t="str">
        <f t="shared" si="12446"/>
        <v>Oregon</v>
      </c>
    </row>
    <row r="12449" spans="1:5">
      <c r="A12449" s="110" t="s">
        <v>23338</v>
      </c>
      <c r="B12449" s="110" t="s">
        <v>1361</v>
      </c>
      <c r="C12449" s="111" t="s">
        <v>1363</v>
      </c>
      <c r="D12449" s="111" t="str">
        <f t="shared" ref="D12449:E12449" si="12447">TRIM(B12449)</f>
        <v>Ohio</v>
      </c>
      <c r="E12449" s="111" t="str">
        <f t="shared" si="12447"/>
        <v>Oregon</v>
      </c>
    </row>
    <row r="12450" spans="1:5">
      <c r="A12450" s="3" t="s">
        <v>23339</v>
      </c>
      <c r="B12450" s="110" t="s">
        <v>1361</v>
      </c>
      <c r="C12450" s="111" t="s">
        <v>377</v>
      </c>
      <c r="D12450" s="111" t="str">
        <f t="shared" ref="D12450:E12450" si="12448">TRIM(B12450)</f>
        <v>Ohio</v>
      </c>
      <c r="E12450" s="111" t="str">
        <f t="shared" si="12448"/>
        <v>Orrville</v>
      </c>
    </row>
    <row r="12451" spans="1:5">
      <c r="A12451" s="3" t="s">
        <v>8174</v>
      </c>
      <c r="B12451" s="110" t="s">
        <v>1361</v>
      </c>
      <c r="C12451" s="111" t="s">
        <v>23340</v>
      </c>
      <c r="D12451" s="111" t="str">
        <f t="shared" ref="D12451:E12451" si="12449">TRIM(B12451)</f>
        <v>Ohio</v>
      </c>
      <c r="E12451" s="111" t="str">
        <f t="shared" si="12449"/>
        <v>Orwell</v>
      </c>
    </row>
    <row r="12452" spans="1:5">
      <c r="A12452" s="3" t="s">
        <v>23341</v>
      </c>
      <c r="B12452" s="110" t="s">
        <v>1361</v>
      </c>
      <c r="C12452" s="111" t="s">
        <v>479</v>
      </c>
      <c r="D12452" s="111" t="str">
        <f t="shared" ref="D12452:E12452" si="12450">TRIM(B12452)</f>
        <v>Ohio</v>
      </c>
      <c r="E12452" s="111" t="str">
        <f t="shared" si="12450"/>
        <v>Ottawa</v>
      </c>
    </row>
    <row r="12453" spans="1:5">
      <c r="A12453" s="3" t="s">
        <v>23342</v>
      </c>
      <c r="B12453" s="110" t="s">
        <v>1361</v>
      </c>
      <c r="C12453" s="111" t="s">
        <v>23343</v>
      </c>
      <c r="D12453" s="111" t="str">
        <f t="shared" ref="D12453:E12453" si="12451">TRIM(B12453)</f>
        <v>Ohio</v>
      </c>
      <c r="E12453" s="111" t="str">
        <f t="shared" si="12451"/>
        <v>Ottoville</v>
      </c>
    </row>
    <row r="12454" spans="1:5">
      <c r="A12454" s="3" t="s">
        <v>23344</v>
      </c>
      <c r="B12454" s="110" t="s">
        <v>1361</v>
      </c>
      <c r="C12454" s="111" t="s">
        <v>279</v>
      </c>
      <c r="D12454" s="111" t="str">
        <f t="shared" ref="D12454:E12454" si="12452">TRIM(B12454)</f>
        <v>Ohio</v>
      </c>
      <c r="E12454" s="111" t="str">
        <f t="shared" si="12452"/>
        <v>Oxford</v>
      </c>
    </row>
    <row r="12455" spans="1:5">
      <c r="A12455" s="3" t="s">
        <v>22626</v>
      </c>
      <c r="B12455" s="110" t="s">
        <v>1361</v>
      </c>
      <c r="C12455" s="111" t="s">
        <v>23345</v>
      </c>
      <c r="D12455" s="111" t="str">
        <f t="shared" ref="D12455:E12455" si="12453">TRIM(B12455)</f>
        <v>Ohio</v>
      </c>
      <c r="E12455" s="111" t="str">
        <f t="shared" si="12453"/>
        <v>Painesville</v>
      </c>
    </row>
    <row r="12456" spans="1:5">
      <c r="A12456" s="3" t="s">
        <v>23346</v>
      </c>
      <c r="B12456" s="110" t="s">
        <v>1361</v>
      </c>
      <c r="C12456" s="111" t="s">
        <v>23345</v>
      </c>
      <c r="D12456" s="111" t="str">
        <f t="shared" ref="D12456:E12456" si="12454">TRIM(B12456)</f>
        <v>Ohio</v>
      </c>
      <c r="E12456" s="111" t="str">
        <f t="shared" si="12454"/>
        <v>Painesville</v>
      </c>
    </row>
    <row r="12457" spans="1:5">
      <c r="A12457" s="3" t="s">
        <v>23347</v>
      </c>
      <c r="B12457" s="110" t="s">
        <v>1361</v>
      </c>
      <c r="C12457" s="111" t="s">
        <v>23348</v>
      </c>
      <c r="D12457" s="111" t="str">
        <f t="shared" ref="D12457:E12457" si="12455">TRIM(B12457)</f>
        <v>Ohio</v>
      </c>
      <c r="E12457" s="111" t="str">
        <f t="shared" si="12455"/>
        <v>Pandora</v>
      </c>
    </row>
    <row r="12458" spans="1:5">
      <c r="A12458" s="3" t="s">
        <v>19137</v>
      </c>
      <c r="B12458" s="110" t="s">
        <v>1361</v>
      </c>
      <c r="C12458" s="111" t="s">
        <v>11850</v>
      </c>
      <c r="D12458" s="111" t="str">
        <f t="shared" ref="D12458:E12458" si="12456">TRIM(B12458)</f>
        <v>Ohio</v>
      </c>
      <c r="E12458" s="111" t="str">
        <f t="shared" si="12456"/>
        <v>Parma</v>
      </c>
    </row>
    <row r="12459" spans="1:5">
      <c r="A12459" s="3" t="s">
        <v>11849</v>
      </c>
      <c r="B12459" s="110" t="s">
        <v>1361</v>
      </c>
      <c r="C12459" s="111" t="s">
        <v>11850</v>
      </c>
      <c r="D12459" s="111" t="str">
        <f t="shared" ref="D12459:E12459" si="12457">TRIM(B12459)</f>
        <v>Ohio</v>
      </c>
      <c r="E12459" s="111" t="str">
        <f t="shared" si="12457"/>
        <v>Parma</v>
      </c>
    </row>
    <row r="12460" spans="1:5">
      <c r="A12460" s="3" t="s">
        <v>23349</v>
      </c>
      <c r="B12460" s="110" t="s">
        <v>1361</v>
      </c>
      <c r="C12460" s="111" t="s">
        <v>12774</v>
      </c>
      <c r="D12460" s="111" t="str">
        <f t="shared" ref="D12460:E12460" si="12458">TRIM(B12460)</f>
        <v>Ohio</v>
      </c>
      <c r="E12460" s="111" t="str">
        <f t="shared" si="12458"/>
        <v>Parma Heights</v>
      </c>
    </row>
    <row r="12461" spans="1:5">
      <c r="A12461" s="3" t="s">
        <v>23350</v>
      </c>
      <c r="B12461" s="110" t="s">
        <v>1361</v>
      </c>
      <c r="C12461" s="111" t="s">
        <v>23351</v>
      </c>
      <c r="D12461" s="111" t="str">
        <f t="shared" ref="D12461:E12461" si="12459">TRIM(B12461)</f>
        <v>Ohio</v>
      </c>
      <c r="E12461" s="111" t="str">
        <f t="shared" si="12459"/>
        <v>Pataskala</v>
      </c>
    </row>
    <row r="12462" spans="1:5">
      <c r="A12462" s="3" t="s">
        <v>23352</v>
      </c>
      <c r="B12462" s="110" t="s">
        <v>1361</v>
      </c>
      <c r="C12462" s="111" t="s">
        <v>23351</v>
      </c>
      <c r="D12462" s="111" t="str">
        <f t="shared" ref="D12462:E12462" si="12460">TRIM(B12462)</f>
        <v>Ohio</v>
      </c>
      <c r="E12462" s="111" t="str">
        <f t="shared" si="12460"/>
        <v>Pataskala</v>
      </c>
    </row>
    <row r="12463" spans="1:5">
      <c r="A12463" s="3" t="s">
        <v>23353</v>
      </c>
      <c r="B12463" s="110" t="s">
        <v>1361</v>
      </c>
      <c r="C12463" s="111" t="s">
        <v>23354</v>
      </c>
      <c r="D12463" s="111" t="str">
        <f t="shared" ref="D12463:E12463" si="12461">TRIM(B12463)</f>
        <v>Ohio</v>
      </c>
      <c r="E12463" s="111" t="str">
        <f t="shared" si="12461"/>
        <v>Paulding</v>
      </c>
    </row>
    <row r="12464" spans="1:5">
      <c r="A12464" s="3" t="s">
        <v>23355</v>
      </c>
      <c r="B12464" s="110" t="s">
        <v>1361</v>
      </c>
      <c r="C12464" s="111" t="s">
        <v>23356</v>
      </c>
      <c r="D12464" s="111" t="str">
        <f t="shared" ref="D12464:E12464" si="12462">TRIM(B12464)</f>
        <v>Ohio</v>
      </c>
      <c r="E12464" s="111" t="str">
        <f t="shared" si="12462"/>
        <v>Peebles</v>
      </c>
    </row>
    <row r="12465" spans="1:5">
      <c r="A12465" s="3" t="s">
        <v>23357</v>
      </c>
      <c r="B12465" s="110" t="s">
        <v>1361</v>
      </c>
      <c r="C12465" s="111" t="s">
        <v>23358</v>
      </c>
      <c r="D12465" s="111" t="str">
        <f t="shared" ref="D12465:E12465" si="12463">TRIM(B12465)</f>
        <v>Ohio</v>
      </c>
      <c r="E12465" s="111" t="str">
        <f t="shared" si="12463"/>
        <v>Pemberville</v>
      </c>
    </row>
    <row r="12466" spans="1:5">
      <c r="A12466" s="3" t="s">
        <v>23359</v>
      </c>
      <c r="B12466" s="110" t="s">
        <v>1361</v>
      </c>
      <c r="C12466" s="111" t="s">
        <v>23360</v>
      </c>
      <c r="D12466" s="111" t="str">
        <f t="shared" ref="D12466:E12466" si="12464">TRIM(B12466)</f>
        <v>Ohio</v>
      </c>
      <c r="E12466" s="111" t="str">
        <f t="shared" si="12464"/>
        <v>Peninsula</v>
      </c>
    </row>
    <row r="12467" spans="1:5">
      <c r="A12467" s="3" t="s">
        <v>6232</v>
      </c>
      <c r="B12467" s="110" t="s">
        <v>1361</v>
      </c>
      <c r="C12467" s="111" t="s">
        <v>23361</v>
      </c>
      <c r="D12467" s="111" t="str">
        <f t="shared" ref="D12467:E12467" si="12465">TRIM(B12467)</f>
        <v>Ohio</v>
      </c>
      <c r="E12467" s="111" t="str">
        <f t="shared" si="12465"/>
        <v>Pepper Pike</v>
      </c>
    </row>
    <row r="12468" spans="1:5">
      <c r="A12468" s="3" t="s">
        <v>2683</v>
      </c>
      <c r="B12468" s="110" t="s">
        <v>1361</v>
      </c>
      <c r="C12468" s="111" t="s">
        <v>9957</v>
      </c>
      <c r="D12468" s="111" t="str">
        <f t="shared" ref="D12468:E12468" si="12466">TRIM(B12468)</f>
        <v>Ohio</v>
      </c>
      <c r="E12468" s="111" t="str">
        <f t="shared" si="12466"/>
        <v>Perry</v>
      </c>
    </row>
    <row r="12469" spans="1:5">
      <c r="A12469" s="3" t="s">
        <v>23362</v>
      </c>
      <c r="B12469" s="110" t="s">
        <v>1361</v>
      </c>
      <c r="C12469" s="111" t="s">
        <v>23363</v>
      </c>
      <c r="D12469" s="111" t="str">
        <f t="shared" ref="D12469:E12469" si="12467">TRIM(B12469)</f>
        <v>Ohio</v>
      </c>
      <c r="E12469" s="111" t="str">
        <f t="shared" si="12467"/>
        <v>Perrysburg</v>
      </c>
    </row>
    <row r="12470" spans="1:5">
      <c r="A12470" s="3" t="s">
        <v>23364</v>
      </c>
      <c r="B12470" s="110" t="s">
        <v>1361</v>
      </c>
      <c r="C12470" s="111" t="s">
        <v>23365</v>
      </c>
      <c r="D12470" s="111" t="str">
        <f t="shared" ref="D12470:E12470" si="12468">TRIM(B12470)</f>
        <v>Ohio</v>
      </c>
      <c r="E12470" s="111" t="str">
        <f t="shared" si="12468"/>
        <v>Pettisville</v>
      </c>
    </row>
    <row r="12471" spans="1:5">
      <c r="A12471" s="110" t="s">
        <v>23366</v>
      </c>
      <c r="B12471" s="110" t="s">
        <v>1361</v>
      </c>
      <c r="C12471" s="111" t="s">
        <v>23367</v>
      </c>
      <c r="D12471" s="111" t="str">
        <f t="shared" ref="D12471:E12471" si="12469">TRIM(B12471)</f>
        <v>Ohio</v>
      </c>
      <c r="E12471" s="111" t="str">
        <f t="shared" si="12469"/>
        <v>Pickerington</v>
      </c>
    </row>
    <row r="12472" spans="1:5">
      <c r="A12472" s="3" t="s">
        <v>23368</v>
      </c>
      <c r="B12472" s="110" t="s">
        <v>1361</v>
      </c>
      <c r="C12472" s="111" t="s">
        <v>23367</v>
      </c>
      <c r="D12472" s="111" t="str">
        <f t="shared" ref="D12472:E12472" si="12470">TRIM(B12472)</f>
        <v>Ohio</v>
      </c>
      <c r="E12472" s="111" t="str">
        <f t="shared" si="12470"/>
        <v>Pickerington</v>
      </c>
    </row>
    <row r="12473" spans="1:5">
      <c r="A12473" s="3" t="s">
        <v>23369</v>
      </c>
      <c r="B12473" s="110" t="s">
        <v>1361</v>
      </c>
      <c r="C12473" s="111" t="s">
        <v>23367</v>
      </c>
      <c r="D12473" s="111" t="str">
        <f t="shared" ref="D12473:E12473" si="12471">TRIM(B12473)</f>
        <v>Ohio</v>
      </c>
      <c r="E12473" s="111" t="str">
        <f t="shared" si="12471"/>
        <v>Pickerington</v>
      </c>
    </row>
    <row r="12474" spans="1:5">
      <c r="A12474" s="3" t="s">
        <v>23370</v>
      </c>
      <c r="B12474" s="110" t="s">
        <v>1361</v>
      </c>
      <c r="C12474" s="111" t="s">
        <v>23371</v>
      </c>
      <c r="D12474" s="111" t="str">
        <f t="shared" ref="D12474:E12474" si="12472">TRIM(B12474)</f>
        <v>Ohio</v>
      </c>
      <c r="E12474" s="111" t="str">
        <f t="shared" si="12472"/>
        <v>Piketon</v>
      </c>
    </row>
    <row r="12475" spans="1:5">
      <c r="A12475" s="3" t="s">
        <v>23372</v>
      </c>
      <c r="B12475" s="110" t="s">
        <v>1361</v>
      </c>
      <c r="C12475" s="111" t="s">
        <v>23373</v>
      </c>
      <c r="D12475" s="111" t="str">
        <f t="shared" ref="D12475:E12475" si="12473">TRIM(B12475)</f>
        <v>Ohio</v>
      </c>
      <c r="E12475" s="111" t="str">
        <f t="shared" si="12473"/>
        <v>Pioneer</v>
      </c>
    </row>
    <row r="12476" spans="1:5">
      <c r="A12476" s="3" t="s">
        <v>23374</v>
      </c>
      <c r="B12476" s="110" t="s">
        <v>1361</v>
      </c>
      <c r="C12476" s="111" t="s">
        <v>23375</v>
      </c>
      <c r="D12476" s="111" t="str">
        <f t="shared" ref="D12476:E12476" si="12474">TRIM(B12476)</f>
        <v>Ohio</v>
      </c>
      <c r="E12476" s="111" t="str">
        <f t="shared" si="12474"/>
        <v>Piqua</v>
      </c>
    </row>
    <row r="12477" spans="1:5">
      <c r="A12477" s="3" t="s">
        <v>23376</v>
      </c>
      <c r="B12477" s="110" t="s">
        <v>1361</v>
      </c>
      <c r="C12477" s="111" t="s">
        <v>23377</v>
      </c>
      <c r="D12477" s="111" t="str">
        <f t="shared" ref="D12477:E12477" si="12475">TRIM(B12477)</f>
        <v>Ohio</v>
      </c>
      <c r="E12477" s="111" t="str">
        <f t="shared" si="12475"/>
        <v>Pitsburg</v>
      </c>
    </row>
    <row r="12478" spans="1:5">
      <c r="A12478" s="3" t="s">
        <v>23378</v>
      </c>
      <c r="B12478" s="110" t="s">
        <v>1361</v>
      </c>
      <c r="C12478" s="111" t="s">
        <v>937</v>
      </c>
      <c r="D12478" s="111" t="str">
        <f t="shared" ref="D12478:E12478" si="12476">TRIM(B12478)</f>
        <v>Ohio</v>
      </c>
      <c r="E12478" s="111" t="str">
        <f t="shared" si="12476"/>
        <v>Plain City</v>
      </c>
    </row>
    <row r="12479" spans="1:5">
      <c r="A12479" s="3" t="s">
        <v>10600</v>
      </c>
      <c r="B12479" s="110" t="s">
        <v>1361</v>
      </c>
      <c r="C12479" s="111" t="s">
        <v>6400</v>
      </c>
      <c r="D12479" s="111" t="str">
        <f t="shared" ref="D12479:E12479" si="12477">TRIM(B12479)</f>
        <v>Ohio</v>
      </c>
      <c r="E12479" s="111" t="str">
        <f t="shared" si="12477"/>
        <v>Pleasant Hill</v>
      </c>
    </row>
    <row r="12480" spans="1:5">
      <c r="A12480" s="3" t="s">
        <v>14558</v>
      </c>
      <c r="B12480" s="110" t="s">
        <v>1361</v>
      </c>
      <c r="C12480" s="111" t="s">
        <v>11518</v>
      </c>
      <c r="D12480" s="111" t="str">
        <f t="shared" ref="D12480:E12480" si="12478">TRIM(B12480)</f>
        <v>Ohio</v>
      </c>
      <c r="E12480" s="111" t="str">
        <f t="shared" si="12478"/>
        <v>Plymouth</v>
      </c>
    </row>
    <row r="12481" spans="1:5">
      <c r="A12481" s="3" t="s">
        <v>23379</v>
      </c>
      <c r="B12481" s="110" t="s">
        <v>1361</v>
      </c>
      <c r="C12481" s="111" t="s">
        <v>16265</v>
      </c>
      <c r="D12481" s="111" t="str">
        <f t="shared" ref="D12481:E12481" si="12479">TRIM(B12481)</f>
        <v>Ohio</v>
      </c>
      <c r="E12481" s="111" t="str">
        <f t="shared" si="12479"/>
        <v>Poland</v>
      </c>
    </row>
    <row r="12482" spans="1:5">
      <c r="A12482" s="3" t="s">
        <v>23380</v>
      </c>
      <c r="B12482" s="110" t="s">
        <v>1361</v>
      </c>
      <c r="C12482" s="111" t="s">
        <v>23381</v>
      </c>
      <c r="D12482" s="111" t="str">
        <f t="shared" ref="D12482:E12482" si="12480">TRIM(B12482)</f>
        <v>Ohio</v>
      </c>
      <c r="E12482" s="111" t="str">
        <f t="shared" si="12480"/>
        <v>Pomeroy</v>
      </c>
    </row>
    <row r="12483" spans="1:5">
      <c r="A12483" s="3" t="s">
        <v>23382</v>
      </c>
      <c r="B12483" s="110" t="s">
        <v>1361</v>
      </c>
      <c r="C12483" s="111" t="s">
        <v>23383</v>
      </c>
      <c r="D12483" s="111" t="str">
        <f t="shared" ref="D12483:E12483" si="12481">TRIM(B12483)</f>
        <v>Ohio</v>
      </c>
      <c r="E12483" s="111" t="str">
        <f t="shared" si="12481"/>
        <v>Port Clinton</v>
      </c>
    </row>
    <row r="12484" spans="1:5">
      <c r="A12484" s="3" t="s">
        <v>9276</v>
      </c>
      <c r="B12484" s="110" t="s">
        <v>1361</v>
      </c>
      <c r="C12484" s="111" t="s">
        <v>12806</v>
      </c>
      <c r="D12484" s="111" t="str">
        <f t="shared" ref="D12484:E12484" si="12482">TRIM(B12484)</f>
        <v>Ohio</v>
      </c>
      <c r="E12484" s="111" t="str">
        <f t="shared" si="12482"/>
        <v>Portsmouth</v>
      </c>
    </row>
    <row r="12485" spans="1:5">
      <c r="A12485" s="3" t="s">
        <v>23384</v>
      </c>
      <c r="B12485" s="110" t="s">
        <v>1361</v>
      </c>
      <c r="C12485" s="111" t="s">
        <v>12806</v>
      </c>
      <c r="D12485" s="111" t="str">
        <f t="shared" ref="D12485:E12485" si="12483">TRIM(B12485)</f>
        <v>Ohio</v>
      </c>
      <c r="E12485" s="111" t="str">
        <f t="shared" si="12483"/>
        <v>Portsmouth</v>
      </c>
    </row>
    <row r="12486" spans="1:5">
      <c r="A12486" s="3" t="s">
        <v>23385</v>
      </c>
      <c r="B12486" s="110" t="s">
        <v>1361</v>
      </c>
      <c r="C12486" s="111" t="s">
        <v>12898</v>
      </c>
      <c r="D12486" s="111" t="str">
        <f t="shared" ref="D12486:E12486" si="12484">TRIM(B12486)</f>
        <v>Ohio</v>
      </c>
      <c r="E12486" s="111" t="str">
        <f t="shared" si="12484"/>
        <v>Powell</v>
      </c>
    </row>
    <row r="12487" spans="1:5">
      <c r="A12487" s="3" t="s">
        <v>23386</v>
      </c>
      <c r="B12487" s="110" t="s">
        <v>1361</v>
      </c>
      <c r="C12487" s="111" t="s">
        <v>23387</v>
      </c>
      <c r="D12487" s="111" t="str">
        <f t="shared" ref="D12487:E12487" si="12485">TRIM(B12487)</f>
        <v>Ohio</v>
      </c>
      <c r="E12487" s="111" t="str">
        <f t="shared" si="12485"/>
        <v>Proctorville</v>
      </c>
    </row>
    <row r="12488" spans="1:5">
      <c r="A12488" s="3" t="s">
        <v>23388</v>
      </c>
      <c r="B12488" s="110" t="s">
        <v>1361</v>
      </c>
      <c r="C12488" s="111" t="s">
        <v>23389</v>
      </c>
      <c r="D12488" s="111" t="str">
        <f t="shared" ref="D12488:E12488" si="12486">TRIM(B12488)</f>
        <v>Ohio</v>
      </c>
      <c r="E12488" s="111" t="str">
        <f t="shared" si="12486"/>
        <v>Put In Bay</v>
      </c>
    </row>
    <row r="12489" spans="1:5">
      <c r="A12489" s="3" t="s">
        <v>15757</v>
      </c>
      <c r="B12489" s="110" t="s">
        <v>1361</v>
      </c>
      <c r="C12489" s="111" t="s">
        <v>1128</v>
      </c>
      <c r="D12489" s="111" t="str">
        <f t="shared" ref="D12489:E12489" si="12487">TRIM(B12489)</f>
        <v>Ohio</v>
      </c>
      <c r="E12489" s="111" t="str">
        <f t="shared" si="12487"/>
        <v>Racine</v>
      </c>
    </row>
    <row r="12490" spans="1:5">
      <c r="A12490" s="3" t="s">
        <v>17528</v>
      </c>
      <c r="B12490" s="110" t="s">
        <v>1361</v>
      </c>
      <c r="C12490" s="111" t="s">
        <v>17529</v>
      </c>
      <c r="D12490" s="111" t="str">
        <f t="shared" ref="D12490:E12490" si="12488">TRIM(B12490)</f>
        <v>Ohio</v>
      </c>
      <c r="E12490" s="111" t="str">
        <f t="shared" si="12488"/>
        <v>Ravenna</v>
      </c>
    </row>
    <row r="12491" spans="1:5">
      <c r="A12491" s="3" t="s">
        <v>8999</v>
      </c>
      <c r="B12491" s="110" t="s">
        <v>1361</v>
      </c>
      <c r="C12491" s="111" t="s">
        <v>17529</v>
      </c>
      <c r="D12491" s="111" t="str">
        <f t="shared" ref="D12491:E12491" si="12489">TRIM(B12491)</f>
        <v>Ohio</v>
      </c>
      <c r="E12491" s="111" t="str">
        <f t="shared" si="12489"/>
        <v>Ravenna</v>
      </c>
    </row>
    <row r="12492" spans="1:5">
      <c r="A12492" s="3" t="s">
        <v>23390</v>
      </c>
      <c r="B12492" s="110" t="s">
        <v>1361</v>
      </c>
      <c r="C12492" s="111" t="s">
        <v>23391</v>
      </c>
      <c r="D12492" s="111" t="str">
        <f t="shared" ref="D12492:E12492" si="12490">TRIM(B12492)</f>
        <v>Ohio</v>
      </c>
      <c r="E12492" s="111" t="str">
        <f t="shared" si="12490"/>
        <v>Rawson</v>
      </c>
    </row>
    <row r="12493" spans="1:5">
      <c r="A12493" s="3" t="s">
        <v>23392</v>
      </c>
      <c r="B12493" s="110" t="s">
        <v>1361</v>
      </c>
      <c r="C12493" s="111" t="s">
        <v>23393</v>
      </c>
      <c r="D12493" s="111" t="str">
        <f t="shared" ref="D12493:E12493" si="12491">TRIM(B12493)</f>
        <v>Ohio</v>
      </c>
      <c r="E12493" s="111" t="str">
        <f t="shared" si="12491"/>
        <v>Rayland</v>
      </c>
    </row>
    <row r="12494" spans="1:5">
      <c r="A12494" s="3" t="s">
        <v>23394</v>
      </c>
      <c r="B12494" s="110" t="s">
        <v>1361</v>
      </c>
      <c r="C12494" s="111" t="s">
        <v>769</v>
      </c>
      <c r="D12494" s="111" t="str">
        <f t="shared" ref="D12494:E12494" si="12492">TRIM(B12494)</f>
        <v>Ohio</v>
      </c>
      <c r="E12494" s="111" t="str">
        <f t="shared" si="12492"/>
        <v>Reading</v>
      </c>
    </row>
    <row r="12495" spans="1:5">
      <c r="A12495" s="3" t="s">
        <v>8899</v>
      </c>
      <c r="B12495" s="110" t="s">
        <v>1361</v>
      </c>
      <c r="C12495" s="111" t="s">
        <v>23395</v>
      </c>
      <c r="D12495" s="111" t="str">
        <f t="shared" ref="D12495:E12495" si="12493">TRIM(B12495)</f>
        <v>Ohio</v>
      </c>
      <c r="E12495" s="111" t="str">
        <f t="shared" si="12493"/>
        <v>Reedsville</v>
      </c>
    </row>
    <row r="12496" spans="1:5">
      <c r="A12496" s="3" t="s">
        <v>23396</v>
      </c>
      <c r="B12496" s="110" t="s">
        <v>1361</v>
      </c>
      <c r="C12496" s="111" t="s">
        <v>23397</v>
      </c>
      <c r="D12496" s="111" t="str">
        <f t="shared" ref="D12496:E12496" si="12494">TRIM(B12496)</f>
        <v>Ohio</v>
      </c>
      <c r="E12496" s="111" t="str">
        <f t="shared" si="12494"/>
        <v>Reynoldsburg</v>
      </c>
    </row>
    <row r="12497" spans="1:5">
      <c r="A12497" s="3" t="s">
        <v>23398</v>
      </c>
      <c r="B12497" s="110" t="s">
        <v>1361</v>
      </c>
      <c r="C12497" s="111" t="s">
        <v>23397</v>
      </c>
      <c r="D12497" s="111" t="str">
        <f t="shared" ref="D12497:E12497" si="12495">TRIM(B12497)</f>
        <v>Ohio</v>
      </c>
      <c r="E12497" s="111" t="str">
        <f t="shared" si="12495"/>
        <v>Reynoldsburg</v>
      </c>
    </row>
    <row r="12498" spans="1:5">
      <c r="A12498" s="3" t="s">
        <v>23399</v>
      </c>
      <c r="B12498" s="110" t="s">
        <v>1361</v>
      </c>
      <c r="C12498" s="111" t="s">
        <v>23397</v>
      </c>
      <c r="D12498" s="111" t="str">
        <f t="shared" ref="D12498:E12498" si="12496">TRIM(B12498)</f>
        <v>Ohio</v>
      </c>
      <c r="E12498" s="111" t="str">
        <f t="shared" si="12496"/>
        <v>Reynoldsburg</v>
      </c>
    </row>
    <row r="12499" spans="1:5">
      <c r="A12499" s="3" t="s">
        <v>23400</v>
      </c>
      <c r="B12499" s="110" t="s">
        <v>1361</v>
      </c>
      <c r="C12499" s="111" t="s">
        <v>23397</v>
      </c>
      <c r="D12499" s="111" t="str">
        <f t="shared" ref="D12499:E12499" si="12497">TRIM(B12499)</f>
        <v>Ohio</v>
      </c>
      <c r="E12499" s="111" t="str">
        <f t="shared" si="12497"/>
        <v>Reynoldsburg</v>
      </c>
    </row>
    <row r="12500" spans="1:5">
      <c r="A12500" s="3" t="s">
        <v>23401</v>
      </c>
      <c r="B12500" s="110" t="s">
        <v>1361</v>
      </c>
      <c r="C12500" s="111" t="s">
        <v>23397</v>
      </c>
      <c r="D12500" s="111" t="str">
        <f t="shared" ref="D12500:E12500" si="12498">TRIM(B12500)</f>
        <v>Ohio</v>
      </c>
      <c r="E12500" s="111" t="str">
        <f t="shared" si="12498"/>
        <v>Reynoldsburg</v>
      </c>
    </row>
    <row r="12501" spans="1:5">
      <c r="A12501" s="3" t="s">
        <v>16807</v>
      </c>
      <c r="B12501" s="110" t="s">
        <v>1361</v>
      </c>
      <c r="C12501" s="111" t="s">
        <v>12859</v>
      </c>
      <c r="D12501" s="111" t="str">
        <f t="shared" ref="D12501:E12501" si="12499">TRIM(B12501)</f>
        <v>Ohio</v>
      </c>
      <c r="E12501" s="111" t="str">
        <f t="shared" si="12499"/>
        <v>Richfield</v>
      </c>
    </row>
    <row r="12502" spans="1:5">
      <c r="A12502" s="3" t="s">
        <v>5088</v>
      </c>
      <c r="B12502" s="110" t="s">
        <v>1361</v>
      </c>
      <c r="C12502" s="111" t="s">
        <v>657</v>
      </c>
      <c r="D12502" s="111" t="str">
        <f t="shared" ref="D12502:E12502" si="12500">TRIM(B12502)</f>
        <v>Ohio</v>
      </c>
      <c r="E12502" s="111" t="str">
        <f t="shared" si="12500"/>
        <v>Richmond</v>
      </c>
    </row>
    <row r="12503" spans="1:5">
      <c r="A12503" s="3" t="s">
        <v>23402</v>
      </c>
      <c r="B12503" s="110" t="s">
        <v>1361</v>
      </c>
      <c r="C12503" s="113" t="s">
        <v>23403</v>
      </c>
      <c r="D12503" s="111" t="str">
        <f t="shared" ref="D12503:E12503" si="12501">TRIM(B12503)</f>
        <v>Ohio</v>
      </c>
      <c r="E12503" s="111" t="str">
        <f t="shared" si="12501"/>
        <v>Richmond Heights</v>
      </c>
    </row>
    <row r="12504" spans="1:5">
      <c r="A12504" s="3" t="s">
        <v>14704</v>
      </c>
      <c r="B12504" s="110" t="s">
        <v>1361</v>
      </c>
      <c r="C12504" s="111" t="s">
        <v>23404</v>
      </c>
      <c r="D12504" s="111" t="str">
        <f t="shared" ref="D12504:E12504" si="12502">TRIM(B12504)</f>
        <v>Ohio</v>
      </c>
      <c r="E12504" s="111" t="str">
        <f t="shared" si="12502"/>
        <v>Richwood</v>
      </c>
    </row>
    <row r="12505" spans="1:5">
      <c r="A12505" s="3" t="s">
        <v>23405</v>
      </c>
      <c r="B12505" s="110" t="s">
        <v>1361</v>
      </c>
      <c r="C12505" s="111" t="s">
        <v>5754</v>
      </c>
      <c r="D12505" s="111" t="str">
        <f t="shared" ref="D12505:E12505" si="12503">TRIM(B12505)</f>
        <v>Ohio</v>
      </c>
      <c r="E12505" s="111" t="str">
        <f t="shared" si="12503"/>
        <v>Ripley</v>
      </c>
    </row>
    <row r="12506" spans="1:5">
      <c r="A12506" s="3" t="s">
        <v>23406</v>
      </c>
      <c r="B12506" s="110" t="s">
        <v>1361</v>
      </c>
      <c r="C12506" s="111" t="s">
        <v>23407</v>
      </c>
      <c r="D12506" s="111" t="str">
        <f t="shared" ref="D12506:E12506" si="12504">TRIM(B12506)</f>
        <v>Ohio</v>
      </c>
      <c r="E12506" s="111" t="str">
        <f t="shared" si="12504"/>
        <v>Rittman</v>
      </c>
    </row>
    <row r="12507" spans="1:5">
      <c r="A12507" s="3" t="s">
        <v>23408</v>
      </c>
      <c r="B12507" s="110" t="s">
        <v>1361</v>
      </c>
      <c r="C12507" s="111" t="s">
        <v>23407</v>
      </c>
      <c r="D12507" s="111" t="str">
        <f t="shared" ref="D12507:E12507" si="12505">TRIM(B12507)</f>
        <v>Ohio</v>
      </c>
      <c r="E12507" s="111" t="str">
        <f t="shared" si="12505"/>
        <v>Rittman</v>
      </c>
    </row>
    <row r="12508" spans="1:5">
      <c r="A12508" s="3" t="s">
        <v>15893</v>
      </c>
      <c r="B12508" s="110" t="s">
        <v>1361</v>
      </c>
      <c r="C12508" s="111" t="s">
        <v>2134</v>
      </c>
      <c r="D12508" s="111" t="str">
        <f t="shared" ref="D12508:E12508" si="12506">TRIM(B12508)</f>
        <v>Ohio</v>
      </c>
      <c r="E12508" s="111" t="str">
        <f t="shared" si="12506"/>
        <v>Rockford</v>
      </c>
    </row>
    <row r="12509" spans="1:5">
      <c r="A12509" s="3" t="s">
        <v>22314</v>
      </c>
      <c r="B12509" s="110" t="s">
        <v>1361</v>
      </c>
      <c r="C12509" s="111" t="s">
        <v>12788</v>
      </c>
      <c r="D12509" s="111" t="str">
        <f t="shared" ref="D12509:E12509" si="12507">TRIM(B12509)</f>
        <v>Ohio</v>
      </c>
      <c r="E12509" s="111" t="str">
        <f t="shared" si="12507"/>
        <v>Rocky River</v>
      </c>
    </row>
    <row r="12510" spans="1:5">
      <c r="A12510" s="3" t="s">
        <v>23409</v>
      </c>
      <c r="B12510" s="110" t="s">
        <v>1361</v>
      </c>
      <c r="C12510" s="111" t="s">
        <v>23410</v>
      </c>
      <c r="D12510" s="111" t="str">
        <f t="shared" ref="D12510:E12510" si="12508">TRIM(B12510)</f>
        <v>Ohio</v>
      </c>
      <c r="E12510" s="111" t="str">
        <f t="shared" si="12508"/>
        <v>Rootstown</v>
      </c>
    </row>
    <row r="12511" spans="1:5">
      <c r="A12511" s="3" t="s">
        <v>23411</v>
      </c>
      <c r="B12511" s="110" t="s">
        <v>1361</v>
      </c>
      <c r="C12511" s="111" t="s">
        <v>23410</v>
      </c>
      <c r="D12511" s="111" t="str">
        <f t="shared" ref="D12511:E12511" si="12509">TRIM(B12511)</f>
        <v>Ohio</v>
      </c>
      <c r="E12511" s="111" t="str">
        <f t="shared" si="12509"/>
        <v>Rootstown</v>
      </c>
    </row>
    <row r="12512" spans="1:5">
      <c r="A12512" s="110" t="s">
        <v>23412</v>
      </c>
      <c r="B12512" s="110" t="s">
        <v>1361</v>
      </c>
      <c r="C12512" s="111" t="s">
        <v>6602</v>
      </c>
      <c r="D12512" s="111" t="str">
        <f t="shared" ref="D12512:E12512" si="12510">TRIM(B12512)</f>
        <v>Ohio</v>
      </c>
      <c r="E12512" s="111" t="str">
        <f t="shared" si="12510"/>
        <v>Roseville</v>
      </c>
    </row>
    <row r="12513" spans="1:5">
      <c r="A12513" s="3" t="s">
        <v>23413</v>
      </c>
      <c r="B12513" s="110" t="s">
        <v>1361</v>
      </c>
      <c r="C12513" s="111" t="s">
        <v>23414</v>
      </c>
      <c r="D12513" s="111" t="str">
        <f t="shared" ref="D12513:E12513" si="12511">TRIM(B12513)</f>
        <v>Ohio</v>
      </c>
      <c r="E12513" s="111" t="str">
        <f t="shared" si="12511"/>
        <v>Rossford</v>
      </c>
    </row>
    <row r="12514" spans="1:5">
      <c r="A12514" s="3" t="s">
        <v>23415</v>
      </c>
      <c r="B12514" s="110" t="s">
        <v>1361</v>
      </c>
      <c r="C12514" s="111" t="s">
        <v>23416</v>
      </c>
      <c r="D12514" s="111" t="str">
        <f t="shared" ref="D12514:E12514" si="12512">TRIM(B12514)</f>
        <v>Ohio</v>
      </c>
      <c r="E12514" s="111" t="str">
        <f t="shared" si="12512"/>
        <v>Russia</v>
      </c>
    </row>
    <row r="12515" spans="1:5">
      <c r="A12515" s="3" t="s">
        <v>23417</v>
      </c>
      <c r="B12515" s="110" t="s">
        <v>1361</v>
      </c>
      <c r="C12515" s="111" t="s">
        <v>23418</v>
      </c>
      <c r="D12515" s="111" t="str">
        <f t="shared" ref="D12515:E12515" si="12513">TRIM(B12515)</f>
        <v>Ohio</v>
      </c>
      <c r="E12515" s="111" t="str">
        <f t="shared" si="12513"/>
        <v>Sabina</v>
      </c>
    </row>
    <row r="12516" spans="1:5">
      <c r="A12516" s="3" t="s">
        <v>23419</v>
      </c>
      <c r="B12516" s="110" t="s">
        <v>1361</v>
      </c>
      <c r="C12516" s="111" t="s">
        <v>23420</v>
      </c>
      <c r="D12516" s="111" t="str">
        <f t="shared" ref="D12516:E12516" si="12514">TRIM(B12516)</f>
        <v>Ohio</v>
      </c>
      <c r="E12516" s="111" t="str">
        <f t="shared" si="12514"/>
        <v>Saint Bernard</v>
      </c>
    </row>
    <row r="12517" spans="1:5">
      <c r="A12517" s="3" t="s">
        <v>23421</v>
      </c>
      <c r="B12517" s="110" t="s">
        <v>1361</v>
      </c>
      <c r="C12517" s="111" t="s">
        <v>23422</v>
      </c>
      <c r="D12517" s="111" t="str">
        <f t="shared" ref="D12517:E12517" si="12515">TRIM(B12517)</f>
        <v>Ohio</v>
      </c>
      <c r="E12517" s="111" t="str">
        <f t="shared" si="12515"/>
        <v>Saint Clairsville</v>
      </c>
    </row>
    <row r="12518" spans="1:5">
      <c r="A12518" s="3" t="s">
        <v>23423</v>
      </c>
      <c r="B12518" s="110" t="s">
        <v>1361</v>
      </c>
      <c r="C12518" s="111" t="s">
        <v>23424</v>
      </c>
      <c r="D12518" s="111" t="str">
        <f t="shared" ref="D12518:E12518" si="12516">TRIM(B12518)</f>
        <v>Ohio</v>
      </c>
      <c r="E12518" s="111" t="str">
        <f t="shared" si="12516"/>
        <v>Saint Henry</v>
      </c>
    </row>
    <row r="12519" spans="1:5">
      <c r="A12519" s="3" t="s">
        <v>23425</v>
      </c>
      <c r="B12519" s="110" t="s">
        <v>1361</v>
      </c>
      <c r="C12519" s="111" t="s">
        <v>23426</v>
      </c>
      <c r="D12519" s="111" t="str">
        <f t="shared" ref="D12519:E12519" si="12517">TRIM(B12519)</f>
        <v>Ohio</v>
      </c>
      <c r="E12519" s="111" t="str">
        <f t="shared" si="12517"/>
        <v>Saint Marys</v>
      </c>
    </row>
    <row r="12520" spans="1:5">
      <c r="A12520" s="3" t="s">
        <v>22185</v>
      </c>
      <c r="B12520" s="110" t="s">
        <v>1361</v>
      </c>
      <c r="C12520" s="111" t="s">
        <v>23427</v>
      </c>
      <c r="D12520" s="111" t="str">
        <f t="shared" ref="D12520:E12520" si="12518">TRIM(B12520)</f>
        <v>Ohio</v>
      </c>
      <c r="E12520" s="111" t="str">
        <f t="shared" si="12518"/>
        <v>Saint Paris</v>
      </c>
    </row>
    <row r="12521" spans="1:5">
      <c r="A12521" s="3" t="s">
        <v>4178</v>
      </c>
      <c r="B12521" s="110" t="s">
        <v>1361</v>
      </c>
      <c r="C12521" s="111" t="s">
        <v>451</v>
      </c>
      <c r="D12521" s="111" t="str">
        <f t="shared" ref="D12521:E12521" si="12519">TRIM(B12521)</f>
        <v>Ohio</v>
      </c>
      <c r="E12521" s="111" t="str">
        <f t="shared" si="12519"/>
        <v>Salem</v>
      </c>
    </row>
    <row r="12522" spans="1:5">
      <c r="A12522" s="3" t="s">
        <v>23428</v>
      </c>
      <c r="B12522" s="110" t="s">
        <v>1361</v>
      </c>
      <c r="C12522" s="111" t="s">
        <v>23429</v>
      </c>
      <c r="D12522" s="111" t="str">
        <f t="shared" ref="D12522:E12522" si="12520">TRIM(B12522)</f>
        <v>Ohio</v>
      </c>
      <c r="E12522" s="111" t="str">
        <f t="shared" si="12520"/>
        <v>Salineville</v>
      </c>
    </row>
    <row r="12523" spans="1:5">
      <c r="A12523" s="3" t="s">
        <v>23430</v>
      </c>
      <c r="B12523" s="110" t="s">
        <v>1361</v>
      </c>
      <c r="C12523" s="111" t="s">
        <v>23429</v>
      </c>
      <c r="D12523" s="111" t="str">
        <f t="shared" ref="D12523:E12523" si="12521">TRIM(B12523)</f>
        <v>Ohio</v>
      </c>
      <c r="E12523" s="111" t="str">
        <f t="shared" si="12521"/>
        <v>Salineville</v>
      </c>
    </row>
    <row r="12524" spans="1:5">
      <c r="A12524" s="3" t="s">
        <v>23431</v>
      </c>
      <c r="B12524" s="110" t="s">
        <v>1361</v>
      </c>
      <c r="C12524" s="111" t="s">
        <v>6706</v>
      </c>
      <c r="D12524" s="111" t="str">
        <f t="shared" ref="D12524:E12524" si="12522">TRIM(B12524)</f>
        <v>Ohio</v>
      </c>
      <c r="E12524" s="111" t="str">
        <f t="shared" si="12522"/>
        <v>Sandusky</v>
      </c>
    </row>
    <row r="12525" spans="1:5">
      <c r="A12525" s="3" t="s">
        <v>23432</v>
      </c>
      <c r="B12525" s="110" t="s">
        <v>1361</v>
      </c>
      <c r="C12525" s="111" t="s">
        <v>6706</v>
      </c>
      <c r="D12525" s="111" t="str">
        <f t="shared" ref="D12525:E12525" si="12523">TRIM(B12525)</f>
        <v>Ohio</v>
      </c>
      <c r="E12525" s="111" t="str">
        <f t="shared" si="12523"/>
        <v>Sandusky</v>
      </c>
    </row>
    <row r="12526" spans="1:5">
      <c r="A12526" s="3" t="s">
        <v>14491</v>
      </c>
      <c r="B12526" s="110" t="s">
        <v>1361</v>
      </c>
      <c r="C12526" s="111" t="s">
        <v>23433</v>
      </c>
      <c r="D12526" s="111" t="str">
        <f t="shared" ref="D12526:E12526" si="12524">TRIM(B12526)</f>
        <v>Ohio</v>
      </c>
      <c r="E12526" s="111" t="str">
        <f t="shared" si="12524"/>
        <v>Sarahsville</v>
      </c>
    </row>
    <row r="12527" spans="1:5">
      <c r="A12527" s="3" t="s">
        <v>23434</v>
      </c>
      <c r="B12527" s="110" t="s">
        <v>1361</v>
      </c>
      <c r="C12527" s="111" t="s">
        <v>23435</v>
      </c>
      <c r="D12527" s="111" t="str">
        <f t="shared" ref="D12527:E12527" si="12525">TRIM(B12527)</f>
        <v>Ohio</v>
      </c>
      <c r="E12527" s="111" t="str">
        <f t="shared" si="12525"/>
        <v>Seaman</v>
      </c>
    </row>
    <row r="12528" spans="1:5">
      <c r="A12528" s="3" t="s">
        <v>22872</v>
      </c>
      <c r="B12528" s="110" t="s">
        <v>1361</v>
      </c>
      <c r="C12528" s="111" t="s">
        <v>4424</v>
      </c>
      <c r="D12528" s="111" t="str">
        <f t="shared" ref="D12528:E12528" si="12526">TRIM(B12528)</f>
        <v>Ohio</v>
      </c>
      <c r="E12528" s="111" t="str">
        <f t="shared" si="12526"/>
        <v>Sebring</v>
      </c>
    </row>
    <row r="12529" spans="1:5">
      <c r="A12529" s="3" t="s">
        <v>23436</v>
      </c>
      <c r="B12529" s="110" t="s">
        <v>1361</v>
      </c>
      <c r="C12529" s="111" t="s">
        <v>23437</v>
      </c>
      <c r="D12529" s="111" t="str">
        <f t="shared" ref="D12529:E12529" si="12527">TRIM(B12529)</f>
        <v>Ohio</v>
      </c>
      <c r="E12529" s="111" t="str">
        <f t="shared" si="12527"/>
        <v>Shadyside</v>
      </c>
    </row>
    <row r="12530" spans="1:5">
      <c r="A12530" s="3" t="s">
        <v>23438</v>
      </c>
      <c r="B12530" s="110" t="s">
        <v>1361</v>
      </c>
      <c r="C12530" s="111" t="s">
        <v>1142</v>
      </c>
      <c r="D12530" s="111" t="str">
        <f t="shared" ref="D12530:E12530" si="12528">TRIM(B12530)</f>
        <v>Ohio</v>
      </c>
      <c r="E12530" s="111" t="str">
        <f t="shared" si="12528"/>
        <v>Shaker Heights</v>
      </c>
    </row>
    <row r="12531" spans="1:5">
      <c r="A12531" s="3" t="s">
        <v>23439</v>
      </c>
      <c r="B12531" s="110" t="s">
        <v>1361</v>
      </c>
      <c r="C12531" s="111" t="s">
        <v>23440</v>
      </c>
      <c r="D12531" s="111" t="str">
        <f t="shared" ref="D12531:E12531" si="12529">TRIM(B12531)</f>
        <v>Ohio</v>
      </c>
      <c r="E12531" s="111" t="str">
        <f t="shared" si="12529"/>
        <v>Sheffield Village</v>
      </c>
    </row>
    <row r="12532" spans="1:5">
      <c r="A12532" s="3" t="s">
        <v>17593</v>
      </c>
      <c r="B12532" s="110" t="s">
        <v>1361</v>
      </c>
      <c r="C12532" s="111" t="s">
        <v>6109</v>
      </c>
      <c r="D12532" s="111" t="str">
        <f t="shared" ref="D12532:E12532" si="12530">TRIM(B12532)</f>
        <v>Ohio</v>
      </c>
      <c r="E12532" s="111" t="str">
        <f t="shared" si="12530"/>
        <v>Shelby</v>
      </c>
    </row>
    <row r="12533" spans="1:5">
      <c r="A12533" s="3" t="s">
        <v>1663</v>
      </c>
      <c r="B12533" s="110" t="s">
        <v>1361</v>
      </c>
      <c r="C12533" s="111" t="s">
        <v>4191</v>
      </c>
      <c r="D12533" s="111" t="str">
        <f t="shared" ref="D12533:E12533" si="12531">TRIM(B12533)</f>
        <v>Ohio</v>
      </c>
      <c r="E12533" s="111" t="str">
        <f t="shared" si="12531"/>
        <v>Sherwood</v>
      </c>
    </row>
    <row r="12534" spans="1:5">
      <c r="A12534" s="3" t="s">
        <v>23441</v>
      </c>
      <c r="B12534" s="110" t="s">
        <v>1361</v>
      </c>
      <c r="C12534" s="111" t="s">
        <v>15051</v>
      </c>
      <c r="D12534" s="111" t="str">
        <f t="shared" ref="D12534:E12534" si="12532">TRIM(B12534)</f>
        <v>Ohio</v>
      </c>
      <c r="E12534" s="111" t="str">
        <f t="shared" si="12532"/>
        <v>Sidney</v>
      </c>
    </row>
    <row r="12535" spans="1:5">
      <c r="A12535" s="3" t="s">
        <v>15050</v>
      </c>
      <c r="B12535" s="110" t="s">
        <v>1361</v>
      </c>
      <c r="C12535" s="111" t="s">
        <v>15051</v>
      </c>
      <c r="D12535" s="111" t="str">
        <f t="shared" ref="D12535:E12535" si="12533">TRIM(B12535)</f>
        <v>Ohio</v>
      </c>
      <c r="E12535" s="111" t="str">
        <f t="shared" si="12533"/>
        <v>Sidney</v>
      </c>
    </row>
    <row r="12536" spans="1:5">
      <c r="A12536" s="110" t="s">
        <v>23442</v>
      </c>
      <c r="B12536" s="110" t="s">
        <v>1361</v>
      </c>
      <c r="C12536" s="111" t="s">
        <v>19096</v>
      </c>
      <c r="D12536" s="111" t="str">
        <f t="shared" ref="D12536:E12536" si="12534">TRIM(B12536)</f>
        <v>Ohio</v>
      </c>
      <c r="E12536" s="111" t="str">
        <f t="shared" si="12534"/>
        <v>Smithville</v>
      </c>
    </row>
    <row r="12537" spans="1:5">
      <c r="A12537" s="3" t="s">
        <v>19095</v>
      </c>
      <c r="B12537" s="110" t="s">
        <v>1361</v>
      </c>
      <c r="C12537" s="111" t="s">
        <v>19096</v>
      </c>
      <c r="D12537" s="111" t="str">
        <f t="shared" ref="D12537:E12537" si="12535">TRIM(B12537)</f>
        <v>Ohio</v>
      </c>
      <c r="E12537" s="111" t="str">
        <f t="shared" si="12535"/>
        <v>Smithville</v>
      </c>
    </row>
    <row r="12538" spans="1:5">
      <c r="A12538" s="110" t="s">
        <v>23443</v>
      </c>
      <c r="B12538" s="110" t="s">
        <v>1361</v>
      </c>
      <c r="C12538" s="111" t="s">
        <v>6696</v>
      </c>
      <c r="D12538" s="111" t="str">
        <f t="shared" ref="D12538:E12538" si="12536">TRIM(B12538)</f>
        <v>Ohio</v>
      </c>
      <c r="E12538" s="111" t="str">
        <f t="shared" si="12536"/>
        <v>Solon</v>
      </c>
    </row>
    <row r="12539" spans="1:5">
      <c r="A12539" s="3" t="s">
        <v>15060</v>
      </c>
      <c r="B12539" s="110" t="s">
        <v>1361</v>
      </c>
      <c r="C12539" s="111" t="s">
        <v>6696</v>
      </c>
      <c r="D12539" s="111" t="str">
        <f t="shared" ref="D12539:E12539" si="12537">TRIM(B12539)</f>
        <v>Ohio</v>
      </c>
      <c r="E12539" s="111" t="str">
        <f t="shared" si="12537"/>
        <v>Solon</v>
      </c>
    </row>
    <row r="12540" spans="1:5">
      <c r="A12540" s="3" t="s">
        <v>23444</v>
      </c>
      <c r="B12540" s="110" t="s">
        <v>1361</v>
      </c>
      <c r="C12540" s="113" t="s">
        <v>23445</v>
      </c>
      <c r="D12540" s="111" t="str">
        <f t="shared" ref="D12540:E12540" si="12538">TRIM(B12540)</f>
        <v>Ohio</v>
      </c>
      <c r="E12540" s="111" t="str">
        <f t="shared" si="12538"/>
        <v>South Charleston</v>
      </c>
    </row>
    <row r="12541" spans="1:5">
      <c r="A12541" s="3" t="s">
        <v>22017</v>
      </c>
      <c r="B12541" s="110" t="s">
        <v>1361</v>
      </c>
      <c r="C12541" s="111" t="s">
        <v>23446</v>
      </c>
      <c r="D12541" s="111" t="str">
        <f t="shared" ref="D12541:E12541" si="12539">TRIM(B12541)</f>
        <v>Ohio</v>
      </c>
      <c r="E12541" s="111" t="str">
        <f t="shared" si="12539"/>
        <v>South Point</v>
      </c>
    </row>
    <row r="12542" spans="1:5">
      <c r="A12542" s="3" t="s">
        <v>23447</v>
      </c>
      <c r="B12542" s="110" t="s">
        <v>1361</v>
      </c>
      <c r="C12542" s="111" t="s">
        <v>23448</v>
      </c>
      <c r="D12542" s="111" t="str">
        <f t="shared" ref="D12542:E12542" si="12540">TRIM(B12542)</f>
        <v>Ohio</v>
      </c>
      <c r="E12542" s="111" t="str">
        <f t="shared" si="12540"/>
        <v>South Webster</v>
      </c>
    </row>
    <row r="12543" spans="1:5">
      <c r="A12543" s="3" t="s">
        <v>23449</v>
      </c>
      <c r="B12543" s="110" t="s">
        <v>1361</v>
      </c>
      <c r="C12543" s="111" t="s">
        <v>8677</v>
      </c>
      <c r="D12543" s="111" t="str">
        <f t="shared" ref="D12543:E12543" si="12541">TRIM(B12543)</f>
        <v>Ohio</v>
      </c>
      <c r="E12543" s="111" t="str">
        <f t="shared" si="12541"/>
        <v>Southington</v>
      </c>
    </row>
    <row r="12544" spans="1:5">
      <c r="A12544" s="3" t="s">
        <v>23450</v>
      </c>
      <c r="B12544" s="110" t="s">
        <v>1361</v>
      </c>
      <c r="C12544" s="111" t="s">
        <v>23451</v>
      </c>
      <c r="D12544" s="111" t="str">
        <f t="shared" ref="D12544:E12544" si="12542">TRIM(B12544)</f>
        <v>Ohio</v>
      </c>
      <c r="E12544" s="111" t="str">
        <f t="shared" si="12542"/>
        <v>Spencerville</v>
      </c>
    </row>
    <row r="12545" spans="1:5">
      <c r="A12545" s="3" t="s">
        <v>23452</v>
      </c>
      <c r="B12545" s="110" t="s">
        <v>1361</v>
      </c>
      <c r="C12545" s="111" t="s">
        <v>12881</v>
      </c>
      <c r="D12545" s="111" t="str">
        <f t="shared" ref="D12545:E12545" si="12543">TRIM(B12545)</f>
        <v>Ohio</v>
      </c>
      <c r="E12545" s="111" t="str">
        <f t="shared" si="12543"/>
        <v>Springboro</v>
      </c>
    </row>
    <row r="12546" spans="1:5">
      <c r="A12546" s="3" t="s">
        <v>23453</v>
      </c>
      <c r="B12546" s="110" t="s">
        <v>1361</v>
      </c>
      <c r="C12546" s="111" t="s">
        <v>416</v>
      </c>
      <c r="D12546" s="111" t="str">
        <f t="shared" ref="D12546:E12546" si="12544">TRIM(B12546)</f>
        <v>Ohio</v>
      </c>
      <c r="E12546" s="111" t="str">
        <f t="shared" si="12544"/>
        <v>Springfield</v>
      </c>
    </row>
    <row r="12547" spans="1:5">
      <c r="A12547" s="3" t="s">
        <v>23454</v>
      </c>
      <c r="B12547" s="110" t="s">
        <v>1361</v>
      </c>
      <c r="C12547" s="111" t="s">
        <v>416</v>
      </c>
      <c r="D12547" s="111" t="str">
        <f t="shared" ref="D12547:E12547" si="12545">TRIM(B12547)</f>
        <v>Ohio</v>
      </c>
      <c r="E12547" s="111" t="str">
        <f t="shared" si="12545"/>
        <v>Springfield</v>
      </c>
    </row>
    <row r="12548" spans="1:5">
      <c r="A12548" s="3" t="s">
        <v>23455</v>
      </c>
      <c r="B12548" s="110" t="s">
        <v>1361</v>
      </c>
      <c r="C12548" s="111" t="s">
        <v>416</v>
      </c>
      <c r="D12548" s="111" t="str">
        <f t="shared" ref="D12548:E12548" si="12546">TRIM(B12548)</f>
        <v>Ohio</v>
      </c>
      <c r="E12548" s="111" t="str">
        <f t="shared" si="12546"/>
        <v>Springfield</v>
      </c>
    </row>
    <row r="12549" spans="1:5">
      <c r="A12549" s="3" t="s">
        <v>23456</v>
      </c>
      <c r="B12549" s="110" t="s">
        <v>1361</v>
      </c>
      <c r="C12549" s="111" t="s">
        <v>416</v>
      </c>
      <c r="D12549" s="111" t="str">
        <f t="shared" ref="D12549:E12549" si="12547">TRIM(B12549)</f>
        <v>Ohio</v>
      </c>
      <c r="E12549" s="111" t="str">
        <f t="shared" si="12547"/>
        <v>Springfield</v>
      </c>
    </row>
    <row r="12550" spans="1:5">
      <c r="A12550" s="3" t="s">
        <v>14338</v>
      </c>
      <c r="B12550" s="110" t="s">
        <v>1361</v>
      </c>
      <c r="C12550" s="111" t="s">
        <v>416</v>
      </c>
      <c r="D12550" s="111" t="str">
        <f t="shared" ref="D12550:E12550" si="12548">TRIM(B12550)</f>
        <v>Ohio</v>
      </c>
      <c r="E12550" s="111" t="str">
        <f t="shared" si="12548"/>
        <v>Springfield</v>
      </c>
    </row>
    <row r="12551" spans="1:5">
      <c r="A12551" s="3" t="s">
        <v>23457</v>
      </c>
      <c r="B12551" s="110" t="s">
        <v>1361</v>
      </c>
      <c r="C12551" s="111" t="s">
        <v>416</v>
      </c>
      <c r="D12551" s="111" t="str">
        <f t="shared" ref="D12551:E12551" si="12549">TRIM(B12551)</f>
        <v>Ohio</v>
      </c>
      <c r="E12551" s="111" t="str">
        <f t="shared" si="12549"/>
        <v>Springfield</v>
      </c>
    </row>
    <row r="12552" spans="1:5">
      <c r="A12552" s="3" t="s">
        <v>14054</v>
      </c>
      <c r="B12552" s="110" t="s">
        <v>1361</v>
      </c>
      <c r="C12552" s="111" t="s">
        <v>416</v>
      </c>
      <c r="D12552" s="111" t="str">
        <f t="shared" ref="D12552:E12552" si="12550">TRIM(B12552)</f>
        <v>Ohio</v>
      </c>
      <c r="E12552" s="111" t="str">
        <f t="shared" si="12550"/>
        <v>Springfield</v>
      </c>
    </row>
    <row r="12553" spans="1:5">
      <c r="A12553" s="3" t="s">
        <v>13829</v>
      </c>
      <c r="B12553" s="110" t="s">
        <v>1361</v>
      </c>
      <c r="C12553" s="111" t="s">
        <v>416</v>
      </c>
      <c r="D12553" s="111" t="str">
        <f t="shared" ref="D12553:E12553" si="12551">TRIM(B12553)</f>
        <v>Ohio</v>
      </c>
      <c r="E12553" s="111" t="str">
        <f t="shared" si="12551"/>
        <v>Springfield</v>
      </c>
    </row>
    <row r="12554" spans="1:5">
      <c r="A12554" s="3" t="s">
        <v>23458</v>
      </c>
      <c r="B12554" s="110" t="s">
        <v>1361</v>
      </c>
      <c r="C12554" s="111" t="s">
        <v>23459</v>
      </c>
      <c r="D12554" s="111" t="str">
        <f t="shared" ref="D12554:E12554" si="12552">TRIM(B12554)</f>
        <v>Ohio</v>
      </c>
      <c r="E12554" s="111" t="str">
        <f t="shared" si="12552"/>
        <v>Steubenville</v>
      </c>
    </row>
    <row r="12555" spans="1:5">
      <c r="A12555" s="3" t="s">
        <v>23460</v>
      </c>
      <c r="B12555" s="110" t="s">
        <v>1361</v>
      </c>
      <c r="C12555" s="111" t="s">
        <v>23461</v>
      </c>
      <c r="D12555" s="111" t="str">
        <f t="shared" ref="D12555:E12555" si="12553">TRIM(B12555)</f>
        <v>Ohio</v>
      </c>
      <c r="E12555" s="111" t="str">
        <f t="shared" si="12553"/>
        <v>Stewart</v>
      </c>
    </row>
    <row r="12556" spans="1:5">
      <c r="A12556" s="3" t="s">
        <v>23462</v>
      </c>
      <c r="B12556" s="110" t="s">
        <v>1361</v>
      </c>
      <c r="C12556" s="111" t="s">
        <v>571</v>
      </c>
      <c r="D12556" s="111" t="str">
        <f t="shared" ref="D12556:E12556" si="12554">TRIM(B12556)</f>
        <v>Ohio</v>
      </c>
      <c r="E12556" s="111" t="str">
        <f t="shared" si="12554"/>
        <v>Stow</v>
      </c>
    </row>
    <row r="12557" spans="1:5">
      <c r="A12557" s="3" t="s">
        <v>23463</v>
      </c>
      <c r="B12557" s="110" t="s">
        <v>1361</v>
      </c>
      <c r="C12557" s="111" t="s">
        <v>8251</v>
      </c>
      <c r="D12557" s="111" t="str">
        <f t="shared" ref="D12557:E12557" si="12555">TRIM(B12557)</f>
        <v>Ohio</v>
      </c>
      <c r="E12557" s="111" t="str">
        <f t="shared" si="12555"/>
        <v>Strasburg</v>
      </c>
    </row>
    <row r="12558" spans="1:5">
      <c r="A12558" s="3" t="s">
        <v>23464</v>
      </c>
      <c r="B12558" s="110" t="s">
        <v>1361</v>
      </c>
      <c r="C12558" s="111" t="s">
        <v>23465</v>
      </c>
      <c r="D12558" s="111" t="str">
        <f t="shared" ref="D12558:E12558" si="12556">TRIM(B12558)</f>
        <v>Ohio</v>
      </c>
      <c r="E12558" s="111" t="str">
        <f t="shared" si="12556"/>
        <v>Streetsboro</v>
      </c>
    </row>
    <row r="12559" spans="1:5">
      <c r="A12559" s="3" t="s">
        <v>23466</v>
      </c>
      <c r="B12559" s="110" t="s">
        <v>1361</v>
      </c>
      <c r="C12559" s="111" t="s">
        <v>23467</v>
      </c>
      <c r="D12559" s="111" t="str">
        <f t="shared" ref="D12559:E12559" si="12557">TRIM(B12559)</f>
        <v>Ohio</v>
      </c>
      <c r="E12559" s="111" t="str">
        <f t="shared" si="12557"/>
        <v>Strongsville</v>
      </c>
    </row>
    <row r="12560" spans="1:5">
      <c r="A12560" s="3" t="s">
        <v>23468</v>
      </c>
      <c r="B12560" s="110" t="s">
        <v>1361</v>
      </c>
      <c r="C12560" s="111" t="s">
        <v>23469</v>
      </c>
      <c r="D12560" s="111" t="str">
        <f t="shared" ref="D12560:E12560" si="12558">TRIM(B12560)</f>
        <v>Ohio</v>
      </c>
      <c r="E12560" s="111" t="str">
        <f t="shared" si="12558"/>
        <v>Struthers</v>
      </c>
    </row>
    <row r="12561" spans="1:5">
      <c r="A12561" s="3" t="s">
        <v>23470</v>
      </c>
      <c r="B12561" s="110" t="s">
        <v>1361</v>
      </c>
      <c r="C12561" s="111" t="s">
        <v>23471</v>
      </c>
      <c r="D12561" s="111" t="str">
        <f t="shared" ref="D12561:E12561" si="12559">TRIM(B12561)</f>
        <v>Ohio</v>
      </c>
      <c r="E12561" s="111" t="str">
        <f t="shared" si="12559"/>
        <v>Stryker</v>
      </c>
    </row>
    <row r="12562" spans="1:5">
      <c r="A12562" s="3" t="s">
        <v>23472</v>
      </c>
      <c r="B12562" s="110" t="s">
        <v>1361</v>
      </c>
      <c r="C12562" s="111" t="s">
        <v>23473</v>
      </c>
      <c r="D12562" s="111" t="str">
        <f t="shared" ref="D12562:E12562" si="12560">TRIM(B12562)</f>
        <v>Ohio</v>
      </c>
      <c r="E12562" s="111" t="str">
        <f t="shared" si="12560"/>
        <v>Sugar Grove</v>
      </c>
    </row>
    <row r="12563" spans="1:5">
      <c r="A12563" s="3" t="s">
        <v>23474</v>
      </c>
      <c r="B12563" s="110" t="s">
        <v>1361</v>
      </c>
      <c r="C12563" s="111" t="s">
        <v>23475</v>
      </c>
      <c r="D12563" s="111" t="str">
        <f t="shared" ref="D12563:E12563" si="12561">TRIM(B12563)</f>
        <v>Ohio</v>
      </c>
      <c r="E12563" s="111" t="str">
        <f t="shared" si="12561"/>
        <v>Sugarcreek</v>
      </c>
    </row>
    <row r="12564" spans="1:5">
      <c r="A12564" s="3" t="s">
        <v>23476</v>
      </c>
      <c r="B12564" s="110" t="s">
        <v>1361</v>
      </c>
      <c r="C12564" s="111" t="s">
        <v>13876</v>
      </c>
      <c r="D12564" s="111" t="str">
        <f t="shared" ref="D12564:E12564" si="12562">TRIM(B12564)</f>
        <v>Ohio</v>
      </c>
      <c r="E12564" s="111" t="str">
        <f t="shared" si="12562"/>
        <v>Sullivan</v>
      </c>
    </row>
    <row r="12565" spans="1:5">
      <c r="A12565" s="3" t="s">
        <v>23477</v>
      </c>
      <c r="B12565" s="110" t="s">
        <v>1361</v>
      </c>
      <c r="C12565" s="111" t="s">
        <v>23478</v>
      </c>
      <c r="D12565" s="111" t="str">
        <f t="shared" ref="D12565:E12565" si="12563">TRIM(B12565)</f>
        <v>Ohio</v>
      </c>
      <c r="E12565" s="111" t="str">
        <f t="shared" si="12563"/>
        <v>Sunbury</v>
      </c>
    </row>
    <row r="12566" spans="1:5">
      <c r="A12566" s="3" t="s">
        <v>23479</v>
      </c>
      <c r="B12566" s="110" t="s">
        <v>1361</v>
      </c>
      <c r="C12566" s="111" t="s">
        <v>23480</v>
      </c>
      <c r="D12566" s="111" t="str">
        <f t="shared" ref="D12566:E12566" si="12564">TRIM(B12566)</f>
        <v>Ohio</v>
      </c>
      <c r="E12566" s="111" t="str">
        <f t="shared" si="12564"/>
        <v>Swanton</v>
      </c>
    </row>
    <row r="12567" spans="1:5">
      <c r="A12567" s="3" t="s">
        <v>23481</v>
      </c>
      <c r="B12567" s="110" t="s">
        <v>1361</v>
      </c>
      <c r="C12567" s="111" t="s">
        <v>13883</v>
      </c>
      <c r="D12567" s="111" t="str">
        <f t="shared" ref="D12567:E12567" si="12565">TRIM(B12567)</f>
        <v>Ohio</v>
      </c>
      <c r="E12567" s="111" t="str">
        <f t="shared" si="12565"/>
        <v>Sycamore</v>
      </c>
    </row>
    <row r="12568" spans="1:5">
      <c r="A12568" s="3" t="s">
        <v>23482</v>
      </c>
      <c r="B12568" s="110" t="s">
        <v>1361</v>
      </c>
      <c r="C12568" s="111" t="s">
        <v>11332</v>
      </c>
      <c r="D12568" s="111" t="str">
        <f t="shared" ref="D12568:E12568" si="12566">TRIM(B12568)</f>
        <v>Ohio</v>
      </c>
      <c r="E12568" s="111" t="str">
        <f t="shared" si="12566"/>
        <v>Sylvania</v>
      </c>
    </row>
    <row r="12569" spans="1:5">
      <c r="A12569" s="3" t="s">
        <v>23483</v>
      </c>
      <c r="B12569" s="110" t="s">
        <v>1361</v>
      </c>
      <c r="C12569" s="111" t="s">
        <v>11332</v>
      </c>
      <c r="D12569" s="111" t="str">
        <f t="shared" ref="D12569:E12569" si="12567">TRIM(B12569)</f>
        <v>Ohio</v>
      </c>
      <c r="E12569" s="111" t="str">
        <f t="shared" si="12567"/>
        <v>Sylvania</v>
      </c>
    </row>
    <row r="12570" spans="1:5">
      <c r="A12570" s="3" t="s">
        <v>23484</v>
      </c>
      <c r="B12570" s="110" t="s">
        <v>1361</v>
      </c>
      <c r="C12570" s="111" t="s">
        <v>23485</v>
      </c>
      <c r="D12570" s="111" t="str">
        <f t="shared" ref="D12570:E12570" si="12568">TRIM(B12570)</f>
        <v>Ohio</v>
      </c>
      <c r="E12570" s="111" t="str">
        <f t="shared" si="12568"/>
        <v>Tallmadge</v>
      </c>
    </row>
    <row r="12571" spans="1:5">
      <c r="A12571" s="3" t="s">
        <v>1520</v>
      </c>
      <c r="B12571" s="110" t="s">
        <v>1361</v>
      </c>
      <c r="C12571" s="111" t="s">
        <v>14108</v>
      </c>
      <c r="D12571" s="111" t="str">
        <f t="shared" ref="D12571:E12571" si="12569">TRIM(B12571)</f>
        <v>Ohio</v>
      </c>
      <c r="E12571" s="111" t="str">
        <f t="shared" si="12569"/>
        <v>The Plains</v>
      </c>
    </row>
    <row r="12572" spans="1:5">
      <c r="A12572" s="3" t="s">
        <v>4186</v>
      </c>
      <c r="B12572" s="110" t="s">
        <v>1361</v>
      </c>
      <c r="C12572" s="111" t="s">
        <v>23486</v>
      </c>
      <c r="D12572" s="111" t="str">
        <f t="shared" ref="D12572:E12572" si="12570">TRIM(B12572)</f>
        <v>Ohio</v>
      </c>
      <c r="E12572" s="111" t="str">
        <f t="shared" si="12570"/>
        <v>Thornville</v>
      </c>
    </row>
    <row r="12573" spans="1:5">
      <c r="A12573" s="3" t="s">
        <v>23487</v>
      </c>
      <c r="B12573" s="110" t="s">
        <v>1361</v>
      </c>
      <c r="C12573" s="111" t="s">
        <v>15085</v>
      </c>
      <c r="D12573" s="111" t="str">
        <f t="shared" ref="D12573:E12573" si="12571">TRIM(B12573)</f>
        <v>Ohio</v>
      </c>
      <c r="E12573" s="111" t="str">
        <f t="shared" si="12571"/>
        <v>Tiffin</v>
      </c>
    </row>
    <row r="12574" spans="1:5">
      <c r="A12574" s="3" t="s">
        <v>23488</v>
      </c>
      <c r="B12574" s="110" t="s">
        <v>1361</v>
      </c>
      <c r="C12574" s="111" t="s">
        <v>15085</v>
      </c>
      <c r="D12574" s="111" t="str">
        <f t="shared" ref="D12574:E12574" si="12572">TRIM(B12574)</f>
        <v>Ohio</v>
      </c>
      <c r="E12574" s="111" t="str">
        <f t="shared" si="12572"/>
        <v>Tiffin</v>
      </c>
    </row>
    <row r="12575" spans="1:5">
      <c r="A12575" s="3" t="s">
        <v>23489</v>
      </c>
      <c r="B12575" s="110" t="s">
        <v>1361</v>
      </c>
      <c r="C12575" s="111" t="s">
        <v>15085</v>
      </c>
      <c r="D12575" s="111" t="str">
        <f t="shared" ref="D12575:E12575" si="12573">TRIM(B12575)</f>
        <v>Ohio</v>
      </c>
      <c r="E12575" s="111" t="str">
        <f t="shared" si="12573"/>
        <v>Tiffin</v>
      </c>
    </row>
    <row r="12576" spans="1:5">
      <c r="A12576" s="3" t="s">
        <v>8339</v>
      </c>
      <c r="B12576" s="110" t="s">
        <v>1361</v>
      </c>
      <c r="C12576" s="111" t="s">
        <v>23490</v>
      </c>
      <c r="D12576" s="111" t="str">
        <f t="shared" ref="D12576:E12576" si="12574">TRIM(B12576)</f>
        <v>Ohio</v>
      </c>
      <c r="E12576" s="111" t="str">
        <f t="shared" si="12574"/>
        <v>Tipp City</v>
      </c>
    </row>
    <row r="12577" spans="1:5">
      <c r="A12577" s="3" t="s">
        <v>23491</v>
      </c>
      <c r="B12577" s="110" t="s">
        <v>1361</v>
      </c>
      <c r="C12577" s="111" t="s">
        <v>23490</v>
      </c>
      <c r="D12577" s="111" t="str">
        <f t="shared" ref="D12577:E12577" si="12575">TRIM(B12577)</f>
        <v>Ohio</v>
      </c>
      <c r="E12577" s="111" t="str">
        <f t="shared" si="12575"/>
        <v>Tipp City</v>
      </c>
    </row>
    <row r="12578" spans="1:5">
      <c r="A12578" s="3" t="s">
        <v>23492</v>
      </c>
      <c r="B12578" s="110" t="s">
        <v>1361</v>
      </c>
      <c r="C12578" s="111" t="s">
        <v>309</v>
      </c>
      <c r="D12578" s="111" t="str">
        <f t="shared" ref="D12578:E12578" si="12576">TRIM(B12578)</f>
        <v>Ohio</v>
      </c>
      <c r="E12578" s="111" t="str">
        <f t="shared" si="12576"/>
        <v>Toledo</v>
      </c>
    </row>
    <row r="12579" spans="1:5">
      <c r="A12579" s="3" t="s">
        <v>23493</v>
      </c>
      <c r="B12579" s="110" t="s">
        <v>1361</v>
      </c>
      <c r="C12579" s="111" t="s">
        <v>309</v>
      </c>
      <c r="D12579" s="111" t="str">
        <f t="shared" ref="D12579:E12579" si="12577">TRIM(B12579)</f>
        <v>Ohio</v>
      </c>
      <c r="E12579" s="111" t="str">
        <f t="shared" si="12577"/>
        <v>Toledo</v>
      </c>
    </row>
    <row r="12580" spans="1:5">
      <c r="A12580" s="3" t="s">
        <v>23494</v>
      </c>
      <c r="B12580" s="110" t="s">
        <v>1361</v>
      </c>
      <c r="C12580" s="111" t="s">
        <v>309</v>
      </c>
      <c r="D12580" s="111" t="str">
        <f t="shared" ref="D12580:E12580" si="12578">TRIM(B12580)</f>
        <v>Ohio</v>
      </c>
      <c r="E12580" s="111" t="str">
        <f t="shared" si="12578"/>
        <v>Toledo</v>
      </c>
    </row>
    <row r="12581" spans="1:5">
      <c r="A12581" s="3" t="s">
        <v>23495</v>
      </c>
      <c r="B12581" s="110" t="s">
        <v>1361</v>
      </c>
      <c r="C12581" s="111" t="s">
        <v>309</v>
      </c>
      <c r="D12581" s="111" t="str">
        <f t="shared" ref="D12581:E12581" si="12579">TRIM(B12581)</f>
        <v>Ohio</v>
      </c>
      <c r="E12581" s="111" t="str">
        <f t="shared" si="12579"/>
        <v>Toledo</v>
      </c>
    </row>
    <row r="12582" spans="1:5">
      <c r="A12582" s="3" t="s">
        <v>23496</v>
      </c>
      <c r="B12582" s="110" t="s">
        <v>1361</v>
      </c>
      <c r="C12582" s="111" t="s">
        <v>309</v>
      </c>
      <c r="D12582" s="111" t="str">
        <f t="shared" ref="D12582:E12582" si="12580">TRIM(B12582)</f>
        <v>Ohio</v>
      </c>
      <c r="E12582" s="111" t="str">
        <f t="shared" si="12580"/>
        <v>Toledo</v>
      </c>
    </row>
    <row r="12583" spans="1:5">
      <c r="A12583" s="110" t="s">
        <v>23497</v>
      </c>
      <c r="B12583" s="110" t="s">
        <v>1361</v>
      </c>
      <c r="C12583" s="111" t="s">
        <v>309</v>
      </c>
      <c r="D12583" s="111" t="str">
        <f t="shared" ref="D12583:E12583" si="12581">TRIM(B12583)</f>
        <v>Ohio</v>
      </c>
      <c r="E12583" s="111" t="str">
        <f t="shared" si="12581"/>
        <v>Toledo</v>
      </c>
    </row>
    <row r="12584" spans="1:5">
      <c r="A12584" s="3" t="s">
        <v>23498</v>
      </c>
      <c r="B12584" s="110" t="s">
        <v>1361</v>
      </c>
      <c r="C12584" s="111" t="s">
        <v>309</v>
      </c>
      <c r="D12584" s="111" t="str">
        <f t="shared" ref="D12584:E12584" si="12582">TRIM(B12584)</f>
        <v>Ohio</v>
      </c>
      <c r="E12584" s="111" t="str">
        <f t="shared" si="12582"/>
        <v>Toledo</v>
      </c>
    </row>
    <row r="12585" spans="1:5">
      <c r="A12585" s="3" t="s">
        <v>17247</v>
      </c>
      <c r="B12585" s="110" t="s">
        <v>1361</v>
      </c>
      <c r="C12585" s="111" t="s">
        <v>309</v>
      </c>
      <c r="D12585" s="111" t="str">
        <f t="shared" ref="D12585:E12585" si="12583">TRIM(B12585)</f>
        <v>Ohio</v>
      </c>
      <c r="E12585" s="111" t="str">
        <f t="shared" si="12583"/>
        <v>Toledo</v>
      </c>
    </row>
    <row r="12586" spans="1:5">
      <c r="A12586" s="3" t="s">
        <v>4168</v>
      </c>
      <c r="B12586" s="110" t="s">
        <v>1361</v>
      </c>
      <c r="C12586" s="111" t="s">
        <v>309</v>
      </c>
      <c r="D12586" s="111" t="str">
        <f t="shared" ref="D12586:E12586" si="12584">TRIM(B12586)</f>
        <v>Ohio</v>
      </c>
      <c r="E12586" s="111" t="str">
        <f t="shared" si="12584"/>
        <v>Toledo</v>
      </c>
    </row>
    <row r="12587" spans="1:5">
      <c r="A12587" s="3" t="s">
        <v>23499</v>
      </c>
      <c r="B12587" s="110" t="s">
        <v>1361</v>
      </c>
      <c r="C12587" s="111" t="s">
        <v>309</v>
      </c>
      <c r="D12587" s="111" t="str">
        <f t="shared" ref="D12587:E12587" si="12585">TRIM(B12587)</f>
        <v>Ohio</v>
      </c>
      <c r="E12587" s="111" t="str">
        <f t="shared" si="12585"/>
        <v>Toledo</v>
      </c>
    </row>
    <row r="12588" spans="1:5">
      <c r="A12588" s="3" t="s">
        <v>23500</v>
      </c>
      <c r="B12588" s="110" t="s">
        <v>1361</v>
      </c>
      <c r="C12588" s="111" t="s">
        <v>309</v>
      </c>
      <c r="D12588" s="111" t="str">
        <f t="shared" ref="D12588:E12588" si="12586">TRIM(B12588)</f>
        <v>Ohio</v>
      </c>
      <c r="E12588" s="111" t="str">
        <f t="shared" si="12586"/>
        <v>Toledo</v>
      </c>
    </row>
    <row r="12589" spans="1:5">
      <c r="A12589" s="110" t="s">
        <v>23501</v>
      </c>
      <c r="B12589" s="110" t="s">
        <v>1361</v>
      </c>
      <c r="C12589" s="111" t="s">
        <v>309</v>
      </c>
      <c r="D12589" s="111" t="str">
        <f t="shared" ref="D12589:E12589" si="12587">TRIM(B12589)</f>
        <v>Ohio</v>
      </c>
      <c r="E12589" s="111" t="str">
        <f t="shared" si="12587"/>
        <v>Toledo</v>
      </c>
    </row>
    <row r="12590" spans="1:5">
      <c r="A12590" s="3" t="s">
        <v>23502</v>
      </c>
      <c r="B12590" s="110" t="s">
        <v>1361</v>
      </c>
      <c r="C12590" s="111" t="s">
        <v>309</v>
      </c>
      <c r="D12590" s="111" t="str">
        <f t="shared" ref="D12590:E12590" si="12588">TRIM(B12590)</f>
        <v>Ohio</v>
      </c>
      <c r="E12590" s="111" t="str">
        <f t="shared" si="12588"/>
        <v>Toledo</v>
      </c>
    </row>
    <row r="12591" spans="1:5">
      <c r="A12591" s="3" t="s">
        <v>23503</v>
      </c>
      <c r="B12591" s="110" t="s">
        <v>1361</v>
      </c>
      <c r="C12591" s="111" t="s">
        <v>309</v>
      </c>
      <c r="D12591" s="111" t="str">
        <f t="shared" ref="D12591:E12591" si="12589">TRIM(B12591)</f>
        <v>Ohio</v>
      </c>
      <c r="E12591" s="111" t="str">
        <f t="shared" si="12589"/>
        <v>Toledo</v>
      </c>
    </row>
    <row r="12592" spans="1:5">
      <c r="A12592" s="3" t="s">
        <v>23504</v>
      </c>
      <c r="B12592" s="110" t="s">
        <v>1361</v>
      </c>
      <c r="C12592" s="111" t="s">
        <v>309</v>
      </c>
      <c r="D12592" s="111" t="str">
        <f t="shared" ref="D12592:E12592" si="12590">TRIM(B12592)</f>
        <v>Ohio</v>
      </c>
      <c r="E12592" s="111" t="str">
        <f t="shared" si="12590"/>
        <v>Toledo</v>
      </c>
    </row>
    <row r="12593" spans="1:5">
      <c r="A12593" s="3" t="s">
        <v>23505</v>
      </c>
      <c r="B12593" s="110" t="s">
        <v>1361</v>
      </c>
      <c r="C12593" s="111" t="s">
        <v>309</v>
      </c>
      <c r="D12593" s="111" t="str">
        <f t="shared" ref="D12593:E12593" si="12591">TRIM(B12593)</f>
        <v>Ohio</v>
      </c>
      <c r="E12593" s="111" t="str">
        <f t="shared" si="12591"/>
        <v>Toledo</v>
      </c>
    </row>
    <row r="12594" spans="1:5">
      <c r="A12594" s="3" t="s">
        <v>23506</v>
      </c>
      <c r="B12594" s="110" t="s">
        <v>1361</v>
      </c>
      <c r="C12594" s="111" t="s">
        <v>23507</v>
      </c>
      <c r="D12594" s="111" t="str">
        <f t="shared" ref="D12594:E12594" si="12592">TRIM(B12594)</f>
        <v>Ohio</v>
      </c>
      <c r="E12594" s="111" t="str">
        <f t="shared" si="12592"/>
        <v>Toronto</v>
      </c>
    </row>
    <row r="12595" spans="1:5">
      <c r="A12595" s="3" t="s">
        <v>7466</v>
      </c>
      <c r="B12595" s="110" t="s">
        <v>1361</v>
      </c>
      <c r="C12595" s="111" t="s">
        <v>10194</v>
      </c>
      <c r="D12595" s="111" t="str">
        <f t="shared" ref="D12595:E12595" si="12593">TRIM(B12595)</f>
        <v>Ohio</v>
      </c>
      <c r="E12595" s="111" t="str">
        <f t="shared" si="12593"/>
        <v>Trenton</v>
      </c>
    </row>
    <row r="12596" spans="1:5">
      <c r="A12596" s="3" t="s">
        <v>23508</v>
      </c>
      <c r="B12596" s="110" t="s">
        <v>1361</v>
      </c>
      <c r="C12596" s="111" t="s">
        <v>23509</v>
      </c>
      <c r="D12596" s="111" t="str">
        <f t="shared" ref="D12596:E12596" si="12594">TRIM(B12596)</f>
        <v>Ohio</v>
      </c>
      <c r="E12596" s="111" t="str">
        <f t="shared" si="12594"/>
        <v>Trotwood</v>
      </c>
    </row>
    <row r="12597" spans="1:5">
      <c r="A12597" s="3" t="s">
        <v>5114</v>
      </c>
      <c r="B12597" s="110" t="s">
        <v>1361</v>
      </c>
      <c r="C12597" s="111" t="s">
        <v>2228</v>
      </c>
      <c r="D12597" s="111" t="str">
        <f t="shared" ref="D12597:E12597" si="12595">TRIM(B12597)</f>
        <v>Ohio</v>
      </c>
      <c r="E12597" s="111" t="str">
        <f t="shared" si="12595"/>
        <v>Troy</v>
      </c>
    </row>
    <row r="12598" spans="1:5">
      <c r="A12598" s="3" t="s">
        <v>23510</v>
      </c>
      <c r="B12598" s="110" t="s">
        <v>1361</v>
      </c>
      <c r="C12598" s="111" t="s">
        <v>23511</v>
      </c>
      <c r="D12598" s="111" t="str">
        <f t="shared" ref="D12598:E12598" si="12596">TRIM(B12598)</f>
        <v>Ohio</v>
      </c>
      <c r="E12598" s="111" t="str">
        <f t="shared" si="12596"/>
        <v>Twinsburg</v>
      </c>
    </row>
    <row r="12599" spans="1:5">
      <c r="A12599" s="3" t="s">
        <v>23512</v>
      </c>
      <c r="B12599" s="110" t="s">
        <v>1361</v>
      </c>
      <c r="C12599" s="111" t="s">
        <v>23513</v>
      </c>
      <c r="D12599" s="111" t="str">
        <f t="shared" ref="D12599:E12599" si="12597">TRIM(B12599)</f>
        <v>Ohio</v>
      </c>
      <c r="E12599" s="111" t="str">
        <f t="shared" si="12597"/>
        <v>Uhrichsville</v>
      </c>
    </row>
    <row r="12600" spans="1:5">
      <c r="A12600" s="3" t="s">
        <v>23514</v>
      </c>
      <c r="B12600" s="110" t="s">
        <v>1361</v>
      </c>
      <c r="C12600" s="111" t="s">
        <v>7340</v>
      </c>
      <c r="D12600" s="111" t="str">
        <f t="shared" ref="D12600:E12600" si="12598">TRIM(B12600)</f>
        <v>Ohio</v>
      </c>
      <c r="E12600" s="111" t="str">
        <f t="shared" si="12598"/>
        <v>Union City</v>
      </c>
    </row>
    <row r="12601" spans="1:5">
      <c r="A12601" s="3" t="s">
        <v>23515</v>
      </c>
      <c r="B12601" s="110" t="s">
        <v>1361</v>
      </c>
      <c r="C12601" s="111" t="s">
        <v>15564</v>
      </c>
      <c r="D12601" s="111" t="str">
        <f t="shared" ref="D12601:E12601" si="12599">TRIM(B12601)</f>
        <v>Ohio</v>
      </c>
      <c r="E12601" s="111" t="str">
        <f t="shared" si="12599"/>
        <v>Uniontown</v>
      </c>
    </row>
    <row r="12602" spans="1:5">
      <c r="A12602" s="3" t="s">
        <v>23516</v>
      </c>
      <c r="B12602" s="110" t="s">
        <v>1361</v>
      </c>
      <c r="C12602" s="111" t="s">
        <v>23517</v>
      </c>
      <c r="D12602" s="111" t="str">
        <f t="shared" ref="D12602:E12602" si="12600">TRIM(B12602)</f>
        <v>Ohio</v>
      </c>
      <c r="E12602" s="111" t="str">
        <f t="shared" si="12600"/>
        <v>Upper Arlington</v>
      </c>
    </row>
    <row r="12603" spans="1:5">
      <c r="A12603" s="3" t="s">
        <v>23518</v>
      </c>
      <c r="B12603" s="110" t="s">
        <v>1361</v>
      </c>
      <c r="C12603" s="111" t="s">
        <v>23519</v>
      </c>
      <c r="D12603" s="111" t="str">
        <f t="shared" ref="D12603:E12603" si="12601">TRIM(B12603)</f>
        <v>Ohio</v>
      </c>
      <c r="E12603" s="111" t="str">
        <f t="shared" si="12601"/>
        <v>Upper Sandusky</v>
      </c>
    </row>
    <row r="12604" spans="1:5">
      <c r="A12604" s="3" t="s">
        <v>13935</v>
      </c>
      <c r="B12604" s="110" t="s">
        <v>1361</v>
      </c>
      <c r="C12604" s="112" t="s">
        <v>13936</v>
      </c>
      <c r="D12604" s="111" t="str">
        <f t="shared" ref="D12604:E12604" si="12602">TRIM(B12604)</f>
        <v>Ohio</v>
      </c>
      <c r="E12604" s="111" t="str">
        <f t="shared" si="12602"/>
        <v>Urbana</v>
      </c>
    </row>
    <row r="12605" spans="1:5">
      <c r="A12605" s="3" t="s">
        <v>17639</v>
      </c>
      <c r="B12605" s="110" t="s">
        <v>1361</v>
      </c>
      <c r="C12605" s="111" t="s">
        <v>313</v>
      </c>
      <c r="D12605" s="111" t="str">
        <f t="shared" ref="D12605:E12605" si="12603">TRIM(B12605)</f>
        <v>Ohio</v>
      </c>
      <c r="E12605" s="111" t="str">
        <f t="shared" si="12603"/>
        <v>Utica</v>
      </c>
    </row>
    <row r="12606" spans="1:5">
      <c r="A12606" s="3" t="s">
        <v>4249</v>
      </c>
      <c r="B12606" s="110" t="s">
        <v>1361</v>
      </c>
      <c r="C12606" s="111" t="s">
        <v>4250</v>
      </c>
      <c r="D12606" s="111" t="str">
        <f t="shared" ref="D12606:E12606" si="12604">TRIM(B12606)</f>
        <v>Ohio</v>
      </c>
      <c r="E12606" s="111" t="str">
        <f t="shared" si="12604"/>
        <v>Van Buren</v>
      </c>
    </row>
    <row r="12607" spans="1:5">
      <c r="A12607" s="3" t="s">
        <v>23520</v>
      </c>
      <c r="B12607" s="110" t="s">
        <v>1361</v>
      </c>
      <c r="C12607" s="111" t="s">
        <v>23521</v>
      </c>
      <c r="D12607" s="111" t="str">
        <f t="shared" ref="D12607:E12607" si="12605">TRIM(B12607)</f>
        <v>Ohio</v>
      </c>
      <c r="E12607" s="111" t="str">
        <f t="shared" si="12605"/>
        <v>Van Wert</v>
      </c>
    </row>
    <row r="12608" spans="1:5">
      <c r="A12608" s="3" t="s">
        <v>23522</v>
      </c>
      <c r="B12608" s="110" t="s">
        <v>1361</v>
      </c>
      <c r="C12608" s="111" t="s">
        <v>23521</v>
      </c>
      <c r="D12608" s="111" t="str">
        <f t="shared" ref="D12608:E12608" si="12606">TRIM(B12608)</f>
        <v>Ohio</v>
      </c>
      <c r="E12608" s="111" t="str">
        <f t="shared" si="12606"/>
        <v>Van Wert</v>
      </c>
    </row>
    <row r="12609" spans="1:5">
      <c r="A12609" s="3" t="s">
        <v>10389</v>
      </c>
      <c r="B12609" s="110" t="s">
        <v>1361</v>
      </c>
      <c r="C12609" s="111" t="s">
        <v>13944</v>
      </c>
      <c r="D12609" s="111" t="str">
        <f t="shared" ref="D12609:E12609" si="12607">TRIM(B12609)</f>
        <v>Ohio</v>
      </c>
      <c r="E12609" s="111" t="str">
        <f t="shared" si="12607"/>
        <v>Vandalia</v>
      </c>
    </row>
    <row r="12610" spans="1:5">
      <c r="A12610" s="3" t="s">
        <v>23523</v>
      </c>
      <c r="B12610" s="110" t="s">
        <v>1361</v>
      </c>
      <c r="C12610" s="111" t="s">
        <v>23524</v>
      </c>
      <c r="D12610" s="111" t="str">
        <f t="shared" ref="D12610:E12610" si="12608">TRIM(B12610)</f>
        <v>Ohio</v>
      </c>
      <c r="E12610" s="111" t="str">
        <f t="shared" si="12608"/>
        <v>Vanlue</v>
      </c>
    </row>
    <row r="12611" spans="1:5">
      <c r="A12611" s="3" t="s">
        <v>23525</v>
      </c>
      <c r="B12611" s="110" t="s">
        <v>1361</v>
      </c>
      <c r="C12611" s="111" t="s">
        <v>23526</v>
      </c>
      <c r="D12611" s="111" t="str">
        <f t="shared" ref="D12611:E12611" si="12609">TRIM(B12611)</f>
        <v>Ohio</v>
      </c>
      <c r="E12611" s="111" t="str">
        <f t="shared" si="12609"/>
        <v>Vermilion</v>
      </c>
    </row>
    <row r="12612" spans="1:5">
      <c r="A12612" s="3" t="s">
        <v>23527</v>
      </c>
      <c r="B12612" s="110" t="s">
        <v>1361</v>
      </c>
      <c r="C12612" s="111" t="s">
        <v>14640</v>
      </c>
      <c r="D12612" s="111" t="str">
        <f t="shared" ref="D12612:E12612" si="12610">TRIM(B12612)</f>
        <v>Ohio</v>
      </c>
      <c r="E12612" s="111" t="str">
        <f t="shared" si="12610"/>
        <v>Versailles</v>
      </c>
    </row>
    <row r="12613" spans="1:5">
      <c r="A12613" s="3" t="s">
        <v>23528</v>
      </c>
      <c r="B12613" s="110" t="s">
        <v>1361</v>
      </c>
      <c r="C12613" s="111" t="s">
        <v>11397</v>
      </c>
      <c r="D12613" s="111" t="str">
        <f t="shared" ref="D12613:E12613" si="12611">TRIM(B12613)</f>
        <v>Ohio</v>
      </c>
      <c r="E12613" s="111" t="str">
        <f t="shared" si="12611"/>
        <v>Vienna</v>
      </c>
    </row>
    <row r="12614" spans="1:5">
      <c r="A12614" s="3" t="s">
        <v>23529</v>
      </c>
      <c r="B12614" s="110" t="s">
        <v>1361</v>
      </c>
      <c r="C12614" s="111" t="s">
        <v>2261</v>
      </c>
      <c r="D12614" s="111" t="str">
        <f t="shared" ref="D12614:E12614" si="12612">TRIM(B12614)</f>
        <v>Ohio</v>
      </c>
      <c r="E12614" s="111" t="str">
        <f t="shared" si="12612"/>
        <v>Vincent</v>
      </c>
    </row>
    <row r="12615" spans="1:5">
      <c r="A12615" s="3" t="s">
        <v>23530</v>
      </c>
      <c r="B12615" s="110" t="s">
        <v>1361</v>
      </c>
      <c r="C12615" s="111" t="s">
        <v>23531</v>
      </c>
      <c r="D12615" s="111" t="str">
        <f t="shared" ref="D12615:E12615" si="12613">TRIM(B12615)</f>
        <v>Ohio</v>
      </c>
      <c r="E12615" s="111" t="str">
        <f t="shared" si="12613"/>
        <v>Wadsworth</v>
      </c>
    </row>
    <row r="12616" spans="1:5">
      <c r="A12616" s="3" t="s">
        <v>23532</v>
      </c>
      <c r="B12616" s="110" t="s">
        <v>1361</v>
      </c>
      <c r="C12616" s="111" t="s">
        <v>23533</v>
      </c>
      <c r="D12616" s="111" t="str">
        <f t="shared" ref="D12616:E12616" si="12614">TRIM(B12616)</f>
        <v>Ohio</v>
      </c>
      <c r="E12616" s="111" t="str">
        <f t="shared" si="12614"/>
        <v>Wapakoneta</v>
      </c>
    </row>
    <row r="12617" spans="1:5">
      <c r="A12617" s="3" t="s">
        <v>23534</v>
      </c>
      <c r="B12617" s="110" t="s">
        <v>1361</v>
      </c>
      <c r="C12617" s="112" t="s">
        <v>4265</v>
      </c>
      <c r="D12617" s="111" t="str">
        <f t="shared" ref="D12617:E12617" si="12615">TRIM(B12617)</f>
        <v>Ohio</v>
      </c>
      <c r="E12617" s="111" t="str">
        <f t="shared" si="12615"/>
        <v>Warren</v>
      </c>
    </row>
    <row r="12618" spans="1:5">
      <c r="A12618" s="3" t="s">
        <v>23535</v>
      </c>
      <c r="B12618" s="110" t="s">
        <v>1361</v>
      </c>
      <c r="C12618" s="111" t="s">
        <v>4265</v>
      </c>
      <c r="D12618" s="111" t="str">
        <f t="shared" ref="D12618:E12618" si="12616">TRIM(B12618)</f>
        <v>Ohio</v>
      </c>
      <c r="E12618" s="111" t="str">
        <f t="shared" si="12616"/>
        <v>Warren</v>
      </c>
    </row>
    <row r="12619" spans="1:5">
      <c r="A12619" s="3" t="s">
        <v>23536</v>
      </c>
      <c r="B12619" s="110" t="s">
        <v>1361</v>
      </c>
      <c r="C12619" s="111" t="s">
        <v>4265</v>
      </c>
      <c r="D12619" s="111" t="str">
        <f t="shared" ref="D12619:E12619" si="12617">TRIM(B12619)</f>
        <v>Ohio</v>
      </c>
      <c r="E12619" s="111" t="str">
        <f t="shared" si="12617"/>
        <v>Warren</v>
      </c>
    </row>
    <row r="12620" spans="1:5">
      <c r="A12620" s="3" t="s">
        <v>23537</v>
      </c>
      <c r="B12620" s="110" t="s">
        <v>1361</v>
      </c>
      <c r="C12620" s="111" t="s">
        <v>4265</v>
      </c>
      <c r="D12620" s="111" t="str">
        <f t="shared" ref="D12620:E12620" si="12618">TRIM(B12620)</f>
        <v>Ohio</v>
      </c>
      <c r="E12620" s="111" t="str">
        <f t="shared" si="12618"/>
        <v>Warren</v>
      </c>
    </row>
    <row r="12621" spans="1:5">
      <c r="A12621" s="3" t="s">
        <v>23538</v>
      </c>
      <c r="B12621" s="110" t="s">
        <v>1361</v>
      </c>
      <c r="C12621" s="111" t="s">
        <v>4265</v>
      </c>
      <c r="D12621" s="111" t="str">
        <f t="shared" ref="D12621:E12621" si="12619">TRIM(B12621)</f>
        <v>Ohio</v>
      </c>
      <c r="E12621" s="111" t="str">
        <f t="shared" si="12619"/>
        <v>Warren</v>
      </c>
    </row>
    <row r="12622" spans="1:5">
      <c r="A12622" s="3" t="s">
        <v>23539</v>
      </c>
      <c r="B12622" s="110" t="s">
        <v>1361</v>
      </c>
      <c r="C12622" s="113" t="s">
        <v>23540</v>
      </c>
      <c r="D12622" s="111" t="str">
        <f t="shared" ref="D12622:E12622" si="12620">TRIM(B12622)</f>
        <v>Ohio</v>
      </c>
      <c r="E12622" s="111" t="str">
        <f t="shared" si="12620"/>
        <v>Warrensville Heights</v>
      </c>
    </row>
    <row r="12623" spans="1:5">
      <c r="A12623" s="3" t="s">
        <v>23541</v>
      </c>
      <c r="B12623" s="110" t="s">
        <v>1361</v>
      </c>
      <c r="C12623" s="113" t="s">
        <v>23540</v>
      </c>
      <c r="D12623" s="111" t="str">
        <f t="shared" ref="D12623:E12623" si="12621">TRIM(B12623)</f>
        <v>Ohio</v>
      </c>
      <c r="E12623" s="111" t="str">
        <f t="shared" si="12621"/>
        <v>Warrensville Heights</v>
      </c>
    </row>
    <row r="12624" spans="1:5">
      <c r="A12624" s="3" t="s">
        <v>23542</v>
      </c>
      <c r="B12624" s="110" t="s">
        <v>1361</v>
      </c>
      <c r="C12624" s="111" t="s">
        <v>13979</v>
      </c>
      <c r="D12624" s="111" t="str">
        <f t="shared" ref="D12624:E12624" si="12622">TRIM(B12624)</f>
        <v>Ohio</v>
      </c>
      <c r="E12624" s="111" t="str">
        <f t="shared" si="12622"/>
        <v>Warsaw</v>
      </c>
    </row>
    <row r="12625" spans="1:5">
      <c r="A12625" s="3" t="s">
        <v>23543</v>
      </c>
      <c r="B12625" s="110" t="s">
        <v>1361</v>
      </c>
      <c r="C12625" s="113" t="s">
        <v>23544</v>
      </c>
      <c r="D12625" s="111" t="str">
        <f t="shared" ref="D12625:E12625" si="12623">TRIM(B12625)</f>
        <v>Ohio</v>
      </c>
      <c r="E12625" s="111" t="str">
        <f t="shared" si="12623"/>
        <v>Washington Court Hou</v>
      </c>
    </row>
    <row r="12626" spans="1:5">
      <c r="A12626" s="3" t="s">
        <v>3140</v>
      </c>
      <c r="B12626" s="110" t="s">
        <v>1361</v>
      </c>
      <c r="C12626" s="113" t="s">
        <v>23545</v>
      </c>
      <c r="D12626" s="111" t="str">
        <f t="shared" ref="D12626:E12626" si="12624">TRIM(B12626)</f>
        <v>Ohio</v>
      </c>
      <c r="E12626" s="111" t="str">
        <f t="shared" si="12624"/>
        <v>Washington Court House</v>
      </c>
    </row>
    <row r="12627" spans="1:5">
      <c r="A12627" s="3" t="s">
        <v>7449</v>
      </c>
      <c r="B12627" s="110" t="s">
        <v>1361</v>
      </c>
      <c r="C12627" s="111" t="s">
        <v>334</v>
      </c>
      <c r="D12627" s="111" t="str">
        <f t="shared" ref="D12627:E12627" si="12625">TRIM(B12627)</f>
        <v>Ohio</v>
      </c>
      <c r="E12627" s="111" t="str">
        <f t="shared" si="12625"/>
        <v>Waterford</v>
      </c>
    </row>
    <row r="12628" spans="1:5">
      <c r="A12628" s="3" t="s">
        <v>23546</v>
      </c>
      <c r="B12628" s="110" t="s">
        <v>1361</v>
      </c>
      <c r="C12628" s="111" t="s">
        <v>23547</v>
      </c>
      <c r="D12628" s="111" t="str">
        <f t="shared" ref="D12628:E12628" si="12626">TRIM(B12628)</f>
        <v>Ohio</v>
      </c>
      <c r="E12628" s="111" t="str">
        <f t="shared" si="12626"/>
        <v>Wauseon</v>
      </c>
    </row>
    <row r="12629" spans="1:5">
      <c r="A12629" s="3" t="s">
        <v>15575</v>
      </c>
      <c r="B12629" s="110" t="s">
        <v>1361</v>
      </c>
      <c r="C12629" s="111" t="s">
        <v>517</v>
      </c>
      <c r="D12629" s="111" t="str">
        <f t="shared" ref="D12629:E12629" si="12627">TRIM(B12629)</f>
        <v>Ohio</v>
      </c>
      <c r="E12629" s="111" t="str">
        <f t="shared" si="12627"/>
        <v>Waverly</v>
      </c>
    </row>
    <row r="12630" spans="1:5">
      <c r="A12630" s="3" t="s">
        <v>23548</v>
      </c>
      <c r="B12630" s="110" t="s">
        <v>1361</v>
      </c>
      <c r="C12630" s="111" t="s">
        <v>23549</v>
      </c>
      <c r="D12630" s="111" t="str">
        <f t="shared" ref="D12630:E12630" si="12628">TRIM(B12630)</f>
        <v>Ohio</v>
      </c>
      <c r="E12630" s="111" t="str">
        <f t="shared" si="12628"/>
        <v>Waynesfield</v>
      </c>
    </row>
    <row r="12631" spans="1:5">
      <c r="A12631" s="3" t="s">
        <v>23550</v>
      </c>
      <c r="B12631" s="110" t="s">
        <v>1361</v>
      </c>
      <c r="C12631" s="111" t="s">
        <v>19217</v>
      </c>
      <c r="D12631" s="111" t="str">
        <f t="shared" ref="D12631:E12631" si="12629">TRIM(B12631)</f>
        <v>Ohio</v>
      </c>
      <c r="E12631" s="111" t="str">
        <f t="shared" si="12629"/>
        <v>Waynesville</v>
      </c>
    </row>
    <row r="12632" spans="1:5">
      <c r="A12632" s="3" t="s">
        <v>10228</v>
      </c>
      <c r="B12632" s="110" t="s">
        <v>1361</v>
      </c>
      <c r="C12632" s="111" t="s">
        <v>8522</v>
      </c>
      <c r="D12632" s="111" t="str">
        <f t="shared" ref="D12632:E12632" si="12630">TRIM(B12632)</f>
        <v>Ohio</v>
      </c>
      <c r="E12632" s="111" t="str">
        <f t="shared" si="12630"/>
        <v>Wellington</v>
      </c>
    </row>
    <row r="12633" spans="1:5">
      <c r="A12633" s="3" t="s">
        <v>23551</v>
      </c>
      <c r="B12633" s="110" t="s">
        <v>1361</v>
      </c>
      <c r="C12633" s="111" t="s">
        <v>19224</v>
      </c>
      <c r="D12633" s="111" t="str">
        <f t="shared" ref="D12633:E12633" si="12631">TRIM(B12633)</f>
        <v>Ohio</v>
      </c>
      <c r="E12633" s="111" t="str">
        <f t="shared" si="12631"/>
        <v>Wellston</v>
      </c>
    </row>
    <row r="12634" spans="1:5">
      <c r="A12634" s="3" t="s">
        <v>23552</v>
      </c>
      <c r="B12634" s="110" t="s">
        <v>1361</v>
      </c>
      <c r="C12634" s="111" t="s">
        <v>15577</v>
      </c>
      <c r="D12634" s="111" t="str">
        <f t="shared" ref="D12634:E12634" si="12632">TRIM(B12634)</f>
        <v>Ohio</v>
      </c>
      <c r="E12634" s="111" t="str">
        <f t="shared" si="12632"/>
        <v>Wellsville</v>
      </c>
    </row>
    <row r="12635" spans="1:5">
      <c r="A12635" s="3" t="s">
        <v>23553</v>
      </c>
      <c r="B12635" s="110" t="s">
        <v>1361</v>
      </c>
      <c r="C12635" s="111" t="s">
        <v>23554</v>
      </c>
      <c r="D12635" s="111" t="str">
        <f t="shared" ref="D12635:E12635" si="12633">TRIM(B12635)</f>
        <v>Ohio</v>
      </c>
      <c r="E12635" s="111" t="str">
        <f t="shared" si="12633"/>
        <v>West Alexandria</v>
      </c>
    </row>
    <row r="12636" spans="1:5">
      <c r="A12636" s="3" t="s">
        <v>23555</v>
      </c>
      <c r="B12636" s="110" t="s">
        <v>1361</v>
      </c>
      <c r="C12636" s="111" t="s">
        <v>23556</v>
      </c>
      <c r="D12636" s="111" t="str">
        <f t="shared" ref="D12636:E12636" si="12634">TRIM(B12636)</f>
        <v>Ohio</v>
      </c>
      <c r="E12636" s="111" t="str">
        <f t="shared" si="12634"/>
        <v>West Carrollton</v>
      </c>
    </row>
    <row r="12637" spans="1:5">
      <c r="A12637" s="3" t="s">
        <v>23557</v>
      </c>
      <c r="B12637" s="110" t="s">
        <v>1361</v>
      </c>
      <c r="C12637" s="111" t="s">
        <v>1263</v>
      </c>
      <c r="D12637" s="111" t="str">
        <f t="shared" ref="D12637:E12637" si="12635">TRIM(B12637)</f>
        <v>Ohio</v>
      </c>
      <c r="E12637" s="111" t="str">
        <f t="shared" si="12635"/>
        <v>West Chester</v>
      </c>
    </row>
    <row r="12638" spans="1:5">
      <c r="A12638" s="3" t="s">
        <v>11923</v>
      </c>
      <c r="B12638" s="110" t="s">
        <v>1361</v>
      </c>
      <c r="C12638" s="111" t="s">
        <v>22511</v>
      </c>
      <c r="D12638" s="111" t="str">
        <f t="shared" ref="D12638:E12638" si="12636">TRIM(B12638)</f>
        <v>Ohio</v>
      </c>
      <c r="E12638" s="111" t="str">
        <f t="shared" si="12636"/>
        <v>West Jefferson</v>
      </c>
    </row>
    <row r="12639" spans="1:5">
      <c r="A12639" s="3" t="s">
        <v>20375</v>
      </c>
      <c r="B12639" s="110" t="s">
        <v>1361</v>
      </c>
      <c r="C12639" s="111" t="s">
        <v>14657</v>
      </c>
      <c r="D12639" s="111" t="str">
        <f t="shared" ref="D12639:E12639" si="12637">TRIM(B12639)</f>
        <v>Ohio</v>
      </c>
      <c r="E12639" s="111" t="str">
        <f t="shared" si="12637"/>
        <v>West Lafayette</v>
      </c>
    </row>
    <row r="12640" spans="1:5">
      <c r="A12640" s="3" t="s">
        <v>23558</v>
      </c>
      <c r="B12640" s="110" t="s">
        <v>1361</v>
      </c>
      <c r="C12640" s="111" t="s">
        <v>15127</v>
      </c>
      <c r="D12640" s="111" t="str">
        <f t="shared" ref="D12640:E12640" si="12638">TRIM(B12640)</f>
        <v>Ohio</v>
      </c>
      <c r="E12640" s="111" t="str">
        <f t="shared" si="12638"/>
        <v>West Liberty</v>
      </c>
    </row>
    <row r="12641" spans="1:5">
      <c r="A12641" s="3" t="s">
        <v>23559</v>
      </c>
      <c r="B12641" s="110" t="s">
        <v>1361</v>
      </c>
      <c r="C12641" s="111" t="s">
        <v>23560</v>
      </c>
      <c r="D12641" s="111" t="str">
        <f t="shared" ref="D12641:E12641" si="12639">TRIM(B12641)</f>
        <v>Ohio</v>
      </c>
      <c r="E12641" s="111" t="str">
        <f t="shared" si="12639"/>
        <v>West Milton</v>
      </c>
    </row>
    <row r="12642" spans="1:5">
      <c r="A12642" s="3" t="s">
        <v>23561</v>
      </c>
      <c r="B12642" s="110" t="s">
        <v>1361</v>
      </c>
      <c r="C12642" s="113" t="s">
        <v>23562</v>
      </c>
      <c r="D12642" s="111" t="str">
        <f t="shared" ref="D12642:E12642" si="12640">TRIM(B12642)</f>
        <v>Ohio</v>
      </c>
      <c r="E12642" s="111" t="str">
        <f t="shared" si="12640"/>
        <v>West Portsmouth</v>
      </c>
    </row>
    <row r="12643" spans="1:5">
      <c r="A12643" s="3" t="s">
        <v>13546</v>
      </c>
      <c r="B12643" s="110" t="s">
        <v>1361</v>
      </c>
      <c r="C12643" s="111" t="s">
        <v>23563</v>
      </c>
      <c r="D12643" s="111" t="str">
        <f t="shared" ref="D12643:E12643" si="12641">TRIM(B12643)</f>
        <v>Ohio</v>
      </c>
      <c r="E12643" s="111" t="str">
        <f t="shared" si="12641"/>
        <v>West Salem</v>
      </c>
    </row>
    <row r="12644" spans="1:5">
      <c r="A12644" s="3" t="s">
        <v>23564</v>
      </c>
      <c r="B12644" s="110" t="s">
        <v>1361</v>
      </c>
      <c r="C12644" s="111" t="s">
        <v>15129</v>
      </c>
      <c r="D12644" s="111" t="str">
        <f t="shared" ref="D12644:E12644" si="12642">TRIM(B12644)</f>
        <v>Ohio</v>
      </c>
      <c r="E12644" s="111" t="str">
        <f t="shared" si="12642"/>
        <v>West Union</v>
      </c>
    </row>
    <row r="12645" spans="1:5">
      <c r="A12645" s="3" t="s">
        <v>23565</v>
      </c>
      <c r="B12645" s="110" t="s">
        <v>1361</v>
      </c>
      <c r="C12645" s="111" t="s">
        <v>23566</v>
      </c>
      <c r="D12645" s="111" t="str">
        <f t="shared" ref="D12645:E12645" si="12643">TRIM(B12645)</f>
        <v>Ohio</v>
      </c>
      <c r="E12645" s="111" t="str">
        <f t="shared" si="12643"/>
        <v>West Unity</v>
      </c>
    </row>
    <row r="12646" spans="1:5">
      <c r="A12646" s="3" t="s">
        <v>23567</v>
      </c>
      <c r="B12646" s="110" t="s">
        <v>1361</v>
      </c>
      <c r="C12646" s="111" t="s">
        <v>23568</v>
      </c>
      <c r="D12646" s="111" t="str">
        <f t="shared" ref="D12646:E12646" si="12644">TRIM(B12646)</f>
        <v>Ohio</v>
      </c>
      <c r="E12646" s="111" t="str">
        <f t="shared" si="12644"/>
        <v>Westerville</v>
      </c>
    </row>
    <row r="12647" spans="1:5">
      <c r="A12647" s="3" t="s">
        <v>23569</v>
      </c>
      <c r="B12647" s="110" t="s">
        <v>1361</v>
      </c>
      <c r="C12647" s="111" t="s">
        <v>23568</v>
      </c>
      <c r="D12647" s="111" t="str">
        <f t="shared" ref="D12647:E12647" si="12645">TRIM(B12647)</f>
        <v>Ohio</v>
      </c>
      <c r="E12647" s="111" t="str">
        <f t="shared" si="12645"/>
        <v>Westerville</v>
      </c>
    </row>
    <row r="12648" spans="1:5">
      <c r="A12648" s="3" t="s">
        <v>23570</v>
      </c>
      <c r="B12648" s="110" t="s">
        <v>1361</v>
      </c>
      <c r="C12648" s="111" t="s">
        <v>23568</v>
      </c>
      <c r="D12648" s="111" t="str">
        <f t="shared" ref="D12648:E12648" si="12646">TRIM(B12648)</f>
        <v>Ohio</v>
      </c>
      <c r="E12648" s="111" t="str">
        <f t="shared" si="12646"/>
        <v>Westerville</v>
      </c>
    </row>
    <row r="12649" spans="1:5">
      <c r="A12649" s="3" t="s">
        <v>7477</v>
      </c>
      <c r="B12649" s="110" t="s">
        <v>1361</v>
      </c>
      <c r="C12649" s="111" t="s">
        <v>16155</v>
      </c>
      <c r="D12649" s="111" t="str">
        <f t="shared" ref="D12649:E12649" si="12647">TRIM(B12649)</f>
        <v>Ohio</v>
      </c>
      <c r="E12649" s="111" t="str">
        <f t="shared" si="12647"/>
        <v>Westlake</v>
      </c>
    </row>
    <row r="12650" spans="1:5">
      <c r="A12650" s="3" t="s">
        <v>23571</v>
      </c>
      <c r="B12650" s="110" t="s">
        <v>1361</v>
      </c>
      <c r="C12650" s="111" t="s">
        <v>23572</v>
      </c>
      <c r="D12650" s="111" t="str">
        <f t="shared" ref="D12650:E12650" si="12648">TRIM(B12650)</f>
        <v>Ohio</v>
      </c>
      <c r="E12650" s="111" t="str">
        <f t="shared" si="12648"/>
        <v>Wheelersburg</v>
      </c>
    </row>
    <row r="12651" spans="1:5">
      <c r="A12651" s="3" t="s">
        <v>23573</v>
      </c>
      <c r="B12651" s="110" t="s">
        <v>1361</v>
      </c>
      <c r="C12651" s="111" t="s">
        <v>17672</v>
      </c>
      <c r="D12651" s="111" t="str">
        <f t="shared" ref="D12651:E12651" si="12649">TRIM(B12651)</f>
        <v>Ohio</v>
      </c>
      <c r="E12651" s="111" t="str">
        <f t="shared" si="12649"/>
        <v>Whitehall</v>
      </c>
    </row>
    <row r="12652" spans="1:5">
      <c r="A12652" s="3" t="s">
        <v>23574</v>
      </c>
      <c r="B12652" s="110" t="s">
        <v>1361</v>
      </c>
      <c r="C12652" s="111" t="s">
        <v>23575</v>
      </c>
      <c r="D12652" s="111" t="str">
        <f t="shared" ref="D12652:E12652" si="12650">TRIM(B12652)</f>
        <v>Ohio</v>
      </c>
      <c r="E12652" s="111" t="str">
        <f t="shared" si="12650"/>
        <v>Whitehouse</v>
      </c>
    </row>
    <row r="12653" spans="1:5">
      <c r="A12653" s="3" t="s">
        <v>23576</v>
      </c>
      <c r="B12653" s="110" t="s">
        <v>1361</v>
      </c>
      <c r="C12653" s="111" t="s">
        <v>12877</v>
      </c>
      <c r="D12653" s="111" t="str">
        <f t="shared" ref="D12653:E12653" si="12651">TRIM(B12653)</f>
        <v>Ohio</v>
      </c>
      <c r="E12653" s="111" t="str">
        <f t="shared" si="12651"/>
        <v>Wickliffe</v>
      </c>
    </row>
    <row r="12654" spans="1:5">
      <c r="A12654" s="3" t="s">
        <v>19234</v>
      </c>
      <c r="B12654" s="110" t="s">
        <v>1361</v>
      </c>
      <c r="C12654" s="111" t="s">
        <v>19235</v>
      </c>
      <c r="D12654" s="111" t="str">
        <f t="shared" ref="D12654:E12654" si="12652">TRIM(B12654)</f>
        <v>Ohio</v>
      </c>
      <c r="E12654" s="111" t="str">
        <f t="shared" si="12652"/>
        <v>Willard</v>
      </c>
    </row>
    <row r="12655" spans="1:5">
      <c r="A12655" s="3" t="s">
        <v>23577</v>
      </c>
      <c r="B12655" s="110" t="s">
        <v>1361</v>
      </c>
      <c r="C12655" s="111" t="s">
        <v>558</v>
      </c>
      <c r="D12655" s="111" t="str">
        <f t="shared" ref="D12655:E12655" si="12653">TRIM(B12655)</f>
        <v>Ohio</v>
      </c>
      <c r="E12655" s="111" t="str">
        <f t="shared" si="12653"/>
        <v>Williamsburg</v>
      </c>
    </row>
    <row r="12656" spans="1:5">
      <c r="A12656" s="3" t="s">
        <v>23578</v>
      </c>
      <c r="B12656" s="110" t="s">
        <v>1361</v>
      </c>
      <c r="C12656" s="111" t="s">
        <v>13211</v>
      </c>
      <c r="D12656" s="111" t="str">
        <f t="shared" ref="D12656:E12656" si="12654">TRIM(B12656)</f>
        <v>Ohio</v>
      </c>
      <c r="E12656" s="111" t="str">
        <f t="shared" si="12654"/>
        <v>Williamsport</v>
      </c>
    </row>
    <row r="12657" spans="1:5">
      <c r="A12657" s="3" t="s">
        <v>4439</v>
      </c>
      <c r="B12657" s="110" t="s">
        <v>1361</v>
      </c>
      <c r="C12657" s="111" t="s">
        <v>23579</v>
      </c>
      <c r="D12657" s="111" t="str">
        <f t="shared" ref="D12657:E12657" si="12655">TRIM(B12657)</f>
        <v>Ohio</v>
      </c>
      <c r="E12657" s="111" t="str">
        <f t="shared" si="12655"/>
        <v>Willoughby</v>
      </c>
    </row>
    <row r="12658" spans="1:5">
      <c r="A12658" s="3" t="s">
        <v>23580</v>
      </c>
      <c r="B12658" s="110" t="s">
        <v>1361</v>
      </c>
      <c r="C12658" s="111" t="s">
        <v>23581</v>
      </c>
      <c r="D12658" s="111" t="str">
        <f t="shared" ref="D12658:E12658" si="12656">TRIM(B12658)</f>
        <v>Ohio</v>
      </c>
      <c r="E12658" s="111" t="str">
        <f t="shared" si="12656"/>
        <v>Willow Wood</v>
      </c>
    </row>
    <row r="12659" spans="1:5">
      <c r="A12659" s="3" t="s">
        <v>14037</v>
      </c>
      <c r="B12659" s="110" t="s">
        <v>1361</v>
      </c>
      <c r="C12659" s="111" t="s">
        <v>272</v>
      </c>
      <c r="D12659" s="111" t="str">
        <f t="shared" ref="D12659:E12659" si="12657">TRIM(B12659)</f>
        <v>Ohio</v>
      </c>
      <c r="E12659" s="111" t="str">
        <f t="shared" si="12657"/>
        <v>Wilmington</v>
      </c>
    </row>
    <row r="12660" spans="1:5">
      <c r="A12660" s="3" t="s">
        <v>8899</v>
      </c>
      <c r="B12660" s="110" t="s">
        <v>1361</v>
      </c>
      <c r="C12660" s="111" t="s">
        <v>14042</v>
      </c>
      <c r="D12660" s="111" t="str">
        <f t="shared" ref="D12660:E12660" si="12658">TRIM(B12660)</f>
        <v>Ohio</v>
      </c>
      <c r="E12660" s="111" t="str">
        <f t="shared" si="12658"/>
        <v>Winchester</v>
      </c>
    </row>
    <row r="12661" spans="1:5">
      <c r="A12661" s="3" t="s">
        <v>8762</v>
      </c>
      <c r="B12661" s="110" t="s">
        <v>1361</v>
      </c>
      <c r="C12661" s="111" t="s">
        <v>16314</v>
      </c>
      <c r="D12661" s="111" t="str">
        <f t="shared" ref="D12661:E12661" si="12659">TRIM(B12661)</f>
        <v>Ohio</v>
      </c>
      <c r="E12661" s="111" t="str">
        <f t="shared" si="12659"/>
        <v>Windham</v>
      </c>
    </row>
    <row r="12662" spans="1:5">
      <c r="A12662" s="3" t="s">
        <v>13794</v>
      </c>
      <c r="B12662" s="110" t="s">
        <v>1361</v>
      </c>
      <c r="C12662" s="111" t="s">
        <v>23582</v>
      </c>
      <c r="D12662" s="111" t="str">
        <f t="shared" ref="D12662:E12662" si="12660">TRIM(B12662)</f>
        <v>Ohio</v>
      </c>
      <c r="E12662" s="111" t="str">
        <f t="shared" si="12660"/>
        <v>Wintersville</v>
      </c>
    </row>
    <row r="12663" spans="1:5">
      <c r="A12663" s="3" t="s">
        <v>23583</v>
      </c>
      <c r="B12663" s="110" t="s">
        <v>1361</v>
      </c>
      <c r="C12663" s="111" t="s">
        <v>23584</v>
      </c>
      <c r="D12663" s="111" t="str">
        <f t="shared" ref="D12663:E12663" si="12661">TRIM(B12663)</f>
        <v>Ohio</v>
      </c>
      <c r="E12663" s="111" t="str">
        <f t="shared" si="12661"/>
        <v>Woodsfield</v>
      </c>
    </row>
    <row r="12664" spans="1:5">
      <c r="A12664" s="3" t="s">
        <v>23585</v>
      </c>
      <c r="B12664" s="110" t="s">
        <v>1361</v>
      </c>
      <c r="C12664" s="111" t="s">
        <v>23586</v>
      </c>
      <c r="D12664" s="111" t="str">
        <f t="shared" ref="D12664:E12664" si="12662">TRIM(B12664)</f>
        <v>Ohio</v>
      </c>
      <c r="E12664" s="111" t="str">
        <f t="shared" si="12662"/>
        <v>Wooster</v>
      </c>
    </row>
    <row r="12665" spans="1:5">
      <c r="A12665" s="3" t="s">
        <v>23587</v>
      </c>
      <c r="B12665" s="110" t="s">
        <v>1361</v>
      </c>
      <c r="C12665" s="111" t="s">
        <v>23586</v>
      </c>
      <c r="D12665" s="111" t="str">
        <f t="shared" ref="D12665:E12665" si="12663">TRIM(B12665)</f>
        <v>Ohio</v>
      </c>
      <c r="E12665" s="111" t="str">
        <f t="shared" si="12663"/>
        <v>Wooster</v>
      </c>
    </row>
    <row r="12666" spans="1:5">
      <c r="A12666" s="3" t="s">
        <v>23588</v>
      </c>
      <c r="B12666" s="110" t="s">
        <v>1361</v>
      </c>
      <c r="C12666" s="111" t="s">
        <v>433</v>
      </c>
      <c r="D12666" s="111" t="str">
        <f t="shared" ref="D12666:E12666" si="12664">TRIM(B12666)</f>
        <v>Ohio</v>
      </c>
      <c r="E12666" s="111" t="str">
        <f t="shared" si="12664"/>
        <v>Worthington</v>
      </c>
    </row>
    <row r="12667" spans="1:5">
      <c r="A12667" s="3" t="s">
        <v>23589</v>
      </c>
      <c r="B12667" s="110" t="s">
        <v>1361</v>
      </c>
      <c r="C12667" s="111" t="s">
        <v>433</v>
      </c>
      <c r="D12667" s="111" t="str">
        <f t="shared" ref="D12667:E12667" si="12665">TRIM(B12667)</f>
        <v>Ohio</v>
      </c>
      <c r="E12667" s="111" t="str">
        <f t="shared" si="12665"/>
        <v>Worthington</v>
      </c>
    </row>
    <row r="12668" spans="1:5">
      <c r="A12668" s="3" t="s">
        <v>17683</v>
      </c>
      <c r="B12668" s="110" t="s">
        <v>1361</v>
      </c>
      <c r="C12668" s="111" t="s">
        <v>1380</v>
      </c>
      <c r="D12668" s="111" t="str">
        <f t="shared" ref="D12668:E12668" si="12666">TRIM(B12668)</f>
        <v>Ohio</v>
      </c>
      <c r="E12668" s="111" t="str">
        <f t="shared" si="12666"/>
        <v>Wyoming</v>
      </c>
    </row>
    <row r="12669" spans="1:5">
      <c r="A12669" s="3" t="s">
        <v>23590</v>
      </c>
      <c r="B12669" s="110" t="s">
        <v>1361</v>
      </c>
      <c r="C12669" s="111" t="s">
        <v>23591</v>
      </c>
      <c r="D12669" s="111" t="str">
        <f t="shared" ref="D12669:E12669" si="12667">TRIM(B12669)</f>
        <v>Ohio</v>
      </c>
      <c r="E12669" s="111" t="str">
        <f t="shared" si="12667"/>
        <v>Xenia</v>
      </c>
    </row>
    <row r="12670" spans="1:5">
      <c r="A12670" s="3" t="s">
        <v>23592</v>
      </c>
      <c r="B12670" s="110" t="s">
        <v>1361</v>
      </c>
      <c r="C12670" s="111" t="s">
        <v>23593</v>
      </c>
      <c r="D12670" s="111" t="str">
        <f t="shared" ref="D12670:E12670" si="12668">TRIM(B12670)</f>
        <v>Ohio</v>
      </c>
      <c r="E12670" s="111" t="str">
        <f t="shared" si="12668"/>
        <v>Yellow Springs</v>
      </c>
    </row>
    <row r="12671" spans="1:5">
      <c r="A12671" s="3" t="s">
        <v>23594</v>
      </c>
      <c r="B12671" s="110" t="s">
        <v>1361</v>
      </c>
      <c r="C12671" s="111" t="s">
        <v>12895</v>
      </c>
      <c r="D12671" s="111" t="str">
        <f t="shared" ref="D12671:E12671" si="12669">TRIM(B12671)</f>
        <v>Ohio</v>
      </c>
      <c r="E12671" s="111" t="str">
        <f t="shared" si="12669"/>
        <v>Youngstown</v>
      </c>
    </row>
    <row r="12672" spans="1:5">
      <c r="A12672" s="3" t="s">
        <v>23595</v>
      </c>
      <c r="B12672" s="110" t="s">
        <v>1361</v>
      </c>
      <c r="C12672" s="111" t="s">
        <v>12895</v>
      </c>
      <c r="D12672" s="111" t="str">
        <f t="shared" ref="D12672:E12672" si="12670">TRIM(B12672)</f>
        <v>Ohio</v>
      </c>
      <c r="E12672" s="111" t="str">
        <f t="shared" si="12670"/>
        <v>Youngstown</v>
      </c>
    </row>
    <row r="12673" spans="1:5">
      <c r="A12673" s="3" t="s">
        <v>23596</v>
      </c>
      <c r="B12673" s="110" t="s">
        <v>1361</v>
      </c>
      <c r="C12673" s="111" t="s">
        <v>12895</v>
      </c>
      <c r="D12673" s="111" t="str">
        <f t="shared" ref="D12673:E12673" si="12671">TRIM(B12673)</f>
        <v>Ohio</v>
      </c>
      <c r="E12673" s="111" t="str">
        <f t="shared" si="12671"/>
        <v>Youngstown</v>
      </c>
    </row>
    <row r="12674" spans="1:5">
      <c r="A12674" s="3" t="s">
        <v>23597</v>
      </c>
      <c r="B12674" s="110" t="s">
        <v>1361</v>
      </c>
      <c r="C12674" s="111" t="s">
        <v>12895</v>
      </c>
      <c r="D12674" s="111" t="str">
        <f t="shared" ref="D12674:E12674" si="12672">TRIM(B12674)</f>
        <v>Ohio</v>
      </c>
      <c r="E12674" s="111" t="str">
        <f t="shared" si="12672"/>
        <v>Youngstown</v>
      </c>
    </row>
    <row r="12675" spans="1:5">
      <c r="A12675" s="3" t="s">
        <v>2745</v>
      </c>
      <c r="B12675" s="110" t="s">
        <v>1361</v>
      </c>
      <c r="C12675" s="111" t="s">
        <v>12895</v>
      </c>
      <c r="D12675" s="111" t="str">
        <f t="shared" ref="D12675:E12675" si="12673">TRIM(B12675)</f>
        <v>Ohio</v>
      </c>
      <c r="E12675" s="111" t="str">
        <f t="shared" si="12673"/>
        <v>Youngstown</v>
      </c>
    </row>
    <row r="12676" spans="1:5">
      <c r="A12676" s="3" t="s">
        <v>23598</v>
      </c>
      <c r="B12676" s="110" t="s">
        <v>1361</v>
      </c>
      <c r="C12676" s="111" t="s">
        <v>12895</v>
      </c>
      <c r="D12676" s="111" t="str">
        <f t="shared" ref="D12676:E12676" si="12674">TRIM(B12676)</f>
        <v>Ohio</v>
      </c>
      <c r="E12676" s="111" t="str">
        <f t="shared" si="12674"/>
        <v>Youngstown</v>
      </c>
    </row>
    <row r="12677" spans="1:5">
      <c r="A12677" s="110" t="s">
        <v>23599</v>
      </c>
      <c r="B12677" s="110" t="s">
        <v>1361</v>
      </c>
      <c r="C12677" s="111" t="s">
        <v>12895</v>
      </c>
      <c r="D12677" s="111" t="str">
        <f t="shared" ref="D12677:E12677" si="12675">TRIM(B12677)</f>
        <v>Ohio</v>
      </c>
      <c r="E12677" s="111" t="str">
        <f t="shared" si="12675"/>
        <v>Youngstown</v>
      </c>
    </row>
    <row r="12678" spans="1:5">
      <c r="A12678" s="3" t="s">
        <v>23600</v>
      </c>
      <c r="B12678" s="110" t="s">
        <v>1361</v>
      </c>
      <c r="C12678" s="111" t="s">
        <v>12895</v>
      </c>
      <c r="D12678" s="111" t="str">
        <f t="shared" ref="D12678:E12678" si="12676">TRIM(B12678)</f>
        <v>Ohio</v>
      </c>
      <c r="E12678" s="111" t="str">
        <f t="shared" si="12676"/>
        <v>Youngstown</v>
      </c>
    </row>
    <row r="12679" spans="1:5">
      <c r="A12679" s="3" t="s">
        <v>23601</v>
      </c>
      <c r="B12679" s="110" t="s">
        <v>1361</v>
      </c>
      <c r="C12679" s="111" t="s">
        <v>12738</v>
      </c>
      <c r="D12679" s="111" t="str">
        <f t="shared" ref="D12679:E12679" si="12677">TRIM(B12679)</f>
        <v>Ohio</v>
      </c>
      <c r="E12679" s="111" t="str">
        <f t="shared" si="12677"/>
        <v>Zanesville</v>
      </c>
    </row>
    <row r="12680" spans="1:5">
      <c r="A12680" s="3" t="s">
        <v>23602</v>
      </c>
      <c r="B12680" s="110" t="s">
        <v>1361</v>
      </c>
      <c r="C12680" s="111" t="s">
        <v>12738</v>
      </c>
      <c r="D12680" s="111" t="str">
        <f t="shared" ref="D12680:E12680" si="12678">TRIM(B12680)</f>
        <v>Ohio</v>
      </c>
      <c r="E12680" s="111" t="str">
        <f t="shared" si="12678"/>
        <v>Zanesville</v>
      </c>
    </row>
    <row r="12681" spans="1:5">
      <c r="A12681" s="110" t="s">
        <v>23603</v>
      </c>
      <c r="B12681" s="110" t="s">
        <v>1361</v>
      </c>
      <c r="C12681" s="111" t="s">
        <v>12738</v>
      </c>
      <c r="D12681" s="111" t="str">
        <f t="shared" ref="D12681:E12681" si="12679">TRIM(B12681)</f>
        <v>Ohio</v>
      </c>
      <c r="E12681" s="111" t="str">
        <f t="shared" si="12679"/>
        <v>Zanesville</v>
      </c>
    </row>
    <row r="12682" spans="1:5">
      <c r="A12682" s="3" t="s">
        <v>23604</v>
      </c>
      <c r="B12682" s="110" t="s">
        <v>1361</v>
      </c>
      <c r="C12682" s="111" t="s">
        <v>12738</v>
      </c>
      <c r="D12682" s="111" t="str">
        <f t="shared" ref="D12682:E12682" si="12680">TRIM(B12682)</f>
        <v>Ohio</v>
      </c>
      <c r="E12682" s="111" t="str">
        <f t="shared" si="12680"/>
        <v>Zanesville</v>
      </c>
    </row>
    <row r="12683" spans="1:5">
      <c r="A12683" s="3" t="s">
        <v>23605</v>
      </c>
      <c r="B12683" s="110" t="s">
        <v>1361</v>
      </c>
      <c r="C12683" s="111" t="s">
        <v>23606</v>
      </c>
      <c r="D12683" s="111" t="str">
        <f t="shared" ref="D12683:E12683" si="12681">TRIM(B12683)</f>
        <v>Ohio</v>
      </c>
      <c r="E12683" s="111" t="str">
        <f t="shared" si="12681"/>
        <v>Zoarville</v>
      </c>
    </row>
    <row r="12684" spans="1:5">
      <c r="A12684" s="3" t="s">
        <v>23607</v>
      </c>
      <c r="B12684" s="110" t="s">
        <v>1362</v>
      </c>
      <c r="C12684" s="111" t="s">
        <v>23608</v>
      </c>
      <c r="D12684" s="111" t="str">
        <f t="shared" ref="D12684:E12684" si="12682">TRIM(B12684)</f>
        <v>Oklahoma</v>
      </c>
      <c r="E12684" s="111" t="str">
        <f t="shared" si="12682"/>
        <v>Achille</v>
      </c>
    </row>
    <row r="12685" spans="1:5">
      <c r="A12685" s="3" t="s">
        <v>22771</v>
      </c>
      <c r="B12685" s="3" t="s">
        <v>23609</v>
      </c>
      <c r="C12685" s="111" t="s">
        <v>16929</v>
      </c>
      <c r="D12685" s="111" t="str">
        <f t="shared" ref="D12685:E12685" si="12683">TRIM(B12685)</f>
        <v>x</v>
      </c>
      <c r="E12685" s="111" t="str">
        <f t="shared" si="12683"/>
        <v>Ada</v>
      </c>
    </row>
    <row r="12686" spans="1:5">
      <c r="A12686" s="3" t="s">
        <v>23610</v>
      </c>
      <c r="B12686" s="110" t="s">
        <v>1362</v>
      </c>
      <c r="C12686" s="111" t="s">
        <v>16929</v>
      </c>
      <c r="D12686" s="111" t="str">
        <f t="shared" ref="D12686:E12686" si="12684">TRIM(B12686)</f>
        <v>Oklahoma</v>
      </c>
      <c r="E12686" s="111" t="str">
        <f t="shared" si="12684"/>
        <v>Ada</v>
      </c>
    </row>
    <row r="12687" spans="1:5">
      <c r="A12687" s="3" t="s">
        <v>23611</v>
      </c>
      <c r="B12687" s="110" t="s">
        <v>1362</v>
      </c>
      <c r="C12687" s="111" t="s">
        <v>16929</v>
      </c>
      <c r="D12687" s="111" t="str">
        <f t="shared" ref="D12687:E12687" si="12685">TRIM(B12687)</f>
        <v>Oklahoma</v>
      </c>
      <c r="E12687" s="111" t="str">
        <f t="shared" si="12685"/>
        <v>Ada</v>
      </c>
    </row>
    <row r="12688" spans="1:5">
      <c r="A12688" s="3" t="s">
        <v>23612</v>
      </c>
      <c r="B12688" s="110" t="s">
        <v>1362</v>
      </c>
      <c r="C12688" s="111" t="s">
        <v>16929</v>
      </c>
      <c r="D12688" s="111" t="str">
        <f t="shared" ref="D12688:E12688" si="12686">TRIM(B12688)</f>
        <v>Oklahoma</v>
      </c>
      <c r="E12688" s="111" t="str">
        <f t="shared" si="12686"/>
        <v>Ada</v>
      </c>
    </row>
    <row r="12689" spans="1:5">
      <c r="A12689" s="3" t="s">
        <v>23613</v>
      </c>
      <c r="B12689" s="110" t="s">
        <v>1362</v>
      </c>
      <c r="C12689" s="111" t="s">
        <v>23614</v>
      </c>
      <c r="D12689" s="111" t="str">
        <f t="shared" ref="D12689:E12689" si="12687">TRIM(B12689)</f>
        <v>Oklahoma</v>
      </c>
      <c r="E12689" s="111" t="str">
        <f t="shared" si="12687"/>
        <v>Adair</v>
      </c>
    </row>
    <row r="12690" spans="1:5">
      <c r="A12690" s="3" t="s">
        <v>23615</v>
      </c>
      <c r="B12690" s="110" t="s">
        <v>1362</v>
      </c>
      <c r="C12690" s="111" t="s">
        <v>14683</v>
      </c>
      <c r="D12690" s="111" t="str">
        <f t="shared" ref="D12690:E12690" si="12688">TRIM(B12690)</f>
        <v>Oklahoma</v>
      </c>
      <c r="E12690" s="111" t="str">
        <f t="shared" si="12688"/>
        <v>Afton</v>
      </c>
    </row>
    <row r="12691" spans="1:5">
      <c r="A12691" s="3" t="s">
        <v>23616</v>
      </c>
      <c r="B12691" s="110" t="s">
        <v>1362</v>
      </c>
      <c r="C12691" s="111" t="s">
        <v>23617</v>
      </c>
      <c r="D12691" s="111" t="str">
        <f t="shared" ref="D12691:E12691" si="12689">TRIM(B12691)</f>
        <v>Oklahoma</v>
      </c>
      <c r="E12691" s="111" t="str">
        <f t="shared" si="12689"/>
        <v>Agra</v>
      </c>
    </row>
    <row r="12692" spans="1:5">
      <c r="A12692" s="3" t="s">
        <v>23618</v>
      </c>
      <c r="B12692" s="110" t="s">
        <v>1362</v>
      </c>
      <c r="C12692" s="111" t="s">
        <v>23619</v>
      </c>
      <c r="D12692" s="111" t="str">
        <f t="shared" ref="D12692:E12692" si="12690">TRIM(B12692)</f>
        <v>Oklahoma</v>
      </c>
      <c r="E12692" s="111" t="str">
        <f t="shared" si="12690"/>
        <v>Alex</v>
      </c>
    </row>
    <row r="12693" spans="1:5">
      <c r="A12693" s="3" t="s">
        <v>23620</v>
      </c>
      <c r="B12693" s="110" t="s">
        <v>1362</v>
      </c>
      <c r="C12693" s="111" t="s">
        <v>23621</v>
      </c>
      <c r="D12693" s="111" t="str">
        <f t="shared" ref="D12693:E12693" si="12691">TRIM(B12693)</f>
        <v>Oklahoma</v>
      </c>
      <c r="E12693" s="111" t="str">
        <f t="shared" si="12691"/>
        <v>Aline</v>
      </c>
    </row>
    <row r="12694" spans="1:5">
      <c r="A12694" s="3" t="s">
        <v>19479</v>
      </c>
      <c r="B12694" s="110" t="s">
        <v>1362</v>
      </c>
      <c r="C12694" s="111" t="s">
        <v>754</v>
      </c>
      <c r="D12694" s="111" t="str">
        <f t="shared" ref="D12694:E12694" si="12692">TRIM(B12694)</f>
        <v>Oklahoma</v>
      </c>
      <c r="E12694" s="111" t="str">
        <f t="shared" si="12692"/>
        <v>Allen</v>
      </c>
    </row>
    <row r="12695" spans="1:5">
      <c r="A12695" s="3" t="s">
        <v>23622</v>
      </c>
      <c r="B12695" s="110" t="s">
        <v>1362</v>
      </c>
      <c r="C12695" s="111" t="s">
        <v>23623</v>
      </c>
      <c r="D12695" s="111" t="str">
        <f t="shared" ref="D12695:E12695" si="12693">TRIM(B12695)</f>
        <v>Oklahoma</v>
      </c>
      <c r="E12695" s="111" t="str">
        <f t="shared" si="12693"/>
        <v>Altus</v>
      </c>
    </row>
    <row r="12696" spans="1:5">
      <c r="A12696" s="3" t="s">
        <v>23624</v>
      </c>
      <c r="B12696" s="110" t="s">
        <v>1362</v>
      </c>
      <c r="C12696" s="111" t="s">
        <v>23623</v>
      </c>
      <c r="D12696" s="111" t="str">
        <f t="shared" ref="D12696:E12696" si="12694">TRIM(B12696)</f>
        <v>Oklahoma</v>
      </c>
      <c r="E12696" s="111" t="str">
        <f t="shared" si="12694"/>
        <v>Altus</v>
      </c>
    </row>
    <row r="12697" spans="1:5">
      <c r="A12697" s="3" t="s">
        <v>23625</v>
      </c>
      <c r="B12697" s="110" t="s">
        <v>1362</v>
      </c>
      <c r="C12697" s="111" t="s">
        <v>23626</v>
      </c>
      <c r="D12697" s="111" t="str">
        <f t="shared" ref="D12697:E12697" si="12695">TRIM(B12697)</f>
        <v>Oklahoma</v>
      </c>
      <c r="E12697" s="111" t="str">
        <f t="shared" si="12695"/>
        <v>Alva</v>
      </c>
    </row>
    <row r="12698" spans="1:5">
      <c r="A12698" s="3" t="s">
        <v>23627</v>
      </c>
      <c r="B12698" s="110" t="s">
        <v>1362</v>
      </c>
      <c r="C12698" s="111" t="s">
        <v>23628</v>
      </c>
      <c r="D12698" s="111" t="str">
        <f t="shared" ref="D12698:E12698" si="12696">TRIM(B12698)</f>
        <v>Oklahoma</v>
      </c>
      <c r="E12698" s="111" t="str">
        <f t="shared" si="12696"/>
        <v>Amber</v>
      </c>
    </row>
    <row r="12699" spans="1:5">
      <c r="A12699" s="3" t="s">
        <v>23629</v>
      </c>
      <c r="B12699" s="110" t="s">
        <v>1362</v>
      </c>
      <c r="C12699" s="111" t="s">
        <v>23630</v>
      </c>
      <c r="D12699" s="111" t="str">
        <f t="shared" ref="D12699:E12699" si="12697">TRIM(B12699)</f>
        <v>Oklahoma</v>
      </c>
      <c r="E12699" s="111" t="str">
        <f t="shared" si="12697"/>
        <v>Anadarko</v>
      </c>
    </row>
    <row r="12700" spans="1:5">
      <c r="A12700" s="3" t="s">
        <v>23631</v>
      </c>
      <c r="B12700" s="110" t="s">
        <v>1362</v>
      </c>
      <c r="C12700" s="111" t="s">
        <v>23632</v>
      </c>
      <c r="D12700" s="111" t="str">
        <f t="shared" ref="D12700:E12700" si="12698">TRIM(B12700)</f>
        <v>Oklahoma</v>
      </c>
      <c r="E12700" s="111" t="str">
        <f t="shared" si="12698"/>
        <v>Antlers</v>
      </c>
    </row>
    <row r="12701" spans="1:5">
      <c r="A12701" s="3" t="s">
        <v>23633</v>
      </c>
      <c r="B12701" s="110" t="s">
        <v>1362</v>
      </c>
      <c r="C12701" s="111" t="s">
        <v>23634</v>
      </c>
      <c r="D12701" s="111" t="str">
        <f t="shared" ref="D12701:E12701" si="12699">TRIM(B12701)</f>
        <v>Oklahoma</v>
      </c>
      <c r="E12701" s="111" t="str">
        <f t="shared" si="12699"/>
        <v>Apache</v>
      </c>
    </row>
    <row r="12702" spans="1:5">
      <c r="A12702" s="3" t="s">
        <v>23635</v>
      </c>
      <c r="B12702" s="110" t="s">
        <v>1362</v>
      </c>
      <c r="C12702" s="111" t="s">
        <v>23636</v>
      </c>
      <c r="D12702" s="111" t="str">
        <f t="shared" ref="D12702:E12702" si="12700">TRIM(B12702)</f>
        <v>Oklahoma</v>
      </c>
      <c r="E12702" s="111" t="str">
        <f t="shared" si="12700"/>
        <v>Arapaho</v>
      </c>
    </row>
    <row r="12703" spans="1:5">
      <c r="A12703" s="3" t="s">
        <v>1510</v>
      </c>
      <c r="B12703" s="110" t="s">
        <v>1362</v>
      </c>
      <c r="C12703" s="111" t="s">
        <v>1511</v>
      </c>
      <c r="D12703" s="111" t="str">
        <f t="shared" ref="D12703:E12703" si="12701">TRIM(B12703)</f>
        <v>Oklahoma</v>
      </c>
      <c r="E12703" s="111" t="str">
        <f t="shared" si="12701"/>
        <v>Ardmore</v>
      </c>
    </row>
    <row r="12704" spans="1:5">
      <c r="A12704" s="3" t="s">
        <v>23637</v>
      </c>
      <c r="B12704" s="110" t="s">
        <v>1362</v>
      </c>
      <c r="C12704" s="111" t="s">
        <v>1511</v>
      </c>
      <c r="D12704" s="111" t="str">
        <f t="shared" ref="D12704:E12704" si="12702">TRIM(B12704)</f>
        <v>Oklahoma</v>
      </c>
      <c r="E12704" s="111" t="str">
        <f t="shared" si="12702"/>
        <v>Ardmore</v>
      </c>
    </row>
    <row r="12705" spans="1:5">
      <c r="A12705" s="3" t="s">
        <v>23638</v>
      </c>
      <c r="B12705" s="110" t="s">
        <v>1362</v>
      </c>
      <c r="C12705" s="111" t="s">
        <v>1511</v>
      </c>
      <c r="D12705" s="111" t="str">
        <f t="shared" ref="D12705:E12705" si="12703">TRIM(B12705)</f>
        <v>Oklahoma</v>
      </c>
      <c r="E12705" s="111" t="str">
        <f t="shared" si="12703"/>
        <v>Ardmore</v>
      </c>
    </row>
    <row r="12706" spans="1:5">
      <c r="A12706" s="3" t="s">
        <v>23639</v>
      </c>
      <c r="B12706" s="110" t="s">
        <v>1362</v>
      </c>
      <c r="C12706" s="111" t="s">
        <v>23640</v>
      </c>
      <c r="D12706" s="111" t="str">
        <f t="shared" ref="D12706:E12706" si="12704">TRIM(B12706)</f>
        <v>Oklahoma</v>
      </c>
      <c r="E12706" s="111" t="str">
        <f t="shared" si="12704"/>
        <v>Arkoma</v>
      </c>
    </row>
    <row r="12707" spans="1:5">
      <c r="A12707" s="3" t="s">
        <v>23641</v>
      </c>
      <c r="B12707" s="110" t="s">
        <v>1362</v>
      </c>
      <c r="C12707" s="111" t="s">
        <v>23642</v>
      </c>
      <c r="D12707" s="111" t="str">
        <f t="shared" ref="D12707:E12707" si="12705">TRIM(B12707)</f>
        <v>Oklahoma</v>
      </c>
      <c r="E12707" s="111" t="str">
        <f t="shared" si="12705"/>
        <v>Arnett</v>
      </c>
    </row>
    <row r="12708" spans="1:5">
      <c r="A12708" s="3" t="s">
        <v>23643</v>
      </c>
      <c r="B12708" s="110" t="s">
        <v>1362</v>
      </c>
      <c r="C12708" s="112" t="s">
        <v>23644</v>
      </c>
      <c r="D12708" s="111" t="str">
        <f t="shared" ref="D12708:E12708" si="12706">TRIM(B12708)</f>
        <v>Oklahoma</v>
      </c>
      <c r="E12708" s="111" t="str">
        <f t="shared" si="12706"/>
        <v>Asher</v>
      </c>
    </row>
    <row r="12709" spans="1:5">
      <c r="A12709" s="3" t="s">
        <v>23645</v>
      </c>
      <c r="B12709" s="110" t="s">
        <v>1362</v>
      </c>
      <c r="C12709" s="111" t="s">
        <v>23646</v>
      </c>
      <c r="D12709" s="111" t="str">
        <f t="shared" ref="D12709:E12709" si="12707">TRIM(B12709)</f>
        <v>Oklahoma</v>
      </c>
      <c r="E12709" s="111" t="str">
        <f t="shared" si="12707"/>
        <v>Atoka</v>
      </c>
    </row>
    <row r="12710" spans="1:5">
      <c r="A12710" s="3" t="s">
        <v>23647</v>
      </c>
      <c r="B12710" s="110" t="s">
        <v>1362</v>
      </c>
      <c r="C12710" s="111" t="s">
        <v>23646</v>
      </c>
      <c r="D12710" s="111" t="str">
        <f t="shared" ref="D12710:E12710" si="12708">TRIM(B12710)</f>
        <v>Oklahoma</v>
      </c>
      <c r="E12710" s="111" t="str">
        <f t="shared" si="12708"/>
        <v>Atoka</v>
      </c>
    </row>
    <row r="12711" spans="1:5">
      <c r="A12711" s="3" t="s">
        <v>23648</v>
      </c>
      <c r="B12711" s="110" t="s">
        <v>1362</v>
      </c>
      <c r="C12711" s="111" t="s">
        <v>23649</v>
      </c>
      <c r="D12711" s="111" t="str">
        <f t="shared" ref="D12711:E12711" si="12709">TRIM(B12711)</f>
        <v>Oklahoma</v>
      </c>
      <c r="E12711" s="111" t="str">
        <f t="shared" si="12709"/>
        <v>Balko</v>
      </c>
    </row>
    <row r="12712" spans="1:5">
      <c r="A12712" s="3" t="s">
        <v>23650</v>
      </c>
      <c r="B12712" s="110" t="s">
        <v>1362</v>
      </c>
      <c r="C12712" s="111" t="s">
        <v>23651</v>
      </c>
      <c r="D12712" s="111" t="str">
        <f t="shared" ref="D12712:E12712" si="12710">TRIM(B12712)</f>
        <v>Oklahoma</v>
      </c>
      <c r="E12712" s="111" t="str">
        <f t="shared" si="12710"/>
        <v>Barnsdall</v>
      </c>
    </row>
    <row r="12713" spans="1:5">
      <c r="A12713" s="3" t="s">
        <v>23652</v>
      </c>
      <c r="B12713" s="110" t="s">
        <v>1362</v>
      </c>
      <c r="C12713" s="111" t="s">
        <v>23653</v>
      </c>
      <c r="D12713" s="111" t="str">
        <f t="shared" ref="D12713:E12713" si="12711">TRIM(B12713)</f>
        <v>Oklahoma</v>
      </c>
      <c r="E12713" s="111" t="str">
        <f t="shared" si="12711"/>
        <v>Bartlesville</v>
      </c>
    </row>
    <row r="12714" spans="1:5">
      <c r="A12714" s="3" t="s">
        <v>23654</v>
      </c>
      <c r="B12714" s="110" t="s">
        <v>1362</v>
      </c>
      <c r="C12714" s="111" t="s">
        <v>23653</v>
      </c>
      <c r="D12714" s="111" t="str">
        <f t="shared" ref="D12714:E12714" si="12712">TRIM(B12714)</f>
        <v>Oklahoma</v>
      </c>
      <c r="E12714" s="111" t="str">
        <f t="shared" si="12712"/>
        <v>Bartlesville</v>
      </c>
    </row>
    <row r="12715" spans="1:5">
      <c r="A12715" s="3" t="s">
        <v>23655</v>
      </c>
      <c r="B12715" s="110" t="s">
        <v>1362</v>
      </c>
      <c r="C12715" s="111" t="s">
        <v>23656</v>
      </c>
      <c r="D12715" s="111" t="str">
        <f t="shared" ref="D12715:E12715" si="12713">TRIM(B12715)</f>
        <v>Oklahoma</v>
      </c>
      <c r="E12715" s="111" t="str">
        <f t="shared" si="12713"/>
        <v>Battiest</v>
      </c>
    </row>
    <row r="12716" spans="1:5">
      <c r="A12716" s="3" t="s">
        <v>23657</v>
      </c>
      <c r="B12716" s="110" t="s">
        <v>1362</v>
      </c>
      <c r="C12716" s="111" t="s">
        <v>22816</v>
      </c>
      <c r="D12716" s="111" t="str">
        <f t="shared" ref="D12716:E12716" si="12714">TRIM(B12716)</f>
        <v>Oklahoma</v>
      </c>
      <c r="E12716" s="111" t="str">
        <f t="shared" si="12714"/>
        <v>Beaver</v>
      </c>
    </row>
    <row r="12717" spans="1:5">
      <c r="A12717" s="3" t="s">
        <v>23658</v>
      </c>
      <c r="B12717" s="110" t="s">
        <v>1362</v>
      </c>
      <c r="C12717" s="111" t="s">
        <v>23659</v>
      </c>
      <c r="D12717" s="111" t="str">
        <f t="shared" ref="D12717:E12717" si="12715">TRIM(B12717)</f>
        <v>Oklahoma</v>
      </c>
      <c r="E12717" s="111" t="str">
        <f t="shared" si="12715"/>
        <v>Beggs</v>
      </c>
    </row>
    <row r="12718" spans="1:5">
      <c r="A12718" s="3" t="s">
        <v>19506</v>
      </c>
      <c r="B12718" s="110" t="s">
        <v>1362</v>
      </c>
      <c r="C12718" s="111" t="s">
        <v>521</v>
      </c>
      <c r="D12718" s="111" t="str">
        <f t="shared" ref="D12718:E12718" si="12716">TRIM(B12718)</f>
        <v>Oklahoma</v>
      </c>
      <c r="E12718" s="111" t="str">
        <f t="shared" si="12716"/>
        <v>Bennington</v>
      </c>
    </row>
    <row r="12719" spans="1:5">
      <c r="A12719" s="3" t="s">
        <v>23660</v>
      </c>
      <c r="B12719" s="110" t="s">
        <v>1362</v>
      </c>
      <c r="C12719" s="111" t="s">
        <v>12084</v>
      </c>
      <c r="D12719" s="111" t="str">
        <f t="shared" ref="D12719:E12719" si="12717">TRIM(B12719)</f>
        <v>Oklahoma</v>
      </c>
      <c r="E12719" s="111" t="str">
        <f t="shared" si="12717"/>
        <v>Bethany</v>
      </c>
    </row>
    <row r="12720" spans="1:5">
      <c r="A12720" s="3" t="s">
        <v>23661</v>
      </c>
      <c r="B12720" s="110" t="s">
        <v>1362</v>
      </c>
      <c r="C12720" s="111" t="s">
        <v>556</v>
      </c>
      <c r="D12720" s="111" t="str">
        <f t="shared" ref="D12720:E12720" si="12718">TRIM(B12720)</f>
        <v>Oklahoma</v>
      </c>
      <c r="E12720" s="111" t="str">
        <f t="shared" si="12718"/>
        <v>Billings</v>
      </c>
    </row>
    <row r="12721" spans="1:5">
      <c r="A12721" s="3" t="s">
        <v>23662</v>
      </c>
      <c r="B12721" s="110" t="s">
        <v>1362</v>
      </c>
      <c r="C12721" s="111" t="s">
        <v>23663</v>
      </c>
      <c r="D12721" s="111" t="str">
        <f t="shared" ref="D12721:E12721" si="12719">TRIM(B12721)</f>
        <v>Oklahoma</v>
      </c>
      <c r="E12721" s="111" t="str">
        <f t="shared" si="12719"/>
        <v>Binger</v>
      </c>
    </row>
    <row r="12722" spans="1:5">
      <c r="A12722" s="3" t="s">
        <v>23664</v>
      </c>
      <c r="B12722" s="110" t="s">
        <v>1362</v>
      </c>
      <c r="C12722" s="111" t="s">
        <v>23665</v>
      </c>
      <c r="D12722" s="111" t="str">
        <f t="shared" ref="D12722:E12722" si="12720">TRIM(B12722)</f>
        <v>Oklahoma</v>
      </c>
      <c r="E12722" s="111" t="str">
        <f t="shared" si="12720"/>
        <v>Bixby</v>
      </c>
    </row>
    <row r="12723" spans="1:5">
      <c r="A12723" s="3" t="s">
        <v>23666</v>
      </c>
      <c r="B12723" s="110" t="s">
        <v>1362</v>
      </c>
      <c r="C12723" s="111" t="s">
        <v>23667</v>
      </c>
      <c r="D12723" s="111" t="str">
        <f t="shared" ref="D12723:E12723" si="12721">TRIM(B12723)</f>
        <v>Oklahoma</v>
      </c>
      <c r="E12723" s="111" t="str">
        <f t="shared" si="12721"/>
        <v>Blackwell</v>
      </c>
    </row>
    <row r="12724" spans="1:5">
      <c r="A12724" s="3" t="s">
        <v>6318</v>
      </c>
      <c r="B12724" s="110" t="s">
        <v>1362</v>
      </c>
      <c r="C12724" s="111" t="s">
        <v>19511</v>
      </c>
      <c r="D12724" s="111" t="str">
        <f t="shared" ref="D12724:E12724" si="12722">TRIM(B12724)</f>
        <v>Oklahoma</v>
      </c>
      <c r="E12724" s="111" t="str">
        <f t="shared" si="12722"/>
        <v>Blair</v>
      </c>
    </row>
    <row r="12725" spans="1:5">
      <c r="A12725" s="3" t="s">
        <v>23668</v>
      </c>
      <c r="B12725" s="110" t="s">
        <v>1362</v>
      </c>
      <c r="C12725" s="111" t="s">
        <v>16991</v>
      </c>
      <c r="D12725" s="111" t="str">
        <f t="shared" ref="D12725:E12725" si="12723">TRIM(B12725)</f>
        <v>Oklahoma</v>
      </c>
      <c r="E12725" s="111" t="str">
        <f t="shared" si="12723"/>
        <v>Blanchard</v>
      </c>
    </row>
    <row r="12726" spans="1:5">
      <c r="A12726" s="3" t="s">
        <v>23669</v>
      </c>
      <c r="B12726" s="110" t="s">
        <v>1362</v>
      </c>
      <c r="C12726" s="111" t="s">
        <v>16991</v>
      </c>
      <c r="D12726" s="111" t="str">
        <f t="shared" ref="D12726:E12726" si="12724">TRIM(B12726)</f>
        <v>Oklahoma</v>
      </c>
      <c r="E12726" s="111" t="str">
        <f t="shared" si="12724"/>
        <v>Blanchard</v>
      </c>
    </row>
    <row r="12727" spans="1:5">
      <c r="A12727" s="3" t="s">
        <v>23670</v>
      </c>
      <c r="B12727" s="110" t="s">
        <v>1362</v>
      </c>
      <c r="C12727" s="111" t="s">
        <v>23671</v>
      </c>
      <c r="D12727" s="111" t="str">
        <f t="shared" ref="D12727:E12727" si="12725">TRIM(B12727)</f>
        <v>Oklahoma</v>
      </c>
      <c r="E12727" s="111" t="str">
        <f t="shared" si="12725"/>
        <v>Bluejacket</v>
      </c>
    </row>
    <row r="12728" spans="1:5">
      <c r="A12728" s="3" t="s">
        <v>23672</v>
      </c>
      <c r="B12728" s="110" t="s">
        <v>1362</v>
      </c>
      <c r="C12728" s="111" t="s">
        <v>23673</v>
      </c>
      <c r="D12728" s="111" t="str">
        <f t="shared" ref="D12728:E12728" si="12726">TRIM(B12728)</f>
        <v>Oklahoma</v>
      </c>
      <c r="E12728" s="111" t="str">
        <f t="shared" si="12726"/>
        <v>Boise City</v>
      </c>
    </row>
    <row r="12729" spans="1:5">
      <c r="A12729" s="3" t="s">
        <v>23674</v>
      </c>
      <c r="B12729" s="110" t="s">
        <v>1362</v>
      </c>
      <c r="C12729" s="111" t="s">
        <v>23675</v>
      </c>
      <c r="D12729" s="111" t="str">
        <f t="shared" ref="D12729:E12729" si="12727">TRIM(B12729)</f>
        <v>Oklahoma</v>
      </c>
      <c r="E12729" s="111" t="str">
        <f t="shared" si="12727"/>
        <v>Bokchito</v>
      </c>
    </row>
    <row r="12730" spans="1:5">
      <c r="A12730" s="3" t="s">
        <v>23676</v>
      </c>
      <c r="B12730" s="110" t="s">
        <v>1362</v>
      </c>
      <c r="C12730" s="111" t="s">
        <v>23677</v>
      </c>
      <c r="D12730" s="111" t="str">
        <f t="shared" ref="D12730:E12730" si="12728">TRIM(B12730)</f>
        <v>Oklahoma</v>
      </c>
      <c r="E12730" s="111" t="str">
        <f t="shared" si="12728"/>
        <v>Bokoshe</v>
      </c>
    </row>
    <row r="12731" spans="1:5">
      <c r="A12731" s="3" t="s">
        <v>23678</v>
      </c>
      <c r="B12731" s="110" t="s">
        <v>1362</v>
      </c>
      <c r="C12731" s="111" t="s">
        <v>23679</v>
      </c>
      <c r="D12731" s="111" t="str">
        <f t="shared" ref="D12731:E12731" si="12729">TRIM(B12731)</f>
        <v>Oklahoma</v>
      </c>
      <c r="E12731" s="111" t="str">
        <f t="shared" si="12729"/>
        <v>Boswell</v>
      </c>
    </row>
    <row r="12732" spans="1:5">
      <c r="A12732" s="3" t="s">
        <v>23680</v>
      </c>
      <c r="B12732" s="110" t="s">
        <v>1362</v>
      </c>
      <c r="C12732" s="111" t="s">
        <v>23681</v>
      </c>
      <c r="D12732" s="111" t="str">
        <f t="shared" ref="D12732:E12732" si="12730">TRIM(B12732)</f>
        <v>Oklahoma</v>
      </c>
      <c r="E12732" s="111" t="str">
        <f t="shared" si="12730"/>
        <v>Bowlegs</v>
      </c>
    </row>
    <row r="12733" spans="1:5">
      <c r="A12733" s="3" t="s">
        <v>23682</v>
      </c>
      <c r="B12733" s="110" t="s">
        <v>1362</v>
      </c>
      <c r="C12733" s="111" t="s">
        <v>23683</v>
      </c>
      <c r="D12733" s="111" t="str">
        <f t="shared" ref="D12733:E12733" si="12731">TRIM(B12733)</f>
        <v>Oklahoma</v>
      </c>
      <c r="E12733" s="111" t="str">
        <f t="shared" si="12731"/>
        <v>Braggs</v>
      </c>
    </row>
    <row r="12734" spans="1:5">
      <c r="A12734" s="3" t="s">
        <v>23684</v>
      </c>
      <c r="B12734" s="110" t="s">
        <v>1362</v>
      </c>
      <c r="C12734" s="111" t="s">
        <v>23685</v>
      </c>
      <c r="D12734" s="111" t="str">
        <f t="shared" ref="D12734:E12734" si="12732">TRIM(B12734)</f>
        <v>Oklahoma</v>
      </c>
      <c r="E12734" s="111" t="str">
        <f t="shared" si="12732"/>
        <v>Bristow</v>
      </c>
    </row>
    <row r="12735" spans="1:5">
      <c r="A12735" s="3" t="s">
        <v>23686</v>
      </c>
      <c r="B12735" s="110" t="s">
        <v>1362</v>
      </c>
      <c r="C12735" s="111" t="s">
        <v>7750</v>
      </c>
      <c r="D12735" s="111" t="str">
        <f t="shared" ref="D12735:E12735" si="12733">TRIM(B12735)</f>
        <v>Oklahoma</v>
      </c>
      <c r="E12735" s="111" t="str">
        <f t="shared" si="12733"/>
        <v>Broken Arrow</v>
      </c>
    </row>
    <row r="12736" spans="1:5">
      <c r="A12736" s="3" t="s">
        <v>19517</v>
      </c>
      <c r="B12736" s="110" t="s">
        <v>1362</v>
      </c>
      <c r="C12736" s="111" t="s">
        <v>19518</v>
      </c>
      <c r="D12736" s="111" t="str">
        <f t="shared" ref="D12736:E12736" si="12734">TRIM(B12736)</f>
        <v>Oklahoma</v>
      </c>
      <c r="E12736" s="111" t="str">
        <f t="shared" si="12734"/>
        <v>Broken Bow</v>
      </c>
    </row>
    <row r="12737" spans="1:5">
      <c r="A12737" s="3" t="s">
        <v>18657</v>
      </c>
      <c r="B12737" s="110" t="s">
        <v>1362</v>
      </c>
      <c r="C12737" s="111" t="s">
        <v>12129</v>
      </c>
      <c r="D12737" s="111" t="str">
        <f t="shared" ref="D12737:E12737" si="12735">TRIM(B12737)</f>
        <v>Oklahoma</v>
      </c>
      <c r="E12737" s="111" t="str">
        <f t="shared" si="12735"/>
        <v>Buffalo</v>
      </c>
    </row>
    <row r="12738" spans="1:5">
      <c r="A12738" s="3" t="s">
        <v>23687</v>
      </c>
      <c r="B12738" s="110" t="s">
        <v>1362</v>
      </c>
      <c r="C12738" s="111" t="s">
        <v>23688</v>
      </c>
      <c r="D12738" s="111" t="str">
        <f t="shared" ref="D12738:E12738" si="12736">TRIM(B12738)</f>
        <v>Oklahoma</v>
      </c>
      <c r="E12738" s="111" t="str">
        <f t="shared" si="12736"/>
        <v>Bunch</v>
      </c>
    </row>
    <row r="12739" spans="1:5">
      <c r="A12739" s="3" t="s">
        <v>7666</v>
      </c>
      <c r="B12739" s="110" t="s">
        <v>1362</v>
      </c>
      <c r="C12739" s="111" t="s">
        <v>7667</v>
      </c>
      <c r="D12739" s="111" t="str">
        <f t="shared" ref="D12739:E12739" si="12737">TRIM(B12739)</f>
        <v>Oklahoma</v>
      </c>
      <c r="E12739" s="111" t="str">
        <f t="shared" si="12737"/>
        <v>Burlington</v>
      </c>
    </row>
    <row r="12740" spans="1:5">
      <c r="A12740" s="3" t="s">
        <v>15342</v>
      </c>
      <c r="B12740" s="110" t="s">
        <v>1362</v>
      </c>
      <c r="C12740" s="111" t="s">
        <v>23689</v>
      </c>
      <c r="D12740" s="111" t="str">
        <f t="shared" ref="D12740:E12740" si="12738">TRIM(B12740)</f>
        <v>Oklahoma</v>
      </c>
      <c r="E12740" s="111" t="str">
        <f t="shared" si="12738"/>
        <v>Burneyville</v>
      </c>
    </row>
    <row r="12741" spans="1:5">
      <c r="A12741" s="3" t="s">
        <v>23690</v>
      </c>
      <c r="B12741" s="110" t="s">
        <v>1362</v>
      </c>
      <c r="C12741" s="111" t="s">
        <v>23691</v>
      </c>
      <c r="D12741" s="111" t="str">
        <f t="shared" ref="D12741:E12741" si="12739">TRIM(B12741)</f>
        <v>Oklahoma</v>
      </c>
      <c r="E12741" s="111" t="str">
        <f t="shared" si="12739"/>
        <v>Burns Flat</v>
      </c>
    </row>
    <row r="12742" spans="1:5">
      <c r="A12742" s="3" t="s">
        <v>23692</v>
      </c>
      <c r="B12742" s="110" t="s">
        <v>1362</v>
      </c>
      <c r="C12742" s="111" t="s">
        <v>23693</v>
      </c>
      <c r="D12742" s="111" t="str">
        <f t="shared" ref="D12742:E12742" si="12740">TRIM(B12742)</f>
        <v>Oklahoma</v>
      </c>
      <c r="E12742" s="111" t="str">
        <f t="shared" si="12740"/>
        <v>Cache</v>
      </c>
    </row>
    <row r="12743" spans="1:5">
      <c r="A12743" s="3" t="s">
        <v>23694</v>
      </c>
      <c r="B12743" s="110" t="s">
        <v>1362</v>
      </c>
      <c r="C12743" s="111" t="s">
        <v>23695</v>
      </c>
      <c r="D12743" s="111" t="str">
        <f t="shared" ref="D12743:E12743" si="12741">TRIM(B12743)</f>
        <v>Oklahoma</v>
      </c>
      <c r="E12743" s="111" t="str">
        <f t="shared" si="12741"/>
        <v>Caddo</v>
      </c>
    </row>
    <row r="12744" spans="1:5">
      <c r="A12744" s="3" t="s">
        <v>1602</v>
      </c>
      <c r="B12744" s="110" t="s">
        <v>1362</v>
      </c>
      <c r="C12744" s="111" t="s">
        <v>1603</v>
      </c>
      <c r="D12744" s="111" t="str">
        <f t="shared" ref="D12744:E12744" si="12742">TRIM(B12744)</f>
        <v>Oklahoma</v>
      </c>
      <c r="E12744" s="111" t="str">
        <f t="shared" si="12742"/>
        <v>Calera</v>
      </c>
    </row>
    <row r="12745" spans="1:5">
      <c r="A12745" s="3" t="s">
        <v>17025</v>
      </c>
      <c r="B12745" s="110" t="s">
        <v>1362</v>
      </c>
      <c r="C12745" s="111" t="s">
        <v>17026</v>
      </c>
      <c r="D12745" s="111" t="str">
        <f t="shared" ref="D12745:E12745" si="12743">TRIM(B12745)</f>
        <v>Oklahoma</v>
      </c>
      <c r="E12745" s="111" t="str">
        <f t="shared" si="12743"/>
        <v>Calumet</v>
      </c>
    </row>
    <row r="12746" spans="1:5">
      <c r="A12746" s="3" t="s">
        <v>23696</v>
      </c>
      <c r="B12746" s="110" t="s">
        <v>1362</v>
      </c>
      <c r="C12746" s="111" t="s">
        <v>23697</v>
      </c>
      <c r="D12746" s="111" t="str">
        <f t="shared" ref="D12746:E12746" si="12744">TRIM(B12746)</f>
        <v>Oklahoma</v>
      </c>
      <c r="E12746" s="111" t="str">
        <f t="shared" si="12744"/>
        <v>Calvin</v>
      </c>
    </row>
    <row r="12747" spans="1:5">
      <c r="A12747" s="3" t="s">
        <v>18672</v>
      </c>
      <c r="B12747" s="110" t="s">
        <v>1362</v>
      </c>
      <c r="C12747" s="111" t="s">
        <v>13742</v>
      </c>
      <c r="D12747" s="111" t="str">
        <f t="shared" ref="D12747:E12747" si="12745">TRIM(B12747)</f>
        <v>Oklahoma</v>
      </c>
      <c r="E12747" s="111" t="str">
        <f t="shared" si="12745"/>
        <v>Cameron</v>
      </c>
    </row>
    <row r="12748" spans="1:5">
      <c r="A12748" s="3" t="s">
        <v>23698</v>
      </c>
      <c r="B12748" s="110" t="s">
        <v>1362</v>
      </c>
      <c r="C12748" s="111" t="s">
        <v>23699</v>
      </c>
      <c r="D12748" s="111" t="str">
        <f t="shared" ref="D12748:E12748" si="12746">TRIM(B12748)</f>
        <v>Oklahoma</v>
      </c>
      <c r="E12748" s="111" t="str">
        <f t="shared" si="12746"/>
        <v>Canadian</v>
      </c>
    </row>
    <row r="12749" spans="1:5">
      <c r="A12749" s="3" t="s">
        <v>23700</v>
      </c>
      <c r="B12749" s="110" t="s">
        <v>1362</v>
      </c>
      <c r="C12749" s="111" t="s">
        <v>15201</v>
      </c>
      <c r="D12749" s="111" t="str">
        <f t="shared" ref="D12749:E12749" si="12747">TRIM(B12749)</f>
        <v>Oklahoma</v>
      </c>
      <c r="E12749" s="111" t="str">
        <f t="shared" si="12747"/>
        <v>Caney</v>
      </c>
    </row>
    <row r="12750" spans="1:5">
      <c r="A12750" s="3" t="s">
        <v>8378</v>
      </c>
      <c r="B12750" s="110" t="s">
        <v>1362</v>
      </c>
      <c r="C12750" s="111" t="s">
        <v>1205</v>
      </c>
      <c r="D12750" s="111" t="str">
        <f t="shared" ref="D12750:E12750" si="12748">TRIM(B12750)</f>
        <v>Oklahoma</v>
      </c>
      <c r="E12750" s="111" t="str">
        <f t="shared" si="12748"/>
        <v>Canton</v>
      </c>
    </row>
    <row r="12751" spans="1:5">
      <c r="A12751" s="3" t="s">
        <v>23701</v>
      </c>
      <c r="B12751" s="110" t="s">
        <v>1362</v>
      </c>
      <c r="C12751" s="111" t="s">
        <v>23702</v>
      </c>
      <c r="D12751" s="111" t="str">
        <f t="shared" ref="D12751:E12751" si="12749">TRIM(B12751)</f>
        <v>Oklahoma</v>
      </c>
      <c r="E12751" s="111" t="str">
        <f t="shared" si="12749"/>
        <v>Canute</v>
      </c>
    </row>
    <row r="12752" spans="1:5">
      <c r="A12752" s="3" t="s">
        <v>23703</v>
      </c>
      <c r="B12752" s="110" t="s">
        <v>1362</v>
      </c>
      <c r="C12752" s="111" t="s">
        <v>23704</v>
      </c>
      <c r="D12752" s="111" t="str">
        <f t="shared" ref="D12752:E12752" si="12750">TRIM(B12752)</f>
        <v>Oklahoma</v>
      </c>
      <c r="E12752" s="111" t="str">
        <f t="shared" si="12750"/>
        <v>Carnegie</v>
      </c>
    </row>
    <row r="12753" spans="1:5">
      <c r="A12753" s="3" t="s">
        <v>23705</v>
      </c>
      <c r="B12753" s="110" t="s">
        <v>1362</v>
      </c>
      <c r="C12753" s="111" t="s">
        <v>23706</v>
      </c>
      <c r="D12753" s="111" t="str">
        <f t="shared" ref="D12753:E12753" si="12751">TRIM(B12753)</f>
        <v>Oklahoma</v>
      </c>
      <c r="E12753" s="111" t="str">
        <f t="shared" si="12751"/>
        <v>Carney</v>
      </c>
    </row>
    <row r="12754" spans="1:5">
      <c r="A12754" s="3" t="s">
        <v>23707</v>
      </c>
      <c r="B12754" s="110" t="s">
        <v>1362</v>
      </c>
      <c r="C12754" s="111" t="s">
        <v>23708</v>
      </c>
      <c r="D12754" s="111" t="str">
        <f t="shared" ref="D12754:E12754" si="12752">TRIM(B12754)</f>
        <v>Oklahoma</v>
      </c>
      <c r="E12754" s="111" t="str">
        <f t="shared" si="12752"/>
        <v>Cashion</v>
      </c>
    </row>
    <row r="12755" spans="1:5">
      <c r="A12755" s="3" t="s">
        <v>23709</v>
      </c>
      <c r="B12755" s="110" t="s">
        <v>1362</v>
      </c>
      <c r="C12755" s="111" t="s">
        <v>23710</v>
      </c>
      <c r="D12755" s="111" t="str">
        <f t="shared" ref="D12755:E12755" si="12753">TRIM(B12755)</f>
        <v>Oklahoma</v>
      </c>
      <c r="E12755" s="111" t="str">
        <f t="shared" si="12753"/>
        <v>Catoosa</v>
      </c>
    </row>
    <row r="12756" spans="1:5">
      <c r="A12756" s="3" t="s">
        <v>23711</v>
      </c>
      <c r="B12756" s="110" t="s">
        <v>1362</v>
      </c>
      <c r="C12756" s="111" t="s">
        <v>23712</v>
      </c>
      <c r="D12756" s="111" t="str">
        <f t="shared" ref="D12756:E12756" si="12754">TRIM(B12756)</f>
        <v>Oklahoma</v>
      </c>
      <c r="E12756" s="111" t="str">
        <f t="shared" si="12754"/>
        <v>Cement</v>
      </c>
    </row>
    <row r="12757" spans="1:5">
      <c r="A12757" s="3" t="s">
        <v>2548</v>
      </c>
      <c r="B12757" s="110" t="s">
        <v>1362</v>
      </c>
      <c r="C12757" s="111" t="s">
        <v>2540</v>
      </c>
      <c r="D12757" s="111" t="str">
        <f t="shared" ref="D12757:E12757" si="12755">TRIM(B12757)</f>
        <v>Oklahoma</v>
      </c>
      <c r="E12757" s="111" t="str">
        <f t="shared" si="12755"/>
        <v>Chandler</v>
      </c>
    </row>
    <row r="12758" spans="1:5">
      <c r="A12758" s="3" t="s">
        <v>23713</v>
      </c>
      <c r="B12758" s="110" t="s">
        <v>1362</v>
      </c>
      <c r="C12758" s="111" t="s">
        <v>780</v>
      </c>
      <c r="D12758" s="111" t="str">
        <f t="shared" ref="D12758:E12758" si="12756">TRIM(B12758)</f>
        <v>Oklahoma</v>
      </c>
      <c r="E12758" s="111" t="str">
        <f t="shared" si="12756"/>
        <v>Chattanooga</v>
      </c>
    </row>
    <row r="12759" spans="1:5">
      <c r="A12759" s="3" t="s">
        <v>23714</v>
      </c>
      <c r="B12759" s="110" t="s">
        <v>1362</v>
      </c>
      <c r="C12759" s="111" t="s">
        <v>23715</v>
      </c>
      <c r="D12759" s="111" t="str">
        <f t="shared" ref="D12759:E12759" si="12757">TRIM(B12759)</f>
        <v>Oklahoma</v>
      </c>
      <c r="E12759" s="111" t="str">
        <f t="shared" si="12757"/>
        <v>Checotah</v>
      </c>
    </row>
    <row r="12760" spans="1:5">
      <c r="A12760" s="3" t="s">
        <v>1622</v>
      </c>
      <c r="B12760" s="110" t="s">
        <v>1362</v>
      </c>
      <c r="C12760" s="111" t="s">
        <v>1624</v>
      </c>
      <c r="D12760" s="111" t="str">
        <f t="shared" ref="D12760:E12760" si="12758">TRIM(B12760)</f>
        <v>Oklahoma</v>
      </c>
      <c r="E12760" s="111" t="str">
        <f t="shared" si="12758"/>
        <v>Chelsea</v>
      </c>
    </row>
    <row r="12761" spans="1:5">
      <c r="A12761" s="3" t="s">
        <v>1625</v>
      </c>
      <c r="B12761" s="110" t="s">
        <v>1362</v>
      </c>
      <c r="C12761" s="111" t="s">
        <v>1626</v>
      </c>
      <c r="D12761" s="111" t="str">
        <f t="shared" ref="D12761:E12761" si="12759">TRIM(B12761)</f>
        <v>Oklahoma</v>
      </c>
      <c r="E12761" s="111" t="str">
        <f t="shared" si="12759"/>
        <v>Cherokee</v>
      </c>
    </row>
    <row r="12762" spans="1:5">
      <c r="A12762" s="3" t="s">
        <v>19865</v>
      </c>
      <c r="B12762" s="110" t="s">
        <v>1362</v>
      </c>
      <c r="C12762" s="111" t="s">
        <v>23716</v>
      </c>
      <c r="D12762" s="111" t="str">
        <f t="shared" ref="D12762:E12762" si="12760">TRIM(B12762)</f>
        <v>Oklahoma</v>
      </c>
      <c r="E12762" s="111" t="str">
        <f t="shared" si="12760"/>
        <v>Cheyenne</v>
      </c>
    </row>
    <row r="12763" spans="1:5">
      <c r="A12763" s="3" t="s">
        <v>23717</v>
      </c>
      <c r="B12763" s="110" t="s">
        <v>1362</v>
      </c>
      <c r="C12763" s="111" t="s">
        <v>23718</v>
      </c>
      <c r="D12763" s="111" t="str">
        <f t="shared" ref="D12763:E12763" si="12761">TRIM(B12763)</f>
        <v>Oklahoma</v>
      </c>
      <c r="E12763" s="111" t="str">
        <f t="shared" si="12761"/>
        <v>Chickasha</v>
      </c>
    </row>
    <row r="12764" spans="1:5">
      <c r="A12764" s="3" t="s">
        <v>23719</v>
      </c>
      <c r="B12764" s="110" t="s">
        <v>1362</v>
      </c>
      <c r="C12764" s="111" t="s">
        <v>8726</v>
      </c>
      <c r="D12764" s="111" t="str">
        <f t="shared" ref="D12764:E12764" si="12762">TRIM(B12764)</f>
        <v>Oklahoma</v>
      </c>
      <c r="E12764" s="111" t="str">
        <f t="shared" si="12762"/>
        <v>Choctaw</v>
      </c>
    </row>
    <row r="12765" spans="1:5">
      <c r="A12765" s="3" t="s">
        <v>23720</v>
      </c>
      <c r="B12765" s="110" t="s">
        <v>1362</v>
      </c>
      <c r="C12765" s="111" t="s">
        <v>23721</v>
      </c>
      <c r="D12765" s="111" t="str">
        <f t="shared" ref="D12765:E12765" si="12763">TRIM(B12765)</f>
        <v>Oklahoma</v>
      </c>
      <c r="E12765" s="111" t="str">
        <f t="shared" si="12763"/>
        <v>Chouteau</v>
      </c>
    </row>
    <row r="12766" spans="1:5">
      <c r="A12766" s="3" t="s">
        <v>23722</v>
      </c>
      <c r="B12766" s="110" t="s">
        <v>1362</v>
      </c>
      <c r="C12766" s="111" t="s">
        <v>23723</v>
      </c>
      <c r="D12766" s="111" t="str">
        <f t="shared" ref="D12766:E12766" si="12764">TRIM(B12766)</f>
        <v>Oklahoma</v>
      </c>
      <c r="E12766" s="111" t="str">
        <f t="shared" si="12764"/>
        <v>Claremore</v>
      </c>
    </row>
    <row r="12767" spans="1:5">
      <c r="A12767" s="3" t="s">
        <v>10498</v>
      </c>
      <c r="B12767" s="110" t="s">
        <v>1362</v>
      </c>
      <c r="C12767" s="111" t="s">
        <v>23723</v>
      </c>
      <c r="D12767" s="111" t="str">
        <f t="shared" ref="D12767:E12767" si="12765">TRIM(B12767)</f>
        <v>Oklahoma</v>
      </c>
      <c r="E12767" s="111" t="str">
        <f t="shared" si="12765"/>
        <v>Claremore</v>
      </c>
    </row>
    <row r="12768" spans="1:5">
      <c r="A12768" s="3" t="s">
        <v>23724</v>
      </c>
      <c r="B12768" s="110" t="s">
        <v>1362</v>
      </c>
      <c r="C12768" s="111" t="s">
        <v>23723</v>
      </c>
      <c r="D12768" s="111" t="str">
        <f t="shared" ref="D12768:E12768" si="12766">TRIM(B12768)</f>
        <v>Oklahoma</v>
      </c>
      <c r="E12768" s="111" t="str">
        <f t="shared" si="12766"/>
        <v>Claremore</v>
      </c>
    </row>
    <row r="12769" spans="1:5">
      <c r="A12769" s="3" t="s">
        <v>18702</v>
      </c>
      <c r="B12769" s="110" t="s">
        <v>1362</v>
      </c>
      <c r="C12769" s="111" t="s">
        <v>1640</v>
      </c>
      <c r="D12769" s="111" t="str">
        <f t="shared" ref="D12769:E12769" si="12767">TRIM(B12769)</f>
        <v>Oklahoma</v>
      </c>
      <c r="E12769" s="111" t="str">
        <f t="shared" si="12767"/>
        <v>Clayton</v>
      </c>
    </row>
    <row r="12770" spans="1:5">
      <c r="A12770" s="3" t="s">
        <v>1642</v>
      </c>
      <c r="B12770" s="110" t="s">
        <v>1362</v>
      </c>
      <c r="C12770" s="111" t="s">
        <v>127</v>
      </c>
      <c r="D12770" s="111" t="str">
        <f t="shared" ref="D12770:E12770" si="12768">TRIM(B12770)</f>
        <v>Oklahoma</v>
      </c>
      <c r="E12770" s="111" t="str">
        <f t="shared" si="12768"/>
        <v>Cleveland</v>
      </c>
    </row>
    <row r="12771" spans="1:5">
      <c r="A12771" s="3" t="s">
        <v>3695</v>
      </c>
      <c r="B12771" s="110" t="s">
        <v>1362</v>
      </c>
      <c r="C12771" s="111" t="s">
        <v>3697</v>
      </c>
      <c r="D12771" s="111" t="str">
        <f t="shared" ref="D12771:E12771" si="12769">TRIM(B12771)</f>
        <v>Oklahoma</v>
      </c>
      <c r="E12771" s="111" t="str">
        <f t="shared" si="12769"/>
        <v>Clinton</v>
      </c>
    </row>
    <row r="12772" spans="1:5">
      <c r="A12772" s="3" t="s">
        <v>23725</v>
      </c>
      <c r="B12772" s="110" t="s">
        <v>1362</v>
      </c>
      <c r="C12772" s="111" t="s">
        <v>23726</v>
      </c>
      <c r="D12772" s="111" t="str">
        <f t="shared" ref="D12772:E12772" si="12770">TRIM(B12772)</f>
        <v>Oklahoma</v>
      </c>
      <c r="E12772" s="111" t="str">
        <f t="shared" si="12770"/>
        <v>Coalgate</v>
      </c>
    </row>
    <row r="12773" spans="1:5">
      <c r="A12773" s="3" t="s">
        <v>23727</v>
      </c>
      <c r="B12773" s="110" t="s">
        <v>1362</v>
      </c>
      <c r="C12773" s="111" t="s">
        <v>23728</v>
      </c>
      <c r="D12773" s="111" t="str">
        <f t="shared" ref="D12773:E12773" si="12771">TRIM(B12773)</f>
        <v>Oklahoma</v>
      </c>
      <c r="E12773" s="111" t="str">
        <f t="shared" si="12771"/>
        <v>Colbert</v>
      </c>
    </row>
    <row r="12774" spans="1:5">
      <c r="A12774" s="3" t="s">
        <v>23729</v>
      </c>
      <c r="B12774" s="110" t="s">
        <v>1362</v>
      </c>
      <c r="C12774" s="111" t="s">
        <v>23730</v>
      </c>
      <c r="D12774" s="111" t="str">
        <f t="shared" ref="D12774:E12774" si="12772">TRIM(B12774)</f>
        <v>Oklahoma</v>
      </c>
      <c r="E12774" s="111" t="str">
        <f t="shared" si="12772"/>
        <v>Colcord</v>
      </c>
    </row>
    <row r="12775" spans="1:5">
      <c r="A12775" s="3" t="s">
        <v>23731</v>
      </c>
      <c r="B12775" s="110" t="s">
        <v>1362</v>
      </c>
      <c r="C12775" s="111" t="s">
        <v>17074</v>
      </c>
      <c r="D12775" s="111" t="str">
        <f t="shared" ref="D12775:E12775" si="12773">TRIM(B12775)</f>
        <v>Oklahoma</v>
      </c>
      <c r="E12775" s="111" t="str">
        <f t="shared" si="12773"/>
        <v>Coleman</v>
      </c>
    </row>
    <row r="12776" spans="1:5">
      <c r="A12776" s="3" t="s">
        <v>12696</v>
      </c>
      <c r="B12776" s="110" t="s">
        <v>1362</v>
      </c>
      <c r="C12776" s="111" t="s">
        <v>801</v>
      </c>
      <c r="D12776" s="111" t="str">
        <f t="shared" ref="D12776:E12776" si="12774">TRIM(B12776)</f>
        <v>Oklahoma</v>
      </c>
      <c r="E12776" s="111" t="str">
        <f t="shared" si="12774"/>
        <v>Collinsville</v>
      </c>
    </row>
    <row r="12777" spans="1:5">
      <c r="A12777" s="3" t="s">
        <v>23732</v>
      </c>
      <c r="B12777" s="110" t="s">
        <v>1362</v>
      </c>
      <c r="C12777" s="111" t="s">
        <v>23733</v>
      </c>
      <c r="D12777" s="111" t="str">
        <f t="shared" ref="D12777:E12777" si="12775">TRIM(B12777)</f>
        <v>Oklahoma</v>
      </c>
      <c r="E12777" s="111" t="str">
        <f t="shared" si="12775"/>
        <v>Comanche</v>
      </c>
    </row>
    <row r="12778" spans="1:5">
      <c r="A12778" s="3" t="s">
        <v>10580</v>
      </c>
      <c r="B12778" s="110" t="s">
        <v>1362</v>
      </c>
      <c r="C12778" s="111" t="s">
        <v>10582</v>
      </c>
      <c r="D12778" s="111" t="str">
        <f t="shared" ref="D12778:E12778" si="12776">TRIM(B12778)</f>
        <v>Oklahoma</v>
      </c>
      <c r="E12778" s="111" t="str">
        <f t="shared" si="12776"/>
        <v>Commerce</v>
      </c>
    </row>
    <row r="12779" spans="1:5">
      <c r="A12779" s="3" t="s">
        <v>23734</v>
      </c>
      <c r="B12779" s="110" t="s">
        <v>1362</v>
      </c>
      <c r="C12779" s="111" t="s">
        <v>23735</v>
      </c>
      <c r="D12779" s="111" t="str">
        <f t="shared" ref="D12779:E12779" si="12777">TRIM(B12779)</f>
        <v>Oklahoma</v>
      </c>
      <c r="E12779" s="111" t="str">
        <f t="shared" si="12777"/>
        <v>Copan</v>
      </c>
    </row>
    <row r="12780" spans="1:5">
      <c r="A12780" s="3" t="s">
        <v>23736</v>
      </c>
      <c r="B12780" s="110" t="s">
        <v>1362</v>
      </c>
      <c r="C12780" s="111" t="s">
        <v>23737</v>
      </c>
      <c r="D12780" s="111" t="str">
        <f t="shared" ref="D12780:E12780" si="12778">TRIM(B12780)</f>
        <v>Oklahoma</v>
      </c>
      <c r="E12780" s="111" t="str">
        <f t="shared" si="12778"/>
        <v>Cordell</v>
      </c>
    </row>
    <row r="12781" spans="1:5">
      <c r="A12781" s="3" t="s">
        <v>18703</v>
      </c>
      <c r="B12781" s="110" t="s">
        <v>1362</v>
      </c>
      <c r="C12781" s="111" t="s">
        <v>23738</v>
      </c>
      <c r="D12781" s="111" t="str">
        <f t="shared" ref="D12781:E12781" si="12779">TRIM(B12781)</f>
        <v>Oklahoma</v>
      </c>
      <c r="E12781" s="111" t="str">
        <f t="shared" si="12779"/>
        <v>Council Hill</v>
      </c>
    </row>
    <row r="12782" spans="1:5">
      <c r="A12782" s="3" t="s">
        <v>23739</v>
      </c>
      <c r="B12782" s="110" t="s">
        <v>1362</v>
      </c>
      <c r="C12782" s="111" t="s">
        <v>10597</v>
      </c>
      <c r="D12782" s="111" t="str">
        <f t="shared" ref="D12782:E12782" si="12780">TRIM(B12782)</f>
        <v>Oklahoma</v>
      </c>
      <c r="E12782" s="111" t="str">
        <f t="shared" si="12780"/>
        <v>Covington</v>
      </c>
    </row>
    <row r="12783" spans="1:5">
      <c r="A12783" s="3" t="s">
        <v>23740</v>
      </c>
      <c r="B12783" s="110" t="s">
        <v>1362</v>
      </c>
      <c r="C12783" s="111" t="s">
        <v>23741</v>
      </c>
      <c r="D12783" s="111" t="str">
        <f t="shared" ref="D12783:E12783" si="12781">TRIM(B12783)</f>
        <v>Oklahoma</v>
      </c>
      <c r="E12783" s="111" t="str">
        <f t="shared" si="12781"/>
        <v>Coweta</v>
      </c>
    </row>
    <row r="12784" spans="1:5">
      <c r="A12784" s="3" t="s">
        <v>23742</v>
      </c>
      <c r="B12784" s="110" t="s">
        <v>1362</v>
      </c>
      <c r="C12784" s="111" t="s">
        <v>23743</v>
      </c>
      <c r="D12784" s="111" t="str">
        <f t="shared" ref="D12784:E12784" si="12782">TRIM(B12784)</f>
        <v>Oklahoma</v>
      </c>
      <c r="E12784" s="111" t="str">
        <f t="shared" si="12782"/>
        <v>Coyle</v>
      </c>
    </row>
    <row r="12785" spans="1:5">
      <c r="A12785" s="3" t="s">
        <v>23744</v>
      </c>
      <c r="B12785" s="110" t="s">
        <v>1362</v>
      </c>
      <c r="C12785" s="111" t="s">
        <v>23745</v>
      </c>
      <c r="D12785" s="111" t="str">
        <f t="shared" ref="D12785:E12785" si="12783">TRIM(B12785)</f>
        <v>Oklahoma</v>
      </c>
      <c r="E12785" s="111" t="str">
        <f t="shared" si="12783"/>
        <v>Crescent</v>
      </c>
    </row>
    <row r="12786" spans="1:5">
      <c r="A12786" s="3" t="s">
        <v>23746</v>
      </c>
      <c r="B12786" s="110" t="s">
        <v>1362</v>
      </c>
      <c r="C12786" s="112" t="s">
        <v>8399</v>
      </c>
      <c r="D12786" s="111" t="str">
        <f t="shared" ref="D12786:E12786" si="12784">TRIM(B12786)</f>
        <v>Oklahoma</v>
      </c>
      <c r="E12786" s="111" t="str">
        <f t="shared" si="12784"/>
        <v>Cromwell</v>
      </c>
    </row>
    <row r="12787" spans="1:5">
      <c r="A12787" s="3" t="s">
        <v>23747</v>
      </c>
      <c r="B12787" s="110" t="s">
        <v>1362</v>
      </c>
      <c r="C12787" s="111" t="s">
        <v>23748</v>
      </c>
      <c r="D12787" s="111" t="str">
        <f t="shared" ref="D12787:E12787" si="12785">TRIM(B12787)</f>
        <v>Oklahoma</v>
      </c>
      <c r="E12787" s="111" t="str">
        <f t="shared" si="12785"/>
        <v>Crowder</v>
      </c>
    </row>
    <row r="12788" spans="1:5">
      <c r="A12788" s="3" t="s">
        <v>23749</v>
      </c>
      <c r="B12788" s="110" t="s">
        <v>1362</v>
      </c>
      <c r="C12788" s="111" t="s">
        <v>23750</v>
      </c>
      <c r="D12788" s="111" t="str">
        <f t="shared" ref="D12788:E12788" si="12786">TRIM(B12788)</f>
        <v>Oklahoma</v>
      </c>
      <c r="E12788" s="111" t="str">
        <f t="shared" si="12786"/>
        <v>Cushing</v>
      </c>
    </row>
    <row r="12789" spans="1:5">
      <c r="A12789" s="3" t="s">
        <v>23751</v>
      </c>
      <c r="B12789" s="110" t="s">
        <v>1362</v>
      </c>
      <c r="C12789" s="111" t="s">
        <v>23752</v>
      </c>
      <c r="D12789" s="111" t="str">
        <f t="shared" ref="D12789:E12789" si="12787">TRIM(B12789)</f>
        <v>Oklahoma</v>
      </c>
      <c r="E12789" s="111" t="str">
        <f t="shared" si="12787"/>
        <v>Cyril</v>
      </c>
    </row>
    <row r="12790" spans="1:5">
      <c r="A12790" s="3" t="s">
        <v>23753</v>
      </c>
      <c r="B12790" s="110" t="s">
        <v>1362</v>
      </c>
      <c r="C12790" s="111" t="s">
        <v>23754</v>
      </c>
      <c r="D12790" s="111" t="str">
        <f t="shared" ref="D12790:E12790" si="12788">TRIM(B12790)</f>
        <v>Oklahoma</v>
      </c>
      <c r="E12790" s="111" t="str">
        <f t="shared" si="12788"/>
        <v>Dale</v>
      </c>
    </row>
    <row r="12791" spans="1:5">
      <c r="A12791" s="3" t="s">
        <v>23755</v>
      </c>
      <c r="B12791" s="110" t="s">
        <v>1362</v>
      </c>
      <c r="C12791" s="111" t="s">
        <v>9128</v>
      </c>
      <c r="D12791" s="111" t="str">
        <f t="shared" ref="D12791:E12791" si="12789">TRIM(B12791)</f>
        <v>Oklahoma</v>
      </c>
      <c r="E12791" s="111" t="str">
        <f t="shared" si="12789"/>
        <v>Davenport</v>
      </c>
    </row>
    <row r="12792" spans="1:5">
      <c r="A12792" s="3" t="s">
        <v>23756</v>
      </c>
      <c r="B12792" s="110" t="s">
        <v>1362</v>
      </c>
      <c r="C12792" s="111" t="s">
        <v>4815</v>
      </c>
      <c r="D12792" s="111" t="str">
        <f t="shared" ref="D12792:E12792" si="12790">TRIM(B12792)</f>
        <v>Oklahoma</v>
      </c>
      <c r="E12792" s="111" t="str">
        <f t="shared" si="12790"/>
        <v>Davis</v>
      </c>
    </row>
    <row r="12793" spans="1:5">
      <c r="A12793" s="3" t="s">
        <v>23757</v>
      </c>
      <c r="B12793" s="110" t="s">
        <v>1362</v>
      </c>
      <c r="C12793" s="111" t="s">
        <v>1054</v>
      </c>
      <c r="D12793" s="111" t="str">
        <f t="shared" ref="D12793:E12793" si="12791">TRIM(B12793)</f>
        <v>Oklahoma</v>
      </c>
      <c r="E12793" s="111" t="str">
        <f t="shared" si="12791"/>
        <v>Del City</v>
      </c>
    </row>
    <row r="12794" spans="1:5">
      <c r="A12794" s="3" t="s">
        <v>21141</v>
      </c>
      <c r="B12794" s="110" t="s">
        <v>1362</v>
      </c>
      <c r="C12794" s="111" t="s">
        <v>21142</v>
      </c>
      <c r="D12794" s="111" t="str">
        <f t="shared" ref="D12794:E12794" si="12792">TRIM(B12794)</f>
        <v>Oklahoma</v>
      </c>
      <c r="E12794" s="111" t="str">
        <f t="shared" si="12792"/>
        <v>Depew</v>
      </c>
    </row>
    <row r="12795" spans="1:5">
      <c r="A12795" s="3" t="s">
        <v>23758</v>
      </c>
      <c r="B12795" s="110" t="s">
        <v>1362</v>
      </c>
      <c r="C12795" s="111" t="s">
        <v>23759</v>
      </c>
      <c r="D12795" s="111" t="str">
        <f t="shared" ref="D12795:E12795" si="12793">TRIM(B12795)</f>
        <v>Oklahoma</v>
      </c>
      <c r="E12795" s="111" t="str">
        <f t="shared" si="12793"/>
        <v>Dewar</v>
      </c>
    </row>
    <row r="12796" spans="1:5">
      <c r="A12796" s="3" t="s">
        <v>23760</v>
      </c>
      <c r="B12796" s="110" t="s">
        <v>1362</v>
      </c>
      <c r="C12796" s="111" t="s">
        <v>23761</v>
      </c>
      <c r="D12796" s="111" t="str">
        <f t="shared" ref="D12796:E12796" si="12794">TRIM(B12796)</f>
        <v>Oklahoma</v>
      </c>
      <c r="E12796" s="111" t="str">
        <f t="shared" si="12794"/>
        <v>Dewey</v>
      </c>
    </row>
    <row r="12797" spans="1:5">
      <c r="A12797" s="3" t="s">
        <v>23762</v>
      </c>
      <c r="B12797" s="110" t="s">
        <v>1362</v>
      </c>
      <c r="C12797" s="111" t="s">
        <v>23763</v>
      </c>
      <c r="D12797" s="111" t="str">
        <f t="shared" ref="D12797:E12797" si="12795">TRIM(B12797)</f>
        <v>Oklahoma</v>
      </c>
      <c r="E12797" s="111" t="str">
        <f t="shared" si="12795"/>
        <v>Dibble</v>
      </c>
    </row>
    <row r="12798" spans="1:5">
      <c r="A12798" s="3" t="s">
        <v>3743</v>
      </c>
      <c r="B12798" s="110" t="s">
        <v>1362</v>
      </c>
      <c r="C12798" s="111" t="s">
        <v>3744</v>
      </c>
      <c r="D12798" s="111" t="str">
        <f t="shared" ref="D12798:E12798" si="12796">TRIM(B12798)</f>
        <v>Oklahoma</v>
      </c>
      <c r="E12798" s="111" t="str">
        <f t="shared" si="12796"/>
        <v>Dover</v>
      </c>
    </row>
    <row r="12799" spans="1:5">
      <c r="A12799" s="3" t="s">
        <v>19308</v>
      </c>
      <c r="B12799" s="110" t="s">
        <v>1362</v>
      </c>
      <c r="C12799" s="111" t="s">
        <v>19309</v>
      </c>
      <c r="D12799" s="111" t="str">
        <f t="shared" ref="D12799:E12799" si="12797">TRIM(B12799)</f>
        <v>Oklahoma</v>
      </c>
      <c r="E12799" s="111" t="str">
        <f t="shared" si="12797"/>
        <v>Drummond</v>
      </c>
    </row>
    <row r="12800" spans="1:5">
      <c r="A12800" s="3" t="s">
        <v>23764</v>
      </c>
      <c r="B12800" s="110" t="s">
        <v>1362</v>
      </c>
      <c r="C12800" s="111" t="s">
        <v>23765</v>
      </c>
      <c r="D12800" s="111" t="str">
        <f t="shared" ref="D12800:E12800" si="12798">TRIM(B12800)</f>
        <v>Oklahoma</v>
      </c>
      <c r="E12800" s="111" t="str">
        <f t="shared" si="12798"/>
        <v>Drumright</v>
      </c>
    </row>
    <row r="12801" spans="1:5">
      <c r="A12801" s="3" t="s">
        <v>23766</v>
      </c>
      <c r="B12801" s="110" t="s">
        <v>1362</v>
      </c>
      <c r="C12801" s="111" t="s">
        <v>23765</v>
      </c>
      <c r="D12801" s="111" t="str">
        <f t="shared" ref="D12801:E12801" si="12799">TRIM(B12801)</f>
        <v>Oklahoma</v>
      </c>
      <c r="E12801" s="111" t="str">
        <f t="shared" si="12799"/>
        <v>Drumright</v>
      </c>
    </row>
    <row r="12802" spans="1:5">
      <c r="A12802" s="3" t="s">
        <v>23767</v>
      </c>
      <c r="B12802" s="110" t="s">
        <v>1362</v>
      </c>
      <c r="C12802" s="111" t="s">
        <v>23768</v>
      </c>
      <c r="D12802" s="111" t="str">
        <f t="shared" ref="D12802:E12802" si="12800">TRIM(B12802)</f>
        <v>Oklahoma</v>
      </c>
      <c r="E12802" s="111" t="str">
        <f t="shared" si="12800"/>
        <v>Duke</v>
      </c>
    </row>
    <row r="12803" spans="1:5">
      <c r="A12803" s="3" t="s">
        <v>2588</v>
      </c>
      <c r="B12803" s="110" t="s">
        <v>1362</v>
      </c>
      <c r="C12803" s="111" t="s">
        <v>2590</v>
      </c>
      <c r="D12803" s="111" t="str">
        <f t="shared" ref="D12803:E12803" si="12801">TRIM(B12803)</f>
        <v>Oklahoma</v>
      </c>
      <c r="E12803" s="111" t="str">
        <f t="shared" si="12801"/>
        <v>Duncan</v>
      </c>
    </row>
    <row r="12804" spans="1:5">
      <c r="A12804" s="3" t="s">
        <v>3417</v>
      </c>
      <c r="B12804" s="110" t="s">
        <v>1362</v>
      </c>
      <c r="C12804" s="111" t="s">
        <v>2590</v>
      </c>
      <c r="D12804" s="111" t="str">
        <f t="shared" ref="D12804:E12804" si="12802">TRIM(B12804)</f>
        <v>Oklahoma</v>
      </c>
      <c r="E12804" s="111" t="str">
        <f t="shared" si="12802"/>
        <v>Duncan</v>
      </c>
    </row>
    <row r="12805" spans="1:5">
      <c r="A12805" s="3" t="s">
        <v>9963</v>
      </c>
      <c r="B12805" s="110" t="s">
        <v>1362</v>
      </c>
      <c r="C12805" s="111" t="s">
        <v>14798</v>
      </c>
      <c r="D12805" s="111" t="str">
        <f t="shared" ref="D12805:E12805" si="12803">TRIM(B12805)</f>
        <v>Oklahoma</v>
      </c>
      <c r="E12805" s="111" t="str">
        <f t="shared" si="12803"/>
        <v>Durant</v>
      </c>
    </row>
    <row r="12806" spans="1:5">
      <c r="A12806" s="3" t="s">
        <v>23769</v>
      </c>
      <c r="B12806" s="110" t="s">
        <v>1362</v>
      </c>
      <c r="C12806" s="111" t="s">
        <v>14798</v>
      </c>
      <c r="D12806" s="111" t="str">
        <f t="shared" ref="D12806:E12806" si="12804">TRIM(B12806)</f>
        <v>Oklahoma</v>
      </c>
      <c r="E12806" s="111" t="str">
        <f t="shared" si="12804"/>
        <v>Durant</v>
      </c>
    </row>
    <row r="12807" spans="1:5">
      <c r="A12807" s="3" t="s">
        <v>23770</v>
      </c>
      <c r="B12807" s="110" t="s">
        <v>1362</v>
      </c>
      <c r="C12807" s="111" t="s">
        <v>23771</v>
      </c>
      <c r="D12807" s="111" t="str">
        <f t="shared" ref="D12807:E12807" si="12805">TRIM(B12807)</f>
        <v>Oklahoma</v>
      </c>
      <c r="E12807" s="111" t="str">
        <f t="shared" si="12805"/>
        <v>Eagletown</v>
      </c>
    </row>
    <row r="12808" spans="1:5">
      <c r="A12808" s="3" t="s">
        <v>23772</v>
      </c>
      <c r="B12808" s="110" t="s">
        <v>1362</v>
      </c>
      <c r="C12808" s="111" t="s">
        <v>23773</v>
      </c>
      <c r="D12808" s="111" t="str">
        <f t="shared" ref="D12808:E12808" si="12806">TRIM(B12808)</f>
        <v>Oklahoma</v>
      </c>
      <c r="E12808" s="111" t="str">
        <f t="shared" si="12806"/>
        <v>Earlsboro</v>
      </c>
    </row>
    <row r="12809" spans="1:5">
      <c r="A12809" s="3" t="s">
        <v>23774</v>
      </c>
      <c r="B12809" s="110" t="s">
        <v>1362</v>
      </c>
      <c r="C12809" s="111" t="s">
        <v>12919</v>
      </c>
      <c r="D12809" s="111" t="str">
        <f t="shared" ref="D12809:E12809" si="12807">TRIM(B12809)</f>
        <v>Oklahoma</v>
      </c>
      <c r="E12809" s="111" t="str">
        <f t="shared" si="12807"/>
        <v>Edmond</v>
      </c>
    </row>
    <row r="12810" spans="1:5">
      <c r="A12810" s="3" t="s">
        <v>17870</v>
      </c>
      <c r="B12810" s="110" t="s">
        <v>1362</v>
      </c>
      <c r="C12810" s="111" t="s">
        <v>12919</v>
      </c>
      <c r="D12810" s="111" t="str">
        <f t="shared" ref="D12810:E12810" si="12808">TRIM(B12810)</f>
        <v>Oklahoma</v>
      </c>
      <c r="E12810" s="111" t="str">
        <f t="shared" si="12808"/>
        <v>Edmond</v>
      </c>
    </row>
    <row r="12811" spans="1:5">
      <c r="A12811" s="3" t="s">
        <v>3069</v>
      </c>
      <c r="B12811" s="110" t="s">
        <v>1362</v>
      </c>
      <c r="C12811" s="111" t="s">
        <v>12919</v>
      </c>
      <c r="D12811" s="111" t="str">
        <f t="shared" ref="D12811:E12811" si="12809">TRIM(B12811)</f>
        <v>Oklahoma</v>
      </c>
      <c r="E12811" s="111" t="str">
        <f t="shared" si="12809"/>
        <v>Edmond</v>
      </c>
    </row>
    <row r="12812" spans="1:5">
      <c r="A12812" s="3" t="s">
        <v>7069</v>
      </c>
      <c r="B12812" s="110" t="s">
        <v>1362</v>
      </c>
      <c r="C12812" s="111" t="s">
        <v>12919</v>
      </c>
      <c r="D12812" s="111" t="str">
        <f t="shared" ref="D12812:E12812" si="12810">TRIM(B12812)</f>
        <v>Oklahoma</v>
      </c>
      <c r="E12812" s="111" t="str">
        <f t="shared" si="12810"/>
        <v>Edmond</v>
      </c>
    </row>
    <row r="12813" spans="1:5">
      <c r="A12813" s="3" t="s">
        <v>23775</v>
      </c>
      <c r="B12813" s="110" t="s">
        <v>1362</v>
      </c>
      <c r="C12813" s="111" t="s">
        <v>23776</v>
      </c>
      <c r="D12813" s="111" t="str">
        <f t="shared" ref="D12813:E12813" si="12811">TRIM(B12813)</f>
        <v>Oklahoma</v>
      </c>
      <c r="E12813" s="111" t="str">
        <f t="shared" si="12811"/>
        <v>El Reno</v>
      </c>
    </row>
    <row r="12814" spans="1:5">
      <c r="A12814" s="3" t="s">
        <v>12848</v>
      </c>
      <c r="B12814" s="110" t="s">
        <v>1362</v>
      </c>
      <c r="C12814" s="111" t="s">
        <v>12846</v>
      </c>
      <c r="D12814" s="111" t="str">
        <f t="shared" ref="D12814:E12814" si="12812">TRIM(B12814)</f>
        <v>Oklahoma</v>
      </c>
      <c r="E12814" s="111" t="str">
        <f t="shared" si="12812"/>
        <v>Elgin</v>
      </c>
    </row>
    <row r="12815" spans="1:5">
      <c r="A12815" s="3" t="s">
        <v>23777</v>
      </c>
      <c r="B12815" s="110" t="s">
        <v>1362</v>
      </c>
      <c r="C12815" s="111" t="s">
        <v>23778</v>
      </c>
      <c r="D12815" s="111" t="str">
        <f t="shared" ref="D12815:E12815" si="12813">TRIM(B12815)</f>
        <v>Oklahoma</v>
      </c>
      <c r="E12815" s="111" t="str">
        <f t="shared" si="12813"/>
        <v>Elk City</v>
      </c>
    </row>
    <row r="12816" spans="1:5">
      <c r="A12816" s="3" t="s">
        <v>23779</v>
      </c>
      <c r="B12816" s="110" t="s">
        <v>1362</v>
      </c>
      <c r="C12816" s="111" t="s">
        <v>23778</v>
      </c>
      <c r="D12816" s="111" t="str">
        <f t="shared" ref="D12816:E12816" si="12814">TRIM(B12816)</f>
        <v>Oklahoma</v>
      </c>
      <c r="E12816" s="111" t="str">
        <f t="shared" si="12814"/>
        <v>Elk City</v>
      </c>
    </row>
    <row r="12817" spans="1:5">
      <c r="A12817" s="3" t="s">
        <v>23780</v>
      </c>
      <c r="B12817" s="110" t="s">
        <v>1362</v>
      </c>
      <c r="C12817" s="111" t="s">
        <v>23781</v>
      </c>
      <c r="D12817" s="111" t="str">
        <f t="shared" ref="D12817:E12817" si="12815">TRIM(B12817)</f>
        <v>Oklahoma</v>
      </c>
      <c r="E12817" s="111" t="str">
        <f t="shared" si="12815"/>
        <v>Elmore City</v>
      </c>
    </row>
    <row r="12818" spans="1:5">
      <c r="A12818" s="3" t="s">
        <v>23782</v>
      </c>
      <c r="B12818" s="110" t="s">
        <v>1362</v>
      </c>
      <c r="C12818" s="111" t="s">
        <v>23783</v>
      </c>
      <c r="D12818" s="111" t="str">
        <f t="shared" ref="D12818:E12818" si="12816">TRIM(B12818)</f>
        <v>Oklahoma</v>
      </c>
      <c r="E12818" s="111" t="str">
        <f t="shared" si="12816"/>
        <v>Enid</v>
      </c>
    </row>
    <row r="12819" spans="1:5">
      <c r="A12819" s="3" t="s">
        <v>23784</v>
      </c>
      <c r="B12819" s="110" t="s">
        <v>1362</v>
      </c>
      <c r="C12819" s="111" t="s">
        <v>23783</v>
      </c>
      <c r="D12819" s="111" t="str">
        <f t="shared" ref="D12819:E12819" si="12817">TRIM(B12819)</f>
        <v>Oklahoma</v>
      </c>
      <c r="E12819" s="111" t="str">
        <f t="shared" si="12817"/>
        <v>Enid</v>
      </c>
    </row>
    <row r="12820" spans="1:5">
      <c r="A12820" s="3" t="s">
        <v>23785</v>
      </c>
      <c r="B12820" s="110" t="s">
        <v>1362</v>
      </c>
      <c r="C12820" s="111" t="s">
        <v>23786</v>
      </c>
      <c r="D12820" s="111" t="str">
        <f t="shared" ref="D12820:E12820" si="12818">TRIM(B12820)</f>
        <v>Oklahoma</v>
      </c>
      <c r="E12820" s="111" t="str">
        <f t="shared" si="12818"/>
        <v>Erick</v>
      </c>
    </row>
    <row r="12821" spans="1:5">
      <c r="A12821" s="3" t="s">
        <v>1729</v>
      </c>
      <c r="B12821" s="110" t="s">
        <v>1362</v>
      </c>
      <c r="C12821" s="111" t="s">
        <v>1730</v>
      </c>
      <c r="D12821" s="111" t="str">
        <f t="shared" ref="D12821:E12821" si="12819">TRIM(B12821)</f>
        <v>Oklahoma</v>
      </c>
      <c r="E12821" s="111" t="str">
        <f t="shared" si="12819"/>
        <v>Eufaula</v>
      </c>
    </row>
    <row r="12822" spans="1:5">
      <c r="A12822" s="3" t="s">
        <v>2285</v>
      </c>
      <c r="B12822" s="110" t="s">
        <v>1362</v>
      </c>
      <c r="C12822" s="111" t="s">
        <v>603</v>
      </c>
      <c r="D12822" s="111" t="str">
        <f t="shared" ref="D12822:E12822" si="12820">TRIM(B12822)</f>
        <v>Oklahoma</v>
      </c>
      <c r="E12822" s="111" t="str">
        <f t="shared" si="12820"/>
        <v>Fairfax</v>
      </c>
    </row>
    <row r="12823" spans="1:5">
      <c r="A12823" s="3" t="s">
        <v>23386</v>
      </c>
      <c r="B12823" s="110" t="s">
        <v>1362</v>
      </c>
      <c r="C12823" s="111" t="s">
        <v>14317</v>
      </c>
      <c r="D12823" s="111" t="str">
        <f t="shared" ref="D12823:E12823" si="12821">TRIM(B12823)</f>
        <v>Oklahoma</v>
      </c>
      <c r="E12823" s="111" t="str">
        <f t="shared" si="12821"/>
        <v>Fairland</v>
      </c>
    </row>
    <row r="12824" spans="1:5">
      <c r="A12824" s="3" t="s">
        <v>1663</v>
      </c>
      <c r="B12824" s="110" t="s">
        <v>1362</v>
      </c>
      <c r="C12824" s="111" t="s">
        <v>2490</v>
      </c>
      <c r="D12824" s="111" t="str">
        <f t="shared" ref="D12824:E12824" si="12822">TRIM(B12824)</f>
        <v>Oklahoma</v>
      </c>
      <c r="E12824" s="111" t="str">
        <f t="shared" si="12822"/>
        <v>Fairview</v>
      </c>
    </row>
    <row r="12825" spans="1:5">
      <c r="A12825" s="3" t="s">
        <v>23787</v>
      </c>
      <c r="B12825" s="110" t="s">
        <v>1362</v>
      </c>
      <c r="C12825" s="111" t="s">
        <v>22594</v>
      </c>
      <c r="D12825" s="111" t="str">
        <f t="shared" ref="D12825:E12825" si="12823">TRIM(B12825)</f>
        <v>Oklahoma</v>
      </c>
      <c r="E12825" s="111" t="str">
        <f t="shared" si="12823"/>
        <v>Fargo</v>
      </c>
    </row>
    <row r="12826" spans="1:5">
      <c r="A12826" s="3" t="s">
        <v>23788</v>
      </c>
      <c r="B12826" s="110" t="s">
        <v>1362</v>
      </c>
      <c r="C12826" s="111" t="s">
        <v>23789</v>
      </c>
      <c r="D12826" s="111" t="str">
        <f t="shared" ref="D12826:E12826" si="12824">TRIM(B12826)</f>
        <v>Oklahoma</v>
      </c>
      <c r="E12826" s="111" t="str">
        <f t="shared" si="12824"/>
        <v>Felt</v>
      </c>
    </row>
    <row r="12827" spans="1:5">
      <c r="A12827" s="3" t="s">
        <v>23790</v>
      </c>
      <c r="B12827" s="110" t="s">
        <v>1362</v>
      </c>
      <c r="C12827" s="111" t="s">
        <v>12620</v>
      </c>
      <c r="D12827" s="111" t="str">
        <f t="shared" ref="D12827:E12827" si="12825">TRIM(B12827)</f>
        <v>Oklahoma</v>
      </c>
      <c r="E12827" s="111" t="str">
        <f t="shared" si="12825"/>
        <v>Fletcher</v>
      </c>
    </row>
    <row r="12828" spans="1:5">
      <c r="A12828" s="3" t="s">
        <v>23791</v>
      </c>
      <c r="B12828" s="110" t="s">
        <v>1362</v>
      </c>
      <c r="C12828" s="111" t="s">
        <v>23792</v>
      </c>
      <c r="D12828" s="111" t="str">
        <f t="shared" ref="D12828:E12828" si="12826">TRIM(B12828)</f>
        <v>Oklahoma</v>
      </c>
      <c r="E12828" s="111" t="str">
        <f t="shared" si="12826"/>
        <v>Forgan</v>
      </c>
    </row>
    <row r="12829" spans="1:5">
      <c r="A12829" s="3" t="s">
        <v>23793</v>
      </c>
      <c r="B12829" s="110" t="s">
        <v>1362</v>
      </c>
      <c r="C12829" s="111" t="s">
        <v>23794</v>
      </c>
      <c r="D12829" s="111" t="str">
        <f t="shared" ref="D12829:E12829" si="12827">TRIM(B12829)</f>
        <v>Oklahoma</v>
      </c>
      <c r="E12829" s="111" t="str">
        <f t="shared" si="12827"/>
        <v>Fort Cobb</v>
      </c>
    </row>
    <row r="12830" spans="1:5">
      <c r="A12830" s="3" t="s">
        <v>23795</v>
      </c>
      <c r="B12830" s="110" t="s">
        <v>1362</v>
      </c>
      <c r="C12830" s="111" t="s">
        <v>23796</v>
      </c>
      <c r="D12830" s="111" t="str">
        <f t="shared" ref="D12830:E12830" si="12828">TRIM(B12830)</f>
        <v>Oklahoma</v>
      </c>
      <c r="E12830" s="111" t="str">
        <f t="shared" si="12828"/>
        <v>Fort Gibson</v>
      </c>
    </row>
    <row r="12831" spans="1:5">
      <c r="A12831" s="3" t="s">
        <v>23797</v>
      </c>
      <c r="B12831" s="110" t="s">
        <v>1362</v>
      </c>
      <c r="C12831" s="111" t="s">
        <v>23798</v>
      </c>
      <c r="D12831" s="111" t="str">
        <f t="shared" ref="D12831:E12831" si="12829">TRIM(B12831)</f>
        <v>Oklahoma</v>
      </c>
      <c r="E12831" s="111" t="str">
        <f t="shared" si="12829"/>
        <v>Fort Supply</v>
      </c>
    </row>
    <row r="12832" spans="1:5">
      <c r="A12832" s="3" t="s">
        <v>23799</v>
      </c>
      <c r="B12832" s="110" t="s">
        <v>1362</v>
      </c>
      <c r="C12832" s="111" t="s">
        <v>23800</v>
      </c>
      <c r="D12832" s="111" t="str">
        <f t="shared" ref="D12832:E12832" si="12830">TRIM(B12832)</f>
        <v>Oklahoma</v>
      </c>
      <c r="E12832" s="111" t="str">
        <f t="shared" si="12830"/>
        <v>Fort Towson</v>
      </c>
    </row>
    <row r="12833" spans="1:5">
      <c r="A12833" s="3" t="s">
        <v>23801</v>
      </c>
      <c r="B12833" s="110" t="s">
        <v>1362</v>
      </c>
      <c r="C12833" s="111" t="s">
        <v>3805</v>
      </c>
      <c r="D12833" s="111" t="str">
        <f t="shared" ref="D12833:E12833" si="12831">TRIM(B12833)</f>
        <v>Oklahoma</v>
      </c>
      <c r="E12833" s="111" t="str">
        <f t="shared" si="12831"/>
        <v>Fox</v>
      </c>
    </row>
    <row r="12834" spans="1:5">
      <c r="A12834" s="3" t="s">
        <v>23802</v>
      </c>
      <c r="B12834" s="110" t="s">
        <v>1362</v>
      </c>
      <c r="C12834" s="111" t="s">
        <v>23803</v>
      </c>
      <c r="D12834" s="111" t="str">
        <f t="shared" ref="D12834:E12834" si="12832">TRIM(B12834)</f>
        <v>Oklahoma</v>
      </c>
      <c r="E12834" s="111" t="str">
        <f t="shared" si="12832"/>
        <v>Foyil</v>
      </c>
    </row>
    <row r="12835" spans="1:5">
      <c r="A12835" s="3" t="s">
        <v>16404</v>
      </c>
      <c r="B12835" s="110" t="s">
        <v>1362</v>
      </c>
      <c r="C12835" s="111" t="s">
        <v>7921</v>
      </c>
      <c r="D12835" s="111" t="str">
        <f t="shared" ref="D12835:E12835" si="12833">TRIM(B12835)</f>
        <v>Oklahoma</v>
      </c>
      <c r="E12835" s="111" t="str">
        <f t="shared" si="12833"/>
        <v>Frederick</v>
      </c>
    </row>
    <row r="12836" spans="1:5">
      <c r="A12836" s="3" t="s">
        <v>6200</v>
      </c>
      <c r="B12836" s="110" t="s">
        <v>1362</v>
      </c>
      <c r="C12836" s="111" t="s">
        <v>5065</v>
      </c>
      <c r="D12836" s="111" t="str">
        <f t="shared" ref="D12836:E12836" si="12834">TRIM(B12836)</f>
        <v>Oklahoma</v>
      </c>
      <c r="E12836" s="111" t="str">
        <f t="shared" si="12834"/>
        <v>Freedom</v>
      </c>
    </row>
    <row r="12837" spans="1:5">
      <c r="A12837" s="3" t="s">
        <v>23804</v>
      </c>
      <c r="B12837" s="110" t="s">
        <v>1362</v>
      </c>
      <c r="C12837" s="111" t="s">
        <v>23805</v>
      </c>
      <c r="D12837" s="111" t="str">
        <f t="shared" ref="D12837:E12837" si="12835">TRIM(B12837)</f>
        <v>Oklahoma</v>
      </c>
      <c r="E12837" s="111" t="str">
        <f t="shared" si="12835"/>
        <v>Gans</v>
      </c>
    </row>
    <row r="12838" spans="1:5">
      <c r="A12838" s="3" t="s">
        <v>17177</v>
      </c>
      <c r="B12838" s="110" t="s">
        <v>1362</v>
      </c>
      <c r="C12838" s="111" t="s">
        <v>8848</v>
      </c>
      <c r="D12838" s="111" t="str">
        <f t="shared" ref="D12838:E12838" si="12836">TRIM(B12838)</f>
        <v>Oklahoma</v>
      </c>
      <c r="E12838" s="111" t="str">
        <f t="shared" si="12836"/>
        <v>Garber</v>
      </c>
    </row>
    <row r="12839" spans="1:5">
      <c r="A12839" s="3" t="s">
        <v>23806</v>
      </c>
      <c r="B12839" s="110" t="s">
        <v>1362</v>
      </c>
      <c r="C12839" s="111" t="s">
        <v>23807</v>
      </c>
      <c r="D12839" s="111" t="str">
        <f t="shared" ref="D12839:E12839" si="12837">TRIM(B12839)</f>
        <v>Oklahoma</v>
      </c>
      <c r="E12839" s="111" t="str">
        <f t="shared" si="12837"/>
        <v>Geary</v>
      </c>
    </row>
    <row r="12840" spans="1:5">
      <c r="A12840" s="3" t="s">
        <v>23808</v>
      </c>
      <c r="B12840" s="110" t="s">
        <v>1362</v>
      </c>
      <c r="C12840" s="111" t="s">
        <v>23809</v>
      </c>
      <c r="D12840" s="111" t="str">
        <f t="shared" ref="D12840:E12840" si="12838">TRIM(B12840)</f>
        <v>Oklahoma</v>
      </c>
      <c r="E12840" s="111" t="str">
        <f t="shared" si="12838"/>
        <v>Geronimo</v>
      </c>
    </row>
    <row r="12841" spans="1:5">
      <c r="A12841" s="3" t="s">
        <v>1779</v>
      </c>
      <c r="B12841" s="110" t="s">
        <v>1362</v>
      </c>
      <c r="C12841" s="111" t="s">
        <v>1780</v>
      </c>
      <c r="D12841" s="111" t="str">
        <f t="shared" ref="D12841:E12841" si="12839">TRIM(B12841)</f>
        <v>Oklahoma</v>
      </c>
      <c r="E12841" s="111" t="str">
        <f t="shared" si="12839"/>
        <v>Glencoe</v>
      </c>
    </row>
    <row r="12842" spans="1:5">
      <c r="A12842" s="3" t="s">
        <v>23810</v>
      </c>
      <c r="B12842" s="110" t="s">
        <v>1362</v>
      </c>
      <c r="C12842" s="111" t="s">
        <v>23811</v>
      </c>
      <c r="D12842" s="111" t="str">
        <f t="shared" ref="D12842:E12842" si="12840">TRIM(B12842)</f>
        <v>Oklahoma</v>
      </c>
      <c r="E12842" s="111" t="str">
        <f t="shared" si="12840"/>
        <v>Glenpool</v>
      </c>
    </row>
    <row r="12843" spans="1:5">
      <c r="A12843" s="3" t="s">
        <v>23812</v>
      </c>
      <c r="B12843" s="110" t="s">
        <v>1362</v>
      </c>
      <c r="C12843" s="111" t="s">
        <v>23813</v>
      </c>
      <c r="D12843" s="111" t="str">
        <f t="shared" ref="D12843:E12843" si="12841">TRIM(B12843)</f>
        <v>Oklahoma</v>
      </c>
      <c r="E12843" s="111" t="str">
        <f t="shared" si="12841"/>
        <v>Goodwell</v>
      </c>
    </row>
    <row r="12844" spans="1:5">
      <c r="A12844" s="3" t="s">
        <v>23814</v>
      </c>
      <c r="B12844" s="110" t="s">
        <v>1362</v>
      </c>
      <c r="C12844" s="111" t="s">
        <v>23813</v>
      </c>
      <c r="D12844" s="111" t="str">
        <f t="shared" ref="D12844:E12844" si="12842">TRIM(B12844)</f>
        <v>Oklahoma</v>
      </c>
      <c r="E12844" s="111" t="str">
        <f t="shared" si="12842"/>
        <v>Goodwell</v>
      </c>
    </row>
    <row r="12845" spans="1:5">
      <c r="A12845" s="3" t="s">
        <v>23815</v>
      </c>
      <c r="B12845" s="110" t="s">
        <v>1362</v>
      </c>
      <c r="C12845" s="111" t="s">
        <v>23816</v>
      </c>
      <c r="D12845" s="111" t="str">
        <f t="shared" ref="D12845:E12845" si="12843">TRIM(B12845)</f>
        <v>Oklahoma</v>
      </c>
      <c r="E12845" s="111" t="str">
        <f t="shared" si="12843"/>
        <v>Gore</v>
      </c>
    </row>
    <row r="12846" spans="1:5">
      <c r="A12846" s="3" t="s">
        <v>23817</v>
      </c>
      <c r="B12846" s="110" t="s">
        <v>1362</v>
      </c>
      <c r="C12846" s="111" t="s">
        <v>23818</v>
      </c>
      <c r="D12846" s="111" t="str">
        <f t="shared" ref="D12846:E12846" si="12844">TRIM(B12846)</f>
        <v>Oklahoma</v>
      </c>
      <c r="E12846" s="111" t="str">
        <f t="shared" si="12844"/>
        <v>Gracemont</v>
      </c>
    </row>
    <row r="12847" spans="1:5">
      <c r="A12847" s="3" t="s">
        <v>23819</v>
      </c>
      <c r="B12847" s="110" t="s">
        <v>1362</v>
      </c>
      <c r="C12847" s="111" t="s">
        <v>23820</v>
      </c>
      <c r="D12847" s="111" t="str">
        <f t="shared" ref="D12847:E12847" si="12845">TRIM(B12847)</f>
        <v>Oklahoma</v>
      </c>
      <c r="E12847" s="111" t="str">
        <f t="shared" si="12845"/>
        <v>Grandfield</v>
      </c>
    </row>
    <row r="12848" spans="1:5">
      <c r="A12848" s="3" t="s">
        <v>19393</v>
      </c>
      <c r="B12848" s="110" t="s">
        <v>1362</v>
      </c>
      <c r="C12848" s="111" t="s">
        <v>23821</v>
      </c>
      <c r="D12848" s="111" t="str">
        <f t="shared" ref="D12848:E12848" si="12846">TRIM(B12848)</f>
        <v>Oklahoma</v>
      </c>
      <c r="E12848" s="111" t="str">
        <f t="shared" si="12846"/>
        <v>Granite</v>
      </c>
    </row>
    <row r="12849" spans="1:5">
      <c r="A12849" s="3" t="s">
        <v>23822</v>
      </c>
      <c r="B12849" s="110" t="s">
        <v>1362</v>
      </c>
      <c r="C12849" s="111" t="s">
        <v>6488</v>
      </c>
      <c r="D12849" s="111" t="str">
        <f t="shared" ref="D12849:E12849" si="12847">TRIM(B12849)</f>
        <v>Oklahoma</v>
      </c>
      <c r="E12849" s="111" t="str">
        <f t="shared" si="12847"/>
        <v>Grove</v>
      </c>
    </row>
    <row r="12850" spans="1:5">
      <c r="A12850" s="3" t="s">
        <v>23823</v>
      </c>
      <c r="B12850" s="110" t="s">
        <v>1362</v>
      </c>
      <c r="C12850" s="111" t="s">
        <v>23824</v>
      </c>
      <c r="D12850" s="111" t="str">
        <f t="shared" ref="D12850:E12850" si="12848">TRIM(B12850)</f>
        <v>Oklahoma</v>
      </c>
      <c r="E12850" s="111" t="str">
        <f t="shared" si="12848"/>
        <v>Guthrie</v>
      </c>
    </row>
    <row r="12851" spans="1:5">
      <c r="A12851" s="3" t="s">
        <v>23825</v>
      </c>
      <c r="B12851" s="110" t="s">
        <v>1362</v>
      </c>
      <c r="C12851" s="111" t="s">
        <v>23826</v>
      </c>
      <c r="D12851" s="111" t="str">
        <f t="shared" ref="D12851:E12851" si="12849">TRIM(B12851)</f>
        <v>Oklahoma</v>
      </c>
      <c r="E12851" s="111" t="str">
        <f t="shared" si="12849"/>
        <v>Guymon</v>
      </c>
    </row>
    <row r="12852" spans="1:5">
      <c r="A12852" s="3" t="s">
        <v>23827</v>
      </c>
      <c r="B12852" s="110" t="s">
        <v>1362</v>
      </c>
      <c r="C12852" s="111" t="s">
        <v>23828</v>
      </c>
      <c r="D12852" s="111" t="str">
        <f t="shared" ref="D12852:E12852" si="12850">TRIM(B12852)</f>
        <v>Oklahoma</v>
      </c>
      <c r="E12852" s="111" t="str">
        <f t="shared" si="12850"/>
        <v>Haileyville</v>
      </c>
    </row>
    <row r="12853" spans="1:5">
      <c r="A12853" s="3" t="s">
        <v>23829</v>
      </c>
      <c r="B12853" s="110" t="s">
        <v>1362</v>
      </c>
      <c r="C12853" s="111" t="s">
        <v>23830</v>
      </c>
      <c r="D12853" s="111" t="str">
        <f t="shared" ref="D12853:E12853" si="12851">TRIM(B12853)</f>
        <v>Oklahoma</v>
      </c>
      <c r="E12853" s="111" t="str">
        <f t="shared" si="12851"/>
        <v>Hammon</v>
      </c>
    </row>
    <row r="12854" spans="1:5">
      <c r="A12854" s="3" t="s">
        <v>23831</v>
      </c>
      <c r="B12854" s="110" t="s">
        <v>1362</v>
      </c>
      <c r="C12854" s="111" t="s">
        <v>23832</v>
      </c>
      <c r="D12854" s="111" t="str">
        <f t="shared" ref="D12854:E12854" si="12852">TRIM(B12854)</f>
        <v>Oklahoma</v>
      </c>
      <c r="E12854" s="111" t="str">
        <f t="shared" si="12852"/>
        <v>Hanna</v>
      </c>
    </row>
    <row r="12855" spans="1:5">
      <c r="A12855" s="3" t="s">
        <v>23833</v>
      </c>
      <c r="B12855" s="110" t="s">
        <v>1362</v>
      </c>
      <c r="C12855" s="111" t="s">
        <v>23834</v>
      </c>
      <c r="D12855" s="111" t="str">
        <f t="shared" ref="D12855:E12855" si="12853">TRIM(B12855)</f>
        <v>Oklahoma</v>
      </c>
      <c r="E12855" s="111" t="str">
        <f t="shared" si="12853"/>
        <v>Hardesty</v>
      </c>
    </row>
    <row r="12856" spans="1:5">
      <c r="A12856" s="3" t="s">
        <v>23835</v>
      </c>
      <c r="B12856" s="110" t="s">
        <v>1362</v>
      </c>
      <c r="C12856" s="111" t="s">
        <v>23836</v>
      </c>
      <c r="D12856" s="111" t="str">
        <f t="shared" ref="D12856:E12856" si="12854">TRIM(B12856)</f>
        <v>Oklahoma</v>
      </c>
      <c r="E12856" s="111" t="str">
        <f t="shared" si="12854"/>
        <v>Harrah</v>
      </c>
    </row>
    <row r="12857" spans="1:5">
      <c r="A12857" s="3" t="s">
        <v>23837</v>
      </c>
      <c r="B12857" s="110" t="s">
        <v>1362</v>
      </c>
      <c r="C12857" s="111" t="s">
        <v>23838</v>
      </c>
      <c r="D12857" s="111" t="str">
        <f t="shared" ref="D12857:E12857" si="12855">TRIM(B12857)</f>
        <v>Oklahoma</v>
      </c>
      <c r="E12857" s="111" t="str">
        <f t="shared" si="12855"/>
        <v>Hartshorne</v>
      </c>
    </row>
    <row r="12858" spans="1:5">
      <c r="A12858" s="3" t="s">
        <v>23839</v>
      </c>
      <c r="B12858" s="110" t="s">
        <v>1362</v>
      </c>
      <c r="C12858" s="111" t="s">
        <v>23840</v>
      </c>
      <c r="D12858" s="111" t="str">
        <f t="shared" ref="D12858:E12858" si="12856">TRIM(B12858)</f>
        <v>Oklahoma</v>
      </c>
      <c r="E12858" s="111" t="str">
        <f t="shared" si="12856"/>
        <v>Haskell</v>
      </c>
    </row>
    <row r="12859" spans="1:5">
      <c r="A12859" s="3" t="s">
        <v>23841</v>
      </c>
      <c r="B12859" s="110" t="s">
        <v>1362</v>
      </c>
      <c r="C12859" s="111" t="s">
        <v>23842</v>
      </c>
      <c r="D12859" s="111" t="str">
        <f t="shared" ref="D12859:E12859" si="12857">TRIM(B12859)</f>
        <v>Oklahoma</v>
      </c>
      <c r="E12859" s="111" t="str">
        <f t="shared" si="12857"/>
        <v>Haworth</v>
      </c>
    </row>
    <row r="12860" spans="1:5">
      <c r="A12860" s="3" t="s">
        <v>23843</v>
      </c>
      <c r="B12860" s="110" t="s">
        <v>1362</v>
      </c>
      <c r="C12860" s="111" t="s">
        <v>23844</v>
      </c>
      <c r="D12860" s="111" t="str">
        <f t="shared" ref="D12860:E12860" si="12858">TRIM(B12860)</f>
        <v>Oklahoma</v>
      </c>
      <c r="E12860" s="111" t="str">
        <f t="shared" si="12858"/>
        <v>Healdton</v>
      </c>
    </row>
    <row r="12861" spans="1:5">
      <c r="A12861" s="3" t="s">
        <v>23845</v>
      </c>
      <c r="B12861" s="110" t="s">
        <v>1362</v>
      </c>
      <c r="C12861" s="111" t="s">
        <v>23846</v>
      </c>
      <c r="D12861" s="111" t="str">
        <f t="shared" ref="D12861:E12861" si="12859">TRIM(B12861)</f>
        <v>Oklahoma</v>
      </c>
      <c r="E12861" s="111" t="str">
        <f t="shared" si="12859"/>
        <v>Heavener</v>
      </c>
    </row>
    <row r="12862" spans="1:5">
      <c r="A12862" s="3" t="s">
        <v>23847</v>
      </c>
      <c r="B12862" s="110" t="s">
        <v>1362</v>
      </c>
      <c r="C12862" s="111" t="s">
        <v>493</v>
      </c>
      <c r="D12862" s="111" t="str">
        <f t="shared" ref="D12862:E12862" si="12860">TRIM(B12862)</f>
        <v>Oklahoma</v>
      </c>
      <c r="E12862" s="111" t="str">
        <f t="shared" si="12860"/>
        <v>Helena</v>
      </c>
    </row>
    <row r="12863" spans="1:5">
      <c r="A12863" s="3" t="s">
        <v>23848</v>
      </c>
      <c r="B12863" s="110" t="s">
        <v>1362</v>
      </c>
      <c r="C12863" s="111" t="s">
        <v>23849</v>
      </c>
      <c r="D12863" s="111" t="str">
        <f t="shared" ref="D12863:E12863" si="12861">TRIM(B12863)</f>
        <v>Oklahoma</v>
      </c>
      <c r="E12863" s="111" t="str">
        <f t="shared" si="12861"/>
        <v>Hennessey</v>
      </c>
    </row>
    <row r="12864" spans="1:5">
      <c r="A12864" s="3" t="s">
        <v>23850</v>
      </c>
      <c r="B12864" s="110" t="s">
        <v>1362</v>
      </c>
      <c r="C12864" s="111" t="s">
        <v>23851</v>
      </c>
      <c r="D12864" s="111" t="str">
        <f t="shared" ref="D12864:E12864" si="12862">TRIM(B12864)</f>
        <v>Oklahoma</v>
      </c>
      <c r="E12864" s="111" t="str">
        <f t="shared" si="12862"/>
        <v>Henryetta</v>
      </c>
    </row>
    <row r="12865" spans="1:5">
      <c r="A12865" s="3" t="s">
        <v>5567</v>
      </c>
      <c r="B12865" s="110" t="s">
        <v>1362</v>
      </c>
      <c r="C12865" s="111" t="s">
        <v>23851</v>
      </c>
      <c r="D12865" s="111" t="str">
        <f t="shared" ref="D12865:E12865" si="12863">TRIM(B12865)</f>
        <v>Oklahoma</v>
      </c>
      <c r="E12865" s="111" t="str">
        <f t="shared" si="12863"/>
        <v>Henryetta</v>
      </c>
    </row>
    <row r="12866" spans="1:5">
      <c r="A12866" s="3" t="s">
        <v>14871</v>
      </c>
      <c r="B12866" s="110" t="s">
        <v>1362</v>
      </c>
      <c r="C12866" s="111" t="s">
        <v>14872</v>
      </c>
      <c r="D12866" s="111" t="str">
        <f t="shared" ref="D12866:E12866" si="12864">TRIM(B12866)</f>
        <v>Oklahoma</v>
      </c>
      <c r="E12866" s="111" t="str">
        <f t="shared" si="12864"/>
        <v>Hinton</v>
      </c>
    </row>
    <row r="12867" spans="1:5">
      <c r="A12867" s="3" t="s">
        <v>14392</v>
      </c>
      <c r="B12867" s="110" t="s">
        <v>1362</v>
      </c>
      <c r="C12867" s="111" t="s">
        <v>14393</v>
      </c>
      <c r="D12867" s="111" t="str">
        <f t="shared" ref="D12867:E12867" si="12865">TRIM(B12867)</f>
        <v>Oklahoma</v>
      </c>
      <c r="E12867" s="111" t="str">
        <f t="shared" si="12865"/>
        <v>Hobart</v>
      </c>
    </row>
    <row r="12868" spans="1:5">
      <c r="A12868" s="3" t="s">
        <v>23852</v>
      </c>
      <c r="B12868" s="110" t="s">
        <v>1362</v>
      </c>
      <c r="C12868" s="111" t="s">
        <v>23853</v>
      </c>
      <c r="D12868" s="111" t="str">
        <f t="shared" ref="D12868:E12868" si="12866">TRIM(B12868)</f>
        <v>Oklahoma</v>
      </c>
      <c r="E12868" s="111" t="str">
        <f t="shared" si="12866"/>
        <v>Holdenville</v>
      </c>
    </row>
    <row r="12869" spans="1:5">
      <c r="A12869" s="3" t="s">
        <v>23854</v>
      </c>
      <c r="B12869" s="110" t="s">
        <v>1362</v>
      </c>
      <c r="C12869" s="111" t="s">
        <v>23853</v>
      </c>
      <c r="D12869" s="111" t="str">
        <f t="shared" ref="D12869:E12869" si="12867">TRIM(B12869)</f>
        <v>Oklahoma</v>
      </c>
      <c r="E12869" s="111" t="str">
        <f t="shared" si="12867"/>
        <v>Holdenville</v>
      </c>
    </row>
    <row r="12870" spans="1:5">
      <c r="A12870" s="3" t="s">
        <v>23855</v>
      </c>
      <c r="B12870" s="110" t="s">
        <v>1362</v>
      </c>
      <c r="C12870" s="111" t="s">
        <v>19951</v>
      </c>
      <c r="D12870" s="111" t="str">
        <f t="shared" ref="D12870:E12870" si="12868">TRIM(B12870)</f>
        <v>Oklahoma</v>
      </c>
      <c r="E12870" s="111" t="str">
        <f t="shared" si="12868"/>
        <v>Hollis</v>
      </c>
    </row>
    <row r="12871" spans="1:5">
      <c r="A12871" s="3" t="s">
        <v>23856</v>
      </c>
      <c r="B12871" s="110" t="s">
        <v>1362</v>
      </c>
      <c r="C12871" s="111" t="s">
        <v>23857</v>
      </c>
      <c r="D12871" s="111" t="str">
        <f t="shared" ref="D12871:E12871" si="12869">TRIM(B12871)</f>
        <v>Oklahoma</v>
      </c>
      <c r="E12871" s="111" t="str">
        <f t="shared" si="12869"/>
        <v>Hominy</v>
      </c>
    </row>
    <row r="12872" spans="1:5">
      <c r="A12872" s="3" t="s">
        <v>23858</v>
      </c>
      <c r="B12872" s="110" t="s">
        <v>1362</v>
      </c>
      <c r="C12872" s="111" t="s">
        <v>7971</v>
      </c>
      <c r="D12872" s="111" t="str">
        <f t="shared" ref="D12872:E12872" si="12870">TRIM(B12872)</f>
        <v>Oklahoma</v>
      </c>
      <c r="E12872" s="111" t="str">
        <f t="shared" si="12870"/>
        <v>Hooker</v>
      </c>
    </row>
    <row r="12873" spans="1:5">
      <c r="A12873" s="3" t="s">
        <v>23859</v>
      </c>
      <c r="B12873" s="110" t="s">
        <v>1362</v>
      </c>
      <c r="C12873" s="111" t="s">
        <v>23860</v>
      </c>
      <c r="D12873" s="111" t="str">
        <f t="shared" ref="D12873:E12873" si="12871">TRIM(B12873)</f>
        <v>Oklahoma</v>
      </c>
      <c r="E12873" s="111" t="str">
        <f t="shared" si="12871"/>
        <v>Howe</v>
      </c>
    </row>
    <row r="12874" spans="1:5">
      <c r="A12874" s="3" t="s">
        <v>23861</v>
      </c>
      <c r="B12874" s="110" t="s">
        <v>1362</v>
      </c>
      <c r="C12874" s="111" t="s">
        <v>17964</v>
      </c>
      <c r="D12874" s="111" t="str">
        <f t="shared" ref="D12874:E12874" si="12872">TRIM(B12874)</f>
        <v>Oklahoma</v>
      </c>
      <c r="E12874" s="111" t="str">
        <f t="shared" si="12872"/>
        <v>Hugo</v>
      </c>
    </row>
    <row r="12875" spans="1:5">
      <c r="A12875" s="3" t="s">
        <v>23862</v>
      </c>
      <c r="B12875" s="110" t="s">
        <v>1362</v>
      </c>
      <c r="C12875" s="111" t="s">
        <v>23863</v>
      </c>
      <c r="D12875" s="111" t="str">
        <f t="shared" ref="D12875:E12875" si="12873">TRIM(B12875)</f>
        <v>Oklahoma</v>
      </c>
      <c r="E12875" s="111" t="str">
        <f t="shared" si="12873"/>
        <v>Hulbert</v>
      </c>
    </row>
    <row r="12876" spans="1:5">
      <c r="A12876" s="3" t="s">
        <v>23864</v>
      </c>
      <c r="B12876" s="110" t="s">
        <v>1362</v>
      </c>
      <c r="C12876" s="111" t="s">
        <v>23865</v>
      </c>
      <c r="D12876" s="111" t="str">
        <f t="shared" ref="D12876:E12876" si="12874">TRIM(B12876)</f>
        <v>Oklahoma</v>
      </c>
      <c r="E12876" s="111" t="str">
        <f t="shared" si="12874"/>
        <v>Hydro</v>
      </c>
    </row>
    <row r="12877" spans="1:5">
      <c r="A12877" s="3" t="s">
        <v>23866</v>
      </c>
      <c r="B12877" s="110" t="s">
        <v>1362</v>
      </c>
      <c r="C12877" s="111" t="s">
        <v>23867</v>
      </c>
      <c r="D12877" s="111" t="str">
        <f t="shared" ref="D12877:E12877" si="12875">TRIM(B12877)</f>
        <v>Oklahoma</v>
      </c>
      <c r="E12877" s="111" t="str">
        <f t="shared" si="12875"/>
        <v>Idabel</v>
      </c>
    </row>
    <row r="12878" spans="1:5">
      <c r="A12878" s="3" t="s">
        <v>23868</v>
      </c>
      <c r="B12878" s="110" t="s">
        <v>1362</v>
      </c>
      <c r="C12878" s="111" t="s">
        <v>23869</v>
      </c>
      <c r="D12878" s="111" t="str">
        <f t="shared" ref="D12878:E12878" si="12876">TRIM(B12878)</f>
        <v>Oklahoma</v>
      </c>
      <c r="E12878" s="111" t="str">
        <f t="shared" si="12876"/>
        <v>Indiahoma</v>
      </c>
    </row>
    <row r="12879" spans="1:5">
      <c r="A12879" s="3" t="s">
        <v>14884</v>
      </c>
      <c r="B12879" s="110" t="s">
        <v>1362</v>
      </c>
      <c r="C12879" s="111" t="s">
        <v>14885</v>
      </c>
      <c r="D12879" s="111" t="str">
        <f t="shared" ref="D12879:E12879" si="12877">TRIM(B12879)</f>
        <v>Oklahoma</v>
      </c>
      <c r="E12879" s="111" t="str">
        <f t="shared" si="12877"/>
        <v>Indianola</v>
      </c>
    </row>
    <row r="12880" spans="1:5">
      <c r="A12880" s="3" t="s">
        <v>23870</v>
      </c>
      <c r="B12880" s="110" t="s">
        <v>1362</v>
      </c>
      <c r="C12880" s="111" t="s">
        <v>23871</v>
      </c>
      <c r="D12880" s="111" t="str">
        <f t="shared" ref="D12880:E12880" si="12878">TRIM(B12880)</f>
        <v>Oklahoma</v>
      </c>
      <c r="E12880" s="111" t="str">
        <f t="shared" si="12878"/>
        <v>Inola</v>
      </c>
    </row>
    <row r="12881" spans="1:5">
      <c r="A12881" s="3" t="s">
        <v>9434</v>
      </c>
      <c r="B12881" s="110" t="s">
        <v>1362</v>
      </c>
      <c r="C12881" s="111" t="s">
        <v>9436</v>
      </c>
      <c r="D12881" s="111" t="str">
        <f t="shared" ref="D12881:E12881" si="12879">TRIM(B12881)</f>
        <v>Oklahoma</v>
      </c>
      <c r="E12881" s="111" t="str">
        <f t="shared" si="12879"/>
        <v>Jay</v>
      </c>
    </row>
    <row r="12882" spans="1:5">
      <c r="A12882" s="3" t="s">
        <v>23872</v>
      </c>
      <c r="B12882" s="110" t="s">
        <v>1362</v>
      </c>
      <c r="C12882" s="111" t="s">
        <v>5791</v>
      </c>
      <c r="D12882" s="111" t="str">
        <f t="shared" ref="D12882:E12882" si="12880">TRIM(B12882)</f>
        <v>Oklahoma</v>
      </c>
      <c r="E12882" s="111" t="str">
        <f t="shared" si="12880"/>
        <v>Jenks</v>
      </c>
    </row>
    <row r="12883" spans="1:5">
      <c r="A12883" s="3" t="s">
        <v>9857</v>
      </c>
      <c r="B12883" s="110" t="s">
        <v>1362</v>
      </c>
      <c r="C12883" s="111" t="s">
        <v>23873</v>
      </c>
      <c r="D12883" s="111" t="str">
        <f t="shared" ref="D12883:E12883" si="12881">TRIM(B12883)</f>
        <v>Oklahoma</v>
      </c>
      <c r="E12883" s="111" t="str">
        <f t="shared" si="12881"/>
        <v>Jones</v>
      </c>
    </row>
    <row r="12884" spans="1:5">
      <c r="A12884" s="3" t="s">
        <v>13141</v>
      </c>
      <c r="B12884" s="110" t="s">
        <v>1362</v>
      </c>
      <c r="C12884" s="111" t="s">
        <v>1337</v>
      </c>
      <c r="D12884" s="111" t="str">
        <f t="shared" ref="D12884:E12884" si="12882">TRIM(B12884)</f>
        <v>Oklahoma</v>
      </c>
      <c r="E12884" s="111" t="str">
        <f t="shared" si="12882"/>
        <v>Kansas</v>
      </c>
    </row>
    <row r="12885" spans="1:5">
      <c r="A12885" s="3" t="s">
        <v>23874</v>
      </c>
      <c r="B12885" s="110" t="s">
        <v>1362</v>
      </c>
      <c r="C12885" s="111" t="s">
        <v>23875</v>
      </c>
      <c r="D12885" s="111" t="str">
        <f t="shared" ref="D12885:E12885" si="12883">TRIM(B12885)</f>
        <v>Oklahoma</v>
      </c>
      <c r="E12885" s="111" t="str">
        <f t="shared" si="12883"/>
        <v>Kellyville</v>
      </c>
    </row>
    <row r="12886" spans="1:5">
      <c r="A12886" s="3" t="s">
        <v>14904</v>
      </c>
      <c r="B12886" s="110" t="s">
        <v>1362</v>
      </c>
      <c r="C12886" s="111" t="s">
        <v>14905</v>
      </c>
      <c r="D12886" s="111" t="str">
        <f t="shared" ref="D12886:E12886" si="12884">TRIM(B12886)</f>
        <v>Oklahoma</v>
      </c>
      <c r="E12886" s="111" t="str">
        <f t="shared" si="12884"/>
        <v>Keota</v>
      </c>
    </row>
    <row r="12887" spans="1:5">
      <c r="A12887" s="3" t="s">
        <v>23876</v>
      </c>
      <c r="B12887" s="110" t="s">
        <v>1362</v>
      </c>
      <c r="C12887" s="111" t="s">
        <v>23877</v>
      </c>
      <c r="D12887" s="111" t="str">
        <f t="shared" ref="D12887:E12887" si="12885">TRIM(B12887)</f>
        <v>Oklahoma</v>
      </c>
      <c r="E12887" s="111" t="str">
        <f t="shared" si="12885"/>
        <v>Ketchum</v>
      </c>
    </row>
    <row r="12888" spans="1:5">
      <c r="A12888" s="3" t="s">
        <v>23878</v>
      </c>
      <c r="B12888" s="110" t="s">
        <v>1362</v>
      </c>
      <c r="C12888" s="111" t="s">
        <v>23879</v>
      </c>
      <c r="D12888" s="111" t="str">
        <f t="shared" ref="D12888:E12888" si="12886">TRIM(B12888)</f>
        <v>Oklahoma</v>
      </c>
      <c r="E12888" s="111" t="str">
        <f t="shared" si="12886"/>
        <v>Keyes</v>
      </c>
    </row>
    <row r="12889" spans="1:5">
      <c r="A12889" s="3" t="s">
        <v>23880</v>
      </c>
      <c r="B12889" s="110" t="s">
        <v>1362</v>
      </c>
      <c r="C12889" s="111" t="s">
        <v>23881</v>
      </c>
      <c r="D12889" s="111" t="str">
        <f t="shared" ref="D12889:E12889" si="12887">TRIM(B12889)</f>
        <v>Oklahoma</v>
      </c>
      <c r="E12889" s="111" t="str">
        <f t="shared" si="12887"/>
        <v>Kiefer</v>
      </c>
    </row>
    <row r="12890" spans="1:5">
      <c r="A12890" s="3" t="s">
        <v>23882</v>
      </c>
      <c r="B12890" s="110" t="s">
        <v>1362</v>
      </c>
      <c r="C12890" s="111" t="s">
        <v>4976</v>
      </c>
      <c r="D12890" s="111" t="str">
        <f t="shared" ref="D12890:E12890" si="12888">TRIM(B12890)</f>
        <v>Oklahoma</v>
      </c>
      <c r="E12890" s="111" t="str">
        <f t="shared" si="12888"/>
        <v>Kingfisher</v>
      </c>
    </row>
    <row r="12891" spans="1:5">
      <c r="A12891" s="3" t="s">
        <v>3916</v>
      </c>
      <c r="B12891" s="110" t="s">
        <v>1362</v>
      </c>
      <c r="C12891" s="111" t="s">
        <v>3917</v>
      </c>
      <c r="D12891" s="111" t="str">
        <f t="shared" ref="D12891:E12891" si="12889">TRIM(B12891)</f>
        <v>Oklahoma</v>
      </c>
      <c r="E12891" s="111" t="str">
        <f t="shared" si="12889"/>
        <v>Kingston</v>
      </c>
    </row>
    <row r="12892" spans="1:5">
      <c r="A12892" s="3" t="s">
        <v>23883</v>
      </c>
      <c r="B12892" s="110" t="s">
        <v>1362</v>
      </c>
      <c r="C12892" s="111" t="s">
        <v>23884</v>
      </c>
      <c r="D12892" s="111" t="str">
        <f t="shared" ref="D12892:E12892" si="12890">TRIM(B12892)</f>
        <v>Oklahoma</v>
      </c>
      <c r="E12892" s="111" t="str">
        <f t="shared" si="12890"/>
        <v>Kinta</v>
      </c>
    </row>
    <row r="12893" spans="1:5">
      <c r="A12893" s="3" t="s">
        <v>8017</v>
      </c>
      <c r="B12893" s="110" t="s">
        <v>1362</v>
      </c>
      <c r="C12893" s="111" t="s">
        <v>8018</v>
      </c>
      <c r="D12893" s="111" t="str">
        <f t="shared" ref="D12893:E12893" si="12891">TRIM(B12893)</f>
        <v>Oklahoma</v>
      </c>
      <c r="E12893" s="111" t="str">
        <f t="shared" si="12891"/>
        <v>Kiowa</v>
      </c>
    </row>
    <row r="12894" spans="1:5">
      <c r="A12894" s="3" t="s">
        <v>23885</v>
      </c>
      <c r="B12894" s="110" t="s">
        <v>1362</v>
      </c>
      <c r="C12894" s="111" t="s">
        <v>23886</v>
      </c>
      <c r="D12894" s="111" t="str">
        <f t="shared" ref="D12894:E12894" si="12892">TRIM(B12894)</f>
        <v>Oklahoma</v>
      </c>
      <c r="E12894" s="111" t="str">
        <f t="shared" si="12892"/>
        <v>Konawa</v>
      </c>
    </row>
    <row r="12895" spans="1:5">
      <c r="A12895" s="3" t="s">
        <v>23887</v>
      </c>
      <c r="B12895" s="110" t="s">
        <v>1362</v>
      </c>
      <c r="C12895" s="111" t="s">
        <v>23888</v>
      </c>
      <c r="D12895" s="111" t="str">
        <f t="shared" ref="D12895:E12895" si="12893">TRIM(B12895)</f>
        <v>Oklahoma</v>
      </c>
      <c r="E12895" s="111" t="str">
        <f t="shared" si="12893"/>
        <v>Kremlin</v>
      </c>
    </row>
    <row r="12896" spans="1:5">
      <c r="A12896" s="3" t="s">
        <v>15219</v>
      </c>
      <c r="B12896" s="110" t="s">
        <v>1362</v>
      </c>
      <c r="C12896" s="111" t="s">
        <v>23889</v>
      </c>
      <c r="D12896" s="111" t="str">
        <f t="shared" ref="D12896:E12896" si="12894">TRIM(B12896)</f>
        <v>Oklahoma</v>
      </c>
      <c r="E12896" s="111" t="str">
        <f t="shared" si="12894"/>
        <v>Lahoma</v>
      </c>
    </row>
    <row r="12897" spans="1:5">
      <c r="A12897" s="3" t="s">
        <v>23890</v>
      </c>
      <c r="B12897" s="110" t="s">
        <v>1362</v>
      </c>
      <c r="C12897" s="111" t="s">
        <v>23891</v>
      </c>
      <c r="D12897" s="111" t="str">
        <f t="shared" ref="D12897:E12897" si="12895">TRIM(B12897)</f>
        <v>Oklahoma</v>
      </c>
      <c r="E12897" s="111" t="str">
        <f t="shared" si="12895"/>
        <v>Lamont</v>
      </c>
    </row>
    <row r="12898" spans="1:5">
      <c r="A12898" s="3" t="s">
        <v>23892</v>
      </c>
      <c r="B12898" s="110" t="s">
        <v>1362</v>
      </c>
      <c r="C12898" s="111" t="s">
        <v>23893</v>
      </c>
      <c r="D12898" s="111" t="str">
        <f t="shared" ref="D12898:E12898" si="12896">TRIM(B12898)</f>
        <v>Oklahoma</v>
      </c>
      <c r="E12898" s="111" t="str">
        <f t="shared" si="12896"/>
        <v>Laverne</v>
      </c>
    </row>
    <row r="12899" spans="1:5">
      <c r="A12899" s="3" t="s">
        <v>12745</v>
      </c>
      <c r="B12899" s="110" t="s">
        <v>1362</v>
      </c>
      <c r="C12899" s="111" t="s">
        <v>2925</v>
      </c>
      <c r="D12899" s="111" t="str">
        <f t="shared" ref="D12899:E12899" si="12897">TRIM(B12899)</f>
        <v>Oklahoma</v>
      </c>
      <c r="E12899" s="111" t="str">
        <f t="shared" si="12897"/>
        <v>Lawton</v>
      </c>
    </row>
    <row r="12900" spans="1:5">
      <c r="A12900" s="3" t="s">
        <v>17364</v>
      </c>
      <c r="B12900" s="110" t="s">
        <v>1362</v>
      </c>
      <c r="C12900" s="111" t="s">
        <v>2925</v>
      </c>
      <c r="D12900" s="111" t="str">
        <f t="shared" ref="D12900:E12900" si="12898">TRIM(B12900)</f>
        <v>Oklahoma</v>
      </c>
      <c r="E12900" s="111" t="str">
        <f t="shared" si="12898"/>
        <v>Lawton</v>
      </c>
    </row>
    <row r="12901" spans="1:5">
      <c r="A12901" s="3" t="s">
        <v>12746</v>
      </c>
      <c r="B12901" s="110" t="s">
        <v>1362</v>
      </c>
      <c r="C12901" s="111" t="s">
        <v>2925</v>
      </c>
      <c r="D12901" s="111" t="str">
        <f t="shared" ref="D12901:E12901" si="12899">TRIM(B12901)</f>
        <v>Oklahoma</v>
      </c>
      <c r="E12901" s="111" t="str">
        <f t="shared" si="12899"/>
        <v>Lawton</v>
      </c>
    </row>
    <row r="12902" spans="1:5">
      <c r="A12902" s="3" t="s">
        <v>23894</v>
      </c>
      <c r="B12902" s="110" t="s">
        <v>1362</v>
      </c>
      <c r="C12902" s="111" t="s">
        <v>8428</v>
      </c>
      <c r="D12902" s="111" t="str">
        <f t="shared" ref="D12902:E12902" si="12900">TRIM(B12902)</f>
        <v>Oklahoma</v>
      </c>
      <c r="E12902" s="111" t="str">
        <f t="shared" si="12900"/>
        <v>Leedey</v>
      </c>
    </row>
    <row r="12903" spans="1:5">
      <c r="A12903" s="3" t="s">
        <v>23895</v>
      </c>
      <c r="B12903" s="110" t="s">
        <v>1362</v>
      </c>
      <c r="C12903" s="111" t="s">
        <v>23896</v>
      </c>
      <c r="D12903" s="111" t="str">
        <f t="shared" ref="D12903:E12903" si="12901">TRIM(B12903)</f>
        <v>Oklahoma</v>
      </c>
      <c r="E12903" s="111" t="str">
        <f t="shared" si="12901"/>
        <v>Leflore</v>
      </c>
    </row>
    <row r="12904" spans="1:5">
      <c r="A12904" s="3" t="s">
        <v>13208</v>
      </c>
      <c r="B12904" s="110" t="s">
        <v>1362</v>
      </c>
      <c r="C12904" s="111" t="s">
        <v>506</v>
      </c>
      <c r="D12904" s="111" t="str">
        <f t="shared" ref="D12904:E12904" si="12902">TRIM(B12904)</f>
        <v>Oklahoma</v>
      </c>
      <c r="E12904" s="111" t="str">
        <f t="shared" si="12902"/>
        <v>Lexington</v>
      </c>
    </row>
    <row r="12905" spans="1:5">
      <c r="A12905" s="3" t="s">
        <v>23897</v>
      </c>
      <c r="B12905" s="110" t="s">
        <v>1362</v>
      </c>
      <c r="C12905" s="111" t="s">
        <v>5512</v>
      </c>
      <c r="D12905" s="111" t="str">
        <f t="shared" ref="D12905:E12905" si="12903">TRIM(B12905)</f>
        <v>Oklahoma</v>
      </c>
      <c r="E12905" s="111" t="str">
        <f t="shared" si="12903"/>
        <v>Lindsay</v>
      </c>
    </row>
    <row r="12906" spans="1:5">
      <c r="A12906" s="3" t="s">
        <v>10985</v>
      </c>
      <c r="B12906" s="110" t="s">
        <v>1362</v>
      </c>
      <c r="C12906" s="111" t="s">
        <v>10987</v>
      </c>
      <c r="D12906" s="111" t="str">
        <f t="shared" ref="D12906:E12906" si="12904">TRIM(B12906)</f>
        <v>Oklahoma</v>
      </c>
      <c r="E12906" s="111" t="str">
        <f t="shared" si="12904"/>
        <v>Locust Grove</v>
      </c>
    </row>
    <row r="12907" spans="1:5">
      <c r="A12907" s="3" t="s">
        <v>23898</v>
      </c>
      <c r="B12907" s="110" t="s">
        <v>1362</v>
      </c>
      <c r="C12907" s="111" t="s">
        <v>23899</v>
      </c>
      <c r="D12907" s="111" t="str">
        <f t="shared" ref="D12907:E12907" si="12905">TRIM(B12907)</f>
        <v>Oklahoma</v>
      </c>
      <c r="E12907" s="111" t="str">
        <f t="shared" si="12905"/>
        <v>Lone Grove</v>
      </c>
    </row>
    <row r="12908" spans="1:5">
      <c r="A12908" s="3" t="s">
        <v>23900</v>
      </c>
      <c r="B12908" s="110" t="s">
        <v>1362</v>
      </c>
      <c r="C12908" s="111" t="s">
        <v>23901</v>
      </c>
      <c r="D12908" s="111" t="str">
        <f t="shared" ref="D12908:E12908" si="12906">TRIM(B12908)</f>
        <v>Oklahoma</v>
      </c>
      <c r="E12908" s="111" t="str">
        <f t="shared" si="12906"/>
        <v>Lone Wolf</v>
      </c>
    </row>
    <row r="12909" spans="1:5">
      <c r="A12909" s="3" t="s">
        <v>23902</v>
      </c>
      <c r="B12909" s="110" t="s">
        <v>1362</v>
      </c>
      <c r="C12909" s="111" t="s">
        <v>23903</v>
      </c>
      <c r="D12909" s="111" t="str">
        <f t="shared" ref="D12909:E12909" si="12907">TRIM(B12909)</f>
        <v>Oklahoma</v>
      </c>
      <c r="E12909" s="111" t="str">
        <f t="shared" si="12907"/>
        <v>Lookeba</v>
      </c>
    </row>
    <row r="12910" spans="1:5">
      <c r="A12910" s="3" t="s">
        <v>14252</v>
      </c>
      <c r="B12910" s="110" t="s">
        <v>1362</v>
      </c>
      <c r="C12910" s="111" t="s">
        <v>23904</v>
      </c>
      <c r="D12910" s="111" t="str">
        <f t="shared" ref="D12910:E12910" si="12908">TRIM(B12910)</f>
        <v>Oklahoma</v>
      </c>
      <c r="E12910" s="111" t="str">
        <f t="shared" si="12908"/>
        <v>Luther</v>
      </c>
    </row>
    <row r="12911" spans="1:5">
      <c r="A12911" s="3" t="s">
        <v>23905</v>
      </c>
      <c r="B12911" s="110" t="s">
        <v>1362</v>
      </c>
      <c r="C12911" s="111" t="s">
        <v>13249</v>
      </c>
      <c r="D12911" s="111" t="str">
        <f t="shared" ref="D12911:E12911" si="12909">TRIM(B12911)</f>
        <v>Oklahoma</v>
      </c>
      <c r="E12911" s="111" t="str">
        <f t="shared" si="12909"/>
        <v>Macomb</v>
      </c>
    </row>
    <row r="12912" spans="1:5">
      <c r="A12912" s="3" t="s">
        <v>23906</v>
      </c>
      <c r="B12912" s="110" t="s">
        <v>1362</v>
      </c>
      <c r="C12912" s="111" t="s">
        <v>23907</v>
      </c>
      <c r="D12912" s="111" t="str">
        <f t="shared" ref="D12912:E12912" si="12910">TRIM(B12912)</f>
        <v>Oklahoma</v>
      </c>
      <c r="E12912" s="111" t="str">
        <f t="shared" si="12910"/>
        <v>Madill</v>
      </c>
    </row>
    <row r="12913" spans="1:5">
      <c r="A12913" s="3" t="s">
        <v>23908</v>
      </c>
      <c r="B12913" s="110" t="s">
        <v>1362</v>
      </c>
      <c r="C12913" s="111" t="s">
        <v>23909</v>
      </c>
      <c r="D12913" s="111" t="str">
        <f t="shared" ref="D12913:E12913" si="12911">TRIM(B12913)</f>
        <v>Oklahoma</v>
      </c>
      <c r="E12913" s="111" t="str">
        <f t="shared" si="12911"/>
        <v>Mangum</v>
      </c>
    </row>
    <row r="12914" spans="1:5">
      <c r="A12914" s="3" t="s">
        <v>23910</v>
      </c>
      <c r="B12914" s="110" t="s">
        <v>1362</v>
      </c>
      <c r="C12914" s="111" t="s">
        <v>23911</v>
      </c>
      <c r="D12914" s="111" t="str">
        <f t="shared" ref="D12914:E12914" si="12912">TRIM(B12914)</f>
        <v>Oklahoma</v>
      </c>
      <c r="E12914" s="111" t="str">
        <f t="shared" si="12912"/>
        <v>Mannford</v>
      </c>
    </row>
    <row r="12915" spans="1:5">
      <c r="A12915" s="3" t="s">
        <v>11046</v>
      </c>
      <c r="B12915" s="110" t="s">
        <v>1362</v>
      </c>
      <c r="C12915" s="111" t="s">
        <v>836</v>
      </c>
      <c r="D12915" s="111" t="str">
        <f t="shared" ref="D12915:E12915" si="12913">TRIM(B12915)</f>
        <v>Oklahoma</v>
      </c>
      <c r="E12915" s="111" t="str">
        <f t="shared" si="12913"/>
        <v>Marietta</v>
      </c>
    </row>
    <row r="12916" spans="1:5">
      <c r="A12916" s="3" t="s">
        <v>23912</v>
      </c>
      <c r="B12916" s="110" t="s">
        <v>1362</v>
      </c>
      <c r="C12916" s="111" t="s">
        <v>23913</v>
      </c>
      <c r="D12916" s="111" t="str">
        <f t="shared" ref="D12916:E12916" si="12914">TRIM(B12916)</f>
        <v>Oklahoma</v>
      </c>
      <c r="E12916" s="111" t="str">
        <f t="shared" si="12914"/>
        <v>Marlow</v>
      </c>
    </row>
    <row r="12917" spans="1:5">
      <c r="A12917" s="3" t="s">
        <v>23914</v>
      </c>
      <c r="B12917" s="110" t="s">
        <v>1362</v>
      </c>
      <c r="C12917" s="111" t="s">
        <v>23913</v>
      </c>
      <c r="D12917" s="111" t="str">
        <f t="shared" ref="D12917:E12917" si="12915">TRIM(B12917)</f>
        <v>Oklahoma</v>
      </c>
      <c r="E12917" s="111" t="str">
        <f t="shared" si="12915"/>
        <v>Marlow</v>
      </c>
    </row>
    <row r="12918" spans="1:5">
      <c r="A12918" s="3" t="s">
        <v>23915</v>
      </c>
      <c r="B12918" s="110" t="s">
        <v>1362</v>
      </c>
      <c r="C12918" s="111" t="s">
        <v>23913</v>
      </c>
      <c r="D12918" s="111" t="str">
        <f t="shared" ref="D12918:E12918" si="12916">TRIM(B12918)</f>
        <v>Oklahoma</v>
      </c>
      <c r="E12918" s="111" t="str">
        <f t="shared" si="12916"/>
        <v>Marlow</v>
      </c>
    </row>
    <row r="12919" spans="1:5">
      <c r="A12919" s="3" t="s">
        <v>17398</v>
      </c>
      <c r="B12919" s="110" t="s">
        <v>1362</v>
      </c>
      <c r="C12919" s="111" t="s">
        <v>12792</v>
      </c>
      <c r="D12919" s="111" t="str">
        <f t="shared" ref="D12919:E12919" si="12917">TRIM(B12919)</f>
        <v>Oklahoma</v>
      </c>
      <c r="E12919" s="111" t="str">
        <f t="shared" si="12917"/>
        <v>Mason</v>
      </c>
    </row>
    <row r="12920" spans="1:5">
      <c r="A12920" s="3" t="s">
        <v>23916</v>
      </c>
      <c r="B12920" s="110" t="s">
        <v>1362</v>
      </c>
      <c r="C12920" s="111" t="s">
        <v>23917</v>
      </c>
      <c r="D12920" s="111" t="str">
        <f t="shared" ref="D12920:E12920" si="12918">TRIM(B12920)</f>
        <v>Oklahoma</v>
      </c>
      <c r="E12920" s="111" t="str">
        <f t="shared" si="12918"/>
        <v>Maud</v>
      </c>
    </row>
    <row r="12921" spans="1:5">
      <c r="A12921" s="3" t="s">
        <v>23601</v>
      </c>
      <c r="B12921" s="110" t="s">
        <v>1362</v>
      </c>
      <c r="C12921" s="111" t="s">
        <v>10843</v>
      </c>
      <c r="D12921" s="111" t="str">
        <f t="shared" ref="D12921:E12921" si="12919">TRIM(B12921)</f>
        <v>Oklahoma</v>
      </c>
      <c r="E12921" s="111" t="str">
        <f t="shared" si="12919"/>
        <v>Maysville</v>
      </c>
    </row>
    <row r="12922" spans="1:5">
      <c r="A12922" s="3" t="s">
        <v>23918</v>
      </c>
      <c r="B12922" s="110" t="s">
        <v>1362</v>
      </c>
      <c r="C12922" s="111" t="s">
        <v>23919</v>
      </c>
      <c r="D12922" s="111" t="str">
        <f t="shared" ref="D12922:E12922" si="12920">TRIM(B12922)</f>
        <v>Oklahoma</v>
      </c>
      <c r="E12922" s="111" t="str">
        <f t="shared" si="12920"/>
        <v>Mcalester</v>
      </c>
    </row>
    <row r="12923" spans="1:5">
      <c r="A12923" s="3" t="s">
        <v>23920</v>
      </c>
      <c r="B12923" s="110" t="s">
        <v>1362</v>
      </c>
      <c r="C12923" s="111" t="s">
        <v>23921</v>
      </c>
      <c r="D12923" s="111" t="str">
        <f t="shared" ref="D12923:E12923" si="12921">TRIM(B12923)</f>
        <v>Oklahoma</v>
      </c>
      <c r="E12923" s="111" t="str">
        <f t="shared" si="12921"/>
        <v>Mccurtain</v>
      </c>
    </row>
    <row r="12924" spans="1:5">
      <c r="A12924" s="3" t="s">
        <v>23922</v>
      </c>
      <c r="B12924" s="110" t="s">
        <v>1362</v>
      </c>
      <c r="C12924" s="111" t="s">
        <v>23923</v>
      </c>
      <c r="D12924" s="111" t="str">
        <f t="shared" ref="D12924:E12924" si="12922">TRIM(B12924)</f>
        <v>Oklahoma</v>
      </c>
      <c r="E12924" s="111" t="str">
        <f t="shared" si="12922"/>
        <v>Mcloud</v>
      </c>
    </row>
    <row r="12925" spans="1:5">
      <c r="A12925" s="3" t="s">
        <v>16735</v>
      </c>
      <c r="B12925" s="110" t="s">
        <v>1362</v>
      </c>
      <c r="C12925" s="111" t="s">
        <v>549</v>
      </c>
      <c r="D12925" s="111" t="str">
        <f t="shared" ref="D12925:E12925" si="12923">TRIM(B12925)</f>
        <v>Oklahoma</v>
      </c>
      <c r="E12925" s="111" t="str">
        <f t="shared" si="12923"/>
        <v>Medford</v>
      </c>
    </row>
    <row r="12926" spans="1:5">
      <c r="A12926" s="3" t="s">
        <v>8104</v>
      </c>
      <c r="B12926" s="110" t="s">
        <v>1362</v>
      </c>
      <c r="C12926" s="111" t="s">
        <v>8105</v>
      </c>
      <c r="D12926" s="111" t="str">
        <f t="shared" ref="D12926:E12926" si="12924">TRIM(B12926)</f>
        <v>Oklahoma</v>
      </c>
      <c r="E12926" s="111" t="str">
        <f t="shared" si="12924"/>
        <v>Meeker</v>
      </c>
    </row>
    <row r="12927" spans="1:5">
      <c r="A12927" s="3" t="s">
        <v>18600</v>
      </c>
      <c r="B12927" s="110" t="s">
        <v>1362</v>
      </c>
      <c r="C12927" s="112" t="s">
        <v>115</v>
      </c>
      <c r="D12927" s="111" t="str">
        <f t="shared" ref="D12927:E12927" si="12925">TRIM(B12927)</f>
        <v>Oklahoma</v>
      </c>
      <c r="E12927" s="111" t="str">
        <f t="shared" si="12925"/>
        <v>Miami</v>
      </c>
    </row>
    <row r="12928" spans="1:5">
      <c r="A12928" s="3" t="s">
        <v>23924</v>
      </c>
      <c r="B12928" s="110" t="s">
        <v>1362</v>
      </c>
      <c r="C12928" s="111" t="s">
        <v>1188</v>
      </c>
      <c r="D12928" s="111" t="str">
        <f t="shared" ref="D12928:E12928" si="12926">TRIM(B12928)</f>
        <v>Oklahoma</v>
      </c>
      <c r="E12928" s="111" t="str">
        <f t="shared" si="12926"/>
        <v>Midwest City</v>
      </c>
    </row>
    <row r="12929" spans="1:5">
      <c r="A12929" s="3" t="s">
        <v>23925</v>
      </c>
      <c r="B12929" s="110" t="s">
        <v>1362</v>
      </c>
      <c r="C12929" s="111" t="s">
        <v>1188</v>
      </c>
      <c r="D12929" s="111" t="str">
        <f t="shared" ref="D12929:E12929" si="12927">TRIM(B12929)</f>
        <v>Oklahoma</v>
      </c>
      <c r="E12929" s="111" t="str">
        <f t="shared" si="12927"/>
        <v>Midwest City</v>
      </c>
    </row>
    <row r="12930" spans="1:5">
      <c r="A12930" s="3" t="s">
        <v>23926</v>
      </c>
      <c r="B12930" s="110" t="s">
        <v>1362</v>
      </c>
      <c r="C12930" s="111" t="s">
        <v>23927</v>
      </c>
      <c r="D12930" s="111" t="str">
        <f t="shared" ref="D12930:E12930" si="12928">TRIM(B12930)</f>
        <v>Oklahoma</v>
      </c>
      <c r="E12930" s="111" t="str">
        <f t="shared" si="12928"/>
        <v>Milburn</v>
      </c>
    </row>
    <row r="12931" spans="1:5">
      <c r="A12931" s="3" t="s">
        <v>10884</v>
      </c>
      <c r="B12931" s="110" t="s">
        <v>1362</v>
      </c>
      <c r="C12931" s="111" t="s">
        <v>23928</v>
      </c>
      <c r="D12931" s="111" t="str">
        <f t="shared" ref="D12931:E12931" si="12929">TRIM(B12931)</f>
        <v>Oklahoma</v>
      </c>
      <c r="E12931" s="111" t="str">
        <f t="shared" si="12929"/>
        <v>Mill Creek</v>
      </c>
    </row>
    <row r="12932" spans="1:5">
      <c r="A12932" s="3" t="s">
        <v>23929</v>
      </c>
      <c r="B12932" s="110" t="s">
        <v>1362</v>
      </c>
      <c r="C12932" s="111" t="s">
        <v>23930</v>
      </c>
      <c r="D12932" s="111" t="str">
        <f t="shared" ref="D12932:E12932" si="12930">TRIM(B12932)</f>
        <v>Oklahoma</v>
      </c>
      <c r="E12932" s="111" t="str">
        <f t="shared" si="12930"/>
        <v>Minco</v>
      </c>
    </row>
    <row r="12933" spans="1:5">
      <c r="A12933" s="3" t="s">
        <v>19384</v>
      </c>
      <c r="B12933" s="110" t="s">
        <v>1362</v>
      </c>
      <c r="C12933" s="111" t="s">
        <v>19385</v>
      </c>
      <c r="D12933" s="111" t="str">
        <f t="shared" ref="D12933:E12933" si="12931">TRIM(B12933)</f>
        <v>Oklahoma</v>
      </c>
      <c r="E12933" s="111" t="str">
        <f t="shared" si="12931"/>
        <v>Moore</v>
      </c>
    </row>
    <row r="12934" spans="1:5">
      <c r="A12934" s="3" t="s">
        <v>23931</v>
      </c>
      <c r="B12934" s="110" t="s">
        <v>1362</v>
      </c>
      <c r="C12934" s="111" t="s">
        <v>19385</v>
      </c>
      <c r="D12934" s="111" t="str">
        <f t="shared" ref="D12934:E12934" si="12932">TRIM(B12934)</f>
        <v>Oklahoma</v>
      </c>
      <c r="E12934" s="111" t="str">
        <f t="shared" si="12932"/>
        <v>Moore</v>
      </c>
    </row>
    <row r="12935" spans="1:5">
      <c r="A12935" s="3" t="s">
        <v>23932</v>
      </c>
      <c r="B12935" s="110" t="s">
        <v>1362</v>
      </c>
      <c r="C12935" s="111" t="s">
        <v>23933</v>
      </c>
      <c r="D12935" s="111" t="str">
        <f t="shared" ref="D12935:E12935" si="12933">TRIM(B12935)</f>
        <v>Oklahoma</v>
      </c>
      <c r="E12935" s="111" t="str">
        <f t="shared" si="12933"/>
        <v>Mooreland</v>
      </c>
    </row>
    <row r="12936" spans="1:5">
      <c r="A12936" s="3" t="s">
        <v>23934</v>
      </c>
      <c r="B12936" s="110" t="s">
        <v>1362</v>
      </c>
      <c r="C12936" s="111" t="s">
        <v>436</v>
      </c>
      <c r="D12936" s="111" t="str">
        <f t="shared" ref="D12936:E12936" si="12934">TRIM(B12936)</f>
        <v>Oklahoma</v>
      </c>
      <c r="E12936" s="111" t="str">
        <f t="shared" si="12934"/>
        <v>Morris</v>
      </c>
    </row>
    <row r="12937" spans="1:5">
      <c r="A12937" s="3" t="s">
        <v>13371</v>
      </c>
      <c r="B12937" s="110" t="s">
        <v>1362</v>
      </c>
      <c r="C12937" s="111" t="s">
        <v>13372</v>
      </c>
      <c r="D12937" s="111" t="str">
        <f t="shared" ref="D12937:E12937" si="12935">TRIM(B12937)</f>
        <v>Oklahoma</v>
      </c>
      <c r="E12937" s="111" t="str">
        <f t="shared" si="12935"/>
        <v>Morrison</v>
      </c>
    </row>
    <row r="12938" spans="1:5">
      <c r="A12938" s="3" t="s">
        <v>2745</v>
      </c>
      <c r="B12938" s="110" t="s">
        <v>1362</v>
      </c>
      <c r="C12938" s="111" t="s">
        <v>13380</v>
      </c>
      <c r="D12938" s="111" t="str">
        <f t="shared" ref="D12938:E12938" si="12936">TRIM(B12938)</f>
        <v>Oklahoma</v>
      </c>
      <c r="E12938" s="111" t="str">
        <f t="shared" si="12936"/>
        <v>Mounds</v>
      </c>
    </row>
    <row r="12939" spans="1:5">
      <c r="A12939" s="3" t="s">
        <v>23935</v>
      </c>
      <c r="B12939" s="110" t="s">
        <v>1362</v>
      </c>
      <c r="C12939" s="111" t="s">
        <v>13380</v>
      </c>
      <c r="D12939" s="111" t="str">
        <f t="shared" ref="D12939:E12939" si="12937">TRIM(B12939)</f>
        <v>Oklahoma</v>
      </c>
      <c r="E12939" s="111" t="str">
        <f t="shared" si="12937"/>
        <v>Mounds</v>
      </c>
    </row>
    <row r="12940" spans="1:5">
      <c r="A12940" s="3" t="s">
        <v>23936</v>
      </c>
      <c r="B12940" s="110" t="s">
        <v>1362</v>
      </c>
      <c r="C12940" s="111" t="s">
        <v>4059</v>
      </c>
      <c r="D12940" s="111" t="str">
        <f t="shared" ref="D12940:E12940" si="12938">TRIM(B12940)</f>
        <v>Oklahoma</v>
      </c>
      <c r="E12940" s="111" t="str">
        <f t="shared" si="12938"/>
        <v>Mountain View</v>
      </c>
    </row>
    <row r="12941" spans="1:5">
      <c r="A12941" s="3" t="s">
        <v>23937</v>
      </c>
      <c r="B12941" s="110" t="s">
        <v>1362</v>
      </c>
      <c r="C12941" s="111" t="s">
        <v>23938</v>
      </c>
      <c r="D12941" s="111" t="str">
        <f t="shared" ref="D12941:E12941" si="12939">TRIM(B12941)</f>
        <v>Oklahoma</v>
      </c>
      <c r="E12941" s="111" t="str">
        <f t="shared" si="12939"/>
        <v>Moyers</v>
      </c>
    </row>
    <row r="12942" spans="1:5">
      <c r="A12942" s="3" t="s">
        <v>23939</v>
      </c>
      <c r="B12942" s="110" t="s">
        <v>1362</v>
      </c>
      <c r="C12942" s="111" t="s">
        <v>23940</v>
      </c>
      <c r="D12942" s="111" t="str">
        <f t="shared" ref="D12942:E12942" si="12940">TRIM(B12942)</f>
        <v>Oklahoma</v>
      </c>
      <c r="E12942" s="111" t="str">
        <f t="shared" si="12940"/>
        <v>Muldrow</v>
      </c>
    </row>
    <row r="12943" spans="1:5">
      <c r="A12943" s="3" t="s">
        <v>23941</v>
      </c>
      <c r="B12943" s="110" t="s">
        <v>1362</v>
      </c>
      <c r="C12943" s="111" t="s">
        <v>23942</v>
      </c>
      <c r="D12943" s="111" t="str">
        <f t="shared" ref="D12943:E12943" si="12941">TRIM(B12943)</f>
        <v>Oklahoma</v>
      </c>
      <c r="E12943" s="111" t="str">
        <f t="shared" si="12941"/>
        <v>Muskogee</v>
      </c>
    </row>
    <row r="12944" spans="1:5">
      <c r="A12944" s="3" t="s">
        <v>23943</v>
      </c>
      <c r="B12944" s="110" t="s">
        <v>1362</v>
      </c>
      <c r="C12944" s="111" t="s">
        <v>23942</v>
      </c>
      <c r="D12944" s="111" t="str">
        <f t="shared" ref="D12944:E12944" si="12942">TRIM(B12944)</f>
        <v>Oklahoma</v>
      </c>
      <c r="E12944" s="111" t="str">
        <f t="shared" si="12942"/>
        <v>Muskogee</v>
      </c>
    </row>
    <row r="12945" spans="1:5">
      <c r="A12945" s="3" t="s">
        <v>23944</v>
      </c>
      <c r="B12945" s="110" t="s">
        <v>1362</v>
      </c>
      <c r="C12945" s="111" t="s">
        <v>23945</v>
      </c>
      <c r="D12945" s="111" t="str">
        <f t="shared" ref="D12945:E12945" si="12943">TRIM(B12945)</f>
        <v>Oklahoma</v>
      </c>
      <c r="E12945" s="111" t="str">
        <f t="shared" si="12943"/>
        <v>Mutual</v>
      </c>
    </row>
    <row r="12946" spans="1:5">
      <c r="A12946" s="3" t="s">
        <v>23946</v>
      </c>
      <c r="B12946" s="110" t="s">
        <v>1362</v>
      </c>
      <c r="C12946" s="111" t="s">
        <v>11016</v>
      </c>
      <c r="D12946" s="111" t="str">
        <f t="shared" ref="D12946:E12946" si="12944">TRIM(B12946)</f>
        <v>Oklahoma</v>
      </c>
      <c r="E12946" s="111" t="str">
        <f t="shared" si="12944"/>
        <v>Newcastle</v>
      </c>
    </row>
    <row r="12947" spans="1:5">
      <c r="A12947" s="3" t="s">
        <v>23947</v>
      </c>
      <c r="B12947" s="110" t="s">
        <v>1362</v>
      </c>
      <c r="C12947" s="111" t="s">
        <v>23948</v>
      </c>
      <c r="D12947" s="111" t="str">
        <f t="shared" ref="D12947:E12947" si="12945">TRIM(B12947)</f>
        <v>Oklahoma</v>
      </c>
      <c r="E12947" s="111" t="str">
        <f t="shared" si="12945"/>
        <v>Newkirk</v>
      </c>
    </row>
    <row r="12948" spans="1:5">
      <c r="A12948" s="3" t="s">
        <v>23780</v>
      </c>
      <c r="B12948" s="110" t="s">
        <v>1362</v>
      </c>
      <c r="C12948" s="111" t="s">
        <v>23949</v>
      </c>
      <c r="D12948" s="111" t="str">
        <f t="shared" ref="D12948:E12948" si="12946">TRIM(B12948)</f>
        <v>Oklahoma</v>
      </c>
      <c r="E12948" s="111" t="str">
        <f t="shared" si="12946"/>
        <v>Ninnekah</v>
      </c>
    </row>
    <row r="12949" spans="1:5">
      <c r="A12949" s="3" t="s">
        <v>16254</v>
      </c>
      <c r="B12949" s="110" t="s">
        <v>1362</v>
      </c>
      <c r="C12949" s="111" t="s">
        <v>23950</v>
      </c>
      <c r="D12949" s="111" t="str">
        <f t="shared" ref="D12949:E12949" si="12947">TRIM(B12949)</f>
        <v>Oklahoma</v>
      </c>
      <c r="E12949" s="111" t="str">
        <f t="shared" si="12947"/>
        <v>Noble</v>
      </c>
    </row>
    <row r="12950" spans="1:5">
      <c r="A12950" s="3" t="s">
        <v>23951</v>
      </c>
      <c r="B12950" s="110" t="s">
        <v>1362</v>
      </c>
      <c r="C12950" s="111" t="s">
        <v>4085</v>
      </c>
      <c r="D12950" s="111" t="str">
        <f t="shared" ref="D12950:E12950" si="12948">TRIM(B12950)</f>
        <v>Oklahoma</v>
      </c>
      <c r="E12950" s="111" t="str">
        <f t="shared" si="12948"/>
        <v>Norman</v>
      </c>
    </row>
    <row r="12951" spans="1:5">
      <c r="A12951" s="3" t="s">
        <v>23952</v>
      </c>
      <c r="B12951" s="110" t="s">
        <v>1362</v>
      </c>
      <c r="C12951" s="111" t="s">
        <v>4085</v>
      </c>
      <c r="D12951" s="111" t="str">
        <f t="shared" ref="D12951:E12951" si="12949">TRIM(B12951)</f>
        <v>Oklahoma</v>
      </c>
      <c r="E12951" s="111" t="str">
        <f t="shared" si="12949"/>
        <v>Norman</v>
      </c>
    </row>
    <row r="12952" spans="1:5">
      <c r="A12952" s="3" t="s">
        <v>23953</v>
      </c>
      <c r="B12952" s="110" t="s">
        <v>1362</v>
      </c>
      <c r="C12952" s="111" t="s">
        <v>4085</v>
      </c>
      <c r="D12952" s="111" t="str">
        <f t="shared" ref="D12952:E12952" si="12950">TRIM(B12952)</f>
        <v>Oklahoma</v>
      </c>
      <c r="E12952" s="111" t="str">
        <f t="shared" si="12950"/>
        <v>Norman</v>
      </c>
    </row>
    <row r="12953" spans="1:5">
      <c r="A12953" s="3" t="s">
        <v>23954</v>
      </c>
      <c r="B12953" s="110" t="s">
        <v>1362</v>
      </c>
      <c r="C12953" s="111" t="s">
        <v>4085</v>
      </c>
      <c r="D12953" s="111" t="str">
        <f t="shared" ref="D12953:E12953" si="12951">TRIM(B12953)</f>
        <v>Oklahoma</v>
      </c>
      <c r="E12953" s="111" t="str">
        <f t="shared" si="12951"/>
        <v>Norman</v>
      </c>
    </row>
    <row r="12954" spans="1:5">
      <c r="A12954" s="3" t="s">
        <v>23955</v>
      </c>
      <c r="B12954" s="110" t="s">
        <v>1362</v>
      </c>
      <c r="C12954" s="111" t="s">
        <v>4085</v>
      </c>
      <c r="D12954" s="111" t="str">
        <f t="shared" ref="D12954:E12954" si="12952">TRIM(B12954)</f>
        <v>Oklahoma</v>
      </c>
      <c r="E12954" s="111" t="str">
        <f t="shared" si="12952"/>
        <v>Norman</v>
      </c>
    </row>
    <row r="12955" spans="1:5">
      <c r="A12955" s="3" t="s">
        <v>23956</v>
      </c>
      <c r="B12955" s="110" t="s">
        <v>1362</v>
      </c>
      <c r="C12955" s="111" t="s">
        <v>23957</v>
      </c>
      <c r="D12955" s="111" t="str">
        <f t="shared" ref="D12955:E12955" si="12953">TRIM(B12955)</f>
        <v>Oklahoma</v>
      </c>
      <c r="E12955" s="111" t="str">
        <f t="shared" si="12953"/>
        <v>Nowata</v>
      </c>
    </row>
    <row r="12956" spans="1:5">
      <c r="A12956" s="3" t="s">
        <v>23958</v>
      </c>
      <c r="B12956" s="110" t="s">
        <v>1362</v>
      </c>
      <c r="C12956" s="111" t="s">
        <v>23959</v>
      </c>
      <c r="D12956" s="111" t="str">
        <f t="shared" ref="D12956:E12956" si="12954">TRIM(B12956)</f>
        <v>Oklahoma</v>
      </c>
      <c r="E12956" s="111" t="str">
        <f t="shared" si="12954"/>
        <v>Oaks</v>
      </c>
    </row>
    <row r="12957" spans="1:5">
      <c r="A12957" s="3" t="s">
        <v>23960</v>
      </c>
      <c r="B12957" s="110" t="s">
        <v>1362</v>
      </c>
      <c r="C12957" s="111" t="s">
        <v>23961</v>
      </c>
      <c r="D12957" s="111" t="str">
        <f t="shared" ref="D12957:E12957" si="12955">TRIM(B12957)</f>
        <v>Oklahoma</v>
      </c>
      <c r="E12957" s="111" t="str">
        <f t="shared" si="12955"/>
        <v>Oilton</v>
      </c>
    </row>
    <row r="12958" spans="1:5">
      <c r="A12958" s="3" t="s">
        <v>23962</v>
      </c>
      <c r="B12958" s="110" t="s">
        <v>1362</v>
      </c>
      <c r="C12958" s="111" t="s">
        <v>23963</v>
      </c>
      <c r="D12958" s="111" t="str">
        <f t="shared" ref="D12958:E12958" si="12956">TRIM(B12958)</f>
        <v>Oklahoma</v>
      </c>
      <c r="E12958" s="111" t="str">
        <f t="shared" si="12956"/>
        <v>Okarche</v>
      </c>
    </row>
    <row r="12959" spans="1:5">
      <c r="A12959" s="3" t="s">
        <v>23964</v>
      </c>
      <c r="B12959" s="110" t="s">
        <v>1362</v>
      </c>
      <c r="C12959" s="111" t="s">
        <v>23965</v>
      </c>
      <c r="D12959" s="111" t="str">
        <f t="shared" ref="D12959:E12959" si="12957">TRIM(B12959)</f>
        <v>Oklahoma</v>
      </c>
      <c r="E12959" s="111" t="str">
        <f t="shared" si="12957"/>
        <v>Okay</v>
      </c>
    </row>
    <row r="12960" spans="1:5">
      <c r="A12960" s="3" t="s">
        <v>23966</v>
      </c>
      <c r="B12960" s="110" t="s">
        <v>1362</v>
      </c>
      <c r="C12960" s="111" t="s">
        <v>23967</v>
      </c>
      <c r="D12960" s="111" t="str">
        <f t="shared" ref="D12960:E12960" si="12958">TRIM(B12960)</f>
        <v>Oklahoma</v>
      </c>
      <c r="E12960" s="111" t="str">
        <f t="shared" si="12958"/>
        <v>Okc</v>
      </c>
    </row>
    <row r="12961" spans="1:5">
      <c r="A12961" s="3" t="s">
        <v>23968</v>
      </c>
      <c r="B12961" s="110" t="s">
        <v>1362</v>
      </c>
      <c r="C12961" s="111" t="s">
        <v>23969</v>
      </c>
      <c r="D12961" s="111" t="str">
        <f t="shared" ref="D12961:E12961" si="12959">TRIM(B12961)</f>
        <v>Oklahoma</v>
      </c>
      <c r="E12961" s="111" t="str">
        <f t="shared" si="12959"/>
        <v>Okeene</v>
      </c>
    </row>
    <row r="12962" spans="1:5">
      <c r="A12962" s="3" t="s">
        <v>23970</v>
      </c>
      <c r="B12962" s="110" t="s">
        <v>1362</v>
      </c>
      <c r="C12962" s="111" t="s">
        <v>23971</v>
      </c>
      <c r="D12962" s="111" t="str">
        <f t="shared" ref="D12962:E12962" si="12960">TRIM(B12962)</f>
        <v>Oklahoma</v>
      </c>
      <c r="E12962" s="111" t="str">
        <f t="shared" si="12960"/>
        <v>Okemah</v>
      </c>
    </row>
    <row r="12963" spans="1:5">
      <c r="A12963" s="3" t="s">
        <v>23972</v>
      </c>
      <c r="B12963" s="110" t="s">
        <v>1362</v>
      </c>
      <c r="C12963" s="111" t="s">
        <v>12905</v>
      </c>
      <c r="D12963" s="111" t="str">
        <f t="shared" ref="D12963:E12963" si="12961">TRIM(B12963)</f>
        <v>Oklahoma</v>
      </c>
      <c r="E12963" s="111" t="str">
        <f t="shared" si="12961"/>
        <v>Oklahoma City</v>
      </c>
    </row>
    <row r="12964" spans="1:5">
      <c r="A12964" s="3" t="s">
        <v>23973</v>
      </c>
      <c r="B12964" s="110" t="s">
        <v>1362</v>
      </c>
      <c r="C12964" s="111" t="s">
        <v>12905</v>
      </c>
      <c r="D12964" s="111" t="str">
        <f t="shared" ref="D12964:E12964" si="12962">TRIM(B12964)</f>
        <v>Oklahoma</v>
      </c>
      <c r="E12964" s="111" t="str">
        <f t="shared" si="12962"/>
        <v>Oklahoma City</v>
      </c>
    </row>
    <row r="12965" spans="1:5">
      <c r="A12965" s="3" t="s">
        <v>23974</v>
      </c>
      <c r="B12965" s="110" t="s">
        <v>1362</v>
      </c>
      <c r="C12965" s="111" t="s">
        <v>12905</v>
      </c>
      <c r="D12965" s="111" t="str">
        <f t="shared" ref="D12965:E12965" si="12963">TRIM(B12965)</f>
        <v>Oklahoma</v>
      </c>
      <c r="E12965" s="111" t="str">
        <f t="shared" si="12963"/>
        <v>Oklahoma City</v>
      </c>
    </row>
    <row r="12966" spans="1:5">
      <c r="A12966" s="3" t="s">
        <v>23975</v>
      </c>
      <c r="B12966" s="110" t="s">
        <v>1362</v>
      </c>
      <c r="C12966" s="111" t="s">
        <v>12905</v>
      </c>
      <c r="D12966" s="111" t="str">
        <f t="shared" ref="D12966:E12966" si="12964">TRIM(B12966)</f>
        <v>Oklahoma</v>
      </c>
      <c r="E12966" s="111" t="str">
        <f t="shared" si="12964"/>
        <v>Oklahoma City</v>
      </c>
    </row>
    <row r="12967" spans="1:5">
      <c r="A12967" s="3" t="s">
        <v>23976</v>
      </c>
      <c r="B12967" s="110" t="s">
        <v>1362</v>
      </c>
      <c r="C12967" s="111" t="s">
        <v>12905</v>
      </c>
      <c r="D12967" s="111" t="str">
        <f t="shared" ref="D12967:E12967" si="12965">TRIM(B12967)</f>
        <v>Oklahoma</v>
      </c>
      <c r="E12967" s="111" t="str">
        <f t="shared" si="12965"/>
        <v>Oklahoma City</v>
      </c>
    </row>
    <row r="12968" spans="1:5">
      <c r="A12968" s="3" t="s">
        <v>10346</v>
      </c>
      <c r="B12968" s="110" t="s">
        <v>1362</v>
      </c>
      <c r="C12968" s="111" t="s">
        <v>12905</v>
      </c>
      <c r="D12968" s="111" t="str">
        <f t="shared" ref="D12968:E12968" si="12966">TRIM(B12968)</f>
        <v>Oklahoma</v>
      </c>
      <c r="E12968" s="111" t="str">
        <f t="shared" si="12966"/>
        <v>Oklahoma City</v>
      </c>
    </row>
    <row r="12969" spans="1:5">
      <c r="A12969" s="3" t="s">
        <v>23977</v>
      </c>
      <c r="B12969" s="110" t="s">
        <v>1362</v>
      </c>
      <c r="C12969" s="111" t="s">
        <v>12905</v>
      </c>
      <c r="D12969" s="111" t="str">
        <f t="shared" ref="D12969:E12969" si="12967">TRIM(B12969)</f>
        <v>Oklahoma</v>
      </c>
      <c r="E12969" s="111" t="str">
        <f t="shared" si="12967"/>
        <v>Oklahoma City</v>
      </c>
    </row>
    <row r="12970" spans="1:5">
      <c r="A12970" s="3" t="s">
        <v>23978</v>
      </c>
      <c r="B12970" s="110" t="s">
        <v>1362</v>
      </c>
      <c r="C12970" s="111" t="s">
        <v>12905</v>
      </c>
      <c r="D12970" s="111" t="str">
        <f t="shared" ref="D12970:E12970" si="12968">TRIM(B12970)</f>
        <v>Oklahoma</v>
      </c>
      <c r="E12970" s="111" t="str">
        <f t="shared" si="12968"/>
        <v>Oklahoma City</v>
      </c>
    </row>
    <row r="12971" spans="1:5">
      <c r="A12971" s="3" t="s">
        <v>23979</v>
      </c>
      <c r="B12971" s="110" t="s">
        <v>1362</v>
      </c>
      <c r="C12971" s="111" t="s">
        <v>12905</v>
      </c>
      <c r="D12971" s="111" t="str">
        <f t="shared" ref="D12971:E12971" si="12969">TRIM(B12971)</f>
        <v>Oklahoma</v>
      </c>
      <c r="E12971" s="111" t="str">
        <f t="shared" si="12969"/>
        <v>Oklahoma City</v>
      </c>
    </row>
    <row r="12972" spans="1:5">
      <c r="A12972" s="3" t="s">
        <v>23980</v>
      </c>
      <c r="B12972" s="110" t="s">
        <v>1362</v>
      </c>
      <c r="C12972" s="111" t="s">
        <v>12905</v>
      </c>
      <c r="D12972" s="111" t="str">
        <f t="shared" ref="D12972:E12972" si="12970">TRIM(B12972)</f>
        <v>Oklahoma</v>
      </c>
      <c r="E12972" s="111" t="str">
        <f t="shared" si="12970"/>
        <v>Oklahoma City</v>
      </c>
    </row>
    <row r="12973" spans="1:5">
      <c r="A12973" s="3" t="s">
        <v>23981</v>
      </c>
      <c r="B12973" s="110" t="s">
        <v>1362</v>
      </c>
      <c r="C12973" s="111" t="s">
        <v>12905</v>
      </c>
      <c r="D12973" s="111" t="str">
        <f t="shared" ref="D12973:E12973" si="12971">TRIM(B12973)</f>
        <v>Oklahoma</v>
      </c>
      <c r="E12973" s="111" t="str">
        <f t="shared" si="12971"/>
        <v>Oklahoma City</v>
      </c>
    </row>
    <row r="12974" spans="1:5">
      <c r="A12974" s="3" t="s">
        <v>23982</v>
      </c>
      <c r="B12974" s="110" t="s">
        <v>1362</v>
      </c>
      <c r="C12974" s="111" t="s">
        <v>12905</v>
      </c>
      <c r="D12974" s="111" t="str">
        <f t="shared" ref="D12974:E12974" si="12972">TRIM(B12974)</f>
        <v>Oklahoma</v>
      </c>
      <c r="E12974" s="111" t="str">
        <f t="shared" si="12972"/>
        <v>Oklahoma City</v>
      </c>
    </row>
    <row r="12975" spans="1:5">
      <c r="A12975" s="3" t="s">
        <v>23983</v>
      </c>
      <c r="B12975" s="110" t="s">
        <v>1362</v>
      </c>
      <c r="C12975" s="111" t="s">
        <v>12905</v>
      </c>
      <c r="D12975" s="111" t="str">
        <f t="shared" ref="D12975:E12975" si="12973">TRIM(B12975)</f>
        <v>Oklahoma</v>
      </c>
      <c r="E12975" s="111" t="str">
        <f t="shared" si="12973"/>
        <v>Oklahoma City</v>
      </c>
    </row>
    <row r="12976" spans="1:5">
      <c r="A12976" s="3" t="s">
        <v>23984</v>
      </c>
      <c r="B12976" s="110" t="s">
        <v>1362</v>
      </c>
      <c r="C12976" s="111" t="s">
        <v>12905</v>
      </c>
      <c r="D12976" s="111" t="str">
        <f t="shared" ref="D12976:E12976" si="12974">TRIM(B12976)</f>
        <v>Oklahoma</v>
      </c>
      <c r="E12976" s="111" t="str">
        <f t="shared" si="12974"/>
        <v>Oklahoma City</v>
      </c>
    </row>
    <row r="12977" spans="1:5">
      <c r="A12977" s="3" t="s">
        <v>23985</v>
      </c>
      <c r="B12977" s="110" t="s">
        <v>1362</v>
      </c>
      <c r="C12977" s="111" t="s">
        <v>12905</v>
      </c>
      <c r="D12977" s="111" t="str">
        <f t="shared" ref="D12977:E12977" si="12975">TRIM(B12977)</f>
        <v>Oklahoma</v>
      </c>
      <c r="E12977" s="111" t="str">
        <f t="shared" si="12975"/>
        <v>Oklahoma City</v>
      </c>
    </row>
    <row r="12978" spans="1:5">
      <c r="A12978" s="3" t="s">
        <v>9797</v>
      </c>
      <c r="B12978" s="110" t="s">
        <v>1362</v>
      </c>
      <c r="C12978" s="111" t="s">
        <v>12905</v>
      </c>
      <c r="D12978" s="111" t="str">
        <f t="shared" ref="D12978:E12978" si="12976">TRIM(B12978)</f>
        <v>Oklahoma</v>
      </c>
      <c r="E12978" s="111" t="str">
        <f t="shared" si="12976"/>
        <v>Oklahoma City</v>
      </c>
    </row>
    <row r="12979" spans="1:5">
      <c r="A12979" s="3" t="s">
        <v>23986</v>
      </c>
      <c r="B12979" s="110" t="s">
        <v>1362</v>
      </c>
      <c r="C12979" s="111" t="s">
        <v>12905</v>
      </c>
      <c r="D12979" s="111" t="str">
        <f t="shared" ref="D12979:E12979" si="12977">TRIM(B12979)</f>
        <v>Oklahoma</v>
      </c>
      <c r="E12979" s="111" t="str">
        <f t="shared" si="12977"/>
        <v>Oklahoma City</v>
      </c>
    </row>
    <row r="12980" spans="1:5">
      <c r="A12980" s="3" t="s">
        <v>23987</v>
      </c>
      <c r="B12980" s="110" t="s">
        <v>1362</v>
      </c>
      <c r="C12980" s="111" t="s">
        <v>12905</v>
      </c>
      <c r="D12980" s="111" t="str">
        <f t="shared" ref="D12980:E12980" si="12978">TRIM(B12980)</f>
        <v>Oklahoma</v>
      </c>
      <c r="E12980" s="111" t="str">
        <f t="shared" si="12978"/>
        <v>Oklahoma City</v>
      </c>
    </row>
    <row r="12981" spans="1:5">
      <c r="A12981" s="3" t="s">
        <v>23988</v>
      </c>
      <c r="B12981" s="110" t="s">
        <v>1362</v>
      </c>
      <c r="C12981" s="111" t="s">
        <v>12905</v>
      </c>
      <c r="D12981" s="111" t="str">
        <f t="shared" ref="D12981:E12981" si="12979">TRIM(B12981)</f>
        <v>Oklahoma</v>
      </c>
      <c r="E12981" s="111" t="str">
        <f t="shared" si="12979"/>
        <v>Oklahoma City</v>
      </c>
    </row>
    <row r="12982" spans="1:5">
      <c r="A12982" s="3" t="s">
        <v>23989</v>
      </c>
      <c r="B12982" s="110" t="s">
        <v>1362</v>
      </c>
      <c r="C12982" s="111" t="s">
        <v>12905</v>
      </c>
      <c r="D12982" s="111" t="str">
        <f t="shared" ref="D12982:E12982" si="12980">TRIM(B12982)</f>
        <v>Oklahoma</v>
      </c>
      <c r="E12982" s="111" t="str">
        <f t="shared" si="12980"/>
        <v>Oklahoma City</v>
      </c>
    </row>
    <row r="12983" spans="1:5">
      <c r="A12983" s="3" t="s">
        <v>23990</v>
      </c>
      <c r="B12983" s="110" t="s">
        <v>1362</v>
      </c>
      <c r="C12983" s="112" t="s">
        <v>12905</v>
      </c>
      <c r="D12983" s="111" t="str">
        <f t="shared" ref="D12983:E12983" si="12981">TRIM(B12983)</f>
        <v>Oklahoma</v>
      </c>
      <c r="E12983" s="111" t="str">
        <f t="shared" si="12981"/>
        <v>Oklahoma City</v>
      </c>
    </row>
    <row r="12984" spans="1:5">
      <c r="A12984" s="110" t="s">
        <v>23991</v>
      </c>
      <c r="B12984" s="110" t="s">
        <v>1362</v>
      </c>
      <c r="C12984" s="111" t="s">
        <v>12905</v>
      </c>
      <c r="D12984" s="111" t="str">
        <f t="shared" ref="D12984:E12984" si="12982">TRIM(B12984)</f>
        <v>Oklahoma</v>
      </c>
      <c r="E12984" s="111" t="str">
        <f t="shared" si="12982"/>
        <v>Oklahoma City</v>
      </c>
    </row>
    <row r="12985" spans="1:5">
      <c r="A12985" s="3" t="s">
        <v>23992</v>
      </c>
      <c r="B12985" s="110" t="s">
        <v>1362</v>
      </c>
      <c r="C12985" s="111" t="s">
        <v>12905</v>
      </c>
      <c r="D12985" s="111" t="str">
        <f t="shared" ref="D12985:E12985" si="12983">TRIM(B12985)</f>
        <v>Oklahoma</v>
      </c>
      <c r="E12985" s="111" t="str">
        <f t="shared" si="12983"/>
        <v>Oklahoma City</v>
      </c>
    </row>
    <row r="12986" spans="1:5">
      <c r="A12986" s="3" t="s">
        <v>8999</v>
      </c>
      <c r="B12986" s="110" t="s">
        <v>1362</v>
      </c>
      <c r="C12986" s="111" t="s">
        <v>12905</v>
      </c>
      <c r="D12986" s="111" t="str">
        <f t="shared" ref="D12986:E12986" si="12984">TRIM(B12986)</f>
        <v>Oklahoma</v>
      </c>
      <c r="E12986" s="111" t="str">
        <f t="shared" si="12984"/>
        <v>Oklahoma City</v>
      </c>
    </row>
    <row r="12987" spans="1:5">
      <c r="A12987" s="3" t="s">
        <v>23993</v>
      </c>
      <c r="B12987" s="110" t="s">
        <v>1362</v>
      </c>
      <c r="C12987" s="111" t="s">
        <v>12905</v>
      </c>
      <c r="D12987" s="111" t="str">
        <f t="shared" ref="D12987:E12987" si="12985">TRIM(B12987)</f>
        <v>Oklahoma</v>
      </c>
      <c r="E12987" s="111" t="str">
        <f t="shared" si="12985"/>
        <v>Oklahoma City</v>
      </c>
    </row>
    <row r="12988" spans="1:5">
      <c r="A12988" s="3" t="s">
        <v>23994</v>
      </c>
      <c r="B12988" s="110" t="s">
        <v>1362</v>
      </c>
      <c r="C12988" s="111" t="s">
        <v>12905</v>
      </c>
      <c r="D12988" s="111" t="str">
        <f t="shared" ref="D12988:E12988" si="12986">TRIM(B12988)</f>
        <v>Oklahoma</v>
      </c>
      <c r="E12988" s="111" t="str">
        <f t="shared" si="12986"/>
        <v>Oklahoma City</v>
      </c>
    </row>
    <row r="12989" spans="1:5">
      <c r="A12989" s="3" t="s">
        <v>23995</v>
      </c>
      <c r="B12989" s="110" t="s">
        <v>1362</v>
      </c>
      <c r="C12989" s="111" t="s">
        <v>12905</v>
      </c>
      <c r="D12989" s="111" t="str">
        <f t="shared" ref="D12989:E12989" si="12987">TRIM(B12989)</f>
        <v>Oklahoma</v>
      </c>
      <c r="E12989" s="111" t="str">
        <f t="shared" si="12987"/>
        <v>Oklahoma City</v>
      </c>
    </row>
    <row r="12990" spans="1:5">
      <c r="A12990" s="3" t="s">
        <v>23996</v>
      </c>
      <c r="B12990" s="110" t="s">
        <v>1362</v>
      </c>
      <c r="C12990" s="111" t="s">
        <v>23997</v>
      </c>
      <c r="D12990" s="111" t="str">
        <f t="shared" ref="D12990:E12990" si="12988">TRIM(B12990)</f>
        <v>Oklahoma</v>
      </c>
      <c r="E12990" s="111" t="str">
        <f t="shared" si="12988"/>
        <v>Okmulgee</v>
      </c>
    </row>
    <row r="12991" spans="1:5">
      <c r="A12991" s="3" t="s">
        <v>23998</v>
      </c>
      <c r="B12991" s="110" t="s">
        <v>1362</v>
      </c>
      <c r="C12991" s="111" t="s">
        <v>23999</v>
      </c>
      <c r="D12991" s="111" t="str">
        <f t="shared" ref="D12991:E12991" si="12989">TRIM(B12991)</f>
        <v>Oklahoma</v>
      </c>
      <c r="E12991" s="111" t="str">
        <f t="shared" si="12989"/>
        <v>Oktaha</v>
      </c>
    </row>
    <row r="12992" spans="1:5">
      <c r="A12992" s="3" t="s">
        <v>24000</v>
      </c>
      <c r="B12992" s="110" t="s">
        <v>1362</v>
      </c>
      <c r="C12992" s="111" t="s">
        <v>24001</v>
      </c>
      <c r="D12992" s="111" t="str">
        <f t="shared" ref="D12992:E12992" si="12990">TRIM(B12992)</f>
        <v>Oklahoma</v>
      </c>
      <c r="E12992" s="111" t="str">
        <f t="shared" si="12990"/>
        <v>Olustee</v>
      </c>
    </row>
    <row r="12993" spans="1:5">
      <c r="A12993" s="3" t="s">
        <v>24002</v>
      </c>
      <c r="B12993" s="110" t="s">
        <v>1362</v>
      </c>
      <c r="C12993" s="112" t="s">
        <v>24003</v>
      </c>
      <c r="D12993" s="111" t="str">
        <f t="shared" ref="D12993:E12993" si="12991">TRIM(B12993)</f>
        <v>Oklahoma</v>
      </c>
      <c r="E12993" s="111" t="str">
        <f t="shared" si="12991"/>
        <v>Omega</v>
      </c>
    </row>
    <row r="12994" spans="1:5">
      <c r="A12994" s="3" t="s">
        <v>24004</v>
      </c>
      <c r="B12994" s="110" t="s">
        <v>1362</v>
      </c>
      <c r="C12994" s="111" t="s">
        <v>24005</v>
      </c>
      <c r="D12994" s="111" t="str">
        <f t="shared" ref="D12994:E12994" si="12992">TRIM(B12994)</f>
        <v>Oklahoma</v>
      </c>
      <c r="E12994" s="111" t="str">
        <f t="shared" si="12992"/>
        <v>Oologah</v>
      </c>
    </row>
    <row r="12995" spans="1:5">
      <c r="A12995" s="3" t="s">
        <v>24006</v>
      </c>
      <c r="B12995" s="110" t="s">
        <v>1362</v>
      </c>
      <c r="C12995" s="111" t="s">
        <v>167</v>
      </c>
      <c r="D12995" s="111" t="str">
        <f t="shared" ref="D12995:E12995" si="12993">TRIM(B12995)</f>
        <v>Oklahoma</v>
      </c>
      <c r="E12995" s="111" t="str">
        <f t="shared" si="12993"/>
        <v>Orlando</v>
      </c>
    </row>
    <row r="12996" spans="1:5">
      <c r="A12996" s="3" t="s">
        <v>24007</v>
      </c>
      <c r="B12996" s="110" t="s">
        <v>1362</v>
      </c>
      <c r="C12996" s="111" t="s">
        <v>24008</v>
      </c>
      <c r="D12996" s="111" t="str">
        <f t="shared" ref="D12996:E12996" si="12994">TRIM(B12996)</f>
        <v>Oklahoma</v>
      </c>
      <c r="E12996" s="111" t="str">
        <f t="shared" si="12994"/>
        <v>Owasso</v>
      </c>
    </row>
    <row r="12997" spans="1:5">
      <c r="A12997" s="3" t="s">
        <v>24009</v>
      </c>
      <c r="B12997" s="110" t="s">
        <v>1362</v>
      </c>
      <c r="C12997" s="111" t="s">
        <v>24010</v>
      </c>
      <c r="D12997" s="111" t="str">
        <f t="shared" ref="D12997:E12997" si="12995">TRIM(B12997)</f>
        <v>Oklahoma</v>
      </c>
      <c r="E12997" s="111" t="str">
        <f t="shared" si="12995"/>
        <v>Paden</v>
      </c>
    </row>
    <row r="12998" spans="1:5">
      <c r="A12998" s="3" t="s">
        <v>21663</v>
      </c>
      <c r="B12998" s="110" t="s">
        <v>1362</v>
      </c>
      <c r="C12998" s="111" t="s">
        <v>21664</v>
      </c>
      <c r="D12998" s="111" t="str">
        <f t="shared" ref="D12998:E12998" si="12996">TRIM(B12998)</f>
        <v>Oklahoma</v>
      </c>
      <c r="E12998" s="111" t="str">
        <f t="shared" si="12996"/>
        <v>Panama</v>
      </c>
    </row>
    <row r="12999" spans="1:5">
      <c r="A12999" s="3" t="s">
        <v>24011</v>
      </c>
      <c r="B12999" s="110" t="s">
        <v>1362</v>
      </c>
      <c r="C12999" s="111" t="s">
        <v>24012</v>
      </c>
      <c r="D12999" s="111" t="str">
        <f t="shared" ref="D12999:E12999" si="12997">TRIM(B12999)</f>
        <v>Oklahoma</v>
      </c>
      <c r="E12999" s="111" t="str">
        <f t="shared" si="12997"/>
        <v>Panola</v>
      </c>
    </row>
    <row r="13000" spans="1:5">
      <c r="A13000" s="3" t="s">
        <v>24013</v>
      </c>
      <c r="B13000" s="110" t="s">
        <v>1362</v>
      </c>
      <c r="C13000" s="111" t="s">
        <v>14551</v>
      </c>
      <c r="D13000" s="111" t="str">
        <f t="shared" ref="D13000:E13000" si="12998">TRIM(B13000)</f>
        <v>Oklahoma</v>
      </c>
      <c r="E13000" s="111" t="str">
        <f t="shared" si="12998"/>
        <v>Paoli</v>
      </c>
    </row>
    <row r="13001" spans="1:5">
      <c r="A13001" s="3" t="s">
        <v>24014</v>
      </c>
      <c r="B13001" s="110" t="s">
        <v>1362</v>
      </c>
      <c r="C13001" s="111" t="s">
        <v>454</v>
      </c>
      <c r="D13001" s="111" t="str">
        <f t="shared" ref="D13001:E13001" si="12999">TRIM(B13001)</f>
        <v>Oklahoma</v>
      </c>
      <c r="E13001" s="111" t="str">
        <f t="shared" si="12999"/>
        <v>Park Hill</v>
      </c>
    </row>
    <row r="13002" spans="1:5">
      <c r="A13002" s="3" t="s">
        <v>24015</v>
      </c>
      <c r="B13002" s="110" t="s">
        <v>1362</v>
      </c>
      <c r="C13002" s="111" t="s">
        <v>24016</v>
      </c>
      <c r="D13002" s="111" t="str">
        <f t="shared" ref="D13002:E13002" si="13000">TRIM(B13002)</f>
        <v>Oklahoma</v>
      </c>
      <c r="E13002" s="111" t="str">
        <f t="shared" si="13000"/>
        <v>Pauls Valley</v>
      </c>
    </row>
    <row r="13003" spans="1:5">
      <c r="A13003" s="3" t="s">
        <v>24017</v>
      </c>
      <c r="B13003" s="110" t="s">
        <v>1362</v>
      </c>
      <c r="C13003" s="111" t="s">
        <v>24018</v>
      </c>
      <c r="D13003" s="111" t="str">
        <f t="shared" ref="D13003:E13003" si="13001">TRIM(B13003)</f>
        <v>Oklahoma</v>
      </c>
      <c r="E13003" s="111" t="str">
        <f t="shared" si="13001"/>
        <v>Pawhuska</v>
      </c>
    </row>
    <row r="13004" spans="1:5">
      <c r="A13004" s="3" t="s">
        <v>24019</v>
      </c>
      <c r="B13004" s="110" t="s">
        <v>1362</v>
      </c>
      <c r="C13004" s="111" t="s">
        <v>13582</v>
      </c>
      <c r="D13004" s="111" t="str">
        <f t="shared" ref="D13004:E13004" si="13002">TRIM(B13004)</f>
        <v>Oklahoma</v>
      </c>
      <c r="E13004" s="111" t="str">
        <f t="shared" si="13002"/>
        <v>Pawnee</v>
      </c>
    </row>
    <row r="13005" spans="1:5">
      <c r="A13005" s="3" t="s">
        <v>24020</v>
      </c>
      <c r="B13005" s="110" t="s">
        <v>1362</v>
      </c>
      <c r="C13005" s="111" t="s">
        <v>24021</v>
      </c>
      <c r="D13005" s="111" t="str">
        <f t="shared" ref="D13005:E13005" si="13003">TRIM(B13005)</f>
        <v>Oklahoma</v>
      </c>
      <c r="E13005" s="111" t="str">
        <f t="shared" si="13003"/>
        <v>Perkins</v>
      </c>
    </row>
    <row r="13006" spans="1:5">
      <c r="A13006" s="3" t="s">
        <v>2683</v>
      </c>
      <c r="B13006" s="110" t="s">
        <v>1362</v>
      </c>
      <c r="C13006" s="111" t="s">
        <v>9957</v>
      </c>
      <c r="D13006" s="111" t="str">
        <f t="shared" ref="D13006:E13006" si="13004">TRIM(B13006)</f>
        <v>Oklahoma</v>
      </c>
      <c r="E13006" s="111" t="str">
        <f t="shared" si="13004"/>
        <v>Perry</v>
      </c>
    </row>
    <row r="13007" spans="1:5">
      <c r="A13007" s="3" t="s">
        <v>2092</v>
      </c>
      <c r="B13007" s="110" t="s">
        <v>1362</v>
      </c>
      <c r="C13007" s="111" t="s">
        <v>2093</v>
      </c>
      <c r="D13007" s="111" t="str">
        <f t="shared" ref="D13007:E13007" si="13005">TRIM(B13007)</f>
        <v>Oklahoma</v>
      </c>
      <c r="E13007" s="111" t="str">
        <f t="shared" si="13005"/>
        <v>Piedmont</v>
      </c>
    </row>
    <row r="13008" spans="1:5">
      <c r="A13008" s="3" t="s">
        <v>15466</v>
      </c>
      <c r="B13008" s="110" t="s">
        <v>1362</v>
      </c>
      <c r="C13008" s="111" t="s">
        <v>6388</v>
      </c>
      <c r="D13008" s="111" t="str">
        <f t="shared" ref="D13008:E13008" si="13006">TRIM(B13008)</f>
        <v>Oklahoma</v>
      </c>
      <c r="E13008" s="111" t="str">
        <f t="shared" si="13006"/>
        <v>Pittsburg</v>
      </c>
    </row>
    <row r="13009" spans="1:5">
      <c r="A13009" s="3" t="s">
        <v>24022</v>
      </c>
      <c r="B13009" s="110" t="s">
        <v>1362</v>
      </c>
      <c r="C13009" s="111" t="s">
        <v>24023</v>
      </c>
      <c r="D13009" s="111" t="str">
        <f t="shared" ref="D13009:E13009" si="13007">TRIM(B13009)</f>
        <v>Oklahoma</v>
      </c>
      <c r="E13009" s="111" t="str">
        <f t="shared" si="13007"/>
        <v>Pocola</v>
      </c>
    </row>
    <row r="13010" spans="1:5">
      <c r="A13010" s="3" t="s">
        <v>24024</v>
      </c>
      <c r="B13010" s="110" t="s">
        <v>1362</v>
      </c>
      <c r="C13010" s="111" t="s">
        <v>24025</v>
      </c>
      <c r="D13010" s="111" t="str">
        <f t="shared" ref="D13010:E13010" si="13008">TRIM(B13010)</f>
        <v>Oklahoma</v>
      </c>
      <c r="E13010" s="111" t="str">
        <f t="shared" si="13008"/>
        <v>Ponca City</v>
      </c>
    </row>
    <row r="13011" spans="1:5">
      <c r="A13011" s="3" t="s">
        <v>24026</v>
      </c>
      <c r="B13011" s="110" t="s">
        <v>1362</v>
      </c>
      <c r="C13011" s="111" t="s">
        <v>24027</v>
      </c>
      <c r="D13011" s="111" t="str">
        <f t="shared" ref="D13011:E13011" si="13009">TRIM(B13011)</f>
        <v>Oklahoma</v>
      </c>
      <c r="E13011" s="111" t="str">
        <f t="shared" si="13009"/>
        <v>Pond Creek</v>
      </c>
    </row>
    <row r="13012" spans="1:5">
      <c r="A13012" s="3" t="s">
        <v>24028</v>
      </c>
      <c r="B13012" s="110" t="s">
        <v>1362</v>
      </c>
      <c r="C13012" s="111" t="s">
        <v>24029</v>
      </c>
      <c r="D13012" s="111" t="str">
        <f t="shared" ref="D13012:E13012" si="13010">TRIM(B13012)</f>
        <v>Oklahoma</v>
      </c>
      <c r="E13012" s="111" t="str">
        <f t="shared" si="13010"/>
        <v>Porter</v>
      </c>
    </row>
    <row r="13013" spans="1:5">
      <c r="A13013" s="3" t="s">
        <v>24030</v>
      </c>
      <c r="B13013" s="110" t="s">
        <v>1362</v>
      </c>
      <c r="C13013" s="111" t="s">
        <v>24031</v>
      </c>
      <c r="D13013" s="111" t="str">
        <f t="shared" ref="D13013:E13013" si="13011">TRIM(B13013)</f>
        <v>Oklahoma</v>
      </c>
      <c r="E13013" s="111" t="str">
        <f t="shared" si="13011"/>
        <v>Porum</v>
      </c>
    </row>
    <row r="13014" spans="1:5">
      <c r="A13014" s="3" t="s">
        <v>24032</v>
      </c>
      <c r="B13014" s="110" t="s">
        <v>1362</v>
      </c>
      <c r="C13014" s="111" t="s">
        <v>24033</v>
      </c>
      <c r="D13014" s="111" t="str">
        <f t="shared" ref="D13014:E13014" si="13012">TRIM(B13014)</f>
        <v>Oklahoma</v>
      </c>
      <c r="E13014" s="111" t="str">
        <f t="shared" si="13012"/>
        <v>Poteau</v>
      </c>
    </row>
    <row r="13015" spans="1:5">
      <c r="A13015" s="3" t="s">
        <v>24034</v>
      </c>
      <c r="B13015" s="110" t="s">
        <v>1362</v>
      </c>
      <c r="C13015" s="111" t="s">
        <v>24035</v>
      </c>
      <c r="D13015" s="111" t="str">
        <f t="shared" ref="D13015:E13015" si="13013">TRIM(B13015)</f>
        <v>Oklahoma</v>
      </c>
      <c r="E13015" s="111" t="str">
        <f t="shared" si="13013"/>
        <v>Prague</v>
      </c>
    </row>
    <row r="13016" spans="1:5">
      <c r="A13016" s="3" t="s">
        <v>11868</v>
      </c>
      <c r="B13016" s="110" t="s">
        <v>1362</v>
      </c>
      <c r="C13016" s="111" t="s">
        <v>4992</v>
      </c>
      <c r="D13016" s="111" t="str">
        <f t="shared" ref="D13016:E13016" si="13014">TRIM(B13016)</f>
        <v>Oklahoma</v>
      </c>
      <c r="E13016" s="111" t="str">
        <f t="shared" si="13014"/>
        <v>Preston</v>
      </c>
    </row>
    <row r="13017" spans="1:5">
      <c r="A13017" s="3" t="s">
        <v>24036</v>
      </c>
      <c r="B13017" s="110" t="s">
        <v>1362</v>
      </c>
      <c r="C13017" s="111" t="s">
        <v>24037</v>
      </c>
      <c r="D13017" s="111" t="str">
        <f t="shared" ref="D13017:E13017" si="13015">TRIM(B13017)</f>
        <v>Oklahoma</v>
      </c>
      <c r="E13017" s="111" t="str">
        <f t="shared" si="13015"/>
        <v>Prue</v>
      </c>
    </row>
    <row r="13018" spans="1:5">
      <c r="A13018" s="3" t="s">
        <v>24038</v>
      </c>
      <c r="B13018" s="110" t="s">
        <v>1362</v>
      </c>
      <c r="C13018" s="111" t="s">
        <v>19408</v>
      </c>
      <c r="D13018" s="111" t="str">
        <f t="shared" ref="D13018:E13018" si="13016">TRIM(B13018)</f>
        <v>Oklahoma</v>
      </c>
      <c r="E13018" s="111" t="str">
        <f t="shared" si="13016"/>
        <v>Pryor</v>
      </c>
    </row>
    <row r="13019" spans="1:5">
      <c r="A13019" s="3" t="s">
        <v>24039</v>
      </c>
      <c r="B13019" s="110" t="s">
        <v>1362</v>
      </c>
      <c r="C13019" s="111" t="s">
        <v>24040</v>
      </c>
      <c r="D13019" s="111" t="str">
        <f t="shared" ref="D13019:E13019" si="13017">TRIM(B13019)</f>
        <v>Oklahoma</v>
      </c>
      <c r="E13019" s="111" t="str">
        <f t="shared" si="13017"/>
        <v>Purcell</v>
      </c>
    </row>
    <row r="13020" spans="1:5">
      <c r="A13020" s="3" t="s">
        <v>24041</v>
      </c>
      <c r="B13020" s="110" t="s">
        <v>1362</v>
      </c>
      <c r="C13020" s="111" t="s">
        <v>24042</v>
      </c>
      <c r="D13020" s="111" t="str">
        <f t="shared" ref="D13020:E13020" si="13018">TRIM(B13020)</f>
        <v>Oklahoma</v>
      </c>
      <c r="E13020" s="111" t="str">
        <f t="shared" si="13018"/>
        <v>Quapaw</v>
      </c>
    </row>
    <row r="13021" spans="1:5">
      <c r="A13021" s="3" t="s">
        <v>24043</v>
      </c>
      <c r="B13021" s="110" t="s">
        <v>1362</v>
      </c>
      <c r="C13021" s="111" t="s">
        <v>24044</v>
      </c>
      <c r="D13021" s="111" t="str">
        <f t="shared" ref="D13021:E13021" si="13019">TRIM(B13021)</f>
        <v>Oklahoma</v>
      </c>
      <c r="E13021" s="111" t="str">
        <f t="shared" si="13019"/>
        <v>Quinton</v>
      </c>
    </row>
    <row r="13022" spans="1:5">
      <c r="A13022" s="3" t="s">
        <v>15202</v>
      </c>
      <c r="B13022" s="110" t="s">
        <v>1362</v>
      </c>
      <c r="C13022" s="111" t="s">
        <v>6458</v>
      </c>
      <c r="D13022" s="111" t="str">
        <f t="shared" ref="D13022:E13022" si="13020">TRIM(B13022)</f>
        <v>Oklahoma</v>
      </c>
      <c r="E13022" s="111" t="str">
        <f t="shared" si="13020"/>
        <v>Ramona</v>
      </c>
    </row>
    <row r="13023" spans="1:5">
      <c r="A13023" s="3" t="s">
        <v>24045</v>
      </c>
      <c r="B13023" s="110" t="s">
        <v>1362</v>
      </c>
      <c r="C13023" s="111" t="s">
        <v>24046</v>
      </c>
      <c r="D13023" s="111" t="str">
        <f t="shared" ref="D13023:E13023" si="13021">TRIM(B13023)</f>
        <v>Oklahoma</v>
      </c>
      <c r="E13023" s="111" t="str">
        <f t="shared" si="13021"/>
        <v>Randlett</v>
      </c>
    </row>
    <row r="13024" spans="1:5">
      <c r="A13024" s="3" t="s">
        <v>24047</v>
      </c>
      <c r="B13024" s="110" t="s">
        <v>1362</v>
      </c>
      <c r="C13024" s="111" t="s">
        <v>24048</v>
      </c>
      <c r="D13024" s="111" t="str">
        <f t="shared" ref="D13024:E13024" si="13022">TRIM(B13024)</f>
        <v>Oklahoma</v>
      </c>
      <c r="E13024" s="111" t="str">
        <f t="shared" si="13022"/>
        <v>Rattan</v>
      </c>
    </row>
    <row r="13025" spans="1:5">
      <c r="A13025" s="3" t="s">
        <v>15032</v>
      </c>
      <c r="B13025" s="110" t="s">
        <v>1362</v>
      </c>
      <c r="C13025" s="111" t="s">
        <v>8508</v>
      </c>
      <c r="D13025" s="111" t="str">
        <f t="shared" ref="D13025:E13025" si="13023">TRIM(B13025)</f>
        <v>Oklahoma</v>
      </c>
      <c r="E13025" s="111" t="str">
        <f t="shared" si="13023"/>
        <v>Red Oak</v>
      </c>
    </row>
    <row r="13026" spans="1:5">
      <c r="A13026" s="3" t="s">
        <v>4425</v>
      </c>
      <c r="B13026" s="110" t="s">
        <v>1362</v>
      </c>
      <c r="C13026" s="111" t="s">
        <v>24049</v>
      </c>
      <c r="D13026" s="111" t="str">
        <f t="shared" ref="D13026:E13026" si="13024">TRIM(B13026)</f>
        <v>Oklahoma</v>
      </c>
      <c r="E13026" s="111" t="str">
        <f t="shared" si="13024"/>
        <v>Red Rock</v>
      </c>
    </row>
    <row r="13027" spans="1:5">
      <c r="A13027" s="3" t="s">
        <v>24050</v>
      </c>
      <c r="B13027" s="110" t="s">
        <v>1362</v>
      </c>
      <c r="C13027" s="111" t="s">
        <v>24051</v>
      </c>
      <c r="D13027" s="111" t="str">
        <f t="shared" ref="D13027:E13027" si="13025">TRIM(B13027)</f>
        <v>Oklahoma</v>
      </c>
      <c r="E13027" s="111" t="str">
        <f t="shared" si="13025"/>
        <v>Reydon</v>
      </c>
    </row>
    <row r="13028" spans="1:5">
      <c r="A13028" s="3" t="s">
        <v>24052</v>
      </c>
      <c r="B13028" s="110" t="s">
        <v>1362</v>
      </c>
      <c r="C13028" s="111" t="s">
        <v>24053</v>
      </c>
      <c r="D13028" s="111" t="str">
        <f t="shared" ref="D13028:E13028" si="13026">TRIM(B13028)</f>
        <v>Oklahoma</v>
      </c>
      <c r="E13028" s="111" t="str">
        <f t="shared" si="13026"/>
        <v>Ringling</v>
      </c>
    </row>
    <row r="13029" spans="1:5">
      <c r="A13029" s="3" t="s">
        <v>24054</v>
      </c>
      <c r="B13029" s="110" t="s">
        <v>1362</v>
      </c>
      <c r="C13029" s="111" t="s">
        <v>24055</v>
      </c>
      <c r="D13029" s="111" t="str">
        <f t="shared" ref="D13029:E13029" si="13027">TRIM(B13029)</f>
        <v>Oklahoma</v>
      </c>
      <c r="E13029" s="111" t="str">
        <f t="shared" si="13027"/>
        <v>Ringwood</v>
      </c>
    </row>
    <row r="13030" spans="1:5">
      <c r="A13030" s="3" t="s">
        <v>18547</v>
      </c>
      <c r="B13030" s="110" t="s">
        <v>1362</v>
      </c>
      <c r="C13030" s="111" t="s">
        <v>5754</v>
      </c>
      <c r="D13030" s="111" t="str">
        <f t="shared" ref="D13030:E13030" si="13028">TRIM(B13030)</f>
        <v>Oklahoma</v>
      </c>
      <c r="E13030" s="111" t="str">
        <f t="shared" si="13028"/>
        <v>Ripley</v>
      </c>
    </row>
    <row r="13031" spans="1:5">
      <c r="A13031" s="3" t="s">
        <v>24056</v>
      </c>
      <c r="B13031" s="110" t="s">
        <v>1362</v>
      </c>
      <c r="C13031" s="111" t="s">
        <v>24057</v>
      </c>
      <c r="D13031" s="111" t="str">
        <f t="shared" ref="D13031:E13031" si="13029">TRIM(B13031)</f>
        <v>Oklahoma</v>
      </c>
      <c r="E13031" s="111" t="str">
        <f t="shared" si="13029"/>
        <v>Roff</v>
      </c>
    </row>
    <row r="13032" spans="1:5">
      <c r="A13032" s="3" t="s">
        <v>24058</v>
      </c>
      <c r="B13032" s="110" t="s">
        <v>1362</v>
      </c>
      <c r="C13032" s="111" t="s">
        <v>24059</v>
      </c>
      <c r="D13032" s="111" t="str">
        <f t="shared" ref="D13032:E13032" si="13030">TRIM(B13032)</f>
        <v>Oklahoma</v>
      </c>
      <c r="E13032" s="111" t="str">
        <f t="shared" si="13030"/>
        <v>Roland</v>
      </c>
    </row>
    <row r="13033" spans="1:5">
      <c r="A13033" s="3" t="s">
        <v>24060</v>
      </c>
      <c r="B13033" s="110" t="s">
        <v>1362</v>
      </c>
      <c r="C13033" s="111" t="s">
        <v>24061</v>
      </c>
      <c r="D13033" s="111" t="str">
        <f t="shared" ref="D13033:E13033" si="13031">TRIM(B13033)</f>
        <v>Oklahoma</v>
      </c>
      <c r="E13033" s="111" t="str">
        <f t="shared" si="13031"/>
        <v>Rush Springs</v>
      </c>
    </row>
    <row r="13034" spans="1:5">
      <c r="A13034" s="3" t="s">
        <v>24062</v>
      </c>
      <c r="B13034" s="110" t="s">
        <v>1362</v>
      </c>
      <c r="C13034" s="111" t="s">
        <v>24063</v>
      </c>
      <c r="D13034" s="111" t="str">
        <f t="shared" ref="D13034:E13034" si="13032">TRIM(B13034)</f>
        <v>Oklahoma</v>
      </c>
      <c r="E13034" s="111" t="str">
        <f t="shared" si="13032"/>
        <v>Ryan</v>
      </c>
    </row>
    <row r="13035" spans="1:5">
      <c r="A13035" s="3" t="s">
        <v>24064</v>
      </c>
      <c r="B13035" s="110" t="s">
        <v>1362</v>
      </c>
      <c r="C13035" s="111" t="s">
        <v>10793</v>
      </c>
      <c r="D13035" s="111" t="str">
        <f t="shared" ref="D13035:E13035" si="13033">TRIM(B13035)</f>
        <v>Oklahoma</v>
      </c>
      <c r="E13035" s="111" t="str">
        <f t="shared" si="13033"/>
        <v>Salina</v>
      </c>
    </row>
    <row r="13036" spans="1:5">
      <c r="A13036" s="3" t="s">
        <v>1843</v>
      </c>
      <c r="B13036" s="110" t="s">
        <v>1362</v>
      </c>
      <c r="C13036" s="111" t="s">
        <v>24065</v>
      </c>
      <c r="D13036" s="111" t="str">
        <f t="shared" ref="D13036:E13036" si="13034">TRIM(B13036)</f>
        <v>Oklahoma</v>
      </c>
      <c r="E13036" s="111" t="str">
        <f t="shared" si="13034"/>
        <v>Sallisaw</v>
      </c>
    </row>
    <row r="13037" spans="1:5">
      <c r="A13037" s="3" t="s">
        <v>24066</v>
      </c>
      <c r="B13037" s="110" t="s">
        <v>1362</v>
      </c>
      <c r="C13037" s="111" t="s">
        <v>24065</v>
      </c>
      <c r="D13037" s="111" t="str">
        <f t="shared" ref="D13037:E13037" si="13035">TRIM(B13037)</f>
        <v>Oklahoma</v>
      </c>
      <c r="E13037" s="111" t="str">
        <f t="shared" si="13035"/>
        <v>Sallisaw</v>
      </c>
    </row>
    <row r="13038" spans="1:5">
      <c r="A13038" s="3" t="s">
        <v>24067</v>
      </c>
      <c r="B13038" s="110" t="s">
        <v>1362</v>
      </c>
      <c r="C13038" s="111" t="s">
        <v>24068</v>
      </c>
      <c r="D13038" s="111" t="str">
        <f t="shared" ref="D13038:E13038" si="13036">TRIM(B13038)</f>
        <v>Oklahoma</v>
      </c>
      <c r="E13038" s="111" t="str">
        <f t="shared" si="13036"/>
        <v>Sand Springs</v>
      </c>
    </row>
    <row r="13039" spans="1:5">
      <c r="A13039" s="3" t="s">
        <v>24069</v>
      </c>
      <c r="B13039" s="110" t="s">
        <v>1362</v>
      </c>
      <c r="C13039" s="111" t="s">
        <v>24070</v>
      </c>
      <c r="D13039" s="111" t="str">
        <f t="shared" ref="D13039:E13039" si="13037">TRIM(B13039)</f>
        <v>Oklahoma</v>
      </c>
      <c r="E13039" s="111" t="str">
        <f t="shared" si="13037"/>
        <v>Sapulpa</v>
      </c>
    </row>
    <row r="13040" spans="1:5">
      <c r="A13040" s="3" t="s">
        <v>24071</v>
      </c>
      <c r="B13040" s="110" t="s">
        <v>1362</v>
      </c>
      <c r="C13040" s="111" t="s">
        <v>24072</v>
      </c>
      <c r="D13040" s="111" t="str">
        <f t="shared" ref="D13040:E13040" si="13038">TRIM(B13040)</f>
        <v>Oklahoma</v>
      </c>
      <c r="E13040" s="111" t="str">
        <f t="shared" si="13038"/>
        <v>Sasakwa</v>
      </c>
    </row>
    <row r="13041" spans="1:5">
      <c r="A13041" s="3" t="s">
        <v>4341</v>
      </c>
      <c r="B13041" s="110" t="s">
        <v>1362</v>
      </c>
      <c r="C13041" s="111" t="s">
        <v>13774</v>
      </c>
      <c r="D13041" s="111" t="str">
        <f t="shared" ref="D13041:E13041" si="13039">TRIM(B13041)</f>
        <v>Oklahoma</v>
      </c>
      <c r="E13041" s="111" t="str">
        <f t="shared" si="13039"/>
        <v>Savanna</v>
      </c>
    </row>
    <row r="13042" spans="1:5">
      <c r="A13042" s="3" t="s">
        <v>24073</v>
      </c>
      <c r="B13042" s="110" t="s">
        <v>1362</v>
      </c>
      <c r="C13042" s="111" t="s">
        <v>24074</v>
      </c>
      <c r="D13042" s="111" t="str">
        <f t="shared" ref="D13042:E13042" si="13040">TRIM(B13042)</f>
        <v>Oklahoma</v>
      </c>
      <c r="E13042" s="111" t="str">
        <f t="shared" si="13040"/>
        <v>Sayre</v>
      </c>
    </row>
    <row r="13043" spans="1:5">
      <c r="A13043" s="3" t="s">
        <v>24075</v>
      </c>
      <c r="B13043" s="110" t="s">
        <v>1362</v>
      </c>
      <c r="C13043" s="111" t="s">
        <v>24076</v>
      </c>
      <c r="D13043" s="111" t="str">
        <f t="shared" ref="D13043:E13043" si="13041">TRIM(B13043)</f>
        <v>Oklahoma</v>
      </c>
      <c r="E13043" s="111" t="str">
        <f t="shared" si="13041"/>
        <v>Schulter</v>
      </c>
    </row>
    <row r="13044" spans="1:5">
      <c r="A13044" s="3" t="s">
        <v>24077</v>
      </c>
      <c r="B13044" s="110" t="s">
        <v>1362</v>
      </c>
      <c r="C13044" s="111" t="s">
        <v>24078</v>
      </c>
      <c r="D13044" s="111" t="str">
        <f t="shared" ref="D13044:E13044" si="13042">TRIM(B13044)</f>
        <v>Oklahoma</v>
      </c>
      <c r="E13044" s="111" t="str">
        <f t="shared" si="13042"/>
        <v>Seiling</v>
      </c>
    </row>
    <row r="13045" spans="1:5">
      <c r="A13045" s="3" t="s">
        <v>10051</v>
      </c>
      <c r="B13045" s="110" t="s">
        <v>1362</v>
      </c>
      <c r="C13045" s="111" t="s">
        <v>10084</v>
      </c>
      <c r="D13045" s="111" t="str">
        <f t="shared" ref="D13045:E13045" si="13043">TRIM(B13045)</f>
        <v>Oklahoma</v>
      </c>
      <c r="E13045" s="111" t="str">
        <f t="shared" si="13043"/>
        <v>Seminole</v>
      </c>
    </row>
    <row r="13046" spans="1:5">
      <c r="A13046" s="3" t="s">
        <v>24079</v>
      </c>
      <c r="B13046" s="110" t="s">
        <v>1362</v>
      </c>
      <c r="C13046" s="111" t="s">
        <v>10084</v>
      </c>
      <c r="D13046" s="111" t="str">
        <f t="shared" ref="D13046:E13046" si="13044">TRIM(B13046)</f>
        <v>Oklahoma</v>
      </c>
      <c r="E13046" s="111" t="str">
        <f t="shared" si="13044"/>
        <v>Seminole</v>
      </c>
    </row>
    <row r="13047" spans="1:5">
      <c r="A13047" s="3" t="s">
        <v>24080</v>
      </c>
      <c r="B13047" s="110" t="s">
        <v>1362</v>
      </c>
      <c r="C13047" s="111" t="s">
        <v>10084</v>
      </c>
      <c r="D13047" s="111" t="str">
        <f t="shared" ref="D13047:E13047" si="13045">TRIM(B13047)</f>
        <v>Oklahoma</v>
      </c>
      <c r="E13047" s="111" t="str">
        <f t="shared" si="13045"/>
        <v>Seminole</v>
      </c>
    </row>
    <row r="13048" spans="1:5">
      <c r="A13048" s="3" t="s">
        <v>24081</v>
      </c>
      <c r="B13048" s="110" t="s">
        <v>1362</v>
      </c>
      <c r="C13048" s="111" t="s">
        <v>24082</v>
      </c>
      <c r="D13048" s="111" t="str">
        <f t="shared" ref="D13048:E13048" si="13046">TRIM(B13048)</f>
        <v>Oklahoma</v>
      </c>
      <c r="E13048" s="111" t="str">
        <f t="shared" si="13046"/>
        <v>Sentinel</v>
      </c>
    </row>
    <row r="13049" spans="1:5">
      <c r="A13049" s="3" t="s">
        <v>24083</v>
      </c>
      <c r="B13049" s="110" t="s">
        <v>1362</v>
      </c>
      <c r="C13049" s="111" t="s">
        <v>24084</v>
      </c>
      <c r="D13049" s="111" t="str">
        <f t="shared" ref="D13049:E13049" si="13047">TRIM(B13049)</f>
        <v>Oklahoma</v>
      </c>
      <c r="E13049" s="111" t="str">
        <f t="shared" si="13047"/>
        <v>Shattuck</v>
      </c>
    </row>
    <row r="13050" spans="1:5">
      <c r="A13050" s="3" t="s">
        <v>8339</v>
      </c>
      <c r="B13050" s="110" t="s">
        <v>1362</v>
      </c>
      <c r="C13050" s="111" t="s">
        <v>12916</v>
      </c>
      <c r="D13050" s="111" t="str">
        <f t="shared" ref="D13050:E13050" si="13048">TRIM(B13050)</f>
        <v>Oklahoma</v>
      </c>
      <c r="E13050" s="111" t="str">
        <f t="shared" si="13048"/>
        <v>Shawnee</v>
      </c>
    </row>
    <row r="13051" spans="1:5">
      <c r="A13051" s="3" t="s">
        <v>14054</v>
      </c>
      <c r="B13051" s="110" t="s">
        <v>1362</v>
      </c>
      <c r="C13051" s="111" t="s">
        <v>12916</v>
      </c>
      <c r="D13051" s="111" t="str">
        <f t="shared" ref="D13051:E13051" si="13049">TRIM(B13051)</f>
        <v>Oklahoma</v>
      </c>
      <c r="E13051" s="111" t="str">
        <f t="shared" si="13049"/>
        <v>Shawnee</v>
      </c>
    </row>
    <row r="13052" spans="1:5">
      <c r="A13052" s="3" t="s">
        <v>24085</v>
      </c>
      <c r="B13052" s="110" t="s">
        <v>1362</v>
      </c>
      <c r="C13052" s="111" t="s">
        <v>24086</v>
      </c>
      <c r="D13052" s="111" t="str">
        <f t="shared" ref="D13052:E13052" si="13050">TRIM(B13052)</f>
        <v>Oklahoma</v>
      </c>
      <c r="E13052" s="111" t="str">
        <f t="shared" si="13050"/>
        <v>Shidler</v>
      </c>
    </row>
    <row r="13053" spans="1:5">
      <c r="A13053" s="3" t="s">
        <v>24087</v>
      </c>
      <c r="B13053" s="110" t="s">
        <v>1362</v>
      </c>
      <c r="C13053" s="111" t="s">
        <v>24088</v>
      </c>
      <c r="D13053" s="111" t="str">
        <f t="shared" ref="D13053:E13053" si="13051">TRIM(B13053)</f>
        <v>Oklahoma</v>
      </c>
      <c r="E13053" s="111" t="str">
        <f t="shared" si="13051"/>
        <v>Skiatook</v>
      </c>
    </row>
    <row r="13054" spans="1:5">
      <c r="A13054" s="3" t="s">
        <v>19095</v>
      </c>
      <c r="B13054" s="110" t="s">
        <v>1362</v>
      </c>
      <c r="C13054" s="111" t="s">
        <v>19096</v>
      </c>
      <c r="D13054" s="111" t="str">
        <f t="shared" ref="D13054:E13054" si="13052">TRIM(B13054)</f>
        <v>Oklahoma</v>
      </c>
      <c r="E13054" s="111" t="str">
        <f t="shared" si="13052"/>
        <v>Smithville</v>
      </c>
    </row>
    <row r="13055" spans="1:5">
      <c r="A13055" s="3" t="s">
        <v>24089</v>
      </c>
      <c r="B13055" s="110" t="s">
        <v>1362</v>
      </c>
      <c r="C13055" s="111" t="s">
        <v>532</v>
      </c>
      <c r="D13055" s="111" t="str">
        <f t="shared" ref="D13055:E13055" si="13053">TRIM(B13055)</f>
        <v>Oklahoma</v>
      </c>
      <c r="E13055" s="111" t="str">
        <f t="shared" si="13053"/>
        <v>Snyder</v>
      </c>
    </row>
    <row r="13056" spans="1:5">
      <c r="A13056" s="3" t="s">
        <v>24090</v>
      </c>
      <c r="B13056" s="110" t="s">
        <v>1362</v>
      </c>
      <c r="C13056" s="111" t="s">
        <v>24091</v>
      </c>
      <c r="D13056" s="111" t="str">
        <f t="shared" ref="D13056:E13056" si="13054">TRIM(B13056)</f>
        <v>Oklahoma</v>
      </c>
      <c r="E13056" s="111" t="str">
        <f t="shared" si="13054"/>
        <v>Soper</v>
      </c>
    </row>
    <row r="13057" spans="1:5">
      <c r="A13057" s="3" t="s">
        <v>24092</v>
      </c>
      <c r="B13057" s="110" t="s">
        <v>1362</v>
      </c>
      <c r="C13057" s="111" t="s">
        <v>24093</v>
      </c>
      <c r="D13057" s="111" t="str">
        <f t="shared" ref="D13057:E13057" si="13055">TRIM(B13057)</f>
        <v>Oklahoma</v>
      </c>
      <c r="E13057" s="111" t="str">
        <f t="shared" si="13055"/>
        <v>South Coffeyville</v>
      </c>
    </row>
    <row r="13058" spans="1:5">
      <c r="A13058" s="3" t="s">
        <v>24094</v>
      </c>
      <c r="B13058" s="110" t="s">
        <v>1362</v>
      </c>
      <c r="C13058" s="111" t="s">
        <v>24093</v>
      </c>
      <c r="D13058" s="111" t="str">
        <f t="shared" ref="D13058:E13058" si="13056">TRIM(B13058)</f>
        <v>Oklahoma</v>
      </c>
      <c r="E13058" s="111" t="str">
        <f t="shared" si="13056"/>
        <v>South Coffeyville</v>
      </c>
    </row>
    <row r="13059" spans="1:5">
      <c r="A13059" s="3" t="s">
        <v>24095</v>
      </c>
      <c r="B13059" s="110" t="s">
        <v>1362</v>
      </c>
      <c r="C13059" s="111" t="s">
        <v>14606</v>
      </c>
      <c r="D13059" s="111" t="str">
        <f t="shared" ref="D13059:E13059" si="13057">TRIM(B13059)</f>
        <v>Oklahoma</v>
      </c>
      <c r="E13059" s="111" t="str">
        <f t="shared" si="13057"/>
        <v>Spencer</v>
      </c>
    </row>
    <row r="13060" spans="1:5">
      <c r="A13060" s="3" t="s">
        <v>24096</v>
      </c>
      <c r="B13060" s="110" t="s">
        <v>1362</v>
      </c>
      <c r="C13060" s="111" t="s">
        <v>24097</v>
      </c>
      <c r="D13060" s="111" t="str">
        <f t="shared" ref="D13060:E13060" si="13058">TRIM(B13060)</f>
        <v>Oklahoma</v>
      </c>
      <c r="E13060" s="111" t="str">
        <f t="shared" si="13058"/>
        <v>Sperry</v>
      </c>
    </row>
    <row r="13061" spans="1:5">
      <c r="A13061" s="3" t="s">
        <v>24098</v>
      </c>
      <c r="B13061" s="110" t="s">
        <v>1362</v>
      </c>
      <c r="C13061" s="111" t="s">
        <v>24099</v>
      </c>
      <c r="D13061" s="111" t="str">
        <f t="shared" ref="D13061:E13061" si="13059">TRIM(B13061)</f>
        <v>Oklahoma</v>
      </c>
      <c r="E13061" s="111" t="str">
        <f t="shared" si="13059"/>
        <v>Spiro</v>
      </c>
    </row>
    <row r="13062" spans="1:5">
      <c r="A13062" s="3" t="s">
        <v>20647</v>
      </c>
      <c r="B13062" s="110" t="s">
        <v>1362</v>
      </c>
      <c r="C13062" s="111" t="s">
        <v>20648</v>
      </c>
      <c r="D13062" s="111" t="str">
        <f t="shared" ref="D13062:E13062" si="13060">TRIM(B13062)</f>
        <v>Oklahoma</v>
      </c>
      <c r="E13062" s="111" t="str">
        <f t="shared" si="13060"/>
        <v>Springer</v>
      </c>
    </row>
    <row r="13063" spans="1:5">
      <c r="A13063" s="3" t="s">
        <v>8247</v>
      </c>
      <c r="B13063" s="110" t="s">
        <v>1362</v>
      </c>
      <c r="C13063" s="111" t="s">
        <v>5504</v>
      </c>
      <c r="D13063" s="111" t="str">
        <f t="shared" ref="D13063:E13063" si="13061">TRIM(B13063)</f>
        <v>Oklahoma</v>
      </c>
      <c r="E13063" s="111" t="str">
        <f t="shared" si="13061"/>
        <v>Sterling</v>
      </c>
    </row>
    <row r="13064" spans="1:5">
      <c r="A13064" s="3" t="s">
        <v>24100</v>
      </c>
      <c r="B13064" s="110" t="s">
        <v>1362</v>
      </c>
      <c r="C13064" s="111" t="s">
        <v>24101</v>
      </c>
      <c r="D13064" s="111" t="str">
        <f t="shared" ref="D13064:E13064" si="13062">TRIM(B13064)</f>
        <v>Oklahoma</v>
      </c>
      <c r="E13064" s="111" t="str">
        <f t="shared" si="13062"/>
        <v>Stigler</v>
      </c>
    </row>
    <row r="13065" spans="1:5">
      <c r="A13065" s="3" t="s">
        <v>24102</v>
      </c>
      <c r="B13065" s="110" t="s">
        <v>1362</v>
      </c>
      <c r="C13065" s="111" t="s">
        <v>18292</v>
      </c>
      <c r="D13065" s="111" t="str">
        <f t="shared" ref="D13065:E13065" si="13063">TRIM(B13065)</f>
        <v>Oklahoma</v>
      </c>
      <c r="E13065" s="111" t="str">
        <f t="shared" si="13063"/>
        <v>Stillwater</v>
      </c>
    </row>
    <row r="13066" spans="1:5">
      <c r="A13066" s="3" t="s">
        <v>24103</v>
      </c>
      <c r="B13066" s="110" t="s">
        <v>1362</v>
      </c>
      <c r="C13066" s="111" t="s">
        <v>15534</v>
      </c>
      <c r="D13066" s="111" t="str">
        <f t="shared" ref="D13066:E13066" si="13064">TRIM(B13066)</f>
        <v>Oklahoma</v>
      </c>
      <c r="E13066" s="111" t="str">
        <f t="shared" si="13064"/>
        <v>Stilwell</v>
      </c>
    </row>
    <row r="13067" spans="1:5">
      <c r="A13067" s="3" t="s">
        <v>24104</v>
      </c>
      <c r="B13067" s="110" t="s">
        <v>1362</v>
      </c>
      <c r="C13067" s="111" t="s">
        <v>16132</v>
      </c>
      <c r="D13067" s="111" t="str">
        <f t="shared" ref="D13067:E13067" si="13065">TRIM(B13067)</f>
        <v>Oklahoma</v>
      </c>
      <c r="E13067" s="111" t="str">
        <f t="shared" si="13065"/>
        <v>Stonewall</v>
      </c>
    </row>
    <row r="13068" spans="1:5">
      <c r="A13068" s="3" t="s">
        <v>8697</v>
      </c>
      <c r="B13068" s="110" t="s">
        <v>1362</v>
      </c>
      <c r="C13068" s="111" t="s">
        <v>5209</v>
      </c>
      <c r="D13068" s="111" t="str">
        <f t="shared" ref="D13068:E13068" si="13066">TRIM(B13068)</f>
        <v>Oklahoma</v>
      </c>
      <c r="E13068" s="111" t="str">
        <f t="shared" si="13066"/>
        <v>Stratford</v>
      </c>
    </row>
    <row r="13069" spans="1:5">
      <c r="A13069" s="3" t="s">
        <v>24105</v>
      </c>
      <c r="B13069" s="110" t="s">
        <v>1362</v>
      </c>
      <c r="C13069" s="111" t="s">
        <v>24106</v>
      </c>
      <c r="D13069" s="111" t="str">
        <f t="shared" ref="D13069:E13069" si="13067">TRIM(B13069)</f>
        <v>Oklahoma</v>
      </c>
      <c r="E13069" s="111" t="str">
        <f t="shared" si="13067"/>
        <v>Stringtown</v>
      </c>
    </row>
    <row r="13070" spans="1:5">
      <c r="A13070" s="3" t="s">
        <v>24107</v>
      </c>
      <c r="B13070" s="110" t="s">
        <v>1362</v>
      </c>
      <c r="C13070" s="111" t="s">
        <v>24108</v>
      </c>
      <c r="D13070" s="111" t="str">
        <f t="shared" ref="D13070:E13070" si="13068">TRIM(B13070)</f>
        <v>Oklahoma</v>
      </c>
      <c r="E13070" s="111" t="str">
        <f t="shared" si="13068"/>
        <v>Stroud</v>
      </c>
    </row>
    <row r="13071" spans="1:5">
      <c r="A13071" s="3" t="s">
        <v>19745</v>
      </c>
      <c r="B13071" s="110" t="s">
        <v>1362</v>
      </c>
      <c r="C13071" s="111" t="s">
        <v>10120</v>
      </c>
      <c r="D13071" s="111" t="str">
        <f t="shared" ref="D13071:E13071" si="13069">TRIM(B13071)</f>
        <v>Oklahoma</v>
      </c>
      <c r="E13071" s="111" t="str">
        <f t="shared" si="13069"/>
        <v>Stuart</v>
      </c>
    </row>
    <row r="13072" spans="1:5">
      <c r="A13072" s="3" t="s">
        <v>16133</v>
      </c>
      <c r="B13072" s="110" t="s">
        <v>1362</v>
      </c>
      <c r="C13072" s="112" t="s">
        <v>16134</v>
      </c>
      <c r="D13072" s="111" t="str">
        <f t="shared" ref="D13072:E13072" si="13070">TRIM(B13072)</f>
        <v>Oklahoma</v>
      </c>
      <c r="E13072" s="111" t="str">
        <f t="shared" si="13070"/>
        <v>Sulphur</v>
      </c>
    </row>
    <row r="13073" spans="1:5">
      <c r="A13073" s="3" t="s">
        <v>6044</v>
      </c>
      <c r="B13073" s="110" t="s">
        <v>1362</v>
      </c>
      <c r="C13073" s="111" t="s">
        <v>24109</v>
      </c>
      <c r="D13073" s="111" t="str">
        <f t="shared" ref="D13073:E13073" si="13071">TRIM(B13073)</f>
        <v>Oklahoma</v>
      </c>
      <c r="E13073" s="111" t="str">
        <f t="shared" si="13071"/>
        <v>Sweetwater</v>
      </c>
    </row>
    <row r="13074" spans="1:5">
      <c r="A13074" s="3" t="s">
        <v>24110</v>
      </c>
      <c r="B13074" s="110" t="s">
        <v>1362</v>
      </c>
      <c r="C13074" s="111" t="s">
        <v>24111</v>
      </c>
      <c r="D13074" s="111" t="str">
        <f t="shared" ref="D13074:E13074" si="13072">TRIM(B13074)</f>
        <v>Oklahoma</v>
      </c>
      <c r="E13074" s="111" t="str">
        <f t="shared" si="13072"/>
        <v>Tahlequah</v>
      </c>
    </row>
    <row r="13075" spans="1:5">
      <c r="A13075" s="3" t="s">
        <v>24112</v>
      </c>
      <c r="B13075" s="110" t="s">
        <v>1362</v>
      </c>
      <c r="C13075" s="111" t="s">
        <v>24113</v>
      </c>
      <c r="D13075" s="111" t="str">
        <f t="shared" ref="D13075:E13075" si="13073">TRIM(B13075)</f>
        <v>Oklahoma</v>
      </c>
      <c r="E13075" s="111" t="str">
        <f t="shared" si="13073"/>
        <v>Talihina</v>
      </c>
    </row>
    <row r="13076" spans="1:5">
      <c r="A13076" s="3" t="s">
        <v>24114</v>
      </c>
      <c r="B13076" s="110" t="s">
        <v>1362</v>
      </c>
      <c r="C13076" s="111" t="s">
        <v>24113</v>
      </c>
      <c r="D13076" s="111" t="str">
        <f t="shared" ref="D13076:E13076" si="13074">TRIM(B13076)</f>
        <v>Oklahoma</v>
      </c>
      <c r="E13076" s="111" t="str">
        <f t="shared" si="13074"/>
        <v>Talihina</v>
      </c>
    </row>
    <row r="13077" spans="1:5">
      <c r="A13077" s="3" t="s">
        <v>24115</v>
      </c>
      <c r="B13077" s="110" t="s">
        <v>1362</v>
      </c>
      <c r="C13077" s="111" t="s">
        <v>24116</v>
      </c>
      <c r="D13077" s="111" t="str">
        <f t="shared" ref="D13077:E13077" si="13075">TRIM(B13077)</f>
        <v>Oklahoma</v>
      </c>
      <c r="E13077" s="111" t="str">
        <f t="shared" si="13075"/>
        <v>Taloga</v>
      </c>
    </row>
    <row r="13078" spans="1:5">
      <c r="A13078" s="3" t="s">
        <v>14478</v>
      </c>
      <c r="B13078" s="110" t="s">
        <v>1362</v>
      </c>
      <c r="C13078" s="111" t="s">
        <v>15541</v>
      </c>
      <c r="D13078" s="111" t="str">
        <f t="shared" ref="D13078:E13078" si="13076">TRIM(B13078)</f>
        <v>Oklahoma</v>
      </c>
      <c r="E13078" s="111" t="str">
        <f t="shared" si="13076"/>
        <v>Tecumseh</v>
      </c>
    </row>
    <row r="13079" spans="1:5">
      <c r="A13079" s="3" t="s">
        <v>11347</v>
      </c>
      <c r="B13079" s="110" t="s">
        <v>1362</v>
      </c>
      <c r="C13079" s="111" t="s">
        <v>8080</v>
      </c>
      <c r="D13079" s="111" t="str">
        <f t="shared" ref="D13079:E13079" si="13077">TRIM(B13079)</f>
        <v>Oklahoma</v>
      </c>
      <c r="E13079" s="111" t="str">
        <f t="shared" si="13077"/>
        <v>Temple</v>
      </c>
    </row>
    <row r="13080" spans="1:5">
      <c r="A13080" s="3" t="s">
        <v>24117</v>
      </c>
      <c r="B13080" s="110" t="s">
        <v>1362</v>
      </c>
      <c r="C13080" s="111" t="s">
        <v>24118</v>
      </c>
      <c r="D13080" s="111" t="str">
        <f t="shared" ref="D13080:E13080" si="13078">TRIM(B13080)</f>
        <v>Oklahoma</v>
      </c>
      <c r="E13080" s="111" t="str">
        <f t="shared" si="13078"/>
        <v>Texhoma</v>
      </c>
    </row>
    <row r="13081" spans="1:5">
      <c r="A13081" s="3" t="s">
        <v>24119</v>
      </c>
      <c r="B13081" s="110" t="s">
        <v>1362</v>
      </c>
      <c r="C13081" s="111" t="s">
        <v>24120</v>
      </c>
      <c r="D13081" s="111" t="str">
        <f t="shared" ref="D13081:E13081" si="13079">TRIM(B13081)</f>
        <v>Oklahoma</v>
      </c>
      <c r="E13081" s="111" t="str">
        <f t="shared" si="13079"/>
        <v>Thackerville</v>
      </c>
    </row>
    <row r="13082" spans="1:5">
      <c r="A13082" s="3" t="s">
        <v>24121</v>
      </c>
      <c r="B13082" s="110" t="s">
        <v>1362</v>
      </c>
      <c r="C13082" s="111" t="s">
        <v>24122</v>
      </c>
      <c r="D13082" s="111" t="str">
        <f t="shared" ref="D13082:E13082" si="13080">TRIM(B13082)</f>
        <v>Oklahoma</v>
      </c>
      <c r="E13082" s="111" t="str">
        <f t="shared" si="13080"/>
        <v>Thomas</v>
      </c>
    </row>
    <row r="13083" spans="1:5">
      <c r="A13083" s="3" t="s">
        <v>14623</v>
      </c>
      <c r="B13083" s="110" t="s">
        <v>1362</v>
      </c>
      <c r="C13083" s="111" t="s">
        <v>14624</v>
      </c>
      <c r="D13083" s="111" t="str">
        <f t="shared" ref="D13083:E13083" si="13081">TRIM(B13083)</f>
        <v>Oklahoma</v>
      </c>
      <c r="E13083" s="111" t="str">
        <f t="shared" si="13081"/>
        <v>Tipton</v>
      </c>
    </row>
    <row r="13084" spans="1:5">
      <c r="A13084" s="3" t="s">
        <v>24123</v>
      </c>
      <c r="B13084" s="110" t="s">
        <v>1362</v>
      </c>
      <c r="C13084" s="111" t="s">
        <v>24124</v>
      </c>
      <c r="D13084" s="111" t="str">
        <f t="shared" ref="D13084:E13084" si="13082">TRIM(B13084)</f>
        <v>Oklahoma</v>
      </c>
      <c r="E13084" s="111" t="str">
        <f t="shared" si="13082"/>
        <v>Tishomingo</v>
      </c>
    </row>
    <row r="13085" spans="1:5">
      <c r="A13085" s="3" t="s">
        <v>24125</v>
      </c>
      <c r="B13085" s="110" t="s">
        <v>1362</v>
      </c>
      <c r="C13085" s="111" t="s">
        <v>24126</v>
      </c>
      <c r="D13085" s="111" t="str">
        <f t="shared" ref="D13085:E13085" si="13083">TRIM(B13085)</f>
        <v>Oklahoma</v>
      </c>
      <c r="E13085" s="111" t="str">
        <f t="shared" si="13083"/>
        <v>Tonkawa</v>
      </c>
    </row>
    <row r="13086" spans="1:5">
      <c r="A13086" s="3" t="s">
        <v>24127</v>
      </c>
      <c r="B13086" s="110" t="s">
        <v>1362</v>
      </c>
      <c r="C13086" s="111" t="s">
        <v>1220</v>
      </c>
      <c r="D13086" s="111" t="str">
        <f t="shared" ref="D13086:E13086" si="13084">TRIM(B13086)</f>
        <v>Oklahoma</v>
      </c>
      <c r="E13086" s="111" t="str">
        <f t="shared" si="13084"/>
        <v>Tulsa</v>
      </c>
    </row>
    <row r="13087" spans="1:5">
      <c r="A13087" s="3" t="s">
        <v>10338</v>
      </c>
      <c r="B13087" s="110" t="s">
        <v>1362</v>
      </c>
      <c r="C13087" s="111" t="s">
        <v>1220</v>
      </c>
      <c r="D13087" s="111" t="str">
        <f t="shared" ref="D13087:E13087" si="13085">TRIM(B13087)</f>
        <v>Oklahoma</v>
      </c>
      <c r="E13087" s="111" t="str">
        <f t="shared" si="13085"/>
        <v>Tulsa</v>
      </c>
    </row>
    <row r="13088" spans="1:5">
      <c r="A13088" s="3" t="s">
        <v>1843</v>
      </c>
      <c r="B13088" s="110" t="s">
        <v>1362</v>
      </c>
      <c r="C13088" s="111" t="s">
        <v>1220</v>
      </c>
      <c r="D13088" s="111" t="str">
        <f t="shared" ref="D13088:E13088" si="13086">TRIM(B13088)</f>
        <v>Oklahoma</v>
      </c>
      <c r="E13088" s="111" t="str">
        <f t="shared" si="13086"/>
        <v>Tulsa</v>
      </c>
    </row>
    <row r="13089" spans="1:5">
      <c r="A13089" s="3" t="s">
        <v>24128</v>
      </c>
      <c r="B13089" s="110" t="s">
        <v>1362</v>
      </c>
      <c r="C13089" s="111" t="s">
        <v>1220</v>
      </c>
      <c r="D13089" s="111" t="str">
        <f t="shared" ref="D13089:E13089" si="13087">TRIM(B13089)</f>
        <v>Oklahoma</v>
      </c>
      <c r="E13089" s="111" t="str">
        <f t="shared" si="13087"/>
        <v>Tulsa</v>
      </c>
    </row>
    <row r="13090" spans="1:5">
      <c r="A13090" s="3" t="s">
        <v>24129</v>
      </c>
      <c r="B13090" s="110" t="s">
        <v>1362</v>
      </c>
      <c r="C13090" s="111" t="s">
        <v>1220</v>
      </c>
      <c r="D13090" s="111" t="str">
        <f t="shared" ref="D13090:E13090" si="13088">TRIM(B13090)</f>
        <v>Oklahoma</v>
      </c>
      <c r="E13090" s="111" t="str">
        <f t="shared" si="13088"/>
        <v>Tulsa</v>
      </c>
    </row>
    <row r="13091" spans="1:5">
      <c r="A13091" s="3" t="s">
        <v>14608</v>
      </c>
      <c r="B13091" s="110" t="s">
        <v>1362</v>
      </c>
      <c r="C13091" s="111" t="s">
        <v>1220</v>
      </c>
      <c r="D13091" s="111" t="str">
        <f t="shared" ref="D13091:E13091" si="13089">TRIM(B13091)</f>
        <v>Oklahoma</v>
      </c>
      <c r="E13091" s="111" t="str">
        <f t="shared" si="13089"/>
        <v>Tulsa</v>
      </c>
    </row>
    <row r="13092" spans="1:5">
      <c r="A13092" s="110" t="s">
        <v>24130</v>
      </c>
      <c r="B13092" s="110" t="s">
        <v>1362</v>
      </c>
      <c r="C13092" s="111" t="s">
        <v>1220</v>
      </c>
      <c r="D13092" s="111" t="str">
        <f t="shared" ref="D13092:E13092" si="13090">TRIM(B13092)</f>
        <v>Oklahoma</v>
      </c>
      <c r="E13092" s="111" t="str">
        <f t="shared" si="13090"/>
        <v>Tulsa</v>
      </c>
    </row>
    <row r="13093" spans="1:5">
      <c r="A13093" s="3" t="s">
        <v>24131</v>
      </c>
      <c r="B13093" s="110" t="s">
        <v>1362</v>
      </c>
      <c r="C13093" s="111" t="s">
        <v>1220</v>
      </c>
      <c r="D13093" s="111" t="str">
        <f t="shared" ref="D13093:E13093" si="13091">TRIM(B13093)</f>
        <v>Oklahoma</v>
      </c>
      <c r="E13093" s="111" t="str">
        <f t="shared" si="13091"/>
        <v>Tulsa</v>
      </c>
    </row>
    <row r="13094" spans="1:5">
      <c r="A13094" s="3" t="s">
        <v>24132</v>
      </c>
      <c r="B13094" s="110" t="s">
        <v>1362</v>
      </c>
      <c r="C13094" s="111" t="s">
        <v>1220</v>
      </c>
      <c r="D13094" s="111" t="str">
        <f t="shared" ref="D13094:E13094" si="13092">TRIM(B13094)</f>
        <v>Oklahoma</v>
      </c>
      <c r="E13094" s="111" t="str">
        <f t="shared" si="13092"/>
        <v>Tulsa</v>
      </c>
    </row>
    <row r="13095" spans="1:5">
      <c r="A13095" s="3" t="s">
        <v>17870</v>
      </c>
      <c r="B13095" s="110" t="s">
        <v>1362</v>
      </c>
      <c r="C13095" s="111" t="s">
        <v>1220</v>
      </c>
      <c r="D13095" s="111" t="str">
        <f t="shared" ref="D13095:E13095" si="13093">TRIM(B13095)</f>
        <v>Oklahoma</v>
      </c>
      <c r="E13095" s="111" t="str">
        <f t="shared" si="13093"/>
        <v>Tulsa</v>
      </c>
    </row>
    <row r="13096" spans="1:5">
      <c r="A13096" s="3" t="s">
        <v>24133</v>
      </c>
      <c r="B13096" s="110" t="s">
        <v>1362</v>
      </c>
      <c r="C13096" s="111" t="s">
        <v>1220</v>
      </c>
      <c r="D13096" s="111" t="str">
        <f t="shared" ref="D13096:E13096" si="13094">TRIM(B13096)</f>
        <v>Oklahoma</v>
      </c>
      <c r="E13096" s="111" t="str">
        <f t="shared" si="13094"/>
        <v>Tulsa</v>
      </c>
    </row>
    <row r="13097" spans="1:5">
      <c r="A13097" s="3" t="s">
        <v>24134</v>
      </c>
      <c r="B13097" s="110" t="s">
        <v>1362</v>
      </c>
      <c r="C13097" s="111" t="s">
        <v>1220</v>
      </c>
      <c r="D13097" s="111" t="str">
        <f t="shared" ref="D13097:E13097" si="13095">TRIM(B13097)</f>
        <v>Oklahoma</v>
      </c>
      <c r="E13097" s="111" t="str">
        <f t="shared" si="13095"/>
        <v>Tulsa</v>
      </c>
    </row>
    <row r="13098" spans="1:5">
      <c r="A13098" s="110" t="s">
        <v>24135</v>
      </c>
      <c r="B13098" s="110" t="s">
        <v>1362</v>
      </c>
      <c r="C13098" s="111" t="s">
        <v>1220</v>
      </c>
      <c r="D13098" s="111" t="str">
        <f t="shared" ref="D13098:E13098" si="13096">TRIM(B13098)</f>
        <v>Oklahoma</v>
      </c>
      <c r="E13098" s="111" t="str">
        <f t="shared" si="13096"/>
        <v>Tulsa</v>
      </c>
    </row>
    <row r="13099" spans="1:5">
      <c r="A13099" s="3" t="s">
        <v>24136</v>
      </c>
      <c r="B13099" s="110" t="s">
        <v>1362</v>
      </c>
      <c r="C13099" s="111" t="s">
        <v>1220</v>
      </c>
      <c r="D13099" s="111" t="str">
        <f t="shared" ref="D13099:E13099" si="13097">TRIM(B13099)</f>
        <v>Oklahoma</v>
      </c>
      <c r="E13099" s="111" t="str">
        <f t="shared" si="13097"/>
        <v>Tulsa</v>
      </c>
    </row>
    <row r="13100" spans="1:5">
      <c r="A13100" s="3" t="s">
        <v>24137</v>
      </c>
      <c r="B13100" s="110" t="s">
        <v>1362</v>
      </c>
      <c r="C13100" s="111" t="s">
        <v>1220</v>
      </c>
      <c r="D13100" s="111" t="str">
        <f t="shared" ref="D13100:E13100" si="13098">TRIM(B13100)</f>
        <v>Oklahoma</v>
      </c>
      <c r="E13100" s="111" t="str">
        <f t="shared" si="13098"/>
        <v>Tulsa</v>
      </c>
    </row>
    <row r="13101" spans="1:5">
      <c r="A13101" s="3" t="s">
        <v>14909</v>
      </c>
      <c r="B13101" s="110" t="s">
        <v>1362</v>
      </c>
      <c r="C13101" s="111" t="s">
        <v>1220</v>
      </c>
      <c r="D13101" s="111" t="str">
        <f t="shared" ref="D13101:E13101" si="13099">TRIM(B13101)</f>
        <v>Oklahoma</v>
      </c>
      <c r="E13101" s="111" t="str">
        <f t="shared" si="13099"/>
        <v>Tulsa</v>
      </c>
    </row>
    <row r="13102" spans="1:5">
      <c r="A13102" s="3" t="s">
        <v>24138</v>
      </c>
      <c r="B13102" s="110" t="s">
        <v>1362</v>
      </c>
      <c r="C13102" s="111" t="s">
        <v>1220</v>
      </c>
      <c r="D13102" s="111" t="str">
        <f t="shared" ref="D13102:E13102" si="13100">TRIM(B13102)</f>
        <v>Oklahoma</v>
      </c>
      <c r="E13102" s="111" t="str">
        <f t="shared" si="13100"/>
        <v>Tulsa</v>
      </c>
    </row>
    <row r="13103" spans="1:5">
      <c r="A13103" s="3" t="s">
        <v>18579</v>
      </c>
      <c r="B13103" s="110" t="s">
        <v>1362</v>
      </c>
      <c r="C13103" s="111" t="s">
        <v>8854</v>
      </c>
      <c r="D13103" s="111" t="str">
        <f t="shared" ref="D13103:E13103" si="13101">TRIM(B13103)</f>
        <v>Oklahoma</v>
      </c>
      <c r="E13103" s="111" t="str">
        <f t="shared" si="13101"/>
        <v>Tupelo</v>
      </c>
    </row>
    <row r="13104" spans="1:5">
      <c r="A13104" s="3" t="s">
        <v>22917</v>
      </c>
      <c r="B13104" s="110" t="s">
        <v>1362</v>
      </c>
      <c r="C13104" s="111" t="s">
        <v>24139</v>
      </c>
      <c r="D13104" s="111" t="str">
        <f t="shared" ref="D13104:E13104" si="13102">TRIM(B13104)</f>
        <v>Oklahoma</v>
      </c>
      <c r="E13104" s="111" t="str">
        <f t="shared" si="13102"/>
        <v>Turpin</v>
      </c>
    </row>
    <row r="13105" spans="1:5">
      <c r="A13105" s="3" t="s">
        <v>24140</v>
      </c>
      <c r="B13105" s="110" t="s">
        <v>1362</v>
      </c>
      <c r="C13105" s="111" t="s">
        <v>24141</v>
      </c>
      <c r="D13105" s="111" t="str">
        <f t="shared" ref="D13105:E13105" si="13103">TRIM(B13105)</f>
        <v>Oklahoma</v>
      </c>
      <c r="E13105" s="111" t="str">
        <f t="shared" si="13103"/>
        <v>Tuttle</v>
      </c>
    </row>
    <row r="13106" spans="1:5">
      <c r="A13106" s="3" t="s">
        <v>24142</v>
      </c>
      <c r="B13106" s="110" t="s">
        <v>1362</v>
      </c>
      <c r="C13106" s="111" t="s">
        <v>11385</v>
      </c>
      <c r="D13106" s="111" t="str">
        <f t="shared" ref="D13106:E13106" si="13104">TRIM(B13106)</f>
        <v>Oklahoma</v>
      </c>
      <c r="E13106" s="111" t="str">
        <f t="shared" si="13104"/>
        <v>Tyrone</v>
      </c>
    </row>
    <row r="13107" spans="1:5">
      <c r="A13107" s="3" t="s">
        <v>17637</v>
      </c>
      <c r="B13107" s="110" t="s">
        <v>1362</v>
      </c>
      <c r="C13107" s="111" t="s">
        <v>7340</v>
      </c>
      <c r="D13107" s="111" t="str">
        <f t="shared" ref="D13107:E13107" si="13105">TRIM(B13107)</f>
        <v>Oklahoma</v>
      </c>
      <c r="E13107" s="111" t="str">
        <f t="shared" si="13105"/>
        <v>Union City</v>
      </c>
    </row>
    <row r="13108" spans="1:5">
      <c r="A13108" s="3" t="s">
        <v>24143</v>
      </c>
      <c r="B13108" s="110" t="s">
        <v>1362</v>
      </c>
      <c r="C13108" s="111" t="s">
        <v>24144</v>
      </c>
      <c r="D13108" s="111" t="str">
        <f t="shared" ref="D13108:E13108" si="13106">TRIM(B13108)</f>
        <v>Oklahoma</v>
      </c>
      <c r="E13108" s="111" t="str">
        <f t="shared" si="13106"/>
        <v>Valliant</v>
      </c>
    </row>
    <row r="13109" spans="1:5">
      <c r="A13109" s="3" t="s">
        <v>24145</v>
      </c>
      <c r="B13109" s="110" t="s">
        <v>1362</v>
      </c>
      <c r="C13109" s="111" t="s">
        <v>24146</v>
      </c>
      <c r="D13109" s="111" t="str">
        <f t="shared" ref="D13109:E13109" si="13107">TRIM(B13109)</f>
        <v>Oklahoma</v>
      </c>
      <c r="E13109" s="111" t="str">
        <f t="shared" si="13107"/>
        <v>Velma</v>
      </c>
    </row>
    <row r="13110" spans="1:5">
      <c r="A13110" s="3" t="s">
        <v>24147</v>
      </c>
      <c r="B13110" s="110" t="s">
        <v>1362</v>
      </c>
      <c r="C13110" s="111" t="s">
        <v>24148</v>
      </c>
      <c r="D13110" s="111" t="str">
        <f t="shared" ref="D13110:E13110" si="13108">TRIM(B13110)</f>
        <v>Oklahoma</v>
      </c>
      <c r="E13110" s="111" t="str">
        <f t="shared" si="13108"/>
        <v>Verden</v>
      </c>
    </row>
    <row r="13111" spans="1:5">
      <c r="A13111" s="3" t="s">
        <v>24149</v>
      </c>
      <c r="B13111" s="110" t="s">
        <v>1362</v>
      </c>
      <c r="C13111" s="111" t="s">
        <v>573</v>
      </c>
      <c r="D13111" s="111" t="str">
        <f t="shared" ref="D13111:E13111" si="13109">TRIM(B13111)</f>
        <v>Oklahoma</v>
      </c>
      <c r="E13111" s="111" t="str">
        <f t="shared" si="13109"/>
        <v>Vian</v>
      </c>
    </row>
    <row r="13112" spans="1:5">
      <c r="A13112" s="3" t="s">
        <v>24150</v>
      </c>
      <c r="B13112" s="110" t="s">
        <v>1362</v>
      </c>
      <c r="C13112" s="111" t="s">
        <v>24151</v>
      </c>
      <c r="D13112" s="111" t="str">
        <f t="shared" ref="D13112:E13112" si="13110">TRIM(B13112)</f>
        <v>Oklahoma</v>
      </c>
      <c r="E13112" s="111" t="str">
        <f t="shared" si="13110"/>
        <v>Vici</v>
      </c>
    </row>
    <row r="13113" spans="1:5">
      <c r="A13113" s="3" t="s">
        <v>24152</v>
      </c>
      <c r="B13113" s="110" t="s">
        <v>1362</v>
      </c>
      <c r="C13113" s="111" t="s">
        <v>24153</v>
      </c>
      <c r="D13113" s="111" t="str">
        <f t="shared" ref="D13113:E13113" si="13111">TRIM(B13113)</f>
        <v>Oklahoma</v>
      </c>
      <c r="E13113" s="111" t="str">
        <f t="shared" si="13111"/>
        <v>Vinita</v>
      </c>
    </row>
    <row r="13114" spans="1:5">
      <c r="A13114" s="3" t="s">
        <v>24154</v>
      </c>
      <c r="B13114" s="110" t="s">
        <v>1362</v>
      </c>
      <c r="C13114" s="111" t="s">
        <v>24155</v>
      </c>
      <c r="D13114" s="111" t="str">
        <f t="shared" ref="D13114:E13114" si="13112">TRIM(B13114)</f>
        <v>Oklahoma</v>
      </c>
      <c r="E13114" s="111" t="str">
        <f t="shared" si="13112"/>
        <v>Wagoner</v>
      </c>
    </row>
    <row r="13115" spans="1:5">
      <c r="A13115" s="3" t="s">
        <v>24156</v>
      </c>
      <c r="B13115" s="110" t="s">
        <v>1362</v>
      </c>
      <c r="C13115" s="111" t="s">
        <v>24157</v>
      </c>
      <c r="D13115" s="111" t="str">
        <f t="shared" ref="D13115:E13115" si="13113">TRIM(B13115)</f>
        <v>Oklahoma</v>
      </c>
      <c r="E13115" s="111" t="str">
        <f t="shared" si="13113"/>
        <v>Walters</v>
      </c>
    </row>
    <row r="13116" spans="1:5">
      <c r="A13116" s="3" t="s">
        <v>24158</v>
      </c>
      <c r="B13116" s="110" t="s">
        <v>1362</v>
      </c>
      <c r="C13116" s="111" t="s">
        <v>24159</v>
      </c>
      <c r="D13116" s="111" t="str">
        <f t="shared" ref="D13116:E13116" si="13114">TRIM(B13116)</f>
        <v>Oklahoma</v>
      </c>
      <c r="E13116" s="111" t="str">
        <f t="shared" si="13114"/>
        <v>Wanette</v>
      </c>
    </row>
    <row r="13117" spans="1:5">
      <c r="A13117" s="3" t="s">
        <v>24160</v>
      </c>
      <c r="B13117" s="110" t="s">
        <v>1362</v>
      </c>
      <c r="C13117" s="111" t="s">
        <v>24161</v>
      </c>
      <c r="D13117" s="111" t="str">
        <f t="shared" ref="D13117:E13117" si="13115">TRIM(B13117)</f>
        <v>Oklahoma</v>
      </c>
      <c r="E13117" s="111" t="str">
        <f t="shared" si="13115"/>
        <v>Wapanucka</v>
      </c>
    </row>
    <row r="13118" spans="1:5">
      <c r="A13118" s="3" t="s">
        <v>24162</v>
      </c>
      <c r="B13118" s="110" t="s">
        <v>1362</v>
      </c>
      <c r="C13118" s="111" t="s">
        <v>24163</v>
      </c>
      <c r="D13118" s="111" t="str">
        <f t="shared" ref="D13118:E13118" si="13116">TRIM(B13118)</f>
        <v>Oklahoma</v>
      </c>
      <c r="E13118" s="111" t="str">
        <f t="shared" si="13116"/>
        <v>Warner</v>
      </c>
    </row>
    <row r="13119" spans="1:5">
      <c r="A13119" s="3" t="s">
        <v>3140</v>
      </c>
      <c r="B13119" s="110" t="s">
        <v>1362</v>
      </c>
      <c r="C13119" s="111" t="s">
        <v>276</v>
      </c>
      <c r="D13119" s="111" t="str">
        <f t="shared" ref="D13119:E13119" si="13117">TRIM(B13119)</f>
        <v>Oklahoma</v>
      </c>
      <c r="E13119" s="111" t="str">
        <f t="shared" si="13117"/>
        <v>Washington</v>
      </c>
    </row>
    <row r="13120" spans="1:5">
      <c r="A13120" s="3" t="s">
        <v>24164</v>
      </c>
      <c r="B13120" s="110" t="s">
        <v>1362</v>
      </c>
      <c r="C13120" s="111" t="s">
        <v>24165</v>
      </c>
      <c r="D13120" s="111" t="str">
        <f t="shared" ref="D13120:E13120" si="13118">TRIM(B13120)</f>
        <v>Oklahoma</v>
      </c>
      <c r="E13120" s="111" t="str">
        <f t="shared" si="13118"/>
        <v>Watonga</v>
      </c>
    </row>
    <row r="13121" spans="1:5">
      <c r="A13121" s="3" t="s">
        <v>24166</v>
      </c>
      <c r="B13121" s="110" t="s">
        <v>1362</v>
      </c>
      <c r="C13121" s="111" t="s">
        <v>24167</v>
      </c>
      <c r="D13121" s="111" t="str">
        <f t="shared" ref="D13121:E13121" si="13119">TRIM(B13121)</f>
        <v>Oklahoma</v>
      </c>
      <c r="E13121" s="111" t="str">
        <f t="shared" si="13119"/>
        <v>Watts</v>
      </c>
    </row>
    <row r="13122" spans="1:5">
      <c r="A13122" s="3" t="s">
        <v>24168</v>
      </c>
      <c r="B13122" s="110" t="s">
        <v>1362</v>
      </c>
      <c r="C13122" s="111" t="s">
        <v>24169</v>
      </c>
      <c r="D13122" s="111" t="str">
        <f t="shared" ref="D13122:E13122" si="13120">TRIM(B13122)</f>
        <v>Oklahoma</v>
      </c>
      <c r="E13122" s="111" t="str">
        <f t="shared" si="13120"/>
        <v>Waukomis</v>
      </c>
    </row>
    <row r="13123" spans="1:5">
      <c r="A13123" s="3" t="s">
        <v>24170</v>
      </c>
      <c r="B13123" s="110" t="s">
        <v>1362</v>
      </c>
      <c r="C13123" s="111" t="s">
        <v>24169</v>
      </c>
      <c r="D13123" s="111" t="str">
        <f t="shared" ref="D13123:E13123" si="13121">TRIM(B13123)</f>
        <v>Oklahoma</v>
      </c>
      <c r="E13123" s="111" t="str">
        <f t="shared" si="13121"/>
        <v>Waukomis</v>
      </c>
    </row>
    <row r="13124" spans="1:5">
      <c r="A13124" s="3" t="s">
        <v>24171</v>
      </c>
      <c r="B13124" s="110" t="s">
        <v>1362</v>
      </c>
      <c r="C13124" s="111" t="s">
        <v>24172</v>
      </c>
      <c r="D13124" s="111" t="str">
        <f t="shared" ref="D13124:E13124" si="13122">TRIM(B13124)</f>
        <v>Oklahoma</v>
      </c>
      <c r="E13124" s="111" t="str">
        <f t="shared" si="13122"/>
        <v>Waurika</v>
      </c>
    </row>
    <row r="13125" spans="1:5">
      <c r="A13125" s="3" t="s">
        <v>14335</v>
      </c>
      <c r="B13125" s="110" t="s">
        <v>1362</v>
      </c>
      <c r="C13125" s="111" t="s">
        <v>413</v>
      </c>
      <c r="D13125" s="111" t="str">
        <f t="shared" ref="D13125:E13125" si="13123">TRIM(B13125)</f>
        <v>Oklahoma</v>
      </c>
      <c r="E13125" s="111" t="str">
        <f t="shared" si="13123"/>
        <v>Wayne</v>
      </c>
    </row>
    <row r="13126" spans="1:5">
      <c r="A13126" s="3" t="s">
        <v>24173</v>
      </c>
      <c r="B13126" s="110" t="s">
        <v>1362</v>
      </c>
      <c r="C13126" s="111" t="s">
        <v>24174</v>
      </c>
      <c r="D13126" s="111" t="str">
        <f t="shared" ref="D13126:E13126" si="13124">TRIM(B13126)</f>
        <v>Oklahoma</v>
      </c>
      <c r="E13126" s="111" t="str">
        <f t="shared" si="13124"/>
        <v>Waynoka</v>
      </c>
    </row>
    <row r="13127" spans="1:5">
      <c r="A13127" s="3" t="s">
        <v>24175</v>
      </c>
      <c r="B13127" s="110" t="s">
        <v>1362</v>
      </c>
      <c r="C13127" s="111" t="s">
        <v>24176</v>
      </c>
      <c r="D13127" s="111" t="str">
        <f t="shared" ref="D13127:E13127" si="13125">TRIM(B13127)</f>
        <v>Oklahoma</v>
      </c>
      <c r="E13127" s="111" t="str">
        <f t="shared" si="13125"/>
        <v>Weatherford</v>
      </c>
    </row>
    <row r="13128" spans="1:5">
      <c r="A13128" s="3" t="s">
        <v>24177</v>
      </c>
      <c r="B13128" s="110" t="s">
        <v>1362</v>
      </c>
      <c r="C13128" s="111" t="s">
        <v>24178</v>
      </c>
      <c r="D13128" s="111" t="str">
        <f t="shared" ref="D13128:E13128" si="13126">TRIM(B13128)</f>
        <v>Oklahoma</v>
      </c>
      <c r="E13128" s="111" t="str">
        <f t="shared" si="13126"/>
        <v>Webbers Falls</v>
      </c>
    </row>
    <row r="13129" spans="1:5">
      <c r="A13129" s="3" t="s">
        <v>24179</v>
      </c>
      <c r="B13129" s="110" t="s">
        <v>1362</v>
      </c>
      <c r="C13129" s="111" t="s">
        <v>24180</v>
      </c>
      <c r="D13129" s="111" t="str">
        <f t="shared" ref="D13129:E13129" si="13127">TRIM(B13129)</f>
        <v>Oklahoma</v>
      </c>
      <c r="E13129" s="111" t="str">
        <f t="shared" si="13127"/>
        <v>Welch</v>
      </c>
    </row>
    <row r="13130" spans="1:5">
      <c r="A13130" s="3" t="s">
        <v>22185</v>
      </c>
      <c r="B13130" s="110" t="s">
        <v>1362</v>
      </c>
      <c r="C13130" s="111" t="s">
        <v>24181</v>
      </c>
      <c r="D13130" s="111" t="str">
        <f t="shared" ref="D13130:E13130" si="13128">TRIM(B13130)</f>
        <v>Oklahoma</v>
      </c>
      <c r="E13130" s="111" t="str">
        <f t="shared" si="13128"/>
        <v>Weleetka</v>
      </c>
    </row>
    <row r="13131" spans="1:5">
      <c r="A13131" s="3" t="s">
        <v>24182</v>
      </c>
      <c r="B13131" s="110" t="s">
        <v>1362</v>
      </c>
      <c r="C13131" s="111" t="s">
        <v>24181</v>
      </c>
      <c r="D13131" s="111" t="str">
        <f t="shared" ref="D13131:E13131" si="13129">TRIM(B13131)</f>
        <v>Oklahoma</v>
      </c>
      <c r="E13131" s="111" t="str">
        <f t="shared" si="13129"/>
        <v>Weleetka</v>
      </c>
    </row>
    <row r="13132" spans="1:5">
      <c r="A13132" s="3" t="s">
        <v>23551</v>
      </c>
      <c r="B13132" s="110" t="s">
        <v>1362</v>
      </c>
      <c r="C13132" s="111" t="s">
        <v>19224</v>
      </c>
      <c r="D13132" s="111" t="str">
        <f t="shared" ref="D13132:E13132" si="13130">TRIM(B13132)</f>
        <v>Oklahoma</v>
      </c>
      <c r="E13132" s="111" t="str">
        <f t="shared" si="13130"/>
        <v>Wellston</v>
      </c>
    </row>
    <row r="13133" spans="1:5">
      <c r="A13133" s="3" t="s">
        <v>14018</v>
      </c>
      <c r="B13133" s="110" t="s">
        <v>1362</v>
      </c>
      <c r="C13133" s="111" t="s">
        <v>14019</v>
      </c>
      <c r="D13133" s="111" t="str">
        <f t="shared" ref="D13133:E13133" si="13131">TRIM(B13133)</f>
        <v>Oklahoma</v>
      </c>
      <c r="E13133" s="111" t="str">
        <f t="shared" si="13131"/>
        <v>Westville</v>
      </c>
    </row>
    <row r="13134" spans="1:5">
      <c r="A13134" s="3" t="s">
        <v>24183</v>
      </c>
      <c r="B13134" s="110" t="s">
        <v>1362</v>
      </c>
      <c r="C13134" s="111" t="s">
        <v>24184</v>
      </c>
      <c r="D13134" s="111" t="str">
        <f t="shared" ref="D13134:E13134" si="13132">TRIM(B13134)</f>
        <v>Oklahoma</v>
      </c>
      <c r="E13134" s="111" t="str">
        <f t="shared" si="13132"/>
        <v>Wetumka</v>
      </c>
    </row>
    <row r="13135" spans="1:5">
      <c r="A13135" s="3" t="s">
        <v>24185</v>
      </c>
      <c r="B13135" s="110" t="s">
        <v>1362</v>
      </c>
      <c r="C13135" s="111" t="s">
        <v>24186</v>
      </c>
      <c r="D13135" s="111" t="str">
        <f t="shared" ref="D13135:E13135" si="13133">TRIM(B13135)</f>
        <v>Oklahoma</v>
      </c>
      <c r="E13135" s="111" t="str">
        <f t="shared" si="13133"/>
        <v>Wewoka</v>
      </c>
    </row>
    <row r="13136" spans="1:5">
      <c r="A13136" s="3" t="s">
        <v>24187</v>
      </c>
      <c r="B13136" s="110" t="s">
        <v>1362</v>
      </c>
      <c r="C13136" s="111" t="s">
        <v>24186</v>
      </c>
      <c r="D13136" s="111" t="str">
        <f t="shared" ref="D13136:E13136" si="13134">TRIM(B13136)</f>
        <v>Oklahoma</v>
      </c>
      <c r="E13136" s="111" t="str">
        <f t="shared" si="13134"/>
        <v>Wewoka</v>
      </c>
    </row>
    <row r="13137" spans="1:5">
      <c r="A13137" s="3" t="s">
        <v>21446</v>
      </c>
      <c r="B13137" s="110" t="s">
        <v>1362</v>
      </c>
      <c r="C13137" s="111" t="s">
        <v>24188</v>
      </c>
      <c r="D13137" s="111" t="str">
        <f t="shared" ref="D13137:E13137" si="13135">TRIM(B13137)</f>
        <v>Oklahoma</v>
      </c>
      <c r="E13137" s="111" t="str">
        <f t="shared" si="13135"/>
        <v>Whitesboro</v>
      </c>
    </row>
    <row r="13138" spans="1:5">
      <c r="A13138" s="3" t="s">
        <v>24189</v>
      </c>
      <c r="B13138" s="110" t="s">
        <v>1362</v>
      </c>
      <c r="C13138" s="111" t="s">
        <v>24190</v>
      </c>
      <c r="D13138" s="111" t="str">
        <f t="shared" ref="D13138:E13138" si="13136">TRIM(B13138)</f>
        <v>Oklahoma</v>
      </c>
      <c r="E13138" s="111" t="str">
        <f t="shared" si="13136"/>
        <v>Wilburton</v>
      </c>
    </row>
    <row r="13139" spans="1:5">
      <c r="A13139" s="3" t="s">
        <v>5567</v>
      </c>
      <c r="B13139" s="110" t="s">
        <v>1362</v>
      </c>
      <c r="C13139" s="111" t="s">
        <v>4278</v>
      </c>
      <c r="D13139" s="111" t="str">
        <f t="shared" ref="D13139:E13139" si="13137">TRIM(B13139)</f>
        <v>Oklahoma</v>
      </c>
      <c r="E13139" s="111" t="str">
        <f t="shared" si="13137"/>
        <v>Wilson</v>
      </c>
    </row>
    <row r="13140" spans="1:5">
      <c r="A13140" s="3" t="s">
        <v>24191</v>
      </c>
      <c r="B13140" s="110" t="s">
        <v>1362</v>
      </c>
      <c r="C13140" s="111" t="s">
        <v>24192</v>
      </c>
      <c r="D13140" s="111" t="str">
        <f t="shared" ref="D13140:E13140" si="13138">TRIM(B13140)</f>
        <v>Oklahoma</v>
      </c>
      <c r="E13140" s="111" t="str">
        <f t="shared" si="13138"/>
        <v>Wister</v>
      </c>
    </row>
    <row r="13141" spans="1:5">
      <c r="A13141" s="3" t="s">
        <v>23505</v>
      </c>
      <c r="B13141" s="110" t="s">
        <v>1362</v>
      </c>
      <c r="C13141" s="111" t="s">
        <v>15144</v>
      </c>
      <c r="D13141" s="111" t="str">
        <f t="shared" ref="D13141:E13141" si="13139">TRIM(B13141)</f>
        <v>Oklahoma</v>
      </c>
      <c r="E13141" s="111" t="str">
        <f t="shared" si="13139"/>
        <v>Woodward</v>
      </c>
    </row>
    <row r="13142" spans="1:5">
      <c r="A13142" s="3" t="s">
        <v>19240</v>
      </c>
      <c r="B13142" s="110" t="s">
        <v>1362</v>
      </c>
      <c r="C13142" s="111" t="s">
        <v>19241</v>
      </c>
      <c r="D13142" s="111" t="str">
        <f t="shared" ref="D13142:E13142" si="13140">TRIM(B13142)</f>
        <v>Oklahoma</v>
      </c>
      <c r="E13142" s="111" t="str">
        <f t="shared" si="13140"/>
        <v>Wright City</v>
      </c>
    </row>
    <row r="13143" spans="1:5">
      <c r="A13143" s="3" t="s">
        <v>15343</v>
      </c>
      <c r="B13143" s="110" t="s">
        <v>1362</v>
      </c>
      <c r="C13143" s="111" t="s">
        <v>17680</v>
      </c>
      <c r="D13143" s="111" t="str">
        <f t="shared" ref="D13143:E13143" si="13141">TRIM(B13143)</f>
        <v>Oklahoma</v>
      </c>
      <c r="E13143" s="111" t="str">
        <f t="shared" si="13141"/>
        <v>Wyandotte</v>
      </c>
    </row>
    <row r="13144" spans="1:5">
      <c r="A13144" s="3" t="s">
        <v>24193</v>
      </c>
      <c r="B13144" s="110" t="s">
        <v>1362</v>
      </c>
      <c r="C13144" s="111" t="s">
        <v>13051</v>
      </c>
      <c r="D13144" s="111" t="str">
        <f t="shared" ref="D13144:E13144" si="13142">TRIM(B13144)</f>
        <v>Oklahoma</v>
      </c>
      <c r="E13144" s="111" t="str">
        <f t="shared" si="13142"/>
        <v>Wynnewood</v>
      </c>
    </row>
    <row r="13145" spans="1:5">
      <c r="A13145" s="3" t="s">
        <v>24194</v>
      </c>
      <c r="B13145" s="110" t="s">
        <v>1362</v>
      </c>
      <c r="C13145" s="111" t="s">
        <v>24195</v>
      </c>
      <c r="D13145" s="111" t="str">
        <f t="shared" ref="D13145:E13145" si="13143">TRIM(B13145)</f>
        <v>Oklahoma</v>
      </c>
      <c r="E13145" s="111" t="str">
        <f t="shared" si="13143"/>
        <v>Wynona</v>
      </c>
    </row>
    <row r="13146" spans="1:5">
      <c r="A13146" s="3" t="s">
        <v>24196</v>
      </c>
      <c r="B13146" s="110" t="s">
        <v>1362</v>
      </c>
      <c r="C13146" s="111" t="s">
        <v>17685</v>
      </c>
      <c r="D13146" s="111" t="str">
        <f t="shared" ref="D13146:E13146" si="13144">TRIM(B13146)</f>
        <v>Oklahoma</v>
      </c>
      <c r="E13146" s="111" t="str">
        <f t="shared" si="13144"/>
        <v>Yale</v>
      </c>
    </row>
    <row r="13147" spans="1:5">
      <c r="A13147" s="3" t="s">
        <v>24197</v>
      </c>
      <c r="B13147" s="110" t="s">
        <v>1362</v>
      </c>
      <c r="C13147" s="111" t="s">
        <v>24198</v>
      </c>
      <c r="D13147" s="111" t="str">
        <f t="shared" ref="D13147:E13147" si="13145">TRIM(B13147)</f>
        <v>Oklahoma</v>
      </c>
      <c r="E13147" s="111" t="str">
        <f t="shared" si="13145"/>
        <v>Yukon</v>
      </c>
    </row>
    <row r="13148" spans="1:5">
      <c r="A13148" s="3" t="s">
        <v>24199</v>
      </c>
      <c r="B13148" s="110" t="s">
        <v>1362</v>
      </c>
      <c r="C13148" s="111" t="s">
        <v>24198</v>
      </c>
      <c r="D13148" s="111" t="str">
        <f t="shared" ref="D13148:E13148" si="13146">TRIM(B13148)</f>
        <v>Oklahoma</v>
      </c>
      <c r="E13148" s="111" t="str">
        <f t="shared" si="13146"/>
        <v>Yukon</v>
      </c>
    </row>
    <row r="13149" spans="1:5">
      <c r="A13149" s="3" t="s">
        <v>16930</v>
      </c>
      <c r="B13149" s="110" t="s">
        <v>1363</v>
      </c>
      <c r="C13149" s="111" t="s">
        <v>16931</v>
      </c>
      <c r="D13149" s="111" t="str">
        <f t="shared" ref="D13149:E13149" si="13147">TRIM(B13149)</f>
        <v>Oregon</v>
      </c>
      <c r="E13149" s="111" t="str">
        <f t="shared" si="13147"/>
        <v>Adrian</v>
      </c>
    </row>
    <row r="13150" spans="1:5">
      <c r="A13150" s="3" t="s">
        <v>3921</v>
      </c>
      <c r="B13150" s="110" t="s">
        <v>1363</v>
      </c>
      <c r="C13150" s="111" t="s">
        <v>182</v>
      </c>
      <c r="D13150" s="111" t="str">
        <f t="shared" ref="D13150:E13150" si="13148">TRIM(B13150)</f>
        <v>Oregon</v>
      </c>
      <c r="E13150" s="111" t="str">
        <f t="shared" si="13148"/>
        <v>Albany</v>
      </c>
    </row>
    <row r="13151" spans="1:5">
      <c r="A13151" s="3" t="s">
        <v>24200</v>
      </c>
      <c r="B13151" s="110" t="s">
        <v>1363</v>
      </c>
      <c r="C13151" s="111" t="s">
        <v>182</v>
      </c>
      <c r="D13151" s="111" t="str">
        <f t="shared" ref="D13151:E13151" si="13149">TRIM(B13151)</f>
        <v>Oregon</v>
      </c>
      <c r="E13151" s="111" t="str">
        <f t="shared" si="13149"/>
        <v>Albany</v>
      </c>
    </row>
    <row r="13152" spans="1:5">
      <c r="A13152" s="3" t="s">
        <v>24201</v>
      </c>
      <c r="B13152" s="110" t="s">
        <v>1363</v>
      </c>
      <c r="C13152" s="111" t="s">
        <v>182</v>
      </c>
      <c r="D13152" s="111" t="str">
        <f t="shared" ref="D13152:E13152" si="13150">TRIM(B13152)</f>
        <v>Oregon</v>
      </c>
      <c r="E13152" s="111" t="str">
        <f t="shared" si="13150"/>
        <v>Albany</v>
      </c>
    </row>
    <row r="13153" spans="1:5">
      <c r="A13153" s="3" t="s">
        <v>24202</v>
      </c>
      <c r="B13153" s="110" t="s">
        <v>1363</v>
      </c>
      <c r="C13153" s="111" t="s">
        <v>182</v>
      </c>
      <c r="D13153" s="111" t="str">
        <f t="shared" ref="D13153:E13153" si="13151">TRIM(B13153)</f>
        <v>Oregon</v>
      </c>
      <c r="E13153" s="111" t="str">
        <f t="shared" si="13151"/>
        <v>Albany</v>
      </c>
    </row>
    <row r="13154" spans="1:5">
      <c r="A13154" s="3" t="s">
        <v>24203</v>
      </c>
      <c r="B13154" s="110" t="s">
        <v>1363</v>
      </c>
      <c r="C13154" s="112" t="s">
        <v>3558</v>
      </c>
      <c r="D13154" s="111" t="str">
        <f t="shared" ref="D13154:E13154" si="13152">TRIM(B13154)</f>
        <v>Oregon</v>
      </c>
      <c r="E13154" s="111" t="str">
        <f t="shared" si="13152"/>
        <v>Amity</v>
      </c>
    </row>
    <row r="13155" spans="1:5">
      <c r="A13155" s="3" t="s">
        <v>15164</v>
      </c>
      <c r="B13155" s="110" t="s">
        <v>1363</v>
      </c>
      <c r="C13155" s="111" t="s">
        <v>10817</v>
      </c>
      <c r="D13155" s="111" t="str">
        <f t="shared" ref="D13155:E13155" si="13153">TRIM(B13155)</f>
        <v>Oregon</v>
      </c>
      <c r="E13155" s="111" t="str">
        <f t="shared" si="13153"/>
        <v>Ashland</v>
      </c>
    </row>
    <row r="13156" spans="1:5">
      <c r="A13156" s="3" t="s">
        <v>24204</v>
      </c>
      <c r="B13156" s="110" t="s">
        <v>1363</v>
      </c>
      <c r="C13156" s="111" t="s">
        <v>12013</v>
      </c>
      <c r="D13156" s="111" t="str">
        <f t="shared" ref="D13156:E13156" si="13154">TRIM(B13156)</f>
        <v>Oregon</v>
      </c>
      <c r="E13156" s="111" t="str">
        <f t="shared" si="13154"/>
        <v>Astoria</v>
      </c>
    </row>
    <row r="13157" spans="1:5">
      <c r="A13157" s="3" t="s">
        <v>24205</v>
      </c>
      <c r="B13157" s="110" t="s">
        <v>1363</v>
      </c>
      <c r="C13157" s="111" t="s">
        <v>12013</v>
      </c>
      <c r="D13157" s="111" t="str">
        <f t="shared" ref="D13157:E13157" si="13155">TRIM(B13157)</f>
        <v>Oregon</v>
      </c>
      <c r="E13157" s="111" t="str">
        <f t="shared" si="13155"/>
        <v>Astoria</v>
      </c>
    </row>
    <row r="13158" spans="1:5">
      <c r="A13158" s="3" t="s">
        <v>24206</v>
      </c>
      <c r="B13158" s="110" t="s">
        <v>1363</v>
      </c>
      <c r="C13158" s="111" t="s">
        <v>24207</v>
      </c>
      <c r="D13158" s="111" t="str">
        <f t="shared" ref="D13158:E13158" si="13156">TRIM(B13158)</f>
        <v>Oregon</v>
      </c>
      <c r="E13158" s="111" t="str">
        <f t="shared" si="13156"/>
        <v>Athena</v>
      </c>
    </row>
    <row r="13159" spans="1:5">
      <c r="A13159" s="3" t="s">
        <v>9053</v>
      </c>
      <c r="B13159" s="110" t="s">
        <v>1363</v>
      </c>
      <c r="C13159" s="111" t="s">
        <v>353</v>
      </c>
      <c r="D13159" s="111" t="str">
        <f t="shared" ref="D13159:E13159" si="13157">TRIM(B13159)</f>
        <v>Oregon</v>
      </c>
      <c r="E13159" s="111" t="str">
        <f t="shared" si="13157"/>
        <v>Aurora</v>
      </c>
    </row>
    <row r="13160" spans="1:5">
      <c r="A13160" s="110" t="s">
        <v>24208</v>
      </c>
      <c r="B13160" s="110" t="s">
        <v>1363</v>
      </c>
      <c r="C13160" s="111" t="s">
        <v>24209</v>
      </c>
      <c r="D13160" s="111" t="str">
        <f t="shared" ref="D13160:E13160" si="13158">TRIM(B13160)</f>
        <v>Oregon</v>
      </c>
      <c r="E13160" s="111" t="str">
        <f t="shared" si="13158"/>
        <v>Baker City</v>
      </c>
    </row>
    <row r="13161" spans="1:5">
      <c r="A13161" s="3" t="s">
        <v>1961</v>
      </c>
      <c r="B13161" s="110" t="s">
        <v>1363</v>
      </c>
      <c r="C13161" s="111" t="s">
        <v>24209</v>
      </c>
      <c r="D13161" s="111" t="str">
        <f t="shared" ref="D13161:E13161" si="13159">TRIM(B13161)</f>
        <v>Oregon</v>
      </c>
      <c r="E13161" s="111" t="str">
        <f t="shared" si="13159"/>
        <v>Baker City</v>
      </c>
    </row>
    <row r="13162" spans="1:5">
      <c r="A13162" s="3" t="s">
        <v>24210</v>
      </c>
      <c r="B13162" s="110" t="s">
        <v>1363</v>
      </c>
      <c r="C13162" s="111" t="s">
        <v>24211</v>
      </c>
      <c r="D13162" s="111" t="str">
        <f t="shared" ref="D13162:E13162" si="13160">TRIM(B13162)</f>
        <v>Oregon</v>
      </c>
      <c r="E13162" s="111" t="str">
        <f t="shared" si="13160"/>
        <v>Bandon</v>
      </c>
    </row>
    <row r="13163" spans="1:5">
      <c r="A13163" s="3" t="s">
        <v>24212</v>
      </c>
      <c r="B13163" s="110" t="s">
        <v>1363</v>
      </c>
      <c r="C13163" s="111" t="s">
        <v>24213</v>
      </c>
      <c r="D13163" s="111" t="str">
        <f t="shared" ref="D13163:E13163" si="13161">TRIM(B13163)</f>
        <v>Oregon</v>
      </c>
      <c r="E13163" s="111" t="str">
        <f t="shared" si="13161"/>
        <v>Banks</v>
      </c>
    </row>
    <row r="13164" spans="1:5">
      <c r="A13164" s="3" t="s">
        <v>24214</v>
      </c>
      <c r="B13164" s="110" t="s">
        <v>1363</v>
      </c>
      <c r="C13164" s="111" t="s">
        <v>16968</v>
      </c>
      <c r="D13164" s="111" t="str">
        <f t="shared" ref="D13164:E13164" si="13162">TRIM(B13164)</f>
        <v>Oregon</v>
      </c>
      <c r="E13164" s="111" t="str">
        <f t="shared" si="13162"/>
        <v>Beaverton</v>
      </c>
    </row>
    <row r="13165" spans="1:5">
      <c r="A13165" s="3" t="s">
        <v>24215</v>
      </c>
      <c r="B13165" s="110" t="s">
        <v>1363</v>
      </c>
      <c r="C13165" s="111" t="s">
        <v>16968</v>
      </c>
      <c r="D13165" s="111" t="str">
        <f t="shared" ref="D13165:E13165" si="13163">TRIM(B13165)</f>
        <v>Oregon</v>
      </c>
      <c r="E13165" s="111" t="str">
        <f t="shared" si="13163"/>
        <v>Beaverton</v>
      </c>
    </row>
    <row r="13166" spans="1:5">
      <c r="A13166" s="3" t="s">
        <v>24216</v>
      </c>
      <c r="B13166" s="110" t="s">
        <v>1363</v>
      </c>
      <c r="C13166" s="111" t="s">
        <v>16968</v>
      </c>
      <c r="D13166" s="111" t="str">
        <f t="shared" ref="D13166:E13166" si="13164">TRIM(B13166)</f>
        <v>Oregon</v>
      </c>
      <c r="E13166" s="111" t="str">
        <f t="shared" si="13164"/>
        <v>Beaverton</v>
      </c>
    </row>
    <row r="13167" spans="1:5">
      <c r="A13167" s="110" t="s">
        <v>24217</v>
      </c>
      <c r="B13167" s="110" t="s">
        <v>1363</v>
      </c>
      <c r="C13167" s="111" t="s">
        <v>16968</v>
      </c>
      <c r="D13167" s="111" t="str">
        <f t="shared" ref="D13167:E13167" si="13165">TRIM(B13167)</f>
        <v>Oregon</v>
      </c>
      <c r="E13167" s="111" t="str">
        <f t="shared" si="13165"/>
        <v>Beaverton</v>
      </c>
    </row>
    <row r="13168" spans="1:5">
      <c r="A13168" s="110" t="s">
        <v>24218</v>
      </c>
      <c r="B13168" s="110" t="s">
        <v>1363</v>
      </c>
      <c r="C13168" s="111" t="s">
        <v>16968</v>
      </c>
      <c r="D13168" s="111" t="str">
        <f t="shared" ref="D13168:E13168" si="13166">TRIM(B13168)</f>
        <v>Oregon</v>
      </c>
      <c r="E13168" s="111" t="str">
        <f t="shared" si="13166"/>
        <v>Beaverton</v>
      </c>
    </row>
    <row r="13169" spans="1:5">
      <c r="A13169" s="3" t="s">
        <v>24219</v>
      </c>
      <c r="B13169" s="110" t="s">
        <v>1363</v>
      </c>
      <c r="C13169" s="111" t="s">
        <v>16968</v>
      </c>
      <c r="D13169" s="111" t="str">
        <f t="shared" ref="D13169:E13169" si="13167">TRIM(B13169)</f>
        <v>Oregon</v>
      </c>
      <c r="E13169" s="111" t="str">
        <f t="shared" si="13167"/>
        <v>Beaverton</v>
      </c>
    </row>
    <row r="13170" spans="1:5">
      <c r="A13170" s="110" t="s">
        <v>24220</v>
      </c>
      <c r="B13170" s="110" t="s">
        <v>1363</v>
      </c>
      <c r="C13170" s="111" t="s">
        <v>16968</v>
      </c>
      <c r="D13170" s="111" t="str">
        <f t="shared" ref="D13170:E13170" si="13168">TRIM(B13170)</f>
        <v>Oregon</v>
      </c>
      <c r="E13170" s="111" t="str">
        <f t="shared" si="13168"/>
        <v>Beaverton</v>
      </c>
    </row>
    <row r="13171" spans="1:5">
      <c r="A13171" s="3" t="s">
        <v>14396</v>
      </c>
      <c r="B13171" s="110" t="s">
        <v>1363</v>
      </c>
      <c r="C13171" s="111" t="s">
        <v>16968</v>
      </c>
      <c r="D13171" s="111" t="str">
        <f t="shared" ref="D13171:E13171" si="13169">TRIM(B13171)</f>
        <v>Oregon</v>
      </c>
      <c r="E13171" s="111" t="str">
        <f t="shared" si="13169"/>
        <v>Beaverton</v>
      </c>
    </row>
    <row r="13172" spans="1:5">
      <c r="A13172" s="3" t="s">
        <v>24221</v>
      </c>
      <c r="B13172" s="110" t="s">
        <v>1363</v>
      </c>
      <c r="C13172" s="111" t="s">
        <v>12931</v>
      </c>
      <c r="D13172" s="111" t="str">
        <f t="shared" ref="D13172:E13172" si="13170">TRIM(B13172)</f>
        <v>Oregon</v>
      </c>
      <c r="E13172" s="111" t="str">
        <f t="shared" si="13170"/>
        <v>Bend</v>
      </c>
    </row>
    <row r="13173" spans="1:5">
      <c r="A13173" s="3" t="s">
        <v>24222</v>
      </c>
      <c r="B13173" s="110" t="s">
        <v>1363</v>
      </c>
      <c r="C13173" s="111" t="s">
        <v>12931</v>
      </c>
      <c r="D13173" s="111" t="str">
        <f t="shared" ref="D13173:E13173" si="13171">TRIM(B13173)</f>
        <v>Oregon</v>
      </c>
      <c r="E13173" s="111" t="str">
        <f t="shared" si="13171"/>
        <v>Bend</v>
      </c>
    </row>
    <row r="13174" spans="1:5">
      <c r="A13174" s="3" t="s">
        <v>2617</v>
      </c>
      <c r="B13174" s="110" t="s">
        <v>1363</v>
      </c>
      <c r="C13174" s="111" t="s">
        <v>12931</v>
      </c>
      <c r="D13174" s="111" t="str">
        <f t="shared" ref="D13174:E13174" si="13172">TRIM(B13174)</f>
        <v>Oregon</v>
      </c>
      <c r="E13174" s="111" t="str">
        <f t="shared" si="13172"/>
        <v>Bend</v>
      </c>
    </row>
    <row r="13175" spans="1:5">
      <c r="A13175" s="3" t="s">
        <v>24223</v>
      </c>
      <c r="B13175" s="110" t="s">
        <v>1363</v>
      </c>
      <c r="C13175" s="111" t="s">
        <v>24224</v>
      </c>
      <c r="D13175" s="111" t="str">
        <f t="shared" ref="D13175:E13175" si="13173">TRIM(B13175)</f>
        <v>Oregon</v>
      </c>
      <c r="E13175" s="111" t="str">
        <f t="shared" si="13173"/>
        <v>Boardman</v>
      </c>
    </row>
    <row r="13176" spans="1:5">
      <c r="A13176" s="3" t="s">
        <v>24225</v>
      </c>
      <c r="B13176" s="110" t="s">
        <v>1363</v>
      </c>
      <c r="C13176" s="111" t="s">
        <v>24226</v>
      </c>
      <c r="D13176" s="111" t="str">
        <f t="shared" ref="D13176:E13176" si="13174">TRIM(B13176)</f>
        <v>Oregon</v>
      </c>
      <c r="E13176" s="111" t="str">
        <f t="shared" si="13174"/>
        <v>Bonanza</v>
      </c>
    </row>
    <row r="13177" spans="1:5">
      <c r="A13177" s="3" t="s">
        <v>24227</v>
      </c>
      <c r="B13177" s="110" t="s">
        <v>1363</v>
      </c>
      <c r="C13177" s="111" t="s">
        <v>24228</v>
      </c>
      <c r="D13177" s="111" t="str">
        <f t="shared" ref="D13177:E13177" si="13175">TRIM(B13177)</f>
        <v>Oregon</v>
      </c>
      <c r="E13177" s="111" t="str">
        <f t="shared" si="13175"/>
        <v>Brookings</v>
      </c>
    </row>
    <row r="13178" spans="1:5">
      <c r="A13178" s="3" t="s">
        <v>22275</v>
      </c>
      <c r="B13178" s="110" t="s">
        <v>1363</v>
      </c>
      <c r="C13178" s="111" t="s">
        <v>24229</v>
      </c>
      <c r="D13178" s="111" t="str">
        <f t="shared" ref="D13178:E13178" si="13176">TRIM(B13178)</f>
        <v>Oregon</v>
      </c>
      <c r="E13178" s="111" t="str">
        <f t="shared" si="13176"/>
        <v>Burns</v>
      </c>
    </row>
    <row r="13179" spans="1:5">
      <c r="A13179" s="110" t="s">
        <v>24230</v>
      </c>
      <c r="B13179" s="110" t="s">
        <v>1363</v>
      </c>
      <c r="C13179" s="111" t="s">
        <v>24229</v>
      </c>
      <c r="D13179" s="111" t="str">
        <f t="shared" ref="D13179:E13179" si="13177">TRIM(B13179)</f>
        <v>Oregon</v>
      </c>
      <c r="E13179" s="111" t="str">
        <f t="shared" si="13177"/>
        <v>Burns</v>
      </c>
    </row>
    <row r="13180" spans="1:5">
      <c r="A13180" s="3" t="s">
        <v>24231</v>
      </c>
      <c r="B13180" s="110" t="s">
        <v>1363</v>
      </c>
      <c r="C13180" s="111" t="s">
        <v>17792</v>
      </c>
      <c r="D13180" s="111" t="str">
        <f t="shared" ref="D13180:E13180" si="13178">TRIM(B13180)</f>
        <v>Oregon</v>
      </c>
      <c r="E13180" s="111" t="str">
        <f t="shared" si="13178"/>
        <v>Canby</v>
      </c>
    </row>
    <row r="13181" spans="1:5">
      <c r="A13181" s="3" t="s">
        <v>24232</v>
      </c>
      <c r="B13181" s="110" t="s">
        <v>1363</v>
      </c>
      <c r="C13181" s="111" t="s">
        <v>24233</v>
      </c>
      <c r="D13181" s="111" t="str">
        <f t="shared" ref="D13181:E13181" si="13179">TRIM(B13181)</f>
        <v>Oregon</v>
      </c>
      <c r="E13181" s="111" t="str">
        <f t="shared" si="13179"/>
        <v>Cave Junction</v>
      </c>
    </row>
    <row r="13182" spans="1:5">
      <c r="A13182" s="3" t="s">
        <v>24234</v>
      </c>
      <c r="B13182" s="110" t="s">
        <v>1363</v>
      </c>
      <c r="C13182" s="111" t="s">
        <v>414</v>
      </c>
      <c r="D13182" s="111" t="str">
        <f t="shared" ref="D13182:E13182" si="13180">TRIM(B13182)</f>
        <v>Oregon</v>
      </c>
      <c r="E13182" s="111" t="str">
        <f t="shared" si="13180"/>
        <v>Central Point</v>
      </c>
    </row>
    <row r="13183" spans="1:5">
      <c r="A13183" s="3" t="s">
        <v>24235</v>
      </c>
      <c r="B13183" s="110" t="s">
        <v>1363</v>
      </c>
      <c r="C13183" s="111" t="s">
        <v>414</v>
      </c>
      <c r="D13183" s="111" t="str">
        <f t="shared" ref="D13183:E13183" si="13181">TRIM(B13183)</f>
        <v>Oregon</v>
      </c>
      <c r="E13183" s="111" t="str">
        <f t="shared" si="13181"/>
        <v>Central Point</v>
      </c>
    </row>
    <row r="13184" spans="1:5">
      <c r="A13184" s="110" t="s">
        <v>24236</v>
      </c>
      <c r="B13184" s="110" t="s">
        <v>1363</v>
      </c>
      <c r="C13184" s="111" t="s">
        <v>414</v>
      </c>
      <c r="D13184" s="111" t="str">
        <f t="shared" ref="D13184:E13184" si="13182">TRIM(B13184)</f>
        <v>Oregon</v>
      </c>
      <c r="E13184" s="111" t="str">
        <f t="shared" si="13182"/>
        <v>Central Point</v>
      </c>
    </row>
    <row r="13185" spans="1:5">
      <c r="A13185" s="3" t="s">
        <v>24237</v>
      </c>
      <c r="B13185" s="110" t="s">
        <v>1363</v>
      </c>
      <c r="C13185" s="111" t="s">
        <v>24238</v>
      </c>
      <c r="D13185" s="111" t="str">
        <f t="shared" ref="D13185:E13185" si="13183">TRIM(B13185)</f>
        <v>Oregon</v>
      </c>
      <c r="E13185" s="111" t="str">
        <f t="shared" si="13183"/>
        <v>Chiloquin</v>
      </c>
    </row>
    <row r="13186" spans="1:5">
      <c r="A13186" s="3" t="s">
        <v>24239</v>
      </c>
      <c r="B13186" s="110" t="s">
        <v>1363</v>
      </c>
      <c r="C13186" s="111" t="s">
        <v>3879</v>
      </c>
      <c r="D13186" s="111" t="str">
        <f t="shared" ref="D13186:E13186" si="13184">TRIM(B13186)</f>
        <v>Oregon</v>
      </c>
      <c r="E13186" s="111" t="str">
        <f t="shared" si="13184"/>
        <v>Clackamas</v>
      </c>
    </row>
    <row r="13187" spans="1:5">
      <c r="A13187" s="3" t="s">
        <v>24240</v>
      </c>
      <c r="B13187" s="110" t="s">
        <v>1363</v>
      </c>
      <c r="C13187" s="111" t="s">
        <v>24241</v>
      </c>
      <c r="D13187" s="111" t="str">
        <f t="shared" ref="D13187:E13187" si="13185">TRIM(B13187)</f>
        <v>Oregon</v>
      </c>
      <c r="E13187" s="111" t="str">
        <f t="shared" si="13185"/>
        <v>Clatskanie</v>
      </c>
    </row>
    <row r="13188" spans="1:5">
      <c r="A13188" s="3" t="s">
        <v>24242</v>
      </c>
      <c r="B13188" s="110" t="s">
        <v>1363</v>
      </c>
      <c r="C13188" s="111" t="s">
        <v>4699</v>
      </c>
      <c r="D13188" s="111" t="str">
        <f t="shared" ref="D13188:E13188" si="13186">TRIM(B13188)</f>
        <v>Oregon</v>
      </c>
      <c r="E13188" s="111" t="str">
        <f t="shared" si="13186"/>
        <v>Cloverdale</v>
      </c>
    </row>
    <row r="13189" spans="1:5">
      <c r="A13189" s="3" t="s">
        <v>4720</v>
      </c>
      <c r="B13189" s="110" t="s">
        <v>1363</v>
      </c>
      <c r="C13189" s="111" t="s">
        <v>4721</v>
      </c>
      <c r="D13189" s="111" t="str">
        <f t="shared" ref="D13189:E13189" si="13187">TRIM(B13189)</f>
        <v>Oregon</v>
      </c>
      <c r="E13189" s="111" t="str">
        <f t="shared" si="13187"/>
        <v>Colton</v>
      </c>
    </row>
    <row r="13190" spans="1:5">
      <c r="A13190" s="3" t="s">
        <v>24243</v>
      </c>
      <c r="B13190" s="110" t="s">
        <v>1363</v>
      </c>
      <c r="C13190" s="111" t="s">
        <v>24244</v>
      </c>
      <c r="D13190" s="111" t="str">
        <f t="shared" ref="D13190:E13190" si="13188">TRIM(B13190)</f>
        <v>Oregon</v>
      </c>
      <c r="E13190" s="111" t="str">
        <f t="shared" si="13188"/>
        <v>Condon</v>
      </c>
    </row>
    <row r="13191" spans="1:5">
      <c r="A13191" s="3" t="s">
        <v>24245</v>
      </c>
      <c r="B13191" s="110" t="s">
        <v>1363</v>
      </c>
      <c r="C13191" s="111" t="s">
        <v>24246</v>
      </c>
      <c r="D13191" s="111" t="str">
        <f t="shared" ref="D13191:E13191" si="13189">TRIM(B13191)</f>
        <v>Oregon</v>
      </c>
      <c r="E13191" s="111" t="str">
        <f t="shared" si="13189"/>
        <v>Coos Bay</v>
      </c>
    </row>
    <row r="13192" spans="1:5">
      <c r="A13192" s="3" t="s">
        <v>24247</v>
      </c>
      <c r="B13192" s="110" t="s">
        <v>1363</v>
      </c>
      <c r="C13192" s="111" t="s">
        <v>24248</v>
      </c>
      <c r="D13192" s="111" t="str">
        <f t="shared" ref="D13192:E13192" si="13190">TRIM(B13192)</f>
        <v>Oregon</v>
      </c>
      <c r="E13192" s="111" t="str">
        <f t="shared" si="13190"/>
        <v>Coquille</v>
      </c>
    </row>
    <row r="13193" spans="1:5">
      <c r="A13193" s="3" t="s">
        <v>19294</v>
      </c>
      <c r="B13193" s="110" t="s">
        <v>1363</v>
      </c>
      <c r="C13193" s="111" t="s">
        <v>310</v>
      </c>
      <c r="D13193" s="111" t="str">
        <f t="shared" ref="D13193:E13193" si="13191">TRIM(B13193)</f>
        <v>Oregon</v>
      </c>
      <c r="E13193" s="111" t="str">
        <f t="shared" si="13191"/>
        <v>Corvallis</v>
      </c>
    </row>
    <row r="13194" spans="1:5">
      <c r="A13194" s="3" t="s">
        <v>24249</v>
      </c>
      <c r="B13194" s="110" t="s">
        <v>1363</v>
      </c>
      <c r="C13194" s="111" t="s">
        <v>310</v>
      </c>
      <c r="D13194" s="111" t="str">
        <f t="shared" ref="D13194:E13194" si="13192">TRIM(B13194)</f>
        <v>Oregon</v>
      </c>
      <c r="E13194" s="111" t="str">
        <f t="shared" si="13192"/>
        <v>Corvallis</v>
      </c>
    </row>
    <row r="13195" spans="1:5">
      <c r="A13195" s="3" t="s">
        <v>24250</v>
      </c>
      <c r="B13195" s="110" t="s">
        <v>1363</v>
      </c>
      <c r="C13195" s="111" t="s">
        <v>17834</v>
      </c>
      <c r="D13195" s="111" t="str">
        <f t="shared" ref="D13195:E13195" si="13193">TRIM(B13195)</f>
        <v>Oregon</v>
      </c>
      <c r="E13195" s="111" t="str">
        <f t="shared" si="13193"/>
        <v>Cottage Grove</v>
      </c>
    </row>
    <row r="13196" spans="1:5">
      <c r="A13196" s="3" t="s">
        <v>24251</v>
      </c>
      <c r="B13196" s="110" t="s">
        <v>1363</v>
      </c>
      <c r="C13196" s="111" t="s">
        <v>18720</v>
      </c>
      <c r="D13196" s="111" t="str">
        <f t="shared" ref="D13196:E13196" si="13194">TRIM(B13196)</f>
        <v>Oregon</v>
      </c>
      <c r="E13196" s="111" t="str">
        <f t="shared" si="13194"/>
        <v>Crane</v>
      </c>
    </row>
    <row r="13197" spans="1:5">
      <c r="A13197" s="3" t="s">
        <v>24252</v>
      </c>
      <c r="B13197" s="110" t="s">
        <v>1363</v>
      </c>
      <c r="C13197" s="111" t="s">
        <v>24253</v>
      </c>
      <c r="D13197" s="111" t="str">
        <f t="shared" ref="D13197:E13197" si="13195">TRIM(B13197)</f>
        <v>Oregon</v>
      </c>
      <c r="E13197" s="111" t="str">
        <f t="shared" si="13195"/>
        <v>Creswell</v>
      </c>
    </row>
    <row r="13198" spans="1:5">
      <c r="A13198" s="3" t="s">
        <v>24254</v>
      </c>
      <c r="B13198" s="110" t="s">
        <v>1363</v>
      </c>
      <c r="C13198" s="111" t="s">
        <v>10681</v>
      </c>
      <c r="D13198" s="111" t="str">
        <f t="shared" ref="D13198:E13198" si="13196">TRIM(B13198)</f>
        <v>Oregon</v>
      </c>
      <c r="E13198" s="111" t="str">
        <f t="shared" si="13196"/>
        <v>Culver</v>
      </c>
    </row>
    <row r="13199" spans="1:5">
      <c r="A13199" s="3" t="s">
        <v>24255</v>
      </c>
      <c r="B13199" s="110" t="s">
        <v>1363</v>
      </c>
      <c r="C13199" s="111" t="s">
        <v>252</v>
      </c>
      <c r="D13199" s="111" t="str">
        <f t="shared" ref="D13199:E13199" si="13197">TRIM(B13199)</f>
        <v>Oregon</v>
      </c>
      <c r="E13199" s="111" t="str">
        <f t="shared" si="13197"/>
        <v>Dallas</v>
      </c>
    </row>
    <row r="13200" spans="1:5">
      <c r="A13200" s="3" t="s">
        <v>15664</v>
      </c>
      <c r="B13200" s="110" t="s">
        <v>1363</v>
      </c>
      <c r="C13200" s="111" t="s">
        <v>568</v>
      </c>
      <c r="D13200" s="111" t="str">
        <f t="shared" ref="D13200:E13200" si="13198">TRIM(B13200)</f>
        <v>Oregon</v>
      </c>
      <c r="E13200" s="111" t="str">
        <f t="shared" si="13198"/>
        <v>Dayton</v>
      </c>
    </row>
    <row r="13201" spans="1:5">
      <c r="A13201" s="110" t="s">
        <v>24256</v>
      </c>
      <c r="B13201" s="110" t="s">
        <v>1363</v>
      </c>
      <c r="C13201" s="111" t="s">
        <v>24257</v>
      </c>
      <c r="D13201" s="111" t="str">
        <f t="shared" ref="D13201:E13201" si="13199">TRIM(B13201)</f>
        <v>Oregon</v>
      </c>
      <c r="E13201" s="111" t="str">
        <f t="shared" si="13199"/>
        <v>Dorena</v>
      </c>
    </row>
    <row r="13202" spans="1:5">
      <c r="A13202" s="3" t="s">
        <v>24258</v>
      </c>
      <c r="B13202" s="110" t="s">
        <v>1363</v>
      </c>
      <c r="C13202" s="111" t="s">
        <v>24259</v>
      </c>
      <c r="D13202" s="111" t="str">
        <f t="shared" ref="D13202:E13202" si="13200">TRIM(B13202)</f>
        <v>Oregon</v>
      </c>
      <c r="E13202" s="111" t="str">
        <f t="shared" si="13200"/>
        <v>Drain</v>
      </c>
    </row>
    <row r="13203" spans="1:5">
      <c r="A13203" s="3" t="s">
        <v>24260</v>
      </c>
      <c r="B13203" s="110" t="s">
        <v>1363</v>
      </c>
      <c r="C13203" s="111" t="s">
        <v>24261</v>
      </c>
      <c r="D13203" s="111" t="str">
        <f t="shared" ref="D13203:E13203" si="13201">TRIM(B13203)</f>
        <v>Oregon</v>
      </c>
      <c r="E13203" s="111" t="str">
        <f t="shared" si="13201"/>
        <v>Eagle Point</v>
      </c>
    </row>
    <row r="13204" spans="1:5">
      <c r="A13204" s="3" t="s">
        <v>12848</v>
      </c>
      <c r="B13204" s="110" t="s">
        <v>1363</v>
      </c>
      <c r="C13204" s="111" t="s">
        <v>12846</v>
      </c>
      <c r="D13204" s="111" t="str">
        <f t="shared" ref="D13204:E13204" si="13202">TRIM(B13204)</f>
        <v>Oregon</v>
      </c>
      <c r="E13204" s="111" t="str">
        <f t="shared" si="13202"/>
        <v>Elgin</v>
      </c>
    </row>
    <row r="13205" spans="1:5">
      <c r="A13205" s="3" t="s">
        <v>21191</v>
      </c>
      <c r="B13205" s="110" t="s">
        <v>1363</v>
      </c>
      <c r="C13205" s="112" t="s">
        <v>21192</v>
      </c>
      <c r="D13205" s="111" t="str">
        <f t="shared" ref="D13205:E13205" si="13203">TRIM(B13205)</f>
        <v>Oregon</v>
      </c>
      <c r="E13205" s="111" t="str">
        <f t="shared" si="13203"/>
        <v>Elmira</v>
      </c>
    </row>
    <row r="13206" spans="1:5">
      <c r="A13206" s="3" t="s">
        <v>1727</v>
      </c>
      <c r="B13206" s="110" t="s">
        <v>1363</v>
      </c>
      <c r="C13206" s="111" t="s">
        <v>1728</v>
      </c>
      <c r="D13206" s="111" t="str">
        <f t="shared" ref="D13206:E13206" si="13204">TRIM(B13206)</f>
        <v>Oregon</v>
      </c>
      <c r="E13206" s="111" t="str">
        <f t="shared" si="13204"/>
        <v>Enterprise</v>
      </c>
    </row>
    <row r="13207" spans="1:5">
      <c r="A13207" s="3" t="s">
        <v>24262</v>
      </c>
      <c r="B13207" s="110" t="s">
        <v>1363</v>
      </c>
      <c r="C13207" s="111" t="s">
        <v>24263</v>
      </c>
      <c r="D13207" s="111" t="str">
        <f t="shared" ref="D13207:E13207" si="13205">TRIM(B13207)</f>
        <v>Oregon</v>
      </c>
      <c r="E13207" s="111" t="str">
        <f t="shared" si="13205"/>
        <v>Estacada</v>
      </c>
    </row>
    <row r="13208" spans="1:5">
      <c r="A13208" s="3" t="s">
        <v>24264</v>
      </c>
      <c r="B13208" s="110" t="s">
        <v>1363</v>
      </c>
      <c r="C13208" s="111" t="s">
        <v>24263</v>
      </c>
      <c r="D13208" s="111" t="str">
        <f t="shared" ref="D13208:E13208" si="13206">TRIM(B13208)</f>
        <v>Oregon</v>
      </c>
      <c r="E13208" s="111" t="str">
        <f t="shared" si="13206"/>
        <v>Estacada</v>
      </c>
    </row>
    <row r="13209" spans="1:5">
      <c r="A13209" s="3" t="s">
        <v>17371</v>
      </c>
      <c r="B13209" s="110" t="s">
        <v>1363</v>
      </c>
      <c r="C13209" s="111" t="s">
        <v>265</v>
      </c>
      <c r="D13209" s="111" t="str">
        <f t="shared" ref="D13209:E13209" si="13207">TRIM(B13209)</f>
        <v>Oregon</v>
      </c>
      <c r="E13209" s="111" t="str">
        <f t="shared" si="13207"/>
        <v>Eugene</v>
      </c>
    </row>
    <row r="13210" spans="1:5">
      <c r="A13210" s="3" t="s">
        <v>24265</v>
      </c>
      <c r="B13210" s="110" t="s">
        <v>1363</v>
      </c>
      <c r="C13210" s="111" t="s">
        <v>265</v>
      </c>
      <c r="D13210" s="111" t="str">
        <f t="shared" ref="D13210:E13210" si="13208">TRIM(B13210)</f>
        <v>Oregon</v>
      </c>
      <c r="E13210" s="111" t="str">
        <f t="shared" si="13208"/>
        <v>Eugene</v>
      </c>
    </row>
    <row r="13211" spans="1:5">
      <c r="A13211" s="110" t="s">
        <v>24266</v>
      </c>
      <c r="B13211" s="110" t="s">
        <v>1363</v>
      </c>
      <c r="C13211" s="111" t="s">
        <v>265</v>
      </c>
      <c r="D13211" s="111" t="str">
        <f t="shared" ref="D13211:E13211" si="13209">TRIM(B13211)</f>
        <v>Oregon</v>
      </c>
      <c r="E13211" s="111" t="str">
        <f t="shared" si="13209"/>
        <v>Eugene</v>
      </c>
    </row>
    <row r="13212" spans="1:5">
      <c r="A13212" s="3" t="s">
        <v>24267</v>
      </c>
      <c r="B13212" s="110" t="s">
        <v>1363</v>
      </c>
      <c r="C13212" s="111" t="s">
        <v>265</v>
      </c>
      <c r="D13212" s="111" t="str">
        <f t="shared" ref="D13212:E13212" si="13210">TRIM(B13212)</f>
        <v>Oregon</v>
      </c>
      <c r="E13212" s="111" t="str">
        <f t="shared" si="13210"/>
        <v>Eugene</v>
      </c>
    </row>
    <row r="13213" spans="1:5">
      <c r="A13213" s="3" t="s">
        <v>6662</v>
      </c>
      <c r="B13213" s="110" t="s">
        <v>1363</v>
      </c>
      <c r="C13213" s="111" t="s">
        <v>265</v>
      </c>
      <c r="D13213" s="111" t="str">
        <f t="shared" ref="D13213:E13213" si="13211">TRIM(B13213)</f>
        <v>Oregon</v>
      </c>
      <c r="E13213" s="111" t="str">
        <f t="shared" si="13211"/>
        <v>Eugene</v>
      </c>
    </row>
    <row r="13214" spans="1:5">
      <c r="A13214" s="3" t="s">
        <v>24268</v>
      </c>
      <c r="B13214" s="110" t="s">
        <v>1363</v>
      </c>
      <c r="C13214" s="111" t="s">
        <v>265</v>
      </c>
      <c r="D13214" s="111" t="str">
        <f t="shared" ref="D13214:E13214" si="13212">TRIM(B13214)</f>
        <v>Oregon</v>
      </c>
      <c r="E13214" s="111" t="str">
        <f t="shared" si="13212"/>
        <v>Eugene</v>
      </c>
    </row>
    <row r="13215" spans="1:5">
      <c r="A13215" s="110" t="s">
        <v>24269</v>
      </c>
      <c r="B13215" s="110" t="s">
        <v>1363</v>
      </c>
      <c r="C13215" s="111" t="s">
        <v>265</v>
      </c>
      <c r="D13215" s="111" t="str">
        <f t="shared" ref="D13215:E13215" si="13213">TRIM(B13215)</f>
        <v>Oregon</v>
      </c>
      <c r="E13215" s="111" t="str">
        <f t="shared" si="13213"/>
        <v>Eugene</v>
      </c>
    </row>
    <row r="13216" spans="1:5">
      <c r="A13216" s="3" t="s">
        <v>24270</v>
      </c>
      <c r="B13216" s="110" t="s">
        <v>1363</v>
      </c>
      <c r="C13216" s="111" t="s">
        <v>265</v>
      </c>
      <c r="D13216" s="111" t="str">
        <f t="shared" ref="D13216:E13216" si="13214">TRIM(B13216)</f>
        <v>Oregon</v>
      </c>
      <c r="E13216" s="111" t="str">
        <f t="shared" si="13214"/>
        <v>Eugene</v>
      </c>
    </row>
    <row r="13217" spans="1:5">
      <c r="A13217" s="3" t="s">
        <v>24271</v>
      </c>
      <c r="B13217" s="110" t="s">
        <v>1363</v>
      </c>
      <c r="C13217" s="111" t="s">
        <v>11913</v>
      </c>
      <c r="D13217" s="111" t="str">
        <f t="shared" ref="D13217:E13217" si="13215">TRIM(B13217)</f>
        <v>Oregon</v>
      </c>
      <c r="E13217" s="111" t="str">
        <f t="shared" si="13215"/>
        <v>Falls City</v>
      </c>
    </row>
    <row r="13218" spans="1:5">
      <c r="A13218" s="3" t="s">
        <v>24272</v>
      </c>
      <c r="B13218" s="110" t="s">
        <v>1363</v>
      </c>
      <c r="C13218" s="111" t="s">
        <v>1756</v>
      </c>
      <c r="D13218" s="111" t="str">
        <f t="shared" ref="D13218:E13218" si="13216">TRIM(B13218)</f>
        <v>Oregon</v>
      </c>
      <c r="E13218" s="111" t="str">
        <f t="shared" si="13216"/>
        <v>Florence</v>
      </c>
    </row>
    <row r="13219" spans="1:5">
      <c r="A13219" s="3" t="s">
        <v>24273</v>
      </c>
      <c r="B13219" s="110" t="s">
        <v>1363</v>
      </c>
      <c r="C13219" s="111" t="s">
        <v>1756</v>
      </c>
      <c r="D13219" s="111" t="str">
        <f t="shared" ref="D13219:E13219" si="13217">TRIM(B13219)</f>
        <v>Oregon</v>
      </c>
      <c r="E13219" s="111" t="str">
        <f t="shared" si="13217"/>
        <v>Florence</v>
      </c>
    </row>
    <row r="13220" spans="1:5">
      <c r="A13220" s="3" t="s">
        <v>24274</v>
      </c>
      <c r="B13220" s="110" t="s">
        <v>1363</v>
      </c>
      <c r="C13220" s="111" t="s">
        <v>24275</v>
      </c>
      <c r="D13220" s="111" t="str">
        <f t="shared" ref="D13220:E13220" si="13218">TRIM(B13220)</f>
        <v>Oregon</v>
      </c>
      <c r="E13220" s="111" t="str">
        <f t="shared" si="13218"/>
        <v>Forest Grove</v>
      </c>
    </row>
    <row r="13221" spans="1:5">
      <c r="A13221" s="3" t="s">
        <v>24276</v>
      </c>
      <c r="B13221" s="110" t="s">
        <v>1363</v>
      </c>
      <c r="C13221" s="111" t="s">
        <v>14362</v>
      </c>
      <c r="D13221" s="111" t="str">
        <f t="shared" ref="D13221:E13221" si="13219">TRIM(B13221)</f>
        <v>Oregon</v>
      </c>
      <c r="E13221" s="111" t="str">
        <f t="shared" si="13219"/>
        <v>Gaston</v>
      </c>
    </row>
    <row r="13222" spans="1:5">
      <c r="A13222" s="3" t="s">
        <v>24277</v>
      </c>
      <c r="B13222" s="110" t="s">
        <v>1363</v>
      </c>
      <c r="C13222" s="111" t="s">
        <v>24278</v>
      </c>
      <c r="D13222" s="111" t="str">
        <f t="shared" ref="D13222:E13222" si="13220">TRIM(B13222)</f>
        <v>Oregon</v>
      </c>
      <c r="E13222" s="111" t="str">
        <f t="shared" si="13220"/>
        <v>Gervais</v>
      </c>
    </row>
    <row r="13223" spans="1:5">
      <c r="A13223" s="3" t="s">
        <v>24279</v>
      </c>
      <c r="B13223" s="110" t="s">
        <v>1363</v>
      </c>
      <c r="C13223" s="111" t="s">
        <v>24280</v>
      </c>
      <c r="D13223" s="111" t="str">
        <f t="shared" ref="D13223:E13223" si="13221">TRIM(B13223)</f>
        <v>Oregon</v>
      </c>
      <c r="E13223" s="111" t="str">
        <f t="shared" si="13221"/>
        <v>Gilchrist</v>
      </c>
    </row>
    <row r="13224" spans="1:5">
      <c r="A13224" s="3" t="s">
        <v>4412</v>
      </c>
      <c r="B13224" s="110" t="s">
        <v>1363</v>
      </c>
      <c r="C13224" s="112" t="s">
        <v>12055</v>
      </c>
      <c r="D13224" s="111" t="str">
        <f t="shared" ref="D13224:E13224" si="13222">TRIM(B13224)</f>
        <v>Oregon</v>
      </c>
      <c r="E13224" s="111" t="str">
        <f t="shared" si="13222"/>
        <v>Gladstone</v>
      </c>
    </row>
    <row r="13225" spans="1:5">
      <c r="A13225" s="110" t="s">
        <v>24281</v>
      </c>
      <c r="B13225" s="110" t="s">
        <v>1363</v>
      </c>
      <c r="C13225" s="111" t="s">
        <v>225</v>
      </c>
      <c r="D13225" s="111" t="str">
        <f t="shared" ref="D13225:E13225" si="13223">TRIM(B13225)</f>
        <v>Oregon</v>
      </c>
      <c r="E13225" s="111" t="str">
        <f t="shared" si="13223"/>
        <v>Glendale</v>
      </c>
    </row>
    <row r="13226" spans="1:5">
      <c r="A13226" s="3" t="s">
        <v>24282</v>
      </c>
      <c r="B13226" s="110" t="s">
        <v>1363</v>
      </c>
      <c r="C13226" s="111" t="s">
        <v>24283</v>
      </c>
      <c r="D13226" s="111" t="str">
        <f t="shared" ref="D13226:E13226" si="13224">TRIM(B13226)</f>
        <v>Oregon</v>
      </c>
      <c r="E13226" s="111" t="str">
        <f t="shared" si="13224"/>
        <v>Glide</v>
      </c>
    </row>
    <row r="13227" spans="1:5">
      <c r="A13227" s="3" t="s">
        <v>24284</v>
      </c>
      <c r="B13227" s="110" t="s">
        <v>1363</v>
      </c>
      <c r="C13227" s="111" t="s">
        <v>24285</v>
      </c>
      <c r="D13227" s="111" t="str">
        <f t="shared" ref="D13227:E13227" si="13225">TRIM(B13227)</f>
        <v>Oregon</v>
      </c>
      <c r="E13227" s="111" t="str">
        <f t="shared" si="13225"/>
        <v>Gold Beach</v>
      </c>
    </row>
    <row r="13228" spans="1:5">
      <c r="A13228" s="3" t="s">
        <v>24286</v>
      </c>
      <c r="B13228" s="110" t="s">
        <v>1363</v>
      </c>
      <c r="C13228" s="111" t="s">
        <v>24287</v>
      </c>
      <c r="D13228" s="111" t="str">
        <f t="shared" ref="D13228:E13228" si="13226">TRIM(B13228)</f>
        <v>Oregon</v>
      </c>
      <c r="E13228" s="111" t="str">
        <f t="shared" si="13226"/>
        <v>Grants Pass</v>
      </c>
    </row>
    <row r="13229" spans="1:5">
      <c r="A13229" s="3" t="s">
        <v>24288</v>
      </c>
      <c r="B13229" s="110" t="s">
        <v>1363</v>
      </c>
      <c r="C13229" s="111" t="s">
        <v>24287</v>
      </c>
      <c r="D13229" s="111" t="str">
        <f t="shared" ref="D13229:E13229" si="13227">TRIM(B13229)</f>
        <v>Oregon</v>
      </c>
      <c r="E13229" s="111" t="str">
        <f t="shared" si="13227"/>
        <v>Grants Pass</v>
      </c>
    </row>
    <row r="13230" spans="1:5">
      <c r="A13230" s="3" t="s">
        <v>24289</v>
      </c>
      <c r="B13230" s="110" t="s">
        <v>1363</v>
      </c>
      <c r="C13230" s="111" t="s">
        <v>24287</v>
      </c>
      <c r="D13230" s="111" t="str">
        <f t="shared" ref="D13230:E13230" si="13228">TRIM(B13230)</f>
        <v>Oregon</v>
      </c>
      <c r="E13230" s="111" t="str">
        <f t="shared" si="13228"/>
        <v>Grants Pass</v>
      </c>
    </row>
    <row r="13231" spans="1:5">
      <c r="A13231" s="3" t="s">
        <v>24290</v>
      </c>
      <c r="B13231" s="110" t="s">
        <v>1363</v>
      </c>
      <c r="C13231" s="111" t="s">
        <v>24287</v>
      </c>
      <c r="D13231" s="111" t="str">
        <f t="shared" ref="D13231:E13231" si="13229">TRIM(B13231)</f>
        <v>Oregon</v>
      </c>
      <c r="E13231" s="111" t="str">
        <f t="shared" si="13229"/>
        <v>Grants Pass</v>
      </c>
    </row>
    <row r="13232" spans="1:5">
      <c r="A13232" s="3" t="s">
        <v>2905</v>
      </c>
      <c r="B13232" s="110" t="s">
        <v>1363</v>
      </c>
      <c r="C13232" s="111" t="s">
        <v>24291</v>
      </c>
      <c r="D13232" s="111" t="str">
        <f t="shared" ref="D13232:E13232" si="13230">TRIM(B13232)</f>
        <v>Oregon</v>
      </c>
      <c r="E13232" s="111" t="str">
        <f t="shared" si="13230"/>
        <v>Gresham</v>
      </c>
    </row>
    <row r="13233" spans="1:5">
      <c r="A13233" s="110" t="s">
        <v>24292</v>
      </c>
      <c r="B13233" s="110" t="s">
        <v>1363</v>
      </c>
      <c r="C13233" s="111" t="s">
        <v>24291</v>
      </c>
      <c r="D13233" s="111" t="str">
        <f t="shared" ref="D13233:E13233" si="13231">TRIM(B13233)</f>
        <v>Oregon</v>
      </c>
      <c r="E13233" s="111" t="str">
        <f t="shared" si="13231"/>
        <v>Gresham</v>
      </c>
    </row>
    <row r="13234" spans="1:5">
      <c r="A13234" s="3" t="s">
        <v>24293</v>
      </c>
      <c r="B13234" s="110" t="s">
        <v>1363</v>
      </c>
      <c r="C13234" s="111" t="s">
        <v>24291</v>
      </c>
      <c r="D13234" s="111" t="str">
        <f t="shared" ref="D13234:E13234" si="13232">TRIM(B13234)</f>
        <v>Oregon</v>
      </c>
      <c r="E13234" s="111" t="str">
        <f t="shared" si="13232"/>
        <v>Gresham</v>
      </c>
    </row>
    <row r="13235" spans="1:5">
      <c r="A13235" s="3" t="s">
        <v>24294</v>
      </c>
      <c r="B13235" s="110" t="s">
        <v>1363</v>
      </c>
      <c r="C13235" s="111" t="s">
        <v>24291</v>
      </c>
      <c r="D13235" s="111" t="str">
        <f t="shared" ref="D13235:E13235" si="13233">TRIM(B13235)</f>
        <v>Oregon</v>
      </c>
      <c r="E13235" s="111" t="str">
        <f t="shared" si="13233"/>
        <v>Gresham</v>
      </c>
    </row>
    <row r="13236" spans="1:5">
      <c r="A13236" s="3" t="s">
        <v>24295</v>
      </c>
      <c r="B13236" s="110" t="s">
        <v>1363</v>
      </c>
      <c r="C13236" s="111" t="s">
        <v>24291</v>
      </c>
      <c r="D13236" s="111" t="str">
        <f t="shared" ref="D13236:E13236" si="13234">TRIM(B13236)</f>
        <v>Oregon</v>
      </c>
      <c r="E13236" s="111" t="str">
        <f t="shared" si="13234"/>
        <v>Gresham</v>
      </c>
    </row>
    <row r="13237" spans="1:5">
      <c r="A13237" s="3" t="s">
        <v>24296</v>
      </c>
      <c r="B13237" s="110" t="s">
        <v>1363</v>
      </c>
      <c r="C13237" s="111" t="s">
        <v>24297</v>
      </c>
      <c r="D13237" s="111" t="str">
        <f t="shared" ref="D13237:E13237" si="13235">TRIM(B13237)</f>
        <v>Oregon</v>
      </c>
      <c r="E13237" s="111" t="str">
        <f t="shared" si="13235"/>
        <v>Halsey</v>
      </c>
    </row>
    <row r="13238" spans="1:5">
      <c r="A13238" s="110" t="s">
        <v>24298</v>
      </c>
      <c r="B13238" s="110" t="s">
        <v>1363</v>
      </c>
      <c r="C13238" s="111" t="s">
        <v>24299</v>
      </c>
      <c r="D13238" s="111" t="str">
        <f t="shared" ref="D13238:E13238" si="13236">TRIM(B13238)</f>
        <v>Oregon</v>
      </c>
      <c r="E13238" s="111" t="str">
        <f t="shared" si="13236"/>
        <v>Happy Valley</v>
      </c>
    </row>
    <row r="13239" spans="1:5">
      <c r="A13239" s="3" t="s">
        <v>13023</v>
      </c>
      <c r="B13239" s="110" t="s">
        <v>1363</v>
      </c>
      <c r="C13239" s="111" t="s">
        <v>3845</v>
      </c>
      <c r="D13239" s="111" t="str">
        <f t="shared" ref="D13239:E13239" si="13237">TRIM(B13239)</f>
        <v>Oregon</v>
      </c>
      <c r="E13239" s="111" t="str">
        <f t="shared" si="13237"/>
        <v>Harrisburg</v>
      </c>
    </row>
    <row r="13240" spans="1:5">
      <c r="A13240" s="3" t="s">
        <v>24300</v>
      </c>
      <c r="B13240" s="110" t="s">
        <v>1363</v>
      </c>
      <c r="C13240" s="111" t="s">
        <v>24301</v>
      </c>
      <c r="D13240" s="111" t="str">
        <f t="shared" ref="D13240:E13240" si="13238">TRIM(B13240)</f>
        <v>Oregon</v>
      </c>
      <c r="E13240" s="111" t="str">
        <f t="shared" si="13238"/>
        <v>Heppner</v>
      </c>
    </row>
    <row r="13241" spans="1:5">
      <c r="A13241" s="3" t="s">
        <v>24302</v>
      </c>
      <c r="B13241" s="110" t="s">
        <v>1363</v>
      </c>
      <c r="C13241" s="111" t="s">
        <v>24303</v>
      </c>
      <c r="D13241" s="111" t="str">
        <f t="shared" ref="D13241:E13241" si="13239">TRIM(B13241)</f>
        <v>Oregon</v>
      </c>
      <c r="E13241" s="111" t="str">
        <f t="shared" si="13239"/>
        <v>Hermiston</v>
      </c>
    </row>
    <row r="13242" spans="1:5">
      <c r="A13242" s="3" t="s">
        <v>7017</v>
      </c>
      <c r="B13242" s="110" t="s">
        <v>1363</v>
      </c>
      <c r="C13242" s="111" t="s">
        <v>13070</v>
      </c>
      <c r="D13242" s="111" t="str">
        <f t="shared" ref="D13242:E13242" si="13240">TRIM(B13242)</f>
        <v>Oregon</v>
      </c>
      <c r="E13242" s="111" t="str">
        <f t="shared" si="13240"/>
        <v>Hillsboro</v>
      </c>
    </row>
    <row r="13243" spans="1:5">
      <c r="A13243" s="3" t="s">
        <v>1779</v>
      </c>
      <c r="B13243" s="110" t="s">
        <v>1363</v>
      </c>
      <c r="C13243" s="111" t="s">
        <v>13070</v>
      </c>
      <c r="D13243" s="111" t="str">
        <f t="shared" ref="D13243:E13243" si="13241">TRIM(B13243)</f>
        <v>Oregon</v>
      </c>
      <c r="E13243" s="111" t="str">
        <f t="shared" si="13241"/>
        <v>Hillsboro</v>
      </c>
    </row>
    <row r="13244" spans="1:5">
      <c r="A13244" s="3" t="s">
        <v>13068</v>
      </c>
      <c r="B13244" s="110" t="s">
        <v>1363</v>
      </c>
      <c r="C13244" s="111" t="s">
        <v>13070</v>
      </c>
      <c r="D13244" s="111" t="str">
        <f t="shared" ref="D13244:E13244" si="13242">TRIM(B13244)</f>
        <v>Oregon</v>
      </c>
      <c r="E13244" s="111" t="str">
        <f t="shared" si="13242"/>
        <v>Hillsboro</v>
      </c>
    </row>
    <row r="13245" spans="1:5">
      <c r="A13245" s="3" t="s">
        <v>2745</v>
      </c>
      <c r="B13245" s="110" t="s">
        <v>1363</v>
      </c>
      <c r="C13245" s="111" t="s">
        <v>13070</v>
      </c>
      <c r="D13245" s="111" t="str">
        <f t="shared" ref="D13245:E13245" si="13243">TRIM(B13245)</f>
        <v>Oregon</v>
      </c>
      <c r="E13245" s="111" t="str">
        <f t="shared" si="13243"/>
        <v>Hillsboro</v>
      </c>
    </row>
    <row r="13246" spans="1:5">
      <c r="A13246" s="3" t="s">
        <v>24304</v>
      </c>
      <c r="B13246" s="110" t="s">
        <v>1363</v>
      </c>
      <c r="C13246" s="111" t="s">
        <v>340</v>
      </c>
      <c r="D13246" s="111" t="str">
        <f t="shared" ref="D13246:E13246" si="13244">TRIM(B13246)</f>
        <v>Oregon</v>
      </c>
      <c r="E13246" s="111" t="str">
        <f t="shared" si="13244"/>
        <v>Hood River</v>
      </c>
    </row>
    <row r="13247" spans="1:5">
      <c r="A13247" s="3" t="s">
        <v>1843</v>
      </c>
      <c r="B13247" s="110" t="s">
        <v>1363</v>
      </c>
      <c r="C13247" s="111" t="s">
        <v>5323</v>
      </c>
      <c r="D13247" s="111" t="str">
        <f t="shared" ref="D13247:E13247" si="13245">TRIM(B13247)</f>
        <v>Oregon</v>
      </c>
      <c r="E13247" s="111" t="str">
        <f t="shared" si="13245"/>
        <v>Independence</v>
      </c>
    </row>
    <row r="13248" spans="1:5">
      <c r="A13248" s="3" t="s">
        <v>24305</v>
      </c>
      <c r="B13248" s="110" t="s">
        <v>1363</v>
      </c>
      <c r="C13248" s="111" t="s">
        <v>24306</v>
      </c>
      <c r="D13248" s="111" t="str">
        <f t="shared" ref="D13248:E13248" si="13246">TRIM(B13248)</f>
        <v>Oregon</v>
      </c>
      <c r="E13248" s="111" t="str">
        <f t="shared" si="13246"/>
        <v>Irrigon</v>
      </c>
    </row>
    <row r="13249" spans="1:5">
      <c r="A13249" s="3" t="s">
        <v>4802</v>
      </c>
      <c r="B13249" s="110" t="s">
        <v>1363</v>
      </c>
      <c r="C13249" s="111" t="s">
        <v>7891</v>
      </c>
      <c r="D13249" s="111" t="str">
        <f t="shared" ref="D13249:E13249" si="13247">TRIM(B13249)</f>
        <v>Oregon</v>
      </c>
      <c r="E13249" s="111" t="str">
        <f t="shared" si="13247"/>
        <v>Jefferson</v>
      </c>
    </row>
    <row r="13250" spans="1:5">
      <c r="A13250" s="3" t="s">
        <v>24307</v>
      </c>
      <c r="B13250" s="110" t="s">
        <v>1363</v>
      </c>
      <c r="C13250" s="111" t="s">
        <v>24308</v>
      </c>
      <c r="D13250" s="111" t="str">
        <f t="shared" ref="D13250:E13250" si="13248">TRIM(B13250)</f>
        <v>Oregon</v>
      </c>
      <c r="E13250" s="111" t="str">
        <f t="shared" si="13248"/>
        <v>John Day</v>
      </c>
    </row>
    <row r="13251" spans="1:5">
      <c r="A13251" s="3" t="s">
        <v>24309</v>
      </c>
      <c r="B13251" s="110" t="s">
        <v>1363</v>
      </c>
      <c r="C13251" s="111" t="s">
        <v>24310</v>
      </c>
      <c r="D13251" s="111" t="str">
        <f t="shared" ref="D13251:E13251" si="13249">TRIM(B13251)</f>
        <v>Oregon</v>
      </c>
      <c r="E13251" s="111" t="str">
        <f t="shared" si="13249"/>
        <v>Jordan Valley</v>
      </c>
    </row>
    <row r="13252" spans="1:5">
      <c r="A13252" s="3" t="s">
        <v>3913</v>
      </c>
      <c r="B13252" s="110" t="s">
        <v>1363</v>
      </c>
      <c r="C13252" s="111" t="s">
        <v>3914</v>
      </c>
      <c r="D13252" s="111" t="str">
        <f t="shared" ref="D13252:E13252" si="13250">TRIM(B13252)</f>
        <v>Oregon</v>
      </c>
      <c r="E13252" s="111" t="str">
        <f t="shared" si="13250"/>
        <v>Junction City</v>
      </c>
    </row>
    <row r="13253" spans="1:5">
      <c r="A13253" s="3" t="s">
        <v>24311</v>
      </c>
      <c r="B13253" s="110" t="s">
        <v>1363</v>
      </c>
      <c r="C13253" s="111" t="s">
        <v>24312</v>
      </c>
      <c r="D13253" s="111" t="str">
        <f t="shared" ref="D13253:E13253" si="13251">TRIM(B13253)</f>
        <v>Oregon</v>
      </c>
      <c r="E13253" s="111" t="str">
        <f t="shared" si="13251"/>
        <v>Keizer</v>
      </c>
    </row>
    <row r="13254" spans="1:5">
      <c r="A13254" s="3" t="s">
        <v>24313</v>
      </c>
      <c r="B13254" s="110" t="s">
        <v>1363</v>
      </c>
      <c r="C13254" s="111" t="s">
        <v>12978</v>
      </c>
      <c r="D13254" s="111" t="str">
        <f t="shared" ref="D13254:E13254" si="13252">TRIM(B13254)</f>
        <v>Oregon</v>
      </c>
      <c r="E13254" s="111" t="str">
        <f t="shared" si="13252"/>
        <v>Klamath Falls</v>
      </c>
    </row>
    <row r="13255" spans="1:5">
      <c r="A13255" s="3" t="s">
        <v>24314</v>
      </c>
      <c r="B13255" s="110" t="s">
        <v>1363</v>
      </c>
      <c r="C13255" s="111" t="s">
        <v>12978</v>
      </c>
      <c r="D13255" s="111" t="str">
        <f t="shared" ref="D13255:E13255" si="13253">TRIM(B13255)</f>
        <v>Oregon</v>
      </c>
      <c r="E13255" s="111" t="str">
        <f t="shared" si="13253"/>
        <v>Klamath Falls</v>
      </c>
    </row>
    <row r="13256" spans="1:5">
      <c r="A13256" s="3" t="s">
        <v>24315</v>
      </c>
      <c r="B13256" s="110" t="s">
        <v>1363</v>
      </c>
      <c r="C13256" s="111" t="s">
        <v>12978</v>
      </c>
      <c r="D13256" s="111" t="str">
        <f t="shared" ref="D13256:E13256" si="13254">TRIM(B13256)</f>
        <v>Oregon</v>
      </c>
      <c r="E13256" s="111" t="str">
        <f t="shared" si="13254"/>
        <v>Klamath Falls</v>
      </c>
    </row>
    <row r="13257" spans="1:5">
      <c r="A13257" s="3" t="s">
        <v>24316</v>
      </c>
      <c r="B13257" s="110" t="s">
        <v>1363</v>
      </c>
      <c r="C13257" s="111" t="s">
        <v>12978</v>
      </c>
      <c r="D13257" s="111" t="str">
        <f t="shared" ref="D13257:E13257" si="13255">TRIM(B13257)</f>
        <v>Oregon</v>
      </c>
      <c r="E13257" s="111" t="str">
        <f t="shared" si="13255"/>
        <v>Klamath Falls</v>
      </c>
    </row>
    <row r="13258" spans="1:5">
      <c r="A13258" s="3" t="s">
        <v>24317</v>
      </c>
      <c r="B13258" s="110" t="s">
        <v>1363</v>
      </c>
      <c r="C13258" s="111" t="s">
        <v>12940</v>
      </c>
      <c r="D13258" s="111" t="str">
        <f t="shared" ref="D13258:E13258" si="13256">TRIM(B13258)</f>
        <v>Oregon</v>
      </c>
      <c r="E13258" s="111" t="str">
        <f t="shared" si="13256"/>
        <v>La Grande</v>
      </c>
    </row>
    <row r="13259" spans="1:5">
      <c r="A13259" s="3" t="s">
        <v>24318</v>
      </c>
      <c r="B13259" s="110" t="s">
        <v>1363</v>
      </c>
      <c r="C13259" s="111" t="s">
        <v>12940</v>
      </c>
      <c r="D13259" s="111" t="str">
        <f t="shared" ref="D13259:E13259" si="13257">TRIM(B13259)</f>
        <v>Oregon</v>
      </c>
      <c r="E13259" s="111" t="str">
        <f t="shared" si="13257"/>
        <v>La Grande</v>
      </c>
    </row>
    <row r="13260" spans="1:5">
      <c r="A13260" s="3" t="s">
        <v>24319</v>
      </c>
      <c r="B13260" s="110" t="s">
        <v>1363</v>
      </c>
      <c r="C13260" s="111" t="s">
        <v>3173</v>
      </c>
      <c r="D13260" s="111" t="str">
        <f t="shared" ref="D13260:E13260" si="13258">TRIM(B13260)</f>
        <v>Oregon</v>
      </c>
      <c r="E13260" s="111" t="str">
        <f t="shared" si="13258"/>
        <v>Lake Oswego</v>
      </c>
    </row>
    <row r="13261" spans="1:5">
      <c r="A13261" s="3" t="s">
        <v>24320</v>
      </c>
      <c r="B13261" s="110" t="s">
        <v>1363</v>
      </c>
      <c r="C13261" s="111" t="s">
        <v>3173</v>
      </c>
      <c r="D13261" s="111" t="str">
        <f t="shared" ref="D13261:E13261" si="13259">TRIM(B13261)</f>
        <v>Oregon</v>
      </c>
      <c r="E13261" s="111" t="str">
        <f t="shared" si="13259"/>
        <v>Lake Oswego</v>
      </c>
    </row>
    <row r="13262" spans="1:5">
      <c r="A13262" s="3" t="s">
        <v>24321</v>
      </c>
      <c r="B13262" s="110" t="s">
        <v>1363</v>
      </c>
      <c r="C13262" s="111" t="s">
        <v>17356</v>
      </c>
      <c r="D13262" s="111" t="str">
        <f t="shared" ref="D13262:E13262" si="13260">TRIM(B13262)</f>
        <v>Oregon</v>
      </c>
      <c r="E13262" s="111" t="str">
        <f t="shared" si="13260"/>
        <v>Lakeview</v>
      </c>
    </row>
    <row r="13263" spans="1:5">
      <c r="A13263" s="3" t="s">
        <v>24322</v>
      </c>
      <c r="B13263" s="110" t="s">
        <v>1363</v>
      </c>
      <c r="C13263" s="111" t="s">
        <v>24323</v>
      </c>
      <c r="D13263" s="111" t="str">
        <f t="shared" ref="D13263:E13263" si="13261">TRIM(B13263)</f>
        <v>Oregon</v>
      </c>
      <c r="E13263" s="111" t="str">
        <f t="shared" si="13261"/>
        <v>Lapine</v>
      </c>
    </row>
    <row r="13264" spans="1:5">
      <c r="A13264" s="3" t="s">
        <v>13191</v>
      </c>
      <c r="B13264" s="110" t="s">
        <v>1363</v>
      </c>
      <c r="C13264" s="111" t="s">
        <v>8525</v>
      </c>
      <c r="D13264" s="111" t="str">
        <f t="shared" ref="D13264:E13264" si="13262">TRIM(B13264)</f>
        <v>Oregon</v>
      </c>
      <c r="E13264" s="111" t="str">
        <f t="shared" si="13262"/>
        <v>Lebanon</v>
      </c>
    </row>
    <row r="13265" spans="1:5">
      <c r="A13265" s="3" t="s">
        <v>24324</v>
      </c>
      <c r="B13265" s="110" t="s">
        <v>1363</v>
      </c>
      <c r="C13265" s="111" t="s">
        <v>14466</v>
      </c>
      <c r="D13265" s="111" t="str">
        <f t="shared" ref="D13265:E13265" si="13263">TRIM(B13265)</f>
        <v>Oregon</v>
      </c>
      <c r="E13265" s="111" t="str">
        <f t="shared" si="13263"/>
        <v>Lincoln City</v>
      </c>
    </row>
    <row r="13266" spans="1:5">
      <c r="A13266" s="3" t="s">
        <v>12546</v>
      </c>
      <c r="B13266" s="110" t="s">
        <v>1363</v>
      </c>
      <c r="C13266" s="111" t="s">
        <v>14466</v>
      </c>
      <c r="D13266" s="111" t="str">
        <f t="shared" ref="D13266:E13266" si="13264">TRIM(B13266)</f>
        <v>Oregon</v>
      </c>
      <c r="E13266" s="111" t="str">
        <f t="shared" si="13264"/>
        <v>Lincoln City</v>
      </c>
    </row>
    <row r="13267" spans="1:5">
      <c r="A13267" s="3" t="s">
        <v>24325</v>
      </c>
      <c r="B13267" s="110" t="s">
        <v>1363</v>
      </c>
      <c r="C13267" s="111" t="s">
        <v>1569</v>
      </c>
      <c r="D13267" s="111" t="str">
        <f t="shared" ref="D13267:E13267" si="13265">TRIM(B13267)</f>
        <v>Oregon</v>
      </c>
      <c r="E13267" s="111" t="str">
        <f t="shared" si="13265"/>
        <v>Lowell</v>
      </c>
    </row>
    <row r="13268" spans="1:5">
      <c r="A13268" s="3" t="s">
        <v>24326</v>
      </c>
      <c r="B13268" s="110" t="s">
        <v>1363</v>
      </c>
      <c r="C13268" s="111" t="s">
        <v>24327</v>
      </c>
      <c r="D13268" s="111" t="str">
        <f t="shared" ref="D13268:E13268" si="13266">TRIM(B13268)</f>
        <v>Oregon</v>
      </c>
      <c r="E13268" s="111" t="str">
        <f t="shared" si="13266"/>
        <v>Madras</v>
      </c>
    </row>
    <row r="13269" spans="1:5">
      <c r="A13269" s="3" t="s">
        <v>24328</v>
      </c>
      <c r="B13269" s="110" t="s">
        <v>1363</v>
      </c>
      <c r="C13269" s="111" t="s">
        <v>14948</v>
      </c>
      <c r="D13269" s="111" t="str">
        <f t="shared" ref="D13269:E13269" si="13267">TRIM(B13269)</f>
        <v>Oregon</v>
      </c>
      <c r="E13269" s="111" t="str">
        <f t="shared" si="13267"/>
        <v>Mapleton</v>
      </c>
    </row>
    <row r="13270" spans="1:5">
      <c r="A13270" s="3" t="s">
        <v>23481</v>
      </c>
      <c r="B13270" s="110" t="s">
        <v>1363</v>
      </c>
      <c r="C13270" s="111" t="s">
        <v>24329</v>
      </c>
      <c r="D13270" s="111" t="str">
        <f t="shared" ref="D13270:E13270" si="13268">TRIM(B13270)</f>
        <v>Oregon</v>
      </c>
      <c r="E13270" s="111" t="str">
        <f t="shared" si="13268"/>
        <v>Marcola</v>
      </c>
    </row>
    <row r="13271" spans="1:5">
      <c r="A13271" s="3" t="s">
        <v>24330</v>
      </c>
      <c r="B13271" s="110" t="s">
        <v>1363</v>
      </c>
      <c r="C13271" s="111" t="s">
        <v>24331</v>
      </c>
      <c r="D13271" s="111" t="str">
        <f t="shared" ref="D13271:E13271" si="13269">TRIM(B13271)</f>
        <v>Oregon</v>
      </c>
      <c r="E13271" s="111" t="str">
        <f t="shared" si="13269"/>
        <v>Maupin</v>
      </c>
    </row>
    <row r="13272" spans="1:5">
      <c r="A13272" s="3" t="s">
        <v>24332</v>
      </c>
      <c r="B13272" s="110" t="s">
        <v>1363</v>
      </c>
      <c r="C13272" s="111" t="s">
        <v>24333</v>
      </c>
      <c r="D13272" s="111" t="str">
        <f t="shared" ref="D13272:E13272" si="13270">TRIM(B13272)</f>
        <v>Oregon</v>
      </c>
      <c r="E13272" s="111" t="str">
        <f t="shared" si="13270"/>
        <v>Mcminnville</v>
      </c>
    </row>
    <row r="13273" spans="1:5">
      <c r="A13273" s="3" t="s">
        <v>24334</v>
      </c>
      <c r="B13273" s="110" t="s">
        <v>1363</v>
      </c>
      <c r="C13273" s="111" t="s">
        <v>549</v>
      </c>
      <c r="D13273" s="111" t="str">
        <f t="shared" ref="D13273:E13273" si="13271">TRIM(B13273)</f>
        <v>Oregon</v>
      </c>
      <c r="E13273" s="111" t="str">
        <f t="shared" si="13271"/>
        <v>Medford</v>
      </c>
    </row>
    <row r="13274" spans="1:5">
      <c r="A13274" s="3" t="s">
        <v>24335</v>
      </c>
      <c r="B13274" s="110" t="s">
        <v>1363</v>
      </c>
      <c r="C13274" s="111" t="s">
        <v>549</v>
      </c>
      <c r="D13274" s="111" t="str">
        <f t="shared" ref="D13274:E13274" si="13272">TRIM(B13274)</f>
        <v>Oregon</v>
      </c>
      <c r="E13274" s="111" t="str">
        <f t="shared" si="13272"/>
        <v>Medford</v>
      </c>
    </row>
    <row r="13275" spans="1:5">
      <c r="A13275" s="3" t="s">
        <v>24336</v>
      </c>
      <c r="B13275" s="110" t="s">
        <v>1363</v>
      </c>
      <c r="C13275" s="111" t="s">
        <v>474</v>
      </c>
      <c r="D13275" s="111" t="str">
        <f t="shared" ref="D13275:E13275" si="13273">TRIM(B13275)</f>
        <v>Oregon</v>
      </c>
      <c r="E13275" s="111" t="str">
        <f t="shared" si="13273"/>
        <v>Merrill</v>
      </c>
    </row>
    <row r="13276" spans="1:5">
      <c r="A13276" s="3" t="s">
        <v>24337</v>
      </c>
      <c r="B13276" s="110" t="s">
        <v>1363</v>
      </c>
      <c r="C13276" s="111" t="s">
        <v>24338</v>
      </c>
      <c r="D13276" s="111" t="str">
        <f t="shared" ref="D13276:E13276" si="13274">TRIM(B13276)</f>
        <v>Oregon</v>
      </c>
      <c r="E13276" s="111" t="str">
        <f t="shared" si="13274"/>
        <v>Mill City</v>
      </c>
    </row>
    <row r="13277" spans="1:5">
      <c r="A13277" s="3" t="s">
        <v>24339</v>
      </c>
      <c r="B13277" s="110" t="s">
        <v>1363</v>
      </c>
      <c r="C13277" s="111" t="s">
        <v>24340</v>
      </c>
      <c r="D13277" s="111" t="str">
        <f t="shared" ref="D13277:E13277" si="13275">TRIM(B13277)</f>
        <v>Oregon</v>
      </c>
      <c r="E13277" s="111" t="str">
        <f t="shared" si="13275"/>
        <v>Milton-Freewater</v>
      </c>
    </row>
    <row r="13278" spans="1:5">
      <c r="A13278" s="3" t="s">
        <v>24341</v>
      </c>
      <c r="B13278" s="110" t="s">
        <v>1363</v>
      </c>
      <c r="C13278" s="111" t="s">
        <v>24342</v>
      </c>
      <c r="D13278" s="111" t="str">
        <f t="shared" ref="D13278:E13278" si="13276">TRIM(B13278)</f>
        <v>Oregon</v>
      </c>
      <c r="E13278" s="111" t="str">
        <f t="shared" si="13276"/>
        <v>Milwaukie</v>
      </c>
    </row>
    <row r="13279" spans="1:5">
      <c r="A13279" s="3" t="s">
        <v>24343</v>
      </c>
      <c r="B13279" s="110" t="s">
        <v>1363</v>
      </c>
      <c r="C13279" s="111" t="s">
        <v>24342</v>
      </c>
      <c r="D13279" s="111" t="str">
        <f t="shared" ref="D13279:E13279" si="13277">TRIM(B13279)</f>
        <v>Oregon</v>
      </c>
      <c r="E13279" s="111" t="str">
        <f t="shared" si="13277"/>
        <v>Milwaukie</v>
      </c>
    </row>
    <row r="13280" spans="1:5">
      <c r="A13280" s="3" t="s">
        <v>24344</v>
      </c>
      <c r="B13280" s="110" t="s">
        <v>1363</v>
      </c>
      <c r="C13280" s="111" t="s">
        <v>24342</v>
      </c>
      <c r="D13280" s="111" t="str">
        <f t="shared" ref="D13280:E13280" si="13278">TRIM(B13280)</f>
        <v>Oregon</v>
      </c>
      <c r="E13280" s="111" t="str">
        <f t="shared" si="13278"/>
        <v>Milwaukie</v>
      </c>
    </row>
    <row r="13281" spans="1:5">
      <c r="A13281" s="3" t="s">
        <v>8645</v>
      </c>
      <c r="B13281" s="110" t="s">
        <v>1363</v>
      </c>
      <c r="C13281" s="111" t="s">
        <v>24342</v>
      </c>
      <c r="D13281" s="111" t="str">
        <f t="shared" ref="D13281:E13281" si="13279">TRIM(B13281)</f>
        <v>Oregon</v>
      </c>
      <c r="E13281" s="111" t="str">
        <f t="shared" si="13279"/>
        <v>Milwaukie</v>
      </c>
    </row>
    <row r="13282" spans="1:5">
      <c r="A13282" s="110" t="s">
        <v>24345</v>
      </c>
      <c r="B13282" s="110" t="s">
        <v>1363</v>
      </c>
      <c r="C13282" s="111" t="s">
        <v>14496</v>
      </c>
      <c r="D13282" s="111" t="str">
        <f t="shared" ref="D13282:E13282" si="13280">TRIM(B13282)</f>
        <v>Oregon</v>
      </c>
      <c r="E13282" s="111" t="str">
        <f t="shared" si="13280"/>
        <v>Mitchell</v>
      </c>
    </row>
    <row r="13283" spans="1:5">
      <c r="A13283" s="3" t="s">
        <v>24346</v>
      </c>
      <c r="B13283" s="110" t="s">
        <v>1363</v>
      </c>
      <c r="C13283" s="111" t="s">
        <v>24347</v>
      </c>
      <c r="D13283" s="111" t="str">
        <f t="shared" ref="D13283:E13283" si="13281">TRIM(B13283)</f>
        <v>Oregon</v>
      </c>
      <c r="E13283" s="111" t="str">
        <f t="shared" si="13281"/>
        <v>Molalla</v>
      </c>
    </row>
    <row r="13284" spans="1:5">
      <c r="A13284" s="3" t="s">
        <v>10298</v>
      </c>
      <c r="B13284" s="110" t="s">
        <v>1363</v>
      </c>
      <c r="C13284" s="111" t="s">
        <v>380</v>
      </c>
      <c r="D13284" s="111" t="str">
        <f t="shared" ref="D13284:E13284" si="13282">TRIM(B13284)</f>
        <v>Oregon</v>
      </c>
      <c r="E13284" s="111" t="str">
        <f t="shared" si="13282"/>
        <v>Monroe</v>
      </c>
    </row>
    <row r="13285" spans="1:5">
      <c r="A13285" s="3" t="s">
        <v>7824</v>
      </c>
      <c r="B13285" s="110" t="s">
        <v>1363</v>
      </c>
      <c r="C13285" s="111" t="s">
        <v>24348</v>
      </c>
      <c r="D13285" s="111" t="str">
        <f t="shared" ref="D13285:E13285" si="13283">TRIM(B13285)</f>
        <v>Oregon</v>
      </c>
      <c r="E13285" s="111" t="str">
        <f t="shared" si="13283"/>
        <v>Mt Angel</v>
      </c>
    </row>
    <row r="13286" spans="1:5">
      <c r="A13286" s="3" t="s">
        <v>24349</v>
      </c>
      <c r="B13286" s="110" t="s">
        <v>1363</v>
      </c>
      <c r="C13286" s="111" t="s">
        <v>24350</v>
      </c>
      <c r="D13286" s="111" t="str">
        <f t="shared" ref="D13286:E13286" si="13284">TRIM(B13286)</f>
        <v>Oregon</v>
      </c>
      <c r="E13286" s="111" t="str">
        <f t="shared" si="13284"/>
        <v>Myrtle Creek</v>
      </c>
    </row>
    <row r="13287" spans="1:5">
      <c r="A13287" s="3" t="s">
        <v>24351</v>
      </c>
      <c r="B13287" s="110" t="s">
        <v>1363</v>
      </c>
      <c r="C13287" s="111" t="s">
        <v>24352</v>
      </c>
      <c r="D13287" s="111" t="str">
        <f t="shared" ref="D13287:E13287" si="13285">TRIM(B13287)</f>
        <v>Oregon</v>
      </c>
      <c r="E13287" s="111" t="str">
        <f t="shared" si="13285"/>
        <v>Myrtle Point</v>
      </c>
    </row>
    <row r="13288" spans="1:5">
      <c r="A13288" s="3" t="s">
        <v>24353</v>
      </c>
      <c r="B13288" s="110" t="s">
        <v>1363</v>
      </c>
      <c r="C13288" s="111" t="s">
        <v>12934</v>
      </c>
      <c r="D13288" s="111" t="str">
        <f t="shared" ref="D13288:E13288" si="13286">TRIM(B13288)</f>
        <v>Oregon</v>
      </c>
      <c r="E13288" s="111" t="str">
        <f t="shared" si="13286"/>
        <v>Newberg</v>
      </c>
    </row>
    <row r="13289" spans="1:5">
      <c r="A13289" s="3" t="s">
        <v>4077</v>
      </c>
      <c r="B13289" s="110" t="s">
        <v>1363</v>
      </c>
      <c r="C13289" s="111" t="s">
        <v>4078</v>
      </c>
      <c r="D13289" s="111" t="str">
        <f t="shared" ref="D13289:E13289" si="13287">TRIM(B13289)</f>
        <v>Oregon</v>
      </c>
      <c r="E13289" s="111" t="str">
        <f t="shared" si="13287"/>
        <v>Newport</v>
      </c>
    </row>
    <row r="13290" spans="1:5">
      <c r="A13290" s="3" t="s">
        <v>24354</v>
      </c>
      <c r="B13290" s="110" t="s">
        <v>1363</v>
      </c>
      <c r="C13290" s="111" t="s">
        <v>19666</v>
      </c>
      <c r="D13290" s="111" t="str">
        <f t="shared" ref="D13290:E13290" si="13288">TRIM(B13290)</f>
        <v>Oregon</v>
      </c>
      <c r="E13290" s="111" t="str">
        <f t="shared" si="13288"/>
        <v>North Bend</v>
      </c>
    </row>
    <row r="13291" spans="1:5">
      <c r="A13291" s="3" t="s">
        <v>24355</v>
      </c>
      <c r="B13291" s="110" t="s">
        <v>1363</v>
      </c>
      <c r="C13291" s="111" t="s">
        <v>24356</v>
      </c>
      <c r="D13291" s="111" t="str">
        <f t="shared" ref="D13291:E13291" si="13289">TRIM(B13291)</f>
        <v>Oregon</v>
      </c>
      <c r="E13291" s="111" t="str">
        <f t="shared" si="13289"/>
        <v>Nyssa</v>
      </c>
    </row>
    <row r="13292" spans="1:5">
      <c r="A13292" s="3" t="s">
        <v>6188</v>
      </c>
      <c r="B13292" s="110" t="s">
        <v>1363</v>
      </c>
      <c r="C13292" s="111" t="s">
        <v>662</v>
      </c>
      <c r="D13292" s="111" t="str">
        <f t="shared" ref="D13292:E13292" si="13290">TRIM(B13292)</f>
        <v>Oregon</v>
      </c>
      <c r="E13292" s="111" t="str">
        <f t="shared" si="13290"/>
        <v>Oakland</v>
      </c>
    </row>
    <row r="13293" spans="1:5">
      <c r="A13293" s="3" t="s">
        <v>17447</v>
      </c>
      <c r="B13293" s="110" t="s">
        <v>1363</v>
      </c>
      <c r="C13293" s="111" t="s">
        <v>24357</v>
      </c>
      <c r="D13293" s="111" t="str">
        <f t="shared" ref="D13293:E13293" si="13291">TRIM(B13293)</f>
        <v>Oregon</v>
      </c>
      <c r="E13293" s="111" t="str">
        <f t="shared" si="13291"/>
        <v>Oakridge</v>
      </c>
    </row>
    <row r="13294" spans="1:5">
      <c r="A13294" s="3" t="s">
        <v>6224</v>
      </c>
      <c r="B13294" s="110" t="s">
        <v>1363</v>
      </c>
      <c r="C13294" s="111" t="s">
        <v>6219</v>
      </c>
      <c r="D13294" s="111" t="str">
        <f t="shared" ref="D13294:E13294" si="13292">TRIM(B13294)</f>
        <v>Oregon</v>
      </c>
      <c r="E13294" s="111" t="str">
        <f t="shared" si="13292"/>
        <v>Ontario</v>
      </c>
    </row>
    <row r="13295" spans="1:5">
      <c r="A13295" s="3" t="s">
        <v>24358</v>
      </c>
      <c r="B13295" s="110" t="s">
        <v>1363</v>
      </c>
      <c r="C13295" s="111" t="s">
        <v>24359</v>
      </c>
      <c r="D13295" s="111" t="str">
        <f t="shared" ref="D13295:E13295" si="13293">TRIM(B13295)</f>
        <v>Oregon</v>
      </c>
      <c r="E13295" s="111" t="str">
        <f t="shared" si="13293"/>
        <v>Oregon City</v>
      </c>
    </row>
    <row r="13296" spans="1:5">
      <c r="A13296" s="3" t="s">
        <v>24360</v>
      </c>
      <c r="B13296" s="110" t="s">
        <v>1363</v>
      </c>
      <c r="C13296" s="111" t="s">
        <v>24359</v>
      </c>
      <c r="D13296" s="111" t="str">
        <f t="shared" ref="D13296:E13296" si="13294">TRIM(B13296)</f>
        <v>Oregon</v>
      </c>
      <c r="E13296" s="111" t="str">
        <f t="shared" si="13294"/>
        <v>Oregon City</v>
      </c>
    </row>
    <row r="13297" spans="1:5">
      <c r="A13297" s="3" t="s">
        <v>24361</v>
      </c>
      <c r="B13297" s="110" t="s">
        <v>1363</v>
      </c>
      <c r="C13297" s="111" t="s">
        <v>24359</v>
      </c>
      <c r="D13297" s="111" t="str">
        <f t="shared" ref="D13297:E13297" si="13295">TRIM(B13297)</f>
        <v>Oregon</v>
      </c>
      <c r="E13297" s="111" t="str">
        <f t="shared" si="13295"/>
        <v>Oregon City</v>
      </c>
    </row>
    <row r="13298" spans="1:5">
      <c r="A13298" s="110" t="s">
        <v>24362</v>
      </c>
      <c r="B13298" s="110" t="s">
        <v>1363</v>
      </c>
      <c r="C13298" s="111" t="s">
        <v>14555</v>
      </c>
      <c r="D13298" s="111" t="str">
        <f t="shared" ref="D13298:E13298" si="13296">TRIM(B13298)</f>
        <v>Oregon</v>
      </c>
      <c r="E13298" s="111" t="str">
        <f t="shared" si="13296"/>
        <v>Pendleton</v>
      </c>
    </row>
    <row r="13299" spans="1:5">
      <c r="A13299" s="3" t="s">
        <v>24363</v>
      </c>
      <c r="B13299" s="110" t="s">
        <v>1363</v>
      </c>
      <c r="C13299" s="111" t="s">
        <v>14555</v>
      </c>
      <c r="D13299" s="111" t="str">
        <f t="shared" ref="D13299:E13299" si="13297">TRIM(B13299)</f>
        <v>Oregon</v>
      </c>
      <c r="E13299" s="111" t="str">
        <f t="shared" si="13297"/>
        <v>Pendleton</v>
      </c>
    </row>
    <row r="13300" spans="1:5">
      <c r="A13300" s="3" t="s">
        <v>24364</v>
      </c>
      <c r="B13300" s="110" t="s">
        <v>1363</v>
      </c>
      <c r="C13300" s="111" t="s">
        <v>24365</v>
      </c>
      <c r="D13300" s="111" t="str">
        <f t="shared" ref="D13300:E13300" si="13298">TRIM(B13300)</f>
        <v>Oregon</v>
      </c>
      <c r="E13300" s="111" t="str">
        <f t="shared" si="13298"/>
        <v>Philomath</v>
      </c>
    </row>
    <row r="13301" spans="1:5">
      <c r="A13301" s="110" t="s">
        <v>24366</v>
      </c>
      <c r="B13301" s="110" t="s">
        <v>1363</v>
      </c>
      <c r="C13301" s="111" t="s">
        <v>1075</v>
      </c>
      <c r="D13301" s="111" t="str">
        <f t="shared" ref="D13301:E13301" si="13299">TRIM(B13301)</f>
        <v>Oregon</v>
      </c>
      <c r="E13301" s="111" t="str">
        <f t="shared" si="13299"/>
        <v>Phoenix</v>
      </c>
    </row>
    <row r="13302" spans="1:5">
      <c r="A13302" s="3" t="s">
        <v>10642</v>
      </c>
      <c r="B13302" s="110" t="s">
        <v>1363</v>
      </c>
      <c r="C13302" s="111" t="s">
        <v>1075</v>
      </c>
      <c r="D13302" s="111" t="str">
        <f t="shared" ref="D13302:E13302" si="13300">TRIM(B13302)</f>
        <v>Oregon</v>
      </c>
      <c r="E13302" s="111" t="str">
        <f t="shared" si="13300"/>
        <v>Phoenix</v>
      </c>
    </row>
    <row r="13303" spans="1:5">
      <c r="A13303" s="3" t="s">
        <v>24367</v>
      </c>
      <c r="B13303" s="110" t="s">
        <v>1363</v>
      </c>
      <c r="C13303" s="111" t="s">
        <v>24368</v>
      </c>
      <c r="D13303" s="111" t="str">
        <f t="shared" ref="D13303:E13303" si="13301">TRIM(B13303)</f>
        <v>Oregon</v>
      </c>
      <c r="E13303" s="111" t="str">
        <f t="shared" si="13301"/>
        <v>Pilot Rock</v>
      </c>
    </row>
    <row r="13304" spans="1:5">
      <c r="A13304" s="3" t="s">
        <v>13645</v>
      </c>
      <c r="B13304" s="110" t="s">
        <v>1363</v>
      </c>
      <c r="C13304" s="111" t="s">
        <v>6400</v>
      </c>
      <c r="D13304" s="111" t="str">
        <f t="shared" ref="D13304:E13304" si="13302">TRIM(B13304)</f>
        <v>Oregon</v>
      </c>
      <c r="E13304" s="111" t="str">
        <f t="shared" si="13302"/>
        <v>Pleasant Hill</v>
      </c>
    </row>
    <row r="13305" spans="1:5">
      <c r="A13305" s="3" t="s">
        <v>6700</v>
      </c>
      <c r="B13305" s="110" t="s">
        <v>1363</v>
      </c>
      <c r="C13305" s="111" t="s">
        <v>24369</v>
      </c>
      <c r="D13305" s="111" t="str">
        <f t="shared" ref="D13305:E13305" si="13303">TRIM(B13305)</f>
        <v>Oregon</v>
      </c>
      <c r="E13305" s="111" t="str">
        <f t="shared" si="13303"/>
        <v>Port Orford</v>
      </c>
    </row>
    <row r="13306" spans="1:5">
      <c r="A13306" s="3" t="s">
        <v>24370</v>
      </c>
      <c r="B13306" s="110" t="s">
        <v>1363</v>
      </c>
      <c r="C13306" s="111" t="s">
        <v>8643</v>
      </c>
      <c r="D13306" s="111" t="str">
        <f t="shared" ref="D13306:E13306" si="13304">TRIM(B13306)</f>
        <v>Oregon</v>
      </c>
      <c r="E13306" s="111" t="str">
        <f t="shared" si="13304"/>
        <v>Portland</v>
      </c>
    </row>
    <row r="13307" spans="1:5">
      <c r="A13307" s="3" t="s">
        <v>1642</v>
      </c>
      <c r="B13307" s="110" t="s">
        <v>1363</v>
      </c>
      <c r="C13307" s="111" t="s">
        <v>8643</v>
      </c>
      <c r="D13307" s="111" t="str">
        <f t="shared" ref="D13307:E13307" si="13305">TRIM(B13307)</f>
        <v>Oregon</v>
      </c>
      <c r="E13307" s="111" t="str">
        <f t="shared" si="13305"/>
        <v>Portland</v>
      </c>
    </row>
    <row r="13308" spans="1:5">
      <c r="A13308" s="3" t="s">
        <v>24371</v>
      </c>
      <c r="B13308" s="110" t="s">
        <v>1363</v>
      </c>
      <c r="C13308" s="111" t="s">
        <v>8643</v>
      </c>
      <c r="D13308" s="111" t="str">
        <f t="shared" ref="D13308:E13308" si="13306">TRIM(B13308)</f>
        <v>Oregon</v>
      </c>
      <c r="E13308" s="111" t="str">
        <f t="shared" si="13306"/>
        <v>Portland</v>
      </c>
    </row>
    <row r="13309" spans="1:5">
      <c r="A13309" s="3" t="s">
        <v>4937</v>
      </c>
      <c r="B13309" s="110" t="s">
        <v>1363</v>
      </c>
      <c r="C13309" s="111" t="s">
        <v>8643</v>
      </c>
      <c r="D13309" s="111" t="str">
        <f t="shared" ref="D13309:E13309" si="13307">TRIM(B13309)</f>
        <v>Oregon</v>
      </c>
      <c r="E13309" s="111" t="str">
        <f t="shared" si="13307"/>
        <v>Portland</v>
      </c>
    </row>
    <row r="13310" spans="1:5">
      <c r="A13310" s="3" t="s">
        <v>15933</v>
      </c>
      <c r="B13310" s="110" t="s">
        <v>1363</v>
      </c>
      <c r="C13310" s="111" t="s">
        <v>8643</v>
      </c>
      <c r="D13310" s="111" t="str">
        <f t="shared" ref="D13310:E13310" si="13308">TRIM(B13310)</f>
        <v>Oregon</v>
      </c>
      <c r="E13310" s="111" t="str">
        <f t="shared" si="13308"/>
        <v>Portland</v>
      </c>
    </row>
    <row r="13311" spans="1:5">
      <c r="A13311" s="3" t="s">
        <v>4802</v>
      </c>
      <c r="B13311" s="110" t="s">
        <v>1363</v>
      </c>
      <c r="C13311" s="111" t="s">
        <v>8643</v>
      </c>
      <c r="D13311" s="111" t="str">
        <f t="shared" ref="D13311:E13311" si="13309">TRIM(B13311)</f>
        <v>Oregon</v>
      </c>
      <c r="E13311" s="111" t="str">
        <f t="shared" si="13309"/>
        <v>Portland</v>
      </c>
    </row>
    <row r="13312" spans="1:5">
      <c r="A13312" s="3" t="s">
        <v>1925</v>
      </c>
      <c r="B13312" s="110" t="s">
        <v>1363</v>
      </c>
      <c r="C13312" s="111" t="s">
        <v>8643</v>
      </c>
      <c r="D13312" s="111" t="str">
        <f t="shared" ref="D13312:E13312" si="13310">TRIM(B13312)</f>
        <v>Oregon</v>
      </c>
      <c r="E13312" s="111" t="str">
        <f t="shared" si="13310"/>
        <v>Portland</v>
      </c>
    </row>
    <row r="13313" spans="1:5">
      <c r="A13313" s="3" t="s">
        <v>6772</v>
      </c>
      <c r="B13313" s="110" t="s">
        <v>1363</v>
      </c>
      <c r="C13313" s="111" t="s">
        <v>8643</v>
      </c>
      <c r="D13313" s="111" t="str">
        <f t="shared" ref="D13313:E13313" si="13311">TRIM(B13313)</f>
        <v>Oregon</v>
      </c>
      <c r="E13313" s="111" t="str">
        <f t="shared" si="13311"/>
        <v>Portland</v>
      </c>
    </row>
    <row r="13314" spans="1:5">
      <c r="A13314" s="3" t="s">
        <v>24372</v>
      </c>
      <c r="B13314" s="110" t="s">
        <v>1363</v>
      </c>
      <c r="C13314" s="111" t="s">
        <v>8643</v>
      </c>
      <c r="D13314" s="111" t="str">
        <f t="shared" ref="D13314:E13314" si="13312">TRIM(B13314)</f>
        <v>Oregon</v>
      </c>
      <c r="E13314" s="111" t="str">
        <f t="shared" si="13312"/>
        <v>Portland</v>
      </c>
    </row>
    <row r="13315" spans="1:5">
      <c r="A13315" s="3" t="s">
        <v>6551</v>
      </c>
      <c r="B13315" s="110" t="s">
        <v>1363</v>
      </c>
      <c r="C13315" s="111" t="s">
        <v>8643</v>
      </c>
      <c r="D13315" s="111" t="str">
        <f t="shared" ref="D13315:E13315" si="13313">TRIM(B13315)</f>
        <v>Oregon</v>
      </c>
      <c r="E13315" s="111" t="str">
        <f t="shared" si="13313"/>
        <v>Portland</v>
      </c>
    </row>
    <row r="13316" spans="1:5">
      <c r="A13316" s="3" t="s">
        <v>5101</v>
      </c>
      <c r="B13316" s="110" t="s">
        <v>1363</v>
      </c>
      <c r="C13316" s="111" t="s">
        <v>8643</v>
      </c>
      <c r="D13316" s="111" t="str">
        <f t="shared" ref="D13316:E13316" si="13314">TRIM(B13316)</f>
        <v>Oregon</v>
      </c>
      <c r="E13316" s="111" t="str">
        <f t="shared" si="13314"/>
        <v>Portland</v>
      </c>
    </row>
    <row r="13317" spans="1:5">
      <c r="A13317" s="3" t="s">
        <v>24373</v>
      </c>
      <c r="B13317" s="110" t="s">
        <v>1363</v>
      </c>
      <c r="C13317" s="111" t="s">
        <v>8643</v>
      </c>
      <c r="D13317" s="111" t="str">
        <f t="shared" ref="D13317:E13317" si="13315">TRIM(B13317)</f>
        <v>Oregon</v>
      </c>
      <c r="E13317" s="111" t="str">
        <f t="shared" si="13315"/>
        <v>Portland</v>
      </c>
    </row>
    <row r="13318" spans="1:5">
      <c r="A13318" s="3" t="s">
        <v>2466</v>
      </c>
      <c r="B13318" s="110" t="s">
        <v>1363</v>
      </c>
      <c r="C13318" s="111" t="s">
        <v>8643</v>
      </c>
      <c r="D13318" s="111" t="str">
        <f t="shared" ref="D13318:E13318" si="13316">TRIM(B13318)</f>
        <v>Oregon</v>
      </c>
      <c r="E13318" s="111" t="str">
        <f t="shared" si="13316"/>
        <v>Portland</v>
      </c>
    </row>
    <row r="13319" spans="1:5">
      <c r="A13319" s="3" t="s">
        <v>5567</v>
      </c>
      <c r="B13319" s="110" t="s">
        <v>1363</v>
      </c>
      <c r="C13319" s="111" t="s">
        <v>8643</v>
      </c>
      <c r="D13319" s="111" t="str">
        <f t="shared" ref="D13319:E13319" si="13317">TRIM(B13319)</f>
        <v>Oregon</v>
      </c>
      <c r="E13319" s="111" t="str">
        <f t="shared" si="13317"/>
        <v>Portland</v>
      </c>
    </row>
    <row r="13320" spans="1:5">
      <c r="A13320" s="3" t="s">
        <v>24374</v>
      </c>
      <c r="B13320" s="110" t="s">
        <v>1363</v>
      </c>
      <c r="C13320" s="111" t="s">
        <v>17527</v>
      </c>
      <c r="D13320" s="111" t="str">
        <f t="shared" ref="D13320:E13320" si="13318">TRIM(B13320)</f>
        <v>Oregon</v>
      </c>
      <c r="E13320" s="111" t="str">
        <f t="shared" si="13318"/>
        <v>Powers</v>
      </c>
    </row>
    <row r="13321" spans="1:5">
      <c r="A13321" s="3" t="s">
        <v>24375</v>
      </c>
      <c r="B13321" s="110" t="s">
        <v>1363</v>
      </c>
      <c r="C13321" s="111" t="s">
        <v>24376</v>
      </c>
      <c r="D13321" s="111" t="str">
        <f t="shared" ref="D13321:E13321" si="13319">TRIM(B13321)</f>
        <v>Oregon</v>
      </c>
      <c r="E13321" s="111" t="str">
        <f t="shared" si="13319"/>
        <v>Prineville</v>
      </c>
    </row>
    <row r="13322" spans="1:5">
      <c r="A13322" s="3" t="s">
        <v>24377</v>
      </c>
      <c r="B13322" s="110" t="s">
        <v>1363</v>
      </c>
      <c r="C13322" s="112" t="s">
        <v>24378</v>
      </c>
      <c r="D13322" s="111" t="str">
        <f t="shared" ref="D13322:E13322" si="13320">TRIM(B13322)</f>
        <v>Oregon</v>
      </c>
      <c r="E13322" s="111" t="str">
        <f t="shared" si="13320"/>
        <v>Rainier</v>
      </c>
    </row>
    <row r="13323" spans="1:5">
      <c r="A13323" s="3" t="s">
        <v>24379</v>
      </c>
      <c r="B13323" s="110" t="s">
        <v>1363</v>
      </c>
      <c r="C13323" s="111" t="s">
        <v>24378</v>
      </c>
      <c r="D13323" s="111" t="str">
        <f t="shared" ref="D13323:E13323" si="13321">TRIM(B13323)</f>
        <v>Oregon</v>
      </c>
      <c r="E13323" s="111" t="str">
        <f t="shared" si="13321"/>
        <v>Rainier</v>
      </c>
    </row>
    <row r="13324" spans="1:5">
      <c r="A13324" s="3" t="s">
        <v>24380</v>
      </c>
      <c r="B13324" s="110" t="s">
        <v>1363</v>
      </c>
      <c r="C13324" s="111" t="s">
        <v>14197</v>
      </c>
      <c r="D13324" s="111" t="str">
        <f t="shared" ref="D13324:E13324" si="13322">TRIM(B13324)</f>
        <v>Oregon</v>
      </c>
      <c r="E13324" s="111" t="str">
        <f t="shared" si="13322"/>
        <v>Redmond</v>
      </c>
    </row>
    <row r="13325" spans="1:5">
      <c r="A13325" s="3" t="s">
        <v>24381</v>
      </c>
      <c r="B13325" s="110" t="s">
        <v>1363</v>
      </c>
      <c r="C13325" s="111" t="s">
        <v>14197</v>
      </c>
      <c r="D13325" s="111" t="str">
        <f t="shared" ref="D13325:E13325" si="13323">TRIM(B13325)</f>
        <v>Oregon</v>
      </c>
      <c r="E13325" s="111" t="str">
        <f t="shared" si="13323"/>
        <v>Redmond</v>
      </c>
    </row>
    <row r="13326" spans="1:5">
      <c r="A13326" s="3" t="s">
        <v>4436</v>
      </c>
      <c r="B13326" s="110" t="s">
        <v>1363</v>
      </c>
      <c r="C13326" s="111" t="s">
        <v>14197</v>
      </c>
      <c r="D13326" s="111" t="str">
        <f t="shared" ref="D13326:E13326" si="13324">TRIM(B13326)</f>
        <v>Oregon</v>
      </c>
      <c r="E13326" s="111" t="str">
        <f t="shared" si="13324"/>
        <v>Redmond</v>
      </c>
    </row>
    <row r="13327" spans="1:5">
      <c r="A13327" s="110" t="s">
        <v>24382</v>
      </c>
      <c r="B13327" s="110" t="s">
        <v>1363</v>
      </c>
      <c r="C13327" s="111" t="s">
        <v>24383</v>
      </c>
      <c r="D13327" s="111" t="str">
        <f t="shared" ref="D13327:E13327" si="13325">TRIM(B13327)</f>
        <v>Oregon</v>
      </c>
      <c r="E13327" s="111" t="str">
        <f t="shared" si="13325"/>
        <v>Reedsport</v>
      </c>
    </row>
    <row r="13328" spans="1:5">
      <c r="A13328" s="3" t="s">
        <v>24384</v>
      </c>
      <c r="B13328" s="110" t="s">
        <v>1363</v>
      </c>
      <c r="C13328" s="111" t="s">
        <v>24385</v>
      </c>
      <c r="D13328" s="111" t="str">
        <f t="shared" ref="D13328:E13328" si="13326">TRIM(B13328)</f>
        <v>Oregon</v>
      </c>
      <c r="E13328" s="111" t="str">
        <f t="shared" si="13326"/>
        <v>Riddle</v>
      </c>
    </row>
    <row r="13329" spans="1:5">
      <c r="A13329" s="3" t="s">
        <v>24386</v>
      </c>
      <c r="B13329" s="110" t="s">
        <v>1363</v>
      </c>
      <c r="C13329" s="113" t="s">
        <v>24387</v>
      </c>
      <c r="D13329" s="111" t="str">
        <f t="shared" ref="D13329:E13329" si="13327">TRIM(B13329)</f>
        <v>Oregon</v>
      </c>
      <c r="E13329" s="111" t="str">
        <f t="shared" si="13327"/>
        <v>Rockaway Beach</v>
      </c>
    </row>
    <row r="13330" spans="1:5">
      <c r="A13330" s="3" t="s">
        <v>24388</v>
      </c>
      <c r="B13330" s="110" t="s">
        <v>1363</v>
      </c>
      <c r="C13330" s="111" t="s">
        <v>24389</v>
      </c>
      <c r="D13330" s="111" t="str">
        <f t="shared" ref="D13330:E13330" si="13328">TRIM(B13330)</f>
        <v>Oregon</v>
      </c>
      <c r="E13330" s="111" t="str">
        <f t="shared" si="13328"/>
        <v>Rogue River</v>
      </c>
    </row>
    <row r="13331" spans="1:5">
      <c r="A13331" s="110" t="s">
        <v>24390</v>
      </c>
      <c r="B13331" s="110" t="s">
        <v>1363</v>
      </c>
      <c r="C13331" s="111" t="s">
        <v>24391</v>
      </c>
      <c r="D13331" s="111" t="str">
        <f t="shared" ref="D13331:E13331" si="13329">TRIM(B13331)</f>
        <v>Oregon</v>
      </c>
      <c r="E13331" s="111" t="str">
        <f t="shared" si="13329"/>
        <v>Roseburg</v>
      </c>
    </row>
    <row r="13332" spans="1:5">
      <c r="A13332" s="3" t="s">
        <v>24392</v>
      </c>
      <c r="B13332" s="110" t="s">
        <v>1363</v>
      </c>
      <c r="C13332" s="111" t="s">
        <v>24391</v>
      </c>
      <c r="D13332" s="111" t="str">
        <f t="shared" ref="D13332:E13332" si="13330">TRIM(B13332)</f>
        <v>Oregon</v>
      </c>
      <c r="E13332" s="111" t="str">
        <f t="shared" si="13330"/>
        <v>Roseburg</v>
      </c>
    </row>
    <row r="13333" spans="1:5">
      <c r="A13333" s="3" t="s">
        <v>24393</v>
      </c>
      <c r="B13333" s="110" t="s">
        <v>1363</v>
      </c>
      <c r="C13333" s="111" t="s">
        <v>451</v>
      </c>
      <c r="D13333" s="111" t="str">
        <f t="shared" ref="D13333:E13333" si="13331">TRIM(B13333)</f>
        <v>Oregon</v>
      </c>
      <c r="E13333" s="111" t="str">
        <f t="shared" si="13331"/>
        <v>Salem</v>
      </c>
    </row>
    <row r="13334" spans="1:5">
      <c r="A13334" s="3" t="s">
        <v>24394</v>
      </c>
      <c r="B13334" s="110" t="s">
        <v>1363</v>
      </c>
      <c r="C13334" s="111" t="s">
        <v>451</v>
      </c>
      <c r="D13334" s="111" t="str">
        <f t="shared" ref="D13334:E13334" si="13332">TRIM(B13334)</f>
        <v>Oregon</v>
      </c>
      <c r="E13334" s="111" t="str">
        <f t="shared" si="13332"/>
        <v>Salem</v>
      </c>
    </row>
    <row r="13335" spans="1:5">
      <c r="A13335" s="3" t="s">
        <v>24395</v>
      </c>
      <c r="B13335" s="110" t="s">
        <v>1363</v>
      </c>
      <c r="C13335" s="111" t="s">
        <v>451</v>
      </c>
      <c r="D13335" s="111" t="str">
        <f t="shared" ref="D13335:E13335" si="13333">TRIM(B13335)</f>
        <v>Oregon</v>
      </c>
      <c r="E13335" s="111" t="str">
        <f t="shared" si="13333"/>
        <v>Salem</v>
      </c>
    </row>
    <row r="13336" spans="1:5">
      <c r="A13336" s="3" t="s">
        <v>24396</v>
      </c>
      <c r="B13336" s="110" t="s">
        <v>1363</v>
      </c>
      <c r="C13336" s="111" t="s">
        <v>451</v>
      </c>
      <c r="D13336" s="111" t="str">
        <f t="shared" ref="D13336:E13336" si="13334">TRIM(B13336)</f>
        <v>Oregon</v>
      </c>
      <c r="E13336" s="111" t="str">
        <f t="shared" si="13334"/>
        <v>Salem</v>
      </c>
    </row>
    <row r="13337" spans="1:5">
      <c r="A13337" s="3" t="s">
        <v>24397</v>
      </c>
      <c r="B13337" s="110" t="s">
        <v>1363</v>
      </c>
      <c r="C13337" s="111" t="s">
        <v>451</v>
      </c>
      <c r="D13337" s="111" t="str">
        <f t="shared" ref="D13337:E13337" si="13335">TRIM(B13337)</f>
        <v>Oregon</v>
      </c>
      <c r="E13337" s="111" t="str">
        <f t="shared" si="13335"/>
        <v>Salem</v>
      </c>
    </row>
    <row r="13338" spans="1:5">
      <c r="A13338" s="3" t="s">
        <v>24398</v>
      </c>
      <c r="B13338" s="110" t="s">
        <v>1363</v>
      </c>
      <c r="C13338" s="111" t="s">
        <v>13895</v>
      </c>
      <c r="D13338" s="111" t="str">
        <f t="shared" ref="D13338:E13338" si="13336">TRIM(B13338)</f>
        <v>Oregon</v>
      </c>
      <c r="E13338" s="111" t="str">
        <f t="shared" si="13336"/>
        <v>Sandy</v>
      </c>
    </row>
    <row r="13339" spans="1:5">
      <c r="A13339" s="3" t="s">
        <v>24399</v>
      </c>
      <c r="B13339" s="110" t="s">
        <v>1363</v>
      </c>
      <c r="C13339" s="111" t="s">
        <v>24400</v>
      </c>
      <c r="D13339" s="111" t="str">
        <f t="shared" ref="D13339:E13339" si="13337">TRIM(B13339)</f>
        <v>Oregon</v>
      </c>
      <c r="E13339" s="111" t="str">
        <f t="shared" si="13337"/>
        <v>Scappoose</v>
      </c>
    </row>
    <row r="13340" spans="1:5">
      <c r="A13340" s="3" t="s">
        <v>24401</v>
      </c>
      <c r="B13340" s="110" t="s">
        <v>1363</v>
      </c>
      <c r="C13340" s="111" t="s">
        <v>24402</v>
      </c>
      <c r="D13340" s="111" t="str">
        <f t="shared" ref="D13340:E13340" si="13338">TRIM(B13340)</f>
        <v>Oregon</v>
      </c>
      <c r="E13340" s="111" t="str">
        <f t="shared" si="13338"/>
        <v>Scio</v>
      </c>
    </row>
    <row r="13341" spans="1:5">
      <c r="A13341" s="3" t="s">
        <v>7114</v>
      </c>
      <c r="B13341" s="110" t="s">
        <v>1363</v>
      </c>
      <c r="C13341" s="111" t="s">
        <v>7115</v>
      </c>
      <c r="D13341" s="111" t="str">
        <f t="shared" ref="D13341:E13341" si="13339">TRIM(B13341)</f>
        <v>Oregon</v>
      </c>
      <c r="E13341" s="111" t="str">
        <f t="shared" si="13339"/>
        <v>Seaside</v>
      </c>
    </row>
    <row r="13342" spans="1:5">
      <c r="A13342" s="3" t="s">
        <v>4186</v>
      </c>
      <c r="B13342" s="110" t="s">
        <v>1363</v>
      </c>
      <c r="C13342" s="111" t="s">
        <v>4187</v>
      </c>
      <c r="D13342" s="111" t="str">
        <f t="shared" ref="D13342:E13342" si="13340">TRIM(B13342)</f>
        <v>Oregon</v>
      </c>
      <c r="E13342" s="111" t="str">
        <f t="shared" si="13340"/>
        <v>Sheridan</v>
      </c>
    </row>
    <row r="13343" spans="1:5">
      <c r="A13343" s="3" t="s">
        <v>16494</v>
      </c>
      <c r="B13343" s="110" t="s">
        <v>1363</v>
      </c>
      <c r="C13343" s="111" t="s">
        <v>4191</v>
      </c>
      <c r="D13343" s="111" t="str">
        <f t="shared" ref="D13343:E13343" si="13341">TRIM(B13343)</f>
        <v>Oregon</v>
      </c>
      <c r="E13343" s="111" t="str">
        <f t="shared" si="13341"/>
        <v>Sherwood</v>
      </c>
    </row>
    <row r="13344" spans="1:5">
      <c r="A13344" s="3" t="s">
        <v>24403</v>
      </c>
      <c r="B13344" s="110" t="s">
        <v>1363</v>
      </c>
      <c r="C13344" s="111" t="s">
        <v>24404</v>
      </c>
      <c r="D13344" s="111" t="str">
        <f t="shared" ref="D13344:E13344" si="13342">TRIM(B13344)</f>
        <v>Oregon</v>
      </c>
      <c r="E13344" s="111" t="str">
        <f t="shared" si="13342"/>
        <v>Siletz</v>
      </c>
    </row>
    <row r="13345" spans="1:5">
      <c r="A13345" s="3" t="s">
        <v>8236</v>
      </c>
      <c r="B13345" s="110" t="s">
        <v>1363</v>
      </c>
      <c r="C13345" s="111" t="s">
        <v>7073</v>
      </c>
      <c r="D13345" s="111" t="str">
        <f t="shared" ref="D13345:E13345" si="13343">TRIM(B13345)</f>
        <v>Oregon</v>
      </c>
      <c r="E13345" s="111" t="str">
        <f t="shared" si="13343"/>
        <v>Silverton</v>
      </c>
    </row>
    <row r="13346" spans="1:5">
      <c r="A13346" s="3" t="s">
        <v>24405</v>
      </c>
      <c r="B13346" s="110" t="s">
        <v>1363</v>
      </c>
      <c r="C13346" s="111" t="s">
        <v>24406</v>
      </c>
      <c r="D13346" s="111" t="str">
        <f t="shared" ref="D13346:E13346" si="13344">TRIM(B13346)</f>
        <v>Oregon</v>
      </c>
      <c r="E13346" s="111" t="str">
        <f t="shared" si="13344"/>
        <v>Sisters</v>
      </c>
    </row>
    <row r="13347" spans="1:5">
      <c r="A13347" s="3" t="s">
        <v>24407</v>
      </c>
      <c r="B13347" s="110" t="s">
        <v>1363</v>
      </c>
      <c r="C13347" s="111" t="s">
        <v>416</v>
      </c>
      <c r="D13347" s="111" t="str">
        <f t="shared" ref="D13347:E13347" si="13345">TRIM(B13347)</f>
        <v>Oregon</v>
      </c>
      <c r="E13347" s="111" t="str">
        <f t="shared" si="13345"/>
        <v>Springfield</v>
      </c>
    </row>
    <row r="13348" spans="1:5">
      <c r="A13348" s="3" t="s">
        <v>24408</v>
      </c>
      <c r="B13348" s="110" t="s">
        <v>1363</v>
      </c>
      <c r="C13348" s="111" t="s">
        <v>416</v>
      </c>
      <c r="D13348" s="111" t="str">
        <f t="shared" ref="D13348:E13348" si="13346">TRIM(B13348)</f>
        <v>Oregon</v>
      </c>
      <c r="E13348" s="111" t="str">
        <f t="shared" si="13346"/>
        <v>Springfield</v>
      </c>
    </row>
    <row r="13349" spans="1:5">
      <c r="A13349" s="3" t="s">
        <v>13829</v>
      </c>
      <c r="B13349" s="110" t="s">
        <v>1363</v>
      </c>
      <c r="C13349" s="111" t="s">
        <v>416</v>
      </c>
      <c r="D13349" s="111" t="str">
        <f t="shared" ref="D13349:E13349" si="13347">TRIM(B13349)</f>
        <v>Oregon</v>
      </c>
      <c r="E13349" s="111" t="str">
        <f t="shared" si="13347"/>
        <v>Springfield</v>
      </c>
    </row>
    <row r="13350" spans="1:5">
      <c r="A13350" s="3" t="s">
        <v>24409</v>
      </c>
      <c r="B13350" s="110" t="s">
        <v>1363</v>
      </c>
      <c r="C13350" s="111" t="s">
        <v>416</v>
      </c>
      <c r="D13350" s="111" t="str">
        <f t="shared" ref="D13350:E13350" si="13348">TRIM(B13350)</f>
        <v>Oregon</v>
      </c>
      <c r="E13350" s="111" t="str">
        <f t="shared" si="13348"/>
        <v>Springfield</v>
      </c>
    </row>
    <row r="13351" spans="1:5">
      <c r="A13351" s="3" t="s">
        <v>24410</v>
      </c>
      <c r="B13351" s="110" t="s">
        <v>1363</v>
      </c>
      <c r="C13351" s="111" t="s">
        <v>416</v>
      </c>
      <c r="D13351" s="111" t="str">
        <f t="shared" ref="D13351:E13351" si="13349">TRIM(B13351)</f>
        <v>Oregon</v>
      </c>
      <c r="E13351" s="111" t="str">
        <f t="shared" si="13349"/>
        <v>Springfield</v>
      </c>
    </row>
    <row r="13352" spans="1:5">
      <c r="A13352" s="3" t="s">
        <v>24411</v>
      </c>
      <c r="B13352" s="110" t="s">
        <v>1363</v>
      </c>
      <c r="C13352" s="111" t="s">
        <v>24412</v>
      </c>
      <c r="D13352" s="111" t="str">
        <f t="shared" ref="D13352:E13352" si="13350">TRIM(B13352)</f>
        <v>Oregon</v>
      </c>
      <c r="E13352" s="111" t="str">
        <f t="shared" si="13350"/>
        <v>St Helens</v>
      </c>
    </row>
    <row r="13353" spans="1:5">
      <c r="A13353" s="3" t="s">
        <v>9626</v>
      </c>
      <c r="B13353" s="110" t="s">
        <v>1363</v>
      </c>
      <c r="C13353" s="111" t="s">
        <v>4215</v>
      </c>
      <c r="D13353" s="111" t="str">
        <f t="shared" ref="D13353:E13353" si="13351">TRIM(B13353)</f>
        <v>Oregon</v>
      </c>
      <c r="E13353" s="111" t="str">
        <f t="shared" si="13351"/>
        <v>St Paul</v>
      </c>
    </row>
    <row r="13354" spans="1:5">
      <c r="A13354" s="110" t="s">
        <v>24413</v>
      </c>
      <c r="B13354" s="110" t="s">
        <v>1363</v>
      </c>
      <c r="C13354" s="111" t="s">
        <v>24414</v>
      </c>
      <c r="D13354" s="111" t="str">
        <f t="shared" ref="D13354:E13354" si="13352">TRIM(B13354)</f>
        <v>Oregon</v>
      </c>
      <c r="E13354" s="111" t="str">
        <f t="shared" si="13352"/>
        <v>Stanfield</v>
      </c>
    </row>
    <row r="13355" spans="1:5">
      <c r="A13355" s="3" t="s">
        <v>24415</v>
      </c>
      <c r="B13355" s="110" t="s">
        <v>1363</v>
      </c>
      <c r="C13355" s="111" t="s">
        <v>24416</v>
      </c>
      <c r="D13355" s="111" t="str">
        <f t="shared" ref="D13355:E13355" si="13353">TRIM(B13355)</f>
        <v>Oregon</v>
      </c>
      <c r="E13355" s="111" t="str">
        <f t="shared" si="13353"/>
        <v>Stayton</v>
      </c>
    </row>
    <row r="13356" spans="1:5">
      <c r="A13356" s="3" t="s">
        <v>24417</v>
      </c>
      <c r="B13356" s="110" t="s">
        <v>1363</v>
      </c>
      <c r="C13356" s="111" t="s">
        <v>24418</v>
      </c>
      <c r="D13356" s="111" t="str">
        <f t="shared" ref="D13356:E13356" si="13354">TRIM(B13356)</f>
        <v>Oregon</v>
      </c>
      <c r="E13356" s="111" t="str">
        <f t="shared" si="13354"/>
        <v>Sutherlin</v>
      </c>
    </row>
    <row r="13357" spans="1:5">
      <c r="A13357" s="3" t="s">
        <v>24419</v>
      </c>
      <c r="B13357" s="110" t="s">
        <v>1363</v>
      </c>
      <c r="C13357" s="111" t="s">
        <v>24420</v>
      </c>
      <c r="D13357" s="111" t="str">
        <f t="shared" ref="D13357:E13357" si="13355">TRIM(B13357)</f>
        <v>Oregon</v>
      </c>
      <c r="E13357" s="111" t="str">
        <f t="shared" si="13355"/>
        <v>Sweet Home</v>
      </c>
    </row>
    <row r="13358" spans="1:5">
      <c r="A13358" s="3" t="s">
        <v>24421</v>
      </c>
      <c r="B13358" s="110" t="s">
        <v>1363</v>
      </c>
      <c r="C13358" s="111" t="s">
        <v>12967</v>
      </c>
      <c r="D13358" s="111" t="str">
        <f t="shared" ref="D13358:E13358" si="13356">TRIM(B13358)</f>
        <v>Oregon</v>
      </c>
      <c r="E13358" s="111" t="str">
        <f t="shared" si="13356"/>
        <v>The Dalles</v>
      </c>
    </row>
    <row r="13359" spans="1:5">
      <c r="A13359" s="3" t="s">
        <v>24422</v>
      </c>
      <c r="B13359" s="110" t="s">
        <v>1363</v>
      </c>
      <c r="C13359" s="111" t="s">
        <v>24423</v>
      </c>
      <c r="D13359" s="111" t="str">
        <f t="shared" ref="D13359:E13359" si="13357">TRIM(B13359)</f>
        <v>Oregon</v>
      </c>
      <c r="E13359" s="111" t="str">
        <f t="shared" si="13357"/>
        <v>Tigard</v>
      </c>
    </row>
    <row r="13360" spans="1:5">
      <c r="A13360" s="3" t="s">
        <v>24424</v>
      </c>
      <c r="B13360" s="110" t="s">
        <v>1363</v>
      </c>
      <c r="C13360" s="111" t="s">
        <v>24425</v>
      </c>
      <c r="D13360" s="111" t="str">
        <f t="shared" ref="D13360:E13360" si="13358">TRIM(B13360)</f>
        <v>Oregon</v>
      </c>
      <c r="E13360" s="111" t="str">
        <f t="shared" si="13358"/>
        <v>Tillamook</v>
      </c>
    </row>
    <row r="13361" spans="1:5">
      <c r="A13361" s="3" t="s">
        <v>24426</v>
      </c>
      <c r="B13361" s="110" t="s">
        <v>1363</v>
      </c>
      <c r="C13361" s="111" t="s">
        <v>24425</v>
      </c>
      <c r="D13361" s="111" t="str">
        <f t="shared" ref="D13361:E13361" si="13359">TRIM(B13361)</f>
        <v>Oregon</v>
      </c>
      <c r="E13361" s="111" t="str">
        <f t="shared" si="13359"/>
        <v>Tillamook</v>
      </c>
    </row>
    <row r="13362" spans="1:5">
      <c r="A13362" s="3" t="s">
        <v>24427</v>
      </c>
      <c r="B13362" s="110" t="s">
        <v>1363</v>
      </c>
      <c r="C13362" s="111" t="s">
        <v>309</v>
      </c>
      <c r="D13362" s="111" t="str">
        <f t="shared" ref="D13362:E13362" si="13360">TRIM(B13362)</f>
        <v>Oregon</v>
      </c>
      <c r="E13362" s="111" t="str">
        <f t="shared" si="13360"/>
        <v>Toledo</v>
      </c>
    </row>
    <row r="13363" spans="1:5">
      <c r="A13363" s="3" t="s">
        <v>22003</v>
      </c>
      <c r="B13363" s="110" t="s">
        <v>1363</v>
      </c>
      <c r="C13363" s="111" t="s">
        <v>24428</v>
      </c>
      <c r="D13363" s="111" t="str">
        <f t="shared" ref="D13363:E13363" si="13361">TRIM(B13363)</f>
        <v>Oregon</v>
      </c>
      <c r="E13363" s="111" t="str">
        <f t="shared" si="13361"/>
        <v>Troutdale</v>
      </c>
    </row>
    <row r="13364" spans="1:5">
      <c r="A13364" s="3" t="s">
        <v>24429</v>
      </c>
      <c r="B13364" s="110" t="s">
        <v>1363</v>
      </c>
      <c r="C13364" s="111" t="s">
        <v>24430</v>
      </c>
      <c r="D13364" s="111" t="str">
        <f t="shared" ref="D13364:E13364" si="13362">TRIM(B13364)</f>
        <v>Oregon</v>
      </c>
      <c r="E13364" s="111" t="str">
        <f t="shared" si="13362"/>
        <v>Tualatin</v>
      </c>
    </row>
    <row r="13365" spans="1:5">
      <c r="A13365" s="3" t="s">
        <v>14215</v>
      </c>
      <c r="B13365" s="110" t="s">
        <v>1363</v>
      </c>
      <c r="C13365" s="111" t="s">
        <v>16303</v>
      </c>
      <c r="D13365" s="111" t="str">
        <f t="shared" ref="D13365:E13365" si="13363">TRIM(B13365)</f>
        <v>Oregon</v>
      </c>
      <c r="E13365" s="111" t="str">
        <f t="shared" si="13363"/>
        <v>Turner</v>
      </c>
    </row>
    <row r="13366" spans="1:5">
      <c r="A13366" s="3" t="s">
        <v>10199</v>
      </c>
      <c r="B13366" s="110" t="s">
        <v>1363</v>
      </c>
      <c r="C13366" s="111" t="s">
        <v>10200</v>
      </c>
      <c r="D13366" s="111" t="str">
        <f t="shared" ref="D13366:E13366" si="13364">TRIM(B13366)</f>
        <v>Oregon</v>
      </c>
      <c r="E13366" s="111" t="str">
        <f t="shared" si="13364"/>
        <v>Umatilla</v>
      </c>
    </row>
    <row r="13367" spans="1:5">
      <c r="A13367" s="3" t="s">
        <v>14909</v>
      </c>
      <c r="B13367" s="110" t="s">
        <v>1363</v>
      </c>
      <c r="C13367" s="111" t="s">
        <v>483</v>
      </c>
      <c r="D13367" s="111" t="str">
        <f t="shared" ref="D13367:E13367" si="13365">TRIM(B13367)</f>
        <v>Oregon</v>
      </c>
      <c r="E13367" s="111" t="str">
        <f t="shared" si="13365"/>
        <v>Union</v>
      </c>
    </row>
    <row r="13368" spans="1:5">
      <c r="A13368" s="3" t="s">
        <v>24431</v>
      </c>
      <c r="B13368" s="110" t="s">
        <v>1363</v>
      </c>
      <c r="C13368" s="111" t="s">
        <v>24432</v>
      </c>
      <c r="D13368" s="111" t="str">
        <f t="shared" ref="D13368:E13368" si="13366">TRIM(B13368)</f>
        <v>Oregon</v>
      </c>
      <c r="E13368" s="111" t="str">
        <f t="shared" si="13366"/>
        <v>Vale</v>
      </c>
    </row>
    <row r="13369" spans="1:5">
      <c r="A13369" s="110" t="s">
        <v>24433</v>
      </c>
      <c r="B13369" s="110" t="s">
        <v>1363</v>
      </c>
      <c r="C13369" s="111" t="s">
        <v>24434</v>
      </c>
      <c r="D13369" s="111" t="str">
        <f t="shared" ref="D13369:E13369" si="13367">TRIM(B13369)</f>
        <v>Oregon</v>
      </c>
      <c r="E13369" s="111" t="str">
        <f t="shared" si="13367"/>
        <v>Veneta</v>
      </c>
    </row>
    <row r="13370" spans="1:5">
      <c r="A13370" s="3" t="s">
        <v>24435</v>
      </c>
      <c r="B13370" s="110" t="s">
        <v>1363</v>
      </c>
      <c r="C13370" s="111" t="s">
        <v>24436</v>
      </c>
      <c r="D13370" s="111" t="str">
        <f t="shared" ref="D13370:E13370" si="13368">TRIM(B13370)</f>
        <v>Oregon</v>
      </c>
      <c r="E13370" s="111" t="str">
        <f t="shared" si="13368"/>
        <v>Vernonia</v>
      </c>
    </row>
    <row r="13371" spans="1:5">
      <c r="A13371" s="3" t="s">
        <v>24437</v>
      </c>
      <c r="B13371" s="110" t="s">
        <v>1363</v>
      </c>
      <c r="C13371" s="111" t="s">
        <v>24438</v>
      </c>
      <c r="D13371" s="111" t="str">
        <f t="shared" ref="D13371:E13371" si="13369">TRIM(B13371)</f>
        <v>Oregon</v>
      </c>
      <c r="E13371" s="111" t="str">
        <f t="shared" si="13369"/>
        <v>Waldport</v>
      </c>
    </row>
    <row r="13372" spans="1:5">
      <c r="A13372" s="3" t="s">
        <v>24439</v>
      </c>
      <c r="B13372" s="110" t="s">
        <v>1363</v>
      </c>
      <c r="C13372" s="111" t="s">
        <v>24440</v>
      </c>
      <c r="D13372" s="111" t="str">
        <f t="shared" ref="D13372:E13372" si="13370">TRIM(B13372)</f>
        <v>Oregon</v>
      </c>
      <c r="E13372" s="111" t="str">
        <f t="shared" si="13370"/>
        <v>Wallowa</v>
      </c>
    </row>
    <row r="13373" spans="1:5">
      <c r="A13373" s="3" t="s">
        <v>19213</v>
      </c>
      <c r="B13373" s="110" t="s">
        <v>1363</v>
      </c>
      <c r="C13373" s="111" t="s">
        <v>10280</v>
      </c>
      <c r="D13373" s="111" t="str">
        <f t="shared" ref="D13373:E13373" si="13371">TRIM(B13373)</f>
        <v>Oregon</v>
      </c>
      <c r="E13373" s="111" t="str">
        <f t="shared" si="13371"/>
        <v>Warrenton</v>
      </c>
    </row>
    <row r="13374" spans="1:5">
      <c r="A13374" s="3" t="s">
        <v>24441</v>
      </c>
      <c r="B13374" s="110" t="s">
        <v>1363</v>
      </c>
      <c r="C13374" s="111" t="s">
        <v>5467</v>
      </c>
      <c r="D13374" s="111" t="str">
        <f t="shared" ref="D13374:E13374" si="13372">TRIM(B13374)</f>
        <v>Oregon</v>
      </c>
      <c r="E13374" s="111" t="str">
        <f t="shared" si="13372"/>
        <v>West Linn</v>
      </c>
    </row>
    <row r="13375" spans="1:5">
      <c r="A13375" s="3" t="s">
        <v>24442</v>
      </c>
      <c r="B13375" s="110" t="s">
        <v>1363</v>
      </c>
      <c r="C13375" s="111" t="s">
        <v>24443</v>
      </c>
      <c r="D13375" s="111" t="str">
        <f t="shared" ref="D13375:E13375" si="13373">TRIM(B13375)</f>
        <v>Oregon</v>
      </c>
      <c r="E13375" s="111" t="str">
        <f t="shared" si="13373"/>
        <v>Willamina</v>
      </c>
    </row>
    <row r="13376" spans="1:5">
      <c r="A13376" s="3" t="s">
        <v>24444</v>
      </c>
      <c r="B13376" s="110" t="s">
        <v>1363</v>
      </c>
      <c r="C13376" s="111" t="s">
        <v>5604</v>
      </c>
      <c r="D13376" s="111" t="str">
        <f t="shared" ref="D13376:E13376" si="13374">TRIM(B13376)</f>
        <v>Oregon</v>
      </c>
      <c r="E13376" s="111" t="str">
        <f t="shared" si="13374"/>
        <v>Wilsonville</v>
      </c>
    </row>
    <row r="13377" spans="1:5">
      <c r="A13377" s="3" t="s">
        <v>1707</v>
      </c>
      <c r="B13377" s="110" t="s">
        <v>1363</v>
      </c>
      <c r="C13377" s="111" t="s">
        <v>19239</v>
      </c>
      <c r="D13377" s="111" t="str">
        <f t="shared" ref="D13377:E13377" si="13375">TRIM(B13377)</f>
        <v>Oregon</v>
      </c>
      <c r="E13377" s="111" t="str">
        <f t="shared" si="13375"/>
        <v>Winston</v>
      </c>
    </row>
    <row r="13378" spans="1:5">
      <c r="A13378" s="3" t="s">
        <v>24445</v>
      </c>
      <c r="B13378" s="110" t="s">
        <v>1363</v>
      </c>
      <c r="C13378" s="111" t="s">
        <v>14675</v>
      </c>
      <c r="D13378" s="111" t="str">
        <f t="shared" ref="D13378:E13378" si="13376">TRIM(B13378)</f>
        <v>Oregon</v>
      </c>
      <c r="E13378" s="111" t="str">
        <f t="shared" si="13376"/>
        <v>Woodburn</v>
      </c>
    </row>
    <row r="13379" spans="1:5">
      <c r="A13379" s="110" t="s">
        <v>24446</v>
      </c>
      <c r="B13379" s="110" t="s">
        <v>1363</v>
      </c>
      <c r="C13379" s="111" t="s">
        <v>14675</v>
      </c>
      <c r="D13379" s="111" t="str">
        <f t="shared" ref="D13379:E13379" si="13377">TRIM(B13379)</f>
        <v>Oregon</v>
      </c>
      <c r="E13379" s="111" t="str">
        <f t="shared" si="13377"/>
        <v>Woodburn</v>
      </c>
    </row>
    <row r="13380" spans="1:5">
      <c r="A13380" s="3" t="s">
        <v>24447</v>
      </c>
      <c r="B13380" s="110" t="s">
        <v>1363</v>
      </c>
      <c r="C13380" s="111" t="s">
        <v>14675</v>
      </c>
      <c r="D13380" s="111" t="str">
        <f t="shared" ref="D13380:E13380" si="13378">TRIM(B13380)</f>
        <v>Oregon</v>
      </c>
      <c r="E13380" s="111" t="str">
        <f t="shared" si="13378"/>
        <v>Woodburn</v>
      </c>
    </row>
    <row r="13381" spans="1:5">
      <c r="A13381" s="3" t="s">
        <v>24448</v>
      </c>
      <c r="B13381" s="110" t="s">
        <v>1363</v>
      </c>
      <c r="C13381" s="111" t="s">
        <v>14675</v>
      </c>
      <c r="D13381" s="111" t="str">
        <f t="shared" ref="D13381:E13381" si="13379">TRIM(B13381)</f>
        <v>Oregon</v>
      </c>
      <c r="E13381" s="111" t="str">
        <f t="shared" si="13379"/>
        <v>Woodburn</v>
      </c>
    </row>
    <row r="13382" spans="1:5">
      <c r="A13382" s="3" t="s">
        <v>24449</v>
      </c>
      <c r="B13382" s="110" t="s">
        <v>1363</v>
      </c>
      <c r="C13382" s="111" t="s">
        <v>14675</v>
      </c>
      <c r="D13382" s="111" t="str">
        <f t="shared" ref="D13382:E13382" si="13380">TRIM(B13382)</f>
        <v>Oregon</v>
      </c>
      <c r="E13382" s="111" t="str">
        <f t="shared" si="13380"/>
        <v>Woodburn</v>
      </c>
    </row>
    <row r="13383" spans="1:5">
      <c r="A13383" s="110" t="s">
        <v>24450</v>
      </c>
      <c r="B13383" s="110" t="s">
        <v>1363</v>
      </c>
      <c r="C13383" s="111" t="s">
        <v>14675</v>
      </c>
      <c r="D13383" s="111" t="str">
        <f t="shared" ref="D13383:E13383" si="13381">TRIM(B13383)</f>
        <v>Oregon</v>
      </c>
      <c r="E13383" s="111" t="str">
        <f t="shared" si="13381"/>
        <v>Woodburn</v>
      </c>
    </row>
    <row r="13384" spans="1:5">
      <c r="A13384" s="3" t="s">
        <v>24451</v>
      </c>
      <c r="B13384" s="110" t="s">
        <v>1363</v>
      </c>
      <c r="C13384" s="111" t="s">
        <v>24452</v>
      </c>
      <c r="D13384" s="111" t="str">
        <f t="shared" ref="D13384:E13384" si="13382">TRIM(B13384)</f>
        <v>Oregon</v>
      </c>
      <c r="E13384" s="111" t="str">
        <f t="shared" si="13382"/>
        <v>Yamhill</v>
      </c>
    </row>
    <row r="13385" spans="1:5">
      <c r="A13385" s="3" t="s">
        <v>24453</v>
      </c>
      <c r="B13385" s="110" t="s">
        <v>1363</v>
      </c>
      <c r="C13385" s="111" t="s">
        <v>24454</v>
      </c>
      <c r="D13385" s="111" t="str">
        <f t="shared" ref="D13385:E13385" si="13383">TRIM(B13385)</f>
        <v>Oregon</v>
      </c>
      <c r="E13385" s="111" t="str">
        <f t="shared" si="13383"/>
        <v>Yoncalla</v>
      </c>
    </row>
    <row r="13386" spans="1:5">
      <c r="A13386" s="3" t="s">
        <v>24455</v>
      </c>
      <c r="B13386" s="110" t="s">
        <v>1364</v>
      </c>
      <c r="C13386" s="111" t="s">
        <v>16536</v>
      </c>
      <c r="D13386" s="111" t="str">
        <f t="shared" ref="D13386:E13386" si="13384">TRIM(B13386)</f>
        <v>Pennsylvania</v>
      </c>
      <c r="E13386" s="111" t="str">
        <f t="shared" si="13384"/>
        <v>Abington</v>
      </c>
    </row>
    <row r="13387" spans="1:5">
      <c r="A13387" s="3" t="s">
        <v>24456</v>
      </c>
      <c r="B13387" s="110" t="s">
        <v>1364</v>
      </c>
      <c r="C13387" s="111" t="s">
        <v>11950</v>
      </c>
      <c r="D13387" s="111" t="str">
        <f t="shared" ref="D13387:E13387" si="13385">TRIM(B13387)</f>
        <v>Pennsylvania</v>
      </c>
      <c r="E13387" s="111" t="str">
        <f t="shared" si="13385"/>
        <v>Albion</v>
      </c>
    </row>
    <row r="13388" spans="1:5">
      <c r="A13388" s="3" t="s">
        <v>24457</v>
      </c>
      <c r="B13388" s="110" t="s">
        <v>1364</v>
      </c>
      <c r="C13388" s="111" t="s">
        <v>831</v>
      </c>
      <c r="D13388" s="111" t="str">
        <f t="shared" ref="D13388:E13388" si="13386">TRIM(B13388)</f>
        <v>Pennsylvania</v>
      </c>
      <c r="E13388" s="111" t="str">
        <f t="shared" si="13386"/>
        <v>Alexandria</v>
      </c>
    </row>
    <row r="13389" spans="1:5">
      <c r="A13389" s="3" t="s">
        <v>24458</v>
      </c>
      <c r="B13389" s="110" t="s">
        <v>1364</v>
      </c>
      <c r="C13389" s="111" t="s">
        <v>24459</v>
      </c>
      <c r="D13389" s="111" t="str">
        <f t="shared" ref="D13389:E13389" si="13387">TRIM(B13389)</f>
        <v>Pennsylvania</v>
      </c>
      <c r="E13389" s="111" t="str">
        <f t="shared" si="13387"/>
        <v>Aliquippa</v>
      </c>
    </row>
    <row r="13390" spans="1:5">
      <c r="A13390" s="3" t="s">
        <v>24460</v>
      </c>
      <c r="B13390" s="110" t="s">
        <v>1364</v>
      </c>
      <c r="C13390" s="111" t="s">
        <v>24459</v>
      </c>
      <c r="D13390" s="111" t="str">
        <f t="shared" ref="D13390:E13390" si="13388">TRIM(B13390)</f>
        <v>Pennsylvania</v>
      </c>
      <c r="E13390" s="111" t="str">
        <f t="shared" si="13388"/>
        <v>Aliquippa</v>
      </c>
    </row>
    <row r="13391" spans="1:5">
      <c r="A13391" s="110" t="s">
        <v>24461</v>
      </c>
      <c r="B13391" s="110" t="s">
        <v>1364</v>
      </c>
      <c r="C13391" s="111" t="s">
        <v>244</v>
      </c>
      <c r="D13391" s="111" t="str">
        <f t="shared" ref="D13391:E13391" si="13389">TRIM(B13391)</f>
        <v>Pennsylvania</v>
      </c>
      <c r="E13391" s="111" t="str">
        <f t="shared" si="13389"/>
        <v>Allentown</v>
      </c>
    </row>
    <row r="13392" spans="1:5">
      <c r="A13392" s="3" t="s">
        <v>24462</v>
      </c>
      <c r="B13392" s="110" t="s">
        <v>1364</v>
      </c>
      <c r="C13392" s="111" t="s">
        <v>244</v>
      </c>
      <c r="D13392" s="111" t="str">
        <f t="shared" ref="D13392:E13392" si="13390">TRIM(B13392)</f>
        <v>Pennsylvania</v>
      </c>
      <c r="E13392" s="111" t="str">
        <f t="shared" si="13390"/>
        <v>Allentown</v>
      </c>
    </row>
    <row r="13393" spans="1:5">
      <c r="A13393" s="3" t="s">
        <v>22533</v>
      </c>
      <c r="B13393" s="110" t="s">
        <v>1364</v>
      </c>
      <c r="C13393" s="111" t="s">
        <v>244</v>
      </c>
      <c r="D13393" s="111" t="str">
        <f t="shared" ref="D13393:E13393" si="13391">TRIM(B13393)</f>
        <v>Pennsylvania</v>
      </c>
      <c r="E13393" s="111" t="str">
        <f t="shared" si="13391"/>
        <v>Allentown</v>
      </c>
    </row>
    <row r="13394" spans="1:5">
      <c r="A13394" s="3" t="s">
        <v>24463</v>
      </c>
      <c r="B13394" s="110" t="s">
        <v>1364</v>
      </c>
      <c r="C13394" s="111" t="s">
        <v>244</v>
      </c>
      <c r="D13394" s="111" t="str">
        <f t="shared" ref="D13394:E13394" si="13392">TRIM(B13394)</f>
        <v>Pennsylvania</v>
      </c>
      <c r="E13394" s="111" t="str">
        <f t="shared" si="13392"/>
        <v>Allentown</v>
      </c>
    </row>
    <row r="13395" spans="1:5">
      <c r="A13395" s="3" t="s">
        <v>24464</v>
      </c>
      <c r="B13395" s="110" t="s">
        <v>1364</v>
      </c>
      <c r="C13395" s="111" t="s">
        <v>244</v>
      </c>
      <c r="D13395" s="111" t="str">
        <f t="shared" ref="D13395:E13395" si="13393">TRIM(B13395)</f>
        <v>Pennsylvania</v>
      </c>
      <c r="E13395" s="111" t="str">
        <f t="shared" si="13393"/>
        <v>Allentown</v>
      </c>
    </row>
    <row r="13396" spans="1:5">
      <c r="A13396" s="3" t="s">
        <v>3839</v>
      </c>
      <c r="B13396" s="110" t="s">
        <v>1364</v>
      </c>
      <c r="C13396" s="111" t="s">
        <v>24465</v>
      </c>
      <c r="D13396" s="111" t="str">
        <f t="shared" ref="D13396:E13396" si="13394">TRIM(B13396)</f>
        <v>Pennsylvania</v>
      </c>
      <c r="E13396" s="111" t="str">
        <f t="shared" si="13394"/>
        <v>Allison Park</v>
      </c>
    </row>
    <row r="13397" spans="1:5">
      <c r="A13397" s="3" t="s">
        <v>24466</v>
      </c>
      <c r="B13397" s="110" t="s">
        <v>1364</v>
      </c>
      <c r="C13397" s="111" t="s">
        <v>13069</v>
      </c>
      <c r="D13397" s="111" t="str">
        <f t="shared" ref="D13397:E13397" si="13395">TRIM(B13397)</f>
        <v>Pennsylvania</v>
      </c>
      <c r="E13397" s="111" t="str">
        <f t="shared" si="13395"/>
        <v>Altoona</v>
      </c>
    </row>
    <row r="13398" spans="1:5">
      <c r="A13398" s="110" t="s">
        <v>24467</v>
      </c>
      <c r="B13398" s="110" t="s">
        <v>1364</v>
      </c>
      <c r="C13398" s="111" t="s">
        <v>13069</v>
      </c>
      <c r="D13398" s="111" t="str">
        <f t="shared" ref="D13398:E13398" si="13396">TRIM(B13398)</f>
        <v>Pennsylvania</v>
      </c>
      <c r="E13398" s="111" t="str">
        <f t="shared" si="13396"/>
        <v>Altoona</v>
      </c>
    </row>
    <row r="13399" spans="1:5">
      <c r="A13399" s="3" t="s">
        <v>24468</v>
      </c>
      <c r="B13399" s="110" t="s">
        <v>1364</v>
      </c>
      <c r="C13399" s="111" t="s">
        <v>24469</v>
      </c>
      <c r="D13399" s="111" t="str">
        <f t="shared" ref="D13399:E13399" si="13397">TRIM(B13399)</f>
        <v>Pennsylvania</v>
      </c>
      <c r="E13399" s="111" t="str">
        <f t="shared" si="13397"/>
        <v>Alverton</v>
      </c>
    </row>
    <row r="13400" spans="1:5">
      <c r="A13400" s="3" t="s">
        <v>24470</v>
      </c>
      <c r="B13400" s="110" t="s">
        <v>1364</v>
      </c>
      <c r="C13400" s="111" t="s">
        <v>24471</v>
      </c>
      <c r="D13400" s="111" t="str">
        <f t="shared" ref="D13400:E13400" si="13398">TRIM(B13400)</f>
        <v>Pennsylvania</v>
      </c>
      <c r="E13400" s="111" t="str">
        <f t="shared" si="13398"/>
        <v>Ambler</v>
      </c>
    </row>
    <row r="13401" spans="1:5">
      <c r="A13401" s="3" t="s">
        <v>24472</v>
      </c>
      <c r="B13401" s="110" t="s">
        <v>1364</v>
      </c>
      <c r="C13401" s="111" t="s">
        <v>24473</v>
      </c>
      <c r="D13401" s="111" t="str">
        <f t="shared" ref="D13401:E13401" si="13399">TRIM(B13401)</f>
        <v>Pennsylvania</v>
      </c>
      <c r="E13401" s="111" t="str">
        <f t="shared" si="13399"/>
        <v>Ambridge</v>
      </c>
    </row>
    <row r="13402" spans="1:5">
      <c r="A13402" s="3" t="s">
        <v>24474</v>
      </c>
      <c r="B13402" s="110" t="s">
        <v>1364</v>
      </c>
      <c r="C13402" s="111" t="s">
        <v>24475</v>
      </c>
      <c r="D13402" s="111" t="str">
        <f t="shared" ref="D13402:E13402" si="13400">TRIM(B13402)</f>
        <v>Pennsylvania</v>
      </c>
      <c r="E13402" s="111" t="str">
        <f t="shared" si="13400"/>
        <v>Annville</v>
      </c>
    </row>
    <row r="13403" spans="1:5">
      <c r="A13403" s="3" t="s">
        <v>3908</v>
      </c>
      <c r="B13403" s="110" t="s">
        <v>1364</v>
      </c>
      <c r="C13403" s="111" t="s">
        <v>24476</v>
      </c>
      <c r="D13403" s="111" t="str">
        <f t="shared" ref="D13403:E13403" si="13401">TRIM(B13403)</f>
        <v>Pennsylvania</v>
      </c>
      <c r="E13403" s="111" t="str">
        <f t="shared" si="13401"/>
        <v>Archbald</v>
      </c>
    </row>
    <row r="13404" spans="1:5">
      <c r="A13404" s="3" t="s">
        <v>24477</v>
      </c>
      <c r="B13404" s="110" t="s">
        <v>1364</v>
      </c>
      <c r="C13404" s="111" t="s">
        <v>1511</v>
      </c>
      <c r="D13404" s="111" t="str">
        <f t="shared" ref="D13404:E13404" si="13402">TRIM(B13404)</f>
        <v>Pennsylvania</v>
      </c>
      <c r="E13404" s="111" t="str">
        <f t="shared" si="13402"/>
        <v>Ardmore</v>
      </c>
    </row>
    <row r="13405" spans="1:5">
      <c r="A13405" s="3" t="s">
        <v>24478</v>
      </c>
      <c r="B13405" s="110" t="s">
        <v>1364</v>
      </c>
      <c r="C13405" s="111" t="s">
        <v>24479</v>
      </c>
      <c r="D13405" s="111" t="str">
        <f t="shared" ref="D13405:E13405" si="13403">TRIM(B13405)</f>
        <v>Pennsylvania</v>
      </c>
      <c r="E13405" s="111" t="str">
        <f t="shared" si="13403"/>
        <v>Armagh</v>
      </c>
    </row>
    <row r="13406" spans="1:5">
      <c r="A13406" s="3" t="s">
        <v>24480</v>
      </c>
      <c r="B13406" s="110" t="s">
        <v>1364</v>
      </c>
      <c r="C13406" s="111" t="s">
        <v>10817</v>
      </c>
      <c r="D13406" s="111" t="str">
        <f t="shared" ref="D13406:E13406" si="13404">TRIM(B13406)</f>
        <v>Pennsylvania</v>
      </c>
      <c r="E13406" s="111" t="str">
        <f t="shared" si="13404"/>
        <v>Ashland</v>
      </c>
    </row>
    <row r="13407" spans="1:5">
      <c r="A13407" s="3" t="s">
        <v>2856</v>
      </c>
      <c r="B13407" s="110" t="s">
        <v>1364</v>
      </c>
      <c r="C13407" s="111" t="s">
        <v>24481</v>
      </c>
      <c r="D13407" s="111" t="str">
        <f t="shared" ref="D13407:E13407" si="13405">TRIM(B13407)</f>
        <v>Pennsylvania</v>
      </c>
      <c r="E13407" s="111" t="str">
        <f t="shared" si="13405"/>
        <v>Aston</v>
      </c>
    </row>
    <row r="13408" spans="1:5">
      <c r="A13408" s="3" t="s">
        <v>24482</v>
      </c>
      <c r="B13408" s="110" t="s">
        <v>1364</v>
      </c>
      <c r="C13408" s="111" t="s">
        <v>24483</v>
      </c>
      <c r="D13408" s="111" t="str">
        <f t="shared" ref="D13408:E13408" si="13406">TRIM(B13408)</f>
        <v>Pennsylvania</v>
      </c>
      <c r="E13408" s="111" t="str">
        <f t="shared" si="13406"/>
        <v>Atglen</v>
      </c>
    </row>
    <row r="13409" spans="1:5">
      <c r="A13409" s="3" t="s">
        <v>24484</v>
      </c>
      <c r="B13409" s="110" t="s">
        <v>1364</v>
      </c>
      <c r="C13409" s="111" t="s">
        <v>327</v>
      </c>
      <c r="D13409" s="111" t="str">
        <f t="shared" ref="D13409:E13409" si="13407">TRIM(B13409)</f>
        <v>Pennsylvania</v>
      </c>
      <c r="E13409" s="111" t="str">
        <f t="shared" si="13407"/>
        <v>Athens</v>
      </c>
    </row>
    <row r="13410" spans="1:5">
      <c r="A13410" s="3" t="s">
        <v>24485</v>
      </c>
      <c r="B13410" s="110" t="s">
        <v>1364</v>
      </c>
      <c r="C13410" s="111" t="s">
        <v>574</v>
      </c>
      <c r="D13410" s="111" t="str">
        <f t="shared" ref="D13410:E13410" si="13408">TRIM(B13410)</f>
        <v>Pennsylvania</v>
      </c>
      <c r="E13410" s="111" t="str">
        <f t="shared" si="13408"/>
        <v>Austin</v>
      </c>
    </row>
    <row r="13411" spans="1:5">
      <c r="A13411" s="3" t="s">
        <v>24486</v>
      </c>
      <c r="B13411" s="110" t="s">
        <v>1364</v>
      </c>
      <c r="C13411" s="111" t="s">
        <v>24487</v>
      </c>
      <c r="D13411" s="111" t="str">
        <f t="shared" ref="D13411:E13411" si="13409">TRIM(B13411)</f>
        <v>Pennsylvania</v>
      </c>
      <c r="E13411" s="111" t="str">
        <f t="shared" si="13409"/>
        <v>Avella</v>
      </c>
    </row>
    <row r="13412" spans="1:5">
      <c r="A13412" s="3" t="s">
        <v>24488</v>
      </c>
      <c r="B13412" s="110" t="s">
        <v>1364</v>
      </c>
      <c r="C13412" s="111" t="s">
        <v>7717</v>
      </c>
      <c r="D13412" s="111" t="str">
        <f t="shared" ref="D13412:E13412" si="13410">TRIM(B13412)</f>
        <v>Pennsylvania</v>
      </c>
      <c r="E13412" s="111" t="str">
        <f t="shared" si="13410"/>
        <v>Bangor</v>
      </c>
    </row>
    <row r="13413" spans="1:5">
      <c r="A13413" s="3" t="s">
        <v>24489</v>
      </c>
      <c r="B13413" s="110" t="s">
        <v>1364</v>
      </c>
      <c r="C13413" s="111" t="s">
        <v>22816</v>
      </c>
      <c r="D13413" s="111" t="str">
        <f t="shared" ref="D13413:E13413" si="13411">TRIM(B13413)</f>
        <v>Pennsylvania</v>
      </c>
      <c r="E13413" s="111" t="str">
        <f t="shared" si="13411"/>
        <v>Beaver</v>
      </c>
    </row>
    <row r="13414" spans="1:5">
      <c r="A13414" s="3" t="s">
        <v>24490</v>
      </c>
      <c r="B13414" s="110" t="s">
        <v>1364</v>
      </c>
      <c r="C13414" s="111" t="s">
        <v>20728</v>
      </c>
      <c r="D13414" s="111" t="str">
        <f t="shared" ref="D13414:E13414" si="13412">TRIM(B13414)</f>
        <v>Pennsylvania</v>
      </c>
      <c r="E13414" s="111" t="str">
        <f t="shared" si="13412"/>
        <v>Beaver Falls</v>
      </c>
    </row>
    <row r="13415" spans="1:5">
      <c r="A13415" s="3" t="s">
        <v>24491</v>
      </c>
      <c r="B13415" s="110" t="s">
        <v>1364</v>
      </c>
      <c r="C13415" s="111" t="s">
        <v>20728</v>
      </c>
      <c r="D13415" s="111" t="str">
        <f t="shared" ref="D13415:E13415" si="13413">TRIM(B13415)</f>
        <v>Pennsylvania</v>
      </c>
      <c r="E13415" s="111" t="str">
        <f t="shared" si="13413"/>
        <v>Beaver Falls</v>
      </c>
    </row>
    <row r="13416" spans="1:5">
      <c r="A13416" s="3" t="s">
        <v>24492</v>
      </c>
      <c r="B13416" s="110" t="s">
        <v>1364</v>
      </c>
      <c r="C13416" s="111" t="s">
        <v>14119</v>
      </c>
      <c r="D13416" s="111" t="str">
        <f t="shared" ref="D13416:E13416" si="13414">TRIM(B13416)</f>
        <v>Pennsylvania</v>
      </c>
      <c r="E13416" s="111" t="str">
        <f t="shared" si="13414"/>
        <v>Bedford</v>
      </c>
    </row>
    <row r="13417" spans="1:5">
      <c r="A13417" s="3" t="s">
        <v>24493</v>
      </c>
      <c r="B13417" s="110" t="s">
        <v>1364</v>
      </c>
      <c r="C13417" s="111" t="s">
        <v>24494</v>
      </c>
      <c r="D13417" s="111" t="str">
        <f t="shared" ref="D13417:E13417" si="13415">TRIM(B13417)</f>
        <v>Pennsylvania</v>
      </c>
      <c r="E13417" s="111" t="str">
        <f t="shared" si="13415"/>
        <v>Belle Vernon</v>
      </c>
    </row>
    <row r="13418" spans="1:5">
      <c r="A13418" s="3" t="s">
        <v>24495</v>
      </c>
      <c r="B13418" s="110" t="s">
        <v>1364</v>
      </c>
      <c r="C13418" s="111" t="s">
        <v>24496</v>
      </c>
      <c r="D13418" s="111" t="str">
        <f t="shared" ref="D13418:E13418" si="13416">TRIM(B13418)</f>
        <v>Pennsylvania</v>
      </c>
      <c r="E13418" s="111" t="str">
        <f t="shared" si="13416"/>
        <v>Bellefonte</v>
      </c>
    </row>
    <row r="13419" spans="1:5">
      <c r="A13419" s="3" t="s">
        <v>24497</v>
      </c>
      <c r="B13419" s="110" t="s">
        <v>1364</v>
      </c>
      <c r="C13419" s="111" t="s">
        <v>24498</v>
      </c>
      <c r="D13419" s="111" t="str">
        <f t="shared" ref="D13419:E13419" si="13417">TRIM(B13419)</f>
        <v>Pennsylvania</v>
      </c>
      <c r="E13419" s="111" t="str">
        <f t="shared" si="13417"/>
        <v>Bellwood</v>
      </c>
    </row>
    <row r="13420" spans="1:5">
      <c r="A13420" s="3" t="s">
        <v>24499</v>
      </c>
      <c r="B13420" s="110" t="s">
        <v>1364</v>
      </c>
      <c r="C13420" s="111" t="s">
        <v>13090</v>
      </c>
      <c r="D13420" s="111" t="str">
        <f t="shared" ref="D13420:E13420" si="13418">TRIM(B13420)</f>
        <v>Pennsylvania</v>
      </c>
      <c r="E13420" s="111" t="str">
        <f t="shared" si="13418"/>
        <v>Bensalem</v>
      </c>
    </row>
    <row r="13421" spans="1:5">
      <c r="A13421" s="3" t="s">
        <v>24500</v>
      </c>
      <c r="B13421" s="110" t="s">
        <v>1364</v>
      </c>
      <c r="C13421" s="111" t="s">
        <v>24501</v>
      </c>
      <c r="D13421" s="111" t="str">
        <f t="shared" ref="D13421:E13421" si="13419">TRIM(B13421)</f>
        <v>Pennsylvania</v>
      </c>
      <c r="E13421" s="111" t="str">
        <f t="shared" si="13419"/>
        <v>Bentleyville</v>
      </c>
    </row>
    <row r="13422" spans="1:5">
      <c r="A13422" s="3" t="s">
        <v>24502</v>
      </c>
      <c r="B13422" s="110" t="s">
        <v>1364</v>
      </c>
      <c r="C13422" s="111" t="s">
        <v>3604</v>
      </c>
      <c r="D13422" s="111" t="str">
        <f t="shared" ref="D13422:E13422" si="13420">TRIM(B13422)</f>
        <v>Pennsylvania</v>
      </c>
      <c r="E13422" s="111" t="str">
        <f t="shared" si="13420"/>
        <v>Benton</v>
      </c>
    </row>
    <row r="13423" spans="1:5">
      <c r="A13423" s="3" t="s">
        <v>24503</v>
      </c>
      <c r="B13423" s="110" t="s">
        <v>1364</v>
      </c>
      <c r="C13423" s="111" t="s">
        <v>8338</v>
      </c>
      <c r="D13423" s="111" t="str">
        <f t="shared" ref="D13423:E13423" si="13421">TRIM(B13423)</f>
        <v>Pennsylvania</v>
      </c>
      <c r="E13423" s="111" t="str">
        <f t="shared" si="13421"/>
        <v>Berlin</v>
      </c>
    </row>
    <row r="13424" spans="1:5">
      <c r="A13424" s="3" t="s">
        <v>24504</v>
      </c>
      <c r="B13424" s="110" t="s">
        <v>1364</v>
      </c>
      <c r="C13424" s="111" t="s">
        <v>24505</v>
      </c>
      <c r="D13424" s="111" t="str">
        <f t="shared" ref="D13424:E13424" si="13422">TRIM(B13424)</f>
        <v>Pennsylvania</v>
      </c>
      <c r="E13424" s="111" t="str">
        <f t="shared" si="13422"/>
        <v>Bernville</v>
      </c>
    </row>
    <row r="13425" spans="1:5">
      <c r="A13425" s="3" t="s">
        <v>24506</v>
      </c>
      <c r="B13425" s="110" t="s">
        <v>1364</v>
      </c>
      <c r="C13425" s="111" t="s">
        <v>15888</v>
      </c>
      <c r="D13425" s="111" t="str">
        <f t="shared" ref="D13425:E13425" si="13423">TRIM(B13425)</f>
        <v>Pennsylvania</v>
      </c>
      <c r="E13425" s="111" t="str">
        <f t="shared" si="13423"/>
        <v>Berwick</v>
      </c>
    </row>
    <row r="13426" spans="1:5">
      <c r="A13426" s="3" t="s">
        <v>24507</v>
      </c>
      <c r="B13426" s="110" t="s">
        <v>1364</v>
      </c>
      <c r="C13426" s="111" t="s">
        <v>501</v>
      </c>
      <c r="D13426" s="111" t="str">
        <f t="shared" ref="D13426:E13426" si="13424">TRIM(B13426)</f>
        <v>Pennsylvania</v>
      </c>
      <c r="E13426" s="111" t="str">
        <f t="shared" si="13424"/>
        <v>Berwyn</v>
      </c>
    </row>
    <row r="13427" spans="1:5">
      <c r="A13427" s="3" t="s">
        <v>24508</v>
      </c>
      <c r="B13427" s="110" t="s">
        <v>1364</v>
      </c>
      <c r="C13427" s="111" t="s">
        <v>1545</v>
      </c>
      <c r="D13427" s="111" t="str">
        <f t="shared" ref="D13427:E13427" si="13425">TRIM(B13427)</f>
        <v>Pennsylvania</v>
      </c>
      <c r="E13427" s="111" t="str">
        <f t="shared" si="13425"/>
        <v>Bessemer</v>
      </c>
    </row>
    <row r="13428" spans="1:5">
      <c r="A13428" s="3" t="s">
        <v>24509</v>
      </c>
      <c r="B13428" s="110" t="s">
        <v>1364</v>
      </c>
      <c r="C13428" s="111" t="s">
        <v>24510</v>
      </c>
      <c r="D13428" s="111" t="str">
        <f t="shared" ref="D13428:E13428" si="13426">TRIM(B13428)</f>
        <v>Pennsylvania</v>
      </c>
      <c r="E13428" s="111" t="str">
        <f t="shared" si="13426"/>
        <v>Bethel Park</v>
      </c>
    </row>
    <row r="13429" spans="1:5">
      <c r="A13429" s="3" t="s">
        <v>6200</v>
      </c>
      <c r="B13429" s="110" t="s">
        <v>1364</v>
      </c>
      <c r="C13429" s="111" t="s">
        <v>9833</v>
      </c>
      <c r="D13429" s="111" t="str">
        <f t="shared" ref="D13429:E13429" si="13427">TRIM(B13429)</f>
        <v>Pennsylvania</v>
      </c>
      <c r="E13429" s="111" t="str">
        <f t="shared" si="13427"/>
        <v>Bethlehem</v>
      </c>
    </row>
    <row r="13430" spans="1:5">
      <c r="A13430" s="3" t="s">
        <v>24511</v>
      </c>
      <c r="B13430" s="110" t="s">
        <v>1364</v>
      </c>
      <c r="C13430" s="111" t="s">
        <v>9833</v>
      </c>
      <c r="D13430" s="111" t="str">
        <f t="shared" ref="D13430:E13430" si="13428">TRIM(B13430)</f>
        <v>Pennsylvania</v>
      </c>
      <c r="E13430" s="111" t="str">
        <f t="shared" si="13428"/>
        <v>Bethlehem</v>
      </c>
    </row>
    <row r="13431" spans="1:5">
      <c r="A13431" s="3" t="s">
        <v>2745</v>
      </c>
      <c r="B13431" s="110" t="s">
        <v>1364</v>
      </c>
      <c r="C13431" s="111" t="s">
        <v>9833</v>
      </c>
      <c r="D13431" s="111" t="str">
        <f t="shared" ref="D13431:E13431" si="13429">TRIM(B13431)</f>
        <v>Pennsylvania</v>
      </c>
      <c r="E13431" s="111" t="str">
        <f t="shared" si="13429"/>
        <v>Bethlehem</v>
      </c>
    </row>
    <row r="13432" spans="1:5">
      <c r="A13432" s="3" t="s">
        <v>24512</v>
      </c>
      <c r="B13432" s="110" t="s">
        <v>1364</v>
      </c>
      <c r="C13432" s="111" t="s">
        <v>24513</v>
      </c>
      <c r="D13432" s="111" t="str">
        <f t="shared" ref="D13432:E13432" si="13430">TRIM(B13432)</f>
        <v>Pennsylvania</v>
      </c>
      <c r="E13432" s="111" t="str">
        <f t="shared" si="13430"/>
        <v>Biglerville</v>
      </c>
    </row>
    <row r="13433" spans="1:5">
      <c r="A13433" s="3" t="s">
        <v>24514</v>
      </c>
      <c r="B13433" s="110" t="s">
        <v>1364</v>
      </c>
      <c r="C13433" s="111" t="s">
        <v>24515</v>
      </c>
      <c r="D13433" s="111" t="str">
        <f t="shared" ref="D13433:E13433" si="13431">TRIM(B13433)</f>
        <v>Pennsylvania</v>
      </c>
      <c r="E13433" s="111" t="str">
        <f t="shared" si="13431"/>
        <v>Birdsboro</v>
      </c>
    </row>
    <row r="13434" spans="1:5">
      <c r="A13434" s="3" t="s">
        <v>24516</v>
      </c>
      <c r="B13434" s="110" t="s">
        <v>1364</v>
      </c>
      <c r="C13434" s="111" t="s">
        <v>10434</v>
      </c>
      <c r="D13434" s="111" t="str">
        <f t="shared" ref="D13434:E13434" si="13432">TRIM(B13434)</f>
        <v>Pennsylvania</v>
      </c>
      <c r="E13434" s="111" t="str">
        <f t="shared" si="13432"/>
        <v>Blairsville</v>
      </c>
    </row>
    <row r="13435" spans="1:5">
      <c r="A13435" s="3" t="s">
        <v>24517</v>
      </c>
      <c r="B13435" s="110" t="s">
        <v>1364</v>
      </c>
      <c r="C13435" s="111" t="s">
        <v>24518</v>
      </c>
      <c r="D13435" s="111" t="str">
        <f t="shared" ref="D13435:E13435" si="13433">TRIM(B13435)</f>
        <v>Pennsylvania</v>
      </c>
      <c r="E13435" s="111" t="str">
        <f t="shared" si="13433"/>
        <v>Bloomsburg</v>
      </c>
    </row>
    <row r="13436" spans="1:5">
      <c r="A13436" s="3" t="s">
        <v>24519</v>
      </c>
      <c r="B13436" s="110" t="s">
        <v>1364</v>
      </c>
      <c r="C13436" s="111" t="s">
        <v>24518</v>
      </c>
      <c r="D13436" s="111" t="str">
        <f t="shared" ref="D13436:E13436" si="13434">TRIM(B13436)</f>
        <v>Pennsylvania</v>
      </c>
      <c r="E13436" s="111" t="str">
        <f t="shared" si="13434"/>
        <v>Bloomsburg</v>
      </c>
    </row>
    <row r="13437" spans="1:5">
      <c r="A13437" s="110" t="s">
        <v>24520</v>
      </c>
      <c r="B13437" s="110" t="s">
        <v>1364</v>
      </c>
      <c r="C13437" s="111" t="s">
        <v>24518</v>
      </c>
      <c r="D13437" s="111" t="str">
        <f t="shared" ref="D13437:E13437" si="13435">TRIM(B13437)</f>
        <v>Pennsylvania</v>
      </c>
      <c r="E13437" s="111" t="str">
        <f t="shared" si="13435"/>
        <v>Bloomsburg</v>
      </c>
    </row>
    <row r="13438" spans="1:5">
      <c r="A13438" s="3" t="s">
        <v>24521</v>
      </c>
      <c r="B13438" s="110" t="s">
        <v>1364</v>
      </c>
      <c r="C13438" s="111" t="s">
        <v>24522</v>
      </c>
      <c r="D13438" s="111" t="str">
        <f t="shared" ref="D13438:E13438" si="13436">TRIM(B13438)</f>
        <v>Pennsylvania</v>
      </c>
      <c r="E13438" s="111" t="str">
        <f t="shared" si="13436"/>
        <v>Boiling Springs</v>
      </c>
    </row>
    <row r="13439" spans="1:5">
      <c r="A13439" s="3" t="s">
        <v>24523</v>
      </c>
      <c r="B13439" s="110" t="s">
        <v>1364</v>
      </c>
      <c r="C13439" s="111" t="s">
        <v>24524</v>
      </c>
      <c r="D13439" s="111" t="str">
        <f t="shared" ref="D13439:E13439" si="13437">TRIM(B13439)</f>
        <v>Pennsylvania</v>
      </c>
      <c r="E13439" s="111" t="str">
        <f t="shared" si="13437"/>
        <v>Boothwyn</v>
      </c>
    </row>
    <row r="13440" spans="1:5">
      <c r="A13440" s="3" t="s">
        <v>19427</v>
      </c>
      <c r="B13440" s="110" t="s">
        <v>1364</v>
      </c>
      <c r="C13440" s="111" t="s">
        <v>23679</v>
      </c>
      <c r="D13440" s="111" t="str">
        <f t="shared" ref="D13440:E13440" si="13438">TRIM(B13440)</f>
        <v>Pennsylvania</v>
      </c>
      <c r="E13440" s="111" t="str">
        <f t="shared" si="13438"/>
        <v>Boswell</v>
      </c>
    </row>
    <row r="13441" spans="1:5">
      <c r="A13441" s="3" t="s">
        <v>24525</v>
      </c>
      <c r="B13441" s="110" t="s">
        <v>1364</v>
      </c>
      <c r="C13441" s="111" t="s">
        <v>24526</v>
      </c>
      <c r="D13441" s="111" t="str">
        <f t="shared" ref="D13441:E13441" si="13439">TRIM(B13441)</f>
        <v>Pennsylvania</v>
      </c>
      <c r="E13441" s="111" t="str">
        <f t="shared" si="13439"/>
        <v>Boyertown</v>
      </c>
    </row>
    <row r="13442" spans="1:5">
      <c r="A13442" s="3" t="s">
        <v>24527</v>
      </c>
      <c r="B13442" s="110" t="s">
        <v>1364</v>
      </c>
      <c r="C13442" s="111" t="s">
        <v>3641</v>
      </c>
      <c r="D13442" s="111" t="str">
        <f t="shared" ref="D13442:E13442" si="13440">TRIM(B13442)</f>
        <v>Pennsylvania</v>
      </c>
      <c r="E13442" s="111" t="str">
        <f t="shared" si="13440"/>
        <v>Bradford</v>
      </c>
    </row>
    <row r="13443" spans="1:5">
      <c r="A13443" s="3" t="s">
        <v>24528</v>
      </c>
      <c r="B13443" s="110" t="s">
        <v>1364</v>
      </c>
      <c r="C13443" s="111" t="s">
        <v>13190</v>
      </c>
      <c r="D13443" s="111" t="str">
        <f t="shared" ref="D13443:E13443" si="13441">TRIM(B13443)</f>
        <v>Pennsylvania</v>
      </c>
      <c r="E13443" s="111" t="str">
        <f t="shared" si="13441"/>
        <v>Bridgeville</v>
      </c>
    </row>
    <row r="13444" spans="1:5">
      <c r="A13444" s="3" t="s">
        <v>22846</v>
      </c>
      <c r="B13444" s="110" t="s">
        <v>1364</v>
      </c>
      <c r="C13444" s="111" t="s">
        <v>561</v>
      </c>
      <c r="D13444" s="111" t="str">
        <f t="shared" ref="D13444:E13444" si="13442">TRIM(B13444)</f>
        <v>Pennsylvania</v>
      </c>
      <c r="E13444" s="111" t="str">
        <f t="shared" si="13442"/>
        <v>Bristol</v>
      </c>
    </row>
    <row r="13445" spans="1:5">
      <c r="A13445" s="3" t="s">
        <v>24529</v>
      </c>
      <c r="B13445" s="110" t="s">
        <v>1364</v>
      </c>
      <c r="C13445" s="111" t="s">
        <v>24530</v>
      </c>
      <c r="D13445" s="111" t="str">
        <f t="shared" ref="D13445:E13445" si="13443">TRIM(B13445)</f>
        <v>Pennsylvania</v>
      </c>
      <c r="E13445" s="111" t="str">
        <f t="shared" si="13443"/>
        <v>Brockway</v>
      </c>
    </row>
    <row r="13446" spans="1:5">
      <c r="A13446" s="3" t="s">
        <v>1893</v>
      </c>
      <c r="B13446" s="110" t="s">
        <v>1364</v>
      </c>
      <c r="C13446" s="111" t="s">
        <v>24531</v>
      </c>
      <c r="D13446" s="111" t="str">
        <f t="shared" ref="D13446:E13446" si="13444">TRIM(B13446)</f>
        <v>Pennsylvania</v>
      </c>
      <c r="E13446" s="111" t="str">
        <f t="shared" si="13444"/>
        <v>Brodheadsville</v>
      </c>
    </row>
    <row r="13447" spans="1:5">
      <c r="A13447" s="3" t="s">
        <v>24532</v>
      </c>
      <c r="B13447" s="110" t="s">
        <v>1364</v>
      </c>
      <c r="C13447" s="111" t="s">
        <v>14162</v>
      </c>
      <c r="D13447" s="111" t="str">
        <f t="shared" ref="D13447:E13447" si="13445">TRIM(B13447)</f>
        <v>Pennsylvania</v>
      </c>
      <c r="E13447" s="111" t="str">
        <f t="shared" si="13445"/>
        <v>Brookville</v>
      </c>
    </row>
    <row r="13448" spans="1:5">
      <c r="A13448" s="3" t="s">
        <v>24533</v>
      </c>
      <c r="B13448" s="110" t="s">
        <v>1364</v>
      </c>
      <c r="C13448" s="111" t="s">
        <v>426</v>
      </c>
      <c r="D13448" s="111" t="str">
        <f t="shared" ref="D13448:E13448" si="13446">TRIM(B13448)</f>
        <v>Pennsylvania</v>
      </c>
      <c r="E13448" s="111" t="str">
        <f t="shared" si="13446"/>
        <v>Brownsville</v>
      </c>
    </row>
    <row r="13449" spans="1:5">
      <c r="A13449" s="3" t="s">
        <v>24534</v>
      </c>
      <c r="B13449" s="110" t="s">
        <v>1364</v>
      </c>
      <c r="C13449" s="111" t="s">
        <v>13025</v>
      </c>
      <c r="D13449" s="111" t="str">
        <f t="shared" ref="D13449:E13449" si="13447">TRIM(B13449)</f>
        <v>Pennsylvania</v>
      </c>
      <c r="E13449" s="111" t="str">
        <f t="shared" si="13447"/>
        <v>Burgettstown</v>
      </c>
    </row>
    <row r="13450" spans="1:5">
      <c r="A13450" s="3" t="s">
        <v>24535</v>
      </c>
      <c r="B13450" s="110" t="s">
        <v>1364</v>
      </c>
      <c r="C13450" s="111" t="s">
        <v>1600</v>
      </c>
      <c r="D13450" s="111" t="str">
        <f t="shared" ref="D13450:E13450" si="13448">TRIM(B13450)</f>
        <v>Pennsylvania</v>
      </c>
      <c r="E13450" s="111" t="str">
        <f t="shared" si="13448"/>
        <v>Butler</v>
      </c>
    </row>
    <row r="13451" spans="1:5">
      <c r="A13451" s="3" t="s">
        <v>24536</v>
      </c>
      <c r="B13451" s="110" t="s">
        <v>1364</v>
      </c>
      <c r="C13451" s="111" t="s">
        <v>24537</v>
      </c>
      <c r="D13451" s="111" t="str">
        <f t="shared" ref="D13451:E13451" si="13449">TRIM(B13451)</f>
        <v>Pennsylvania</v>
      </c>
      <c r="E13451" s="111" t="str">
        <f t="shared" si="13449"/>
        <v>Cairnbrook</v>
      </c>
    </row>
    <row r="13452" spans="1:5">
      <c r="A13452" s="3" t="s">
        <v>24538</v>
      </c>
      <c r="B13452" s="110" t="s">
        <v>1364</v>
      </c>
      <c r="C13452" s="114" t="s">
        <v>24539</v>
      </c>
      <c r="D13452" s="111" t="str">
        <f t="shared" ref="D13452:E13452" si="13450">TRIM(B13452)</f>
        <v>Pennsylvania</v>
      </c>
      <c r="E13452" s="111" t="str">
        <f t="shared" si="13450"/>
        <v>Cambridge Springs</v>
      </c>
    </row>
    <row r="13453" spans="1:5">
      <c r="A13453" s="3" t="s">
        <v>24540</v>
      </c>
      <c r="B13453" s="110" t="s">
        <v>1364</v>
      </c>
      <c r="C13453" s="111" t="s">
        <v>24541</v>
      </c>
      <c r="D13453" s="111" t="str">
        <f t="shared" ref="D13453:E13453" si="13451">TRIM(B13453)</f>
        <v>Pennsylvania</v>
      </c>
      <c r="E13453" s="111" t="str">
        <f t="shared" si="13451"/>
        <v>Camp Hill</v>
      </c>
    </row>
    <row r="13454" spans="1:5">
      <c r="A13454" s="3" t="s">
        <v>24542</v>
      </c>
      <c r="B13454" s="110" t="s">
        <v>1364</v>
      </c>
      <c r="C13454" s="111" t="s">
        <v>24541</v>
      </c>
      <c r="D13454" s="111" t="str">
        <f t="shared" ref="D13454:E13454" si="13452">TRIM(B13454)</f>
        <v>Pennsylvania</v>
      </c>
      <c r="E13454" s="111" t="str">
        <f t="shared" si="13452"/>
        <v>Camp Hill</v>
      </c>
    </row>
    <row r="13455" spans="1:5">
      <c r="A13455" s="3" t="s">
        <v>24543</v>
      </c>
      <c r="B13455" s="110" t="s">
        <v>1364</v>
      </c>
      <c r="C13455" s="111" t="s">
        <v>24544</v>
      </c>
      <c r="D13455" s="111" t="str">
        <f t="shared" ref="D13455:E13455" si="13453">TRIM(B13455)</f>
        <v>Pennsylvania</v>
      </c>
      <c r="E13455" s="111" t="str">
        <f t="shared" si="13453"/>
        <v>Canonsburg</v>
      </c>
    </row>
    <row r="13456" spans="1:5">
      <c r="A13456" s="3" t="s">
        <v>24545</v>
      </c>
      <c r="B13456" s="110" t="s">
        <v>1364</v>
      </c>
      <c r="C13456" s="111" t="s">
        <v>1205</v>
      </c>
      <c r="D13456" s="111" t="str">
        <f t="shared" ref="D13456:E13456" si="13454">TRIM(B13456)</f>
        <v>Pennsylvania</v>
      </c>
      <c r="E13456" s="111" t="str">
        <f t="shared" si="13454"/>
        <v>Canton</v>
      </c>
    </row>
    <row r="13457" spans="1:5">
      <c r="A13457" s="3" t="s">
        <v>24546</v>
      </c>
      <c r="B13457" s="110" t="s">
        <v>1364</v>
      </c>
      <c r="C13457" s="111" t="s">
        <v>5964</v>
      </c>
      <c r="D13457" s="111" t="str">
        <f t="shared" ref="D13457:E13457" si="13455">TRIM(B13457)</f>
        <v>Pennsylvania</v>
      </c>
      <c r="E13457" s="111" t="str">
        <f t="shared" si="13455"/>
        <v>Carbondale</v>
      </c>
    </row>
    <row r="13458" spans="1:5">
      <c r="A13458" s="3" t="s">
        <v>24547</v>
      </c>
      <c r="B13458" s="110" t="s">
        <v>1364</v>
      </c>
      <c r="C13458" s="111" t="s">
        <v>3670</v>
      </c>
      <c r="D13458" s="111" t="str">
        <f t="shared" ref="D13458:E13458" si="13456">TRIM(B13458)</f>
        <v>Pennsylvania</v>
      </c>
      <c r="E13458" s="111" t="str">
        <f t="shared" si="13456"/>
        <v>Carlisle</v>
      </c>
    </row>
    <row r="13459" spans="1:5">
      <c r="A13459" s="3" t="s">
        <v>24548</v>
      </c>
      <c r="B13459" s="110" t="s">
        <v>1364</v>
      </c>
      <c r="C13459" s="111" t="s">
        <v>24549</v>
      </c>
      <c r="D13459" s="111" t="str">
        <f t="shared" ref="D13459:E13459" si="13457">TRIM(B13459)</f>
        <v>Pennsylvania</v>
      </c>
      <c r="E13459" s="111" t="str">
        <f t="shared" si="13457"/>
        <v>Carmichaels</v>
      </c>
    </row>
    <row r="13460" spans="1:5">
      <c r="A13460" s="3" t="s">
        <v>24550</v>
      </c>
      <c r="B13460" s="110" t="s">
        <v>1364</v>
      </c>
      <c r="C13460" s="111" t="s">
        <v>23704</v>
      </c>
      <c r="D13460" s="111" t="str">
        <f t="shared" ref="D13460:E13460" si="13458">TRIM(B13460)</f>
        <v>Pennsylvania</v>
      </c>
      <c r="E13460" s="111" t="str">
        <f t="shared" si="13458"/>
        <v>Carnegie</v>
      </c>
    </row>
    <row r="13461" spans="1:5">
      <c r="A13461" s="3" t="s">
        <v>24551</v>
      </c>
      <c r="B13461" s="110" t="s">
        <v>1364</v>
      </c>
      <c r="C13461" s="111" t="s">
        <v>24552</v>
      </c>
      <c r="D13461" s="111" t="str">
        <f t="shared" ref="D13461:E13461" si="13459">TRIM(B13461)</f>
        <v>Pennsylvania</v>
      </c>
      <c r="E13461" s="111" t="str">
        <f t="shared" si="13459"/>
        <v>Catasauqua</v>
      </c>
    </row>
    <row r="13462" spans="1:5">
      <c r="A13462" s="3" t="s">
        <v>24553</v>
      </c>
      <c r="B13462" s="110" t="s">
        <v>1364</v>
      </c>
      <c r="C13462" s="111" t="s">
        <v>24554</v>
      </c>
      <c r="D13462" s="111" t="str">
        <f t="shared" ref="D13462:E13462" si="13460">TRIM(B13462)</f>
        <v>Pennsylvania</v>
      </c>
      <c r="E13462" s="111" t="str">
        <f t="shared" si="13460"/>
        <v>Catawissa</v>
      </c>
    </row>
    <row r="13463" spans="1:5">
      <c r="A13463" s="3" t="s">
        <v>24555</v>
      </c>
      <c r="B13463" s="110" t="s">
        <v>1364</v>
      </c>
      <c r="C13463" s="111" t="s">
        <v>24556</v>
      </c>
      <c r="D13463" s="111" t="str">
        <f t="shared" ref="D13463:E13463" si="13461">TRIM(B13463)</f>
        <v>Pennsylvania</v>
      </c>
      <c r="E13463" s="111" t="str">
        <f t="shared" si="13461"/>
        <v>Center Valley</v>
      </c>
    </row>
    <row r="13464" spans="1:5">
      <c r="A13464" s="110" t="s">
        <v>24557</v>
      </c>
      <c r="B13464" s="110" t="s">
        <v>1364</v>
      </c>
      <c r="C13464" s="111" t="s">
        <v>24558</v>
      </c>
      <c r="D13464" s="111" t="str">
        <f t="shared" ref="D13464:E13464" si="13462">TRIM(B13464)</f>
        <v>Pennsylvania</v>
      </c>
      <c r="E13464" s="111" t="str">
        <f t="shared" si="13462"/>
        <v>Chambersburg</v>
      </c>
    </row>
    <row r="13465" spans="1:5">
      <c r="A13465" s="3" t="s">
        <v>24559</v>
      </c>
      <c r="B13465" s="110" t="s">
        <v>1364</v>
      </c>
      <c r="C13465" s="111" t="s">
        <v>24558</v>
      </c>
      <c r="D13465" s="111" t="str">
        <f t="shared" ref="D13465:E13465" si="13463">TRIM(B13465)</f>
        <v>Pennsylvania</v>
      </c>
      <c r="E13465" s="111" t="str">
        <f t="shared" si="13463"/>
        <v>Chambersburg</v>
      </c>
    </row>
    <row r="13466" spans="1:5">
      <c r="A13466" s="3" t="s">
        <v>24560</v>
      </c>
      <c r="B13466" s="110" t="s">
        <v>1364</v>
      </c>
      <c r="C13466" s="111" t="s">
        <v>24561</v>
      </c>
      <c r="D13466" s="111" t="str">
        <f t="shared" ref="D13466:E13466" si="13464">TRIM(B13466)</f>
        <v>Pennsylvania</v>
      </c>
      <c r="E13466" s="111" t="str">
        <f t="shared" si="13464"/>
        <v>Charleroi</v>
      </c>
    </row>
    <row r="13467" spans="1:5">
      <c r="A13467" s="3" t="s">
        <v>12223</v>
      </c>
      <c r="B13467" s="110" t="s">
        <v>1364</v>
      </c>
      <c r="C13467" s="111" t="s">
        <v>2262</v>
      </c>
      <c r="D13467" s="111" t="str">
        <f t="shared" ref="D13467:E13467" si="13465">TRIM(B13467)</f>
        <v>Pennsylvania</v>
      </c>
      <c r="E13467" s="111" t="str">
        <f t="shared" si="13465"/>
        <v>Chester</v>
      </c>
    </row>
    <row r="13468" spans="1:5">
      <c r="A13468" s="110" t="s">
        <v>24562</v>
      </c>
      <c r="B13468" s="110" t="s">
        <v>1364</v>
      </c>
      <c r="C13468" s="111" t="s">
        <v>2262</v>
      </c>
      <c r="D13468" s="111" t="str">
        <f t="shared" ref="D13468:E13468" si="13466">TRIM(B13468)</f>
        <v>Pennsylvania</v>
      </c>
      <c r="E13468" s="111" t="str">
        <f t="shared" si="13466"/>
        <v>Chester</v>
      </c>
    </row>
    <row r="13469" spans="1:5">
      <c r="A13469" s="3" t="s">
        <v>24563</v>
      </c>
      <c r="B13469" s="110" t="s">
        <v>1364</v>
      </c>
      <c r="C13469" s="111" t="s">
        <v>24564</v>
      </c>
      <c r="D13469" s="111" t="str">
        <f t="shared" ref="D13469:E13469" si="13467">TRIM(B13469)</f>
        <v>Pennsylvania</v>
      </c>
      <c r="E13469" s="111" t="str">
        <f t="shared" si="13467"/>
        <v>Cheswick</v>
      </c>
    </row>
    <row r="13470" spans="1:5">
      <c r="A13470" s="3" t="s">
        <v>24565</v>
      </c>
      <c r="B13470" s="110" t="s">
        <v>1364</v>
      </c>
      <c r="C13470" s="112" t="s">
        <v>24566</v>
      </c>
      <c r="D13470" s="111" t="str">
        <f t="shared" ref="D13470:E13470" si="13468">TRIM(B13470)</f>
        <v>Pennsylvania</v>
      </c>
      <c r="E13470" s="111" t="str">
        <f t="shared" si="13468"/>
        <v>Clairton</v>
      </c>
    </row>
    <row r="13471" spans="1:5">
      <c r="A13471" s="3" t="s">
        <v>24567</v>
      </c>
      <c r="B13471" s="110" t="s">
        <v>1364</v>
      </c>
      <c r="C13471" s="111" t="s">
        <v>14754</v>
      </c>
      <c r="D13471" s="111" t="str">
        <f t="shared" ref="D13471:E13471" si="13469">TRIM(B13471)</f>
        <v>Pennsylvania</v>
      </c>
      <c r="E13471" s="111" t="str">
        <f t="shared" si="13469"/>
        <v>Clarion</v>
      </c>
    </row>
    <row r="13472" spans="1:5">
      <c r="A13472" s="3" t="s">
        <v>24568</v>
      </c>
      <c r="B13472" s="110" t="s">
        <v>1364</v>
      </c>
      <c r="C13472" s="111" t="s">
        <v>24569</v>
      </c>
      <c r="D13472" s="111" t="str">
        <f t="shared" ref="D13472:E13472" si="13470">TRIM(B13472)</f>
        <v>Pennsylvania</v>
      </c>
      <c r="E13472" s="111" t="str">
        <f t="shared" si="13470"/>
        <v>Clarks Summit</v>
      </c>
    </row>
    <row r="13473" spans="1:5">
      <c r="A13473" s="3" t="s">
        <v>24570</v>
      </c>
      <c r="B13473" s="110" t="s">
        <v>1364</v>
      </c>
      <c r="C13473" s="111" t="s">
        <v>24571</v>
      </c>
      <c r="D13473" s="111" t="str">
        <f t="shared" ref="D13473:E13473" si="13471">TRIM(B13473)</f>
        <v>Pennsylvania</v>
      </c>
      <c r="E13473" s="111" t="str">
        <f t="shared" si="13471"/>
        <v>Claysburg</v>
      </c>
    </row>
    <row r="13474" spans="1:5">
      <c r="A13474" s="3" t="s">
        <v>24572</v>
      </c>
      <c r="B13474" s="110" t="s">
        <v>1364</v>
      </c>
      <c r="C13474" s="111" t="s">
        <v>24573</v>
      </c>
      <c r="D13474" s="111" t="str">
        <f t="shared" ref="D13474:E13474" si="13472">TRIM(B13474)</f>
        <v>Pennsylvania</v>
      </c>
      <c r="E13474" s="111" t="str">
        <f t="shared" si="13472"/>
        <v>Claysville</v>
      </c>
    </row>
    <row r="13475" spans="1:5">
      <c r="A13475" s="3" t="s">
        <v>24574</v>
      </c>
      <c r="B13475" s="110" t="s">
        <v>1364</v>
      </c>
      <c r="C13475" s="111" t="s">
        <v>24575</v>
      </c>
      <c r="D13475" s="111" t="str">
        <f t="shared" ref="D13475:E13475" si="13473">TRIM(B13475)</f>
        <v>Pennsylvania</v>
      </c>
      <c r="E13475" s="111" t="str">
        <f t="shared" si="13473"/>
        <v>Clearfield</v>
      </c>
    </row>
    <row r="13476" spans="1:5">
      <c r="A13476" s="3" t="s">
        <v>24576</v>
      </c>
      <c r="B13476" s="110" t="s">
        <v>1364</v>
      </c>
      <c r="C13476" s="111" t="s">
        <v>24577</v>
      </c>
      <c r="D13476" s="111" t="str">
        <f t="shared" ref="D13476:E13476" si="13474">TRIM(B13476)</f>
        <v>Pennsylvania</v>
      </c>
      <c r="E13476" s="111" t="str">
        <f t="shared" si="13474"/>
        <v>Clymer</v>
      </c>
    </row>
    <row r="13477" spans="1:5">
      <c r="A13477" s="3" t="s">
        <v>24578</v>
      </c>
      <c r="B13477" s="110" t="s">
        <v>1364</v>
      </c>
      <c r="C13477" s="111" t="s">
        <v>24579</v>
      </c>
      <c r="D13477" s="111" t="str">
        <f t="shared" ref="D13477:E13477" si="13475">TRIM(B13477)</f>
        <v>Pennsylvania</v>
      </c>
      <c r="E13477" s="111" t="str">
        <f t="shared" si="13475"/>
        <v>Coal Center</v>
      </c>
    </row>
    <row r="13478" spans="1:5">
      <c r="A13478" s="3" t="s">
        <v>24580</v>
      </c>
      <c r="B13478" s="110" t="s">
        <v>1364</v>
      </c>
      <c r="C13478" s="111" t="s">
        <v>4708</v>
      </c>
      <c r="D13478" s="111" t="str">
        <f t="shared" ref="D13478:E13478" si="13476">TRIM(B13478)</f>
        <v>Pennsylvania</v>
      </c>
      <c r="E13478" s="111" t="str">
        <f t="shared" si="13476"/>
        <v>Coatesville</v>
      </c>
    </row>
    <row r="13479" spans="1:5">
      <c r="A13479" s="3" t="s">
        <v>24581</v>
      </c>
      <c r="B13479" s="110" t="s">
        <v>1364</v>
      </c>
      <c r="C13479" s="111" t="s">
        <v>24582</v>
      </c>
      <c r="D13479" s="111" t="str">
        <f t="shared" ref="D13479:E13479" si="13477">TRIM(B13479)</f>
        <v>Pennsylvania</v>
      </c>
      <c r="E13479" s="111" t="str">
        <f t="shared" si="13477"/>
        <v>Cochranton</v>
      </c>
    </row>
    <row r="13480" spans="1:5">
      <c r="A13480" s="3" t="s">
        <v>24583</v>
      </c>
      <c r="B13480" s="110" t="s">
        <v>1364</v>
      </c>
      <c r="C13480" s="111" t="s">
        <v>11600</v>
      </c>
      <c r="D13480" s="111" t="str">
        <f t="shared" ref="D13480:E13480" si="13478">TRIM(B13480)</f>
        <v>Pennsylvania</v>
      </c>
      <c r="E13480" s="111" t="str">
        <f t="shared" si="13478"/>
        <v>Collegeville</v>
      </c>
    </row>
    <row r="13481" spans="1:5">
      <c r="A13481" s="3" t="s">
        <v>1870</v>
      </c>
      <c r="B13481" s="110" t="s">
        <v>1364</v>
      </c>
      <c r="C13481" s="111" t="s">
        <v>356</v>
      </c>
      <c r="D13481" s="111" t="str">
        <f t="shared" ref="D13481:E13481" si="13479">TRIM(B13481)</f>
        <v>Pennsylvania</v>
      </c>
      <c r="E13481" s="111" t="str">
        <f t="shared" si="13479"/>
        <v>Columbia</v>
      </c>
    </row>
    <row r="13482" spans="1:5">
      <c r="A13482" s="3" t="s">
        <v>24584</v>
      </c>
      <c r="B13482" s="110" t="s">
        <v>1364</v>
      </c>
      <c r="C13482" s="111" t="s">
        <v>24585</v>
      </c>
      <c r="D13482" s="111" t="str">
        <f t="shared" ref="D13482:E13482" si="13480">TRIM(B13482)</f>
        <v>Pennsylvania</v>
      </c>
      <c r="E13482" s="111" t="str">
        <f t="shared" si="13480"/>
        <v>Commodore</v>
      </c>
    </row>
    <row r="13483" spans="1:5">
      <c r="A13483" s="3" t="s">
        <v>24586</v>
      </c>
      <c r="B13483" s="110" t="s">
        <v>1364</v>
      </c>
      <c r="C13483" s="111" t="s">
        <v>24587</v>
      </c>
      <c r="D13483" s="111" t="str">
        <f t="shared" ref="D13483:E13483" si="13481">TRIM(B13483)</f>
        <v>Pennsylvania</v>
      </c>
      <c r="E13483" s="111" t="str">
        <f t="shared" si="13481"/>
        <v>Confluence</v>
      </c>
    </row>
    <row r="13484" spans="1:5">
      <c r="A13484" s="3" t="s">
        <v>24588</v>
      </c>
      <c r="B13484" s="110" t="s">
        <v>1364</v>
      </c>
      <c r="C13484" s="111" t="s">
        <v>24589</v>
      </c>
      <c r="D13484" s="111" t="str">
        <f t="shared" ref="D13484:E13484" si="13482">TRIM(B13484)</f>
        <v>Pennsylvania</v>
      </c>
      <c r="E13484" s="111" t="str">
        <f t="shared" si="13482"/>
        <v>Connellsville</v>
      </c>
    </row>
    <row r="13485" spans="1:5">
      <c r="A13485" s="3" t="s">
        <v>24590</v>
      </c>
      <c r="B13485" s="110" t="s">
        <v>1364</v>
      </c>
      <c r="C13485" s="111" t="s">
        <v>13157</v>
      </c>
      <c r="D13485" s="111" t="str">
        <f t="shared" ref="D13485:E13485" si="13483">TRIM(B13485)</f>
        <v>Pennsylvania</v>
      </c>
      <c r="E13485" s="111" t="str">
        <f t="shared" si="13483"/>
        <v>Coraopolis</v>
      </c>
    </row>
    <row r="13486" spans="1:5">
      <c r="A13486" s="3" t="s">
        <v>24591</v>
      </c>
      <c r="B13486" s="110" t="s">
        <v>1364</v>
      </c>
      <c r="C13486" s="111" t="s">
        <v>24592</v>
      </c>
      <c r="D13486" s="111" t="str">
        <f t="shared" ref="D13486:E13486" si="13484">TRIM(B13486)</f>
        <v>Pennsylvania</v>
      </c>
      <c r="E13486" s="111" t="str">
        <f t="shared" si="13484"/>
        <v>Corry</v>
      </c>
    </row>
    <row r="13487" spans="1:5">
      <c r="A13487" s="3" t="s">
        <v>24593</v>
      </c>
      <c r="B13487" s="110" t="s">
        <v>1364</v>
      </c>
      <c r="C13487" s="111" t="s">
        <v>24594</v>
      </c>
      <c r="D13487" s="111" t="str">
        <f t="shared" ref="D13487:E13487" si="13485">TRIM(B13487)</f>
        <v>Pennsylvania</v>
      </c>
      <c r="E13487" s="111" t="str">
        <f t="shared" si="13485"/>
        <v>Coudersport</v>
      </c>
    </row>
    <row r="13488" spans="1:5">
      <c r="A13488" s="3" t="s">
        <v>24595</v>
      </c>
      <c r="B13488" s="110" t="s">
        <v>1364</v>
      </c>
      <c r="C13488" s="111" t="s">
        <v>24596</v>
      </c>
      <c r="D13488" s="111" t="str">
        <f t="shared" ref="D13488:E13488" si="13486">TRIM(B13488)</f>
        <v>Pennsylvania</v>
      </c>
      <c r="E13488" s="111" t="str">
        <f t="shared" si="13486"/>
        <v>Covington Twp</v>
      </c>
    </row>
    <row r="13489" spans="1:5">
      <c r="A13489" s="3" t="s">
        <v>24597</v>
      </c>
      <c r="B13489" s="110" t="s">
        <v>1364</v>
      </c>
      <c r="C13489" s="111" t="s">
        <v>24598</v>
      </c>
      <c r="D13489" s="111" t="str">
        <f t="shared" ref="D13489:E13489" si="13487">TRIM(B13489)</f>
        <v>Pennsylvania</v>
      </c>
      <c r="E13489" s="111" t="str">
        <f t="shared" si="13487"/>
        <v>Cresson</v>
      </c>
    </row>
    <row r="13490" spans="1:5">
      <c r="A13490" s="3" t="s">
        <v>24599</v>
      </c>
      <c r="B13490" s="110" t="s">
        <v>1364</v>
      </c>
      <c r="C13490" s="111" t="s">
        <v>24600</v>
      </c>
      <c r="D13490" s="111" t="str">
        <f t="shared" ref="D13490:E13490" si="13488">TRIM(B13490)</f>
        <v>Pennsylvania</v>
      </c>
      <c r="E13490" s="111" t="str">
        <f t="shared" si="13488"/>
        <v>Curwensville</v>
      </c>
    </row>
    <row r="13491" spans="1:5">
      <c r="A13491" s="3" t="s">
        <v>24601</v>
      </c>
      <c r="B13491" s="110" t="s">
        <v>1364</v>
      </c>
      <c r="C13491" s="111" t="s">
        <v>252</v>
      </c>
      <c r="D13491" s="111" t="str">
        <f t="shared" ref="D13491:E13491" si="13489">TRIM(B13491)</f>
        <v>Pennsylvania</v>
      </c>
      <c r="E13491" s="111" t="str">
        <f t="shared" si="13489"/>
        <v>Dallas</v>
      </c>
    </row>
    <row r="13492" spans="1:5">
      <c r="A13492" s="3" t="s">
        <v>24602</v>
      </c>
      <c r="B13492" s="110" t="s">
        <v>1364</v>
      </c>
      <c r="C13492" s="111" t="s">
        <v>24603</v>
      </c>
      <c r="D13492" s="111" t="str">
        <f t="shared" ref="D13492:E13492" si="13490">TRIM(B13492)</f>
        <v>Pennsylvania</v>
      </c>
      <c r="E13492" s="111" t="str">
        <f t="shared" si="13490"/>
        <v>Dallastown</v>
      </c>
    </row>
    <row r="13493" spans="1:5">
      <c r="A13493" s="3" t="s">
        <v>24604</v>
      </c>
      <c r="B13493" s="110" t="s">
        <v>1364</v>
      </c>
      <c r="C13493" s="111" t="s">
        <v>529</v>
      </c>
      <c r="D13493" s="111" t="str">
        <f t="shared" ref="D13493:E13493" si="13491">TRIM(B13493)</f>
        <v>Pennsylvania</v>
      </c>
      <c r="E13493" s="111" t="str">
        <f t="shared" si="13491"/>
        <v>Danville</v>
      </c>
    </row>
    <row r="13494" spans="1:5">
      <c r="A13494" s="3" t="s">
        <v>24605</v>
      </c>
      <c r="B13494" s="110" t="s">
        <v>1364</v>
      </c>
      <c r="C13494" s="111" t="s">
        <v>24606</v>
      </c>
      <c r="D13494" s="111" t="str">
        <f t="shared" ref="D13494:E13494" si="13492">TRIM(B13494)</f>
        <v>Pennsylvania</v>
      </c>
      <c r="E13494" s="111" t="str">
        <f t="shared" si="13492"/>
        <v>Davidsville</v>
      </c>
    </row>
    <row r="13495" spans="1:5">
      <c r="A13495" s="3" t="s">
        <v>24607</v>
      </c>
      <c r="B13495" s="110" t="s">
        <v>1364</v>
      </c>
      <c r="C13495" s="111" t="s">
        <v>7781</v>
      </c>
      <c r="D13495" s="111" t="str">
        <f t="shared" ref="D13495:E13495" si="13493">TRIM(B13495)</f>
        <v>Pennsylvania</v>
      </c>
      <c r="E13495" s="111" t="str">
        <f t="shared" si="13493"/>
        <v>Denver</v>
      </c>
    </row>
    <row r="13496" spans="1:5">
      <c r="A13496" s="3" t="s">
        <v>24608</v>
      </c>
      <c r="B13496" s="110" t="s">
        <v>1364</v>
      </c>
      <c r="C13496" s="111" t="s">
        <v>19931</v>
      </c>
      <c r="D13496" s="111" t="str">
        <f t="shared" ref="D13496:E13496" si="13494">TRIM(B13496)</f>
        <v>Pennsylvania</v>
      </c>
      <c r="E13496" s="111" t="str">
        <f t="shared" si="13494"/>
        <v>Derry</v>
      </c>
    </row>
    <row r="13497" spans="1:5">
      <c r="A13497" s="3" t="s">
        <v>16462</v>
      </c>
      <c r="B13497" s="110" t="s">
        <v>1364</v>
      </c>
      <c r="C13497" s="111" t="s">
        <v>24609</v>
      </c>
      <c r="D13497" s="111" t="str">
        <f t="shared" ref="D13497:E13497" si="13495">TRIM(B13497)</f>
        <v>Pennsylvania</v>
      </c>
      <c r="E13497" s="111" t="str">
        <f t="shared" si="13495"/>
        <v>Dillsburg</v>
      </c>
    </row>
    <row r="13498" spans="1:5">
      <c r="A13498" s="3" t="s">
        <v>24610</v>
      </c>
      <c r="B13498" s="110" t="s">
        <v>1364</v>
      </c>
      <c r="C13498" s="111" t="s">
        <v>24611</v>
      </c>
      <c r="D13498" s="111" t="str">
        <f t="shared" ref="D13498:E13498" si="13496">TRIM(B13498)</f>
        <v>Pennsylvania</v>
      </c>
      <c r="E13498" s="111" t="str">
        <f t="shared" si="13496"/>
        <v>Dingmans Ferry</v>
      </c>
    </row>
    <row r="13499" spans="1:5">
      <c r="A13499" s="3" t="s">
        <v>24612</v>
      </c>
      <c r="B13499" s="110" t="s">
        <v>1364</v>
      </c>
      <c r="C13499" s="111" t="s">
        <v>3744</v>
      </c>
      <c r="D13499" s="111" t="str">
        <f t="shared" ref="D13499:E13499" si="13497">TRIM(B13499)</f>
        <v>Pennsylvania</v>
      </c>
      <c r="E13499" s="111" t="str">
        <f t="shared" si="13497"/>
        <v>Dover</v>
      </c>
    </row>
    <row r="13500" spans="1:5">
      <c r="A13500" s="3" t="s">
        <v>24613</v>
      </c>
      <c r="B13500" s="110" t="s">
        <v>1364</v>
      </c>
      <c r="C13500" s="111" t="s">
        <v>13010</v>
      </c>
      <c r="D13500" s="111" t="str">
        <f t="shared" ref="D13500:E13500" si="13498">TRIM(B13500)</f>
        <v>Pennsylvania</v>
      </c>
      <c r="E13500" s="111" t="str">
        <f t="shared" si="13498"/>
        <v>Downingtown</v>
      </c>
    </row>
    <row r="13501" spans="1:5">
      <c r="A13501" s="3" t="s">
        <v>24614</v>
      </c>
      <c r="B13501" s="110" t="s">
        <v>1364</v>
      </c>
      <c r="C13501" s="111" t="s">
        <v>13010</v>
      </c>
      <c r="D13501" s="111" t="str">
        <f t="shared" ref="D13501:E13501" si="13499">TRIM(B13501)</f>
        <v>Pennsylvania</v>
      </c>
      <c r="E13501" s="111" t="str">
        <f t="shared" si="13499"/>
        <v>Downingtown</v>
      </c>
    </row>
    <row r="13502" spans="1:5">
      <c r="A13502" s="3" t="s">
        <v>24615</v>
      </c>
      <c r="B13502" s="110" t="s">
        <v>1364</v>
      </c>
      <c r="C13502" s="111" t="s">
        <v>23053</v>
      </c>
      <c r="D13502" s="111" t="str">
        <f t="shared" ref="D13502:E13502" si="13500">TRIM(B13502)</f>
        <v>Pennsylvania</v>
      </c>
      <c r="E13502" s="111" t="str">
        <f t="shared" si="13500"/>
        <v>Doylestown</v>
      </c>
    </row>
    <row r="13503" spans="1:5">
      <c r="A13503" s="3" t="s">
        <v>24616</v>
      </c>
      <c r="B13503" s="110" t="s">
        <v>1364</v>
      </c>
      <c r="C13503" s="111" t="s">
        <v>23053</v>
      </c>
      <c r="D13503" s="111" t="str">
        <f t="shared" ref="D13503:E13503" si="13501">TRIM(B13503)</f>
        <v>Pennsylvania</v>
      </c>
      <c r="E13503" s="111" t="str">
        <f t="shared" si="13501"/>
        <v>Doylestown</v>
      </c>
    </row>
    <row r="13504" spans="1:5">
      <c r="A13504" s="3" t="s">
        <v>24617</v>
      </c>
      <c r="B13504" s="110" t="s">
        <v>1364</v>
      </c>
      <c r="C13504" s="111" t="s">
        <v>522</v>
      </c>
      <c r="D13504" s="111" t="str">
        <f t="shared" ref="D13504:E13504" si="13502">TRIM(B13504)</f>
        <v>Pennsylvania</v>
      </c>
      <c r="E13504" s="111" t="str">
        <f t="shared" si="13502"/>
        <v>Drexel Hill</v>
      </c>
    </row>
    <row r="13505" spans="1:5">
      <c r="A13505" s="3" t="s">
        <v>24618</v>
      </c>
      <c r="B13505" s="110" t="s">
        <v>1364</v>
      </c>
      <c r="C13505" s="111" t="s">
        <v>11677</v>
      </c>
      <c r="D13505" s="111" t="str">
        <f t="shared" ref="D13505:E13505" si="13503">TRIM(B13505)</f>
        <v>Pennsylvania</v>
      </c>
      <c r="E13505" s="111" t="str">
        <f t="shared" si="13503"/>
        <v>Dubois</v>
      </c>
    </row>
    <row r="13506" spans="1:5">
      <c r="A13506" s="3" t="s">
        <v>24619</v>
      </c>
      <c r="B13506" s="110" t="s">
        <v>1364</v>
      </c>
      <c r="C13506" s="111" t="s">
        <v>24620</v>
      </c>
      <c r="D13506" s="111" t="str">
        <f t="shared" ref="D13506:E13506" si="13504">TRIM(B13506)</f>
        <v>Pennsylvania</v>
      </c>
      <c r="E13506" s="111" t="str">
        <f t="shared" si="13504"/>
        <v>Duke Center</v>
      </c>
    </row>
    <row r="13507" spans="1:5">
      <c r="A13507" s="3" t="s">
        <v>24621</v>
      </c>
      <c r="B13507" s="110" t="s">
        <v>1364</v>
      </c>
      <c r="C13507" s="111" t="s">
        <v>24622</v>
      </c>
      <c r="D13507" s="111" t="str">
        <f t="shared" ref="D13507:E13507" si="13505">TRIM(B13507)</f>
        <v>Pennsylvania</v>
      </c>
      <c r="E13507" s="111" t="str">
        <f t="shared" si="13505"/>
        <v>Duncannon</v>
      </c>
    </row>
    <row r="13508" spans="1:5">
      <c r="A13508" s="3" t="s">
        <v>24623</v>
      </c>
      <c r="B13508" s="110" t="s">
        <v>1364</v>
      </c>
      <c r="C13508" s="111" t="s">
        <v>13088</v>
      </c>
      <c r="D13508" s="111" t="str">
        <f t="shared" ref="D13508:E13508" si="13506">TRIM(B13508)</f>
        <v>Pennsylvania</v>
      </c>
      <c r="E13508" s="111" t="str">
        <f t="shared" si="13506"/>
        <v>Dunmore</v>
      </c>
    </row>
    <row r="13509" spans="1:5">
      <c r="A13509" s="3" t="s">
        <v>24624</v>
      </c>
      <c r="B13509" s="110" t="s">
        <v>1364</v>
      </c>
      <c r="C13509" s="111" t="s">
        <v>1155</v>
      </c>
      <c r="D13509" s="111" t="str">
        <f t="shared" ref="D13509:E13509" si="13507">TRIM(B13509)</f>
        <v>Pennsylvania</v>
      </c>
      <c r="E13509" s="111" t="str">
        <f t="shared" si="13507"/>
        <v>Eagleville</v>
      </c>
    </row>
    <row r="13510" spans="1:5">
      <c r="A13510" s="3" t="s">
        <v>24625</v>
      </c>
      <c r="B13510" s="110" t="s">
        <v>1364</v>
      </c>
      <c r="C13510" s="113" t="s">
        <v>13153</v>
      </c>
      <c r="D13510" s="111" t="str">
        <f t="shared" ref="D13510:E13510" si="13508">TRIM(B13510)</f>
        <v>Pennsylvania</v>
      </c>
      <c r="E13510" s="111" t="str">
        <f t="shared" si="13508"/>
        <v>East Stroudsburg</v>
      </c>
    </row>
    <row r="13511" spans="1:5">
      <c r="A13511" s="3" t="s">
        <v>24626</v>
      </c>
      <c r="B13511" s="110" t="s">
        <v>1364</v>
      </c>
      <c r="C13511" s="111" t="s">
        <v>9761</v>
      </c>
      <c r="D13511" s="111" t="str">
        <f t="shared" ref="D13511:E13511" si="13509">TRIM(B13511)</f>
        <v>Pennsylvania</v>
      </c>
      <c r="E13511" s="111" t="str">
        <f t="shared" si="13509"/>
        <v>Easton</v>
      </c>
    </row>
    <row r="13512" spans="1:5">
      <c r="A13512" s="3" t="s">
        <v>24627</v>
      </c>
      <c r="B13512" s="110" t="s">
        <v>1364</v>
      </c>
      <c r="C13512" s="111" t="s">
        <v>9761</v>
      </c>
      <c r="D13512" s="111" t="str">
        <f t="shared" ref="D13512:E13512" si="13510">TRIM(B13512)</f>
        <v>Pennsylvania</v>
      </c>
      <c r="E13512" s="111" t="str">
        <f t="shared" si="13510"/>
        <v>Easton</v>
      </c>
    </row>
    <row r="13513" spans="1:5">
      <c r="A13513" s="3" t="s">
        <v>24628</v>
      </c>
      <c r="B13513" s="110" t="s">
        <v>1364</v>
      </c>
      <c r="C13513" s="111" t="s">
        <v>24629</v>
      </c>
      <c r="D13513" s="111" t="str">
        <f t="shared" ref="D13513:E13513" si="13511">TRIM(B13513)</f>
        <v>Pennsylvania</v>
      </c>
      <c r="E13513" s="111" t="str">
        <f t="shared" si="13511"/>
        <v>Ebensburg</v>
      </c>
    </row>
    <row r="13514" spans="1:5">
      <c r="A13514" s="3" t="s">
        <v>24630</v>
      </c>
      <c r="B13514" s="110" t="s">
        <v>1364</v>
      </c>
      <c r="C13514" s="111" t="s">
        <v>24631</v>
      </c>
      <c r="D13514" s="111" t="str">
        <f t="shared" ref="D13514:E13514" si="13512">TRIM(B13514)</f>
        <v>Pennsylvania</v>
      </c>
      <c r="E13514" s="111" t="str">
        <f t="shared" si="13512"/>
        <v>Edinboro</v>
      </c>
    </row>
    <row r="13515" spans="1:5">
      <c r="A13515" s="3" t="s">
        <v>24632</v>
      </c>
      <c r="B13515" s="110" t="s">
        <v>1364</v>
      </c>
      <c r="C13515" s="111" t="s">
        <v>854</v>
      </c>
      <c r="D13515" s="111" t="str">
        <f t="shared" ref="D13515:E13515" si="13513">TRIM(B13515)</f>
        <v>Pennsylvania</v>
      </c>
      <c r="E13515" s="111" t="str">
        <f t="shared" si="13513"/>
        <v>Elizabeth</v>
      </c>
    </row>
    <row r="13516" spans="1:5">
      <c r="A13516" s="3" t="s">
        <v>24633</v>
      </c>
      <c r="B13516" s="110" t="s">
        <v>1364</v>
      </c>
      <c r="C13516" s="111" t="s">
        <v>6000</v>
      </c>
      <c r="D13516" s="111" t="str">
        <f t="shared" ref="D13516:E13516" si="13514">TRIM(B13516)</f>
        <v>Pennsylvania</v>
      </c>
      <c r="E13516" s="111" t="str">
        <f t="shared" si="13514"/>
        <v>Elizabethtown</v>
      </c>
    </row>
    <row r="13517" spans="1:5">
      <c r="A13517" s="3" t="s">
        <v>24634</v>
      </c>
      <c r="B13517" s="110" t="s">
        <v>1364</v>
      </c>
      <c r="C13517" s="111" t="s">
        <v>24635</v>
      </c>
      <c r="D13517" s="111" t="str">
        <f t="shared" ref="D13517:E13517" si="13515">TRIM(B13517)</f>
        <v>Pennsylvania</v>
      </c>
      <c r="E13517" s="111" t="str">
        <f t="shared" si="13515"/>
        <v>Elizabethville</v>
      </c>
    </row>
    <row r="13518" spans="1:5">
      <c r="A13518" s="3" t="s">
        <v>24636</v>
      </c>
      <c r="B13518" s="110" t="s">
        <v>1364</v>
      </c>
      <c r="C13518" s="111" t="s">
        <v>24637</v>
      </c>
      <c r="D13518" s="111" t="str">
        <f t="shared" ref="D13518:E13518" si="13516">TRIM(B13518)</f>
        <v>Pennsylvania</v>
      </c>
      <c r="E13518" s="111" t="str">
        <f t="shared" si="13516"/>
        <v>Elliottsburg</v>
      </c>
    </row>
    <row r="13519" spans="1:5">
      <c r="A13519" s="3" t="s">
        <v>24638</v>
      </c>
      <c r="B13519" s="110" t="s">
        <v>1364</v>
      </c>
      <c r="C13519" s="111" t="s">
        <v>24639</v>
      </c>
      <c r="D13519" s="111" t="str">
        <f t="shared" ref="D13519:E13519" si="13517">TRIM(B13519)</f>
        <v>Pennsylvania</v>
      </c>
      <c r="E13519" s="111" t="str">
        <f t="shared" si="13517"/>
        <v>Ellwood City</v>
      </c>
    </row>
    <row r="13520" spans="1:5">
      <c r="A13520" s="3" t="s">
        <v>3921</v>
      </c>
      <c r="B13520" s="110" t="s">
        <v>1364</v>
      </c>
      <c r="C13520" s="111" t="s">
        <v>24639</v>
      </c>
      <c r="D13520" s="111" t="str">
        <f t="shared" ref="D13520:E13520" si="13518">TRIM(B13520)</f>
        <v>Pennsylvania</v>
      </c>
      <c r="E13520" s="111" t="str">
        <f t="shared" si="13518"/>
        <v>Ellwood City</v>
      </c>
    </row>
    <row r="13521" spans="1:5">
      <c r="A13521" s="3" t="s">
        <v>24640</v>
      </c>
      <c r="B13521" s="110" t="s">
        <v>1364</v>
      </c>
      <c r="C13521" s="111" t="s">
        <v>24641</v>
      </c>
      <c r="D13521" s="111" t="str">
        <f t="shared" ref="D13521:E13521" si="13519">TRIM(B13521)</f>
        <v>Pennsylvania</v>
      </c>
      <c r="E13521" s="111" t="str">
        <f t="shared" si="13519"/>
        <v>Elverson</v>
      </c>
    </row>
    <row r="13522" spans="1:5">
      <c r="A13522" s="3" t="s">
        <v>24642</v>
      </c>
      <c r="B13522" s="110" t="s">
        <v>1364</v>
      </c>
      <c r="C13522" s="111" t="s">
        <v>24643</v>
      </c>
      <c r="D13522" s="111" t="str">
        <f t="shared" ref="D13522:E13522" si="13520">TRIM(B13522)</f>
        <v>Pennsylvania</v>
      </c>
      <c r="E13522" s="111" t="str">
        <f t="shared" si="13520"/>
        <v>Emmaus</v>
      </c>
    </row>
    <row r="13523" spans="1:5">
      <c r="A13523" s="3" t="s">
        <v>24644</v>
      </c>
      <c r="B13523" s="110" t="s">
        <v>1364</v>
      </c>
      <c r="C13523" s="111" t="s">
        <v>24645</v>
      </c>
      <c r="D13523" s="111" t="str">
        <f t="shared" ref="D13523:E13523" si="13521">TRIM(B13523)</f>
        <v>Pennsylvania</v>
      </c>
      <c r="E13523" s="111" t="str">
        <f t="shared" si="13521"/>
        <v>Emporium</v>
      </c>
    </row>
    <row r="13524" spans="1:5">
      <c r="A13524" s="3" t="s">
        <v>24646</v>
      </c>
      <c r="B13524" s="110" t="s">
        <v>1364</v>
      </c>
      <c r="C13524" s="111" t="s">
        <v>24647</v>
      </c>
      <c r="D13524" s="111" t="str">
        <f t="shared" ref="D13524:E13524" si="13522">TRIM(B13524)</f>
        <v>Pennsylvania</v>
      </c>
      <c r="E13524" s="111" t="str">
        <f t="shared" si="13522"/>
        <v>Enola</v>
      </c>
    </row>
    <row r="13525" spans="1:5">
      <c r="A13525" s="3" t="s">
        <v>24648</v>
      </c>
      <c r="B13525" s="110" t="s">
        <v>1364</v>
      </c>
      <c r="C13525" s="111" t="s">
        <v>13044</v>
      </c>
      <c r="D13525" s="111" t="str">
        <f t="shared" ref="D13525:E13525" si="13523">TRIM(B13525)</f>
        <v>Pennsylvania</v>
      </c>
      <c r="E13525" s="111" t="str">
        <f t="shared" si="13523"/>
        <v>Ephrata</v>
      </c>
    </row>
    <row r="13526" spans="1:5">
      <c r="A13526" s="3" t="s">
        <v>24649</v>
      </c>
      <c r="B13526" s="110" t="s">
        <v>1364</v>
      </c>
      <c r="C13526" s="111" t="s">
        <v>24650</v>
      </c>
      <c r="D13526" s="111" t="str">
        <f t="shared" ref="D13526:E13526" si="13524">TRIM(B13526)</f>
        <v>Pennsylvania</v>
      </c>
      <c r="E13526" s="111" t="str">
        <f t="shared" si="13524"/>
        <v>Erdenheim</v>
      </c>
    </row>
    <row r="13527" spans="1:5">
      <c r="A13527" s="3" t="s">
        <v>7885</v>
      </c>
      <c r="B13527" s="110" t="s">
        <v>1364</v>
      </c>
      <c r="C13527" s="111" t="s">
        <v>1160</v>
      </c>
      <c r="D13527" s="111" t="str">
        <f t="shared" ref="D13527:E13527" si="13525">TRIM(B13527)</f>
        <v>Pennsylvania</v>
      </c>
      <c r="E13527" s="111" t="str">
        <f t="shared" si="13525"/>
        <v>Erie</v>
      </c>
    </row>
    <row r="13528" spans="1:5">
      <c r="A13528" s="3" t="s">
        <v>24651</v>
      </c>
      <c r="B13528" s="110" t="s">
        <v>1364</v>
      </c>
      <c r="C13528" s="111" t="s">
        <v>1160</v>
      </c>
      <c r="D13528" s="111" t="str">
        <f t="shared" ref="D13528:E13528" si="13526">TRIM(B13528)</f>
        <v>Pennsylvania</v>
      </c>
      <c r="E13528" s="111" t="str">
        <f t="shared" si="13526"/>
        <v>Erie</v>
      </c>
    </row>
    <row r="13529" spans="1:5">
      <c r="A13529" s="3" t="s">
        <v>22300</v>
      </c>
      <c r="B13529" s="110" t="s">
        <v>1364</v>
      </c>
      <c r="C13529" s="111" t="s">
        <v>1160</v>
      </c>
      <c r="D13529" s="111" t="str">
        <f t="shared" ref="D13529:E13529" si="13527">TRIM(B13529)</f>
        <v>Pennsylvania</v>
      </c>
      <c r="E13529" s="111" t="str">
        <f t="shared" si="13527"/>
        <v>Erie</v>
      </c>
    </row>
    <row r="13530" spans="1:5">
      <c r="A13530" s="3" t="s">
        <v>24652</v>
      </c>
      <c r="B13530" s="110" t="s">
        <v>1364</v>
      </c>
      <c r="C13530" s="111" t="s">
        <v>1160</v>
      </c>
      <c r="D13530" s="111" t="str">
        <f t="shared" ref="D13530:E13530" si="13528">TRIM(B13530)</f>
        <v>Pennsylvania</v>
      </c>
      <c r="E13530" s="111" t="str">
        <f t="shared" si="13528"/>
        <v>Erie</v>
      </c>
    </row>
    <row r="13531" spans="1:5">
      <c r="A13531" s="110" t="s">
        <v>24653</v>
      </c>
      <c r="B13531" s="110" t="s">
        <v>1364</v>
      </c>
      <c r="C13531" s="111" t="s">
        <v>1160</v>
      </c>
      <c r="D13531" s="111" t="str">
        <f t="shared" ref="D13531:E13531" si="13529">TRIM(B13531)</f>
        <v>Pennsylvania</v>
      </c>
      <c r="E13531" s="111" t="str">
        <f t="shared" si="13529"/>
        <v>Erie</v>
      </c>
    </row>
    <row r="13532" spans="1:5">
      <c r="A13532" s="3" t="s">
        <v>13785</v>
      </c>
      <c r="B13532" s="110" t="s">
        <v>1364</v>
      </c>
      <c r="C13532" s="111" t="s">
        <v>1160</v>
      </c>
      <c r="D13532" s="111" t="str">
        <f t="shared" ref="D13532:E13532" si="13530">TRIM(B13532)</f>
        <v>Pennsylvania</v>
      </c>
      <c r="E13532" s="111" t="str">
        <f t="shared" si="13530"/>
        <v>Erie</v>
      </c>
    </row>
    <row r="13533" spans="1:5">
      <c r="A13533" s="3" t="s">
        <v>24654</v>
      </c>
      <c r="B13533" s="110" t="s">
        <v>1364</v>
      </c>
      <c r="C13533" s="111" t="s">
        <v>11340</v>
      </c>
      <c r="D13533" s="111" t="str">
        <f t="shared" ref="D13533:E13533" si="13531">TRIM(B13533)</f>
        <v>Pennsylvania</v>
      </c>
      <c r="E13533" s="111" t="str">
        <f t="shared" si="13531"/>
        <v>Everett</v>
      </c>
    </row>
    <row r="13534" spans="1:5">
      <c r="A13534" s="110" t="s">
        <v>24655</v>
      </c>
      <c r="B13534" s="110" t="s">
        <v>1364</v>
      </c>
      <c r="C13534" s="111" t="s">
        <v>4991</v>
      </c>
      <c r="D13534" s="111" t="str">
        <f t="shared" ref="D13534:E13534" si="13532">TRIM(B13534)</f>
        <v>Pennsylvania</v>
      </c>
      <c r="E13534" s="111" t="str">
        <f t="shared" si="13532"/>
        <v>Exeter</v>
      </c>
    </row>
    <row r="13535" spans="1:5">
      <c r="A13535" s="110" t="s">
        <v>24656</v>
      </c>
      <c r="B13535" s="110" t="s">
        <v>1364</v>
      </c>
      <c r="C13535" s="111" t="s">
        <v>24657</v>
      </c>
      <c r="D13535" s="111" t="str">
        <f t="shared" ref="D13535:E13535" si="13533">TRIM(B13535)</f>
        <v>Pennsylvania</v>
      </c>
      <c r="E13535" s="111" t="str">
        <f t="shared" si="13533"/>
        <v>Exton</v>
      </c>
    </row>
    <row r="13536" spans="1:5">
      <c r="A13536" s="3" t="s">
        <v>24658</v>
      </c>
      <c r="B13536" s="110" t="s">
        <v>1364</v>
      </c>
      <c r="C13536" s="111" t="s">
        <v>24657</v>
      </c>
      <c r="D13536" s="111" t="str">
        <f t="shared" ref="D13536:E13536" si="13534">TRIM(B13536)</f>
        <v>Pennsylvania</v>
      </c>
      <c r="E13536" s="111" t="str">
        <f t="shared" si="13534"/>
        <v>Exton</v>
      </c>
    </row>
    <row r="13537" spans="1:5">
      <c r="A13537" s="3" t="s">
        <v>24659</v>
      </c>
      <c r="B13537" s="110" t="s">
        <v>1364</v>
      </c>
      <c r="C13537" s="111" t="s">
        <v>24660</v>
      </c>
      <c r="D13537" s="111" t="str">
        <f t="shared" ref="D13537:E13537" si="13535">TRIM(B13537)</f>
        <v>Pennsylvania</v>
      </c>
      <c r="E13537" s="111" t="str">
        <f t="shared" si="13535"/>
        <v>Factoryville</v>
      </c>
    </row>
    <row r="13538" spans="1:5">
      <c r="A13538" s="3" t="s">
        <v>24661</v>
      </c>
      <c r="B13538" s="110" t="s">
        <v>1364</v>
      </c>
      <c r="C13538" s="111" t="s">
        <v>303</v>
      </c>
      <c r="D13538" s="111" t="str">
        <f t="shared" ref="D13538:E13538" si="13536">TRIM(B13538)</f>
        <v>Pennsylvania</v>
      </c>
      <c r="E13538" s="111" t="str">
        <f t="shared" si="13536"/>
        <v>Fairfield</v>
      </c>
    </row>
    <row r="13539" spans="1:5">
      <c r="A13539" s="3" t="s">
        <v>24662</v>
      </c>
      <c r="B13539" s="110" t="s">
        <v>1364</v>
      </c>
      <c r="C13539" s="111" t="s">
        <v>24663</v>
      </c>
      <c r="D13539" s="111" t="str">
        <f t="shared" ref="D13539:E13539" si="13537">TRIM(B13539)</f>
        <v>Pennsylvania</v>
      </c>
      <c r="E13539" s="111" t="str">
        <f t="shared" si="13537"/>
        <v>Fairless Hills</v>
      </c>
    </row>
    <row r="13540" spans="1:5">
      <c r="A13540" s="3" t="s">
        <v>1663</v>
      </c>
      <c r="B13540" s="110" t="s">
        <v>1364</v>
      </c>
      <c r="C13540" s="111" t="s">
        <v>2490</v>
      </c>
      <c r="D13540" s="111" t="str">
        <f t="shared" ref="D13540:E13540" si="13538">TRIM(B13540)</f>
        <v>Pennsylvania</v>
      </c>
      <c r="E13540" s="111" t="str">
        <f t="shared" si="13538"/>
        <v>Fairview</v>
      </c>
    </row>
    <row r="13541" spans="1:5">
      <c r="A13541" s="3" t="s">
        <v>24664</v>
      </c>
      <c r="B13541" s="110" t="s">
        <v>1364</v>
      </c>
      <c r="C13541" s="111" t="s">
        <v>13031</v>
      </c>
      <c r="D13541" s="111" t="str">
        <f t="shared" ref="D13541:E13541" si="13539">TRIM(B13541)</f>
        <v>Pennsylvania</v>
      </c>
      <c r="E13541" s="111" t="str">
        <f t="shared" si="13539"/>
        <v>Farrell</v>
      </c>
    </row>
    <row r="13542" spans="1:5">
      <c r="A13542" s="3" t="s">
        <v>24665</v>
      </c>
      <c r="B13542" s="110" t="s">
        <v>1364</v>
      </c>
      <c r="C13542" s="111" t="s">
        <v>24666</v>
      </c>
      <c r="D13542" s="111" t="str">
        <f t="shared" ref="D13542:E13542" si="13540">TRIM(B13542)</f>
        <v>Pennsylvania</v>
      </c>
      <c r="E13542" s="111" t="str">
        <f t="shared" si="13540"/>
        <v>Fawn Grove</v>
      </c>
    </row>
    <row r="13543" spans="1:5">
      <c r="A13543" s="3" t="s">
        <v>24667</v>
      </c>
      <c r="B13543" s="110" t="s">
        <v>1364</v>
      </c>
      <c r="C13543" s="111" t="s">
        <v>24668</v>
      </c>
      <c r="D13543" s="111" t="str">
        <f t="shared" ref="D13543:E13543" si="13541">TRIM(B13543)</f>
        <v>Pennsylvania</v>
      </c>
      <c r="E13543" s="111" t="str">
        <f t="shared" si="13541"/>
        <v>Fleetwood</v>
      </c>
    </row>
    <row r="13544" spans="1:5">
      <c r="A13544" s="3" t="s">
        <v>24669</v>
      </c>
      <c r="B13544" s="110" t="s">
        <v>1364</v>
      </c>
      <c r="C13544" s="112" t="s">
        <v>24670</v>
      </c>
      <c r="D13544" s="111" t="str">
        <f t="shared" ref="D13544:E13544" si="13542">TRIM(B13544)</f>
        <v>Pennsylvania</v>
      </c>
      <c r="E13544" s="111" t="str">
        <f t="shared" si="13542"/>
        <v>Flinton</v>
      </c>
    </row>
    <row r="13545" spans="1:5">
      <c r="A13545" s="3" t="s">
        <v>24671</v>
      </c>
      <c r="B13545" s="110" t="s">
        <v>1364</v>
      </c>
      <c r="C13545" s="111" t="s">
        <v>2843</v>
      </c>
      <c r="D13545" s="111" t="str">
        <f t="shared" ref="D13545:E13545" si="13543">TRIM(B13545)</f>
        <v>Pennsylvania</v>
      </c>
      <c r="E13545" s="111" t="str">
        <f t="shared" si="13543"/>
        <v>Folsom</v>
      </c>
    </row>
    <row r="13546" spans="1:5">
      <c r="A13546" s="3" t="s">
        <v>24672</v>
      </c>
      <c r="B13546" s="110" t="s">
        <v>1364</v>
      </c>
      <c r="C13546" s="111" t="s">
        <v>14828</v>
      </c>
      <c r="D13546" s="111" t="str">
        <f t="shared" ref="D13546:E13546" si="13544">TRIM(B13546)</f>
        <v>Pennsylvania</v>
      </c>
      <c r="E13546" s="111" t="str">
        <f t="shared" si="13544"/>
        <v>Forest City</v>
      </c>
    </row>
    <row r="13547" spans="1:5">
      <c r="A13547" s="3" t="s">
        <v>24673</v>
      </c>
      <c r="B13547" s="110" t="s">
        <v>1364</v>
      </c>
      <c r="C13547" s="111" t="s">
        <v>13062</v>
      </c>
      <c r="D13547" s="111" t="str">
        <f t="shared" ref="D13547:E13547" si="13545">TRIM(B13547)</f>
        <v>Pennsylvania</v>
      </c>
      <c r="E13547" s="111" t="str">
        <f t="shared" si="13545"/>
        <v>Fort Washington</v>
      </c>
    </row>
    <row r="13548" spans="1:5">
      <c r="A13548" s="3" t="s">
        <v>24674</v>
      </c>
      <c r="B13548" s="110" t="s">
        <v>1364</v>
      </c>
      <c r="C13548" s="111" t="s">
        <v>24675</v>
      </c>
      <c r="D13548" s="111" t="str">
        <f t="shared" ref="D13548:E13548" si="13546">TRIM(B13548)</f>
        <v>Pennsylvania</v>
      </c>
      <c r="E13548" s="111" t="str">
        <f t="shared" si="13546"/>
        <v>Foxburg</v>
      </c>
    </row>
    <row r="13549" spans="1:5">
      <c r="A13549" s="3" t="s">
        <v>24676</v>
      </c>
      <c r="B13549" s="110" t="s">
        <v>1364</v>
      </c>
      <c r="C13549" s="111" t="s">
        <v>525</v>
      </c>
      <c r="D13549" s="111" t="str">
        <f t="shared" ref="D13549:E13549" si="13547">TRIM(B13549)</f>
        <v>Pennsylvania</v>
      </c>
      <c r="E13549" s="111" t="str">
        <f t="shared" si="13547"/>
        <v>Franklin</v>
      </c>
    </row>
    <row r="13550" spans="1:5">
      <c r="A13550" s="3" t="s">
        <v>24677</v>
      </c>
      <c r="B13550" s="110" t="s">
        <v>1364</v>
      </c>
      <c r="C13550" s="111" t="s">
        <v>525</v>
      </c>
      <c r="D13550" s="111" t="str">
        <f t="shared" ref="D13550:E13550" si="13548">TRIM(B13550)</f>
        <v>Pennsylvania</v>
      </c>
      <c r="E13550" s="111" t="str">
        <f t="shared" si="13548"/>
        <v>Franklin</v>
      </c>
    </row>
    <row r="13551" spans="1:5">
      <c r="A13551" s="3" t="s">
        <v>24678</v>
      </c>
      <c r="B13551" s="110" t="s">
        <v>1364</v>
      </c>
      <c r="C13551" s="111" t="s">
        <v>13612</v>
      </c>
      <c r="D13551" s="111" t="str">
        <f t="shared" ref="D13551:E13551" si="13549">TRIM(B13551)</f>
        <v>Pennsylvania</v>
      </c>
      <c r="E13551" s="111" t="str">
        <f t="shared" si="13549"/>
        <v>Fredericksburg</v>
      </c>
    </row>
    <row r="13552" spans="1:5">
      <c r="A13552" s="3" t="s">
        <v>24679</v>
      </c>
      <c r="B13552" s="110" t="s">
        <v>1364</v>
      </c>
      <c r="C13552" s="111" t="s">
        <v>18782</v>
      </c>
      <c r="D13552" s="111" t="str">
        <f t="shared" ref="D13552:E13552" si="13550">TRIM(B13552)</f>
        <v>Pennsylvania</v>
      </c>
      <c r="E13552" s="111" t="str">
        <f t="shared" si="13550"/>
        <v>Fredericktown</v>
      </c>
    </row>
    <row r="13553" spans="1:5">
      <c r="A13553" s="3" t="s">
        <v>24680</v>
      </c>
      <c r="B13553" s="110" t="s">
        <v>1364</v>
      </c>
      <c r="C13553" s="111" t="s">
        <v>5065</v>
      </c>
      <c r="D13553" s="111" t="str">
        <f t="shared" ref="D13553:E13553" si="13551">TRIM(B13553)</f>
        <v>Pennsylvania</v>
      </c>
      <c r="E13553" s="111" t="str">
        <f t="shared" si="13551"/>
        <v>Freedom</v>
      </c>
    </row>
    <row r="13554" spans="1:5">
      <c r="A13554" s="3" t="s">
        <v>24681</v>
      </c>
      <c r="B13554" s="110" t="s">
        <v>1364</v>
      </c>
      <c r="C13554" s="111" t="s">
        <v>9246</v>
      </c>
      <c r="D13554" s="111" t="str">
        <f t="shared" ref="D13554:E13554" si="13552">TRIM(B13554)</f>
        <v>Pennsylvania</v>
      </c>
      <c r="E13554" s="111" t="str">
        <f t="shared" si="13552"/>
        <v>Freeport</v>
      </c>
    </row>
    <row r="13555" spans="1:5">
      <c r="A13555" s="3" t="s">
        <v>24682</v>
      </c>
      <c r="B13555" s="110" t="s">
        <v>1364</v>
      </c>
      <c r="C13555" s="111" t="s">
        <v>24683</v>
      </c>
      <c r="D13555" s="111" t="str">
        <f t="shared" ref="D13555:E13555" si="13553">TRIM(B13555)</f>
        <v>Pennsylvania</v>
      </c>
      <c r="E13555" s="111" t="str">
        <f t="shared" si="13553"/>
        <v>Gettysburg</v>
      </c>
    </row>
    <row r="13556" spans="1:5">
      <c r="A13556" s="3" t="s">
        <v>24684</v>
      </c>
      <c r="B13556" s="110" t="s">
        <v>1364</v>
      </c>
      <c r="C13556" s="111" t="s">
        <v>24685</v>
      </c>
      <c r="D13556" s="111" t="str">
        <f t="shared" ref="D13556:E13556" si="13554">TRIM(B13556)</f>
        <v>Pennsylvania</v>
      </c>
      <c r="E13556" s="111" t="str">
        <f t="shared" si="13554"/>
        <v>Gibsonia</v>
      </c>
    </row>
    <row r="13557" spans="1:5">
      <c r="A13557" s="3" t="s">
        <v>15278</v>
      </c>
      <c r="B13557" s="110" t="s">
        <v>1364</v>
      </c>
      <c r="C13557" s="111" t="s">
        <v>15279</v>
      </c>
      <c r="D13557" s="111" t="str">
        <f t="shared" ref="D13557:E13557" si="13555">TRIM(B13557)</f>
        <v>Pennsylvania</v>
      </c>
      <c r="E13557" s="111" t="str">
        <f t="shared" si="13555"/>
        <v>Girard</v>
      </c>
    </row>
    <row r="13558" spans="1:5">
      <c r="A13558" s="3" t="s">
        <v>24686</v>
      </c>
      <c r="B13558" s="110" t="s">
        <v>1364</v>
      </c>
      <c r="C13558" s="111" t="s">
        <v>24687</v>
      </c>
      <c r="D13558" s="111" t="str">
        <f t="shared" ref="D13558:E13558" si="13556">TRIM(B13558)</f>
        <v>Pennsylvania</v>
      </c>
      <c r="E13558" s="111" t="str">
        <f t="shared" si="13556"/>
        <v>Glen Mills</v>
      </c>
    </row>
    <row r="13559" spans="1:5">
      <c r="A13559" s="3" t="s">
        <v>24688</v>
      </c>
      <c r="B13559" s="110" t="s">
        <v>1364</v>
      </c>
      <c r="C13559" s="111" t="s">
        <v>20167</v>
      </c>
      <c r="D13559" s="111" t="str">
        <f t="shared" ref="D13559:E13559" si="13557">TRIM(B13559)</f>
        <v>Pennsylvania</v>
      </c>
      <c r="E13559" s="111" t="str">
        <f t="shared" si="13557"/>
        <v>Glen Rock</v>
      </c>
    </row>
    <row r="13560" spans="1:5">
      <c r="A13560" s="3" t="s">
        <v>24689</v>
      </c>
      <c r="B13560" s="110" t="s">
        <v>1364</v>
      </c>
      <c r="C13560" s="111" t="s">
        <v>14366</v>
      </c>
      <c r="D13560" s="111" t="str">
        <f t="shared" ref="D13560:E13560" si="13558">TRIM(B13560)</f>
        <v>Pennsylvania</v>
      </c>
      <c r="E13560" s="111" t="str">
        <f t="shared" si="13558"/>
        <v>Greencastle</v>
      </c>
    </row>
    <row r="13561" spans="1:5">
      <c r="A13561" s="3" t="s">
        <v>24690</v>
      </c>
      <c r="B13561" s="110" t="s">
        <v>1364</v>
      </c>
      <c r="C13561" s="111" t="s">
        <v>178</v>
      </c>
      <c r="D13561" s="111" t="str">
        <f t="shared" ref="D13561:E13561" si="13559">TRIM(B13561)</f>
        <v>Pennsylvania</v>
      </c>
      <c r="E13561" s="111" t="str">
        <f t="shared" si="13559"/>
        <v>Greensboro</v>
      </c>
    </row>
    <row r="13562" spans="1:5">
      <c r="A13562" s="3" t="s">
        <v>24691</v>
      </c>
      <c r="B13562" s="110" t="s">
        <v>1364</v>
      </c>
      <c r="C13562" s="111" t="s">
        <v>4983</v>
      </c>
      <c r="D13562" s="111" t="str">
        <f t="shared" ref="D13562:E13562" si="13560">TRIM(B13562)</f>
        <v>Pennsylvania</v>
      </c>
      <c r="E13562" s="111" t="str">
        <f t="shared" si="13560"/>
        <v>Greensburg</v>
      </c>
    </row>
    <row r="13563" spans="1:5">
      <c r="A13563" s="3" t="s">
        <v>24692</v>
      </c>
      <c r="B13563" s="110" t="s">
        <v>1364</v>
      </c>
      <c r="C13563" s="111" t="s">
        <v>4983</v>
      </c>
      <c r="D13563" s="111" t="str">
        <f t="shared" ref="D13563:E13563" si="13561">TRIM(B13563)</f>
        <v>Pennsylvania</v>
      </c>
      <c r="E13563" s="111" t="str">
        <f t="shared" si="13561"/>
        <v>Greensburg</v>
      </c>
    </row>
    <row r="13564" spans="1:5">
      <c r="A13564" s="3" t="s">
        <v>24693</v>
      </c>
      <c r="B13564" s="110" t="s">
        <v>1364</v>
      </c>
      <c r="C13564" s="111" t="s">
        <v>1804</v>
      </c>
      <c r="D13564" s="111" t="str">
        <f t="shared" ref="D13564:E13564" si="13562">TRIM(B13564)</f>
        <v>Pennsylvania</v>
      </c>
      <c r="E13564" s="111" t="str">
        <f t="shared" si="13562"/>
        <v>Greenville</v>
      </c>
    </row>
    <row r="13565" spans="1:5">
      <c r="A13565" s="3" t="s">
        <v>24694</v>
      </c>
      <c r="B13565" s="110" t="s">
        <v>1364</v>
      </c>
      <c r="C13565" s="111" t="s">
        <v>1804</v>
      </c>
      <c r="D13565" s="111" t="str">
        <f t="shared" ref="D13565:E13565" si="13563">TRIM(B13565)</f>
        <v>Pennsylvania</v>
      </c>
      <c r="E13565" s="111" t="str">
        <f t="shared" si="13563"/>
        <v>Greenville</v>
      </c>
    </row>
    <row r="13566" spans="1:5">
      <c r="A13566" s="3" t="s">
        <v>24695</v>
      </c>
      <c r="B13566" s="110" t="s">
        <v>1364</v>
      </c>
      <c r="C13566" s="111" t="s">
        <v>17928</v>
      </c>
      <c r="D13566" s="111" t="str">
        <f t="shared" ref="D13566:E13566" si="13564">TRIM(B13566)</f>
        <v>Pennsylvania</v>
      </c>
      <c r="E13566" s="111" t="str">
        <f t="shared" si="13564"/>
        <v>Grove City</v>
      </c>
    </row>
    <row r="13567" spans="1:5">
      <c r="A13567" s="3" t="s">
        <v>24696</v>
      </c>
      <c r="B13567" s="110" t="s">
        <v>1364</v>
      </c>
      <c r="C13567" s="111" t="s">
        <v>17928</v>
      </c>
      <c r="D13567" s="111" t="str">
        <f t="shared" ref="D13567:E13567" si="13565">TRIM(B13567)</f>
        <v>Pennsylvania</v>
      </c>
      <c r="E13567" s="111" t="str">
        <f t="shared" si="13565"/>
        <v>Grove City</v>
      </c>
    </row>
    <row r="13568" spans="1:5">
      <c r="A13568" s="3" t="s">
        <v>24697</v>
      </c>
      <c r="B13568" s="110" t="s">
        <v>1364</v>
      </c>
      <c r="C13568" s="111" t="s">
        <v>24698</v>
      </c>
      <c r="D13568" s="111" t="str">
        <f t="shared" ref="D13568:E13568" si="13566">TRIM(B13568)</f>
        <v>Pennsylvania</v>
      </c>
      <c r="E13568" s="111" t="str">
        <f t="shared" si="13566"/>
        <v>Guys Mills</v>
      </c>
    </row>
    <row r="13569" spans="1:5">
      <c r="A13569" s="3" t="s">
        <v>24699</v>
      </c>
      <c r="B13569" s="110" t="s">
        <v>1364</v>
      </c>
      <c r="C13569" s="111" t="s">
        <v>16662</v>
      </c>
      <c r="D13569" s="111" t="str">
        <f t="shared" ref="D13569:E13569" si="13567">TRIM(B13569)</f>
        <v>Pennsylvania</v>
      </c>
      <c r="E13569" s="111" t="str">
        <f t="shared" si="13567"/>
        <v>Hadley</v>
      </c>
    </row>
    <row r="13570" spans="1:5">
      <c r="A13570" s="3" t="s">
        <v>24700</v>
      </c>
      <c r="B13570" s="110" t="s">
        <v>1364</v>
      </c>
      <c r="C13570" s="111" t="s">
        <v>22206</v>
      </c>
      <c r="D13570" s="111" t="str">
        <f t="shared" ref="D13570:E13570" si="13568">TRIM(B13570)</f>
        <v>Pennsylvania</v>
      </c>
      <c r="E13570" s="111" t="str">
        <f t="shared" si="13568"/>
        <v>Halifax</v>
      </c>
    </row>
    <row r="13571" spans="1:5">
      <c r="A13571" s="3" t="s">
        <v>24701</v>
      </c>
      <c r="B13571" s="110" t="s">
        <v>1364</v>
      </c>
      <c r="C13571" s="111" t="s">
        <v>3836</v>
      </c>
      <c r="D13571" s="111" t="str">
        <f t="shared" ref="D13571:E13571" si="13569">TRIM(B13571)</f>
        <v>Pennsylvania</v>
      </c>
      <c r="E13571" s="111" t="str">
        <f t="shared" si="13569"/>
        <v>Hamburg</v>
      </c>
    </row>
    <row r="13572" spans="1:5">
      <c r="A13572" s="3" t="s">
        <v>24702</v>
      </c>
      <c r="B13572" s="110" t="s">
        <v>1364</v>
      </c>
      <c r="C13572" s="111" t="s">
        <v>13019</v>
      </c>
      <c r="D13572" s="111" t="str">
        <f t="shared" ref="D13572:E13572" si="13570">TRIM(B13572)</f>
        <v>Pennsylvania</v>
      </c>
      <c r="E13572" s="111" t="str">
        <f t="shared" si="13570"/>
        <v>Hanover</v>
      </c>
    </row>
    <row r="13573" spans="1:5">
      <c r="A13573" s="3" t="s">
        <v>24703</v>
      </c>
      <c r="B13573" s="110" t="s">
        <v>1364</v>
      </c>
      <c r="C13573" s="111" t="s">
        <v>13019</v>
      </c>
      <c r="D13573" s="111" t="str">
        <f t="shared" ref="D13573:E13573" si="13571">TRIM(B13573)</f>
        <v>Pennsylvania</v>
      </c>
      <c r="E13573" s="111" t="str">
        <f t="shared" si="13571"/>
        <v>Hanover</v>
      </c>
    </row>
    <row r="13574" spans="1:5">
      <c r="A13574" s="3" t="s">
        <v>24704</v>
      </c>
      <c r="B13574" s="110" t="s">
        <v>1364</v>
      </c>
      <c r="C13574" s="113" t="s">
        <v>24705</v>
      </c>
      <c r="D13574" s="111" t="str">
        <f t="shared" ref="D13574:E13574" si="13572">TRIM(B13574)</f>
        <v>Pennsylvania</v>
      </c>
      <c r="E13574" s="111" t="str">
        <f t="shared" si="13572"/>
        <v>Hanover Township</v>
      </c>
    </row>
    <row r="13575" spans="1:5">
      <c r="A13575" s="3" t="s">
        <v>24706</v>
      </c>
      <c r="B13575" s="110" t="s">
        <v>1364</v>
      </c>
      <c r="C13575" s="111" t="s">
        <v>24707</v>
      </c>
      <c r="D13575" s="111" t="str">
        <f t="shared" ref="D13575:E13575" si="13573">TRIM(B13575)</f>
        <v>Pennsylvania</v>
      </c>
      <c r="E13575" s="111" t="str">
        <f t="shared" si="13573"/>
        <v>Harborcreek</v>
      </c>
    </row>
    <row r="13576" spans="1:5">
      <c r="A13576" s="3" t="s">
        <v>16416</v>
      </c>
      <c r="B13576" s="110" t="s">
        <v>1364</v>
      </c>
      <c r="C13576" s="111" t="s">
        <v>9299</v>
      </c>
      <c r="D13576" s="111" t="str">
        <f t="shared" ref="D13576:E13576" si="13574">TRIM(B13576)</f>
        <v>Pennsylvania</v>
      </c>
      <c r="E13576" s="111" t="str">
        <f t="shared" si="13574"/>
        <v>Harmony</v>
      </c>
    </row>
    <row r="13577" spans="1:5">
      <c r="A13577" s="110" t="s">
        <v>24708</v>
      </c>
      <c r="B13577" s="110" t="s">
        <v>1364</v>
      </c>
      <c r="C13577" s="111" t="s">
        <v>3845</v>
      </c>
      <c r="D13577" s="111" t="str">
        <f t="shared" ref="D13577:E13577" si="13575">TRIM(B13577)</f>
        <v>Pennsylvania</v>
      </c>
      <c r="E13577" s="111" t="str">
        <f t="shared" si="13575"/>
        <v>Harrisburg</v>
      </c>
    </row>
    <row r="13578" spans="1:5">
      <c r="A13578" s="3" t="s">
        <v>24709</v>
      </c>
      <c r="B13578" s="110" t="s">
        <v>1364</v>
      </c>
      <c r="C13578" s="111" t="s">
        <v>3845</v>
      </c>
      <c r="D13578" s="111" t="str">
        <f t="shared" ref="D13578:E13578" si="13576">TRIM(B13578)</f>
        <v>Pennsylvania</v>
      </c>
      <c r="E13578" s="111" t="str">
        <f t="shared" si="13576"/>
        <v>Harrisburg</v>
      </c>
    </row>
    <row r="13579" spans="1:5">
      <c r="A13579" s="3" t="s">
        <v>24710</v>
      </c>
      <c r="B13579" s="110" t="s">
        <v>1364</v>
      </c>
      <c r="C13579" s="111" t="s">
        <v>3845</v>
      </c>
      <c r="D13579" s="111" t="str">
        <f t="shared" ref="D13579:E13579" si="13577">TRIM(B13579)</f>
        <v>Pennsylvania</v>
      </c>
      <c r="E13579" s="111" t="str">
        <f t="shared" si="13577"/>
        <v>Harrisburg</v>
      </c>
    </row>
    <row r="13580" spans="1:5">
      <c r="A13580" s="3" t="s">
        <v>13023</v>
      </c>
      <c r="B13580" s="110" t="s">
        <v>1364</v>
      </c>
      <c r="C13580" s="111" t="s">
        <v>3845</v>
      </c>
      <c r="D13580" s="111" t="str">
        <f t="shared" ref="D13580:E13580" si="13578">TRIM(B13580)</f>
        <v>Pennsylvania</v>
      </c>
      <c r="E13580" s="111" t="str">
        <f t="shared" si="13578"/>
        <v>Harrisburg</v>
      </c>
    </row>
    <row r="13581" spans="1:5">
      <c r="A13581" s="3" t="s">
        <v>24711</v>
      </c>
      <c r="B13581" s="110" t="s">
        <v>1364</v>
      </c>
      <c r="C13581" s="111" t="s">
        <v>3845</v>
      </c>
      <c r="D13581" s="111" t="str">
        <f t="shared" ref="D13581:E13581" si="13579">TRIM(B13581)</f>
        <v>Pennsylvania</v>
      </c>
      <c r="E13581" s="111" t="str">
        <f t="shared" si="13579"/>
        <v>Harrisburg</v>
      </c>
    </row>
    <row r="13582" spans="1:5">
      <c r="A13582" s="3" t="s">
        <v>24712</v>
      </c>
      <c r="B13582" s="110" t="s">
        <v>1364</v>
      </c>
      <c r="C13582" s="111" t="s">
        <v>3845</v>
      </c>
      <c r="D13582" s="111" t="str">
        <f t="shared" ref="D13582:E13582" si="13580">TRIM(B13582)</f>
        <v>Pennsylvania</v>
      </c>
      <c r="E13582" s="111" t="str">
        <f t="shared" si="13580"/>
        <v>Harrisburg</v>
      </c>
    </row>
    <row r="13583" spans="1:5">
      <c r="A13583" s="3" t="s">
        <v>24713</v>
      </c>
      <c r="B13583" s="110" t="s">
        <v>1364</v>
      </c>
      <c r="C13583" s="111" t="s">
        <v>24714</v>
      </c>
      <c r="D13583" s="111" t="str">
        <f t="shared" ref="D13583:E13583" si="13581">TRIM(B13583)</f>
        <v>Pennsylvania</v>
      </c>
      <c r="E13583" s="111" t="str">
        <f t="shared" si="13581"/>
        <v>Harrison City</v>
      </c>
    </row>
    <row r="13584" spans="1:5">
      <c r="A13584" s="3" t="s">
        <v>24715</v>
      </c>
      <c r="B13584" s="110" t="s">
        <v>1364</v>
      </c>
      <c r="C13584" s="111" t="s">
        <v>24716</v>
      </c>
      <c r="D13584" s="111" t="str">
        <f t="shared" ref="D13584:E13584" si="13582">TRIM(B13584)</f>
        <v>Pennsylvania</v>
      </c>
      <c r="E13584" s="111" t="str">
        <f t="shared" si="13582"/>
        <v>Havertown</v>
      </c>
    </row>
    <row r="13585" spans="1:5">
      <c r="A13585" s="3" t="s">
        <v>24717</v>
      </c>
      <c r="B13585" s="110" t="s">
        <v>1364</v>
      </c>
      <c r="C13585" s="111" t="s">
        <v>17936</v>
      </c>
      <c r="D13585" s="111" t="str">
        <f t="shared" ref="D13585:E13585" si="13583">TRIM(B13585)</f>
        <v>Pennsylvania</v>
      </c>
      <c r="E13585" s="111" t="str">
        <f t="shared" si="13583"/>
        <v>Hawley</v>
      </c>
    </row>
    <row r="13586" spans="1:5">
      <c r="A13586" s="3" t="s">
        <v>24718</v>
      </c>
      <c r="B13586" s="110" t="s">
        <v>1364</v>
      </c>
      <c r="C13586" s="111" t="s">
        <v>24719</v>
      </c>
      <c r="D13586" s="111" t="str">
        <f t="shared" ref="D13586:E13586" si="13584">TRIM(B13586)</f>
        <v>Pennsylvania</v>
      </c>
      <c r="E13586" s="111" t="str">
        <f t="shared" si="13584"/>
        <v>Hazle Township</v>
      </c>
    </row>
    <row r="13587" spans="1:5">
      <c r="A13587" s="3" t="s">
        <v>24720</v>
      </c>
      <c r="B13587" s="110" t="s">
        <v>1364</v>
      </c>
      <c r="C13587" s="111" t="s">
        <v>24721</v>
      </c>
      <c r="D13587" s="111" t="str">
        <f t="shared" ref="D13587:E13587" si="13585">TRIM(B13587)</f>
        <v>Pennsylvania</v>
      </c>
      <c r="E13587" s="111" t="str">
        <f t="shared" si="13585"/>
        <v>Hegins</v>
      </c>
    </row>
    <row r="13588" spans="1:5">
      <c r="A13588" s="3" t="s">
        <v>24722</v>
      </c>
      <c r="B13588" s="110" t="s">
        <v>1364</v>
      </c>
      <c r="C13588" s="111" t="s">
        <v>24723</v>
      </c>
      <c r="D13588" s="111" t="str">
        <f t="shared" ref="D13588:E13588" si="13586">TRIM(B13588)</f>
        <v>Pennsylvania</v>
      </c>
      <c r="E13588" s="111" t="str">
        <f t="shared" si="13586"/>
        <v>Hellertown</v>
      </c>
    </row>
    <row r="13589" spans="1:5">
      <c r="A13589" s="3" t="s">
        <v>24724</v>
      </c>
      <c r="B13589" s="110" t="s">
        <v>1364</v>
      </c>
      <c r="C13589" s="111" t="s">
        <v>24725</v>
      </c>
      <c r="D13589" s="111" t="str">
        <f t="shared" ref="D13589:E13589" si="13587">TRIM(B13589)</f>
        <v>Pennsylvania</v>
      </c>
      <c r="E13589" s="111" t="str">
        <f t="shared" si="13587"/>
        <v>Herminie</v>
      </c>
    </row>
    <row r="13590" spans="1:5">
      <c r="A13590" s="3" t="s">
        <v>22227</v>
      </c>
      <c r="B13590" s="110" t="s">
        <v>1364</v>
      </c>
      <c r="C13590" s="111" t="s">
        <v>3870</v>
      </c>
      <c r="D13590" s="111" t="str">
        <f t="shared" ref="D13590:E13590" si="13588">TRIM(B13590)</f>
        <v>Pennsylvania</v>
      </c>
      <c r="E13590" s="111" t="str">
        <f t="shared" si="13588"/>
        <v>Hermitage</v>
      </c>
    </row>
    <row r="13591" spans="1:5">
      <c r="A13591" s="3" t="s">
        <v>24726</v>
      </c>
      <c r="B13591" s="110" t="s">
        <v>1364</v>
      </c>
      <c r="C13591" s="111" t="s">
        <v>14001</v>
      </c>
      <c r="D13591" s="111" t="str">
        <f t="shared" ref="D13591:E13591" si="13589">TRIM(B13591)</f>
        <v>Pennsylvania</v>
      </c>
      <c r="E13591" s="111" t="str">
        <f t="shared" si="13589"/>
        <v>Herndon</v>
      </c>
    </row>
    <row r="13592" spans="1:5">
      <c r="A13592" s="3" t="s">
        <v>19605</v>
      </c>
      <c r="B13592" s="110" t="s">
        <v>1364</v>
      </c>
      <c r="C13592" s="111" t="s">
        <v>13136</v>
      </c>
      <c r="D13592" s="111" t="str">
        <f t="shared" ref="D13592:E13592" si="13590">TRIM(B13592)</f>
        <v>Pennsylvania</v>
      </c>
      <c r="E13592" s="111" t="str">
        <f t="shared" si="13590"/>
        <v>Hershey</v>
      </c>
    </row>
    <row r="13593" spans="1:5">
      <c r="A13593" s="3" t="s">
        <v>24727</v>
      </c>
      <c r="B13593" s="110" t="s">
        <v>1364</v>
      </c>
      <c r="C13593" s="111" t="s">
        <v>11430</v>
      </c>
      <c r="D13593" s="111" t="str">
        <f t="shared" ref="D13593:E13593" si="13591">TRIM(B13593)</f>
        <v>Pennsylvania</v>
      </c>
      <c r="E13593" s="111" t="str">
        <f t="shared" si="13591"/>
        <v>Holland</v>
      </c>
    </row>
    <row r="13594" spans="1:5">
      <c r="A13594" s="3" t="s">
        <v>24728</v>
      </c>
      <c r="B13594" s="110" t="s">
        <v>1364</v>
      </c>
      <c r="C13594" s="111" t="s">
        <v>24729</v>
      </c>
      <c r="D13594" s="111" t="str">
        <f t="shared" ref="D13594:E13594" si="13592">TRIM(B13594)</f>
        <v>Pennsylvania</v>
      </c>
      <c r="E13594" s="111" t="str">
        <f t="shared" si="13592"/>
        <v>Hollidaysburg</v>
      </c>
    </row>
    <row r="13595" spans="1:5">
      <c r="A13595" s="3" t="s">
        <v>24730</v>
      </c>
      <c r="B13595" s="110" t="s">
        <v>1364</v>
      </c>
      <c r="C13595" s="111" t="s">
        <v>24731</v>
      </c>
      <c r="D13595" s="111" t="str">
        <f t="shared" ref="D13595:E13595" si="13593">TRIM(B13595)</f>
        <v>Pennsylvania</v>
      </c>
      <c r="E13595" s="111" t="str">
        <f t="shared" si="13593"/>
        <v>Homer City</v>
      </c>
    </row>
    <row r="13596" spans="1:5">
      <c r="A13596" s="3" t="s">
        <v>24732</v>
      </c>
      <c r="B13596" s="110" t="s">
        <v>1364</v>
      </c>
      <c r="C13596" s="111" t="s">
        <v>24733</v>
      </c>
      <c r="D13596" s="111" t="str">
        <f t="shared" ref="D13596:E13596" si="13594">TRIM(B13596)</f>
        <v>Pennsylvania</v>
      </c>
      <c r="E13596" s="111" t="str">
        <f t="shared" si="13594"/>
        <v>Honesdale</v>
      </c>
    </row>
    <row r="13597" spans="1:5">
      <c r="A13597" s="3" t="s">
        <v>3597</v>
      </c>
      <c r="B13597" s="110" t="s">
        <v>1364</v>
      </c>
      <c r="C13597" s="111" t="s">
        <v>24734</v>
      </c>
      <c r="D13597" s="111" t="str">
        <f t="shared" ref="D13597:E13597" si="13595">TRIM(B13597)</f>
        <v>Pennsylvania</v>
      </c>
      <c r="E13597" s="111" t="str">
        <f t="shared" si="13595"/>
        <v>Hookstown</v>
      </c>
    </row>
    <row r="13598" spans="1:5">
      <c r="A13598" s="3" t="s">
        <v>24735</v>
      </c>
      <c r="B13598" s="110" t="s">
        <v>1364</v>
      </c>
      <c r="C13598" s="111" t="s">
        <v>24736</v>
      </c>
      <c r="D13598" s="111" t="str">
        <f t="shared" ref="D13598:E13598" si="13596">TRIM(B13598)</f>
        <v>Pennsylvania</v>
      </c>
      <c r="E13598" s="111" t="str">
        <f t="shared" si="13596"/>
        <v>Horsham</v>
      </c>
    </row>
    <row r="13599" spans="1:5">
      <c r="A13599" s="3" t="s">
        <v>24737</v>
      </c>
      <c r="B13599" s="110" t="s">
        <v>1364</v>
      </c>
      <c r="C13599" s="111" t="s">
        <v>368</v>
      </c>
      <c r="D13599" s="111" t="str">
        <f t="shared" ref="D13599:E13599" si="13597">TRIM(B13599)</f>
        <v>Pennsylvania</v>
      </c>
      <c r="E13599" s="111" t="str">
        <f t="shared" si="13597"/>
        <v>Houston</v>
      </c>
    </row>
    <row r="13600" spans="1:5">
      <c r="A13600" s="3" t="s">
        <v>24738</v>
      </c>
      <c r="B13600" s="110" t="s">
        <v>1364</v>
      </c>
      <c r="C13600" s="111" t="s">
        <v>24739</v>
      </c>
      <c r="D13600" s="111" t="str">
        <f t="shared" ref="D13600:E13600" si="13598">TRIM(B13600)</f>
        <v>Pennsylvania</v>
      </c>
      <c r="E13600" s="111" t="str">
        <f t="shared" si="13598"/>
        <v>Houtzdale</v>
      </c>
    </row>
    <row r="13601" spans="1:5">
      <c r="A13601" s="3" t="s">
        <v>24740</v>
      </c>
      <c r="B13601" s="110" t="s">
        <v>1364</v>
      </c>
      <c r="C13601" s="111" t="s">
        <v>18834</v>
      </c>
      <c r="D13601" s="111" t="str">
        <f t="shared" ref="D13601:E13601" si="13599">TRIM(B13601)</f>
        <v>Pennsylvania</v>
      </c>
      <c r="E13601" s="111" t="str">
        <f t="shared" si="13599"/>
        <v>Hughesville</v>
      </c>
    </row>
    <row r="13602" spans="1:5">
      <c r="A13602" s="3" t="s">
        <v>24741</v>
      </c>
      <c r="B13602" s="110" t="s">
        <v>1364</v>
      </c>
      <c r="C13602" s="111" t="s">
        <v>24742</v>
      </c>
      <c r="D13602" s="111" t="str">
        <f t="shared" ref="D13602:E13602" si="13600">TRIM(B13602)</f>
        <v>Pennsylvania</v>
      </c>
      <c r="E13602" s="111" t="str">
        <f t="shared" si="13600"/>
        <v>Hummelstown</v>
      </c>
    </row>
    <row r="13603" spans="1:5">
      <c r="A13603" s="110" t="s">
        <v>24743</v>
      </c>
      <c r="B13603" s="110" t="s">
        <v>1364</v>
      </c>
      <c r="C13603" s="111" t="s">
        <v>24742</v>
      </c>
      <c r="D13603" s="111" t="str">
        <f t="shared" ref="D13603:E13603" si="13601">TRIM(B13603)</f>
        <v>Pennsylvania</v>
      </c>
      <c r="E13603" s="111" t="str">
        <f t="shared" si="13601"/>
        <v>Hummelstown</v>
      </c>
    </row>
    <row r="13604" spans="1:5">
      <c r="A13604" s="3" t="s">
        <v>24744</v>
      </c>
      <c r="B13604" s="110" t="s">
        <v>1364</v>
      </c>
      <c r="C13604" s="111" t="s">
        <v>8907</v>
      </c>
      <c r="D13604" s="111" t="str">
        <f t="shared" ref="D13604:E13604" si="13602">TRIM(B13604)</f>
        <v>Pennsylvania</v>
      </c>
      <c r="E13604" s="111" t="str">
        <f t="shared" si="13602"/>
        <v>Huntingdon</v>
      </c>
    </row>
    <row r="13605" spans="1:5">
      <c r="A13605" s="110" t="s">
        <v>24745</v>
      </c>
      <c r="B13605" s="110" t="s">
        <v>1364</v>
      </c>
      <c r="C13605" s="111" t="s">
        <v>8907</v>
      </c>
      <c r="D13605" s="111" t="str">
        <f t="shared" ref="D13605:E13605" si="13603">TRIM(B13605)</f>
        <v>Pennsylvania</v>
      </c>
      <c r="E13605" s="111" t="str">
        <f t="shared" si="13603"/>
        <v>Huntingdon</v>
      </c>
    </row>
    <row r="13606" spans="1:5">
      <c r="A13606" s="3" t="s">
        <v>24746</v>
      </c>
      <c r="B13606" s="110" t="s">
        <v>1364</v>
      </c>
      <c r="C13606" s="113" t="s">
        <v>24747</v>
      </c>
      <c r="D13606" s="111" t="str">
        <f t="shared" ref="D13606:E13606" si="13604">TRIM(B13606)</f>
        <v>Pennsylvania</v>
      </c>
      <c r="E13606" s="111" t="str">
        <f t="shared" si="13604"/>
        <v>Huntingdon Valley</v>
      </c>
    </row>
    <row r="13607" spans="1:5">
      <c r="A13607" s="3" t="s">
        <v>24748</v>
      </c>
      <c r="B13607" s="110" t="s">
        <v>1364</v>
      </c>
      <c r="C13607" s="111" t="s">
        <v>5316</v>
      </c>
      <c r="D13607" s="111" t="str">
        <f t="shared" ref="D13607:E13607" si="13605">TRIM(B13607)</f>
        <v>Pennsylvania</v>
      </c>
      <c r="E13607" s="111" t="str">
        <f t="shared" si="13605"/>
        <v>Imperial</v>
      </c>
    </row>
    <row r="13608" spans="1:5">
      <c r="A13608" s="3" t="s">
        <v>24749</v>
      </c>
      <c r="B13608" s="110" t="s">
        <v>1364</v>
      </c>
      <c r="C13608" s="111" t="s">
        <v>1334</v>
      </c>
      <c r="D13608" s="111" t="str">
        <f t="shared" ref="D13608:E13608" si="13606">TRIM(B13608)</f>
        <v>Pennsylvania</v>
      </c>
      <c r="E13608" s="111" t="str">
        <f t="shared" si="13606"/>
        <v>Indiana</v>
      </c>
    </row>
    <row r="13609" spans="1:5">
      <c r="A13609" s="3" t="s">
        <v>24750</v>
      </c>
      <c r="B13609" s="110" t="s">
        <v>1364</v>
      </c>
      <c r="C13609" s="111" t="s">
        <v>24751</v>
      </c>
      <c r="D13609" s="111" t="str">
        <f t="shared" ref="D13609:E13609" si="13607">TRIM(B13609)</f>
        <v>Pennsylvania</v>
      </c>
      <c r="E13609" s="111" t="str">
        <f t="shared" si="13607"/>
        <v>Industry</v>
      </c>
    </row>
    <row r="13610" spans="1:5">
      <c r="A13610" s="3" t="s">
        <v>24752</v>
      </c>
      <c r="B13610" s="110" t="s">
        <v>1364</v>
      </c>
      <c r="C13610" s="111" t="s">
        <v>18854</v>
      </c>
      <c r="D13610" s="111" t="str">
        <f t="shared" ref="D13610:E13610" si="13608">TRIM(B13610)</f>
        <v>Pennsylvania</v>
      </c>
      <c r="E13610" s="111" t="str">
        <f t="shared" si="13608"/>
        <v>Jamestown</v>
      </c>
    </row>
    <row r="13611" spans="1:5">
      <c r="A13611" s="3" t="s">
        <v>24753</v>
      </c>
      <c r="B13611" s="110" t="s">
        <v>1364</v>
      </c>
      <c r="C13611" s="111" t="s">
        <v>24754</v>
      </c>
      <c r="D13611" s="111" t="str">
        <f t="shared" ref="D13611:E13611" si="13609">TRIM(B13611)</f>
        <v>Pennsylvania</v>
      </c>
      <c r="E13611" s="111" t="str">
        <f t="shared" si="13609"/>
        <v>Jeannette</v>
      </c>
    </row>
    <row r="13612" spans="1:5">
      <c r="A13612" s="3" t="s">
        <v>24755</v>
      </c>
      <c r="B13612" s="110" t="s">
        <v>1364</v>
      </c>
      <c r="C13612" s="111" t="s">
        <v>7891</v>
      </c>
      <c r="D13612" s="111" t="str">
        <f t="shared" ref="D13612:E13612" si="13610">TRIM(B13612)</f>
        <v>Pennsylvania</v>
      </c>
      <c r="E13612" s="111" t="str">
        <f t="shared" si="13610"/>
        <v>Jefferson</v>
      </c>
    </row>
    <row r="13613" spans="1:5">
      <c r="A13613" s="3" t="s">
        <v>7844</v>
      </c>
      <c r="B13613" s="110" t="s">
        <v>1364</v>
      </c>
      <c r="C13613" s="111" t="s">
        <v>24756</v>
      </c>
      <c r="D13613" s="111" t="str">
        <f t="shared" ref="D13613:E13613" si="13611">TRIM(B13613)</f>
        <v>Pennsylvania</v>
      </c>
      <c r="E13613" s="111" t="str">
        <f t="shared" si="13611"/>
        <v>Jefferson Hills</v>
      </c>
    </row>
    <row r="13614" spans="1:5">
      <c r="A13614" s="3" t="s">
        <v>24757</v>
      </c>
      <c r="B13614" s="110" t="s">
        <v>1364</v>
      </c>
      <c r="C13614" s="111" t="s">
        <v>12991</v>
      </c>
      <c r="D13614" s="111" t="str">
        <f t="shared" ref="D13614:E13614" si="13612">TRIM(B13614)</f>
        <v>Pennsylvania</v>
      </c>
      <c r="E13614" s="111" t="str">
        <f t="shared" si="13612"/>
        <v>Jenkintown</v>
      </c>
    </row>
    <row r="13615" spans="1:5">
      <c r="A13615" s="3" t="s">
        <v>24758</v>
      </c>
      <c r="B13615" s="110" t="s">
        <v>1364</v>
      </c>
      <c r="C13615" s="111" t="s">
        <v>24759</v>
      </c>
      <c r="D13615" s="111" t="str">
        <f t="shared" ref="D13615:E13615" si="13613">TRIM(B13615)</f>
        <v>Pennsylvania</v>
      </c>
      <c r="E13615" s="111" t="str">
        <f t="shared" si="13613"/>
        <v>Jersey Shore</v>
      </c>
    </row>
    <row r="13616" spans="1:5">
      <c r="A13616" s="3" t="s">
        <v>24760</v>
      </c>
      <c r="B13616" s="110" t="s">
        <v>1364</v>
      </c>
      <c r="C13616" s="111" t="s">
        <v>24761</v>
      </c>
      <c r="D13616" s="111" t="str">
        <f t="shared" ref="D13616:E13616" si="13614">TRIM(B13616)</f>
        <v>Pennsylvania</v>
      </c>
      <c r="E13616" s="111" t="str">
        <f t="shared" si="13614"/>
        <v>Jim Thorpe</v>
      </c>
    </row>
    <row r="13617" spans="1:5">
      <c r="A13617" s="3" t="s">
        <v>24762</v>
      </c>
      <c r="B13617" s="110" t="s">
        <v>1364</v>
      </c>
      <c r="C13617" s="111" t="s">
        <v>24763</v>
      </c>
      <c r="D13617" s="111" t="str">
        <f t="shared" ref="D13617:E13617" si="13615">TRIM(B13617)</f>
        <v>Pennsylvania</v>
      </c>
      <c r="E13617" s="111" t="str">
        <f t="shared" si="13615"/>
        <v>Johnsonburg</v>
      </c>
    </row>
    <row r="13618" spans="1:5">
      <c r="A13618" s="3" t="s">
        <v>24764</v>
      </c>
      <c r="B13618" s="110" t="s">
        <v>1364</v>
      </c>
      <c r="C13618" s="111" t="s">
        <v>8000</v>
      </c>
      <c r="D13618" s="111" t="str">
        <f t="shared" ref="D13618:E13618" si="13616">TRIM(B13618)</f>
        <v>Pennsylvania</v>
      </c>
      <c r="E13618" s="111" t="str">
        <f t="shared" si="13616"/>
        <v>Johnstown</v>
      </c>
    </row>
    <row r="13619" spans="1:5">
      <c r="A13619" s="3" t="s">
        <v>24765</v>
      </c>
      <c r="B13619" s="110" t="s">
        <v>1364</v>
      </c>
      <c r="C13619" s="111" t="s">
        <v>8000</v>
      </c>
      <c r="D13619" s="111" t="str">
        <f t="shared" ref="D13619:E13619" si="13617">TRIM(B13619)</f>
        <v>Pennsylvania</v>
      </c>
      <c r="E13619" s="111" t="str">
        <f t="shared" si="13617"/>
        <v>Johnstown</v>
      </c>
    </row>
    <row r="13620" spans="1:5">
      <c r="A13620" s="3" t="s">
        <v>24766</v>
      </c>
      <c r="B13620" s="110" t="s">
        <v>1364</v>
      </c>
      <c r="C13620" s="111" t="s">
        <v>8000</v>
      </c>
      <c r="D13620" s="111" t="str">
        <f t="shared" ref="D13620:E13620" si="13618">TRIM(B13620)</f>
        <v>Pennsylvania</v>
      </c>
      <c r="E13620" s="111" t="str">
        <f t="shared" si="13618"/>
        <v>Johnstown</v>
      </c>
    </row>
    <row r="13621" spans="1:5">
      <c r="A13621" s="3" t="s">
        <v>18544</v>
      </c>
      <c r="B13621" s="110" t="s">
        <v>1364</v>
      </c>
      <c r="C13621" s="111" t="s">
        <v>8000</v>
      </c>
      <c r="D13621" s="111" t="str">
        <f t="shared" ref="D13621:E13621" si="13619">TRIM(B13621)</f>
        <v>Pennsylvania</v>
      </c>
      <c r="E13621" s="111" t="str">
        <f t="shared" si="13619"/>
        <v>Johnstown</v>
      </c>
    </row>
    <row r="13622" spans="1:5">
      <c r="A13622" s="3" t="s">
        <v>24767</v>
      </c>
      <c r="B13622" s="110" t="s">
        <v>1364</v>
      </c>
      <c r="C13622" s="111" t="s">
        <v>8000</v>
      </c>
      <c r="D13622" s="111" t="str">
        <f t="shared" ref="D13622:E13622" si="13620">TRIM(B13622)</f>
        <v>Pennsylvania</v>
      </c>
      <c r="E13622" s="111" t="str">
        <f t="shared" si="13620"/>
        <v>Johnstown</v>
      </c>
    </row>
    <row r="13623" spans="1:5">
      <c r="A13623" s="3" t="s">
        <v>24768</v>
      </c>
      <c r="B13623" s="110" t="s">
        <v>1364</v>
      </c>
      <c r="C13623" s="111" t="s">
        <v>24769</v>
      </c>
      <c r="D13623" s="111" t="str">
        <f t="shared" ref="D13623:E13623" si="13621">TRIM(B13623)</f>
        <v>Pennsylvania</v>
      </c>
      <c r="E13623" s="111" t="str">
        <f t="shared" si="13621"/>
        <v>Kane</v>
      </c>
    </row>
    <row r="13624" spans="1:5">
      <c r="A13624" s="3" t="s">
        <v>24770</v>
      </c>
      <c r="B13624" s="110" t="s">
        <v>1364</v>
      </c>
      <c r="C13624" s="111" t="s">
        <v>24771</v>
      </c>
      <c r="D13624" s="111" t="str">
        <f t="shared" ref="D13624:E13624" si="13622">TRIM(B13624)</f>
        <v>Pennsylvania</v>
      </c>
      <c r="E13624" s="111" t="str">
        <f t="shared" si="13622"/>
        <v>Karns City</v>
      </c>
    </row>
    <row r="13625" spans="1:5">
      <c r="A13625" s="3" t="s">
        <v>18881</v>
      </c>
      <c r="B13625" s="110" t="s">
        <v>1364</v>
      </c>
      <c r="C13625" s="111" t="s">
        <v>24772</v>
      </c>
      <c r="D13625" s="111" t="str">
        <f t="shared" ref="D13625:E13625" si="13623">TRIM(B13625)</f>
        <v>Pennsylvania</v>
      </c>
      <c r="E13625" s="111" t="str">
        <f t="shared" si="13623"/>
        <v>Kennett Square</v>
      </c>
    </row>
    <row r="13626" spans="1:5">
      <c r="A13626" s="3" t="s">
        <v>24773</v>
      </c>
      <c r="B13626" s="110" t="s">
        <v>1364</v>
      </c>
      <c r="C13626" s="111" t="s">
        <v>24772</v>
      </c>
      <c r="D13626" s="111" t="str">
        <f t="shared" ref="D13626:E13626" si="13624">TRIM(B13626)</f>
        <v>Pennsylvania</v>
      </c>
      <c r="E13626" s="111" t="str">
        <f t="shared" si="13624"/>
        <v>Kennett Square</v>
      </c>
    </row>
    <row r="13627" spans="1:5">
      <c r="A13627" s="3" t="s">
        <v>24774</v>
      </c>
      <c r="B13627" s="110" t="s">
        <v>1364</v>
      </c>
      <c r="C13627" s="111" t="s">
        <v>24775</v>
      </c>
      <c r="D13627" s="111" t="str">
        <f t="shared" ref="D13627:E13627" si="13625">TRIM(B13627)</f>
        <v>Pennsylvania</v>
      </c>
      <c r="E13627" s="111" t="str">
        <f t="shared" si="13625"/>
        <v>King Of Prussia</v>
      </c>
    </row>
    <row r="13628" spans="1:5">
      <c r="A13628" s="3" t="s">
        <v>24776</v>
      </c>
      <c r="B13628" s="110" t="s">
        <v>1364</v>
      </c>
      <c r="C13628" s="111" t="s">
        <v>14907</v>
      </c>
      <c r="D13628" s="111" t="str">
        <f t="shared" ref="D13628:E13628" si="13626">TRIM(B13628)</f>
        <v>Pennsylvania</v>
      </c>
      <c r="E13628" s="111" t="str">
        <f t="shared" si="13626"/>
        <v>Kingsley</v>
      </c>
    </row>
    <row r="13629" spans="1:5">
      <c r="A13629" s="3" t="s">
        <v>24777</v>
      </c>
      <c r="B13629" s="110" t="s">
        <v>1364</v>
      </c>
      <c r="C13629" s="111" t="s">
        <v>24778</v>
      </c>
      <c r="D13629" s="111" t="str">
        <f t="shared" ref="D13629:E13629" si="13627">TRIM(B13629)</f>
        <v>Pennsylvania</v>
      </c>
      <c r="E13629" s="111" t="str">
        <f t="shared" si="13627"/>
        <v>Kintnersville</v>
      </c>
    </row>
    <row r="13630" spans="1:5">
      <c r="A13630" s="3" t="s">
        <v>24779</v>
      </c>
      <c r="B13630" s="110" t="s">
        <v>1364</v>
      </c>
      <c r="C13630" s="111" t="s">
        <v>24780</v>
      </c>
      <c r="D13630" s="111" t="str">
        <f t="shared" ref="D13630:E13630" si="13628">TRIM(B13630)</f>
        <v>Pennsylvania</v>
      </c>
      <c r="E13630" s="111" t="str">
        <f t="shared" si="13628"/>
        <v>Kinzers</v>
      </c>
    </row>
    <row r="13631" spans="1:5">
      <c r="A13631" s="3" t="s">
        <v>24781</v>
      </c>
      <c r="B13631" s="110" t="s">
        <v>1364</v>
      </c>
      <c r="C13631" s="111" t="s">
        <v>24782</v>
      </c>
      <c r="D13631" s="111" t="str">
        <f t="shared" ref="D13631:E13631" si="13629">TRIM(B13631)</f>
        <v>Pennsylvania</v>
      </c>
      <c r="E13631" s="111" t="str">
        <f t="shared" si="13629"/>
        <v>Kittanning</v>
      </c>
    </row>
    <row r="13632" spans="1:5">
      <c r="A13632" s="3" t="s">
        <v>24783</v>
      </c>
      <c r="B13632" s="110" t="s">
        <v>1364</v>
      </c>
      <c r="C13632" s="111" t="s">
        <v>14436</v>
      </c>
      <c r="D13632" s="111" t="str">
        <f t="shared" ref="D13632:E13632" si="13630">TRIM(B13632)</f>
        <v>Pennsylvania</v>
      </c>
      <c r="E13632" s="111" t="str">
        <f t="shared" si="13630"/>
        <v>Knox</v>
      </c>
    </row>
    <row r="13633" spans="1:5">
      <c r="A13633" s="3" t="s">
        <v>24784</v>
      </c>
      <c r="B13633" s="110" t="s">
        <v>1364</v>
      </c>
      <c r="C13633" s="111" t="s">
        <v>24785</v>
      </c>
      <c r="D13633" s="111" t="str">
        <f t="shared" ref="D13633:E13633" si="13631">TRIM(B13633)</f>
        <v>Pennsylvania</v>
      </c>
      <c r="E13633" s="111" t="str">
        <f t="shared" si="13631"/>
        <v>Kutztown</v>
      </c>
    </row>
    <row r="13634" spans="1:5">
      <c r="A13634" s="3" t="s">
        <v>24786</v>
      </c>
      <c r="B13634" s="110" t="s">
        <v>1364</v>
      </c>
      <c r="C13634" s="112" t="s">
        <v>24787</v>
      </c>
      <c r="D13634" s="111" t="str">
        <f t="shared" ref="D13634:E13634" si="13632">TRIM(B13634)</f>
        <v>Pennsylvania</v>
      </c>
      <c r="E13634" s="111" t="str">
        <f t="shared" si="13632"/>
        <v>Lake Ariel</v>
      </c>
    </row>
    <row r="13635" spans="1:5">
      <c r="A13635" s="3" t="s">
        <v>24788</v>
      </c>
      <c r="B13635" s="110" t="s">
        <v>1364</v>
      </c>
      <c r="C13635" s="111" t="s">
        <v>24789</v>
      </c>
      <c r="D13635" s="111" t="str">
        <f t="shared" ref="D13635:E13635" si="13633">TRIM(B13635)</f>
        <v>Pennsylvania</v>
      </c>
      <c r="E13635" s="111" t="str">
        <f t="shared" si="13633"/>
        <v>Lampeter</v>
      </c>
    </row>
    <row r="13636" spans="1:5">
      <c r="A13636" s="3" t="s">
        <v>24790</v>
      </c>
      <c r="B13636" s="110" t="s">
        <v>1364</v>
      </c>
      <c r="C13636" s="111" t="s">
        <v>61</v>
      </c>
      <c r="D13636" s="111" t="str">
        <f t="shared" ref="D13636:E13636" si="13634">TRIM(B13636)</f>
        <v>Pennsylvania</v>
      </c>
      <c r="E13636" s="111" t="str">
        <f t="shared" si="13634"/>
        <v>Lancaster</v>
      </c>
    </row>
    <row r="13637" spans="1:5">
      <c r="A13637" s="3" t="s">
        <v>24791</v>
      </c>
      <c r="B13637" s="110" t="s">
        <v>1364</v>
      </c>
      <c r="C13637" s="111" t="s">
        <v>61</v>
      </c>
      <c r="D13637" s="111" t="str">
        <f t="shared" ref="D13637:E13637" si="13635">TRIM(B13637)</f>
        <v>Pennsylvania</v>
      </c>
      <c r="E13637" s="111" t="str">
        <f t="shared" si="13635"/>
        <v>Lancaster</v>
      </c>
    </row>
    <row r="13638" spans="1:5">
      <c r="A13638" s="3" t="s">
        <v>24792</v>
      </c>
      <c r="B13638" s="110" t="s">
        <v>1364</v>
      </c>
      <c r="C13638" s="111" t="s">
        <v>61</v>
      </c>
      <c r="D13638" s="111" t="str">
        <f t="shared" ref="D13638:E13638" si="13636">TRIM(B13638)</f>
        <v>Pennsylvania</v>
      </c>
      <c r="E13638" s="111" t="str">
        <f t="shared" si="13636"/>
        <v>Lancaster</v>
      </c>
    </row>
    <row r="13639" spans="1:5">
      <c r="A13639" s="110" t="s">
        <v>24793</v>
      </c>
      <c r="B13639" s="110" t="s">
        <v>1364</v>
      </c>
      <c r="C13639" s="111" t="s">
        <v>61</v>
      </c>
      <c r="D13639" s="111" t="str">
        <f t="shared" ref="D13639:E13639" si="13637">TRIM(B13639)</f>
        <v>Pennsylvania</v>
      </c>
      <c r="E13639" s="111" t="str">
        <f t="shared" si="13637"/>
        <v>Lancaster</v>
      </c>
    </row>
    <row r="13640" spans="1:5">
      <c r="A13640" s="3" t="s">
        <v>24794</v>
      </c>
      <c r="B13640" s="110" t="s">
        <v>1364</v>
      </c>
      <c r="C13640" s="111" t="s">
        <v>61</v>
      </c>
      <c r="D13640" s="111" t="str">
        <f t="shared" ref="D13640:E13640" si="13638">TRIM(B13640)</f>
        <v>Pennsylvania</v>
      </c>
      <c r="E13640" s="111" t="str">
        <f t="shared" si="13638"/>
        <v>Lancaster</v>
      </c>
    </row>
    <row r="13641" spans="1:5">
      <c r="A13641" s="3" t="s">
        <v>24795</v>
      </c>
      <c r="B13641" s="110" t="s">
        <v>1364</v>
      </c>
      <c r="C13641" s="111" t="s">
        <v>24796</v>
      </c>
      <c r="D13641" s="111" t="str">
        <f t="shared" ref="D13641:E13641" si="13639">TRIM(B13641)</f>
        <v>Pennsylvania</v>
      </c>
      <c r="E13641" s="111" t="str">
        <f t="shared" si="13639"/>
        <v>Landisville</v>
      </c>
    </row>
    <row r="13642" spans="1:5">
      <c r="A13642" s="3" t="s">
        <v>24797</v>
      </c>
      <c r="B13642" s="110" t="s">
        <v>1364</v>
      </c>
      <c r="C13642" s="111" t="s">
        <v>24798</v>
      </c>
      <c r="D13642" s="111" t="str">
        <f t="shared" ref="D13642:E13642" si="13640">TRIM(B13642)</f>
        <v>Pennsylvania</v>
      </c>
      <c r="E13642" s="111" t="str">
        <f t="shared" si="13640"/>
        <v>Langhorne</v>
      </c>
    </row>
    <row r="13643" spans="1:5">
      <c r="A13643" s="3" t="s">
        <v>24799</v>
      </c>
      <c r="B13643" s="110" t="s">
        <v>1364</v>
      </c>
      <c r="C13643" s="111" t="s">
        <v>13039</v>
      </c>
      <c r="D13643" s="111" t="str">
        <f t="shared" ref="D13643:E13643" si="13641">TRIM(B13643)</f>
        <v>Pennsylvania</v>
      </c>
      <c r="E13643" s="111" t="str">
        <f t="shared" si="13641"/>
        <v>Lansdale</v>
      </c>
    </row>
    <row r="13644" spans="1:5">
      <c r="A13644" s="3" t="s">
        <v>24800</v>
      </c>
      <c r="B13644" s="110" t="s">
        <v>1364</v>
      </c>
      <c r="C13644" s="112" t="s">
        <v>24801</v>
      </c>
      <c r="D13644" s="111" t="str">
        <f t="shared" ref="D13644:E13644" si="13642">TRIM(B13644)</f>
        <v>Pennsylvania</v>
      </c>
      <c r="E13644" s="111" t="str">
        <f t="shared" si="13642"/>
        <v>Lansdowne</v>
      </c>
    </row>
    <row r="13645" spans="1:5">
      <c r="A13645" s="3" t="s">
        <v>24802</v>
      </c>
      <c r="B13645" s="110" t="s">
        <v>1364</v>
      </c>
      <c r="C13645" s="111" t="s">
        <v>24803</v>
      </c>
      <c r="D13645" s="111" t="str">
        <f t="shared" ref="D13645:E13645" si="13643">TRIM(B13645)</f>
        <v>Pennsylvania</v>
      </c>
      <c r="E13645" s="111" t="str">
        <f t="shared" si="13643"/>
        <v>Lansford</v>
      </c>
    </row>
    <row r="13646" spans="1:5">
      <c r="A13646" s="3" t="s">
        <v>24804</v>
      </c>
      <c r="B13646" s="110" t="s">
        <v>1364</v>
      </c>
      <c r="C13646" s="111" t="s">
        <v>10697</v>
      </c>
      <c r="D13646" s="111" t="str">
        <f t="shared" ref="D13646:E13646" si="13644">TRIM(B13646)</f>
        <v>Pennsylvania</v>
      </c>
      <c r="E13646" s="111" t="str">
        <f t="shared" si="13644"/>
        <v>Laporte</v>
      </c>
    </row>
    <row r="13647" spans="1:5">
      <c r="A13647" s="3" t="s">
        <v>24805</v>
      </c>
      <c r="B13647" s="110" t="s">
        <v>1364</v>
      </c>
      <c r="C13647" s="111" t="s">
        <v>24806</v>
      </c>
      <c r="D13647" s="111" t="str">
        <f t="shared" ref="D13647:E13647" si="13645">TRIM(B13647)</f>
        <v>Pennsylvania</v>
      </c>
      <c r="E13647" s="111" t="str">
        <f t="shared" si="13645"/>
        <v>Latrobe</v>
      </c>
    </row>
    <row r="13648" spans="1:5">
      <c r="A13648" s="3" t="s">
        <v>24807</v>
      </c>
      <c r="B13648" s="110" t="s">
        <v>1364</v>
      </c>
      <c r="C13648" s="111" t="s">
        <v>24808</v>
      </c>
      <c r="D13648" s="111" t="str">
        <f t="shared" ref="D13648:E13648" si="13646">TRIM(B13648)</f>
        <v>Pennsylvania</v>
      </c>
      <c r="E13648" s="111" t="str">
        <f t="shared" si="13646"/>
        <v>Laureldale</v>
      </c>
    </row>
    <row r="13649" spans="1:5">
      <c r="A13649" s="3" t="s">
        <v>24809</v>
      </c>
      <c r="B13649" s="110" t="s">
        <v>1364</v>
      </c>
      <c r="C13649" s="111" t="s">
        <v>8525</v>
      </c>
      <c r="D13649" s="111" t="str">
        <f t="shared" ref="D13649:E13649" si="13647">TRIM(B13649)</f>
        <v>Pennsylvania</v>
      </c>
      <c r="E13649" s="111" t="str">
        <f t="shared" si="13647"/>
        <v>Lebanon</v>
      </c>
    </row>
    <row r="13650" spans="1:5">
      <c r="A13650" s="3" t="s">
        <v>24810</v>
      </c>
      <c r="B13650" s="110" t="s">
        <v>1364</v>
      </c>
      <c r="C13650" s="111" t="s">
        <v>8525</v>
      </c>
      <c r="D13650" s="111" t="str">
        <f t="shared" ref="D13650:E13650" si="13648">TRIM(B13650)</f>
        <v>Pennsylvania</v>
      </c>
      <c r="E13650" s="111" t="str">
        <f t="shared" si="13648"/>
        <v>Lebanon</v>
      </c>
    </row>
    <row r="13651" spans="1:5">
      <c r="A13651" s="3" t="s">
        <v>24811</v>
      </c>
      <c r="B13651" s="110" t="s">
        <v>1364</v>
      </c>
      <c r="C13651" s="111" t="s">
        <v>24812</v>
      </c>
      <c r="D13651" s="111" t="str">
        <f t="shared" ref="D13651:E13651" si="13649">TRIM(B13651)</f>
        <v>Pennsylvania</v>
      </c>
      <c r="E13651" s="111" t="str">
        <f t="shared" si="13649"/>
        <v>Leechburg</v>
      </c>
    </row>
    <row r="13652" spans="1:5">
      <c r="A13652" s="3" t="s">
        <v>24813</v>
      </c>
      <c r="B13652" s="110" t="s">
        <v>1364</v>
      </c>
      <c r="C13652" s="111" t="s">
        <v>24814</v>
      </c>
      <c r="D13652" s="111" t="str">
        <f t="shared" ref="D13652:E13652" si="13650">TRIM(B13652)</f>
        <v>Pennsylvania</v>
      </c>
      <c r="E13652" s="111" t="str">
        <f t="shared" si="13650"/>
        <v>Leesport</v>
      </c>
    </row>
    <row r="13653" spans="1:5">
      <c r="A13653" s="3" t="s">
        <v>24815</v>
      </c>
      <c r="B13653" s="110" t="s">
        <v>1364</v>
      </c>
      <c r="C13653" s="111" t="s">
        <v>24816</v>
      </c>
      <c r="D13653" s="111" t="str">
        <f t="shared" ref="D13653:E13653" si="13651">TRIM(B13653)</f>
        <v>Pennsylvania</v>
      </c>
      <c r="E13653" s="111" t="str">
        <f t="shared" si="13651"/>
        <v>Leetsdale</v>
      </c>
    </row>
    <row r="13654" spans="1:5">
      <c r="A13654" s="3" t="s">
        <v>24817</v>
      </c>
      <c r="B13654" s="110" t="s">
        <v>1364</v>
      </c>
      <c r="C13654" s="111" t="s">
        <v>13160</v>
      </c>
      <c r="D13654" s="111" t="str">
        <f t="shared" ref="D13654:E13654" si="13652">TRIM(B13654)</f>
        <v>Pennsylvania</v>
      </c>
      <c r="E13654" s="111" t="str">
        <f t="shared" si="13652"/>
        <v>Lehighton</v>
      </c>
    </row>
    <row r="13655" spans="1:5">
      <c r="A13655" s="3" t="s">
        <v>24818</v>
      </c>
      <c r="B13655" s="110" t="s">
        <v>1364</v>
      </c>
      <c r="C13655" s="111" t="s">
        <v>24819</v>
      </c>
      <c r="D13655" s="111" t="str">
        <f t="shared" ref="D13655:E13655" si="13653">TRIM(B13655)</f>
        <v>Pennsylvania</v>
      </c>
      <c r="E13655" s="111" t="str">
        <f t="shared" si="13653"/>
        <v>Lehman</v>
      </c>
    </row>
    <row r="13656" spans="1:5">
      <c r="A13656" s="110" t="s">
        <v>24820</v>
      </c>
      <c r="B13656" s="110" t="s">
        <v>1364</v>
      </c>
      <c r="C13656" s="111" t="s">
        <v>21392</v>
      </c>
      <c r="D13656" s="111" t="str">
        <f t="shared" ref="D13656:E13656" si="13654">TRIM(B13656)</f>
        <v>Pennsylvania</v>
      </c>
      <c r="E13656" s="111" t="str">
        <f t="shared" si="13654"/>
        <v>Levittown</v>
      </c>
    </row>
    <row r="13657" spans="1:5">
      <c r="A13657" s="3" t="s">
        <v>24821</v>
      </c>
      <c r="B13657" s="110" t="s">
        <v>1364</v>
      </c>
      <c r="C13657" s="111" t="s">
        <v>21392</v>
      </c>
      <c r="D13657" s="111" t="str">
        <f t="shared" ref="D13657:E13657" si="13655">TRIM(B13657)</f>
        <v>Pennsylvania</v>
      </c>
      <c r="E13657" s="111" t="str">
        <f t="shared" si="13655"/>
        <v>Levittown</v>
      </c>
    </row>
    <row r="13658" spans="1:5">
      <c r="A13658" s="3" t="s">
        <v>24822</v>
      </c>
      <c r="B13658" s="110" t="s">
        <v>1364</v>
      </c>
      <c r="C13658" s="111" t="s">
        <v>24823</v>
      </c>
      <c r="D13658" s="111" t="str">
        <f t="shared" ref="D13658:E13658" si="13656">TRIM(B13658)</f>
        <v>Pennsylvania</v>
      </c>
      <c r="E13658" s="111" t="str">
        <f t="shared" si="13656"/>
        <v>Lewisberry</v>
      </c>
    </row>
    <row r="13659" spans="1:5">
      <c r="A13659" s="3" t="s">
        <v>18514</v>
      </c>
      <c r="B13659" s="110" t="s">
        <v>1364</v>
      </c>
      <c r="C13659" s="111" t="s">
        <v>471</v>
      </c>
      <c r="D13659" s="111" t="str">
        <f t="shared" ref="D13659:E13659" si="13657">TRIM(B13659)</f>
        <v>Pennsylvania</v>
      </c>
      <c r="E13659" s="111" t="str">
        <f t="shared" si="13657"/>
        <v>Lewisburg</v>
      </c>
    </row>
    <row r="13660" spans="1:5">
      <c r="A13660" s="3" t="s">
        <v>24824</v>
      </c>
      <c r="B13660" s="110" t="s">
        <v>1364</v>
      </c>
      <c r="C13660" s="111" t="s">
        <v>13206</v>
      </c>
      <c r="D13660" s="111" t="str">
        <f t="shared" ref="D13660:E13660" si="13658">TRIM(B13660)</f>
        <v>Pennsylvania</v>
      </c>
      <c r="E13660" s="111" t="str">
        <f t="shared" si="13658"/>
        <v>Lewistown</v>
      </c>
    </row>
    <row r="13661" spans="1:5">
      <c r="A13661" s="3" t="s">
        <v>24825</v>
      </c>
      <c r="B13661" s="110" t="s">
        <v>1364</v>
      </c>
      <c r="C13661" s="111" t="s">
        <v>6684</v>
      </c>
      <c r="D13661" s="111" t="str">
        <f t="shared" ref="D13661:E13661" si="13659">TRIM(B13661)</f>
        <v>Pennsylvania</v>
      </c>
      <c r="E13661" s="111" t="str">
        <f t="shared" si="13659"/>
        <v>Liberty</v>
      </c>
    </row>
    <row r="13662" spans="1:5">
      <c r="A13662" s="3" t="s">
        <v>24826</v>
      </c>
      <c r="B13662" s="110" t="s">
        <v>1364</v>
      </c>
      <c r="C13662" s="111" t="s">
        <v>14464</v>
      </c>
      <c r="D13662" s="111" t="str">
        <f t="shared" ref="D13662:E13662" si="13660">TRIM(B13662)</f>
        <v>Pennsylvania</v>
      </c>
      <c r="E13662" s="111" t="str">
        <f t="shared" si="13660"/>
        <v>Ligonier</v>
      </c>
    </row>
    <row r="13663" spans="1:5">
      <c r="A13663" s="3" t="s">
        <v>24827</v>
      </c>
      <c r="B13663" s="110" t="s">
        <v>1364</v>
      </c>
      <c r="C13663" s="111" t="s">
        <v>24828</v>
      </c>
      <c r="D13663" s="111" t="str">
        <f t="shared" ref="D13663:E13663" si="13661">TRIM(B13663)</f>
        <v>Pennsylvania</v>
      </c>
      <c r="E13663" s="111" t="str">
        <f t="shared" si="13661"/>
        <v>Linesville</v>
      </c>
    </row>
    <row r="13664" spans="1:5">
      <c r="A13664" s="3" t="s">
        <v>24829</v>
      </c>
      <c r="B13664" s="110" t="s">
        <v>1364</v>
      </c>
      <c r="C13664" s="111" t="s">
        <v>13117</v>
      </c>
      <c r="D13664" s="111" t="str">
        <f t="shared" ref="D13664:E13664" si="13662">TRIM(B13664)</f>
        <v>Pennsylvania</v>
      </c>
      <c r="E13664" s="111" t="str">
        <f t="shared" si="13662"/>
        <v>Lititz</v>
      </c>
    </row>
    <row r="13665" spans="1:5">
      <c r="A13665" s="3" t="s">
        <v>24830</v>
      </c>
      <c r="B13665" s="110" t="s">
        <v>1364</v>
      </c>
      <c r="C13665" s="111" t="s">
        <v>24831</v>
      </c>
      <c r="D13665" s="111" t="str">
        <f t="shared" ref="D13665:E13665" si="13663">TRIM(B13665)</f>
        <v>Pennsylvania</v>
      </c>
      <c r="E13665" s="111" t="str">
        <f t="shared" si="13663"/>
        <v>Littlestown</v>
      </c>
    </row>
    <row r="13666" spans="1:5">
      <c r="A13666" s="3" t="s">
        <v>24832</v>
      </c>
      <c r="B13666" s="110" t="s">
        <v>1364</v>
      </c>
      <c r="C13666" s="111" t="s">
        <v>24833</v>
      </c>
      <c r="D13666" s="111" t="str">
        <f t="shared" ref="D13666:E13666" si="13664">TRIM(B13666)</f>
        <v>Pennsylvania</v>
      </c>
      <c r="E13666" s="111" t="str">
        <f t="shared" si="13664"/>
        <v>Lower Burrell</v>
      </c>
    </row>
    <row r="13667" spans="1:5">
      <c r="A13667" s="3" t="s">
        <v>24834</v>
      </c>
      <c r="B13667" s="110" t="s">
        <v>1364</v>
      </c>
      <c r="C13667" s="111" t="s">
        <v>24835</v>
      </c>
      <c r="D13667" s="111" t="str">
        <f t="shared" ref="D13667:E13667" si="13665">TRIM(B13667)</f>
        <v>Pennsylvania</v>
      </c>
      <c r="E13667" s="111" t="str">
        <f t="shared" si="13665"/>
        <v>Loysburg</v>
      </c>
    </row>
    <row r="13668" spans="1:5">
      <c r="A13668" s="3" t="s">
        <v>24836</v>
      </c>
      <c r="B13668" s="110" t="s">
        <v>1364</v>
      </c>
      <c r="C13668" s="111" t="s">
        <v>24837</v>
      </c>
      <c r="D13668" s="111" t="str">
        <f t="shared" ref="D13668:E13668" si="13666">TRIM(B13668)</f>
        <v>Pennsylvania</v>
      </c>
      <c r="E13668" s="111" t="str">
        <f t="shared" si="13666"/>
        <v>Mahanoy City</v>
      </c>
    </row>
    <row r="13669" spans="1:5">
      <c r="A13669" s="3" t="s">
        <v>24838</v>
      </c>
      <c r="B13669" s="110" t="s">
        <v>1364</v>
      </c>
      <c r="C13669" s="111" t="s">
        <v>3979</v>
      </c>
      <c r="D13669" s="111" t="str">
        <f t="shared" ref="D13669:E13669" si="13667">TRIM(B13669)</f>
        <v>Pennsylvania</v>
      </c>
      <c r="E13669" s="111" t="str">
        <f t="shared" si="13667"/>
        <v>Malvern</v>
      </c>
    </row>
    <row r="13670" spans="1:5">
      <c r="A13670" s="3" t="s">
        <v>24839</v>
      </c>
      <c r="B13670" s="110" t="s">
        <v>1364</v>
      </c>
      <c r="C13670" s="111" t="s">
        <v>8540</v>
      </c>
      <c r="D13670" s="111" t="str">
        <f t="shared" ref="D13670:E13670" si="13668">TRIM(B13670)</f>
        <v>Pennsylvania</v>
      </c>
      <c r="E13670" s="111" t="str">
        <f t="shared" si="13668"/>
        <v>Manchester</v>
      </c>
    </row>
    <row r="13671" spans="1:5">
      <c r="A13671" s="3" t="s">
        <v>24840</v>
      </c>
      <c r="B13671" s="110" t="s">
        <v>1364</v>
      </c>
      <c r="C13671" s="111" t="s">
        <v>24841</v>
      </c>
      <c r="D13671" s="111" t="str">
        <f t="shared" ref="D13671:E13671" si="13669">TRIM(B13671)</f>
        <v>Pennsylvania</v>
      </c>
      <c r="E13671" s="111" t="str">
        <f t="shared" si="13669"/>
        <v>Manheim</v>
      </c>
    </row>
    <row r="13672" spans="1:5">
      <c r="A13672" s="3" t="s">
        <v>24842</v>
      </c>
      <c r="B13672" s="110" t="s">
        <v>1364</v>
      </c>
      <c r="C13672" s="111" t="s">
        <v>2997</v>
      </c>
      <c r="D13672" s="111" t="str">
        <f t="shared" ref="D13672:E13672" si="13670">TRIM(B13672)</f>
        <v>Pennsylvania</v>
      </c>
      <c r="E13672" s="111" t="str">
        <f t="shared" si="13670"/>
        <v>Mansfield</v>
      </c>
    </row>
    <row r="13673" spans="1:5">
      <c r="A13673" s="3" t="s">
        <v>24843</v>
      </c>
      <c r="B13673" s="110" t="s">
        <v>1364</v>
      </c>
      <c r="C13673" s="111" t="s">
        <v>24844</v>
      </c>
      <c r="D13673" s="111" t="str">
        <f t="shared" ref="D13673:E13673" si="13671">TRIM(B13673)</f>
        <v>Pennsylvania</v>
      </c>
      <c r="E13673" s="111" t="str">
        <f t="shared" si="13671"/>
        <v>Marienville</v>
      </c>
    </row>
    <row r="13674" spans="1:5">
      <c r="A13674" s="3" t="s">
        <v>24845</v>
      </c>
      <c r="B13674" s="110" t="s">
        <v>1364</v>
      </c>
      <c r="C13674" s="111" t="s">
        <v>24846</v>
      </c>
      <c r="D13674" s="111" t="str">
        <f t="shared" ref="D13674:E13674" si="13672">TRIM(B13674)</f>
        <v>Pennsylvania</v>
      </c>
      <c r="E13674" s="111" t="str">
        <f t="shared" si="13672"/>
        <v>Marion Center</v>
      </c>
    </row>
    <row r="13675" spans="1:5">
      <c r="A13675" s="3" t="s">
        <v>24847</v>
      </c>
      <c r="B13675" s="110" t="s">
        <v>1364</v>
      </c>
      <c r="C13675" s="111" t="s">
        <v>13121</v>
      </c>
      <c r="D13675" s="111" t="str">
        <f t="shared" ref="D13675:E13675" si="13673">TRIM(B13675)</f>
        <v>Pennsylvania</v>
      </c>
      <c r="E13675" s="111" t="str">
        <f t="shared" si="13673"/>
        <v>Mars</v>
      </c>
    </row>
    <row r="13676" spans="1:5">
      <c r="A13676" s="3" t="s">
        <v>1843</v>
      </c>
      <c r="B13676" s="110" t="s">
        <v>1364</v>
      </c>
      <c r="C13676" s="111" t="s">
        <v>7464</v>
      </c>
      <c r="D13676" s="111" t="str">
        <f t="shared" ref="D13676:E13676" si="13674">TRIM(B13676)</f>
        <v>Pennsylvania</v>
      </c>
      <c r="E13676" s="111" t="str">
        <f t="shared" si="13674"/>
        <v>Martinsburg</v>
      </c>
    </row>
    <row r="13677" spans="1:5">
      <c r="A13677" s="3" t="s">
        <v>24848</v>
      </c>
      <c r="B13677" s="110" t="s">
        <v>1364</v>
      </c>
      <c r="C13677" s="111" t="s">
        <v>23239</v>
      </c>
      <c r="D13677" s="111" t="str">
        <f t="shared" ref="D13677:E13677" si="13675">TRIM(B13677)</f>
        <v>Pennsylvania</v>
      </c>
      <c r="E13677" s="111" t="str">
        <f t="shared" si="13675"/>
        <v>Mc Donald</v>
      </c>
    </row>
    <row r="13678" spans="1:5">
      <c r="A13678" s="3" t="s">
        <v>24849</v>
      </c>
      <c r="B13678" s="110" t="s">
        <v>1364</v>
      </c>
      <c r="C13678" s="111" t="s">
        <v>24850</v>
      </c>
      <c r="D13678" s="111" t="str">
        <f t="shared" ref="D13678:E13678" si="13676">TRIM(B13678)</f>
        <v>Pennsylvania</v>
      </c>
      <c r="E13678" s="111" t="str">
        <f t="shared" si="13676"/>
        <v>Mc Kees Rocks</v>
      </c>
    </row>
    <row r="13679" spans="1:5">
      <c r="A13679" s="3" t="s">
        <v>24851</v>
      </c>
      <c r="B13679" s="110" t="s">
        <v>1364</v>
      </c>
      <c r="C13679" s="111" t="s">
        <v>24852</v>
      </c>
      <c r="D13679" s="111" t="str">
        <f t="shared" ref="D13679:E13679" si="13677">TRIM(B13679)</f>
        <v>Pennsylvania</v>
      </c>
      <c r="E13679" s="111" t="str">
        <f t="shared" si="13677"/>
        <v>Mc Keesport</v>
      </c>
    </row>
    <row r="13680" spans="1:5">
      <c r="A13680" s="3" t="s">
        <v>24853</v>
      </c>
      <c r="B13680" s="110" t="s">
        <v>1364</v>
      </c>
      <c r="C13680" s="111" t="s">
        <v>24852</v>
      </c>
      <c r="D13680" s="111" t="str">
        <f t="shared" ref="D13680:E13680" si="13678">TRIM(B13680)</f>
        <v>Pennsylvania</v>
      </c>
      <c r="E13680" s="111" t="str">
        <f t="shared" si="13678"/>
        <v>Mc Keesport</v>
      </c>
    </row>
    <row r="13681" spans="1:5">
      <c r="A13681" s="3" t="s">
        <v>24854</v>
      </c>
      <c r="B13681" s="110" t="s">
        <v>1364</v>
      </c>
      <c r="C13681" s="111" t="s">
        <v>24855</v>
      </c>
      <c r="D13681" s="111" t="str">
        <f t="shared" ref="D13681:E13681" si="13679">TRIM(B13681)</f>
        <v>Pennsylvania</v>
      </c>
      <c r="E13681" s="111" t="str">
        <f t="shared" si="13679"/>
        <v>Mcalisterville</v>
      </c>
    </row>
    <row r="13682" spans="1:5">
      <c r="A13682" s="3" t="s">
        <v>24856</v>
      </c>
      <c r="B13682" s="110" t="s">
        <v>1364</v>
      </c>
      <c r="C13682" s="111" t="s">
        <v>24857</v>
      </c>
      <c r="D13682" s="111" t="str">
        <f t="shared" ref="D13682:E13682" si="13680">TRIM(B13682)</f>
        <v>Pennsylvania</v>
      </c>
      <c r="E13682" s="111" t="str">
        <f t="shared" si="13680"/>
        <v>Mcconnellsburg</v>
      </c>
    </row>
    <row r="13683" spans="1:5">
      <c r="A13683" s="3" t="s">
        <v>24858</v>
      </c>
      <c r="B13683" s="110" t="s">
        <v>1364</v>
      </c>
      <c r="C13683" s="111" t="s">
        <v>24859</v>
      </c>
      <c r="D13683" s="111" t="str">
        <f t="shared" ref="D13683:E13683" si="13681">TRIM(B13683)</f>
        <v>Pennsylvania</v>
      </c>
      <c r="E13683" s="111" t="str">
        <f t="shared" si="13681"/>
        <v>Mcdonald</v>
      </c>
    </row>
    <row r="13684" spans="1:5">
      <c r="A13684" s="3" t="s">
        <v>24860</v>
      </c>
      <c r="B13684" s="110" t="s">
        <v>1364</v>
      </c>
      <c r="C13684" s="111" t="s">
        <v>24861</v>
      </c>
      <c r="D13684" s="111" t="str">
        <f t="shared" ref="D13684:E13684" si="13682">TRIM(B13684)</f>
        <v>Pennsylvania</v>
      </c>
      <c r="E13684" s="111" t="str">
        <f t="shared" si="13682"/>
        <v>Mckees Rocks</v>
      </c>
    </row>
    <row r="13685" spans="1:5">
      <c r="A13685" s="3" t="s">
        <v>24862</v>
      </c>
      <c r="B13685" s="110" t="s">
        <v>1364</v>
      </c>
      <c r="C13685" s="111" t="s">
        <v>24863</v>
      </c>
      <c r="D13685" s="111" t="str">
        <f t="shared" ref="D13685:E13685" si="13683">TRIM(B13685)</f>
        <v>Pennsylvania</v>
      </c>
      <c r="E13685" s="111" t="str">
        <f t="shared" si="13683"/>
        <v>Mcmurray</v>
      </c>
    </row>
    <row r="13686" spans="1:5">
      <c r="A13686" s="3" t="s">
        <v>24864</v>
      </c>
      <c r="B13686" s="110" t="s">
        <v>1364</v>
      </c>
      <c r="C13686" s="111" t="s">
        <v>18488</v>
      </c>
      <c r="D13686" s="111" t="str">
        <f t="shared" ref="D13686:E13686" si="13684">TRIM(B13686)</f>
        <v>Pennsylvania</v>
      </c>
      <c r="E13686" s="111" t="str">
        <f t="shared" si="13684"/>
        <v>Meadville</v>
      </c>
    </row>
    <row r="13687" spans="1:5">
      <c r="A13687" s="3" t="s">
        <v>24865</v>
      </c>
      <c r="B13687" s="110" t="s">
        <v>1364</v>
      </c>
      <c r="C13687" s="111" t="s">
        <v>23244</v>
      </c>
      <c r="D13687" s="111" t="str">
        <f t="shared" ref="D13687:E13687" si="13685">TRIM(B13687)</f>
        <v>Pennsylvania</v>
      </c>
      <c r="E13687" s="111" t="str">
        <f t="shared" si="13685"/>
        <v>Mechanicsburg</v>
      </c>
    </row>
    <row r="13688" spans="1:5">
      <c r="A13688" s="3" t="s">
        <v>24866</v>
      </c>
      <c r="B13688" s="110" t="s">
        <v>1364</v>
      </c>
      <c r="C13688" s="111" t="s">
        <v>23244</v>
      </c>
      <c r="D13688" s="111" t="str">
        <f t="shared" ref="D13688:E13688" si="13686">TRIM(B13688)</f>
        <v>Pennsylvania</v>
      </c>
      <c r="E13688" s="111" t="str">
        <f t="shared" si="13686"/>
        <v>Mechanicsburg</v>
      </c>
    </row>
    <row r="13689" spans="1:5">
      <c r="A13689" s="3" t="s">
        <v>24867</v>
      </c>
      <c r="B13689" s="110" t="s">
        <v>1364</v>
      </c>
      <c r="C13689" s="111" t="s">
        <v>24868</v>
      </c>
      <c r="D13689" s="111" t="str">
        <f t="shared" ref="D13689:E13689" si="13687">TRIM(B13689)</f>
        <v>Pennsylvania</v>
      </c>
      <c r="E13689" s="111" t="str">
        <f t="shared" si="13687"/>
        <v>Media</v>
      </c>
    </row>
    <row r="13690" spans="1:5">
      <c r="A13690" s="3" t="s">
        <v>24869</v>
      </c>
      <c r="B13690" s="110" t="s">
        <v>1364</v>
      </c>
      <c r="C13690" s="111" t="s">
        <v>18950</v>
      </c>
      <c r="D13690" s="111" t="str">
        <f t="shared" ref="D13690:E13690" si="13688">TRIM(B13690)</f>
        <v>Pennsylvania</v>
      </c>
      <c r="E13690" s="111" t="str">
        <f t="shared" si="13688"/>
        <v>Mercer</v>
      </c>
    </row>
    <row r="13691" spans="1:5">
      <c r="A13691" s="3" t="s">
        <v>24870</v>
      </c>
      <c r="B13691" s="110" t="s">
        <v>1364</v>
      </c>
      <c r="C13691" s="111" t="s">
        <v>13125</v>
      </c>
      <c r="D13691" s="111" t="str">
        <f t="shared" ref="D13691:E13691" si="13689">TRIM(B13691)</f>
        <v>Pennsylvania</v>
      </c>
      <c r="E13691" s="111" t="str">
        <f t="shared" si="13689"/>
        <v>Mercersburg</v>
      </c>
    </row>
    <row r="13692" spans="1:5">
      <c r="A13692" s="3" t="s">
        <v>24871</v>
      </c>
      <c r="B13692" s="110" t="s">
        <v>1364</v>
      </c>
      <c r="C13692" s="111" t="s">
        <v>24872</v>
      </c>
      <c r="D13692" s="111" t="str">
        <f t="shared" ref="D13692:E13692" si="13690">TRIM(B13692)</f>
        <v>Pennsylvania</v>
      </c>
      <c r="E13692" s="111" t="str">
        <f t="shared" si="13690"/>
        <v>Meyersdale</v>
      </c>
    </row>
    <row r="13693" spans="1:5">
      <c r="A13693" s="3" t="s">
        <v>24873</v>
      </c>
      <c r="B13693" s="110" t="s">
        <v>1364</v>
      </c>
      <c r="C13693" s="111" t="s">
        <v>9725</v>
      </c>
      <c r="D13693" s="111" t="str">
        <f t="shared" ref="D13693:E13693" si="13691">TRIM(B13693)</f>
        <v>Pennsylvania</v>
      </c>
      <c r="E13693" s="111" t="str">
        <f t="shared" si="13691"/>
        <v>Middleburg</v>
      </c>
    </row>
    <row r="13694" spans="1:5">
      <c r="A13694" s="3" t="s">
        <v>24874</v>
      </c>
      <c r="B13694" s="110" t="s">
        <v>1364</v>
      </c>
      <c r="C13694" s="111" t="s">
        <v>500</v>
      </c>
      <c r="D13694" s="111" t="str">
        <f t="shared" ref="D13694:E13694" si="13692">TRIM(B13694)</f>
        <v>Pennsylvania</v>
      </c>
      <c r="E13694" s="111" t="str">
        <f t="shared" si="13692"/>
        <v>Middletown</v>
      </c>
    </row>
    <row r="13695" spans="1:5">
      <c r="A13695" s="110" t="s">
        <v>24875</v>
      </c>
      <c r="B13695" s="110" t="s">
        <v>1364</v>
      </c>
      <c r="C13695" s="111" t="s">
        <v>16041</v>
      </c>
      <c r="D13695" s="111" t="str">
        <f t="shared" ref="D13695:E13695" si="13693">TRIM(B13695)</f>
        <v>Pennsylvania</v>
      </c>
      <c r="E13695" s="111" t="str">
        <f t="shared" si="13693"/>
        <v>Midland</v>
      </c>
    </row>
    <row r="13696" spans="1:5">
      <c r="A13696" s="3" t="s">
        <v>24876</v>
      </c>
      <c r="B13696" s="110" t="s">
        <v>1364</v>
      </c>
      <c r="C13696" s="111" t="s">
        <v>24877</v>
      </c>
      <c r="D13696" s="111" t="str">
        <f t="shared" ref="D13696:E13696" si="13694">TRIM(B13696)</f>
        <v>Pennsylvania</v>
      </c>
      <c r="E13696" s="111" t="str">
        <f t="shared" si="13694"/>
        <v>Mifflinburg</v>
      </c>
    </row>
    <row r="13697" spans="1:5">
      <c r="A13697" s="3" t="s">
        <v>24878</v>
      </c>
      <c r="B13697" s="110" t="s">
        <v>1364</v>
      </c>
      <c r="C13697" s="111" t="s">
        <v>24879</v>
      </c>
      <c r="D13697" s="111" t="str">
        <f t="shared" ref="D13697:E13697" si="13695">TRIM(B13697)</f>
        <v>Pennsylvania</v>
      </c>
      <c r="E13697" s="111" t="str">
        <f t="shared" si="13695"/>
        <v>Mifflintown</v>
      </c>
    </row>
    <row r="13698" spans="1:5">
      <c r="A13698" s="3" t="s">
        <v>24880</v>
      </c>
      <c r="B13698" s="110" t="s">
        <v>1364</v>
      </c>
      <c r="C13698" s="111" t="s">
        <v>8552</v>
      </c>
      <c r="D13698" s="111" t="str">
        <f t="shared" ref="D13698:E13698" si="13696">TRIM(B13698)</f>
        <v>Pennsylvania</v>
      </c>
      <c r="E13698" s="111" t="str">
        <f t="shared" si="13696"/>
        <v>Milford</v>
      </c>
    </row>
    <row r="13699" spans="1:5">
      <c r="A13699" s="3" t="s">
        <v>24881</v>
      </c>
      <c r="B13699" s="110" t="s">
        <v>1364</v>
      </c>
      <c r="C13699" s="111" t="s">
        <v>24882</v>
      </c>
      <c r="D13699" s="111" t="str">
        <f t="shared" ref="D13699:E13699" si="13697">TRIM(B13699)</f>
        <v>Pennsylvania</v>
      </c>
      <c r="E13699" s="111" t="str">
        <f t="shared" si="13697"/>
        <v>Mill Hall</v>
      </c>
    </row>
    <row r="13700" spans="1:5">
      <c r="A13700" s="3" t="s">
        <v>24883</v>
      </c>
      <c r="B13700" s="110" t="s">
        <v>1364</v>
      </c>
      <c r="C13700" s="111" t="s">
        <v>23256</v>
      </c>
      <c r="D13700" s="111" t="str">
        <f t="shared" ref="D13700:E13700" si="13698">TRIM(B13700)</f>
        <v>Pennsylvania</v>
      </c>
      <c r="E13700" s="111" t="str">
        <f t="shared" si="13698"/>
        <v>Millersburg</v>
      </c>
    </row>
    <row r="13701" spans="1:5">
      <c r="A13701" s="3" t="s">
        <v>3819</v>
      </c>
      <c r="B13701" s="110" t="s">
        <v>1364</v>
      </c>
      <c r="C13701" s="111" t="s">
        <v>24884</v>
      </c>
      <c r="D13701" s="111" t="str">
        <f t="shared" ref="D13701:E13701" si="13699">TRIM(B13701)</f>
        <v>Pennsylvania</v>
      </c>
      <c r="E13701" s="111" t="str">
        <f t="shared" si="13699"/>
        <v>Millerstown</v>
      </c>
    </row>
    <row r="13702" spans="1:5">
      <c r="A13702" s="3" t="s">
        <v>24885</v>
      </c>
      <c r="B13702" s="110" t="s">
        <v>1364</v>
      </c>
      <c r="C13702" s="111" t="s">
        <v>16458</v>
      </c>
      <c r="D13702" s="111" t="str">
        <f t="shared" ref="D13702:E13702" si="13700">TRIM(B13702)</f>
        <v>Pennsylvania</v>
      </c>
      <c r="E13702" s="111" t="str">
        <f t="shared" si="13700"/>
        <v>Millersville</v>
      </c>
    </row>
    <row r="13703" spans="1:5">
      <c r="A13703" s="3" t="s">
        <v>24886</v>
      </c>
      <c r="B13703" s="110" t="s">
        <v>1364</v>
      </c>
      <c r="C13703" s="111" t="s">
        <v>20263</v>
      </c>
      <c r="D13703" s="111" t="str">
        <f t="shared" ref="D13703:E13703" si="13701">TRIM(B13703)</f>
        <v>Pennsylvania</v>
      </c>
      <c r="E13703" s="111" t="str">
        <f t="shared" si="13701"/>
        <v>Millville</v>
      </c>
    </row>
    <row r="13704" spans="1:5">
      <c r="A13704" s="3" t="s">
        <v>9727</v>
      </c>
      <c r="B13704" s="110" t="s">
        <v>1364</v>
      </c>
      <c r="C13704" s="111" t="s">
        <v>503</v>
      </c>
      <c r="D13704" s="111" t="str">
        <f t="shared" ref="D13704:E13704" si="13702">TRIM(B13704)</f>
        <v>Pennsylvania</v>
      </c>
      <c r="E13704" s="111" t="str">
        <f t="shared" si="13702"/>
        <v>Milton</v>
      </c>
    </row>
    <row r="13705" spans="1:5">
      <c r="A13705" s="3" t="s">
        <v>24887</v>
      </c>
      <c r="B13705" s="110" t="s">
        <v>1364</v>
      </c>
      <c r="C13705" s="111" t="s">
        <v>24888</v>
      </c>
      <c r="D13705" s="111" t="str">
        <f t="shared" ref="D13705:E13705" si="13703">TRIM(B13705)</f>
        <v>Pennsylvania</v>
      </c>
      <c r="E13705" s="111" t="str">
        <f t="shared" si="13703"/>
        <v>Minersville</v>
      </c>
    </row>
    <row r="13706" spans="1:5">
      <c r="A13706" s="3" t="s">
        <v>4620</v>
      </c>
      <c r="B13706" s="110" t="s">
        <v>1364</v>
      </c>
      <c r="C13706" s="111" t="s">
        <v>24889</v>
      </c>
      <c r="D13706" s="111" t="str">
        <f t="shared" ref="D13706:E13706" si="13704">TRIM(B13706)</f>
        <v>Pennsylvania</v>
      </c>
      <c r="E13706" s="111" t="str">
        <f t="shared" si="13704"/>
        <v>Monaca</v>
      </c>
    </row>
    <row r="13707" spans="1:5">
      <c r="A13707" s="3" t="s">
        <v>24890</v>
      </c>
      <c r="B13707" s="110" t="s">
        <v>1364</v>
      </c>
      <c r="C13707" s="111" t="s">
        <v>24891</v>
      </c>
      <c r="D13707" s="111" t="str">
        <f t="shared" ref="D13707:E13707" si="13705">TRIM(B13707)</f>
        <v>Pennsylvania</v>
      </c>
      <c r="E13707" s="111" t="str">
        <f t="shared" si="13705"/>
        <v>Monessen</v>
      </c>
    </row>
    <row r="13708" spans="1:5">
      <c r="A13708" s="3" t="s">
        <v>24892</v>
      </c>
      <c r="B13708" s="110" t="s">
        <v>1364</v>
      </c>
      <c r="C13708" s="112" t="s">
        <v>24893</v>
      </c>
      <c r="D13708" s="111" t="str">
        <f t="shared" ref="D13708:E13708" si="13706">TRIM(B13708)</f>
        <v>Pennsylvania</v>
      </c>
      <c r="E13708" s="111" t="str">
        <f t="shared" si="13706"/>
        <v>Monongahela</v>
      </c>
    </row>
    <row r="13709" spans="1:5">
      <c r="A13709" s="3" t="s">
        <v>24894</v>
      </c>
      <c r="B13709" s="110" t="s">
        <v>1364</v>
      </c>
      <c r="C13709" s="111" t="s">
        <v>1975</v>
      </c>
      <c r="D13709" s="111" t="str">
        <f t="shared" ref="D13709:E13709" si="13707">TRIM(B13709)</f>
        <v>Pennsylvania</v>
      </c>
      <c r="E13709" s="111" t="str">
        <f t="shared" si="13707"/>
        <v>Monroeville</v>
      </c>
    </row>
    <row r="13710" spans="1:5">
      <c r="A13710" s="110" t="s">
        <v>24895</v>
      </c>
      <c r="B13710" s="110" t="s">
        <v>1364</v>
      </c>
      <c r="C13710" s="111" t="s">
        <v>1975</v>
      </c>
      <c r="D13710" s="111" t="str">
        <f t="shared" ref="D13710:E13710" si="13708">TRIM(B13710)</f>
        <v>Pennsylvania</v>
      </c>
      <c r="E13710" s="111" t="str">
        <f t="shared" si="13708"/>
        <v>Monroeville</v>
      </c>
    </row>
    <row r="13711" spans="1:5">
      <c r="A13711" s="3" t="s">
        <v>24896</v>
      </c>
      <c r="B13711" s="110" t="s">
        <v>1364</v>
      </c>
      <c r="C13711" s="111" t="s">
        <v>439</v>
      </c>
      <c r="D13711" s="111" t="str">
        <f t="shared" ref="D13711:E13711" si="13709">TRIM(B13711)</f>
        <v>Pennsylvania</v>
      </c>
      <c r="E13711" s="111" t="str">
        <f t="shared" si="13709"/>
        <v>Montgomery</v>
      </c>
    </row>
    <row r="13712" spans="1:5">
      <c r="A13712" s="3" t="s">
        <v>24897</v>
      </c>
      <c r="B13712" s="110" t="s">
        <v>1364</v>
      </c>
      <c r="C13712" s="111" t="s">
        <v>24898</v>
      </c>
      <c r="D13712" s="111" t="str">
        <f t="shared" ref="D13712:E13712" si="13710">TRIM(B13712)</f>
        <v>Pennsylvania</v>
      </c>
      <c r="E13712" s="111" t="str">
        <f t="shared" si="13710"/>
        <v>Montoursville</v>
      </c>
    </row>
    <row r="13713" spans="1:5">
      <c r="A13713" s="3" t="s">
        <v>24899</v>
      </c>
      <c r="B13713" s="110" t="s">
        <v>1364</v>
      </c>
      <c r="C13713" s="111" t="s">
        <v>8117</v>
      </c>
      <c r="D13713" s="111" t="str">
        <f t="shared" ref="D13713:E13713" si="13711">TRIM(B13713)</f>
        <v>Pennsylvania</v>
      </c>
      <c r="E13713" s="111" t="str">
        <f t="shared" si="13711"/>
        <v>Montrose</v>
      </c>
    </row>
    <row r="13714" spans="1:5">
      <c r="A13714" s="3" t="s">
        <v>24900</v>
      </c>
      <c r="B13714" s="110" t="s">
        <v>1364</v>
      </c>
      <c r="C13714" s="111" t="s">
        <v>24901</v>
      </c>
      <c r="D13714" s="111" t="str">
        <f t="shared" ref="D13714:E13714" si="13712">TRIM(B13714)</f>
        <v>Pennsylvania</v>
      </c>
      <c r="E13714" s="111" t="str">
        <f t="shared" si="13712"/>
        <v>Moon Township</v>
      </c>
    </row>
    <row r="13715" spans="1:5">
      <c r="A13715" s="3" t="s">
        <v>24902</v>
      </c>
      <c r="B13715" s="110" t="s">
        <v>1364</v>
      </c>
      <c r="C13715" s="111" t="s">
        <v>24903</v>
      </c>
      <c r="D13715" s="111" t="str">
        <f t="shared" ref="D13715:E13715" si="13713">TRIM(B13715)</f>
        <v>Pennsylvania</v>
      </c>
      <c r="E13715" s="111" t="str">
        <f t="shared" si="13713"/>
        <v>Morrisdale</v>
      </c>
    </row>
    <row r="13716" spans="1:5">
      <c r="A13716" s="3" t="s">
        <v>24904</v>
      </c>
      <c r="B13716" s="110" t="s">
        <v>1364</v>
      </c>
      <c r="C13716" s="111" t="s">
        <v>440</v>
      </c>
      <c r="D13716" s="111" t="str">
        <f t="shared" ref="D13716:E13716" si="13714">TRIM(B13716)</f>
        <v>Pennsylvania</v>
      </c>
      <c r="E13716" s="111" t="str">
        <f t="shared" si="13714"/>
        <v>Morrisville</v>
      </c>
    </row>
    <row r="13717" spans="1:5">
      <c r="A13717" s="3" t="s">
        <v>24905</v>
      </c>
      <c r="B13717" s="110" t="s">
        <v>1364</v>
      </c>
      <c r="C13717" s="111" t="s">
        <v>13382</v>
      </c>
      <c r="D13717" s="111" t="str">
        <f t="shared" ref="D13717:E13717" si="13715">TRIM(B13717)</f>
        <v>Pennsylvania</v>
      </c>
      <c r="E13717" s="111" t="str">
        <f t="shared" si="13715"/>
        <v>Mount Carmel</v>
      </c>
    </row>
    <row r="13718" spans="1:5">
      <c r="A13718" s="3" t="s">
        <v>24906</v>
      </c>
      <c r="B13718" s="110" t="s">
        <v>1364</v>
      </c>
      <c r="C13718" s="111" t="s">
        <v>13202</v>
      </c>
      <c r="D13718" s="111" t="str">
        <f t="shared" ref="D13718:E13718" si="13716">TRIM(B13718)</f>
        <v>Pennsylvania</v>
      </c>
      <c r="E13718" s="111" t="str">
        <f t="shared" si="13716"/>
        <v>Mount Joy</v>
      </c>
    </row>
    <row r="13719" spans="1:5">
      <c r="A13719" s="3" t="s">
        <v>24907</v>
      </c>
      <c r="B13719" s="110" t="s">
        <v>1364</v>
      </c>
      <c r="C13719" s="111" t="s">
        <v>398</v>
      </c>
      <c r="D13719" s="111" t="str">
        <f t="shared" ref="D13719:E13719" si="13717">TRIM(B13719)</f>
        <v>Pennsylvania</v>
      </c>
      <c r="E13719" s="111" t="str">
        <f t="shared" si="13717"/>
        <v>Mount Pleasant</v>
      </c>
    </row>
    <row r="13720" spans="1:5">
      <c r="A13720" s="3" t="s">
        <v>24908</v>
      </c>
      <c r="B13720" s="110" t="s">
        <v>1364</v>
      </c>
      <c r="C13720" s="111" t="s">
        <v>24909</v>
      </c>
      <c r="D13720" s="111" t="str">
        <f t="shared" ref="D13720:E13720" si="13718">TRIM(B13720)</f>
        <v>Pennsylvania</v>
      </c>
      <c r="E13720" s="111" t="str">
        <f t="shared" si="13718"/>
        <v>Mount Union</v>
      </c>
    </row>
    <row r="13721" spans="1:5">
      <c r="A13721" s="110" t="s">
        <v>24910</v>
      </c>
      <c r="B13721" s="110" t="s">
        <v>1364</v>
      </c>
      <c r="C13721" s="111" t="s">
        <v>24911</v>
      </c>
      <c r="D13721" s="111" t="str">
        <f t="shared" ref="D13721:E13721" si="13719">TRIM(B13721)</f>
        <v>Pennsylvania</v>
      </c>
      <c r="E13721" s="111" t="str">
        <f t="shared" si="13719"/>
        <v>Mountain Top</v>
      </c>
    </row>
    <row r="13722" spans="1:5">
      <c r="A13722" s="110" t="s">
        <v>24912</v>
      </c>
      <c r="B13722" s="110" t="s">
        <v>1364</v>
      </c>
      <c r="C13722" s="111" t="s">
        <v>24913</v>
      </c>
      <c r="D13722" s="111" t="str">
        <f t="shared" ref="D13722:E13722" si="13720">TRIM(B13722)</f>
        <v>Pennsylvania</v>
      </c>
      <c r="E13722" s="111" t="str">
        <f t="shared" si="13720"/>
        <v>Mountainhome</v>
      </c>
    </row>
    <row r="13723" spans="1:5">
      <c r="A13723" s="3" t="s">
        <v>24914</v>
      </c>
      <c r="B13723" s="110" t="s">
        <v>1364</v>
      </c>
      <c r="C13723" s="111" t="s">
        <v>24915</v>
      </c>
      <c r="D13723" s="111" t="str">
        <f t="shared" ref="D13723:E13723" si="13721">TRIM(B13723)</f>
        <v>Pennsylvania</v>
      </c>
      <c r="E13723" s="111" t="str">
        <f t="shared" si="13721"/>
        <v>Muncy</v>
      </c>
    </row>
    <row r="13724" spans="1:5">
      <c r="A13724" s="3" t="s">
        <v>24916</v>
      </c>
      <c r="B13724" s="110" t="s">
        <v>1364</v>
      </c>
      <c r="C13724" s="111" t="s">
        <v>24917</v>
      </c>
      <c r="D13724" s="111" t="str">
        <f t="shared" ref="D13724:E13724" si="13722">TRIM(B13724)</f>
        <v>Pennsylvania</v>
      </c>
      <c r="E13724" s="111" t="str">
        <f t="shared" si="13722"/>
        <v>Munhall</v>
      </c>
    </row>
    <row r="13725" spans="1:5">
      <c r="A13725" s="3" t="s">
        <v>24918</v>
      </c>
      <c r="B13725" s="110" t="s">
        <v>1364</v>
      </c>
      <c r="C13725" s="111" t="s">
        <v>24919</v>
      </c>
      <c r="D13725" s="111" t="str">
        <f t="shared" ref="D13725:E13725" si="13723">TRIM(B13725)</f>
        <v>Pennsylvania</v>
      </c>
      <c r="E13725" s="111" t="str">
        <f t="shared" si="13723"/>
        <v>Murrysville</v>
      </c>
    </row>
    <row r="13726" spans="1:5">
      <c r="A13726" s="3" t="s">
        <v>24920</v>
      </c>
      <c r="B13726" s="110" t="s">
        <v>1364</v>
      </c>
      <c r="C13726" s="111" t="s">
        <v>24921</v>
      </c>
      <c r="D13726" s="111" t="str">
        <f t="shared" ref="D13726:E13726" si="13724">TRIM(B13726)</f>
        <v>Pennsylvania</v>
      </c>
      <c r="E13726" s="111" t="str">
        <f t="shared" si="13724"/>
        <v>Myerstown</v>
      </c>
    </row>
    <row r="13727" spans="1:5">
      <c r="A13727" s="3" t="s">
        <v>24922</v>
      </c>
      <c r="B13727" s="110" t="s">
        <v>1364</v>
      </c>
      <c r="C13727" s="111" t="s">
        <v>24923</v>
      </c>
      <c r="D13727" s="111" t="str">
        <f t="shared" ref="D13727:E13727" si="13725">TRIM(B13727)</f>
        <v>Pennsylvania</v>
      </c>
      <c r="E13727" s="111" t="str">
        <f t="shared" si="13725"/>
        <v>Nanticoke</v>
      </c>
    </row>
    <row r="13728" spans="1:5">
      <c r="A13728" s="3" t="s">
        <v>24924</v>
      </c>
      <c r="B13728" s="110" t="s">
        <v>1364</v>
      </c>
      <c r="C13728" s="111" t="s">
        <v>24925</v>
      </c>
      <c r="D13728" s="111" t="str">
        <f t="shared" ref="D13728:E13728" si="13726">TRIM(B13728)</f>
        <v>Pennsylvania</v>
      </c>
      <c r="E13728" s="111" t="str">
        <f t="shared" si="13726"/>
        <v>Nanty Glo</v>
      </c>
    </row>
    <row r="13729" spans="1:5">
      <c r="A13729" s="3" t="s">
        <v>24926</v>
      </c>
      <c r="B13729" s="110" t="s">
        <v>1364</v>
      </c>
      <c r="C13729" s="111" t="s">
        <v>13214</v>
      </c>
      <c r="D13729" s="111" t="str">
        <f t="shared" ref="D13729:E13729" si="13727">TRIM(B13729)</f>
        <v>Pennsylvania</v>
      </c>
      <c r="E13729" s="111" t="str">
        <f t="shared" si="13727"/>
        <v>Natrona Heights</v>
      </c>
    </row>
    <row r="13730" spans="1:5">
      <c r="A13730" s="3" t="s">
        <v>24927</v>
      </c>
      <c r="B13730" s="110" t="s">
        <v>1364</v>
      </c>
      <c r="C13730" s="111" t="s">
        <v>24928</v>
      </c>
      <c r="D13730" s="111" t="str">
        <f t="shared" ref="D13730:E13730" si="13728">TRIM(B13730)</f>
        <v>Pennsylvania</v>
      </c>
      <c r="E13730" s="111" t="str">
        <f t="shared" si="13728"/>
        <v>Nazareth</v>
      </c>
    </row>
    <row r="13731" spans="1:5">
      <c r="A13731" s="3" t="s">
        <v>24929</v>
      </c>
      <c r="B13731" s="110" t="s">
        <v>1364</v>
      </c>
      <c r="C13731" s="111" t="s">
        <v>24930</v>
      </c>
      <c r="D13731" s="111" t="str">
        <f t="shared" ref="D13731:E13731" si="13729">TRIM(B13731)</f>
        <v>Pennsylvania</v>
      </c>
      <c r="E13731" s="111" t="str">
        <f t="shared" si="13729"/>
        <v>New Bethlehem</v>
      </c>
    </row>
    <row r="13732" spans="1:5">
      <c r="A13732" s="3" t="s">
        <v>24931</v>
      </c>
      <c r="B13732" s="110" t="s">
        <v>1364</v>
      </c>
      <c r="C13732" s="111" t="s">
        <v>18107</v>
      </c>
      <c r="D13732" s="111" t="str">
        <f t="shared" ref="D13732:E13732" si="13730">TRIM(B13732)</f>
        <v>Pennsylvania</v>
      </c>
      <c r="E13732" s="111" t="str">
        <f t="shared" si="13730"/>
        <v>New Brighton</v>
      </c>
    </row>
    <row r="13733" spans="1:5">
      <c r="A13733" s="3" t="s">
        <v>16448</v>
      </c>
      <c r="B13733" s="110" t="s">
        <v>1364</v>
      </c>
      <c r="C13733" s="111" t="s">
        <v>8130</v>
      </c>
      <c r="D13733" s="111" t="str">
        <f t="shared" ref="D13733:E13733" si="13731">TRIM(B13733)</f>
        <v>Pennsylvania</v>
      </c>
      <c r="E13733" s="111" t="str">
        <f t="shared" si="13731"/>
        <v>New Castle</v>
      </c>
    </row>
    <row r="13734" spans="1:5">
      <c r="A13734" s="3" t="s">
        <v>24932</v>
      </c>
      <c r="B13734" s="110" t="s">
        <v>1364</v>
      </c>
      <c r="C13734" s="111" t="s">
        <v>8130</v>
      </c>
      <c r="D13734" s="111" t="str">
        <f t="shared" ref="D13734:E13734" si="13732">TRIM(B13734)</f>
        <v>Pennsylvania</v>
      </c>
      <c r="E13734" s="111" t="str">
        <f t="shared" si="13732"/>
        <v>New Castle</v>
      </c>
    </row>
    <row r="13735" spans="1:5">
      <c r="A13735" s="3" t="s">
        <v>24933</v>
      </c>
      <c r="B13735" s="110" t="s">
        <v>1364</v>
      </c>
      <c r="C13735" s="111" t="s">
        <v>8130</v>
      </c>
      <c r="D13735" s="111" t="str">
        <f t="shared" ref="D13735:E13735" si="13733">TRIM(B13735)</f>
        <v>Pennsylvania</v>
      </c>
      <c r="E13735" s="111" t="str">
        <f t="shared" si="13733"/>
        <v>New Castle</v>
      </c>
    </row>
    <row r="13736" spans="1:5">
      <c r="A13736" s="3" t="s">
        <v>24934</v>
      </c>
      <c r="B13736" s="110" t="s">
        <v>1364</v>
      </c>
      <c r="C13736" s="111" t="s">
        <v>8130</v>
      </c>
      <c r="D13736" s="111" t="str">
        <f t="shared" ref="D13736:E13736" si="13734">TRIM(B13736)</f>
        <v>Pennsylvania</v>
      </c>
      <c r="E13736" s="111" t="str">
        <f t="shared" si="13734"/>
        <v>New Castle</v>
      </c>
    </row>
    <row r="13737" spans="1:5">
      <c r="A13737" s="3" t="s">
        <v>24935</v>
      </c>
      <c r="B13737" s="110" t="s">
        <v>1364</v>
      </c>
      <c r="C13737" s="111" t="s">
        <v>8130</v>
      </c>
      <c r="D13737" s="111" t="str">
        <f t="shared" ref="D13737:E13737" si="13735">TRIM(B13737)</f>
        <v>Pennsylvania</v>
      </c>
      <c r="E13737" s="111" t="str">
        <f t="shared" si="13735"/>
        <v>New Castle</v>
      </c>
    </row>
    <row r="13738" spans="1:5">
      <c r="A13738" s="3" t="s">
        <v>24936</v>
      </c>
      <c r="B13738" s="110" t="s">
        <v>1364</v>
      </c>
      <c r="C13738" s="111" t="s">
        <v>24937</v>
      </c>
      <c r="D13738" s="111" t="str">
        <f t="shared" ref="D13738:E13738" si="13736">TRIM(B13738)</f>
        <v>Pennsylvania</v>
      </c>
      <c r="E13738" s="111" t="str">
        <f t="shared" si="13736"/>
        <v>New Holland</v>
      </c>
    </row>
    <row r="13739" spans="1:5">
      <c r="A13739" s="3" t="s">
        <v>24938</v>
      </c>
      <c r="B13739" s="110" t="s">
        <v>1364</v>
      </c>
      <c r="C13739" s="111" t="s">
        <v>2020</v>
      </c>
      <c r="D13739" s="111" t="str">
        <f t="shared" ref="D13739:E13739" si="13737">TRIM(B13739)</f>
        <v>Pennsylvania</v>
      </c>
      <c r="E13739" s="111" t="str">
        <f t="shared" si="13737"/>
        <v>New Hope</v>
      </c>
    </row>
    <row r="13740" spans="1:5">
      <c r="A13740" s="3" t="s">
        <v>24939</v>
      </c>
      <c r="B13740" s="110" t="s">
        <v>1364</v>
      </c>
      <c r="C13740" s="111" t="s">
        <v>24940</v>
      </c>
      <c r="D13740" s="111" t="str">
        <f t="shared" ref="D13740:E13740" si="13738">TRIM(B13740)</f>
        <v>Pennsylvania</v>
      </c>
      <c r="E13740" s="111" t="str">
        <f t="shared" si="13738"/>
        <v>New Kensington</v>
      </c>
    </row>
    <row r="13741" spans="1:5">
      <c r="A13741" s="3" t="s">
        <v>2794</v>
      </c>
      <c r="B13741" s="110" t="s">
        <v>1364</v>
      </c>
      <c r="C13741" s="111" t="s">
        <v>8600</v>
      </c>
      <c r="D13741" s="111" t="str">
        <f t="shared" ref="D13741:E13741" si="13739">TRIM(B13741)</f>
        <v>Pennsylvania</v>
      </c>
      <c r="E13741" s="111" t="str">
        <f t="shared" si="13739"/>
        <v>New Milford</v>
      </c>
    </row>
    <row r="13742" spans="1:5">
      <c r="A13742" s="3" t="s">
        <v>24941</v>
      </c>
      <c r="B13742" s="110" t="s">
        <v>1364</v>
      </c>
      <c r="C13742" s="111" t="s">
        <v>4306</v>
      </c>
      <c r="D13742" s="111" t="str">
        <f t="shared" ref="D13742:E13742" si="13740">TRIM(B13742)</f>
        <v>Pennsylvania</v>
      </c>
      <c r="E13742" s="111" t="str">
        <f t="shared" si="13740"/>
        <v>New Oxford</v>
      </c>
    </row>
    <row r="13743" spans="1:5">
      <c r="A13743" s="3" t="s">
        <v>24942</v>
      </c>
      <c r="B13743" s="110" t="s">
        <v>1364</v>
      </c>
      <c r="C13743" s="111" t="s">
        <v>23302</v>
      </c>
      <c r="D13743" s="111" t="str">
        <f t="shared" ref="D13743:E13743" si="13741">TRIM(B13743)</f>
        <v>Pennsylvania</v>
      </c>
      <c r="E13743" s="111" t="str">
        <f t="shared" si="13741"/>
        <v>New Paris</v>
      </c>
    </row>
    <row r="13744" spans="1:5">
      <c r="A13744" s="3" t="s">
        <v>24943</v>
      </c>
      <c r="B13744" s="110" t="s">
        <v>1364</v>
      </c>
      <c r="C13744" s="111" t="s">
        <v>24944</v>
      </c>
      <c r="D13744" s="111" t="str">
        <f t="shared" ref="D13744:E13744" si="13742">TRIM(B13744)</f>
        <v>Pennsylvania</v>
      </c>
      <c r="E13744" s="111" t="str">
        <f t="shared" si="13742"/>
        <v>New Tripoli</v>
      </c>
    </row>
    <row r="13745" spans="1:5">
      <c r="A13745" s="3" t="s">
        <v>24945</v>
      </c>
      <c r="B13745" s="110" t="s">
        <v>1364</v>
      </c>
      <c r="C13745" s="111" t="s">
        <v>24946</v>
      </c>
      <c r="D13745" s="111" t="str">
        <f t="shared" ref="D13745:E13745" si="13743">TRIM(B13745)</f>
        <v>Pennsylvania</v>
      </c>
      <c r="E13745" s="111" t="str">
        <f t="shared" si="13743"/>
        <v>New Wilmington</v>
      </c>
    </row>
    <row r="13746" spans="1:5">
      <c r="A13746" s="3" t="s">
        <v>4077</v>
      </c>
      <c r="B13746" s="110" t="s">
        <v>1364</v>
      </c>
      <c r="C13746" s="111" t="s">
        <v>4078</v>
      </c>
      <c r="D13746" s="111" t="str">
        <f t="shared" ref="D13746:E13746" si="13744">TRIM(B13746)</f>
        <v>Pennsylvania</v>
      </c>
      <c r="E13746" s="111" t="str">
        <f t="shared" si="13744"/>
        <v>Newport</v>
      </c>
    </row>
    <row r="13747" spans="1:5">
      <c r="A13747" s="3" t="s">
        <v>24947</v>
      </c>
      <c r="B13747" s="110" t="s">
        <v>1364</v>
      </c>
      <c r="C13747" s="111" t="s">
        <v>13060</v>
      </c>
      <c r="D13747" s="111" t="str">
        <f t="shared" ref="D13747:E13747" si="13745">TRIM(B13747)</f>
        <v>Pennsylvania</v>
      </c>
      <c r="E13747" s="111" t="str">
        <f t="shared" si="13745"/>
        <v>Newtown</v>
      </c>
    </row>
    <row r="13748" spans="1:5">
      <c r="A13748" s="3" t="s">
        <v>24948</v>
      </c>
      <c r="B13748" s="110" t="s">
        <v>1364</v>
      </c>
      <c r="C13748" s="113" t="s">
        <v>24949</v>
      </c>
      <c r="D13748" s="111" t="str">
        <f t="shared" ref="D13748:E13748" si="13746">TRIM(B13748)</f>
        <v>Pennsylvania</v>
      </c>
      <c r="E13748" s="111" t="str">
        <f t="shared" si="13746"/>
        <v>Newtown Square</v>
      </c>
    </row>
    <row r="13749" spans="1:5">
      <c r="A13749" s="3" t="s">
        <v>24950</v>
      </c>
      <c r="B13749" s="110" t="s">
        <v>1364</v>
      </c>
      <c r="C13749" s="111" t="s">
        <v>24951</v>
      </c>
      <c r="D13749" s="111" t="str">
        <f t="shared" ref="D13749:E13749" si="13747">TRIM(B13749)</f>
        <v>Pennsylvania</v>
      </c>
      <c r="E13749" s="111" t="str">
        <f t="shared" si="13747"/>
        <v>Newville</v>
      </c>
    </row>
    <row r="13750" spans="1:5">
      <c r="A13750" s="3" t="s">
        <v>24952</v>
      </c>
      <c r="B13750" s="110" t="s">
        <v>1364</v>
      </c>
      <c r="C13750" s="111" t="s">
        <v>24953</v>
      </c>
      <c r="D13750" s="111" t="str">
        <f t="shared" ref="D13750:E13750" si="13748">TRIM(B13750)</f>
        <v>Pennsylvania</v>
      </c>
      <c r="E13750" s="111" t="str">
        <f t="shared" si="13748"/>
        <v>Norristown</v>
      </c>
    </row>
    <row r="13751" spans="1:5">
      <c r="A13751" s="110" t="s">
        <v>24954</v>
      </c>
      <c r="B13751" s="110" t="s">
        <v>1364</v>
      </c>
      <c r="C13751" s="111" t="s">
        <v>24953</v>
      </c>
      <c r="D13751" s="111" t="str">
        <f t="shared" ref="D13751:E13751" si="13749">TRIM(B13751)</f>
        <v>Pennsylvania</v>
      </c>
      <c r="E13751" s="111" t="str">
        <f t="shared" si="13749"/>
        <v>Norristown</v>
      </c>
    </row>
    <row r="13752" spans="1:5">
      <c r="A13752" s="3" t="s">
        <v>15162</v>
      </c>
      <c r="B13752" s="110" t="s">
        <v>1364</v>
      </c>
      <c r="C13752" s="111" t="s">
        <v>11212</v>
      </c>
      <c r="D13752" s="111" t="str">
        <f t="shared" ref="D13752:E13752" si="13750">TRIM(B13752)</f>
        <v>Pennsylvania</v>
      </c>
      <c r="E13752" s="111" t="str">
        <f t="shared" si="13750"/>
        <v>North East</v>
      </c>
    </row>
    <row r="13753" spans="1:5">
      <c r="A13753" s="3" t="s">
        <v>24955</v>
      </c>
      <c r="B13753" s="110" t="s">
        <v>1364</v>
      </c>
      <c r="C13753" s="113" t="s">
        <v>24956</v>
      </c>
      <c r="D13753" s="111" t="str">
        <f t="shared" ref="D13753:E13753" si="13751">TRIM(B13753)</f>
        <v>Pennsylvania</v>
      </c>
      <c r="E13753" s="111" t="str">
        <f t="shared" si="13751"/>
        <v>North Huntingdon</v>
      </c>
    </row>
    <row r="13754" spans="1:5">
      <c r="A13754" s="3" t="s">
        <v>24957</v>
      </c>
      <c r="B13754" s="110" t="s">
        <v>1364</v>
      </c>
      <c r="C13754" s="111" t="s">
        <v>24958</v>
      </c>
      <c r="D13754" s="111" t="str">
        <f t="shared" ref="D13754:E13754" si="13752">TRIM(B13754)</f>
        <v>Pennsylvania</v>
      </c>
      <c r="E13754" s="111" t="str">
        <f t="shared" si="13752"/>
        <v>North Versailles</v>
      </c>
    </row>
    <row r="13755" spans="1:5">
      <c r="A13755" s="3" t="s">
        <v>24959</v>
      </c>
      <c r="B13755" s="110" t="s">
        <v>1364</v>
      </c>
      <c r="C13755" s="111" t="s">
        <v>16786</v>
      </c>
      <c r="D13755" s="111" t="str">
        <f t="shared" ref="D13755:E13755" si="13753">TRIM(B13755)</f>
        <v>Pennsylvania</v>
      </c>
      <c r="E13755" s="111" t="str">
        <f t="shared" si="13753"/>
        <v>Northampton</v>
      </c>
    </row>
    <row r="13756" spans="1:5">
      <c r="A13756" s="3" t="s">
        <v>24960</v>
      </c>
      <c r="B13756" s="110" t="s">
        <v>1364</v>
      </c>
      <c r="C13756" s="111" t="s">
        <v>16786</v>
      </c>
      <c r="D13756" s="111" t="str">
        <f t="shared" ref="D13756:E13756" si="13754">TRIM(B13756)</f>
        <v>Pennsylvania</v>
      </c>
      <c r="E13756" s="111" t="str">
        <f t="shared" si="13754"/>
        <v>Northampton</v>
      </c>
    </row>
    <row r="13757" spans="1:5">
      <c r="A13757" s="3" t="s">
        <v>24961</v>
      </c>
      <c r="B13757" s="110" t="s">
        <v>1364</v>
      </c>
      <c r="C13757" s="113" t="s">
        <v>24962</v>
      </c>
      <c r="D13757" s="111" t="str">
        <f t="shared" ref="D13757:E13757" si="13755">TRIM(B13757)</f>
        <v>Pennsylvania</v>
      </c>
      <c r="E13757" s="111" t="str">
        <f t="shared" si="13755"/>
        <v>Northern Cambria</v>
      </c>
    </row>
    <row r="13758" spans="1:5">
      <c r="A13758" s="3" t="s">
        <v>24963</v>
      </c>
      <c r="B13758" s="110" t="s">
        <v>1364</v>
      </c>
      <c r="C13758" s="111" t="s">
        <v>24964</v>
      </c>
      <c r="D13758" s="111" t="str">
        <f t="shared" ref="D13758:E13758" si="13756">TRIM(B13758)</f>
        <v>Pennsylvania</v>
      </c>
      <c r="E13758" s="111" t="str">
        <f t="shared" si="13756"/>
        <v>Oakmont</v>
      </c>
    </row>
    <row r="13759" spans="1:5">
      <c r="A13759" s="3" t="s">
        <v>24965</v>
      </c>
      <c r="B13759" s="110" t="s">
        <v>1364</v>
      </c>
      <c r="C13759" s="111" t="s">
        <v>24966</v>
      </c>
      <c r="D13759" s="111" t="str">
        <f t="shared" ref="D13759:E13759" si="13757">TRIM(B13759)</f>
        <v>Pennsylvania</v>
      </c>
      <c r="E13759" s="111" t="str">
        <f t="shared" si="13757"/>
        <v>Oil City</v>
      </c>
    </row>
    <row r="13760" spans="1:5">
      <c r="A13760" s="3" t="s">
        <v>24967</v>
      </c>
      <c r="B13760" s="110" t="s">
        <v>1364</v>
      </c>
      <c r="C13760" s="111" t="s">
        <v>24968</v>
      </c>
      <c r="D13760" s="111" t="str">
        <f t="shared" ref="D13760:E13760" si="13758">TRIM(B13760)</f>
        <v>Pennsylvania</v>
      </c>
      <c r="E13760" s="111" t="str">
        <f t="shared" si="13758"/>
        <v>Old Forge</v>
      </c>
    </row>
    <row r="13761" spans="1:5">
      <c r="A13761" s="3" t="s">
        <v>24969</v>
      </c>
      <c r="B13761" s="110" t="s">
        <v>1364</v>
      </c>
      <c r="C13761" s="111" t="s">
        <v>24970</v>
      </c>
      <c r="D13761" s="111" t="str">
        <f t="shared" ref="D13761:E13761" si="13759">TRIM(B13761)</f>
        <v>Pennsylvania</v>
      </c>
      <c r="E13761" s="111" t="str">
        <f t="shared" si="13759"/>
        <v>Oley</v>
      </c>
    </row>
    <row r="13762" spans="1:5">
      <c r="A13762" s="3" t="s">
        <v>24971</v>
      </c>
      <c r="B13762" s="110" t="s">
        <v>1364</v>
      </c>
      <c r="C13762" s="111" t="s">
        <v>279</v>
      </c>
      <c r="D13762" s="111" t="str">
        <f t="shared" ref="D13762:E13762" si="13760">TRIM(B13762)</f>
        <v>Pennsylvania</v>
      </c>
      <c r="E13762" s="111" t="str">
        <f t="shared" si="13760"/>
        <v>Oxford</v>
      </c>
    </row>
    <row r="13763" spans="1:5">
      <c r="A13763" s="3" t="s">
        <v>24972</v>
      </c>
      <c r="B13763" s="110" t="s">
        <v>1364</v>
      </c>
      <c r="C13763" s="111" t="s">
        <v>24973</v>
      </c>
      <c r="D13763" s="111" t="str">
        <f t="shared" ref="D13763:E13763" si="13761">TRIM(B13763)</f>
        <v>Pennsylvania</v>
      </c>
      <c r="E13763" s="111" t="str">
        <f t="shared" si="13761"/>
        <v>Palmerton</v>
      </c>
    </row>
    <row r="13764" spans="1:5">
      <c r="A13764" s="3" t="s">
        <v>24974</v>
      </c>
      <c r="B13764" s="110" t="s">
        <v>1364</v>
      </c>
      <c r="C13764" s="111" t="s">
        <v>13547</v>
      </c>
      <c r="D13764" s="111" t="str">
        <f t="shared" ref="D13764:E13764" si="13762">TRIM(B13764)</f>
        <v>Pennsylvania</v>
      </c>
      <c r="E13764" s="111" t="str">
        <f t="shared" si="13762"/>
        <v>Palmyra</v>
      </c>
    </row>
    <row r="13765" spans="1:5">
      <c r="A13765" s="3" t="s">
        <v>24975</v>
      </c>
      <c r="B13765" s="110" t="s">
        <v>1364</v>
      </c>
      <c r="C13765" s="111" t="s">
        <v>19013</v>
      </c>
      <c r="D13765" s="111" t="str">
        <f t="shared" ref="D13765:E13765" si="13763">TRIM(B13765)</f>
        <v>Pennsylvania</v>
      </c>
      <c r="E13765" s="111" t="str">
        <f t="shared" si="13763"/>
        <v>Patton</v>
      </c>
    </row>
    <row r="13766" spans="1:5">
      <c r="A13766" s="3" t="s">
        <v>24976</v>
      </c>
      <c r="B13766" s="110" t="s">
        <v>1364</v>
      </c>
      <c r="C13766" s="111" t="s">
        <v>24977</v>
      </c>
      <c r="D13766" s="111" t="str">
        <f t="shared" ref="D13766:E13766" si="13764">TRIM(B13766)</f>
        <v>Pennsylvania</v>
      </c>
      <c r="E13766" s="111" t="str">
        <f t="shared" si="13764"/>
        <v>Pen Argyl</v>
      </c>
    </row>
    <row r="13767" spans="1:5">
      <c r="A13767" s="3" t="s">
        <v>24978</v>
      </c>
      <c r="B13767" s="110" t="s">
        <v>1364</v>
      </c>
      <c r="C13767" s="111" t="s">
        <v>13164</v>
      </c>
      <c r="D13767" s="111" t="str">
        <f t="shared" ref="D13767:E13767" si="13765">TRIM(B13767)</f>
        <v>Pennsylvania</v>
      </c>
      <c r="E13767" s="111" t="str">
        <f t="shared" si="13765"/>
        <v>Pennsburg</v>
      </c>
    </row>
    <row r="13768" spans="1:5">
      <c r="A13768" s="3" t="s">
        <v>24979</v>
      </c>
      <c r="B13768" s="110" t="s">
        <v>1364</v>
      </c>
      <c r="C13768" s="111" t="s">
        <v>24980</v>
      </c>
      <c r="D13768" s="111" t="str">
        <f t="shared" ref="D13768:E13768" si="13766">TRIM(B13768)</f>
        <v>Pennsylvania</v>
      </c>
      <c r="E13768" s="111" t="str">
        <f t="shared" si="13766"/>
        <v>Perkasie</v>
      </c>
    </row>
    <row r="13769" spans="1:5">
      <c r="A13769" s="3" t="s">
        <v>24981</v>
      </c>
      <c r="B13769" s="110" t="s">
        <v>1364</v>
      </c>
      <c r="C13769" s="111" t="s">
        <v>24982</v>
      </c>
      <c r="D13769" s="111" t="str">
        <f t="shared" ref="D13769:E13769" si="13767">TRIM(B13769)</f>
        <v>Pennsylvania</v>
      </c>
      <c r="E13769" s="111" t="str">
        <f t="shared" si="13767"/>
        <v>Perryopolis</v>
      </c>
    </row>
    <row r="13770" spans="1:5">
      <c r="A13770" s="110" t="s">
        <v>24983</v>
      </c>
      <c r="B13770" s="110" t="s">
        <v>1364</v>
      </c>
      <c r="C13770" s="111" t="s">
        <v>24984</v>
      </c>
      <c r="D13770" s="111" t="str">
        <f t="shared" ref="D13770:E13770" si="13768">TRIM(B13770)</f>
        <v>Pennsylvania</v>
      </c>
      <c r="E13770" s="111" t="str">
        <f t="shared" si="13768"/>
        <v>Phialdelphia</v>
      </c>
    </row>
    <row r="13771" spans="1:5">
      <c r="A13771" s="3" t="s">
        <v>24985</v>
      </c>
      <c r="B13771" s="110" t="s">
        <v>1364</v>
      </c>
      <c r="C13771" s="111" t="s">
        <v>539</v>
      </c>
      <c r="D13771" s="111" t="str">
        <f t="shared" ref="D13771:E13771" si="13769">TRIM(B13771)</f>
        <v>Pennsylvania</v>
      </c>
      <c r="E13771" s="111" t="str">
        <f t="shared" si="13769"/>
        <v>Philadelphia</v>
      </c>
    </row>
    <row r="13772" spans="1:5">
      <c r="A13772" s="3" t="s">
        <v>24986</v>
      </c>
      <c r="B13772" s="110" t="s">
        <v>1364</v>
      </c>
      <c r="C13772" s="111" t="s">
        <v>539</v>
      </c>
      <c r="D13772" s="111" t="str">
        <f t="shared" ref="D13772:E13772" si="13770">TRIM(B13772)</f>
        <v>Pennsylvania</v>
      </c>
      <c r="E13772" s="111" t="str">
        <f t="shared" si="13770"/>
        <v>Philadelphia</v>
      </c>
    </row>
    <row r="13773" spans="1:5">
      <c r="A13773" s="3" t="s">
        <v>24987</v>
      </c>
      <c r="B13773" s="110" t="s">
        <v>1364</v>
      </c>
      <c r="C13773" s="111" t="s">
        <v>539</v>
      </c>
      <c r="D13773" s="111" t="str">
        <f t="shared" ref="D13773:E13773" si="13771">TRIM(B13773)</f>
        <v>Pennsylvania</v>
      </c>
      <c r="E13773" s="111" t="str">
        <f t="shared" si="13771"/>
        <v>Philadelphia</v>
      </c>
    </row>
    <row r="13774" spans="1:5">
      <c r="A13774" s="110" t="s">
        <v>24988</v>
      </c>
      <c r="B13774" s="110" t="s">
        <v>1364</v>
      </c>
      <c r="C13774" s="111" t="s">
        <v>539</v>
      </c>
      <c r="D13774" s="111" t="str">
        <f t="shared" ref="D13774:E13774" si="13772">TRIM(B13774)</f>
        <v>Pennsylvania</v>
      </c>
      <c r="E13774" s="111" t="str">
        <f t="shared" si="13772"/>
        <v>Philadelphia</v>
      </c>
    </row>
    <row r="13775" spans="1:5">
      <c r="A13775" s="3" t="s">
        <v>24989</v>
      </c>
      <c r="B13775" s="110" t="s">
        <v>1364</v>
      </c>
      <c r="C13775" s="111" t="s">
        <v>539</v>
      </c>
      <c r="D13775" s="111" t="str">
        <f t="shared" ref="D13775:E13775" si="13773">TRIM(B13775)</f>
        <v>Pennsylvania</v>
      </c>
      <c r="E13775" s="111" t="str">
        <f t="shared" si="13773"/>
        <v>Philadelphia</v>
      </c>
    </row>
    <row r="13776" spans="1:5">
      <c r="A13776" s="110" t="s">
        <v>24990</v>
      </c>
      <c r="B13776" s="110" t="s">
        <v>1364</v>
      </c>
      <c r="C13776" s="111" t="s">
        <v>539</v>
      </c>
      <c r="D13776" s="111" t="str">
        <f t="shared" ref="D13776:E13776" si="13774">TRIM(B13776)</f>
        <v>Pennsylvania</v>
      </c>
      <c r="E13776" s="111" t="str">
        <f t="shared" si="13774"/>
        <v>Philadelphia</v>
      </c>
    </row>
    <row r="13777" spans="1:5">
      <c r="A13777" s="110" t="s">
        <v>24991</v>
      </c>
      <c r="B13777" s="110" t="s">
        <v>1364</v>
      </c>
      <c r="C13777" s="111" t="s">
        <v>539</v>
      </c>
      <c r="D13777" s="111" t="str">
        <f t="shared" ref="D13777:E13777" si="13775">TRIM(B13777)</f>
        <v>Pennsylvania</v>
      </c>
      <c r="E13777" s="111" t="str">
        <f t="shared" si="13775"/>
        <v>Philadelphia</v>
      </c>
    </row>
    <row r="13778" spans="1:5">
      <c r="A13778" s="3" t="s">
        <v>10340</v>
      </c>
      <c r="B13778" s="110" t="s">
        <v>1364</v>
      </c>
      <c r="C13778" s="111" t="s">
        <v>539</v>
      </c>
      <c r="D13778" s="111" t="str">
        <f t="shared" ref="D13778:E13778" si="13776">TRIM(B13778)</f>
        <v>Pennsylvania</v>
      </c>
      <c r="E13778" s="111" t="str">
        <f t="shared" si="13776"/>
        <v>Philadelphia</v>
      </c>
    </row>
    <row r="13779" spans="1:5">
      <c r="A13779" s="3" t="s">
        <v>1843</v>
      </c>
      <c r="B13779" s="110" t="s">
        <v>1364</v>
      </c>
      <c r="C13779" s="111" t="s">
        <v>539</v>
      </c>
      <c r="D13779" s="111" t="str">
        <f t="shared" ref="D13779:E13779" si="13777">TRIM(B13779)</f>
        <v>Pennsylvania</v>
      </c>
      <c r="E13779" s="111" t="str">
        <f t="shared" si="13777"/>
        <v>Philadelphia</v>
      </c>
    </row>
    <row r="13780" spans="1:5">
      <c r="A13780" s="3" t="s">
        <v>24992</v>
      </c>
      <c r="B13780" s="110" t="s">
        <v>1364</v>
      </c>
      <c r="C13780" s="111" t="s">
        <v>539</v>
      </c>
      <c r="D13780" s="111" t="str">
        <f t="shared" ref="D13780:E13780" si="13778">TRIM(B13780)</f>
        <v>Pennsylvania</v>
      </c>
      <c r="E13780" s="111" t="str">
        <f t="shared" si="13778"/>
        <v>Philadelphia</v>
      </c>
    </row>
    <row r="13781" spans="1:5">
      <c r="A13781" s="3" t="s">
        <v>24993</v>
      </c>
      <c r="B13781" s="110" t="s">
        <v>1364</v>
      </c>
      <c r="C13781" s="111" t="s">
        <v>539</v>
      </c>
      <c r="D13781" s="111" t="str">
        <f t="shared" ref="D13781:E13781" si="13779">TRIM(B13781)</f>
        <v>Pennsylvania</v>
      </c>
      <c r="E13781" s="111" t="str">
        <f t="shared" si="13779"/>
        <v>Philadelphia</v>
      </c>
    </row>
    <row r="13782" spans="1:5">
      <c r="A13782" s="110" t="s">
        <v>24994</v>
      </c>
      <c r="B13782" s="110" t="s">
        <v>1364</v>
      </c>
      <c r="C13782" s="111" t="s">
        <v>539</v>
      </c>
      <c r="D13782" s="111" t="str">
        <f t="shared" ref="D13782:E13782" si="13780">TRIM(B13782)</f>
        <v>Pennsylvania</v>
      </c>
      <c r="E13782" s="111" t="str">
        <f t="shared" si="13780"/>
        <v>Philadelphia</v>
      </c>
    </row>
    <row r="13783" spans="1:5">
      <c r="A13783" s="3" t="s">
        <v>24995</v>
      </c>
      <c r="B13783" s="110" t="s">
        <v>1364</v>
      </c>
      <c r="C13783" s="111" t="s">
        <v>539</v>
      </c>
      <c r="D13783" s="111" t="str">
        <f t="shared" ref="D13783:E13783" si="13781">TRIM(B13783)</f>
        <v>Pennsylvania</v>
      </c>
      <c r="E13783" s="111" t="str">
        <f t="shared" si="13781"/>
        <v>Philadelphia</v>
      </c>
    </row>
    <row r="13784" spans="1:5">
      <c r="A13784" s="3" t="s">
        <v>24996</v>
      </c>
      <c r="B13784" s="110" t="s">
        <v>1364</v>
      </c>
      <c r="C13784" s="111" t="s">
        <v>539</v>
      </c>
      <c r="D13784" s="111" t="str">
        <f t="shared" ref="D13784:E13784" si="13782">TRIM(B13784)</f>
        <v>Pennsylvania</v>
      </c>
      <c r="E13784" s="111" t="str">
        <f t="shared" si="13782"/>
        <v>Philadelphia</v>
      </c>
    </row>
    <row r="13785" spans="1:5">
      <c r="A13785" s="3" t="s">
        <v>24997</v>
      </c>
      <c r="B13785" s="110" t="s">
        <v>1364</v>
      </c>
      <c r="C13785" s="111" t="s">
        <v>539</v>
      </c>
      <c r="D13785" s="111" t="str">
        <f t="shared" ref="D13785:E13785" si="13783">TRIM(B13785)</f>
        <v>Pennsylvania</v>
      </c>
      <c r="E13785" s="111" t="str">
        <f t="shared" si="13783"/>
        <v>Philadelphia</v>
      </c>
    </row>
    <row r="13786" spans="1:5">
      <c r="A13786" s="3" t="s">
        <v>24998</v>
      </c>
      <c r="B13786" s="110" t="s">
        <v>1364</v>
      </c>
      <c r="C13786" s="111" t="s">
        <v>539</v>
      </c>
      <c r="D13786" s="111" t="str">
        <f t="shared" ref="D13786:E13786" si="13784">TRIM(B13786)</f>
        <v>Pennsylvania</v>
      </c>
      <c r="E13786" s="111" t="str">
        <f t="shared" si="13784"/>
        <v>Philadelphia</v>
      </c>
    </row>
    <row r="13787" spans="1:5">
      <c r="A13787" s="110" t="s">
        <v>24999</v>
      </c>
      <c r="B13787" s="110" t="s">
        <v>1364</v>
      </c>
      <c r="C13787" s="111" t="s">
        <v>539</v>
      </c>
      <c r="D13787" s="111" t="str">
        <f t="shared" ref="D13787:E13787" si="13785">TRIM(B13787)</f>
        <v>Pennsylvania</v>
      </c>
      <c r="E13787" s="111" t="str">
        <f t="shared" si="13785"/>
        <v>Philadelphia</v>
      </c>
    </row>
    <row r="13788" spans="1:5">
      <c r="A13788" s="3" t="s">
        <v>25000</v>
      </c>
      <c r="B13788" s="110" t="s">
        <v>1364</v>
      </c>
      <c r="C13788" s="111" t="s">
        <v>539</v>
      </c>
      <c r="D13788" s="111" t="str">
        <f t="shared" ref="D13788:E13788" si="13786">TRIM(B13788)</f>
        <v>Pennsylvania</v>
      </c>
      <c r="E13788" s="111" t="str">
        <f t="shared" si="13786"/>
        <v>Philadelphia</v>
      </c>
    </row>
    <row r="13789" spans="1:5">
      <c r="A13789" s="110" t="s">
        <v>25001</v>
      </c>
      <c r="B13789" s="110" t="s">
        <v>1364</v>
      </c>
      <c r="C13789" s="111" t="s">
        <v>539</v>
      </c>
      <c r="D13789" s="111" t="str">
        <f t="shared" ref="D13789:E13789" si="13787">TRIM(B13789)</f>
        <v>Pennsylvania</v>
      </c>
      <c r="E13789" s="111" t="str">
        <f t="shared" si="13787"/>
        <v>Philadelphia</v>
      </c>
    </row>
    <row r="13790" spans="1:5">
      <c r="A13790" s="3" t="s">
        <v>25002</v>
      </c>
      <c r="B13790" s="110" t="s">
        <v>1364</v>
      </c>
      <c r="C13790" s="111" t="s">
        <v>539</v>
      </c>
      <c r="D13790" s="111" t="str">
        <f t="shared" ref="D13790:E13790" si="13788">TRIM(B13790)</f>
        <v>Pennsylvania</v>
      </c>
      <c r="E13790" s="111" t="str">
        <f t="shared" si="13788"/>
        <v>Philadelphia</v>
      </c>
    </row>
    <row r="13791" spans="1:5">
      <c r="A13791" s="110" t="s">
        <v>25003</v>
      </c>
      <c r="B13791" s="110" t="s">
        <v>1364</v>
      </c>
      <c r="C13791" s="111" t="s">
        <v>539</v>
      </c>
      <c r="D13791" s="111" t="str">
        <f t="shared" ref="D13791:E13791" si="13789">TRIM(B13791)</f>
        <v>Pennsylvania</v>
      </c>
      <c r="E13791" s="111" t="str">
        <f t="shared" si="13789"/>
        <v>Philadelphia</v>
      </c>
    </row>
    <row r="13792" spans="1:5">
      <c r="A13792" s="3" t="s">
        <v>25004</v>
      </c>
      <c r="B13792" s="110" t="s">
        <v>1364</v>
      </c>
      <c r="C13792" s="111" t="s">
        <v>539</v>
      </c>
      <c r="D13792" s="111" t="str">
        <f t="shared" ref="D13792:E13792" si="13790">TRIM(B13792)</f>
        <v>Pennsylvania</v>
      </c>
      <c r="E13792" s="111" t="str">
        <f t="shared" si="13790"/>
        <v>Philadelphia</v>
      </c>
    </row>
    <row r="13793" spans="1:5">
      <c r="A13793" s="3" t="s">
        <v>25005</v>
      </c>
      <c r="B13793" s="110" t="s">
        <v>1364</v>
      </c>
      <c r="C13793" s="111" t="s">
        <v>539</v>
      </c>
      <c r="D13793" s="111" t="str">
        <f t="shared" ref="D13793:E13793" si="13791">TRIM(B13793)</f>
        <v>Pennsylvania</v>
      </c>
      <c r="E13793" s="111" t="str">
        <f t="shared" si="13791"/>
        <v>Philadelphia</v>
      </c>
    </row>
    <row r="13794" spans="1:5">
      <c r="A13794" s="3" t="s">
        <v>25006</v>
      </c>
      <c r="B13794" s="110" t="s">
        <v>1364</v>
      </c>
      <c r="C13794" s="111" t="s">
        <v>539</v>
      </c>
      <c r="D13794" s="111" t="str">
        <f t="shared" ref="D13794:E13794" si="13792">TRIM(B13794)</f>
        <v>Pennsylvania</v>
      </c>
      <c r="E13794" s="111" t="str">
        <f t="shared" si="13792"/>
        <v>Philadelphia</v>
      </c>
    </row>
    <row r="13795" spans="1:5">
      <c r="A13795" s="3" t="s">
        <v>25007</v>
      </c>
      <c r="B13795" s="110" t="s">
        <v>1364</v>
      </c>
      <c r="C13795" s="111" t="s">
        <v>539</v>
      </c>
      <c r="D13795" s="111" t="str">
        <f t="shared" ref="D13795:E13795" si="13793">TRIM(B13795)</f>
        <v>Pennsylvania</v>
      </c>
      <c r="E13795" s="111" t="str">
        <f t="shared" si="13793"/>
        <v>Philadelphia</v>
      </c>
    </row>
    <row r="13796" spans="1:5">
      <c r="A13796" s="110" t="s">
        <v>25008</v>
      </c>
      <c r="B13796" s="110" t="s">
        <v>1364</v>
      </c>
      <c r="C13796" s="111" t="s">
        <v>539</v>
      </c>
      <c r="D13796" s="111" t="str">
        <f t="shared" ref="D13796:E13796" si="13794">TRIM(B13796)</f>
        <v>Pennsylvania</v>
      </c>
      <c r="E13796" s="111" t="str">
        <f t="shared" si="13794"/>
        <v>Philadelphia</v>
      </c>
    </row>
    <row r="13797" spans="1:5">
      <c r="A13797" s="3" t="s">
        <v>25009</v>
      </c>
      <c r="B13797" s="110" t="s">
        <v>1364</v>
      </c>
      <c r="C13797" s="111" t="s">
        <v>539</v>
      </c>
      <c r="D13797" s="111" t="str">
        <f t="shared" ref="D13797:E13797" si="13795">TRIM(B13797)</f>
        <v>Pennsylvania</v>
      </c>
      <c r="E13797" s="111" t="str">
        <f t="shared" si="13795"/>
        <v>Philadelphia</v>
      </c>
    </row>
    <row r="13798" spans="1:5">
      <c r="A13798" s="3" t="s">
        <v>25010</v>
      </c>
      <c r="B13798" s="110" t="s">
        <v>1364</v>
      </c>
      <c r="C13798" s="111" t="s">
        <v>539</v>
      </c>
      <c r="D13798" s="111" t="str">
        <f t="shared" ref="D13798:E13798" si="13796">TRIM(B13798)</f>
        <v>Pennsylvania</v>
      </c>
      <c r="E13798" s="111" t="str">
        <f t="shared" si="13796"/>
        <v>Philadelphia</v>
      </c>
    </row>
    <row r="13799" spans="1:5">
      <c r="A13799" s="110" t="s">
        <v>25011</v>
      </c>
      <c r="B13799" s="110" t="s">
        <v>1364</v>
      </c>
      <c r="C13799" s="111" t="s">
        <v>539</v>
      </c>
      <c r="D13799" s="111" t="str">
        <f t="shared" ref="D13799:E13799" si="13797">TRIM(B13799)</f>
        <v>Pennsylvania</v>
      </c>
      <c r="E13799" s="111" t="str">
        <f t="shared" si="13797"/>
        <v>Philadelphia</v>
      </c>
    </row>
    <row r="13800" spans="1:5">
      <c r="A13800" s="3" t="s">
        <v>25012</v>
      </c>
      <c r="B13800" s="110" t="s">
        <v>1364</v>
      </c>
      <c r="C13800" s="111" t="s">
        <v>539</v>
      </c>
      <c r="D13800" s="111" t="str">
        <f t="shared" ref="D13800:E13800" si="13798">TRIM(B13800)</f>
        <v>Pennsylvania</v>
      </c>
      <c r="E13800" s="111" t="str">
        <f t="shared" si="13798"/>
        <v>Philadelphia</v>
      </c>
    </row>
    <row r="13801" spans="1:5">
      <c r="A13801" s="3" t="s">
        <v>1925</v>
      </c>
      <c r="B13801" s="110" t="s">
        <v>1364</v>
      </c>
      <c r="C13801" s="111" t="s">
        <v>539</v>
      </c>
      <c r="D13801" s="111" t="str">
        <f t="shared" ref="D13801:E13801" si="13799">TRIM(B13801)</f>
        <v>Pennsylvania</v>
      </c>
      <c r="E13801" s="111" t="str">
        <f t="shared" si="13799"/>
        <v>Philadelphia</v>
      </c>
    </row>
    <row r="13802" spans="1:5">
      <c r="A13802" s="110" t="s">
        <v>25013</v>
      </c>
      <c r="B13802" s="110" t="s">
        <v>1364</v>
      </c>
      <c r="C13802" s="111" t="s">
        <v>539</v>
      </c>
      <c r="D13802" s="111" t="str">
        <f t="shared" ref="D13802:E13802" si="13800">TRIM(B13802)</f>
        <v>Pennsylvania</v>
      </c>
      <c r="E13802" s="111" t="str">
        <f t="shared" si="13800"/>
        <v>Philadelphia</v>
      </c>
    </row>
    <row r="13803" spans="1:5">
      <c r="A13803" s="3" t="s">
        <v>25014</v>
      </c>
      <c r="B13803" s="110" t="s">
        <v>1364</v>
      </c>
      <c r="C13803" s="111" t="s">
        <v>539</v>
      </c>
      <c r="D13803" s="111" t="str">
        <f t="shared" ref="D13803:E13803" si="13801">TRIM(B13803)</f>
        <v>Pennsylvania</v>
      </c>
      <c r="E13803" s="111" t="str">
        <f t="shared" si="13801"/>
        <v>Philadelphia</v>
      </c>
    </row>
    <row r="13804" spans="1:5">
      <c r="A13804" s="110" t="s">
        <v>25015</v>
      </c>
      <c r="B13804" s="110" t="s">
        <v>1364</v>
      </c>
      <c r="C13804" s="111" t="s">
        <v>539</v>
      </c>
      <c r="D13804" s="111" t="str">
        <f t="shared" ref="D13804:E13804" si="13802">TRIM(B13804)</f>
        <v>Pennsylvania</v>
      </c>
      <c r="E13804" s="111" t="str">
        <f t="shared" si="13802"/>
        <v>Philadelphia</v>
      </c>
    </row>
    <row r="13805" spans="1:5">
      <c r="A13805" s="110" t="s">
        <v>25016</v>
      </c>
      <c r="B13805" s="110" t="s">
        <v>1364</v>
      </c>
      <c r="C13805" s="111" t="s">
        <v>539</v>
      </c>
      <c r="D13805" s="111" t="str">
        <f t="shared" ref="D13805:E13805" si="13803">TRIM(B13805)</f>
        <v>Pennsylvania</v>
      </c>
      <c r="E13805" s="111" t="str">
        <f t="shared" si="13803"/>
        <v>Philadelphia</v>
      </c>
    </row>
    <row r="13806" spans="1:5">
      <c r="A13806" s="3" t="s">
        <v>25017</v>
      </c>
      <c r="B13806" s="110" t="s">
        <v>1364</v>
      </c>
      <c r="C13806" s="111" t="s">
        <v>539</v>
      </c>
      <c r="D13806" s="111" t="str">
        <f t="shared" ref="D13806:E13806" si="13804">TRIM(B13806)</f>
        <v>Pennsylvania</v>
      </c>
      <c r="E13806" s="111" t="str">
        <f t="shared" si="13804"/>
        <v>Philadelphia</v>
      </c>
    </row>
    <row r="13807" spans="1:5">
      <c r="A13807" s="3" t="s">
        <v>25018</v>
      </c>
      <c r="B13807" s="110" t="s">
        <v>1364</v>
      </c>
      <c r="C13807" s="111" t="s">
        <v>539</v>
      </c>
      <c r="D13807" s="111" t="str">
        <f t="shared" ref="D13807:E13807" si="13805">TRIM(B13807)</f>
        <v>Pennsylvania</v>
      </c>
      <c r="E13807" s="111" t="str">
        <f t="shared" si="13805"/>
        <v>Philadelphia</v>
      </c>
    </row>
    <row r="13808" spans="1:5">
      <c r="A13808" s="3" t="s">
        <v>9797</v>
      </c>
      <c r="B13808" s="110" t="s">
        <v>1364</v>
      </c>
      <c r="C13808" s="111" t="s">
        <v>539</v>
      </c>
      <c r="D13808" s="111" t="str">
        <f t="shared" ref="D13808:E13808" si="13806">TRIM(B13808)</f>
        <v>Pennsylvania</v>
      </c>
      <c r="E13808" s="111" t="str">
        <f t="shared" si="13806"/>
        <v>Philadelphia</v>
      </c>
    </row>
    <row r="13809" spans="1:5">
      <c r="A13809" s="3" t="s">
        <v>25019</v>
      </c>
      <c r="B13809" s="110" t="s">
        <v>1364</v>
      </c>
      <c r="C13809" s="111" t="s">
        <v>539</v>
      </c>
      <c r="D13809" s="111" t="str">
        <f t="shared" ref="D13809:E13809" si="13807">TRIM(B13809)</f>
        <v>Pennsylvania</v>
      </c>
      <c r="E13809" s="111" t="str">
        <f t="shared" si="13807"/>
        <v>Philadelphia</v>
      </c>
    </row>
    <row r="13810" spans="1:5">
      <c r="A13810" s="3" t="s">
        <v>25020</v>
      </c>
      <c r="B13810" s="110" t="s">
        <v>1364</v>
      </c>
      <c r="C13810" s="111" t="s">
        <v>539</v>
      </c>
      <c r="D13810" s="111" t="str">
        <f t="shared" ref="D13810:E13810" si="13808">TRIM(B13810)</f>
        <v>Pennsylvania</v>
      </c>
      <c r="E13810" s="111" t="str">
        <f t="shared" si="13808"/>
        <v>Philadelphia</v>
      </c>
    </row>
    <row r="13811" spans="1:5">
      <c r="A13811" s="110" t="s">
        <v>25021</v>
      </c>
      <c r="B13811" s="110" t="s">
        <v>1364</v>
      </c>
      <c r="C13811" s="111" t="s">
        <v>539</v>
      </c>
      <c r="D13811" s="111" t="str">
        <f t="shared" ref="D13811:E13811" si="13809">TRIM(B13811)</f>
        <v>Pennsylvania</v>
      </c>
      <c r="E13811" s="111" t="str">
        <f t="shared" si="13809"/>
        <v>Philadelphia</v>
      </c>
    </row>
    <row r="13812" spans="1:5">
      <c r="A13812" s="110" t="s">
        <v>25022</v>
      </c>
      <c r="B13812" s="110" t="s">
        <v>1364</v>
      </c>
      <c r="C13812" s="111" t="s">
        <v>539</v>
      </c>
      <c r="D13812" s="111" t="str">
        <f t="shared" ref="D13812:E13812" si="13810">TRIM(B13812)</f>
        <v>Pennsylvania</v>
      </c>
      <c r="E13812" s="111" t="str">
        <f t="shared" si="13810"/>
        <v>Philadelphia</v>
      </c>
    </row>
    <row r="13813" spans="1:5">
      <c r="A13813" s="110" t="s">
        <v>25023</v>
      </c>
      <c r="B13813" s="110" t="s">
        <v>1364</v>
      </c>
      <c r="C13813" s="111" t="s">
        <v>539</v>
      </c>
      <c r="D13813" s="111" t="str">
        <f t="shared" ref="D13813:E13813" si="13811">TRIM(B13813)</f>
        <v>Pennsylvania</v>
      </c>
      <c r="E13813" s="111" t="str">
        <f t="shared" si="13811"/>
        <v>Philadelphia</v>
      </c>
    </row>
    <row r="13814" spans="1:5">
      <c r="A13814" s="3" t="s">
        <v>25024</v>
      </c>
      <c r="B13814" s="110" t="s">
        <v>1364</v>
      </c>
      <c r="C13814" s="111" t="s">
        <v>539</v>
      </c>
      <c r="D13814" s="111" t="str">
        <f t="shared" ref="D13814:E13814" si="13812">TRIM(B13814)</f>
        <v>Pennsylvania</v>
      </c>
      <c r="E13814" s="111" t="str">
        <f t="shared" si="13812"/>
        <v>Philadelphia</v>
      </c>
    </row>
    <row r="13815" spans="1:5">
      <c r="A13815" s="110" t="s">
        <v>25025</v>
      </c>
      <c r="B13815" s="110" t="s">
        <v>1364</v>
      </c>
      <c r="C13815" s="111" t="s">
        <v>539</v>
      </c>
      <c r="D13815" s="111" t="str">
        <f t="shared" ref="D13815:E13815" si="13813">TRIM(B13815)</f>
        <v>Pennsylvania</v>
      </c>
      <c r="E13815" s="111" t="str">
        <f t="shared" si="13813"/>
        <v>Philadelphia</v>
      </c>
    </row>
    <row r="13816" spans="1:5">
      <c r="A13816" s="3" t="s">
        <v>25026</v>
      </c>
      <c r="B13816" s="110" t="s">
        <v>1364</v>
      </c>
      <c r="C13816" s="111" t="s">
        <v>539</v>
      </c>
      <c r="D13816" s="111" t="str">
        <f t="shared" ref="D13816:E13816" si="13814">TRIM(B13816)</f>
        <v>Pennsylvania</v>
      </c>
      <c r="E13816" s="111" t="str">
        <f t="shared" si="13814"/>
        <v>Philadelphia</v>
      </c>
    </row>
    <row r="13817" spans="1:5">
      <c r="A13817" s="3" t="s">
        <v>25027</v>
      </c>
      <c r="B13817" s="110" t="s">
        <v>1364</v>
      </c>
      <c r="C13817" s="111" t="s">
        <v>539</v>
      </c>
      <c r="D13817" s="111" t="str">
        <f t="shared" ref="D13817:E13817" si="13815">TRIM(B13817)</f>
        <v>Pennsylvania</v>
      </c>
      <c r="E13817" s="111" t="str">
        <f t="shared" si="13815"/>
        <v>Philadelphia</v>
      </c>
    </row>
    <row r="13818" spans="1:5">
      <c r="A13818" s="3" t="s">
        <v>25028</v>
      </c>
      <c r="B13818" s="110" t="s">
        <v>1364</v>
      </c>
      <c r="C13818" s="111" t="s">
        <v>539</v>
      </c>
      <c r="D13818" s="111" t="str">
        <f t="shared" ref="D13818:E13818" si="13816">TRIM(B13818)</f>
        <v>Pennsylvania</v>
      </c>
      <c r="E13818" s="111" t="str">
        <f t="shared" si="13816"/>
        <v>Philadelphia</v>
      </c>
    </row>
    <row r="13819" spans="1:5">
      <c r="A13819" s="3" t="s">
        <v>25029</v>
      </c>
      <c r="B13819" s="110" t="s">
        <v>1364</v>
      </c>
      <c r="C13819" s="111" t="s">
        <v>539</v>
      </c>
      <c r="D13819" s="111" t="str">
        <f t="shared" ref="D13819:E13819" si="13817">TRIM(B13819)</f>
        <v>Pennsylvania</v>
      </c>
      <c r="E13819" s="111" t="str">
        <f t="shared" si="13817"/>
        <v>Philadelphia</v>
      </c>
    </row>
    <row r="13820" spans="1:5">
      <c r="A13820" s="110" t="s">
        <v>25030</v>
      </c>
      <c r="B13820" s="110" t="s">
        <v>1364</v>
      </c>
      <c r="C13820" s="111" t="s">
        <v>539</v>
      </c>
      <c r="D13820" s="111" t="str">
        <f t="shared" ref="D13820:E13820" si="13818">TRIM(B13820)</f>
        <v>Pennsylvania</v>
      </c>
      <c r="E13820" s="111" t="str">
        <f t="shared" si="13818"/>
        <v>Philadelphia</v>
      </c>
    </row>
    <row r="13821" spans="1:5">
      <c r="A13821" s="3" t="s">
        <v>25031</v>
      </c>
      <c r="B13821" s="110" t="s">
        <v>1364</v>
      </c>
      <c r="C13821" s="111" t="s">
        <v>539</v>
      </c>
      <c r="D13821" s="111" t="str">
        <f t="shared" ref="D13821:E13821" si="13819">TRIM(B13821)</f>
        <v>Pennsylvania</v>
      </c>
      <c r="E13821" s="111" t="str">
        <f t="shared" si="13819"/>
        <v>Philadelphia</v>
      </c>
    </row>
    <row r="13822" spans="1:5">
      <c r="A13822" s="110" t="s">
        <v>25032</v>
      </c>
      <c r="B13822" s="110" t="s">
        <v>1364</v>
      </c>
      <c r="C13822" s="112" t="s">
        <v>539</v>
      </c>
      <c r="D13822" s="111" t="str">
        <f t="shared" ref="D13822:E13822" si="13820">TRIM(B13822)</f>
        <v>Pennsylvania</v>
      </c>
      <c r="E13822" s="111" t="str">
        <f t="shared" si="13820"/>
        <v>Philadelphia</v>
      </c>
    </row>
    <row r="13823" spans="1:5">
      <c r="A13823" s="110" t="s">
        <v>25033</v>
      </c>
      <c r="B13823" s="110" t="s">
        <v>1364</v>
      </c>
      <c r="C13823" s="111" t="s">
        <v>539</v>
      </c>
      <c r="D13823" s="111" t="str">
        <f t="shared" ref="D13823:E13823" si="13821">TRIM(B13823)</f>
        <v>Pennsylvania</v>
      </c>
      <c r="E13823" s="111" t="str">
        <f t="shared" si="13821"/>
        <v>Philadelphia</v>
      </c>
    </row>
    <row r="13824" spans="1:5">
      <c r="A13824" s="3" t="s">
        <v>25034</v>
      </c>
      <c r="B13824" s="110" t="s">
        <v>1364</v>
      </c>
      <c r="C13824" s="111" t="s">
        <v>539</v>
      </c>
      <c r="D13824" s="111" t="str">
        <f t="shared" ref="D13824:E13824" si="13822">TRIM(B13824)</f>
        <v>Pennsylvania</v>
      </c>
      <c r="E13824" s="111" t="str">
        <f t="shared" si="13822"/>
        <v>Philadelphia</v>
      </c>
    </row>
    <row r="13825" spans="1:5">
      <c r="A13825" s="3" t="s">
        <v>25035</v>
      </c>
      <c r="B13825" s="110" t="s">
        <v>1364</v>
      </c>
      <c r="C13825" s="111" t="s">
        <v>539</v>
      </c>
      <c r="D13825" s="111" t="str">
        <f t="shared" ref="D13825:E13825" si="13823">TRIM(B13825)</f>
        <v>Pennsylvania</v>
      </c>
      <c r="E13825" s="111" t="str">
        <f t="shared" si="13823"/>
        <v>Philadelphia</v>
      </c>
    </row>
    <row r="13826" spans="1:5">
      <c r="A13826" s="3" t="s">
        <v>25036</v>
      </c>
      <c r="B13826" s="110" t="s">
        <v>1364</v>
      </c>
      <c r="C13826" s="111" t="s">
        <v>539</v>
      </c>
      <c r="D13826" s="111" t="str">
        <f t="shared" ref="D13826:E13826" si="13824">TRIM(B13826)</f>
        <v>Pennsylvania</v>
      </c>
      <c r="E13826" s="111" t="str">
        <f t="shared" si="13824"/>
        <v>Philadelphia</v>
      </c>
    </row>
    <row r="13827" spans="1:5">
      <c r="A13827" s="110" t="s">
        <v>25037</v>
      </c>
      <c r="B13827" s="110" t="s">
        <v>1364</v>
      </c>
      <c r="C13827" s="111" t="s">
        <v>539</v>
      </c>
      <c r="D13827" s="111" t="str">
        <f t="shared" ref="D13827:E13827" si="13825">TRIM(B13827)</f>
        <v>Pennsylvania</v>
      </c>
      <c r="E13827" s="111" t="str">
        <f t="shared" si="13825"/>
        <v>Philadelphia</v>
      </c>
    </row>
    <row r="13828" spans="1:5">
      <c r="A13828" s="110" t="s">
        <v>25038</v>
      </c>
      <c r="B13828" s="110" t="s">
        <v>1364</v>
      </c>
      <c r="C13828" s="111" t="s">
        <v>539</v>
      </c>
      <c r="D13828" s="111" t="str">
        <f t="shared" ref="D13828:E13828" si="13826">TRIM(B13828)</f>
        <v>Pennsylvania</v>
      </c>
      <c r="E13828" s="111" t="str">
        <f t="shared" si="13826"/>
        <v>Philadelphia</v>
      </c>
    </row>
    <row r="13829" spans="1:5">
      <c r="A13829" s="3" t="s">
        <v>25039</v>
      </c>
      <c r="B13829" s="110" t="s">
        <v>1364</v>
      </c>
      <c r="C13829" s="111" t="s">
        <v>539</v>
      </c>
      <c r="D13829" s="111" t="str">
        <f t="shared" ref="D13829:E13829" si="13827">TRIM(B13829)</f>
        <v>Pennsylvania</v>
      </c>
      <c r="E13829" s="111" t="str">
        <f t="shared" si="13827"/>
        <v>Philadelphia</v>
      </c>
    </row>
    <row r="13830" spans="1:5">
      <c r="A13830" s="110" t="s">
        <v>25040</v>
      </c>
      <c r="B13830" s="110" t="s">
        <v>1364</v>
      </c>
      <c r="C13830" s="111" t="s">
        <v>539</v>
      </c>
      <c r="D13830" s="111" t="str">
        <f t="shared" ref="D13830:E13830" si="13828">TRIM(B13830)</f>
        <v>Pennsylvania</v>
      </c>
      <c r="E13830" s="111" t="str">
        <f t="shared" si="13828"/>
        <v>Philadelphia</v>
      </c>
    </row>
    <row r="13831" spans="1:5">
      <c r="A13831" s="110" t="s">
        <v>25041</v>
      </c>
      <c r="B13831" s="110" t="s">
        <v>1364</v>
      </c>
      <c r="C13831" s="111" t="s">
        <v>539</v>
      </c>
      <c r="D13831" s="111" t="str">
        <f t="shared" ref="D13831:E13831" si="13829">TRIM(B13831)</f>
        <v>Pennsylvania</v>
      </c>
      <c r="E13831" s="111" t="str">
        <f t="shared" si="13829"/>
        <v>Philadelphia</v>
      </c>
    </row>
    <row r="13832" spans="1:5">
      <c r="A13832" s="110" t="s">
        <v>25042</v>
      </c>
      <c r="B13832" s="110" t="s">
        <v>1364</v>
      </c>
      <c r="C13832" s="111" t="s">
        <v>539</v>
      </c>
      <c r="D13832" s="111" t="str">
        <f t="shared" ref="D13832:E13832" si="13830">TRIM(B13832)</f>
        <v>Pennsylvania</v>
      </c>
      <c r="E13832" s="111" t="str">
        <f t="shared" si="13830"/>
        <v>Philadelphia</v>
      </c>
    </row>
    <row r="13833" spans="1:5">
      <c r="A13833" s="3" t="s">
        <v>25043</v>
      </c>
      <c r="B13833" s="110" t="s">
        <v>1364</v>
      </c>
      <c r="C13833" s="111" t="s">
        <v>539</v>
      </c>
      <c r="D13833" s="111" t="str">
        <f t="shared" ref="D13833:E13833" si="13831">TRIM(B13833)</f>
        <v>Pennsylvania</v>
      </c>
      <c r="E13833" s="111" t="str">
        <f t="shared" si="13831"/>
        <v>Philadelphia</v>
      </c>
    </row>
    <row r="13834" spans="1:5">
      <c r="A13834" s="3" t="s">
        <v>25044</v>
      </c>
      <c r="B13834" s="110" t="s">
        <v>1364</v>
      </c>
      <c r="C13834" s="111" t="s">
        <v>539</v>
      </c>
      <c r="D13834" s="111" t="str">
        <f t="shared" ref="D13834:E13834" si="13832">TRIM(B13834)</f>
        <v>Pennsylvania</v>
      </c>
      <c r="E13834" s="111" t="str">
        <f t="shared" si="13832"/>
        <v>Philadelphia</v>
      </c>
    </row>
    <row r="13835" spans="1:5">
      <c r="A13835" s="110" t="s">
        <v>25045</v>
      </c>
      <c r="B13835" s="110" t="s">
        <v>1364</v>
      </c>
      <c r="C13835" s="111" t="s">
        <v>539</v>
      </c>
      <c r="D13835" s="111" t="str">
        <f t="shared" ref="D13835:E13835" si="13833">TRIM(B13835)</f>
        <v>Pennsylvania</v>
      </c>
      <c r="E13835" s="111" t="str">
        <f t="shared" si="13833"/>
        <v>Philadelphia</v>
      </c>
    </row>
    <row r="13836" spans="1:5">
      <c r="A13836" s="3" t="s">
        <v>25046</v>
      </c>
      <c r="B13836" s="110" t="s">
        <v>1364</v>
      </c>
      <c r="C13836" s="111" t="s">
        <v>19394</v>
      </c>
      <c r="D13836" s="111" t="str">
        <f t="shared" ref="D13836:E13836" si="13834">TRIM(B13836)</f>
        <v>Pennsylvania</v>
      </c>
      <c r="E13836" s="111" t="str">
        <f t="shared" si="13834"/>
        <v>Philipsburg</v>
      </c>
    </row>
    <row r="13837" spans="1:5">
      <c r="A13837" s="3" t="s">
        <v>25047</v>
      </c>
      <c r="B13837" s="110" t="s">
        <v>1364</v>
      </c>
      <c r="C13837" s="111" t="s">
        <v>25048</v>
      </c>
      <c r="D13837" s="111" t="str">
        <f t="shared" ref="D13837:E13837" si="13835">TRIM(B13837)</f>
        <v>Pennsylvania</v>
      </c>
      <c r="E13837" s="111" t="str">
        <f t="shared" si="13835"/>
        <v>Phoenixville</v>
      </c>
    </row>
    <row r="13838" spans="1:5">
      <c r="A13838" s="3" t="s">
        <v>25049</v>
      </c>
      <c r="B13838" s="110" t="s">
        <v>1364</v>
      </c>
      <c r="C13838" s="111" t="s">
        <v>25050</v>
      </c>
      <c r="D13838" s="111" t="str">
        <f t="shared" ref="D13838:E13838" si="13836">TRIM(B13838)</f>
        <v>Pennsylvania</v>
      </c>
      <c r="E13838" s="111" t="str">
        <f t="shared" si="13836"/>
        <v>Pine Grove</v>
      </c>
    </row>
    <row r="13839" spans="1:5">
      <c r="A13839" s="3" t="s">
        <v>25051</v>
      </c>
      <c r="B13839" s="110" t="s">
        <v>1364</v>
      </c>
      <c r="C13839" s="111" t="s">
        <v>336</v>
      </c>
      <c r="D13839" s="111" t="str">
        <f t="shared" ref="D13839:E13839" si="13837">TRIM(B13839)</f>
        <v>Pennsylvania</v>
      </c>
      <c r="E13839" s="111" t="str">
        <f t="shared" si="13837"/>
        <v>Pittsburgh</v>
      </c>
    </row>
    <row r="13840" spans="1:5">
      <c r="A13840" s="3" t="s">
        <v>25052</v>
      </c>
      <c r="B13840" s="110" t="s">
        <v>1364</v>
      </c>
      <c r="C13840" s="111" t="s">
        <v>336</v>
      </c>
      <c r="D13840" s="111" t="str">
        <f t="shared" ref="D13840:E13840" si="13838">TRIM(B13840)</f>
        <v>Pennsylvania</v>
      </c>
      <c r="E13840" s="111" t="str">
        <f t="shared" si="13838"/>
        <v>Pittsburgh</v>
      </c>
    </row>
    <row r="13841" spans="1:5">
      <c r="A13841" s="3" t="s">
        <v>25053</v>
      </c>
      <c r="B13841" s="110" t="s">
        <v>1364</v>
      </c>
      <c r="C13841" s="111" t="s">
        <v>336</v>
      </c>
      <c r="D13841" s="111" t="str">
        <f t="shared" ref="D13841:E13841" si="13839">TRIM(B13841)</f>
        <v>Pennsylvania</v>
      </c>
      <c r="E13841" s="111" t="str">
        <f t="shared" si="13839"/>
        <v>Pittsburgh</v>
      </c>
    </row>
    <row r="13842" spans="1:5">
      <c r="A13842" s="3" t="s">
        <v>25054</v>
      </c>
      <c r="B13842" s="110" t="s">
        <v>1364</v>
      </c>
      <c r="C13842" s="111" t="s">
        <v>336</v>
      </c>
      <c r="D13842" s="111" t="str">
        <f t="shared" ref="D13842:E13842" si="13840">TRIM(B13842)</f>
        <v>Pennsylvania</v>
      </c>
      <c r="E13842" s="111" t="str">
        <f t="shared" si="13840"/>
        <v>Pittsburgh</v>
      </c>
    </row>
    <row r="13843" spans="1:5">
      <c r="A13843" s="3" t="s">
        <v>25055</v>
      </c>
      <c r="B13843" s="110" t="s">
        <v>1364</v>
      </c>
      <c r="C13843" s="111" t="s">
        <v>336</v>
      </c>
      <c r="D13843" s="111" t="str">
        <f t="shared" ref="D13843:E13843" si="13841">TRIM(B13843)</f>
        <v>Pennsylvania</v>
      </c>
      <c r="E13843" s="111" t="str">
        <f t="shared" si="13841"/>
        <v>Pittsburgh</v>
      </c>
    </row>
    <row r="13844" spans="1:5">
      <c r="A13844" s="3" t="s">
        <v>25056</v>
      </c>
      <c r="B13844" s="110" t="s">
        <v>1364</v>
      </c>
      <c r="C13844" s="111" t="s">
        <v>336</v>
      </c>
      <c r="D13844" s="111" t="str">
        <f t="shared" ref="D13844:E13844" si="13842">TRIM(B13844)</f>
        <v>Pennsylvania</v>
      </c>
      <c r="E13844" s="111" t="str">
        <f t="shared" si="13842"/>
        <v>Pittsburgh</v>
      </c>
    </row>
    <row r="13845" spans="1:5">
      <c r="A13845" s="3" t="s">
        <v>25057</v>
      </c>
      <c r="B13845" s="110" t="s">
        <v>1364</v>
      </c>
      <c r="C13845" s="111" t="s">
        <v>336</v>
      </c>
      <c r="D13845" s="111" t="str">
        <f t="shared" ref="D13845:E13845" si="13843">TRIM(B13845)</f>
        <v>Pennsylvania</v>
      </c>
      <c r="E13845" s="111" t="str">
        <f t="shared" si="13843"/>
        <v>Pittsburgh</v>
      </c>
    </row>
    <row r="13846" spans="1:5">
      <c r="A13846" s="3" t="s">
        <v>25058</v>
      </c>
      <c r="B13846" s="110" t="s">
        <v>1364</v>
      </c>
      <c r="C13846" s="111" t="s">
        <v>336</v>
      </c>
      <c r="D13846" s="111" t="str">
        <f t="shared" ref="D13846:E13846" si="13844">TRIM(B13846)</f>
        <v>Pennsylvania</v>
      </c>
      <c r="E13846" s="111" t="str">
        <f t="shared" si="13844"/>
        <v>Pittsburgh</v>
      </c>
    </row>
    <row r="13847" spans="1:5">
      <c r="A13847" s="3" t="s">
        <v>25059</v>
      </c>
      <c r="B13847" s="110" t="s">
        <v>1364</v>
      </c>
      <c r="C13847" s="112" t="s">
        <v>336</v>
      </c>
      <c r="D13847" s="111" t="str">
        <f t="shared" ref="D13847:E13847" si="13845">TRIM(B13847)</f>
        <v>Pennsylvania</v>
      </c>
      <c r="E13847" s="111" t="str">
        <f t="shared" si="13845"/>
        <v>Pittsburgh</v>
      </c>
    </row>
    <row r="13848" spans="1:5">
      <c r="A13848" s="3" t="s">
        <v>25060</v>
      </c>
      <c r="B13848" s="110" t="s">
        <v>1364</v>
      </c>
      <c r="C13848" s="111" t="s">
        <v>336</v>
      </c>
      <c r="D13848" s="111" t="str">
        <f t="shared" ref="D13848:E13848" si="13846">TRIM(B13848)</f>
        <v>Pennsylvania</v>
      </c>
      <c r="E13848" s="111" t="str">
        <f t="shared" si="13846"/>
        <v>Pittsburgh</v>
      </c>
    </row>
    <row r="13849" spans="1:5">
      <c r="A13849" s="3" t="s">
        <v>25061</v>
      </c>
      <c r="B13849" s="110" t="s">
        <v>1364</v>
      </c>
      <c r="C13849" s="111" t="s">
        <v>336</v>
      </c>
      <c r="D13849" s="111" t="str">
        <f t="shared" ref="D13849:E13849" si="13847">TRIM(B13849)</f>
        <v>Pennsylvania</v>
      </c>
      <c r="E13849" s="111" t="str">
        <f t="shared" si="13847"/>
        <v>Pittsburgh</v>
      </c>
    </row>
    <row r="13850" spans="1:5">
      <c r="A13850" s="3" t="s">
        <v>25062</v>
      </c>
      <c r="B13850" s="110" t="s">
        <v>1364</v>
      </c>
      <c r="C13850" s="111" t="s">
        <v>336</v>
      </c>
      <c r="D13850" s="111" t="str">
        <f t="shared" ref="D13850:E13850" si="13848">TRIM(B13850)</f>
        <v>Pennsylvania</v>
      </c>
      <c r="E13850" s="111" t="str">
        <f t="shared" si="13848"/>
        <v>Pittsburgh</v>
      </c>
    </row>
    <row r="13851" spans="1:5">
      <c r="A13851" s="3" t="s">
        <v>25063</v>
      </c>
      <c r="B13851" s="110" t="s">
        <v>1364</v>
      </c>
      <c r="C13851" s="111" t="s">
        <v>336</v>
      </c>
      <c r="D13851" s="111" t="str">
        <f t="shared" ref="D13851:E13851" si="13849">TRIM(B13851)</f>
        <v>Pennsylvania</v>
      </c>
      <c r="E13851" s="111" t="str">
        <f t="shared" si="13849"/>
        <v>Pittsburgh</v>
      </c>
    </row>
    <row r="13852" spans="1:5">
      <c r="A13852" s="3" t="s">
        <v>25064</v>
      </c>
      <c r="B13852" s="110" t="s">
        <v>1364</v>
      </c>
      <c r="C13852" s="111" t="s">
        <v>336</v>
      </c>
      <c r="D13852" s="111" t="str">
        <f t="shared" ref="D13852:E13852" si="13850">TRIM(B13852)</f>
        <v>Pennsylvania</v>
      </c>
      <c r="E13852" s="111" t="str">
        <f t="shared" si="13850"/>
        <v>Pittsburgh</v>
      </c>
    </row>
    <row r="13853" spans="1:5">
      <c r="A13853" s="110" t="s">
        <v>25065</v>
      </c>
      <c r="B13853" s="110" t="s">
        <v>1364</v>
      </c>
      <c r="C13853" s="111" t="s">
        <v>336</v>
      </c>
      <c r="D13853" s="111" t="str">
        <f t="shared" ref="D13853:E13853" si="13851">TRIM(B13853)</f>
        <v>Pennsylvania</v>
      </c>
      <c r="E13853" s="111" t="str">
        <f t="shared" si="13851"/>
        <v>Pittsburgh</v>
      </c>
    </row>
    <row r="13854" spans="1:5">
      <c r="A13854" s="3" t="s">
        <v>25066</v>
      </c>
      <c r="B13854" s="110" t="s">
        <v>1364</v>
      </c>
      <c r="C13854" s="111" t="s">
        <v>336</v>
      </c>
      <c r="D13854" s="111" t="str">
        <f t="shared" ref="D13854:E13854" si="13852">TRIM(B13854)</f>
        <v>Pennsylvania</v>
      </c>
      <c r="E13854" s="111" t="str">
        <f t="shared" si="13852"/>
        <v>Pittsburgh</v>
      </c>
    </row>
    <row r="13855" spans="1:5">
      <c r="A13855" s="110" t="s">
        <v>25067</v>
      </c>
      <c r="B13855" s="110" t="s">
        <v>1364</v>
      </c>
      <c r="C13855" s="111" t="s">
        <v>336</v>
      </c>
      <c r="D13855" s="111" t="str">
        <f t="shared" ref="D13855:E13855" si="13853">TRIM(B13855)</f>
        <v>Pennsylvania</v>
      </c>
      <c r="E13855" s="111" t="str">
        <f t="shared" si="13853"/>
        <v>Pittsburgh</v>
      </c>
    </row>
    <row r="13856" spans="1:5">
      <c r="A13856" s="110" t="s">
        <v>25068</v>
      </c>
      <c r="B13856" s="110" t="s">
        <v>1364</v>
      </c>
      <c r="C13856" s="111" t="s">
        <v>336</v>
      </c>
      <c r="D13856" s="111" t="str">
        <f t="shared" ref="D13856:E13856" si="13854">TRIM(B13856)</f>
        <v>Pennsylvania</v>
      </c>
      <c r="E13856" s="111" t="str">
        <f t="shared" si="13854"/>
        <v>Pittsburgh</v>
      </c>
    </row>
    <row r="13857" spans="1:5">
      <c r="A13857" s="3" t="s">
        <v>25069</v>
      </c>
      <c r="B13857" s="110" t="s">
        <v>1364</v>
      </c>
      <c r="C13857" s="111" t="s">
        <v>336</v>
      </c>
      <c r="D13857" s="111" t="str">
        <f t="shared" ref="D13857:E13857" si="13855">TRIM(B13857)</f>
        <v>Pennsylvania</v>
      </c>
      <c r="E13857" s="111" t="str">
        <f t="shared" si="13855"/>
        <v>Pittsburgh</v>
      </c>
    </row>
    <row r="13858" spans="1:5">
      <c r="A13858" s="3" t="s">
        <v>25070</v>
      </c>
      <c r="B13858" s="110" t="s">
        <v>1364</v>
      </c>
      <c r="C13858" s="111" t="s">
        <v>336</v>
      </c>
      <c r="D13858" s="111" t="str">
        <f t="shared" ref="D13858:E13858" si="13856">TRIM(B13858)</f>
        <v>Pennsylvania</v>
      </c>
      <c r="E13858" s="111" t="str">
        <f t="shared" si="13856"/>
        <v>Pittsburgh</v>
      </c>
    </row>
    <row r="13859" spans="1:5">
      <c r="A13859" s="3" t="s">
        <v>25071</v>
      </c>
      <c r="B13859" s="110" t="s">
        <v>1364</v>
      </c>
      <c r="C13859" s="111" t="s">
        <v>336</v>
      </c>
      <c r="D13859" s="111" t="str">
        <f t="shared" ref="D13859:E13859" si="13857">TRIM(B13859)</f>
        <v>Pennsylvania</v>
      </c>
      <c r="E13859" s="111" t="str">
        <f t="shared" si="13857"/>
        <v>Pittsburgh</v>
      </c>
    </row>
    <row r="13860" spans="1:5">
      <c r="A13860" s="3" t="s">
        <v>25072</v>
      </c>
      <c r="B13860" s="110" t="s">
        <v>1364</v>
      </c>
      <c r="C13860" s="111" t="s">
        <v>336</v>
      </c>
      <c r="D13860" s="111" t="str">
        <f t="shared" ref="D13860:E13860" si="13858">TRIM(B13860)</f>
        <v>Pennsylvania</v>
      </c>
      <c r="E13860" s="111" t="str">
        <f t="shared" si="13858"/>
        <v>Pittsburgh</v>
      </c>
    </row>
    <row r="13861" spans="1:5">
      <c r="A13861" s="3" t="s">
        <v>25073</v>
      </c>
      <c r="B13861" s="110" t="s">
        <v>1364</v>
      </c>
      <c r="C13861" s="111" t="s">
        <v>336</v>
      </c>
      <c r="D13861" s="111" t="str">
        <f t="shared" ref="D13861:E13861" si="13859">TRIM(B13861)</f>
        <v>Pennsylvania</v>
      </c>
      <c r="E13861" s="111" t="str">
        <f t="shared" si="13859"/>
        <v>Pittsburgh</v>
      </c>
    </row>
    <row r="13862" spans="1:5">
      <c r="A13862" s="110" t="s">
        <v>25074</v>
      </c>
      <c r="B13862" s="110" t="s">
        <v>1364</v>
      </c>
      <c r="C13862" s="111" t="s">
        <v>336</v>
      </c>
      <c r="D13862" s="111" t="str">
        <f t="shared" ref="D13862:E13862" si="13860">TRIM(B13862)</f>
        <v>Pennsylvania</v>
      </c>
      <c r="E13862" s="111" t="str">
        <f t="shared" si="13860"/>
        <v>Pittsburgh</v>
      </c>
    </row>
    <row r="13863" spans="1:5">
      <c r="A13863" s="3" t="s">
        <v>25075</v>
      </c>
      <c r="B13863" s="110" t="s">
        <v>1364</v>
      </c>
      <c r="C13863" s="111" t="s">
        <v>336</v>
      </c>
      <c r="D13863" s="111" t="str">
        <f t="shared" ref="D13863:E13863" si="13861">TRIM(B13863)</f>
        <v>Pennsylvania</v>
      </c>
      <c r="E13863" s="111" t="str">
        <f t="shared" si="13861"/>
        <v>Pittsburgh</v>
      </c>
    </row>
    <row r="13864" spans="1:5">
      <c r="A13864" s="3" t="s">
        <v>25076</v>
      </c>
      <c r="B13864" s="110" t="s">
        <v>1364</v>
      </c>
      <c r="C13864" s="111" t="s">
        <v>25077</v>
      </c>
      <c r="D13864" s="111" t="str">
        <f t="shared" ref="D13864:E13864" si="13862">TRIM(B13864)</f>
        <v>Pennsylvania</v>
      </c>
      <c r="E13864" s="111" t="str">
        <f t="shared" si="13862"/>
        <v>Pittston</v>
      </c>
    </row>
    <row r="13865" spans="1:5">
      <c r="A13865" s="3" t="s">
        <v>25078</v>
      </c>
      <c r="B13865" s="110" t="s">
        <v>1364</v>
      </c>
      <c r="C13865" s="111" t="s">
        <v>25079</v>
      </c>
      <c r="D13865" s="111" t="str">
        <f t="shared" ref="D13865:E13865" si="13863">TRIM(B13865)</f>
        <v>Pennsylvania</v>
      </c>
      <c r="E13865" s="111" t="str">
        <f t="shared" si="13863"/>
        <v>Plum</v>
      </c>
    </row>
    <row r="13866" spans="1:5">
      <c r="A13866" s="3" t="s">
        <v>25080</v>
      </c>
      <c r="B13866" s="110" t="s">
        <v>1364</v>
      </c>
      <c r="C13866" s="111" t="s">
        <v>11518</v>
      </c>
      <c r="D13866" s="111" t="str">
        <f t="shared" ref="D13866:E13866" si="13864">TRIM(B13866)</f>
        <v>Pennsylvania</v>
      </c>
      <c r="E13866" s="111" t="str">
        <f t="shared" si="13864"/>
        <v>Plymouth</v>
      </c>
    </row>
    <row r="13867" spans="1:5">
      <c r="A13867" s="3" t="s">
        <v>25081</v>
      </c>
      <c r="B13867" s="110" t="s">
        <v>1364</v>
      </c>
      <c r="C13867" s="113" t="s">
        <v>25082</v>
      </c>
      <c r="D13867" s="111" t="str">
        <f t="shared" ref="D13867:E13867" si="13865">TRIM(B13867)</f>
        <v>Pennsylvania</v>
      </c>
      <c r="E13867" s="111" t="str">
        <f t="shared" si="13865"/>
        <v>Plymouth Meeting</v>
      </c>
    </row>
    <row r="13868" spans="1:5">
      <c r="A13868" s="3" t="s">
        <v>25083</v>
      </c>
      <c r="B13868" s="110" t="s">
        <v>1364</v>
      </c>
      <c r="C13868" s="111" t="s">
        <v>25084</v>
      </c>
      <c r="D13868" s="111" t="str">
        <f t="shared" ref="D13868:E13868" si="13866">TRIM(B13868)</f>
        <v>Pennsylvania</v>
      </c>
      <c r="E13868" s="111" t="str">
        <f t="shared" si="13866"/>
        <v>Pocono Summit</v>
      </c>
    </row>
    <row r="13869" spans="1:5">
      <c r="A13869" s="3" t="s">
        <v>25085</v>
      </c>
      <c r="B13869" s="110" t="s">
        <v>1364</v>
      </c>
      <c r="C13869" s="111" t="s">
        <v>25086</v>
      </c>
      <c r="D13869" s="111" t="str">
        <f t="shared" ref="D13869:E13869" si="13867">TRIM(B13869)</f>
        <v>Pennsylvania</v>
      </c>
      <c r="E13869" s="111" t="str">
        <f t="shared" si="13867"/>
        <v>Port Allegany</v>
      </c>
    </row>
    <row r="13870" spans="1:5">
      <c r="A13870" s="3" t="s">
        <v>25087</v>
      </c>
      <c r="B13870" s="110" t="s">
        <v>1364</v>
      </c>
      <c r="C13870" s="111" t="s">
        <v>14563</v>
      </c>
      <c r="D13870" s="111" t="str">
        <f t="shared" ref="D13870:E13870" si="13868">TRIM(B13870)</f>
        <v>Pennsylvania</v>
      </c>
      <c r="E13870" s="111" t="str">
        <f t="shared" si="13868"/>
        <v>Portage</v>
      </c>
    </row>
    <row r="13871" spans="1:5">
      <c r="A13871" s="3" t="s">
        <v>25088</v>
      </c>
      <c r="B13871" s="110" t="s">
        <v>1364</v>
      </c>
      <c r="C13871" s="111" t="s">
        <v>13238</v>
      </c>
      <c r="D13871" s="111" t="str">
        <f t="shared" ref="D13871:E13871" si="13869">TRIM(B13871)</f>
        <v>Pennsylvania</v>
      </c>
      <c r="E13871" s="111" t="str">
        <f t="shared" si="13869"/>
        <v>Pottstown</v>
      </c>
    </row>
    <row r="13872" spans="1:5">
      <c r="A13872" s="3" t="s">
        <v>25089</v>
      </c>
      <c r="B13872" s="110" t="s">
        <v>1364</v>
      </c>
      <c r="C13872" s="111" t="s">
        <v>13238</v>
      </c>
      <c r="D13872" s="111" t="str">
        <f t="shared" ref="D13872:E13872" si="13870">TRIM(B13872)</f>
        <v>Pennsylvania</v>
      </c>
      <c r="E13872" s="111" t="str">
        <f t="shared" si="13870"/>
        <v>Pottstown</v>
      </c>
    </row>
    <row r="13873" spans="1:5">
      <c r="A13873" s="3" t="s">
        <v>25090</v>
      </c>
      <c r="B13873" s="110" t="s">
        <v>1364</v>
      </c>
      <c r="C13873" s="111" t="s">
        <v>13238</v>
      </c>
      <c r="D13873" s="111" t="str">
        <f t="shared" ref="D13873:E13873" si="13871">TRIM(B13873)</f>
        <v>Pennsylvania</v>
      </c>
      <c r="E13873" s="111" t="str">
        <f t="shared" si="13871"/>
        <v>Pottstown</v>
      </c>
    </row>
    <row r="13874" spans="1:5">
      <c r="A13874" s="3" t="s">
        <v>25091</v>
      </c>
      <c r="B13874" s="110" t="s">
        <v>1364</v>
      </c>
      <c r="C13874" s="111" t="s">
        <v>4145</v>
      </c>
      <c r="D13874" s="111" t="str">
        <f t="shared" ref="D13874:E13874" si="13872">TRIM(B13874)</f>
        <v>Pennsylvania</v>
      </c>
      <c r="E13874" s="111" t="str">
        <f t="shared" si="13872"/>
        <v>Pottsville</v>
      </c>
    </row>
    <row r="13875" spans="1:5">
      <c r="A13875" s="3" t="s">
        <v>25092</v>
      </c>
      <c r="B13875" s="110" t="s">
        <v>1364</v>
      </c>
      <c r="C13875" s="111" t="s">
        <v>25093</v>
      </c>
      <c r="D13875" s="111" t="str">
        <f t="shared" ref="D13875:E13875" si="13873">TRIM(B13875)</f>
        <v>Pennsylvania</v>
      </c>
      <c r="E13875" s="111" t="str">
        <f t="shared" si="13873"/>
        <v>Prospect Park</v>
      </c>
    </row>
    <row r="13876" spans="1:5">
      <c r="A13876" s="3" t="s">
        <v>25094</v>
      </c>
      <c r="B13876" s="110" t="s">
        <v>1364</v>
      </c>
      <c r="C13876" s="111" t="s">
        <v>25095</v>
      </c>
      <c r="D13876" s="111" t="str">
        <f t="shared" ref="D13876:E13876" si="13874">TRIM(B13876)</f>
        <v>Pennsylvania</v>
      </c>
      <c r="E13876" s="111" t="str">
        <f t="shared" si="13874"/>
        <v>Punxsutawney</v>
      </c>
    </row>
    <row r="13877" spans="1:5">
      <c r="A13877" s="3" t="s">
        <v>25096</v>
      </c>
      <c r="B13877" s="110" t="s">
        <v>1364</v>
      </c>
      <c r="C13877" s="111" t="s">
        <v>25097</v>
      </c>
      <c r="D13877" s="111" t="str">
        <f t="shared" ref="D13877:E13877" si="13875">TRIM(B13877)</f>
        <v>Pennsylvania</v>
      </c>
      <c r="E13877" s="111" t="str">
        <f t="shared" si="13875"/>
        <v>Quakertown</v>
      </c>
    </row>
    <row r="13878" spans="1:5">
      <c r="A13878" s="3" t="s">
        <v>25098</v>
      </c>
      <c r="B13878" s="110" t="s">
        <v>1364</v>
      </c>
      <c r="C13878" s="111" t="s">
        <v>25099</v>
      </c>
      <c r="D13878" s="111" t="str">
        <f t="shared" ref="D13878:E13878" si="13876">TRIM(B13878)</f>
        <v>Pennsylvania</v>
      </c>
      <c r="E13878" s="111" t="str">
        <f t="shared" si="13876"/>
        <v>Quarryville</v>
      </c>
    </row>
    <row r="13879" spans="1:5">
      <c r="A13879" s="3" t="s">
        <v>25100</v>
      </c>
      <c r="B13879" s="110" t="s">
        <v>1364</v>
      </c>
      <c r="C13879" s="111" t="s">
        <v>25101</v>
      </c>
      <c r="D13879" s="111" t="str">
        <f t="shared" ref="D13879:E13879" si="13877">TRIM(B13879)</f>
        <v>Pennsylvania</v>
      </c>
      <c r="E13879" s="111" t="str">
        <f t="shared" si="13877"/>
        <v>Radnor</v>
      </c>
    </row>
    <row r="13880" spans="1:5">
      <c r="A13880" s="3" t="s">
        <v>25102</v>
      </c>
      <c r="B13880" s="110" t="s">
        <v>1364</v>
      </c>
      <c r="C13880" s="111" t="s">
        <v>769</v>
      </c>
      <c r="D13880" s="111" t="str">
        <f t="shared" ref="D13880:E13880" si="13878">TRIM(B13880)</f>
        <v>Pennsylvania</v>
      </c>
      <c r="E13880" s="111" t="str">
        <f t="shared" si="13878"/>
        <v>Reading</v>
      </c>
    </row>
    <row r="13881" spans="1:5">
      <c r="A13881" s="3" t="s">
        <v>25103</v>
      </c>
      <c r="B13881" s="110" t="s">
        <v>1364</v>
      </c>
      <c r="C13881" s="111" t="s">
        <v>769</v>
      </c>
      <c r="D13881" s="111" t="str">
        <f t="shared" ref="D13881:E13881" si="13879">TRIM(B13881)</f>
        <v>Pennsylvania</v>
      </c>
      <c r="E13881" s="111" t="str">
        <f t="shared" si="13879"/>
        <v>Reading</v>
      </c>
    </row>
    <row r="13882" spans="1:5">
      <c r="A13882" s="3" t="s">
        <v>25104</v>
      </c>
      <c r="B13882" s="110" t="s">
        <v>1364</v>
      </c>
      <c r="C13882" s="111" t="s">
        <v>769</v>
      </c>
      <c r="D13882" s="111" t="str">
        <f t="shared" ref="D13882:E13882" si="13880">TRIM(B13882)</f>
        <v>Pennsylvania</v>
      </c>
      <c r="E13882" s="111" t="str">
        <f t="shared" si="13880"/>
        <v>Reading</v>
      </c>
    </row>
    <row r="13883" spans="1:5">
      <c r="A13883" s="110" t="s">
        <v>25105</v>
      </c>
      <c r="B13883" s="110" t="s">
        <v>1364</v>
      </c>
      <c r="C13883" s="111" t="s">
        <v>769</v>
      </c>
      <c r="D13883" s="111" t="str">
        <f t="shared" ref="D13883:E13883" si="13881">TRIM(B13883)</f>
        <v>Pennsylvania</v>
      </c>
      <c r="E13883" s="111" t="str">
        <f t="shared" si="13881"/>
        <v>Reading</v>
      </c>
    </row>
    <row r="13884" spans="1:5">
      <c r="A13884" s="3" t="s">
        <v>25106</v>
      </c>
      <c r="B13884" s="110" t="s">
        <v>1364</v>
      </c>
      <c r="C13884" s="111" t="s">
        <v>769</v>
      </c>
      <c r="D13884" s="111" t="str">
        <f t="shared" ref="D13884:E13884" si="13882">TRIM(B13884)</f>
        <v>Pennsylvania</v>
      </c>
      <c r="E13884" s="111" t="str">
        <f t="shared" si="13882"/>
        <v>Reading</v>
      </c>
    </row>
    <row r="13885" spans="1:5">
      <c r="A13885" s="3" t="s">
        <v>25107</v>
      </c>
      <c r="B13885" s="110" t="s">
        <v>1364</v>
      </c>
      <c r="C13885" s="112" t="s">
        <v>25108</v>
      </c>
      <c r="D13885" s="111" t="str">
        <f t="shared" ref="D13885:E13885" si="13883">TRIM(B13885)</f>
        <v>Pennsylvania</v>
      </c>
      <c r="E13885" s="111" t="str">
        <f t="shared" si="13883"/>
        <v>Red Lion</v>
      </c>
    </row>
    <row r="13886" spans="1:5">
      <c r="A13886" s="3" t="s">
        <v>25109</v>
      </c>
      <c r="B13886" s="110" t="s">
        <v>1364</v>
      </c>
      <c r="C13886" s="111" t="s">
        <v>25110</v>
      </c>
      <c r="D13886" s="111" t="str">
        <f t="shared" ref="D13886:E13886" si="13884">TRIM(B13886)</f>
        <v>Pennsylvania</v>
      </c>
      <c r="E13886" s="111" t="str">
        <f t="shared" si="13884"/>
        <v>Renovo</v>
      </c>
    </row>
    <row r="13887" spans="1:5">
      <c r="A13887" s="3" t="s">
        <v>25111</v>
      </c>
      <c r="B13887" s="110" t="s">
        <v>1364</v>
      </c>
      <c r="C13887" s="111" t="s">
        <v>8215</v>
      </c>
      <c r="D13887" s="111" t="str">
        <f t="shared" ref="D13887:E13887" si="13885">TRIM(B13887)</f>
        <v>Pennsylvania</v>
      </c>
      <c r="E13887" s="111" t="str">
        <f t="shared" si="13885"/>
        <v>Ridgway</v>
      </c>
    </row>
    <row r="13888" spans="1:5">
      <c r="A13888" s="3" t="s">
        <v>14909</v>
      </c>
      <c r="B13888" s="110" t="s">
        <v>1364</v>
      </c>
      <c r="C13888" s="111" t="s">
        <v>25112</v>
      </c>
      <c r="D13888" s="111" t="str">
        <f t="shared" ref="D13888:E13888" si="13886">TRIM(B13888)</f>
        <v>Pennsylvania</v>
      </c>
      <c r="E13888" s="111" t="str">
        <f t="shared" si="13886"/>
        <v>Rimersburg</v>
      </c>
    </row>
    <row r="13889" spans="1:5">
      <c r="A13889" s="3" t="s">
        <v>25113</v>
      </c>
      <c r="B13889" s="110" t="s">
        <v>1364</v>
      </c>
      <c r="C13889" s="111" t="s">
        <v>25114</v>
      </c>
      <c r="D13889" s="111" t="str">
        <f t="shared" ref="D13889:E13889" si="13887">TRIM(B13889)</f>
        <v>Pennsylvania</v>
      </c>
      <c r="E13889" s="111" t="str">
        <f t="shared" si="13887"/>
        <v>Robesonia</v>
      </c>
    </row>
    <row r="13890" spans="1:5">
      <c r="A13890" s="3" t="s">
        <v>13707</v>
      </c>
      <c r="B13890" s="110" t="s">
        <v>1364</v>
      </c>
      <c r="C13890" s="111" t="s">
        <v>11566</v>
      </c>
      <c r="D13890" s="111" t="str">
        <f t="shared" ref="D13890:E13890" si="13888">TRIM(B13890)</f>
        <v>Pennsylvania</v>
      </c>
      <c r="E13890" s="111" t="str">
        <f t="shared" si="13888"/>
        <v>Rochester</v>
      </c>
    </row>
    <row r="13891" spans="1:5">
      <c r="A13891" s="3" t="s">
        <v>25115</v>
      </c>
      <c r="B13891" s="110" t="s">
        <v>1364</v>
      </c>
      <c r="C13891" s="111" t="s">
        <v>17551</v>
      </c>
      <c r="D13891" s="111" t="str">
        <f t="shared" ref="D13891:E13891" si="13889">TRIM(B13891)</f>
        <v>Pennsylvania</v>
      </c>
      <c r="E13891" s="111" t="str">
        <f t="shared" si="13889"/>
        <v>Rockwood</v>
      </c>
    </row>
    <row r="13892" spans="1:5">
      <c r="A13892" s="3" t="s">
        <v>25116</v>
      </c>
      <c r="B13892" s="110" t="s">
        <v>1364</v>
      </c>
      <c r="C13892" s="111" t="s">
        <v>534</v>
      </c>
      <c r="D13892" s="111" t="str">
        <f t="shared" ref="D13892:E13892" si="13890">TRIM(B13892)</f>
        <v>Pennsylvania</v>
      </c>
      <c r="E13892" s="111" t="str">
        <f t="shared" si="13890"/>
        <v>Rome</v>
      </c>
    </row>
    <row r="13893" spans="1:5">
      <c r="A13893" s="3" t="s">
        <v>25117</v>
      </c>
      <c r="B13893" s="110" t="s">
        <v>1364</v>
      </c>
      <c r="C13893" s="111" t="s">
        <v>25118</v>
      </c>
      <c r="D13893" s="111" t="str">
        <f t="shared" ref="D13893:E13893" si="13891">TRIM(B13893)</f>
        <v>Pennsylvania</v>
      </c>
      <c r="E13893" s="111" t="str">
        <f t="shared" si="13891"/>
        <v>Rosemont</v>
      </c>
    </row>
    <row r="13894" spans="1:5">
      <c r="A13894" s="3" t="s">
        <v>25119</v>
      </c>
      <c r="B13894" s="110" t="s">
        <v>1364</v>
      </c>
      <c r="C13894" s="111" t="s">
        <v>13174</v>
      </c>
      <c r="D13894" s="111" t="str">
        <f t="shared" ref="D13894:E13894" si="13892">TRIM(B13894)</f>
        <v>Pennsylvania</v>
      </c>
      <c r="E13894" s="111" t="str">
        <f t="shared" si="13892"/>
        <v>Royersford</v>
      </c>
    </row>
    <row r="13895" spans="1:5">
      <c r="A13895" s="3" t="s">
        <v>25120</v>
      </c>
      <c r="B13895" s="110" t="s">
        <v>1364</v>
      </c>
      <c r="C13895" s="111" t="s">
        <v>25121</v>
      </c>
      <c r="D13895" s="111" t="str">
        <f t="shared" ref="D13895:E13895" si="13893">TRIM(B13895)</f>
        <v>Pennsylvania</v>
      </c>
      <c r="E13895" s="111" t="str">
        <f t="shared" si="13893"/>
        <v>Rural Valley</v>
      </c>
    </row>
    <row r="13896" spans="1:5">
      <c r="A13896" s="3" t="s">
        <v>25122</v>
      </c>
      <c r="B13896" s="110" t="s">
        <v>1364</v>
      </c>
      <c r="C13896" s="111" t="s">
        <v>15492</v>
      </c>
      <c r="D13896" s="111" t="str">
        <f t="shared" ref="D13896:E13896" si="13894">TRIM(B13896)</f>
        <v>Pennsylvania</v>
      </c>
      <c r="E13896" s="111" t="str">
        <f t="shared" si="13894"/>
        <v>Russell</v>
      </c>
    </row>
    <row r="13897" spans="1:5">
      <c r="A13897" s="3" t="s">
        <v>25123</v>
      </c>
      <c r="B13897" s="110" t="s">
        <v>1364</v>
      </c>
      <c r="C13897" s="111" t="s">
        <v>25124</v>
      </c>
      <c r="D13897" s="111" t="str">
        <f t="shared" ref="D13897:E13897" si="13895">TRIM(B13897)</f>
        <v>Pennsylvania</v>
      </c>
      <c r="E13897" s="111" t="str">
        <f t="shared" si="13895"/>
        <v>Saegertown</v>
      </c>
    </row>
    <row r="13898" spans="1:5">
      <c r="A13898" s="3" t="s">
        <v>25125</v>
      </c>
      <c r="B13898" s="110" t="s">
        <v>1364</v>
      </c>
      <c r="C13898" s="111" t="s">
        <v>23426</v>
      </c>
      <c r="D13898" s="111" t="str">
        <f t="shared" ref="D13898:E13898" si="13896">TRIM(B13898)</f>
        <v>Pennsylvania</v>
      </c>
      <c r="E13898" s="111" t="str">
        <f t="shared" si="13896"/>
        <v>Saint Marys</v>
      </c>
    </row>
    <row r="13899" spans="1:5">
      <c r="A13899" s="3" t="s">
        <v>25126</v>
      </c>
      <c r="B13899" s="110" t="s">
        <v>1364</v>
      </c>
      <c r="C13899" s="111" t="s">
        <v>422</v>
      </c>
      <c r="D13899" s="111" t="str">
        <f t="shared" ref="D13899:E13899" si="13897">TRIM(B13899)</f>
        <v>Pennsylvania</v>
      </c>
      <c r="E13899" s="111" t="str">
        <f t="shared" si="13897"/>
        <v>Salisbury</v>
      </c>
    </row>
    <row r="13900" spans="1:5">
      <c r="A13900" s="3" t="s">
        <v>25127</v>
      </c>
      <c r="B13900" s="110" t="s">
        <v>1364</v>
      </c>
      <c r="C13900" s="111" t="s">
        <v>13243</v>
      </c>
      <c r="D13900" s="111" t="str">
        <f t="shared" ref="D13900:E13900" si="13898">TRIM(B13900)</f>
        <v>Pennsylvania</v>
      </c>
      <c r="E13900" s="111" t="str">
        <f t="shared" si="13898"/>
        <v>Saltsburg</v>
      </c>
    </row>
    <row r="13901" spans="1:5">
      <c r="A13901" s="3" t="s">
        <v>25128</v>
      </c>
      <c r="B13901" s="110" t="s">
        <v>1364</v>
      </c>
      <c r="C13901" s="111" t="s">
        <v>25129</v>
      </c>
      <c r="D13901" s="111" t="str">
        <f t="shared" ref="D13901:E13901" si="13899">TRIM(B13901)</f>
        <v>Pennsylvania</v>
      </c>
      <c r="E13901" s="111" t="str">
        <f t="shared" si="13899"/>
        <v>Saxonburg</v>
      </c>
    </row>
    <row r="13902" spans="1:5">
      <c r="A13902" s="3" t="s">
        <v>25130</v>
      </c>
      <c r="B13902" s="110" t="s">
        <v>1364</v>
      </c>
      <c r="C13902" s="111" t="s">
        <v>25131</v>
      </c>
      <c r="D13902" s="111" t="str">
        <f t="shared" ref="D13902:E13902" si="13900">TRIM(B13902)</f>
        <v>Pennsylvania</v>
      </c>
      <c r="E13902" s="111" t="str">
        <f t="shared" si="13900"/>
        <v>Saxton</v>
      </c>
    </row>
    <row r="13903" spans="1:5">
      <c r="A13903" s="3" t="s">
        <v>25132</v>
      </c>
      <c r="B13903" s="110" t="s">
        <v>1364</v>
      </c>
      <c r="C13903" s="111" t="s">
        <v>24074</v>
      </c>
      <c r="D13903" s="111" t="str">
        <f t="shared" ref="D13903:E13903" si="13901">TRIM(B13903)</f>
        <v>Pennsylvania</v>
      </c>
      <c r="E13903" s="111" t="str">
        <f t="shared" si="13901"/>
        <v>Sayre</v>
      </c>
    </row>
    <row r="13904" spans="1:5">
      <c r="A13904" s="3" t="s">
        <v>25133</v>
      </c>
      <c r="B13904" s="110" t="s">
        <v>1364</v>
      </c>
      <c r="C13904" s="111" t="s">
        <v>25134</v>
      </c>
      <c r="D13904" s="111" t="str">
        <f t="shared" ref="D13904:E13904" si="13902">TRIM(B13904)</f>
        <v>Pennsylvania</v>
      </c>
      <c r="E13904" s="111" t="str">
        <f t="shared" si="13902"/>
        <v>Schuylkill Haven</v>
      </c>
    </row>
    <row r="13905" spans="1:5">
      <c r="A13905" s="3" t="s">
        <v>25135</v>
      </c>
      <c r="B13905" s="110" t="s">
        <v>1364</v>
      </c>
      <c r="C13905" s="111" t="s">
        <v>25134</v>
      </c>
      <c r="D13905" s="111" t="str">
        <f t="shared" ref="D13905:E13905" si="13903">TRIM(B13905)</f>
        <v>Pennsylvania</v>
      </c>
      <c r="E13905" s="111" t="str">
        <f t="shared" si="13903"/>
        <v>Schuylkill Haven</v>
      </c>
    </row>
    <row r="13906" spans="1:5">
      <c r="A13906" s="3" t="s">
        <v>25136</v>
      </c>
      <c r="B13906" s="110" t="s">
        <v>1364</v>
      </c>
      <c r="C13906" s="111" t="s">
        <v>25137</v>
      </c>
      <c r="D13906" s="111" t="str">
        <f t="shared" ref="D13906:E13906" si="13904">TRIM(B13906)</f>
        <v>Pennsylvania</v>
      </c>
      <c r="E13906" s="111" t="str">
        <f t="shared" si="13904"/>
        <v>Scott Township</v>
      </c>
    </row>
    <row r="13907" spans="1:5">
      <c r="A13907" s="3" t="s">
        <v>4179</v>
      </c>
      <c r="B13907" s="110" t="s">
        <v>1364</v>
      </c>
      <c r="C13907" s="111" t="s">
        <v>4180</v>
      </c>
      <c r="D13907" s="111" t="str">
        <f t="shared" ref="D13907:E13907" si="13905">TRIM(B13907)</f>
        <v>Pennsylvania</v>
      </c>
      <c r="E13907" s="111" t="str">
        <f t="shared" si="13905"/>
        <v>Scranton</v>
      </c>
    </row>
    <row r="13908" spans="1:5">
      <c r="A13908" s="3" t="s">
        <v>25138</v>
      </c>
      <c r="B13908" s="110" t="s">
        <v>1364</v>
      </c>
      <c r="C13908" s="111" t="s">
        <v>4180</v>
      </c>
      <c r="D13908" s="111" t="str">
        <f t="shared" ref="D13908:E13908" si="13906">TRIM(B13908)</f>
        <v>Pennsylvania</v>
      </c>
      <c r="E13908" s="111" t="str">
        <f t="shared" si="13906"/>
        <v>Scranton</v>
      </c>
    </row>
    <row r="13909" spans="1:5">
      <c r="A13909" s="3" t="s">
        <v>25139</v>
      </c>
      <c r="B13909" s="110" t="s">
        <v>1364</v>
      </c>
      <c r="C13909" s="111" t="s">
        <v>25140</v>
      </c>
      <c r="D13909" s="111" t="str">
        <f t="shared" ref="D13909:E13909" si="13907">TRIM(B13909)</f>
        <v>Pennsylvania</v>
      </c>
      <c r="E13909" s="111" t="str">
        <f t="shared" si="13907"/>
        <v>Selinsgrove</v>
      </c>
    </row>
    <row r="13910" spans="1:5">
      <c r="A13910" s="3" t="s">
        <v>25141</v>
      </c>
      <c r="B13910" s="110" t="s">
        <v>1364</v>
      </c>
      <c r="C13910" s="111" t="s">
        <v>13787</v>
      </c>
      <c r="D13910" s="111" t="str">
        <f t="shared" ref="D13910:E13910" si="13908">TRIM(B13910)</f>
        <v>Pennsylvania</v>
      </c>
      <c r="E13910" s="111" t="str">
        <f t="shared" si="13908"/>
        <v>Seneca</v>
      </c>
    </row>
    <row r="13911" spans="1:5">
      <c r="A13911" s="3" t="s">
        <v>25142</v>
      </c>
      <c r="B13911" s="110" t="s">
        <v>1364</v>
      </c>
      <c r="C13911" s="111" t="s">
        <v>25143</v>
      </c>
      <c r="D13911" s="111" t="str">
        <f t="shared" ref="D13911:E13911" si="13909">TRIM(B13911)</f>
        <v>Pennsylvania</v>
      </c>
      <c r="E13911" s="111" t="str">
        <f t="shared" si="13909"/>
        <v>Shamokin</v>
      </c>
    </row>
    <row r="13912" spans="1:5">
      <c r="A13912" s="3" t="s">
        <v>25144</v>
      </c>
      <c r="B13912" s="110" t="s">
        <v>1364</v>
      </c>
      <c r="C13912" s="111" t="s">
        <v>25145</v>
      </c>
      <c r="D13912" s="111" t="str">
        <f t="shared" ref="D13912:E13912" si="13910">TRIM(B13912)</f>
        <v>Pennsylvania</v>
      </c>
      <c r="E13912" s="111" t="str">
        <f t="shared" si="13910"/>
        <v>Shanksville</v>
      </c>
    </row>
    <row r="13913" spans="1:5">
      <c r="A13913" s="3" t="s">
        <v>16826</v>
      </c>
      <c r="B13913" s="110" t="s">
        <v>1364</v>
      </c>
      <c r="C13913" s="111" t="s">
        <v>428</v>
      </c>
      <c r="D13913" s="111" t="str">
        <f t="shared" ref="D13913:E13913" si="13911">TRIM(B13913)</f>
        <v>Pennsylvania</v>
      </c>
      <c r="E13913" s="111" t="str">
        <f t="shared" si="13911"/>
        <v>Sharon</v>
      </c>
    </row>
    <row r="13914" spans="1:5">
      <c r="A13914" s="3" t="s">
        <v>25146</v>
      </c>
      <c r="B13914" s="110" t="s">
        <v>1364</v>
      </c>
      <c r="C13914" s="111" t="s">
        <v>25147</v>
      </c>
      <c r="D13914" s="111" t="str">
        <f t="shared" ref="D13914:E13914" si="13912">TRIM(B13914)</f>
        <v>Pennsylvania</v>
      </c>
      <c r="E13914" s="111" t="str">
        <f t="shared" si="13912"/>
        <v>Sharon Hill</v>
      </c>
    </row>
    <row r="13915" spans="1:5">
      <c r="A13915" s="3" t="s">
        <v>25148</v>
      </c>
      <c r="B13915" s="110" t="s">
        <v>1364</v>
      </c>
      <c r="C13915" s="111" t="s">
        <v>14593</v>
      </c>
      <c r="D13915" s="111" t="str">
        <f t="shared" ref="D13915:E13915" si="13913">TRIM(B13915)</f>
        <v>Pennsylvania</v>
      </c>
      <c r="E13915" s="111" t="str">
        <f t="shared" si="13913"/>
        <v>Sharpsville</v>
      </c>
    </row>
    <row r="13916" spans="1:5">
      <c r="A13916" s="3" t="s">
        <v>25149</v>
      </c>
      <c r="B13916" s="110" t="s">
        <v>1364</v>
      </c>
      <c r="C13916" s="111" t="s">
        <v>2166</v>
      </c>
      <c r="D13916" s="111" t="str">
        <f t="shared" ref="D13916:E13916" si="13914">TRIM(B13916)</f>
        <v>Pennsylvania</v>
      </c>
      <c r="E13916" s="111" t="str">
        <f t="shared" si="13914"/>
        <v>Sheffield</v>
      </c>
    </row>
    <row r="13917" spans="1:5">
      <c r="A13917" s="3" t="s">
        <v>25150</v>
      </c>
      <c r="B13917" s="110" t="s">
        <v>1364</v>
      </c>
      <c r="C13917" s="111" t="s">
        <v>15047</v>
      </c>
      <c r="D13917" s="111" t="str">
        <f t="shared" ref="D13917:E13917" si="13915">TRIM(B13917)</f>
        <v>Pennsylvania</v>
      </c>
      <c r="E13917" s="111" t="str">
        <f t="shared" si="13915"/>
        <v>Shenandoah</v>
      </c>
    </row>
    <row r="13918" spans="1:5">
      <c r="A13918" s="3" t="s">
        <v>25151</v>
      </c>
      <c r="B13918" s="110" t="s">
        <v>1364</v>
      </c>
      <c r="C13918" s="111" t="s">
        <v>25152</v>
      </c>
      <c r="D13918" s="111" t="str">
        <f t="shared" ref="D13918:E13918" si="13916">TRIM(B13918)</f>
        <v>Pennsylvania</v>
      </c>
      <c r="E13918" s="111" t="str">
        <f t="shared" si="13916"/>
        <v>Shickshinny</v>
      </c>
    </row>
    <row r="13919" spans="1:5">
      <c r="A13919" s="3" t="s">
        <v>25153</v>
      </c>
      <c r="B13919" s="110" t="s">
        <v>1364</v>
      </c>
      <c r="C13919" s="111" t="s">
        <v>25154</v>
      </c>
      <c r="D13919" s="111" t="str">
        <f t="shared" ref="D13919:E13919" si="13917">TRIM(B13919)</f>
        <v>Pennsylvania</v>
      </c>
      <c r="E13919" s="111" t="str">
        <f t="shared" si="13917"/>
        <v>Shillington</v>
      </c>
    </row>
    <row r="13920" spans="1:5">
      <c r="A13920" s="3" t="s">
        <v>25155</v>
      </c>
      <c r="B13920" s="110" t="s">
        <v>1364</v>
      </c>
      <c r="C13920" s="111" t="s">
        <v>25156</v>
      </c>
      <c r="D13920" s="111" t="str">
        <f t="shared" ref="D13920:E13920" si="13918">TRIM(B13920)</f>
        <v>Pennsylvania</v>
      </c>
      <c r="E13920" s="111" t="str">
        <f t="shared" si="13918"/>
        <v>Shinglehouse</v>
      </c>
    </row>
    <row r="13921" spans="1:5">
      <c r="A13921" s="3" t="s">
        <v>25157</v>
      </c>
      <c r="B13921" s="110" t="s">
        <v>1364</v>
      </c>
      <c r="C13921" s="111" t="s">
        <v>25158</v>
      </c>
      <c r="D13921" s="111" t="str">
        <f t="shared" ref="D13921:E13921" si="13919">TRIM(B13921)</f>
        <v>Pennsylvania</v>
      </c>
      <c r="E13921" s="111" t="str">
        <f t="shared" si="13919"/>
        <v>Shippensburg</v>
      </c>
    </row>
    <row r="13922" spans="1:5">
      <c r="A13922" s="3" t="s">
        <v>25159</v>
      </c>
      <c r="B13922" s="110" t="s">
        <v>1364</v>
      </c>
      <c r="C13922" s="111" t="s">
        <v>25160</v>
      </c>
      <c r="D13922" s="111" t="str">
        <f t="shared" ref="D13922:E13922" si="13920">TRIM(B13922)</f>
        <v>Pennsylvania</v>
      </c>
      <c r="E13922" s="111" t="str">
        <f t="shared" si="13920"/>
        <v>Sidman</v>
      </c>
    </row>
    <row r="13923" spans="1:5">
      <c r="A13923" s="3" t="s">
        <v>25161</v>
      </c>
      <c r="B13923" s="110" t="s">
        <v>1364</v>
      </c>
      <c r="C13923" s="111" t="s">
        <v>25162</v>
      </c>
      <c r="D13923" s="111" t="str">
        <f t="shared" ref="D13923:E13923" si="13921">TRIM(B13923)</f>
        <v>Pennsylvania</v>
      </c>
      <c r="E13923" s="111" t="str">
        <f t="shared" si="13921"/>
        <v>Slatington</v>
      </c>
    </row>
    <row r="13924" spans="1:5">
      <c r="A13924" s="3" t="s">
        <v>25163</v>
      </c>
      <c r="B13924" s="110" t="s">
        <v>1364</v>
      </c>
      <c r="C13924" s="112" t="s">
        <v>25164</v>
      </c>
      <c r="D13924" s="111" t="str">
        <f t="shared" ref="D13924:E13924" si="13922">TRIM(B13924)</f>
        <v>Pennsylvania</v>
      </c>
      <c r="E13924" s="111" t="str">
        <f t="shared" si="13922"/>
        <v>Slippery Rock</v>
      </c>
    </row>
    <row r="13925" spans="1:5">
      <c r="A13925" s="3" t="s">
        <v>25165</v>
      </c>
      <c r="B13925" s="110" t="s">
        <v>1364</v>
      </c>
      <c r="C13925" s="111" t="s">
        <v>25166</v>
      </c>
      <c r="D13925" s="111" t="str">
        <f t="shared" ref="D13925:E13925" si="13923">TRIM(B13925)</f>
        <v>Pennsylvania</v>
      </c>
      <c r="E13925" s="111" t="str">
        <f t="shared" si="13923"/>
        <v>Smethport</v>
      </c>
    </row>
    <row r="13926" spans="1:5">
      <c r="A13926" s="3" t="s">
        <v>25167</v>
      </c>
      <c r="B13926" s="110" t="s">
        <v>1364</v>
      </c>
      <c r="C13926" s="111" t="s">
        <v>1068</v>
      </c>
      <c r="D13926" s="111" t="str">
        <f t="shared" ref="D13926:E13926" si="13924">TRIM(B13926)</f>
        <v>Pennsylvania</v>
      </c>
      <c r="E13926" s="111" t="str">
        <f t="shared" si="13924"/>
        <v>Somerset</v>
      </c>
    </row>
    <row r="13927" spans="1:5">
      <c r="A13927" s="3" t="s">
        <v>25168</v>
      </c>
      <c r="B13927" s="110" t="s">
        <v>1364</v>
      </c>
      <c r="C13927" s="111" t="s">
        <v>25169</v>
      </c>
      <c r="D13927" s="111" t="str">
        <f t="shared" ref="D13927:E13927" si="13925">TRIM(B13927)</f>
        <v>Pennsylvania</v>
      </c>
      <c r="E13927" s="111" t="str">
        <f t="shared" si="13925"/>
        <v>Souderton</v>
      </c>
    </row>
    <row r="13928" spans="1:5">
      <c r="A13928" s="3" t="s">
        <v>25170</v>
      </c>
      <c r="B13928" s="110" t="s">
        <v>1364</v>
      </c>
      <c r="C13928" s="111" t="s">
        <v>25171</v>
      </c>
      <c r="D13928" s="111" t="str">
        <f t="shared" ref="D13928:E13928" si="13926">TRIM(B13928)</f>
        <v>Pennsylvania</v>
      </c>
      <c r="E13928" s="111" t="str">
        <f t="shared" si="13926"/>
        <v>South Park</v>
      </c>
    </row>
    <row r="13929" spans="1:5">
      <c r="A13929" s="3" t="s">
        <v>25172</v>
      </c>
      <c r="B13929" s="110" t="s">
        <v>1364</v>
      </c>
      <c r="C13929" s="113" t="s">
        <v>25173</v>
      </c>
      <c r="D13929" s="111" t="str">
        <f t="shared" ref="D13929:E13929" si="13927">TRIM(B13929)</f>
        <v>Pennsylvania</v>
      </c>
      <c r="E13929" s="111" t="str">
        <f t="shared" si="13927"/>
        <v>South Williamsport</v>
      </c>
    </row>
    <row r="13930" spans="1:5">
      <c r="A13930" s="3" t="s">
        <v>25174</v>
      </c>
      <c r="B13930" s="110" t="s">
        <v>1364</v>
      </c>
      <c r="C13930" s="111" t="s">
        <v>25175</v>
      </c>
      <c r="D13930" s="111" t="str">
        <f t="shared" ref="D13930:E13930" si="13928">TRIM(B13930)</f>
        <v>Pennsylvania</v>
      </c>
      <c r="E13930" s="111" t="str">
        <f t="shared" si="13928"/>
        <v>Spring Church</v>
      </c>
    </row>
    <row r="13931" spans="1:5">
      <c r="A13931" s="3" t="s">
        <v>25176</v>
      </c>
      <c r="B13931" s="110" t="s">
        <v>1364</v>
      </c>
      <c r="C13931" s="111" t="s">
        <v>13056</v>
      </c>
      <c r="D13931" s="111" t="str">
        <f t="shared" ref="D13931:E13931" si="13929">TRIM(B13931)</f>
        <v>Pennsylvania</v>
      </c>
      <c r="E13931" s="111" t="str">
        <f t="shared" si="13929"/>
        <v>Spring Grove</v>
      </c>
    </row>
    <row r="13932" spans="1:5">
      <c r="A13932" s="3" t="s">
        <v>25177</v>
      </c>
      <c r="B13932" s="110" t="s">
        <v>1364</v>
      </c>
      <c r="C13932" s="111" t="s">
        <v>25178</v>
      </c>
      <c r="D13932" s="111" t="str">
        <f t="shared" ref="D13932:E13932" si="13930">TRIM(B13932)</f>
        <v>Pennsylvania</v>
      </c>
      <c r="E13932" s="111" t="str">
        <f t="shared" si="13930"/>
        <v>Spring Mills</v>
      </c>
    </row>
    <row r="13933" spans="1:5">
      <c r="A13933" s="3" t="s">
        <v>25179</v>
      </c>
      <c r="B13933" s="110" t="s">
        <v>1364</v>
      </c>
      <c r="C13933" s="111" t="s">
        <v>4207</v>
      </c>
      <c r="D13933" s="111" t="str">
        <f t="shared" ref="D13933:E13933" si="13931">TRIM(B13933)</f>
        <v>Pennsylvania</v>
      </c>
      <c r="E13933" s="111" t="str">
        <f t="shared" si="13931"/>
        <v>Springdale</v>
      </c>
    </row>
    <row r="13934" spans="1:5">
      <c r="A13934" s="3" t="s">
        <v>13829</v>
      </c>
      <c r="B13934" s="110" t="s">
        <v>1364</v>
      </c>
      <c r="C13934" s="111" t="s">
        <v>416</v>
      </c>
      <c r="D13934" s="111" t="str">
        <f t="shared" ref="D13934:E13934" si="13932">TRIM(B13934)</f>
        <v>Pennsylvania</v>
      </c>
      <c r="E13934" s="111" t="str">
        <f t="shared" si="13932"/>
        <v>Springfield</v>
      </c>
    </row>
    <row r="13935" spans="1:5">
      <c r="A13935" s="3" t="s">
        <v>25180</v>
      </c>
      <c r="B13935" s="110" t="s">
        <v>1364</v>
      </c>
      <c r="C13935" s="111" t="s">
        <v>411</v>
      </c>
      <c r="D13935" s="111" t="str">
        <f t="shared" ref="D13935:E13935" si="13933">TRIM(B13935)</f>
        <v>Pennsylvania</v>
      </c>
      <c r="E13935" s="111" t="str">
        <f t="shared" si="13933"/>
        <v>Springville</v>
      </c>
    </row>
    <row r="13936" spans="1:5">
      <c r="A13936" s="3" t="s">
        <v>25181</v>
      </c>
      <c r="B13936" s="110" t="s">
        <v>1364</v>
      </c>
      <c r="C13936" s="111" t="s">
        <v>25182</v>
      </c>
      <c r="D13936" s="111" t="str">
        <f t="shared" ref="D13936:E13936" si="13934">TRIM(B13936)</f>
        <v>Pennsylvania</v>
      </c>
      <c r="E13936" s="111" t="str">
        <f t="shared" si="13934"/>
        <v>State College</v>
      </c>
    </row>
    <row r="13937" spans="1:5">
      <c r="A13937" s="3" t="s">
        <v>25183</v>
      </c>
      <c r="B13937" s="110" t="s">
        <v>1364</v>
      </c>
      <c r="C13937" s="111" t="s">
        <v>25184</v>
      </c>
      <c r="D13937" s="111" t="str">
        <f t="shared" ref="D13937:E13937" si="13935">TRIM(B13937)</f>
        <v>Pennsylvania</v>
      </c>
      <c r="E13937" s="111" t="str">
        <f t="shared" si="13935"/>
        <v>Steelton</v>
      </c>
    </row>
    <row r="13938" spans="1:5">
      <c r="A13938" s="3" t="s">
        <v>16963</v>
      </c>
      <c r="B13938" s="110" t="s">
        <v>1364</v>
      </c>
      <c r="C13938" s="111" t="s">
        <v>25185</v>
      </c>
      <c r="D13938" s="111" t="str">
        <f t="shared" ref="D13938:E13938" si="13936">TRIM(B13938)</f>
        <v>Pennsylvania</v>
      </c>
      <c r="E13938" s="111" t="str">
        <f t="shared" si="13936"/>
        <v>Stoneboro</v>
      </c>
    </row>
    <row r="13939" spans="1:5">
      <c r="A13939" s="3" t="s">
        <v>25186</v>
      </c>
      <c r="B13939" s="110" t="s">
        <v>1364</v>
      </c>
      <c r="C13939" s="111" t="s">
        <v>25187</v>
      </c>
      <c r="D13939" s="111" t="str">
        <f t="shared" ref="D13939:E13939" si="13937">TRIM(B13939)</f>
        <v>Pennsylvania</v>
      </c>
      <c r="E13939" s="111" t="str">
        <f t="shared" si="13937"/>
        <v>Strattanville</v>
      </c>
    </row>
    <row r="13940" spans="1:5">
      <c r="A13940" s="3" t="s">
        <v>25188</v>
      </c>
      <c r="B13940" s="110" t="s">
        <v>1364</v>
      </c>
      <c r="C13940" s="111" t="s">
        <v>25189</v>
      </c>
      <c r="D13940" s="111" t="str">
        <f t="shared" ref="D13940:E13940" si="13938">TRIM(B13940)</f>
        <v>Pennsylvania</v>
      </c>
      <c r="E13940" s="111" t="str">
        <f t="shared" si="13938"/>
        <v>Stroudsburg</v>
      </c>
    </row>
    <row r="13941" spans="1:5">
      <c r="A13941" s="3" t="s">
        <v>25190</v>
      </c>
      <c r="B13941" s="110" t="s">
        <v>1364</v>
      </c>
      <c r="C13941" s="111" t="s">
        <v>23478</v>
      </c>
      <c r="D13941" s="111" t="str">
        <f t="shared" ref="D13941:E13941" si="13939">TRIM(B13941)</f>
        <v>Pennsylvania</v>
      </c>
      <c r="E13941" s="111" t="str">
        <f t="shared" si="13939"/>
        <v>Sunbury</v>
      </c>
    </row>
    <row r="13942" spans="1:5">
      <c r="A13942" s="3" t="s">
        <v>25191</v>
      </c>
      <c r="B13942" s="110" t="s">
        <v>1364</v>
      </c>
      <c r="C13942" s="111" t="s">
        <v>25192</v>
      </c>
      <c r="D13942" s="111" t="str">
        <f t="shared" ref="D13942:E13942" si="13940">TRIM(B13942)</f>
        <v>Pennsylvania</v>
      </c>
      <c r="E13942" s="111" t="str">
        <f t="shared" si="13940"/>
        <v>Susquehanna</v>
      </c>
    </row>
    <row r="13943" spans="1:5">
      <c r="A13943" s="3" t="s">
        <v>25193</v>
      </c>
      <c r="B13943" s="110" t="s">
        <v>1364</v>
      </c>
      <c r="C13943" s="112" t="s">
        <v>25194</v>
      </c>
      <c r="D13943" s="111" t="str">
        <f t="shared" ref="D13943:E13943" si="13941">TRIM(B13943)</f>
        <v>Pennsylvania</v>
      </c>
      <c r="E13943" s="111" t="str">
        <f t="shared" si="13941"/>
        <v>Swiftwater</v>
      </c>
    </row>
    <row r="13944" spans="1:5">
      <c r="A13944" s="3" t="s">
        <v>25195</v>
      </c>
      <c r="B13944" s="110" t="s">
        <v>1364</v>
      </c>
      <c r="C13944" s="111" t="s">
        <v>25196</v>
      </c>
      <c r="D13944" s="111" t="str">
        <f t="shared" ref="D13944:E13944" si="13942">TRIM(B13944)</f>
        <v>Pennsylvania</v>
      </c>
      <c r="E13944" s="111" t="str">
        <f t="shared" si="13942"/>
        <v>Tamaqua</v>
      </c>
    </row>
    <row r="13945" spans="1:5">
      <c r="A13945" s="3" t="s">
        <v>25197</v>
      </c>
      <c r="B13945" s="110" t="s">
        <v>1364</v>
      </c>
      <c r="C13945" s="111" t="s">
        <v>3301</v>
      </c>
      <c r="D13945" s="111" t="str">
        <f t="shared" ref="D13945:E13945" si="13943">TRIM(B13945)</f>
        <v>Pennsylvania</v>
      </c>
      <c r="E13945" s="111" t="str">
        <f t="shared" si="13943"/>
        <v>Taylor</v>
      </c>
    </row>
    <row r="13946" spans="1:5">
      <c r="A13946" s="3" t="s">
        <v>25198</v>
      </c>
      <c r="B13946" s="110" t="s">
        <v>1364</v>
      </c>
      <c r="C13946" s="111" t="s">
        <v>25199</v>
      </c>
      <c r="D13946" s="111" t="str">
        <f t="shared" ref="D13946:E13946" si="13944">TRIM(B13946)</f>
        <v>Pennsylvania</v>
      </c>
      <c r="E13946" s="111" t="str">
        <f t="shared" si="13944"/>
        <v>Three Springs</v>
      </c>
    </row>
    <row r="13947" spans="1:5">
      <c r="A13947" s="110" t="s">
        <v>25200</v>
      </c>
      <c r="B13947" s="110" t="s">
        <v>1364</v>
      </c>
      <c r="C13947" s="111" t="s">
        <v>25201</v>
      </c>
      <c r="D13947" s="111" t="str">
        <f t="shared" ref="D13947:E13947" si="13945">TRIM(B13947)</f>
        <v>Pennsylvania</v>
      </c>
      <c r="E13947" s="111" t="str">
        <f t="shared" si="13945"/>
        <v>Throop</v>
      </c>
    </row>
    <row r="13948" spans="1:5">
      <c r="A13948" s="3" t="s">
        <v>25202</v>
      </c>
      <c r="B13948" s="110" t="s">
        <v>1364</v>
      </c>
      <c r="C13948" s="111" t="s">
        <v>16138</v>
      </c>
      <c r="D13948" s="111" t="str">
        <f t="shared" ref="D13948:E13948" si="13946">TRIM(B13948)</f>
        <v>Pennsylvania</v>
      </c>
      <c r="E13948" s="111" t="str">
        <f t="shared" si="13946"/>
        <v>Tioga</v>
      </c>
    </row>
    <row r="13949" spans="1:5">
      <c r="A13949" s="3" t="s">
        <v>25203</v>
      </c>
      <c r="B13949" s="110" t="s">
        <v>1364</v>
      </c>
      <c r="C13949" s="111" t="s">
        <v>25204</v>
      </c>
      <c r="D13949" s="111" t="str">
        <f t="shared" ref="D13949:E13949" si="13947">TRIM(B13949)</f>
        <v>Pennsylvania</v>
      </c>
      <c r="E13949" s="111" t="str">
        <f t="shared" si="13947"/>
        <v>Tionesta</v>
      </c>
    </row>
    <row r="13950" spans="1:5">
      <c r="A13950" s="3" t="s">
        <v>25205</v>
      </c>
      <c r="B13950" s="110" t="s">
        <v>1364</v>
      </c>
      <c r="C13950" s="111" t="s">
        <v>25204</v>
      </c>
      <c r="D13950" s="111" t="str">
        <f t="shared" ref="D13950:E13950" si="13948">TRIM(B13950)</f>
        <v>Pennsylvania</v>
      </c>
      <c r="E13950" s="111" t="str">
        <f t="shared" si="13948"/>
        <v>Tionesta</v>
      </c>
    </row>
    <row r="13951" spans="1:5">
      <c r="A13951" s="3" t="s">
        <v>25206</v>
      </c>
      <c r="B13951" s="110" t="s">
        <v>1364</v>
      </c>
      <c r="C13951" s="111" t="s">
        <v>10188</v>
      </c>
      <c r="D13951" s="111" t="str">
        <f t="shared" ref="D13951:E13951" si="13949">TRIM(B13951)</f>
        <v>Pennsylvania</v>
      </c>
      <c r="E13951" s="111" t="str">
        <f t="shared" si="13949"/>
        <v>Titusville</v>
      </c>
    </row>
    <row r="13952" spans="1:5">
      <c r="A13952" s="3" t="s">
        <v>25207</v>
      </c>
      <c r="B13952" s="110" t="s">
        <v>1364</v>
      </c>
      <c r="C13952" s="111" t="s">
        <v>25208</v>
      </c>
      <c r="D13952" s="111" t="str">
        <f t="shared" ref="D13952:E13952" si="13950">TRIM(B13952)</f>
        <v>Pennsylvania</v>
      </c>
      <c r="E13952" s="111" t="str">
        <f t="shared" si="13950"/>
        <v>Topton</v>
      </c>
    </row>
    <row r="13953" spans="1:5">
      <c r="A13953" s="3" t="s">
        <v>25209</v>
      </c>
      <c r="B13953" s="110" t="s">
        <v>1364</v>
      </c>
      <c r="C13953" s="111" t="s">
        <v>15555</v>
      </c>
      <c r="D13953" s="111" t="str">
        <f t="shared" ref="D13953:E13953" si="13951">TRIM(B13953)</f>
        <v>Pennsylvania</v>
      </c>
      <c r="E13953" s="111" t="str">
        <f t="shared" si="13951"/>
        <v>Towanda</v>
      </c>
    </row>
    <row r="13954" spans="1:5">
      <c r="A13954" s="3" t="s">
        <v>25210</v>
      </c>
      <c r="B13954" s="110" t="s">
        <v>1364</v>
      </c>
      <c r="C13954" s="111" t="s">
        <v>22735</v>
      </c>
      <c r="D13954" s="111" t="str">
        <f t="shared" ref="D13954:E13954" si="13952">TRIM(B13954)</f>
        <v>Pennsylvania</v>
      </c>
      <c r="E13954" s="111" t="str">
        <f t="shared" si="13952"/>
        <v>Tower City</v>
      </c>
    </row>
    <row r="13955" spans="1:5">
      <c r="A13955" s="3" t="s">
        <v>25211</v>
      </c>
      <c r="B13955" s="110" t="s">
        <v>1364</v>
      </c>
      <c r="C13955" s="111" t="s">
        <v>2228</v>
      </c>
      <c r="D13955" s="111" t="str">
        <f t="shared" ref="D13955:E13955" si="13953">TRIM(B13955)</f>
        <v>Pennsylvania</v>
      </c>
      <c r="E13955" s="111" t="str">
        <f t="shared" si="13953"/>
        <v>Troy</v>
      </c>
    </row>
    <row r="13956" spans="1:5">
      <c r="A13956" s="3" t="s">
        <v>25212</v>
      </c>
      <c r="B13956" s="110" t="s">
        <v>1364</v>
      </c>
      <c r="C13956" s="111" t="s">
        <v>13042</v>
      </c>
      <c r="D13956" s="111" t="str">
        <f t="shared" ref="D13956:E13956" si="13954">TRIM(B13956)</f>
        <v>Pennsylvania</v>
      </c>
      <c r="E13956" s="111" t="str">
        <f t="shared" si="13954"/>
        <v>Tunkhannock</v>
      </c>
    </row>
    <row r="13957" spans="1:5">
      <c r="A13957" s="3" t="s">
        <v>25213</v>
      </c>
      <c r="B13957" s="110" t="s">
        <v>1364</v>
      </c>
      <c r="C13957" s="111" t="s">
        <v>25214</v>
      </c>
      <c r="D13957" s="111" t="str">
        <f t="shared" ref="D13957:E13957" si="13955">TRIM(B13957)</f>
        <v>Pennsylvania</v>
      </c>
      <c r="E13957" s="111" t="str">
        <f t="shared" si="13955"/>
        <v>Turbotville</v>
      </c>
    </row>
    <row r="13958" spans="1:5">
      <c r="A13958" s="3" t="s">
        <v>25215</v>
      </c>
      <c r="B13958" s="110" t="s">
        <v>1364</v>
      </c>
      <c r="C13958" s="111" t="s">
        <v>11385</v>
      </c>
      <c r="D13958" s="111" t="str">
        <f t="shared" ref="D13958:E13958" si="13956">TRIM(B13958)</f>
        <v>Pennsylvania</v>
      </c>
      <c r="E13958" s="111" t="str">
        <f t="shared" si="13956"/>
        <v>Tyrone</v>
      </c>
    </row>
    <row r="13959" spans="1:5">
      <c r="A13959" s="3" t="s">
        <v>25216</v>
      </c>
      <c r="B13959" s="110" t="s">
        <v>1364</v>
      </c>
      <c r="C13959" s="111" t="s">
        <v>15562</v>
      </c>
      <c r="D13959" s="111" t="str">
        <f t="shared" ref="D13959:E13959" si="13957">TRIM(B13959)</f>
        <v>Pennsylvania</v>
      </c>
      <c r="E13959" s="111" t="str">
        <f t="shared" si="13957"/>
        <v>Ulysses</v>
      </c>
    </row>
    <row r="13960" spans="1:5">
      <c r="A13960" s="3" t="s">
        <v>17637</v>
      </c>
      <c r="B13960" s="110" t="s">
        <v>1364</v>
      </c>
      <c r="C13960" s="111" t="s">
        <v>7340</v>
      </c>
      <c r="D13960" s="111" t="str">
        <f t="shared" ref="D13960:E13960" si="13958">TRIM(B13960)</f>
        <v>Pennsylvania</v>
      </c>
      <c r="E13960" s="111" t="str">
        <f t="shared" si="13958"/>
        <v>Union City</v>
      </c>
    </row>
    <row r="13961" spans="1:5">
      <c r="A13961" s="3" t="s">
        <v>25217</v>
      </c>
      <c r="B13961" s="110" t="s">
        <v>1364</v>
      </c>
      <c r="C13961" s="111" t="s">
        <v>15564</v>
      </c>
      <c r="D13961" s="111" t="str">
        <f t="shared" ref="D13961:E13961" si="13959">TRIM(B13961)</f>
        <v>Pennsylvania</v>
      </c>
      <c r="E13961" s="111" t="str">
        <f t="shared" si="13959"/>
        <v>Uniontown</v>
      </c>
    </row>
    <row r="13962" spans="1:5">
      <c r="A13962" s="3" t="s">
        <v>25218</v>
      </c>
      <c r="B13962" s="110" t="s">
        <v>1364</v>
      </c>
      <c r="C13962" s="111" t="s">
        <v>15564</v>
      </c>
      <c r="D13962" s="111" t="str">
        <f t="shared" ref="D13962:E13962" si="13960">TRIM(B13962)</f>
        <v>Pennsylvania</v>
      </c>
      <c r="E13962" s="111" t="str">
        <f t="shared" si="13960"/>
        <v>Uniontown</v>
      </c>
    </row>
    <row r="13963" spans="1:5">
      <c r="A13963" s="3" t="s">
        <v>25219</v>
      </c>
      <c r="B13963" s="110" t="s">
        <v>1364</v>
      </c>
      <c r="C13963" s="111" t="s">
        <v>15564</v>
      </c>
      <c r="D13963" s="111" t="str">
        <f t="shared" ref="D13963:E13963" si="13961">TRIM(B13963)</f>
        <v>Pennsylvania</v>
      </c>
      <c r="E13963" s="111" t="str">
        <f t="shared" si="13961"/>
        <v>Uniontown</v>
      </c>
    </row>
    <row r="13964" spans="1:5">
      <c r="A13964" s="3" t="s">
        <v>25220</v>
      </c>
      <c r="B13964" s="110" t="s">
        <v>1364</v>
      </c>
      <c r="C13964" s="111" t="s">
        <v>25221</v>
      </c>
      <c r="D13964" s="111" t="str">
        <f t="shared" ref="D13964:E13964" si="13962">TRIM(B13964)</f>
        <v>Pennsylvania</v>
      </c>
      <c r="E13964" s="111" t="str">
        <f t="shared" si="13962"/>
        <v>Vandergrift</v>
      </c>
    </row>
    <row r="13965" spans="1:5">
      <c r="A13965" s="3" t="s">
        <v>25222</v>
      </c>
      <c r="B13965" s="110" t="s">
        <v>1364</v>
      </c>
      <c r="C13965" s="111" t="s">
        <v>8716</v>
      </c>
      <c r="D13965" s="111" t="str">
        <f t="shared" ref="D13965:E13965" si="13963">TRIM(B13965)</f>
        <v>Pennsylvania</v>
      </c>
      <c r="E13965" s="111" t="str">
        <f t="shared" si="13963"/>
        <v>Wallingford</v>
      </c>
    </row>
    <row r="13966" spans="1:5">
      <c r="A13966" s="3" t="s">
        <v>25223</v>
      </c>
      <c r="B13966" s="110" t="s">
        <v>1364</v>
      </c>
      <c r="C13966" s="111" t="s">
        <v>25224</v>
      </c>
      <c r="D13966" s="111" t="str">
        <f t="shared" ref="D13966:E13966" si="13964">TRIM(B13966)</f>
        <v>Pennsylvania</v>
      </c>
      <c r="E13966" s="111" t="str">
        <f t="shared" si="13964"/>
        <v>Warfordsburg</v>
      </c>
    </row>
    <row r="13967" spans="1:5">
      <c r="A13967" s="3" t="s">
        <v>25225</v>
      </c>
      <c r="B13967" s="110" t="s">
        <v>1364</v>
      </c>
      <c r="C13967" s="111" t="s">
        <v>869</v>
      </c>
      <c r="D13967" s="111" t="str">
        <f t="shared" ref="D13967:E13967" si="13965">TRIM(B13967)</f>
        <v>Pennsylvania</v>
      </c>
      <c r="E13967" s="111" t="str">
        <f t="shared" si="13965"/>
        <v>Warminster</v>
      </c>
    </row>
    <row r="13968" spans="1:5">
      <c r="A13968" s="3" t="s">
        <v>25226</v>
      </c>
      <c r="B13968" s="110" t="s">
        <v>1364</v>
      </c>
      <c r="C13968" s="111" t="s">
        <v>4265</v>
      </c>
      <c r="D13968" s="111" t="str">
        <f t="shared" ref="D13968:E13968" si="13966">TRIM(B13968)</f>
        <v>Pennsylvania</v>
      </c>
      <c r="E13968" s="111" t="str">
        <f t="shared" si="13966"/>
        <v>Warren</v>
      </c>
    </row>
    <row r="13969" spans="1:5">
      <c r="A13969" s="3" t="s">
        <v>25227</v>
      </c>
      <c r="B13969" s="110" t="s">
        <v>1364</v>
      </c>
      <c r="C13969" s="111" t="s">
        <v>25228</v>
      </c>
      <c r="D13969" s="111" t="str">
        <f t="shared" ref="D13969:E13969" si="13967">TRIM(B13969)</f>
        <v>Pennsylvania</v>
      </c>
      <c r="E13969" s="111" t="str">
        <f t="shared" si="13967"/>
        <v>Warrington</v>
      </c>
    </row>
    <row r="13970" spans="1:5">
      <c r="A13970" s="3" t="s">
        <v>25229</v>
      </c>
      <c r="B13970" s="110" t="s">
        <v>1364</v>
      </c>
      <c r="C13970" s="111" t="s">
        <v>276</v>
      </c>
      <c r="D13970" s="111" t="str">
        <f t="shared" ref="D13970:E13970" si="13968">TRIM(B13970)</f>
        <v>Pennsylvania</v>
      </c>
      <c r="E13970" s="111" t="str">
        <f t="shared" si="13968"/>
        <v>Washington</v>
      </c>
    </row>
    <row r="13971" spans="1:5">
      <c r="A13971" s="3" t="s">
        <v>3140</v>
      </c>
      <c r="B13971" s="110" t="s">
        <v>1364</v>
      </c>
      <c r="C13971" s="111" t="s">
        <v>276</v>
      </c>
      <c r="D13971" s="111" t="str">
        <f t="shared" ref="D13971:E13971" si="13969">TRIM(B13971)</f>
        <v>Pennsylvania</v>
      </c>
      <c r="E13971" s="111" t="str">
        <f t="shared" si="13969"/>
        <v>Washington</v>
      </c>
    </row>
    <row r="13972" spans="1:5">
      <c r="A13972" s="3" t="s">
        <v>25230</v>
      </c>
      <c r="B13972" s="110" t="s">
        <v>1364</v>
      </c>
      <c r="C13972" s="111" t="s">
        <v>25231</v>
      </c>
      <c r="D13972" s="111" t="str">
        <f t="shared" ref="D13972:E13972" si="13970">TRIM(B13972)</f>
        <v>Pennsylvania</v>
      </c>
      <c r="E13972" s="111" t="str">
        <f t="shared" si="13970"/>
        <v>Waterfall</v>
      </c>
    </row>
    <row r="13973" spans="1:5">
      <c r="A13973" s="3" t="s">
        <v>25232</v>
      </c>
      <c r="B13973" s="110" t="s">
        <v>1364</v>
      </c>
      <c r="C13973" s="111" t="s">
        <v>334</v>
      </c>
      <c r="D13973" s="111" t="str">
        <f t="shared" ref="D13973:E13973" si="13971">TRIM(B13973)</f>
        <v>Pennsylvania</v>
      </c>
      <c r="E13973" s="111" t="str">
        <f t="shared" si="13971"/>
        <v>Waterford</v>
      </c>
    </row>
    <row r="13974" spans="1:5">
      <c r="A13974" s="3" t="s">
        <v>25233</v>
      </c>
      <c r="B13974" s="110" t="s">
        <v>1364</v>
      </c>
      <c r="C13974" s="111" t="s">
        <v>10314</v>
      </c>
      <c r="D13974" s="111" t="str">
        <f t="shared" ref="D13974:E13974" si="13972">TRIM(B13974)</f>
        <v>Pennsylvania</v>
      </c>
      <c r="E13974" s="111" t="str">
        <f t="shared" si="13972"/>
        <v>Waynesboro</v>
      </c>
    </row>
    <row r="13975" spans="1:5">
      <c r="A13975" s="3" t="s">
        <v>25234</v>
      </c>
      <c r="B13975" s="110" t="s">
        <v>1364</v>
      </c>
      <c r="C13975" s="111" t="s">
        <v>25235</v>
      </c>
      <c r="D13975" s="111" t="str">
        <f t="shared" ref="D13975:E13975" si="13973">TRIM(B13975)</f>
        <v>Pennsylvania</v>
      </c>
      <c r="E13975" s="111" t="str">
        <f t="shared" si="13973"/>
        <v>Waynesburg</v>
      </c>
    </row>
    <row r="13976" spans="1:5">
      <c r="A13976" s="3" t="s">
        <v>25236</v>
      </c>
      <c r="B13976" s="110" t="s">
        <v>1364</v>
      </c>
      <c r="C13976" s="111" t="s">
        <v>25235</v>
      </c>
      <c r="D13976" s="111" t="str">
        <f t="shared" ref="D13976:E13976" si="13974">TRIM(B13976)</f>
        <v>Pennsylvania</v>
      </c>
      <c r="E13976" s="111" t="str">
        <f t="shared" si="13974"/>
        <v>Waynesburg</v>
      </c>
    </row>
    <row r="13977" spans="1:5">
      <c r="A13977" s="3" t="s">
        <v>25237</v>
      </c>
      <c r="B13977" s="110" t="s">
        <v>1364</v>
      </c>
      <c r="C13977" s="111" t="s">
        <v>25238</v>
      </c>
      <c r="D13977" s="111" t="str">
        <f t="shared" ref="D13977:E13977" si="13975">TRIM(B13977)</f>
        <v>Pennsylvania</v>
      </c>
      <c r="E13977" s="111" t="str">
        <f t="shared" si="13975"/>
        <v>Weatherly</v>
      </c>
    </row>
    <row r="13978" spans="1:5">
      <c r="A13978" s="3" t="s">
        <v>25239</v>
      </c>
      <c r="B13978" s="110" t="s">
        <v>1364</v>
      </c>
      <c r="C13978" s="111" t="s">
        <v>25240</v>
      </c>
      <c r="D13978" s="111" t="str">
        <f t="shared" ref="D13978:E13978" si="13976">TRIM(B13978)</f>
        <v>Pennsylvania</v>
      </c>
      <c r="E13978" s="111" t="str">
        <f t="shared" si="13976"/>
        <v>Wellsboro</v>
      </c>
    </row>
    <row r="13979" spans="1:5">
      <c r="A13979" s="3" t="s">
        <v>25241</v>
      </c>
      <c r="B13979" s="110" t="s">
        <v>1364</v>
      </c>
      <c r="C13979" s="111" t="s">
        <v>1263</v>
      </c>
      <c r="D13979" s="111" t="str">
        <f t="shared" ref="D13979:E13979" si="13977">TRIM(B13979)</f>
        <v>Pennsylvania</v>
      </c>
      <c r="E13979" s="111" t="str">
        <f t="shared" si="13977"/>
        <v>West Chester</v>
      </c>
    </row>
    <row r="13980" spans="1:5">
      <c r="A13980" s="3" t="s">
        <v>25242</v>
      </c>
      <c r="B13980" s="110" t="s">
        <v>1364</v>
      </c>
      <c r="C13980" s="111" t="s">
        <v>1263</v>
      </c>
      <c r="D13980" s="111" t="str">
        <f t="shared" ref="D13980:E13980" si="13978">TRIM(B13980)</f>
        <v>Pennsylvania</v>
      </c>
      <c r="E13980" s="111" t="str">
        <f t="shared" si="13978"/>
        <v>West Chester</v>
      </c>
    </row>
    <row r="13981" spans="1:5">
      <c r="A13981" s="3" t="s">
        <v>25243</v>
      </c>
      <c r="B13981" s="110" t="s">
        <v>1364</v>
      </c>
      <c r="C13981" s="111" t="s">
        <v>1263</v>
      </c>
      <c r="D13981" s="111" t="str">
        <f t="shared" ref="D13981:E13981" si="13979">TRIM(B13981)</f>
        <v>Pennsylvania</v>
      </c>
      <c r="E13981" s="111" t="str">
        <f t="shared" si="13979"/>
        <v>West Chester</v>
      </c>
    </row>
    <row r="13982" spans="1:5">
      <c r="A13982" s="3" t="s">
        <v>25244</v>
      </c>
      <c r="B13982" s="110" t="s">
        <v>1364</v>
      </c>
      <c r="C13982" s="111" t="s">
        <v>25245</v>
      </c>
      <c r="D13982" s="111" t="str">
        <f t="shared" ref="D13982:E13982" si="13980">TRIM(B13982)</f>
        <v>Pennsylvania</v>
      </c>
      <c r="E13982" s="111" t="str">
        <f t="shared" si="13980"/>
        <v>West Grove</v>
      </c>
    </row>
    <row r="13983" spans="1:5">
      <c r="A13983" s="3" t="s">
        <v>5567</v>
      </c>
      <c r="B13983" s="110" t="s">
        <v>1364</v>
      </c>
      <c r="C13983" s="111" t="s">
        <v>25246</v>
      </c>
      <c r="D13983" s="111" t="str">
        <f t="shared" ref="D13983:E13983" si="13981">TRIM(B13983)</f>
        <v>Pennsylvania</v>
      </c>
      <c r="E13983" s="111" t="str">
        <f t="shared" si="13981"/>
        <v>West Lawn</v>
      </c>
    </row>
    <row r="13984" spans="1:5">
      <c r="A13984" s="3" t="s">
        <v>25247</v>
      </c>
      <c r="B13984" s="110" t="s">
        <v>1364</v>
      </c>
      <c r="C13984" s="111" t="s">
        <v>25248</v>
      </c>
      <c r="D13984" s="111" t="str">
        <f t="shared" ref="D13984:E13984" si="13982">TRIM(B13984)</f>
        <v>Pennsylvania</v>
      </c>
      <c r="E13984" s="111" t="str">
        <f t="shared" si="13982"/>
        <v>West Middlesex</v>
      </c>
    </row>
    <row r="13985" spans="1:5">
      <c r="A13985" s="3" t="s">
        <v>25249</v>
      </c>
      <c r="B13985" s="110" t="s">
        <v>1364</v>
      </c>
      <c r="C13985" s="111" t="s">
        <v>25250</v>
      </c>
      <c r="D13985" s="111" t="str">
        <f t="shared" ref="D13985:E13985" si="13983">TRIM(B13985)</f>
        <v>Pennsylvania</v>
      </c>
      <c r="E13985" s="111" t="str">
        <f t="shared" si="13983"/>
        <v>West Mifflin</v>
      </c>
    </row>
    <row r="13986" spans="1:5">
      <c r="A13986" s="3" t="s">
        <v>25251</v>
      </c>
      <c r="B13986" s="110" t="s">
        <v>1364</v>
      </c>
      <c r="C13986" s="111" t="s">
        <v>25252</v>
      </c>
      <c r="D13986" s="111" t="str">
        <f t="shared" ref="D13986:E13986" si="13984">TRIM(B13986)</f>
        <v>Pennsylvania</v>
      </c>
      <c r="E13986" s="111" t="str">
        <f t="shared" si="13984"/>
        <v>West Sunbury</v>
      </c>
    </row>
    <row r="13987" spans="1:5">
      <c r="A13987" s="3" t="s">
        <v>25253</v>
      </c>
      <c r="B13987" s="110" t="s">
        <v>1364</v>
      </c>
      <c r="C13987" s="111" t="s">
        <v>6783</v>
      </c>
      <c r="D13987" s="111" t="str">
        <f t="shared" ref="D13987:E13987" si="13985">TRIM(B13987)</f>
        <v>Pennsylvania</v>
      </c>
      <c r="E13987" s="111" t="str">
        <f t="shared" si="13985"/>
        <v>Westfield</v>
      </c>
    </row>
    <row r="13988" spans="1:5">
      <c r="A13988" s="3" t="s">
        <v>25254</v>
      </c>
      <c r="B13988" s="110" t="s">
        <v>1364</v>
      </c>
      <c r="C13988" s="111" t="s">
        <v>25255</v>
      </c>
      <c r="D13988" s="111" t="str">
        <f t="shared" ref="D13988:E13988" si="13986">TRIM(B13988)</f>
        <v>Pennsylvania</v>
      </c>
      <c r="E13988" s="111" t="str">
        <f t="shared" si="13986"/>
        <v>Westover</v>
      </c>
    </row>
    <row r="13989" spans="1:5">
      <c r="A13989" s="3" t="s">
        <v>25256</v>
      </c>
      <c r="B13989" s="110" t="s">
        <v>1364</v>
      </c>
      <c r="C13989" s="111" t="s">
        <v>25257</v>
      </c>
      <c r="D13989" s="111" t="str">
        <f t="shared" ref="D13989:E13989" si="13987">TRIM(B13989)</f>
        <v>Pennsylvania</v>
      </c>
      <c r="E13989" s="111" t="str">
        <f t="shared" si="13987"/>
        <v>Wexford</v>
      </c>
    </row>
    <row r="13990" spans="1:5">
      <c r="A13990" s="3" t="s">
        <v>19462</v>
      </c>
      <c r="B13990" s="110" t="s">
        <v>1364</v>
      </c>
      <c r="C13990" s="111" t="s">
        <v>17672</v>
      </c>
      <c r="D13990" s="111" t="str">
        <f t="shared" ref="D13990:E13990" si="13988">TRIM(B13990)</f>
        <v>Pennsylvania</v>
      </c>
      <c r="E13990" s="111" t="str">
        <f t="shared" si="13988"/>
        <v>Whitehall</v>
      </c>
    </row>
    <row r="13991" spans="1:5">
      <c r="A13991" s="3" t="s">
        <v>25258</v>
      </c>
      <c r="B13991" s="110" t="s">
        <v>1364</v>
      </c>
      <c r="C13991" s="111" t="s">
        <v>13094</v>
      </c>
      <c r="D13991" s="111" t="str">
        <f t="shared" ref="D13991:E13991" si="13989">TRIM(B13991)</f>
        <v>Pennsylvania</v>
      </c>
      <c r="E13991" s="111" t="str">
        <f t="shared" si="13989"/>
        <v>Wilkes Barre</v>
      </c>
    </row>
    <row r="13992" spans="1:5">
      <c r="A13992" s="3" t="s">
        <v>25259</v>
      </c>
      <c r="B13992" s="110" t="s">
        <v>1364</v>
      </c>
      <c r="C13992" s="111" t="s">
        <v>13094</v>
      </c>
      <c r="D13992" s="111" t="str">
        <f t="shared" ref="D13992:E13992" si="13990">TRIM(B13992)</f>
        <v>Pennsylvania</v>
      </c>
      <c r="E13992" s="111" t="str">
        <f t="shared" si="13990"/>
        <v>Wilkes Barre</v>
      </c>
    </row>
    <row r="13993" spans="1:5">
      <c r="A13993" s="3" t="s">
        <v>25260</v>
      </c>
      <c r="B13993" s="110" t="s">
        <v>1364</v>
      </c>
      <c r="C13993" s="111" t="s">
        <v>25261</v>
      </c>
      <c r="D13993" s="111" t="str">
        <f t="shared" ref="D13993:E13993" si="13991">TRIM(B13993)</f>
        <v>Pennsylvania</v>
      </c>
      <c r="E13993" s="111" t="str">
        <f t="shared" si="13991"/>
        <v>Wilkes-Barre</v>
      </c>
    </row>
    <row r="13994" spans="1:5">
      <c r="A13994" s="3" t="s">
        <v>25262</v>
      </c>
      <c r="B13994" s="110" t="s">
        <v>1364</v>
      </c>
      <c r="C13994" s="111" t="s">
        <v>25261</v>
      </c>
      <c r="D13994" s="111" t="str">
        <f t="shared" ref="D13994:E13994" si="13992">TRIM(B13994)</f>
        <v>Pennsylvania</v>
      </c>
      <c r="E13994" s="111" t="str">
        <f t="shared" si="13992"/>
        <v>Wilkes-Barre</v>
      </c>
    </row>
    <row r="13995" spans="1:5">
      <c r="A13995" s="3" t="s">
        <v>25263</v>
      </c>
      <c r="B13995" s="110" t="s">
        <v>1364</v>
      </c>
      <c r="C13995" s="111" t="s">
        <v>558</v>
      </c>
      <c r="D13995" s="111" t="str">
        <f t="shared" ref="D13995:E13995" si="13993">TRIM(B13995)</f>
        <v>Pennsylvania</v>
      </c>
      <c r="E13995" s="111" t="str">
        <f t="shared" si="13993"/>
        <v>Williamsburg</v>
      </c>
    </row>
    <row r="13996" spans="1:5">
      <c r="A13996" s="3" t="s">
        <v>25264</v>
      </c>
      <c r="B13996" s="110" t="s">
        <v>1364</v>
      </c>
      <c r="C13996" s="111" t="s">
        <v>13211</v>
      </c>
      <c r="D13996" s="111" t="str">
        <f t="shared" ref="D13996:E13996" si="13994">TRIM(B13996)</f>
        <v>Pennsylvania</v>
      </c>
      <c r="E13996" s="111" t="str">
        <f t="shared" si="13994"/>
        <v>Williamsport</v>
      </c>
    </row>
    <row r="13997" spans="1:5">
      <c r="A13997" s="3" t="s">
        <v>25265</v>
      </c>
      <c r="B13997" s="110" t="s">
        <v>1364</v>
      </c>
      <c r="C13997" s="111" t="s">
        <v>13211</v>
      </c>
      <c r="D13997" s="111" t="str">
        <f t="shared" ref="D13997:E13997" si="13995">TRIM(B13997)</f>
        <v>Pennsylvania</v>
      </c>
      <c r="E13997" s="111" t="str">
        <f t="shared" si="13995"/>
        <v>Williamsport</v>
      </c>
    </row>
    <row r="13998" spans="1:5">
      <c r="A13998" s="3" t="s">
        <v>25266</v>
      </c>
      <c r="B13998" s="110" t="s">
        <v>1364</v>
      </c>
      <c r="C13998" s="111" t="s">
        <v>25267</v>
      </c>
      <c r="D13998" s="111" t="str">
        <f t="shared" ref="D13998:E13998" si="13996">TRIM(B13998)</f>
        <v>Pennsylvania</v>
      </c>
      <c r="E13998" s="111" t="str">
        <f t="shared" si="13996"/>
        <v>Willow Grove</v>
      </c>
    </row>
    <row r="13999" spans="1:5">
      <c r="A13999" s="3" t="s">
        <v>25268</v>
      </c>
      <c r="B13999" s="110" t="s">
        <v>1364</v>
      </c>
      <c r="C13999" s="111" t="s">
        <v>25269</v>
      </c>
      <c r="D13999" s="111" t="str">
        <f t="shared" ref="D13999:E13999" si="13997">TRIM(B13999)</f>
        <v>Pennsylvania</v>
      </c>
      <c r="E13999" s="111" t="str">
        <f t="shared" si="13997"/>
        <v>Willow Hill</v>
      </c>
    </row>
    <row r="14000" spans="1:5">
      <c r="A14000" s="3" t="s">
        <v>25270</v>
      </c>
      <c r="B14000" s="110" t="s">
        <v>1364</v>
      </c>
      <c r="C14000" s="111" t="s">
        <v>25271</v>
      </c>
      <c r="D14000" s="111" t="str">
        <f t="shared" ref="D14000:E14000" si="13998">TRIM(B14000)</f>
        <v>Pennsylvania</v>
      </c>
      <c r="E14000" s="111" t="str">
        <f t="shared" si="13998"/>
        <v>Wilmerding</v>
      </c>
    </row>
    <row r="14001" spans="1:5">
      <c r="A14001" s="3" t="s">
        <v>25272</v>
      </c>
      <c r="B14001" s="110" t="s">
        <v>1364</v>
      </c>
      <c r="C14001" s="111" t="s">
        <v>25273</v>
      </c>
      <c r="D14001" s="111" t="str">
        <f t="shared" ref="D14001:E14001" si="13999">TRIM(B14001)</f>
        <v>Pennsylvania</v>
      </c>
      <c r="E14001" s="111" t="str">
        <f t="shared" si="13999"/>
        <v>Windber</v>
      </c>
    </row>
    <row r="14002" spans="1:5">
      <c r="A14002" s="3" t="s">
        <v>25274</v>
      </c>
      <c r="B14002" s="110" t="s">
        <v>1364</v>
      </c>
      <c r="C14002" s="111" t="s">
        <v>25275</v>
      </c>
      <c r="D14002" s="111" t="str">
        <f t="shared" ref="D14002:E14002" si="14000">TRIM(B14002)</f>
        <v>Pennsylvania</v>
      </c>
      <c r="E14002" s="111" t="str">
        <f t="shared" si="14000"/>
        <v>Wingate</v>
      </c>
    </row>
    <row r="14003" spans="1:5">
      <c r="A14003" s="3" t="s">
        <v>25276</v>
      </c>
      <c r="B14003" s="110" t="s">
        <v>1364</v>
      </c>
      <c r="C14003" s="111" t="s">
        <v>11454</v>
      </c>
      <c r="D14003" s="111" t="str">
        <f t="shared" ref="D14003:E14003" si="14001">TRIM(B14003)</f>
        <v>Pennsylvania</v>
      </c>
      <c r="E14003" s="111" t="str">
        <f t="shared" si="14001"/>
        <v>Wrightsville</v>
      </c>
    </row>
    <row r="14004" spans="1:5">
      <c r="A14004" s="3" t="s">
        <v>25277</v>
      </c>
      <c r="B14004" s="110" t="s">
        <v>1364</v>
      </c>
      <c r="C14004" s="111" t="s">
        <v>25278</v>
      </c>
      <c r="D14004" s="111" t="str">
        <f t="shared" ref="D14004:E14004" si="14002">TRIM(B14004)</f>
        <v>Pennsylvania</v>
      </c>
      <c r="E14004" s="111" t="str">
        <f t="shared" si="14002"/>
        <v>Wyalusing</v>
      </c>
    </row>
    <row r="14005" spans="1:5">
      <c r="A14005" s="3" t="s">
        <v>25279</v>
      </c>
      <c r="B14005" s="110" t="s">
        <v>1364</v>
      </c>
      <c r="C14005" s="111" t="s">
        <v>13006</v>
      </c>
      <c r="D14005" s="111" t="str">
        <f t="shared" ref="D14005:E14005" si="14003">TRIM(B14005)</f>
        <v>Pennsylvania</v>
      </c>
      <c r="E14005" s="111" t="str">
        <f t="shared" si="14003"/>
        <v>Wyncote</v>
      </c>
    </row>
    <row r="14006" spans="1:5">
      <c r="A14006" s="3" t="s">
        <v>25280</v>
      </c>
      <c r="B14006" s="110" t="s">
        <v>1364</v>
      </c>
      <c r="C14006" s="111" t="s">
        <v>25281</v>
      </c>
      <c r="D14006" s="111" t="str">
        <f t="shared" ref="D14006:E14006" si="14004">TRIM(B14006)</f>
        <v>Pennsylvania</v>
      </c>
      <c r="E14006" s="111" t="str">
        <f t="shared" si="14004"/>
        <v>Wyomissing</v>
      </c>
    </row>
    <row r="14007" spans="1:5">
      <c r="A14007" s="3" t="s">
        <v>25282</v>
      </c>
      <c r="B14007" s="110" t="s">
        <v>1364</v>
      </c>
      <c r="C14007" s="111" t="s">
        <v>567</v>
      </c>
      <c r="D14007" s="111" t="str">
        <f t="shared" ref="D14007:E14007" si="14005">TRIM(B14007)</f>
        <v>Pennsylvania</v>
      </c>
      <c r="E14007" s="111" t="str">
        <f t="shared" si="14005"/>
        <v>York</v>
      </c>
    </row>
    <row r="14008" spans="1:5">
      <c r="A14008" s="110" t="s">
        <v>25283</v>
      </c>
      <c r="B14008" s="110" t="s">
        <v>1364</v>
      </c>
      <c r="C14008" s="111" t="s">
        <v>567</v>
      </c>
      <c r="D14008" s="111" t="str">
        <f t="shared" ref="D14008:E14008" si="14006">TRIM(B14008)</f>
        <v>Pennsylvania</v>
      </c>
      <c r="E14008" s="111" t="str">
        <f t="shared" si="14006"/>
        <v>York</v>
      </c>
    </row>
    <row r="14009" spans="1:5">
      <c r="A14009" s="3" t="s">
        <v>25284</v>
      </c>
      <c r="B14009" s="110" t="s">
        <v>1364</v>
      </c>
      <c r="C14009" s="111" t="s">
        <v>567</v>
      </c>
      <c r="D14009" s="111" t="str">
        <f t="shared" ref="D14009:E14009" si="14007">TRIM(B14009)</f>
        <v>Pennsylvania</v>
      </c>
      <c r="E14009" s="111" t="str">
        <f t="shared" si="14007"/>
        <v>York</v>
      </c>
    </row>
    <row r="14010" spans="1:5">
      <c r="A14010" s="3" t="s">
        <v>25285</v>
      </c>
      <c r="B14010" s="110" t="s">
        <v>1364</v>
      </c>
      <c r="C14010" s="111" t="s">
        <v>567</v>
      </c>
      <c r="D14010" s="111" t="str">
        <f t="shared" ref="D14010:E14010" si="14008">TRIM(B14010)</f>
        <v>Pennsylvania</v>
      </c>
      <c r="E14010" s="111" t="str">
        <f t="shared" si="14008"/>
        <v>York</v>
      </c>
    </row>
    <row r="14011" spans="1:5">
      <c r="A14011" s="3" t="s">
        <v>25286</v>
      </c>
      <c r="B14011" s="110" t="s">
        <v>1364</v>
      </c>
      <c r="C14011" s="111" t="s">
        <v>567</v>
      </c>
      <c r="D14011" s="111" t="str">
        <f t="shared" ref="D14011:E14011" si="14009">TRIM(B14011)</f>
        <v>Pennsylvania</v>
      </c>
      <c r="E14011" s="111" t="str">
        <f t="shared" si="14009"/>
        <v>York</v>
      </c>
    </row>
    <row r="14012" spans="1:5">
      <c r="A14012" s="3" t="s">
        <v>25287</v>
      </c>
      <c r="B14012" s="110" t="s">
        <v>1364</v>
      </c>
      <c r="C14012" s="111" t="s">
        <v>25288</v>
      </c>
      <c r="D14012" s="111" t="str">
        <f t="shared" ref="D14012:E14012" si="14010">TRIM(B14012)</f>
        <v>Pennsylvania</v>
      </c>
      <c r="E14012" s="111" t="str">
        <f t="shared" si="14010"/>
        <v>York Springs</v>
      </c>
    </row>
    <row r="14013" spans="1:5">
      <c r="A14013" s="3" t="s">
        <v>25289</v>
      </c>
      <c r="B14013" s="110" t="s">
        <v>1364</v>
      </c>
      <c r="C14013" s="111" t="s">
        <v>16161</v>
      </c>
      <c r="D14013" s="111" t="str">
        <f t="shared" ref="D14013:E14013" si="14011">TRIM(B14013)</f>
        <v>Pennsylvania</v>
      </c>
      <c r="E14013" s="111" t="str">
        <f t="shared" si="14011"/>
        <v>Youngsville</v>
      </c>
    </row>
    <row r="14014" spans="1:5">
      <c r="A14014" s="3" t="s">
        <v>12036</v>
      </c>
      <c r="B14014" s="110" t="s">
        <v>1367</v>
      </c>
      <c r="C14014" s="111" t="s">
        <v>12037</v>
      </c>
      <c r="D14014" s="111" t="str">
        <f t="shared" ref="D14014:E14014" si="14012">TRIM(B14014)</f>
        <v>Rhode Island</v>
      </c>
      <c r="E14014" s="111" t="str">
        <f t="shared" si="14012"/>
        <v>Barrington</v>
      </c>
    </row>
    <row r="14015" spans="1:5">
      <c r="A14015" s="3" t="s">
        <v>25290</v>
      </c>
      <c r="B14015" s="110" t="s">
        <v>1367</v>
      </c>
      <c r="C14015" s="111" t="s">
        <v>561</v>
      </c>
      <c r="D14015" s="111" t="str">
        <f t="shared" ref="D14015:E14015" si="14013">TRIM(B14015)</f>
        <v>Rhode Island</v>
      </c>
      <c r="E14015" s="111" t="str">
        <f t="shared" si="14013"/>
        <v>Bristol</v>
      </c>
    </row>
    <row r="14016" spans="1:5">
      <c r="A14016" s="3" t="s">
        <v>25291</v>
      </c>
      <c r="B14016" s="110" t="s">
        <v>1367</v>
      </c>
      <c r="C14016" s="111" t="s">
        <v>25292</v>
      </c>
      <c r="D14016" s="111" t="str">
        <f t="shared" ref="D14016:E14016" si="14014">TRIM(B14016)</f>
        <v>Rhode Island</v>
      </c>
      <c r="E14016" s="111" t="str">
        <f t="shared" si="14014"/>
        <v>Central Falls</v>
      </c>
    </row>
    <row r="14017" spans="1:5">
      <c r="A14017" s="110" t="s">
        <v>25293</v>
      </c>
      <c r="B14017" s="110" t="s">
        <v>1367</v>
      </c>
      <c r="C14017" s="111" t="s">
        <v>25292</v>
      </c>
      <c r="D14017" s="111" t="str">
        <f t="shared" ref="D14017:E14017" si="14015">TRIM(B14017)</f>
        <v>Rhode Island</v>
      </c>
      <c r="E14017" s="111" t="str">
        <f t="shared" si="14015"/>
        <v>Central Falls</v>
      </c>
    </row>
    <row r="14018" spans="1:5">
      <c r="A14018" s="3" t="s">
        <v>8396</v>
      </c>
      <c r="B14018" s="110" t="s">
        <v>1367</v>
      </c>
      <c r="C14018" s="111" t="s">
        <v>8397</v>
      </c>
      <c r="D14018" s="111" t="str">
        <f t="shared" ref="D14018:E14018" si="14016">TRIM(B14018)</f>
        <v>Rhode Island</v>
      </c>
      <c r="E14018" s="111" t="str">
        <f t="shared" si="14016"/>
        <v>Coventry</v>
      </c>
    </row>
    <row r="14019" spans="1:5">
      <c r="A14019" s="3" t="s">
        <v>25294</v>
      </c>
      <c r="B14019" s="110" t="s">
        <v>1367</v>
      </c>
      <c r="C14019" s="111" t="s">
        <v>25295</v>
      </c>
      <c r="D14019" s="111" t="str">
        <f t="shared" ref="D14019:E14019" si="14017">TRIM(B14019)</f>
        <v>Rhode Island</v>
      </c>
      <c r="E14019" s="111" t="str">
        <f t="shared" si="14017"/>
        <v>Cranston</v>
      </c>
    </row>
    <row r="14020" spans="1:5">
      <c r="A14020" s="3" t="s">
        <v>25296</v>
      </c>
      <c r="B14020" s="110" t="s">
        <v>1367</v>
      </c>
      <c r="C14020" s="111" t="s">
        <v>25295</v>
      </c>
      <c r="D14020" s="111" t="str">
        <f t="shared" ref="D14020:E14020" si="14018">TRIM(B14020)</f>
        <v>Rhode Island</v>
      </c>
      <c r="E14020" s="111" t="str">
        <f t="shared" si="14018"/>
        <v>Cranston</v>
      </c>
    </row>
    <row r="14021" spans="1:5">
      <c r="A14021" s="110" t="s">
        <v>25297</v>
      </c>
      <c r="B14021" s="110" t="s">
        <v>1367</v>
      </c>
      <c r="C14021" s="111" t="s">
        <v>25295</v>
      </c>
      <c r="D14021" s="111" t="str">
        <f t="shared" ref="D14021:E14021" si="14019">TRIM(B14021)</f>
        <v>Rhode Island</v>
      </c>
      <c r="E14021" s="111" t="str">
        <f t="shared" si="14019"/>
        <v>Cranston</v>
      </c>
    </row>
    <row r="14022" spans="1:5">
      <c r="A14022" s="3" t="s">
        <v>25298</v>
      </c>
      <c r="B14022" s="110" t="s">
        <v>1367</v>
      </c>
      <c r="C14022" s="111" t="s">
        <v>11058</v>
      </c>
      <c r="D14022" s="111" t="str">
        <f t="shared" ref="D14022:E14022" si="14020">TRIM(B14022)</f>
        <v>Rhode Island</v>
      </c>
      <c r="E14022" s="111" t="str">
        <f t="shared" si="14020"/>
        <v>Cumberland</v>
      </c>
    </row>
    <row r="14023" spans="1:5">
      <c r="A14023" s="3" t="s">
        <v>13909</v>
      </c>
      <c r="B14023" s="110" t="s">
        <v>1367</v>
      </c>
      <c r="C14023" s="111" t="s">
        <v>11058</v>
      </c>
      <c r="D14023" s="111" t="str">
        <f t="shared" ref="D14023:E14023" si="14021">TRIM(B14023)</f>
        <v>Rhode Island</v>
      </c>
      <c r="E14023" s="111" t="str">
        <f t="shared" si="14021"/>
        <v>Cumberland</v>
      </c>
    </row>
    <row r="14024" spans="1:5">
      <c r="A14024" s="3" t="s">
        <v>25299</v>
      </c>
      <c r="B14024" s="110" t="s">
        <v>1367</v>
      </c>
      <c r="C14024" s="111" t="s">
        <v>25300</v>
      </c>
      <c r="D14024" s="111" t="str">
        <f t="shared" ref="D14024:E14024" si="14022">TRIM(B14024)</f>
        <v>Rhode Island</v>
      </c>
      <c r="E14024" s="111" t="str">
        <f t="shared" si="14022"/>
        <v>East Greenwich</v>
      </c>
    </row>
    <row r="14025" spans="1:5">
      <c r="A14025" s="3" t="s">
        <v>25301</v>
      </c>
      <c r="B14025" s="110" t="s">
        <v>1367</v>
      </c>
      <c r="C14025" s="111" t="s">
        <v>13284</v>
      </c>
      <c r="D14025" s="111" t="str">
        <f t="shared" ref="D14025:E14025" si="14023">TRIM(B14025)</f>
        <v>Rhode Island</v>
      </c>
      <c r="E14025" s="111" t="str">
        <f t="shared" si="14023"/>
        <v>East Providence</v>
      </c>
    </row>
    <row r="14026" spans="1:5">
      <c r="A14026" s="3" t="s">
        <v>25302</v>
      </c>
      <c r="B14026" s="110" t="s">
        <v>1367</v>
      </c>
      <c r="C14026" s="111" t="s">
        <v>21299</v>
      </c>
      <c r="D14026" s="111" t="str">
        <f t="shared" ref="D14026:E14026" si="14024">TRIM(B14026)</f>
        <v>Rhode Island</v>
      </c>
      <c r="E14026" s="111" t="str">
        <f t="shared" si="14024"/>
        <v>Harrisville</v>
      </c>
    </row>
    <row r="14027" spans="1:5">
      <c r="A14027" s="3" t="s">
        <v>14900</v>
      </c>
      <c r="B14027" s="110" t="s">
        <v>1367</v>
      </c>
      <c r="C14027" s="111" t="s">
        <v>491</v>
      </c>
      <c r="D14027" s="111" t="str">
        <f t="shared" ref="D14027:E14027" si="14025">TRIM(B14027)</f>
        <v>Rhode Island</v>
      </c>
      <c r="E14027" s="111" t="str">
        <f t="shared" si="14025"/>
        <v>Johnston</v>
      </c>
    </row>
    <row r="14028" spans="1:5">
      <c r="A14028" s="3" t="s">
        <v>17690</v>
      </c>
      <c r="B14028" s="110" t="s">
        <v>1367</v>
      </c>
      <c r="C14028" s="111" t="s">
        <v>1283</v>
      </c>
      <c r="D14028" s="111" t="str">
        <f t="shared" ref="D14028:E14028" si="14026">TRIM(B14028)</f>
        <v>Rhode Island</v>
      </c>
      <c r="E14028" s="111" t="str">
        <f t="shared" si="14026"/>
        <v>Lincoln</v>
      </c>
    </row>
    <row r="14029" spans="1:5">
      <c r="A14029" s="3" t="s">
        <v>5945</v>
      </c>
      <c r="B14029" s="110" t="s">
        <v>1367</v>
      </c>
      <c r="C14029" s="111" t="s">
        <v>500</v>
      </c>
      <c r="D14029" s="111" t="str">
        <f t="shared" ref="D14029:E14029" si="14027">TRIM(B14029)</f>
        <v>Rhode Island</v>
      </c>
      <c r="E14029" s="111" t="str">
        <f t="shared" si="14027"/>
        <v>Middletown</v>
      </c>
    </row>
    <row r="14030" spans="1:5">
      <c r="A14030" s="3" t="s">
        <v>25303</v>
      </c>
      <c r="B14030" s="110" t="s">
        <v>1367</v>
      </c>
      <c r="C14030" s="111" t="s">
        <v>25304</v>
      </c>
      <c r="D14030" s="111" t="str">
        <f t="shared" ref="D14030:E14030" si="14028">TRIM(B14030)</f>
        <v>Rhode Island</v>
      </c>
      <c r="E14030" s="111" t="str">
        <f t="shared" si="14028"/>
        <v>Narragansett</v>
      </c>
    </row>
    <row r="14031" spans="1:5">
      <c r="A14031" s="3" t="s">
        <v>4168</v>
      </c>
      <c r="B14031" s="110" t="s">
        <v>1367</v>
      </c>
      <c r="C14031" s="111" t="s">
        <v>4078</v>
      </c>
      <c r="D14031" s="111" t="str">
        <f t="shared" ref="D14031:E14031" si="14029">TRIM(B14031)</f>
        <v>Rhode Island</v>
      </c>
      <c r="E14031" s="111" t="str">
        <f t="shared" si="14029"/>
        <v>Newport</v>
      </c>
    </row>
    <row r="14032" spans="1:5">
      <c r="A14032" s="3" t="s">
        <v>25305</v>
      </c>
      <c r="B14032" s="110" t="s">
        <v>1367</v>
      </c>
      <c r="C14032" s="111" t="s">
        <v>25306</v>
      </c>
      <c r="D14032" s="111" t="str">
        <f t="shared" ref="D14032:E14032" si="14030">TRIM(B14032)</f>
        <v>Rhode Island</v>
      </c>
      <c r="E14032" s="111" t="str">
        <f t="shared" si="14030"/>
        <v>North Kingstown</v>
      </c>
    </row>
    <row r="14033" spans="1:5">
      <c r="A14033" s="3" t="s">
        <v>25307</v>
      </c>
      <c r="B14033" s="110" t="s">
        <v>1367</v>
      </c>
      <c r="C14033" s="113" t="s">
        <v>25308</v>
      </c>
      <c r="D14033" s="111" t="str">
        <f t="shared" ref="D14033:E14033" si="14031">TRIM(B14033)</f>
        <v>Rhode Island</v>
      </c>
      <c r="E14033" s="111" t="str">
        <f t="shared" si="14031"/>
        <v>North Providence</v>
      </c>
    </row>
    <row r="14034" spans="1:5">
      <c r="A14034" s="3" t="s">
        <v>25309</v>
      </c>
      <c r="B14034" s="110" t="s">
        <v>1367</v>
      </c>
      <c r="C14034" s="111" t="s">
        <v>25310</v>
      </c>
      <c r="D14034" s="111" t="str">
        <f t="shared" ref="D14034:E14034" si="14032">TRIM(B14034)</f>
        <v>Rhode Island</v>
      </c>
      <c r="E14034" s="111" t="str">
        <f t="shared" si="14032"/>
        <v>North Scituate</v>
      </c>
    </row>
    <row r="14035" spans="1:5">
      <c r="A14035" s="3" t="s">
        <v>16823</v>
      </c>
      <c r="B14035" s="110" t="s">
        <v>1367</v>
      </c>
      <c r="C14035" s="111" t="s">
        <v>25310</v>
      </c>
      <c r="D14035" s="111" t="str">
        <f t="shared" ref="D14035:E14035" si="14033">TRIM(B14035)</f>
        <v>Rhode Island</v>
      </c>
      <c r="E14035" s="111" t="str">
        <f t="shared" si="14033"/>
        <v>North Scituate</v>
      </c>
    </row>
    <row r="14036" spans="1:5">
      <c r="A14036" s="3" t="s">
        <v>25311</v>
      </c>
      <c r="B14036" s="110" t="s">
        <v>1367</v>
      </c>
      <c r="C14036" s="111" t="s">
        <v>25312</v>
      </c>
      <c r="D14036" s="111" t="str">
        <f t="shared" ref="D14036:E14036" si="14034">TRIM(B14036)</f>
        <v>Rhode Island</v>
      </c>
      <c r="E14036" s="111" t="str">
        <f t="shared" si="14034"/>
        <v>North Smithfield</v>
      </c>
    </row>
    <row r="14037" spans="1:5">
      <c r="A14037" s="3" t="s">
        <v>25313</v>
      </c>
      <c r="B14037" s="110" t="s">
        <v>1367</v>
      </c>
      <c r="C14037" s="111" t="s">
        <v>13294</v>
      </c>
      <c r="D14037" s="111" t="str">
        <f t="shared" ref="D14037:E14037" si="14035">TRIM(B14037)</f>
        <v>Rhode Island</v>
      </c>
      <c r="E14037" s="111" t="str">
        <f t="shared" si="14035"/>
        <v>Pawtucket</v>
      </c>
    </row>
    <row r="14038" spans="1:5">
      <c r="A14038" s="3" t="s">
        <v>25314</v>
      </c>
      <c r="B14038" s="110" t="s">
        <v>1367</v>
      </c>
      <c r="C14038" s="111" t="s">
        <v>13294</v>
      </c>
      <c r="D14038" s="111" t="str">
        <f t="shared" ref="D14038:E14038" si="14036">TRIM(B14038)</f>
        <v>Rhode Island</v>
      </c>
      <c r="E14038" s="111" t="str">
        <f t="shared" si="14036"/>
        <v>Pawtucket</v>
      </c>
    </row>
    <row r="14039" spans="1:5">
      <c r="A14039" s="110" t="s">
        <v>25315</v>
      </c>
      <c r="B14039" s="110" t="s">
        <v>1367</v>
      </c>
      <c r="C14039" s="111" t="s">
        <v>13294</v>
      </c>
      <c r="D14039" s="111" t="str">
        <f t="shared" ref="D14039:E14039" si="14037">TRIM(B14039)</f>
        <v>Rhode Island</v>
      </c>
      <c r="E14039" s="111" t="str">
        <f t="shared" si="14037"/>
        <v>Pawtucket</v>
      </c>
    </row>
    <row r="14040" spans="1:5">
      <c r="A14040" s="3" t="s">
        <v>25316</v>
      </c>
      <c r="B14040" s="110" t="s">
        <v>1367</v>
      </c>
      <c r="C14040" s="111" t="s">
        <v>13294</v>
      </c>
      <c r="D14040" s="111" t="str">
        <f t="shared" ref="D14040:E14040" si="14038">TRIM(B14040)</f>
        <v>Rhode Island</v>
      </c>
      <c r="E14040" s="111" t="str">
        <f t="shared" si="14038"/>
        <v>Pawtucket</v>
      </c>
    </row>
    <row r="14041" spans="1:5">
      <c r="A14041" s="3" t="s">
        <v>20004</v>
      </c>
      <c r="B14041" s="110" t="s">
        <v>1367</v>
      </c>
      <c r="C14041" s="111" t="s">
        <v>12806</v>
      </c>
      <c r="D14041" s="111" t="str">
        <f t="shared" ref="D14041:E14041" si="14039">TRIM(B14041)</f>
        <v>Rhode Island</v>
      </c>
      <c r="E14041" s="111" t="str">
        <f t="shared" si="14039"/>
        <v>Portsmouth</v>
      </c>
    </row>
    <row r="14042" spans="1:5">
      <c r="A14042" s="3" t="s">
        <v>25317</v>
      </c>
      <c r="B14042" s="110" t="s">
        <v>1367</v>
      </c>
      <c r="C14042" s="111" t="s">
        <v>9512</v>
      </c>
      <c r="D14042" s="111" t="str">
        <f t="shared" ref="D14042:E14042" si="14040">TRIM(B14042)</f>
        <v>Rhode Island</v>
      </c>
      <c r="E14042" s="111" t="str">
        <f t="shared" si="14040"/>
        <v>Providence</v>
      </c>
    </row>
    <row r="14043" spans="1:5">
      <c r="A14043" s="3" t="s">
        <v>1843</v>
      </c>
      <c r="B14043" s="110" t="s">
        <v>1367</v>
      </c>
      <c r="C14043" s="111" t="s">
        <v>9512</v>
      </c>
      <c r="D14043" s="111" t="str">
        <f t="shared" ref="D14043:E14043" si="14041">TRIM(B14043)</f>
        <v>Rhode Island</v>
      </c>
      <c r="E14043" s="111" t="str">
        <f t="shared" si="14041"/>
        <v>Providence</v>
      </c>
    </row>
    <row r="14044" spans="1:5">
      <c r="A14044" s="3" t="s">
        <v>16714</v>
      </c>
      <c r="B14044" s="110" t="s">
        <v>1367</v>
      </c>
      <c r="C14044" s="111" t="s">
        <v>9512</v>
      </c>
      <c r="D14044" s="111" t="str">
        <f t="shared" ref="D14044:E14044" si="14042">TRIM(B14044)</f>
        <v>Rhode Island</v>
      </c>
      <c r="E14044" s="111" t="str">
        <f t="shared" si="14042"/>
        <v>Providence</v>
      </c>
    </row>
    <row r="14045" spans="1:5">
      <c r="A14045" s="3" t="s">
        <v>25318</v>
      </c>
      <c r="B14045" s="110" t="s">
        <v>1367</v>
      </c>
      <c r="C14045" s="111" t="s">
        <v>9512</v>
      </c>
      <c r="D14045" s="111" t="str">
        <f t="shared" ref="D14045:E14045" si="14043">TRIM(B14045)</f>
        <v>Rhode Island</v>
      </c>
      <c r="E14045" s="111" t="str">
        <f t="shared" si="14043"/>
        <v>Providence</v>
      </c>
    </row>
    <row r="14046" spans="1:5">
      <c r="A14046" s="3" t="s">
        <v>25319</v>
      </c>
      <c r="B14046" s="110" t="s">
        <v>1367</v>
      </c>
      <c r="C14046" s="111" t="s">
        <v>9512</v>
      </c>
      <c r="D14046" s="111" t="str">
        <f t="shared" ref="D14046:E14046" si="14044">TRIM(B14046)</f>
        <v>Rhode Island</v>
      </c>
      <c r="E14046" s="111" t="str">
        <f t="shared" si="14044"/>
        <v>Providence</v>
      </c>
    </row>
    <row r="14047" spans="1:5">
      <c r="A14047" s="3" t="s">
        <v>25320</v>
      </c>
      <c r="B14047" s="110" t="s">
        <v>1367</v>
      </c>
      <c r="C14047" s="111" t="s">
        <v>9512</v>
      </c>
      <c r="D14047" s="111" t="str">
        <f t="shared" ref="D14047:E14047" si="14045">TRIM(B14047)</f>
        <v>Rhode Island</v>
      </c>
      <c r="E14047" s="111" t="str">
        <f t="shared" si="14045"/>
        <v>Providence</v>
      </c>
    </row>
    <row r="14048" spans="1:5">
      <c r="A14048" s="3" t="s">
        <v>3020</v>
      </c>
      <c r="B14048" s="110" t="s">
        <v>1367</v>
      </c>
      <c r="C14048" s="111" t="s">
        <v>9512</v>
      </c>
      <c r="D14048" s="111" t="str">
        <f t="shared" ref="D14048:E14048" si="14046">TRIM(B14048)</f>
        <v>Rhode Island</v>
      </c>
      <c r="E14048" s="111" t="str">
        <f t="shared" si="14046"/>
        <v>Providence</v>
      </c>
    </row>
    <row r="14049" spans="1:5">
      <c r="A14049" s="3" t="s">
        <v>8871</v>
      </c>
      <c r="B14049" s="110" t="s">
        <v>1367</v>
      </c>
      <c r="C14049" s="111" t="s">
        <v>9512</v>
      </c>
      <c r="D14049" s="111" t="str">
        <f t="shared" ref="D14049:E14049" si="14047">TRIM(B14049)</f>
        <v>Rhode Island</v>
      </c>
      <c r="E14049" s="111" t="str">
        <f t="shared" si="14047"/>
        <v>Providence</v>
      </c>
    </row>
    <row r="14050" spans="1:5">
      <c r="A14050" s="110" t="s">
        <v>25321</v>
      </c>
      <c r="B14050" s="110" t="s">
        <v>1367</v>
      </c>
      <c r="C14050" s="111" t="s">
        <v>9512</v>
      </c>
      <c r="D14050" s="111" t="str">
        <f t="shared" ref="D14050:E14050" si="14048">TRIM(B14050)</f>
        <v>Rhode Island</v>
      </c>
      <c r="E14050" s="111" t="str">
        <f t="shared" si="14048"/>
        <v>Providence</v>
      </c>
    </row>
    <row r="14051" spans="1:5">
      <c r="A14051" s="110" t="s">
        <v>25322</v>
      </c>
      <c r="B14051" s="110" t="s">
        <v>1367</v>
      </c>
      <c r="C14051" s="111" t="s">
        <v>9512</v>
      </c>
      <c r="D14051" s="111" t="str">
        <f t="shared" ref="D14051:E14051" si="14049">TRIM(B14051)</f>
        <v>Rhode Island</v>
      </c>
      <c r="E14051" s="111" t="str">
        <f t="shared" si="14049"/>
        <v>Providence</v>
      </c>
    </row>
    <row r="14052" spans="1:5">
      <c r="A14052" s="110" t="s">
        <v>25323</v>
      </c>
      <c r="B14052" s="110" t="s">
        <v>1367</v>
      </c>
      <c r="C14052" s="111" t="s">
        <v>9512</v>
      </c>
      <c r="D14052" s="111" t="str">
        <f t="shared" ref="D14052:E14052" si="14050">TRIM(B14052)</f>
        <v>Rhode Island</v>
      </c>
      <c r="E14052" s="111" t="str">
        <f t="shared" si="14050"/>
        <v>Providence</v>
      </c>
    </row>
    <row r="14053" spans="1:5">
      <c r="A14053" s="3" t="s">
        <v>25324</v>
      </c>
      <c r="B14053" s="110" t="s">
        <v>1367</v>
      </c>
      <c r="C14053" s="111" t="s">
        <v>9512</v>
      </c>
      <c r="D14053" s="111" t="str">
        <f t="shared" ref="D14053:E14053" si="14051">TRIM(B14053)</f>
        <v>Rhode Island</v>
      </c>
      <c r="E14053" s="111" t="str">
        <f t="shared" si="14051"/>
        <v>Providence</v>
      </c>
    </row>
    <row r="14054" spans="1:5">
      <c r="A14054" s="3" t="s">
        <v>25325</v>
      </c>
      <c r="B14054" s="110" t="s">
        <v>1367</v>
      </c>
      <c r="C14054" s="111" t="s">
        <v>9512</v>
      </c>
      <c r="D14054" s="111" t="str">
        <f t="shared" ref="D14054:E14054" si="14052">TRIM(B14054)</f>
        <v>Rhode Island</v>
      </c>
      <c r="E14054" s="111" t="str">
        <f t="shared" si="14052"/>
        <v>Providence</v>
      </c>
    </row>
    <row r="14055" spans="1:5">
      <c r="A14055" s="3" t="s">
        <v>25326</v>
      </c>
      <c r="B14055" s="110" t="s">
        <v>1367</v>
      </c>
      <c r="C14055" s="111" t="s">
        <v>22440</v>
      </c>
      <c r="D14055" s="111" t="str">
        <f t="shared" ref="D14055:E14055" si="14053">TRIM(B14055)</f>
        <v>Rhode Island</v>
      </c>
      <c r="E14055" s="111" t="str">
        <f t="shared" si="14053"/>
        <v>Smithfield</v>
      </c>
    </row>
    <row r="14056" spans="1:5">
      <c r="A14056" s="3" t="s">
        <v>25327</v>
      </c>
      <c r="B14056" s="110" t="s">
        <v>1367</v>
      </c>
      <c r="C14056" s="111" t="s">
        <v>25328</v>
      </c>
      <c r="D14056" s="111" t="str">
        <f t="shared" ref="D14056:E14056" si="14054">TRIM(B14056)</f>
        <v>Rhode Island</v>
      </c>
      <c r="E14056" s="111" t="str">
        <f t="shared" si="14054"/>
        <v>Tiverton</v>
      </c>
    </row>
    <row r="14057" spans="1:5">
      <c r="A14057" s="3" t="s">
        <v>25329</v>
      </c>
      <c r="B14057" s="110" t="s">
        <v>1367</v>
      </c>
      <c r="C14057" s="111" t="s">
        <v>14096</v>
      </c>
      <c r="D14057" s="111" t="str">
        <f t="shared" ref="D14057:E14057" si="14055">TRIM(B14057)</f>
        <v>Rhode Island</v>
      </c>
      <c r="E14057" s="111" t="str">
        <f t="shared" si="14055"/>
        <v>Wakefield</v>
      </c>
    </row>
    <row r="14058" spans="1:5">
      <c r="A14058" s="3" t="s">
        <v>25330</v>
      </c>
      <c r="B14058" s="110" t="s">
        <v>1367</v>
      </c>
      <c r="C14058" s="111" t="s">
        <v>4265</v>
      </c>
      <c r="D14058" s="111" t="str">
        <f t="shared" ref="D14058:E14058" si="14056">TRIM(B14058)</f>
        <v>Rhode Island</v>
      </c>
      <c r="E14058" s="111" t="str">
        <f t="shared" si="14056"/>
        <v>Warren</v>
      </c>
    </row>
    <row r="14059" spans="1:5">
      <c r="A14059" s="3" t="s">
        <v>25331</v>
      </c>
      <c r="B14059" s="110" t="s">
        <v>1367</v>
      </c>
      <c r="C14059" s="111" t="s">
        <v>13273</v>
      </c>
      <c r="D14059" s="111" t="str">
        <f t="shared" ref="D14059:E14059" si="14057">TRIM(B14059)</f>
        <v>Rhode Island</v>
      </c>
      <c r="E14059" s="111" t="str">
        <f t="shared" si="14057"/>
        <v>Warwick</v>
      </c>
    </row>
    <row r="14060" spans="1:5">
      <c r="A14060" s="3" t="s">
        <v>25332</v>
      </c>
      <c r="B14060" s="110" t="s">
        <v>1367</v>
      </c>
      <c r="C14060" s="111" t="s">
        <v>13273</v>
      </c>
      <c r="D14060" s="111" t="str">
        <f t="shared" ref="D14060:E14060" si="14058">TRIM(B14060)</f>
        <v>Rhode Island</v>
      </c>
      <c r="E14060" s="111" t="str">
        <f t="shared" si="14058"/>
        <v>Warwick</v>
      </c>
    </row>
    <row r="14061" spans="1:5">
      <c r="A14061" s="110" t="s">
        <v>25333</v>
      </c>
      <c r="B14061" s="110" t="s">
        <v>1367</v>
      </c>
      <c r="C14061" s="111" t="s">
        <v>25334</v>
      </c>
      <c r="D14061" s="111" t="str">
        <f t="shared" ref="D14061:E14061" si="14059">TRIM(B14061)</f>
        <v>Rhode Island</v>
      </c>
      <c r="E14061" s="111" t="str">
        <f t="shared" si="14059"/>
        <v>West Greenwich</v>
      </c>
    </row>
    <row r="14062" spans="1:5">
      <c r="A14062" s="110" t="s">
        <v>25335</v>
      </c>
      <c r="B14062" s="110" t="s">
        <v>1367</v>
      </c>
      <c r="C14062" s="111" t="s">
        <v>25334</v>
      </c>
      <c r="D14062" s="111" t="str">
        <f t="shared" ref="D14062:E14062" si="14060">TRIM(B14062)</f>
        <v>Rhode Island</v>
      </c>
      <c r="E14062" s="111" t="str">
        <f t="shared" si="14060"/>
        <v>West Greenwich</v>
      </c>
    </row>
    <row r="14063" spans="1:5">
      <c r="A14063" s="3" t="s">
        <v>25336</v>
      </c>
      <c r="B14063" s="110" t="s">
        <v>1367</v>
      </c>
      <c r="C14063" s="111" t="s">
        <v>25337</v>
      </c>
      <c r="D14063" s="111" t="str">
        <f t="shared" ref="D14063:E14063" si="14061">TRIM(B14063)</f>
        <v>Rhode Island</v>
      </c>
      <c r="E14063" s="111" t="str">
        <f t="shared" si="14061"/>
        <v>West Warwick</v>
      </c>
    </row>
    <row r="14064" spans="1:5">
      <c r="A14064" s="3" t="s">
        <v>25338</v>
      </c>
      <c r="B14064" s="110" t="s">
        <v>1367</v>
      </c>
      <c r="C14064" s="111" t="s">
        <v>25339</v>
      </c>
      <c r="D14064" s="111" t="str">
        <f t="shared" ref="D14064:E14064" si="14062">TRIM(B14064)</f>
        <v>Rhode Island</v>
      </c>
      <c r="E14064" s="111" t="str">
        <f t="shared" si="14062"/>
        <v>Westerly</v>
      </c>
    </row>
    <row r="14065" spans="1:5">
      <c r="A14065" s="3" t="s">
        <v>25340</v>
      </c>
      <c r="B14065" s="110" t="s">
        <v>1367</v>
      </c>
      <c r="C14065" s="113" t="s">
        <v>25341</v>
      </c>
      <c r="D14065" s="111" t="str">
        <f t="shared" ref="D14065:E14065" si="14063">TRIM(B14065)</f>
        <v>Rhode Island</v>
      </c>
      <c r="E14065" s="111" t="str">
        <f t="shared" si="14063"/>
        <v>Wood River Junction</v>
      </c>
    </row>
    <row r="14066" spans="1:5">
      <c r="A14066" s="110" t="s">
        <v>25342</v>
      </c>
      <c r="B14066" s="110" t="s">
        <v>1367</v>
      </c>
      <c r="C14066" s="111" t="s">
        <v>13280</v>
      </c>
      <c r="D14066" s="111" t="str">
        <f t="shared" ref="D14066:E14066" si="14064">TRIM(B14066)</f>
        <v>Rhode Island</v>
      </c>
      <c r="E14066" s="111" t="str">
        <f t="shared" si="14064"/>
        <v>Woonsocket</v>
      </c>
    </row>
    <row r="14067" spans="1:5">
      <c r="A14067" s="3" t="s">
        <v>25343</v>
      </c>
      <c r="B14067" s="110" t="s">
        <v>1367</v>
      </c>
      <c r="C14067" s="111" t="s">
        <v>13280</v>
      </c>
      <c r="D14067" s="111" t="str">
        <f t="shared" ref="D14067:E14067" si="14065">TRIM(B14067)</f>
        <v>Rhode Island</v>
      </c>
      <c r="E14067" s="111" t="str">
        <f t="shared" si="14065"/>
        <v>Woonsocket</v>
      </c>
    </row>
    <row r="14068" spans="1:5">
      <c r="A14068" s="3" t="s">
        <v>1470</v>
      </c>
      <c r="B14068" s="110" t="s">
        <v>1368</v>
      </c>
      <c r="C14068" s="111" t="s">
        <v>1473</v>
      </c>
      <c r="D14068" s="111" t="str">
        <f t="shared" ref="D14068:E14068" si="14066">TRIM(B14068)</f>
        <v>South Carolina</v>
      </c>
      <c r="E14068" s="111" t="str">
        <f t="shared" si="14066"/>
        <v>Abbeville</v>
      </c>
    </row>
    <row r="14069" spans="1:5">
      <c r="A14069" s="3" t="s">
        <v>22898</v>
      </c>
      <c r="B14069" s="110" t="s">
        <v>1368</v>
      </c>
      <c r="C14069" s="111" t="s">
        <v>8049</v>
      </c>
      <c r="D14069" s="111" t="str">
        <f t="shared" ref="D14069:E14069" si="14067">TRIM(B14069)</f>
        <v>South Carolina</v>
      </c>
      <c r="E14069" s="111" t="str">
        <f t="shared" si="14067"/>
        <v>Aiken</v>
      </c>
    </row>
    <row r="14070" spans="1:5">
      <c r="A14070" s="3" t="s">
        <v>25344</v>
      </c>
      <c r="B14070" s="110" t="s">
        <v>1368</v>
      </c>
      <c r="C14070" s="111" t="s">
        <v>8049</v>
      </c>
      <c r="D14070" s="111" t="str">
        <f t="shared" ref="D14070:E14070" si="14068">TRIM(B14070)</f>
        <v>South Carolina</v>
      </c>
      <c r="E14070" s="111" t="str">
        <f t="shared" si="14068"/>
        <v>Aiken</v>
      </c>
    </row>
    <row r="14071" spans="1:5">
      <c r="A14071" s="3" t="s">
        <v>25345</v>
      </c>
      <c r="B14071" s="110" t="s">
        <v>1368</v>
      </c>
      <c r="C14071" s="111" t="s">
        <v>8049</v>
      </c>
      <c r="D14071" s="111" t="str">
        <f t="shared" ref="D14071:E14071" si="14069">TRIM(B14071)</f>
        <v>South Carolina</v>
      </c>
      <c r="E14071" s="111" t="str">
        <f t="shared" si="14069"/>
        <v>Aiken</v>
      </c>
    </row>
    <row r="14072" spans="1:5">
      <c r="A14072" s="3" t="s">
        <v>25346</v>
      </c>
      <c r="B14072" s="110" t="s">
        <v>1368</v>
      </c>
      <c r="C14072" s="111" t="s">
        <v>8049</v>
      </c>
      <c r="D14072" s="111" t="str">
        <f t="shared" ref="D14072:E14072" si="14070">TRIM(B14072)</f>
        <v>South Carolina</v>
      </c>
      <c r="E14072" s="111" t="str">
        <f t="shared" si="14070"/>
        <v>Aiken</v>
      </c>
    </row>
    <row r="14073" spans="1:5">
      <c r="A14073" s="3" t="s">
        <v>25347</v>
      </c>
      <c r="B14073" s="110" t="s">
        <v>1368</v>
      </c>
      <c r="C14073" s="111" t="s">
        <v>8049</v>
      </c>
      <c r="D14073" s="111" t="str">
        <f t="shared" ref="D14073:E14073" si="14071">TRIM(B14073)</f>
        <v>South Carolina</v>
      </c>
      <c r="E14073" s="111" t="str">
        <f t="shared" si="14071"/>
        <v>Aiken</v>
      </c>
    </row>
    <row r="14074" spans="1:5">
      <c r="A14074" s="3" t="s">
        <v>25348</v>
      </c>
      <c r="B14074" s="110" t="s">
        <v>1368</v>
      </c>
      <c r="C14074" s="111" t="s">
        <v>25349</v>
      </c>
      <c r="D14074" s="111" t="str">
        <f t="shared" ref="D14074:E14074" si="14072">TRIM(B14074)</f>
        <v>South Carolina</v>
      </c>
      <c r="E14074" s="111" t="str">
        <f t="shared" si="14072"/>
        <v>Alcolu</v>
      </c>
    </row>
    <row r="14075" spans="1:5">
      <c r="A14075" s="110" t="s">
        <v>25350</v>
      </c>
      <c r="B14075" s="110" t="s">
        <v>1368</v>
      </c>
      <c r="C14075" s="112" t="s">
        <v>4345</v>
      </c>
      <c r="D14075" s="111" t="str">
        <f t="shared" ref="D14075:E14075" si="14073">TRIM(B14075)</f>
        <v>South Carolina</v>
      </c>
      <c r="E14075" s="111" t="str">
        <f t="shared" si="14073"/>
        <v>Anderson</v>
      </c>
    </row>
    <row r="14076" spans="1:5">
      <c r="A14076" s="3" t="s">
        <v>24363</v>
      </c>
      <c r="B14076" s="110" t="s">
        <v>1368</v>
      </c>
      <c r="C14076" s="111" t="s">
        <v>4345</v>
      </c>
      <c r="D14076" s="111" t="str">
        <f t="shared" ref="D14076:E14076" si="14074">TRIM(B14076)</f>
        <v>South Carolina</v>
      </c>
      <c r="E14076" s="111" t="str">
        <f t="shared" si="14074"/>
        <v>Anderson</v>
      </c>
    </row>
    <row r="14077" spans="1:5">
      <c r="A14077" s="3" t="s">
        <v>25351</v>
      </c>
      <c r="B14077" s="110" t="s">
        <v>1368</v>
      </c>
      <c r="C14077" s="111" t="s">
        <v>4345</v>
      </c>
      <c r="D14077" s="111" t="str">
        <f t="shared" ref="D14077:E14077" si="14075">TRIM(B14077)</f>
        <v>South Carolina</v>
      </c>
      <c r="E14077" s="111" t="str">
        <f t="shared" si="14075"/>
        <v>Anderson</v>
      </c>
    </row>
    <row r="14078" spans="1:5">
      <c r="A14078" s="3" t="s">
        <v>3698</v>
      </c>
      <c r="B14078" s="110" t="s">
        <v>1368</v>
      </c>
      <c r="C14078" s="111" t="s">
        <v>4345</v>
      </c>
      <c r="D14078" s="111" t="str">
        <f t="shared" ref="D14078:E14078" si="14076">TRIM(B14078)</f>
        <v>South Carolina</v>
      </c>
      <c r="E14078" s="111" t="str">
        <f t="shared" si="14076"/>
        <v>Anderson</v>
      </c>
    </row>
    <row r="14079" spans="1:5">
      <c r="A14079" s="3" t="s">
        <v>21987</v>
      </c>
      <c r="B14079" s="110" t="s">
        <v>1368</v>
      </c>
      <c r="C14079" s="111" t="s">
        <v>21988</v>
      </c>
      <c r="D14079" s="111" t="str">
        <f t="shared" ref="D14079:E14079" si="14077">TRIM(B14079)</f>
        <v>South Carolina</v>
      </c>
      <c r="E14079" s="111" t="str">
        <f t="shared" si="14077"/>
        <v>Andrews</v>
      </c>
    </row>
    <row r="14080" spans="1:5">
      <c r="A14080" s="3" t="s">
        <v>25352</v>
      </c>
      <c r="B14080" s="110" t="s">
        <v>1368</v>
      </c>
      <c r="C14080" s="111" t="s">
        <v>25353</v>
      </c>
      <c r="D14080" s="111" t="str">
        <f t="shared" ref="D14080:E14080" si="14078">TRIM(B14080)</f>
        <v>South Carolina</v>
      </c>
      <c r="E14080" s="111" t="str">
        <f t="shared" si="14078"/>
        <v>Aynor</v>
      </c>
    </row>
    <row r="14081" spans="1:5">
      <c r="A14081" s="3" t="s">
        <v>25354</v>
      </c>
      <c r="B14081" s="110" t="s">
        <v>1368</v>
      </c>
      <c r="C14081" s="111" t="s">
        <v>25355</v>
      </c>
      <c r="D14081" s="111" t="str">
        <f t="shared" ref="D14081:E14081" si="14079">TRIM(B14081)</f>
        <v>South Carolina</v>
      </c>
      <c r="E14081" s="111" t="str">
        <f t="shared" si="14079"/>
        <v>Bamberg</v>
      </c>
    </row>
    <row r="14082" spans="1:5">
      <c r="A14082" s="3" t="s">
        <v>25356</v>
      </c>
      <c r="B14082" s="110" t="s">
        <v>1368</v>
      </c>
      <c r="C14082" s="112" t="s">
        <v>25357</v>
      </c>
      <c r="D14082" s="111" t="str">
        <f t="shared" ref="D14082:E14082" si="14080">TRIM(B14082)</f>
        <v>South Carolina</v>
      </c>
      <c r="E14082" s="111" t="str">
        <f t="shared" si="14080"/>
        <v>Barnwell</v>
      </c>
    </row>
    <row r="14083" spans="1:5">
      <c r="A14083" s="3" t="s">
        <v>25358</v>
      </c>
      <c r="B14083" s="110" t="s">
        <v>1368</v>
      </c>
      <c r="C14083" s="113" t="s">
        <v>25359</v>
      </c>
      <c r="D14083" s="111" t="str">
        <f t="shared" ref="D14083:E14083" si="14081">TRIM(B14083)</f>
        <v>South Carolina</v>
      </c>
      <c r="E14083" s="111" t="str">
        <f t="shared" si="14081"/>
        <v>Batesburg-Leesville</v>
      </c>
    </row>
    <row r="14084" spans="1:5">
      <c r="A14084" s="3" t="s">
        <v>25360</v>
      </c>
      <c r="B14084" s="110" t="s">
        <v>1368</v>
      </c>
      <c r="C14084" s="111" t="s">
        <v>13305</v>
      </c>
      <c r="D14084" s="111" t="str">
        <f t="shared" ref="D14084:E14084" si="14082">TRIM(B14084)</f>
        <v>South Carolina</v>
      </c>
      <c r="E14084" s="111" t="str">
        <f t="shared" si="14082"/>
        <v>Beaufort</v>
      </c>
    </row>
    <row r="14085" spans="1:5">
      <c r="A14085" s="3" t="s">
        <v>25361</v>
      </c>
      <c r="B14085" s="110" t="s">
        <v>1368</v>
      </c>
      <c r="C14085" s="111" t="s">
        <v>13305</v>
      </c>
      <c r="D14085" s="111" t="str">
        <f t="shared" ref="D14085:E14085" si="14083">TRIM(B14085)</f>
        <v>South Carolina</v>
      </c>
      <c r="E14085" s="111" t="str">
        <f t="shared" si="14083"/>
        <v>Beaufort</v>
      </c>
    </row>
    <row r="14086" spans="1:5">
      <c r="A14086" s="3" t="s">
        <v>25362</v>
      </c>
      <c r="B14086" s="110" t="s">
        <v>1368</v>
      </c>
      <c r="C14086" s="111" t="s">
        <v>13305</v>
      </c>
      <c r="D14086" s="111" t="str">
        <f t="shared" ref="D14086:E14086" si="14084">TRIM(B14086)</f>
        <v>South Carolina</v>
      </c>
      <c r="E14086" s="111" t="str">
        <f t="shared" si="14084"/>
        <v>Beaufort</v>
      </c>
    </row>
    <row r="14087" spans="1:5">
      <c r="A14087" s="3" t="s">
        <v>25363</v>
      </c>
      <c r="B14087" s="110" t="s">
        <v>1368</v>
      </c>
      <c r="C14087" s="111" t="s">
        <v>13362</v>
      </c>
      <c r="D14087" s="111" t="str">
        <f t="shared" ref="D14087:E14087" si="14085">TRIM(B14087)</f>
        <v>South Carolina</v>
      </c>
      <c r="E14087" s="111" t="str">
        <f t="shared" si="14085"/>
        <v>Bennettsville</v>
      </c>
    </row>
    <row r="14088" spans="1:5">
      <c r="A14088" s="3" t="s">
        <v>25364</v>
      </c>
      <c r="B14088" s="110" t="s">
        <v>1368</v>
      </c>
      <c r="C14088" s="111" t="s">
        <v>13387</v>
      </c>
      <c r="D14088" s="111" t="str">
        <f t="shared" ref="D14088:E14088" si="14086">TRIM(B14088)</f>
        <v>South Carolina</v>
      </c>
      <c r="E14088" s="111" t="str">
        <f t="shared" si="14086"/>
        <v>Bishopville</v>
      </c>
    </row>
    <row r="14089" spans="1:5">
      <c r="A14089" s="3" t="s">
        <v>25365</v>
      </c>
      <c r="B14089" s="110" t="s">
        <v>1368</v>
      </c>
      <c r="C14089" s="111" t="s">
        <v>25366</v>
      </c>
      <c r="D14089" s="111" t="str">
        <f t="shared" ref="D14089:E14089" si="14087">TRIM(B14089)</f>
        <v>South Carolina</v>
      </c>
      <c r="E14089" s="111" t="str">
        <f t="shared" si="14087"/>
        <v>Blacksburg</v>
      </c>
    </row>
    <row r="14090" spans="1:5">
      <c r="A14090" s="3" t="s">
        <v>25367</v>
      </c>
      <c r="B14090" s="110" t="s">
        <v>1368</v>
      </c>
      <c r="C14090" s="111" t="s">
        <v>13350</v>
      </c>
      <c r="D14090" s="111" t="str">
        <f t="shared" ref="D14090:E14090" si="14088">TRIM(B14090)</f>
        <v>South Carolina</v>
      </c>
      <c r="E14090" s="111" t="str">
        <f t="shared" si="14088"/>
        <v>Blackville</v>
      </c>
    </row>
    <row r="14091" spans="1:5">
      <c r="A14091" s="3" t="s">
        <v>14144</v>
      </c>
      <c r="B14091" s="110" t="s">
        <v>1368</v>
      </c>
      <c r="C14091" s="111" t="s">
        <v>14145</v>
      </c>
      <c r="D14091" s="111" t="str">
        <f t="shared" ref="D14091:E14091" si="14089">TRIM(B14091)</f>
        <v>South Carolina</v>
      </c>
      <c r="E14091" s="111" t="str">
        <f t="shared" si="14089"/>
        <v>Bluffton</v>
      </c>
    </row>
    <row r="14092" spans="1:5">
      <c r="A14092" s="110" t="s">
        <v>25368</v>
      </c>
      <c r="B14092" s="110" t="s">
        <v>1368</v>
      </c>
      <c r="C14092" s="111" t="s">
        <v>14145</v>
      </c>
      <c r="D14092" s="111" t="str">
        <f t="shared" ref="D14092:E14092" si="14090">TRIM(B14092)</f>
        <v>South Carolina</v>
      </c>
      <c r="E14092" s="111" t="str">
        <f t="shared" si="14090"/>
        <v>Bluffton</v>
      </c>
    </row>
    <row r="14093" spans="1:5">
      <c r="A14093" s="3" t="s">
        <v>25369</v>
      </c>
      <c r="B14093" s="110" t="s">
        <v>1368</v>
      </c>
      <c r="C14093" s="111" t="s">
        <v>14145</v>
      </c>
      <c r="D14093" s="111" t="str">
        <f t="shared" ref="D14093:E14093" si="14091">TRIM(B14093)</f>
        <v>South Carolina</v>
      </c>
      <c r="E14093" s="111" t="str">
        <f t="shared" si="14091"/>
        <v>Bluffton</v>
      </c>
    </row>
    <row r="14094" spans="1:5">
      <c r="A14094" s="3" t="s">
        <v>25370</v>
      </c>
      <c r="B14094" s="110" t="s">
        <v>1368</v>
      </c>
      <c r="C14094" s="111" t="s">
        <v>25371</v>
      </c>
      <c r="D14094" s="111" t="str">
        <f t="shared" ref="D14094:E14094" si="14092">TRIM(B14094)</f>
        <v>South Carolina</v>
      </c>
      <c r="E14094" s="111" t="str">
        <f t="shared" si="14092"/>
        <v>Blythewood</v>
      </c>
    </row>
    <row r="14095" spans="1:5">
      <c r="A14095" s="3" t="s">
        <v>2860</v>
      </c>
      <c r="B14095" s="110" t="s">
        <v>1368</v>
      </c>
      <c r="C14095" s="111" t="s">
        <v>25371</v>
      </c>
      <c r="D14095" s="111" t="str">
        <f t="shared" ref="D14095:E14095" si="14093">TRIM(B14095)</f>
        <v>South Carolina</v>
      </c>
      <c r="E14095" s="111" t="str">
        <f t="shared" si="14093"/>
        <v>Blythewood</v>
      </c>
    </row>
    <row r="14096" spans="1:5">
      <c r="A14096" s="3" t="s">
        <v>24521</v>
      </c>
      <c r="B14096" s="110" t="s">
        <v>1368</v>
      </c>
      <c r="C14096" s="111" t="s">
        <v>24522</v>
      </c>
      <c r="D14096" s="111" t="str">
        <f t="shared" ref="D14096:E14096" si="14094">TRIM(B14096)</f>
        <v>South Carolina</v>
      </c>
      <c r="E14096" s="111" t="str">
        <f t="shared" si="14094"/>
        <v>Boiling Springs</v>
      </c>
    </row>
    <row r="14097" spans="1:5">
      <c r="A14097" s="3" t="s">
        <v>25372</v>
      </c>
      <c r="B14097" s="110" t="s">
        <v>1368</v>
      </c>
      <c r="C14097" s="111" t="s">
        <v>25373</v>
      </c>
      <c r="D14097" s="111" t="str">
        <f t="shared" ref="D14097:E14097" si="14095">TRIM(B14097)</f>
        <v>South Carolina</v>
      </c>
      <c r="E14097" s="111" t="str">
        <f t="shared" si="14095"/>
        <v>Branchville</v>
      </c>
    </row>
    <row r="14098" spans="1:5">
      <c r="A14098" s="110" t="s">
        <v>25374</v>
      </c>
      <c r="B14098" s="110" t="s">
        <v>1368</v>
      </c>
      <c r="C14098" s="111" t="s">
        <v>25375</v>
      </c>
      <c r="D14098" s="111" t="str">
        <f t="shared" ref="D14098:E14098" si="14096">TRIM(B14098)</f>
        <v>South Carolina</v>
      </c>
      <c r="E14098" s="111" t="str">
        <f t="shared" si="14096"/>
        <v>Calhoun Falls</v>
      </c>
    </row>
    <row r="14099" spans="1:5">
      <c r="A14099" s="3" t="s">
        <v>20067</v>
      </c>
      <c r="B14099" s="110" t="s">
        <v>1368</v>
      </c>
      <c r="C14099" s="111" t="s">
        <v>773</v>
      </c>
      <c r="D14099" s="111" t="str">
        <f t="shared" ref="D14099:E14099" si="14097">TRIM(B14099)</f>
        <v>South Carolina</v>
      </c>
      <c r="E14099" s="111" t="str">
        <f t="shared" si="14097"/>
        <v>Camden</v>
      </c>
    </row>
    <row r="14100" spans="1:5">
      <c r="A14100" s="3" t="s">
        <v>25376</v>
      </c>
      <c r="B14100" s="110" t="s">
        <v>1368</v>
      </c>
      <c r="C14100" s="111" t="s">
        <v>25377</v>
      </c>
      <c r="D14100" s="111" t="str">
        <f t="shared" ref="D14100:E14100" si="14098">TRIM(B14100)</f>
        <v>South Carolina</v>
      </c>
      <c r="E14100" s="111" t="str">
        <f t="shared" si="14098"/>
        <v>Campobello</v>
      </c>
    </row>
    <row r="14101" spans="1:5">
      <c r="A14101" s="3" t="s">
        <v>25378</v>
      </c>
      <c r="B14101" s="110" t="s">
        <v>1368</v>
      </c>
      <c r="C14101" s="111" t="s">
        <v>25379</v>
      </c>
      <c r="D14101" s="111" t="str">
        <f t="shared" ref="D14101:E14101" si="14099">TRIM(B14101)</f>
        <v>South Carolina</v>
      </c>
      <c r="E14101" s="111" t="str">
        <f t="shared" si="14099"/>
        <v>Cayce</v>
      </c>
    </row>
    <row r="14102" spans="1:5">
      <c r="A14102" s="3" t="s">
        <v>25380</v>
      </c>
      <c r="B14102" s="110" t="s">
        <v>1368</v>
      </c>
      <c r="C14102" s="111" t="s">
        <v>25381</v>
      </c>
      <c r="D14102" s="111" t="str">
        <f t="shared" ref="D14102:E14102" si="14100">TRIM(B14102)</f>
        <v>South Carolina</v>
      </c>
      <c r="E14102" s="111" t="str">
        <f t="shared" si="14100"/>
        <v>Central</v>
      </c>
    </row>
    <row r="14103" spans="1:5">
      <c r="A14103" s="3" t="s">
        <v>25382</v>
      </c>
      <c r="B14103" s="110" t="s">
        <v>1368</v>
      </c>
      <c r="C14103" s="111" t="s">
        <v>25383</v>
      </c>
      <c r="D14103" s="111" t="str">
        <f t="shared" ref="D14103:E14103" si="14101">TRIM(B14103)</f>
        <v>South Carolina</v>
      </c>
      <c r="E14103" s="111" t="str">
        <f t="shared" si="14101"/>
        <v>Chapin</v>
      </c>
    </row>
    <row r="14104" spans="1:5">
      <c r="A14104" s="3" t="s">
        <v>3874</v>
      </c>
      <c r="B14104" s="110" t="s">
        <v>1368</v>
      </c>
      <c r="C14104" s="111" t="s">
        <v>25383</v>
      </c>
      <c r="D14104" s="111" t="str">
        <f t="shared" ref="D14104:E14104" si="14102">TRIM(B14104)</f>
        <v>South Carolina</v>
      </c>
      <c r="E14104" s="111" t="str">
        <f t="shared" si="14102"/>
        <v>Chapin</v>
      </c>
    </row>
    <row r="14105" spans="1:5">
      <c r="A14105" s="110" t="s">
        <v>25384</v>
      </c>
      <c r="B14105" s="110" t="s">
        <v>1368</v>
      </c>
      <c r="C14105" s="111" t="s">
        <v>3684</v>
      </c>
      <c r="D14105" s="111" t="str">
        <f t="shared" ref="D14105:E14105" si="14103">TRIM(B14105)</f>
        <v>South Carolina</v>
      </c>
      <c r="E14105" s="111" t="str">
        <f t="shared" si="14103"/>
        <v>Charleston</v>
      </c>
    </row>
    <row r="14106" spans="1:5">
      <c r="A14106" s="3" t="s">
        <v>19675</v>
      </c>
      <c r="B14106" s="110" t="s">
        <v>1368</v>
      </c>
      <c r="C14106" s="111" t="s">
        <v>3684</v>
      </c>
      <c r="D14106" s="111" t="str">
        <f t="shared" ref="D14106:E14106" si="14104">TRIM(B14106)</f>
        <v>South Carolina</v>
      </c>
      <c r="E14106" s="111" t="str">
        <f t="shared" si="14104"/>
        <v>Charleston</v>
      </c>
    </row>
    <row r="14107" spans="1:5">
      <c r="A14107" s="3" t="s">
        <v>25385</v>
      </c>
      <c r="B14107" s="110" t="s">
        <v>1368</v>
      </c>
      <c r="C14107" s="111" t="s">
        <v>3684</v>
      </c>
      <c r="D14107" s="111" t="str">
        <f t="shared" ref="D14107:E14107" si="14105">TRIM(B14107)</f>
        <v>South Carolina</v>
      </c>
      <c r="E14107" s="111" t="str">
        <f t="shared" si="14105"/>
        <v>Charleston</v>
      </c>
    </row>
    <row r="14108" spans="1:5">
      <c r="A14108" s="110" t="s">
        <v>25386</v>
      </c>
      <c r="B14108" s="110" t="s">
        <v>1368</v>
      </c>
      <c r="C14108" s="111" t="s">
        <v>3684</v>
      </c>
      <c r="D14108" s="111" t="str">
        <f t="shared" ref="D14108:E14108" si="14106">TRIM(B14108)</f>
        <v>South Carolina</v>
      </c>
      <c r="E14108" s="111" t="str">
        <f t="shared" si="14106"/>
        <v>Charleston</v>
      </c>
    </row>
    <row r="14109" spans="1:5">
      <c r="A14109" s="3" t="s">
        <v>25387</v>
      </c>
      <c r="B14109" s="110" t="s">
        <v>1368</v>
      </c>
      <c r="C14109" s="111" t="s">
        <v>3684</v>
      </c>
      <c r="D14109" s="111" t="str">
        <f t="shared" ref="D14109:E14109" si="14107">TRIM(B14109)</f>
        <v>South Carolina</v>
      </c>
      <c r="E14109" s="111" t="str">
        <f t="shared" si="14107"/>
        <v>Charleston</v>
      </c>
    </row>
    <row r="14110" spans="1:5">
      <c r="A14110" s="3" t="s">
        <v>25388</v>
      </c>
      <c r="B14110" s="110" t="s">
        <v>1368</v>
      </c>
      <c r="C14110" s="111" t="s">
        <v>3684</v>
      </c>
      <c r="D14110" s="111" t="str">
        <f t="shared" ref="D14110:E14110" si="14108">TRIM(B14110)</f>
        <v>South Carolina</v>
      </c>
      <c r="E14110" s="111" t="str">
        <f t="shared" si="14108"/>
        <v>Charleston</v>
      </c>
    </row>
    <row r="14111" spans="1:5">
      <c r="A14111" s="3" t="s">
        <v>25389</v>
      </c>
      <c r="B14111" s="110" t="s">
        <v>1368</v>
      </c>
      <c r="C14111" s="111" t="s">
        <v>25390</v>
      </c>
      <c r="D14111" s="111" t="str">
        <f t="shared" ref="D14111:E14111" si="14109">TRIM(B14111)</f>
        <v>South Carolina</v>
      </c>
      <c r="E14111" s="111" t="str">
        <f t="shared" si="14109"/>
        <v>Cheraw</v>
      </c>
    </row>
    <row r="14112" spans="1:5">
      <c r="A14112" s="3" t="s">
        <v>25391</v>
      </c>
      <c r="B14112" s="110" t="s">
        <v>1368</v>
      </c>
      <c r="C14112" s="111" t="s">
        <v>25392</v>
      </c>
      <c r="D14112" s="111" t="str">
        <f t="shared" ref="D14112:E14112" si="14110">TRIM(B14112)</f>
        <v>South Carolina</v>
      </c>
      <c r="E14112" s="111" t="str">
        <f t="shared" si="14110"/>
        <v>Chesnee</v>
      </c>
    </row>
    <row r="14113" spans="1:5">
      <c r="A14113" s="3" t="s">
        <v>25393</v>
      </c>
      <c r="B14113" s="110" t="s">
        <v>1368</v>
      </c>
      <c r="C14113" s="111" t="s">
        <v>2262</v>
      </c>
      <c r="D14113" s="111" t="str">
        <f t="shared" ref="D14113:E14113" si="14111">TRIM(B14113)</f>
        <v>South Carolina</v>
      </c>
      <c r="E14113" s="111" t="str">
        <f t="shared" si="14111"/>
        <v>Chester</v>
      </c>
    </row>
    <row r="14114" spans="1:5">
      <c r="A14114" s="3" t="s">
        <v>25394</v>
      </c>
      <c r="B14114" s="110" t="s">
        <v>1368</v>
      </c>
      <c r="C14114" s="111" t="s">
        <v>11768</v>
      </c>
      <c r="D14114" s="111" t="str">
        <f t="shared" ref="D14114:E14114" si="14112">TRIM(B14114)</f>
        <v>South Carolina</v>
      </c>
      <c r="E14114" s="111" t="str">
        <f t="shared" si="14112"/>
        <v>Chesterfield</v>
      </c>
    </row>
    <row r="14115" spans="1:5">
      <c r="A14115" s="3" t="s">
        <v>3695</v>
      </c>
      <c r="B14115" s="110" t="s">
        <v>1368</v>
      </c>
      <c r="C14115" s="111" t="s">
        <v>3697</v>
      </c>
      <c r="D14115" s="111" t="str">
        <f t="shared" ref="D14115:E14115" si="14113">TRIM(B14115)</f>
        <v>South Carolina</v>
      </c>
      <c r="E14115" s="111" t="str">
        <f t="shared" si="14113"/>
        <v>Clinton</v>
      </c>
    </row>
    <row r="14116" spans="1:5">
      <c r="A14116" s="3" t="s">
        <v>25395</v>
      </c>
      <c r="B14116" s="110" t="s">
        <v>1368</v>
      </c>
      <c r="C14116" s="111" t="s">
        <v>25396</v>
      </c>
      <c r="D14116" s="111" t="str">
        <f t="shared" ref="D14116:E14116" si="14114">TRIM(B14116)</f>
        <v>South Carolina</v>
      </c>
      <c r="E14116" s="111" t="str">
        <f t="shared" si="14114"/>
        <v>Clover</v>
      </c>
    </row>
    <row r="14117" spans="1:5">
      <c r="A14117" s="3" t="s">
        <v>25397</v>
      </c>
      <c r="B14117" s="110" t="s">
        <v>1368</v>
      </c>
      <c r="C14117" s="111" t="s">
        <v>356</v>
      </c>
      <c r="D14117" s="111" t="str">
        <f t="shared" ref="D14117:E14117" si="14115">TRIM(B14117)</f>
        <v>South Carolina</v>
      </c>
      <c r="E14117" s="111" t="str">
        <f t="shared" si="14115"/>
        <v>Columbia</v>
      </c>
    </row>
    <row r="14118" spans="1:5">
      <c r="A14118" s="3" t="s">
        <v>25398</v>
      </c>
      <c r="B14118" s="110" t="s">
        <v>1368</v>
      </c>
      <c r="C14118" s="111" t="s">
        <v>356</v>
      </c>
      <c r="D14118" s="111" t="str">
        <f t="shared" ref="D14118:E14118" si="14116">TRIM(B14118)</f>
        <v>South Carolina</v>
      </c>
      <c r="E14118" s="111" t="str">
        <f t="shared" si="14116"/>
        <v>Columbia</v>
      </c>
    </row>
    <row r="14119" spans="1:5">
      <c r="A14119" s="3" t="s">
        <v>1870</v>
      </c>
      <c r="B14119" s="110" t="s">
        <v>1368</v>
      </c>
      <c r="C14119" s="111" t="s">
        <v>356</v>
      </c>
      <c r="D14119" s="111" t="str">
        <f t="shared" ref="D14119:E14119" si="14117">TRIM(B14119)</f>
        <v>South Carolina</v>
      </c>
      <c r="E14119" s="111" t="str">
        <f t="shared" si="14117"/>
        <v>Columbia</v>
      </c>
    </row>
    <row r="14120" spans="1:5">
      <c r="A14120" s="3" t="s">
        <v>25399</v>
      </c>
      <c r="B14120" s="110" t="s">
        <v>1368</v>
      </c>
      <c r="C14120" s="111" t="s">
        <v>356</v>
      </c>
      <c r="D14120" s="111" t="str">
        <f t="shared" ref="D14120:E14120" si="14118">TRIM(B14120)</f>
        <v>South Carolina</v>
      </c>
      <c r="E14120" s="111" t="str">
        <f t="shared" si="14118"/>
        <v>Columbia</v>
      </c>
    </row>
    <row r="14121" spans="1:5">
      <c r="A14121" s="3" t="s">
        <v>17164</v>
      </c>
      <c r="B14121" s="110" t="s">
        <v>1368</v>
      </c>
      <c r="C14121" s="111" t="s">
        <v>356</v>
      </c>
      <c r="D14121" s="111" t="str">
        <f t="shared" ref="D14121:E14121" si="14119">TRIM(B14121)</f>
        <v>South Carolina</v>
      </c>
      <c r="E14121" s="111" t="str">
        <f t="shared" si="14119"/>
        <v>Columbia</v>
      </c>
    </row>
    <row r="14122" spans="1:5">
      <c r="A14122" s="3" t="s">
        <v>25400</v>
      </c>
      <c r="B14122" s="110" t="s">
        <v>1368</v>
      </c>
      <c r="C14122" s="111" t="s">
        <v>356</v>
      </c>
      <c r="D14122" s="111" t="str">
        <f t="shared" ref="D14122:E14122" si="14120">TRIM(B14122)</f>
        <v>South Carolina</v>
      </c>
      <c r="E14122" s="111" t="str">
        <f t="shared" si="14120"/>
        <v>Columbia</v>
      </c>
    </row>
    <row r="14123" spans="1:5">
      <c r="A14123" s="110" t="s">
        <v>25401</v>
      </c>
      <c r="B14123" s="110" t="s">
        <v>1368</v>
      </c>
      <c r="C14123" s="111" t="s">
        <v>356</v>
      </c>
      <c r="D14123" s="111" t="str">
        <f t="shared" ref="D14123:E14123" si="14121">TRIM(B14123)</f>
        <v>South Carolina</v>
      </c>
      <c r="E14123" s="111" t="str">
        <f t="shared" si="14121"/>
        <v>Columbia</v>
      </c>
    </row>
    <row r="14124" spans="1:5">
      <c r="A14124" s="110" t="s">
        <v>25402</v>
      </c>
      <c r="B14124" s="110" t="s">
        <v>1368</v>
      </c>
      <c r="C14124" s="111" t="s">
        <v>356</v>
      </c>
      <c r="D14124" s="111" t="str">
        <f t="shared" ref="D14124:E14124" si="14122">TRIM(B14124)</f>
        <v>South Carolina</v>
      </c>
      <c r="E14124" s="111" t="str">
        <f t="shared" si="14122"/>
        <v>Columbia</v>
      </c>
    </row>
    <row r="14125" spans="1:5">
      <c r="A14125" s="3" t="s">
        <v>25403</v>
      </c>
      <c r="B14125" s="110" t="s">
        <v>1368</v>
      </c>
      <c r="C14125" s="111" t="s">
        <v>356</v>
      </c>
      <c r="D14125" s="111" t="str">
        <f t="shared" ref="D14125:E14125" si="14123">TRIM(B14125)</f>
        <v>South Carolina</v>
      </c>
      <c r="E14125" s="111" t="str">
        <f t="shared" si="14123"/>
        <v>Columbia</v>
      </c>
    </row>
    <row r="14126" spans="1:5">
      <c r="A14126" s="110" t="s">
        <v>25404</v>
      </c>
      <c r="B14126" s="110" t="s">
        <v>1368</v>
      </c>
      <c r="C14126" s="111" t="s">
        <v>356</v>
      </c>
      <c r="D14126" s="111" t="str">
        <f t="shared" ref="D14126:E14126" si="14124">TRIM(B14126)</f>
        <v>South Carolina</v>
      </c>
      <c r="E14126" s="111" t="str">
        <f t="shared" si="14124"/>
        <v>Columbia</v>
      </c>
    </row>
    <row r="14127" spans="1:5">
      <c r="A14127" s="3" t="s">
        <v>25405</v>
      </c>
      <c r="B14127" s="110" t="s">
        <v>1368</v>
      </c>
      <c r="C14127" s="111" t="s">
        <v>356</v>
      </c>
      <c r="D14127" s="111" t="str">
        <f t="shared" ref="D14127:E14127" si="14125">TRIM(B14127)</f>
        <v>South Carolina</v>
      </c>
      <c r="E14127" s="111" t="str">
        <f t="shared" si="14125"/>
        <v>Columbia</v>
      </c>
    </row>
    <row r="14128" spans="1:5">
      <c r="A14128" s="3" t="s">
        <v>14873</v>
      </c>
      <c r="B14128" s="110" t="s">
        <v>1368</v>
      </c>
      <c r="C14128" s="111" t="s">
        <v>356</v>
      </c>
      <c r="D14128" s="111" t="str">
        <f t="shared" ref="D14128:E14128" si="14126">TRIM(B14128)</f>
        <v>South Carolina</v>
      </c>
      <c r="E14128" s="111" t="str">
        <f t="shared" si="14126"/>
        <v>Columbia</v>
      </c>
    </row>
    <row r="14129" spans="1:5">
      <c r="A14129" s="110" t="s">
        <v>25406</v>
      </c>
      <c r="B14129" s="110" t="s">
        <v>1368</v>
      </c>
      <c r="C14129" s="111" t="s">
        <v>356</v>
      </c>
      <c r="D14129" s="111" t="str">
        <f t="shared" ref="D14129:E14129" si="14127">TRIM(B14129)</f>
        <v>South Carolina</v>
      </c>
      <c r="E14129" s="111" t="str">
        <f t="shared" si="14127"/>
        <v>Columbia</v>
      </c>
    </row>
    <row r="14130" spans="1:5">
      <c r="A14130" s="3" t="s">
        <v>19850</v>
      </c>
      <c r="B14130" s="110" t="s">
        <v>1368</v>
      </c>
      <c r="C14130" s="111" t="s">
        <v>356</v>
      </c>
      <c r="D14130" s="111" t="str">
        <f t="shared" ref="D14130:E14130" si="14128">TRIM(B14130)</f>
        <v>South Carolina</v>
      </c>
      <c r="E14130" s="111" t="str">
        <f t="shared" si="14128"/>
        <v>Columbia</v>
      </c>
    </row>
    <row r="14131" spans="1:5">
      <c r="A14131" s="3" t="s">
        <v>25407</v>
      </c>
      <c r="B14131" s="110" t="s">
        <v>1368</v>
      </c>
      <c r="C14131" s="111" t="s">
        <v>356</v>
      </c>
      <c r="D14131" s="111" t="str">
        <f t="shared" ref="D14131:E14131" si="14129">TRIM(B14131)</f>
        <v>South Carolina</v>
      </c>
      <c r="E14131" s="111" t="str">
        <f t="shared" si="14129"/>
        <v>Columbia</v>
      </c>
    </row>
    <row r="14132" spans="1:5">
      <c r="A14132" s="3" t="s">
        <v>25408</v>
      </c>
      <c r="B14132" s="110" t="s">
        <v>1368</v>
      </c>
      <c r="C14132" s="111" t="s">
        <v>1579</v>
      </c>
      <c r="D14132" s="111" t="str">
        <f t="shared" ref="D14132:E14132" si="14130">TRIM(B14132)</f>
        <v>South Carolina</v>
      </c>
      <c r="E14132" s="111" t="str">
        <f t="shared" si="14130"/>
        <v>Conway</v>
      </c>
    </row>
    <row r="14133" spans="1:5">
      <c r="A14133" s="3" t="s">
        <v>25409</v>
      </c>
      <c r="B14133" s="110" t="s">
        <v>1368</v>
      </c>
      <c r="C14133" s="111" t="s">
        <v>1579</v>
      </c>
      <c r="D14133" s="111" t="str">
        <f t="shared" ref="D14133:E14133" si="14131">TRIM(B14133)</f>
        <v>South Carolina</v>
      </c>
      <c r="E14133" s="111" t="str">
        <f t="shared" si="14131"/>
        <v>Conway</v>
      </c>
    </row>
    <row r="14134" spans="1:5">
      <c r="A14134" s="3" t="s">
        <v>25410</v>
      </c>
      <c r="B14134" s="110" t="s">
        <v>1368</v>
      </c>
      <c r="C14134" s="111" t="s">
        <v>1650</v>
      </c>
      <c r="D14134" s="111" t="str">
        <f t="shared" ref="D14134:E14134" si="14132">TRIM(B14134)</f>
        <v>South Carolina</v>
      </c>
      <c r="E14134" s="111" t="str">
        <f t="shared" si="14132"/>
        <v>Cordova</v>
      </c>
    </row>
    <row r="14135" spans="1:5">
      <c r="A14135" s="3" t="s">
        <v>25411</v>
      </c>
      <c r="B14135" s="110" t="s">
        <v>1368</v>
      </c>
      <c r="C14135" s="111" t="s">
        <v>25412</v>
      </c>
      <c r="D14135" s="111" t="str">
        <f t="shared" ref="D14135:E14135" si="14133">TRIM(B14135)</f>
        <v>South Carolina</v>
      </c>
      <c r="E14135" s="111" t="str">
        <f t="shared" si="14133"/>
        <v>Cross</v>
      </c>
    </row>
    <row r="14136" spans="1:5">
      <c r="A14136" s="3" t="s">
        <v>25413</v>
      </c>
      <c r="B14136" s="110" t="s">
        <v>1368</v>
      </c>
      <c r="C14136" s="111" t="s">
        <v>25414</v>
      </c>
      <c r="D14136" s="111" t="str">
        <f t="shared" ref="D14136:E14136" si="14134">TRIM(B14136)</f>
        <v>South Carolina</v>
      </c>
      <c r="E14136" s="111" t="str">
        <f t="shared" si="14134"/>
        <v>Darlington</v>
      </c>
    </row>
    <row r="14137" spans="1:5">
      <c r="A14137" s="3" t="s">
        <v>25415</v>
      </c>
      <c r="B14137" s="110" t="s">
        <v>1368</v>
      </c>
      <c r="C14137" s="111" t="s">
        <v>25414</v>
      </c>
      <c r="D14137" s="111" t="str">
        <f t="shared" ref="D14137:E14137" si="14135">TRIM(B14137)</f>
        <v>South Carolina</v>
      </c>
      <c r="E14137" s="111" t="str">
        <f t="shared" si="14135"/>
        <v>Darlington</v>
      </c>
    </row>
    <row r="14138" spans="1:5">
      <c r="A14138" s="3" t="s">
        <v>25416</v>
      </c>
      <c r="B14138" s="110" t="s">
        <v>1368</v>
      </c>
      <c r="C14138" s="111" t="s">
        <v>25417</v>
      </c>
      <c r="D14138" s="111" t="str">
        <f t="shared" ref="D14138:E14138" si="14136">TRIM(B14138)</f>
        <v>South Carolina</v>
      </c>
      <c r="E14138" s="111" t="str">
        <f t="shared" si="14136"/>
        <v>Denmark</v>
      </c>
    </row>
    <row r="14139" spans="1:5">
      <c r="A14139" s="3" t="s">
        <v>25418</v>
      </c>
      <c r="B14139" s="110" t="s">
        <v>1368</v>
      </c>
      <c r="C14139" s="111" t="s">
        <v>19305</v>
      </c>
      <c r="D14139" s="111" t="str">
        <f t="shared" ref="D14139:E14139" si="14137">TRIM(B14139)</f>
        <v>South Carolina</v>
      </c>
      <c r="E14139" s="111" t="str">
        <f t="shared" si="14137"/>
        <v>Dillon</v>
      </c>
    </row>
    <row r="14140" spans="1:5">
      <c r="A14140" s="3" t="s">
        <v>2285</v>
      </c>
      <c r="B14140" s="110" t="s">
        <v>1368</v>
      </c>
      <c r="C14140" s="111" t="s">
        <v>11249</v>
      </c>
      <c r="D14140" s="111" t="str">
        <f t="shared" ref="D14140:E14140" si="14138">TRIM(B14140)</f>
        <v>South Carolina</v>
      </c>
      <c r="E14140" s="111" t="str">
        <f t="shared" si="14138"/>
        <v>Dorchester</v>
      </c>
    </row>
    <row r="14141" spans="1:5">
      <c r="A14141" s="3" t="s">
        <v>23294</v>
      </c>
      <c r="B14141" s="110" t="s">
        <v>1368</v>
      </c>
      <c r="C14141" s="111" t="s">
        <v>25419</v>
      </c>
      <c r="D14141" s="111" t="str">
        <f t="shared" ref="D14141:E14141" si="14139">TRIM(B14141)</f>
        <v>South Carolina</v>
      </c>
      <c r="E14141" s="111" t="str">
        <f t="shared" si="14139"/>
        <v>Due West</v>
      </c>
    </row>
    <row r="14142" spans="1:5">
      <c r="A14142" s="3" t="s">
        <v>25420</v>
      </c>
      <c r="B14142" s="110" t="s">
        <v>1368</v>
      </c>
      <c r="C14142" s="111" t="s">
        <v>2590</v>
      </c>
      <c r="D14142" s="111" t="str">
        <f t="shared" ref="D14142:E14142" si="14140">TRIM(B14142)</f>
        <v>South Carolina</v>
      </c>
      <c r="E14142" s="111" t="str">
        <f t="shared" si="14140"/>
        <v>Duncan</v>
      </c>
    </row>
    <row r="14143" spans="1:5">
      <c r="A14143" s="3" t="s">
        <v>25421</v>
      </c>
      <c r="B14143" s="110" t="s">
        <v>1368</v>
      </c>
      <c r="C14143" s="111" t="s">
        <v>25422</v>
      </c>
      <c r="D14143" s="111" t="str">
        <f t="shared" ref="D14143:E14143" si="14141">TRIM(B14143)</f>
        <v>South Carolina</v>
      </c>
      <c r="E14143" s="111" t="str">
        <f t="shared" si="14141"/>
        <v>Easley</v>
      </c>
    </row>
    <row r="14144" spans="1:5">
      <c r="A14144" s="3" t="s">
        <v>25423</v>
      </c>
      <c r="B14144" s="110" t="s">
        <v>1368</v>
      </c>
      <c r="C14144" s="111" t="s">
        <v>13370</v>
      </c>
      <c r="D14144" s="111" t="str">
        <f t="shared" ref="D14144:E14144" si="14142">TRIM(B14144)</f>
        <v>South Carolina</v>
      </c>
      <c r="E14144" s="111" t="str">
        <f t="shared" si="14142"/>
        <v>Estill</v>
      </c>
    </row>
    <row r="14145" spans="1:5">
      <c r="A14145" s="3" t="s">
        <v>25424</v>
      </c>
      <c r="B14145" s="110" t="s">
        <v>1368</v>
      </c>
      <c r="C14145" s="111" t="s">
        <v>603</v>
      </c>
      <c r="D14145" s="111" t="str">
        <f t="shared" ref="D14145:E14145" si="14143">TRIM(B14145)</f>
        <v>South Carolina</v>
      </c>
      <c r="E14145" s="111" t="str">
        <f t="shared" si="14143"/>
        <v>Fairfax</v>
      </c>
    </row>
    <row r="14146" spans="1:5">
      <c r="A14146" s="3" t="s">
        <v>25425</v>
      </c>
      <c r="B14146" s="110" t="s">
        <v>1368</v>
      </c>
      <c r="C14146" s="111" t="s">
        <v>1756</v>
      </c>
      <c r="D14146" s="111" t="str">
        <f t="shared" ref="D14146:E14146" si="14144">TRIM(B14146)</f>
        <v>South Carolina</v>
      </c>
      <c r="E14146" s="111" t="str">
        <f t="shared" si="14144"/>
        <v>Florence</v>
      </c>
    </row>
    <row r="14147" spans="1:5">
      <c r="A14147" s="3" t="s">
        <v>25426</v>
      </c>
      <c r="B14147" s="110" t="s">
        <v>1368</v>
      </c>
      <c r="C14147" s="111" t="s">
        <v>1756</v>
      </c>
      <c r="D14147" s="111" t="str">
        <f t="shared" ref="D14147:E14147" si="14145">TRIM(B14147)</f>
        <v>South Carolina</v>
      </c>
      <c r="E14147" s="111" t="str">
        <f t="shared" si="14145"/>
        <v>Florence</v>
      </c>
    </row>
    <row r="14148" spans="1:5">
      <c r="A14148" s="3" t="s">
        <v>5567</v>
      </c>
      <c r="B14148" s="110" t="s">
        <v>1368</v>
      </c>
      <c r="C14148" s="111" t="s">
        <v>1756</v>
      </c>
      <c r="D14148" s="111" t="str">
        <f t="shared" ref="D14148:E14148" si="14146">TRIM(B14148)</f>
        <v>South Carolina</v>
      </c>
      <c r="E14148" s="111" t="str">
        <f t="shared" si="14146"/>
        <v>Florence</v>
      </c>
    </row>
    <row r="14149" spans="1:5">
      <c r="A14149" s="3" t="s">
        <v>25427</v>
      </c>
      <c r="B14149" s="110" t="s">
        <v>1368</v>
      </c>
      <c r="C14149" s="111" t="s">
        <v>25428</v>
      </c>
      <c r="D14149" s="111" t="str">
        <f t="shared" ref="D14149:E14149" si="14147">TRIM(B14149)</f>
        <v>South Carolina</v>
      </c>
      <c r="E14149" s="111" t="str">
        <f t="shared" si="14147"/>
        <v>Fort Mill</v>
      </c>
    </row>
    <row r="14150" spans="1:5">
      <c r="A14150" s="3" t="s">
        <v>25429</v>
      </c>
      <c r="B14150" s="110" t="s">
        <v>1368</v>
      </c>
      <c r="C14150" s="111" t="s">
        <v>25428</v>
      </c>
      <c r="D14150" s="111" t="str">
        <f t="shared" ref="D14150:E14150" si="14148">TRIM(B14150)</f>
        <v>South Carolina</v>
      </c>
      <c r="E14150" s="111" t="str">
        <f t="shared" si="14148"/>
        <v>Fort Mill</v>
      </c>
    </row>
    <row r="14151" spans="1:5">
      <c r="A14151" s="3" t="s">
        <v>25430</v>
      </c>
      <c r="B14151" s="110" t="s">
        <v>1368</v>
      </c>
      <c r="C14151" s="111" t="s">
        <v>216</v>
      </c>
      <c r="D14151" s="111" t="str">
        <f t="shared" ref="D14151:E14151" si="14149">TRIM(B14151)</f>
        <v>South Carolina</v>
      </c>
      <c r="E14151" s="111" t="str">
        <f t="shared" si="14149"/>
        <v>Gaffney</v>
      </c>
    </row>
    <row r="14152" spans="1:5">
      <c r="A14152" s="3" t="s">
        <v>16651</v>
      </c>
      <c r="B14152" s="110" t="s">
        <v>1368</v>
      </c>
      <c r="C14152" s="111" t="s">
        <v>8818</v>
      </c>
      <c r="D14152" s="111" t="str">
        <f t="shared" ref="D14152:E14152" si="14150">TRIM(B14152)</f>
        <v>South Carolina</v>
      </c>
      <c r="E14152" s="111" t="str">
        <f t="shared" si="14150"/>
        <v>Georgetown</v>
      </c>
    </row>
    <row r="14153" spans="1:5">
      <c r="A14153" s="3" t="s">
        <v>2661</v>
      </c>
      <c r="B14153" s="110" t="s">
        <v>1368</v>
      </c>
      <c r="C14153" s="111" t="s">
        <v>2649</v>
      </c>
      <c r="D14153" s="111" t="str">
        <f t="shared" ref="D14153:E14153" si="14151">TRIM(B14153)</f>
        <v>South Carolina</v>
      </c>
      <c r="E14153" s="111" t="str">
        <f t="shared" si="14151"/>
        <v>Gilbert</v>
      </c>
    </row>
    <row r="14154" spans="1:5">
      <c r="A14154" s="3" t="s">
        <v>25431</v>
      </c>
      <c r="B14154" s="110" t="s">
        <v>1368</v>
      </c>
      <c r="C14154" s="111" t="s">
        <v>25432</v>
      </c>
      <c r="D14154" s="111" t="str">
        <f t="shared" ref="D14154:E14154" si="14152">TRIM(B14154)</f>
        <v>South Carolina</v>
      </c>
      <c r="E14154" s="111" t="str">
        <f t="shared" si="14152"/>
        <v>Goose Creek</v>
      </c>
    </row>
    <row r="14155" spans="1:5">
      <c r="A14155" s="3" t="s">
        <v>8697</v>
      </c>
      <c r="B14155" s="110" t="s">
        <v>1368</v>
      </c>
      <c r="C14155" s="111" t="s">
        <v>25432</v>
      </c>
      <c r="D14155" s="111" t="str">
        <f t="shared" ref="D14155:E14155" si="14153">TRIM(B14155)</f>
        <v>South Carolina</v>
      </c>
      <c r="E14155" s="111" t="str">
        <f t="shared" si="14153"/>
        <v>Goose Creek</v>
      </c>
    </row>
    <row r="14156" spans="1:5">
      <c r="A14156" s="3" t="s">
        <v>25433</v>
      </c>
      <c r="B14156" s="110" t="s">
        <v>1368</v>
      </c>
      <c r="C14156" s="111" t="s">
        <v>25434</v>
      </c>
      <c r="D14156" s="111" t="str">
        <f t="shared" ref="D14156:E14156" si="14154">TRIM(B14156)</f>
        <v>South Carolina</v>
      </c>
      <c r="E14156" s="111" t="str">
        <f t="shared" si="14154"/>
        <v>Graniteville</v>
      </c>
    </row>
    <row r="14157" spans="1:5">
      <c r="A14157" s="3" t="s">
        <v>19337</v>
      </c>
      <c r="B14157" s="110" t="s">
        <v>1368</v>
      </c>
      <c r="C14157" s="111" t="s">
        <v>5687</v>
      </c>
      <c r="D14157" s="111" t="str">
        <f t="shared" ref="D14157:E14157" si="14155">TRIM(B14157)</f>
        <v>South Carolina</v>
      </c>
      <c r="E14157" s="111" t="str">
        <f t="shared" si="14155"/>
        <v>Great Falls</v>
      </c>
    </row>
    <row r="14158" spans="1:5">
      <c r="A14158" s="3" t="s">
        <v>25435</v>
      </c>
      <c r="B14158" s="110" t="s">
        <v>1368</v>
      </c>
      <c r="C14158" s="111" t="s">
        <v>25436</v>
      </c>
      <c r="D14158" s="111" t="str">
        <f t="shared" ref="D14158:E14158" si="14156">TRIM(B14158)</f>
        <v>South Carolina</v>
      </c>
      <c r="E14158" s="111" t="str">
        <f t="shared" si="14156"/>
        <v>Greeleyville</v>
      </c>
    </row>
    <row r="14159" spans="1:5">
      <c r="A14159" s="3" t="s">
        <v>25437</v>
      </c>
      <c r="B14159" s="110" t="s">
        <v>1368</v>
      </c>
      <c r="C14159" s="111" t="s">
        <v>25438</v>
      </c>
      <c r="D14159" s="111" t="str">
        <f t="shared" ref="D14159:E14159" si="14157">TRIM(B14159)</f>
        <v>South Carolina</v>
      </c>
      <c r="E14159" s="111" t="str">
        <f t="shared" si="14157"/>
        <v>Green Sea</v>
      </c>
    </row>
    <row r="14160" spans="1:5">
      <c r="A14160" s="3" t="s">
        <v>25439</v>
      </c>
      <c r="B14160" s="110" t="s">
        <v>1368</v>
      </c>
      <c r="C14160" s="111" t="s">
        <v>1804</v>
      </c>
      <c r="D14160" s="111" t="str">
        <f t="shared" ref="D14160:E14160" si="14158">TRIM(B14160)</f>
        <v>South Carolina</v>
      </c>
      <c r="E14160" s="111" t="str">
        <f t="shared" si="14158"/>
        <v>Greenville</v>
      </c>
    </row>
    <row r="14161" spans="1:5">
      <c r="A14161" s="3" t="s">
        <v>25440</v>
      </c>
      <c r="B14161" s="110" t="s">
        <v>1368</v>
      </c>
      <c r="C14161" s="111" t="s">
        <v>1804</v>
      </c>
      <c r="D14161" s="111" t="str">
        <f t="shared" ref="D14161:E14161" si="14159">TRIM(B14161)</f>
        <v>South Carolina</v>
      </c>
      <c r="E14161" s="111" t="str">
        <f t="shared" si="14159"/>
        <v>Greenville</v>
      </c>
    </row>
    <row r="14162" spans="1:5">
      <c r="A14162" s="3" t="s">
        <v>25441</v>
      </c>
      <c r="B14162" s="110" t="s">
        <v>1368</v>
      </c>
      <c r="C14162" s="111" t="s">
        <v>1804</v>
      </c>
      <c r="D14162" s="111" t="str">
        <f t="shared" ref="D14162:E14162" si="14160">TRIM(B14162)</f>
        <v>South Carolina</v>
      </c>
      <c r="E14162" s="111" t="str">
        <f t="shared" si="14160"/>
        <v>Greenville</v>
      </c>
    </row>
    <row r="14163" spans="1:5">
      <c r="A14163" s="3" t="s">
        <v>25442</v>
      </c>
      <c r="B14163" s="110" t="s">
        <v>1368</v>
      </c>
      <c r="C14163" s="111" t="s">
        <v>1804</v>
      </c>
      <c r="D14163" s="111" t="str">
        <f t="shared" ref="D14163:E14163" si="14161">TRIM(B14163)</f>
        <v>South Carolina</v>
      </c>
      <c r="E14163" s="111" t="str">
        <f t="shared" si="14161"/>
        <v>Greenville</v>
      </c>
    </row>
    <row r="14164" spans="1:5">
      <c r="A14164" s="3" t="s">
        <v>25443</v>
      </c>
      <c r="B14164" s="110" t="s">
        <v>1368</v>
      </c>
      <c r="C14164" s="111" t="s">
        <v>1804</v>
      </c>
      <c r="D14164" s="111" t="str">
        <f t="shared" ref="D14164:E14164" si="14162">TRIM(B14164)</f>
        <v>South Carolina</v>
      </c>
      <c r="E14164" s="111" t="str">
        <f t="shared" si="14162"/>
        <v>Greenville</v>
      </c>
    </row>
    <row r="14165" spans="1:5">
      <c r="A14165" s="3" t="s">
        <v>25444</v>
      </c>
      <c r="B14165" s="110" t="s">
        <v>1368</v>
      </c>
      <c r="C14165" s="111" t="s">
        <v>1804</v>
      </c>
      <c r="D14165" s="111" t="str">
        <f t="shared" ref="D14165:E14165" si="14163">TRIM(B14165)</f>
        <v>South Carolina</v>
      </c>
      <c r="E14165" s="111" t="str">
        <f t="shared" si="14163"/>
        <v>Greenville</v>
      </c>
    </row>
    <row r="14166" spans="1:5">
      <c r="A14166" s="3" t="s">
        <v>25445</v>
      </c>
      <c r="B14166" s="110" t="s">
        <v>1368</v>
      </c>
      <c r="C14166" s="111" t="s">
        <v>1804</v>
      </c>
      <c r="D14166" s="111" t="str">
        <f t="shared" ref="D14166:E14166" si="14164">TRIM(B14166)</f>
        <v>South Carolina</v>
      </c>
      <c r="E14166" s="111" t="str">
        <f t="shared" si="14164"/>
        <v>Greenville</v>
      </c>
    </row>
    <row r="14167" spans="1:5">
      <c r="A14167" s="110" t="s">
        <v>25446</v>
      </c>
      <c r="B14167" s="110" t="s">
        <v>1368</v>
      </c>
      <c r="C14167" s="111" t="s">
        <v>1804</v>
      </c>
      <c r="D14167" s="111" t="str">
        <f t="shared" ref="D14167:E14167" si="14165">TRIM(B14167)</f>
        <v>South Carolina</v>
      </c>
      <c r="E14167" s="111" t="str">
        <f t="shared" si="14165"/>
        <v>Greenville</v>
      </c>
    </row>
    <row r="14168" spans="1:5">
      <c r="A14168" s="3" t="s">
        <v>2160</v>
      </c>
      <c r="B14168" s="110" t="s">
        <v>1368</v>
      </c>
      <c r="C14168" s="111" t="s">
        <v>1804</v>
      </c>
      <c r="D14168" s="111" t="str">
        <f t="shared" ref="D14168:E14168" si="14166">TRIM(B14168)</f>
        <v>South Carolina</v>
      </c>
      <c r="E14168" s="111" t="str">
        <f t="shared" si="14166"/>
        <v>Greenville</v>
      </c>
    </row>
    <row r="14169" spans="1:5">
      <c r="A14169" s="3" t="s">
        <v>25447</v>
      </c>
      <c r="B14169" s="110" t="s">
        <v>1368</v>
      </c>
      <c r="C14169" s="111" t="s">
        <v>1804</v>
      </c>
      <c r="D14169" s="111" t="str">
        <f t="shared" ref="D14169:E14169" si="14167">TRIM(B14169)</f>
        <v>South Carolina</v>
      </c>
      <c r="E14169" s="111" t="str">
        <f t="shared" si="14167"/>
        <v>Greenville</v>
      </c>
    </row>
    <row r="14170" spans="1:5">
      <c r="A14170" s="3" t="s">
        <v>25448</v>
      </c>
      <c r="B14170" s="110" t="s">
        <v>1368</v>
      </c>
      <c r="C14170" s="111" t="s">
        <v>3820</v>
      </c>
      <c r="D14170" s="111" t="str">
        <f t="shared" ref="D14170:E14170" si="14168">TRIM(B14170)</f>
        <v>South Carolina</v>
      </c>
      <c r="E14170" s="111" t="str">
        <f t="shared" si="14168"/>
        <v>Greenwood</v>
      </c>
    </row>
    <row r="14171" spans="1:5">
      <c r="A14171" s="3" t="s">
        <v>3819</v>
      </c>
      <c r="B14171" s="110" t="s">
        <v>1368</v>
      </c>
      <c r="C14171" s="111" t="s">
        <v>3820</v>
      </c>
      <c r="D14171" s="111" t="str">
        <f t="shared" ref="D14171:E14171" si="14169">TRIM(B14171)</f>
        <v>South Carolina</v>
      </c>
      <c r="E14171" s="111" t="str">
        <f t="shared" si="14169"/>
        <v>Greenwood</v>
      </c>
    </row>
    <row r="14172" spans="1:5">
      <c r="A14172" s="3" t="s">
        <v>2794</v>
      </c>
      <c r="B14172" s="110" t="s">
        <v>1368</v>
      </c>
      <c r="C14172" s="111" t="s">
        <v>25449</v>
      </c>
      <c r="D14172" s="111" t="str">
        <f t="shared" ref="D14172:E14172" si="14170">TRIM(B14172)</f>
        <v>South Carolina</v>
      </c>
      <c r="E14172" s="111" t="str">
        <f t="shared" si="14170"/>
        <v>Greer</v>
      </c>
    </row>
    <row r="14173" spans="1:5">
      <c r="A14173" s="3" t="s">
        <v>25450</v>
      </c>
      <c r="B14173" s="110" t="s">
        <v>1368</v>
      </c>
      <c r="C14173" s="111" t="s">
        <v>25449</v>
      </c>
      <c r="D14173" s="111" t="str">
        <f t="shared" ref="D14173:E14173" si="14171">TRIM(B14173)</f>
        <v>South Carolina</v>
      </c>
      <c r="E14173" s="111" t="str">
        <f t="shared" si="14171"/>
        <v>Greer</v>
      </c>
    </row>
    <row r="14174" spans="1:5">
      <c r="A14174" s="3" t="s">
        <v>3921</v>
      </c>
      <c r="B14174" s="110" t="s">
        <v>1368</v>
      </c>
      <c r="C14174" s="111" t="s">
        <v>25449</v>
      </c>
      <c r="D14174" s="111" t="str">
        <f t="shared" ref="D14174:E14174" si="14172">TRIM(B14174)</f>
        <v>South Carolina</v>
      </c>
      <c r="E14174" s="111" t="str">
        <f t="shared" si="14172"/>
        <v>Greer</v>
      </c>
    </row>
    <row r="14175" spans="1:5">
      <c r="A14175" s="3" t="s">
        <v>25451</v>
      </c>
      <c r="B14175" s="110" t="s">
        <v>1368</v>
      </c>
      <c r="C14175" s="111" t="s">
        <v>25452</v>
      </c>
      <c r="D14175" s="111" t="str">
        <f t="shared" ref="D14175:E14175" si="14173">TRIM(B14175)</f>
        <v>South Carolina</v>
      </c>
      <c r="E14175" s="111" t="str">
        <f t="shared" si="14173"/>
        <v>Hanahan</v>
      </c>
    </row>
    <row r="14176" spans="1:5">
      <c r="A14176" s="3" t="s">
        <v>25453</v>
      </c>
      <c r="B14176" s="110" t="s">
        <v>1368</v>
      </c>
      <c r="C14176" s="111" t="s">
        <v>25454</v>
      </c>
      <c r="D14176" s="111" t="str">
        <f t="shared" ref="D14176:E14176" si="14174">TRIM(B14176)</f>
        <v>South Carolina</v>
      </c>
      <c r="E14176" s="111" t="str">
        <f t="shared" si="14174"/>
        <v>Hartsville</v>
      </c>
    </row>
    <row r="14177" spans="1:5">
      <c r="A14177" s="110" t="s">
        <v>25455</v>
      </c>
      <c r="B14177" s="110" t="s">
        <v>1368</v>
      </c>
      <c r="C14177" s="111" t="s">
        <v>25454</v>
      </c>
      <c r="D14177" s="111" t="str">
        <f t="shared" ref="D14177:E14177" si="14175">TRIM(B14177)</f>
        <v>South Carolina</v>
      </c>
      <c r="E14177" s="111" t="str">
        <f t="shared" si="14175"/>
        <v>Hartsville</v>
      </c>
    </row>
    <row r="14178" spans="1:5">
      <c r="A14178" s="3" t="s">
        <v>25456</v>
      </c>
      <c r="B14178" s="110" t="s">
        <v>1368</v>
      </c>
      <c r="C14178" s="111" t="s">
        <v>25457</v>
      </c>
      <c r="D14178" s="111" t="str">
        <f t="shared" ref="D14178:E14178" si="14176">TRIM(B14178)</f>
        <v>South Carolina</v>
      </c>
      <c r="E14178" s="111" t="str">
        <f t="shared" si="14176"/>
        <v>Hemingway</v>
      </c>
    </row>
    <row r="14179" spans="1:5">
      <c r="A14179" s="3" t="s">
        <v>25458</v>
      </c>
      <c r="B14179" s="110" t="s">
        <v>1368</v>
      </c>
      <c r="C14179" s="111" t="s">
        <v>25457</v>
      </c>
      <c r="D14179" s="111" t="str">
        <f t="shared" ref="D14179:E14179" si="14177">TRIM(B14179)</f>
        <v>South Carolina</v>
      </c>
      <c r="E14179" s="111" t="str">
        <f t="shared" si="14177"/>
        <v>Hemingway</v>
      </c>
    </row>
    <row r="14180" spans="1:5">
      <c r="A14180" s="3" t="s">
        <v>25459</v>
      </c>
      <c r="B14180" s="110" t="s">
        <v>1368</v>
      </c>
      <c r="C14180" s="113" t="s">
        <v>13345</v>
      </c>
      <c r="D14180" s="111" t="str">
        <f t="shared" ref="D14180:E14180" si="14178">TRIM(B14180)</f>
        <v>South Carolina</v>
      </c>
      <c r="E14180" s="111" t="str">
        <f t="shared" si="14178"/>
        <v>Hilton Head Island</v>
      </c>
    </row>
    <row r="14181" spans="1:5">
      <c r="A14181" s="3" t="s">
        <v>25460</v>
      </c>
      <c r="B14181" s="110" t="s">
        <v>1368</v>
      </c>
      <c r="C14181" s="111" t="s">
        <v>5286</v>
      </c>
      <c r="D14181" s="111" t="str">
        <f t="shared" ref="D14181:E14181" si="14179">TRIM(B14181)</f>
        <v>South Carolina</v>
      </c>
      <c r="E14181" s="111" t="str">
        <f t="shared" si="14179"/>
        <v>Hollywood</v>
      </c>
    </row>
    <row r="14182" spans="1:5">
      <c r="A14182" s="3" t="s">
        <v>25461</v>
      </c>
      <c r="B14182" s="110" t="s">
        <v>1368</v>
      </c>
      <c r="C14182" s="111" t="s">
        <v>25462</v>
      </c>
      <c r="D14182" s="111" t="str">
        <f t="shared" ref="D14182:E14182" si="14180">TRIM(B14182)</f>
        <v>South Carolina</v>
      </c>
      <c r="E14182" s="111" t="str">
        <f t="shared" si="14180"/>
        <v>Honea Path</v>
      </c>
    </row>
    <row r="14183" spans="1:5">
      <c r="A14183" s="3" t="s">
        <v>25463</v>
      </c>
      <c r="B14183" s="110" t="s">
        <v>1368</v>
      </c>
      <c r="C14183" s="111" t="s">
        <v>1217</v>
      </c>
      <c r="D14183" s="111" t="str">
        <f t="shared" ref="D14183:E14183" si="14181">TRIM(B14183)</f>
        <v>South Carolina</v>
      </c>
      <c r="E14183" s="111" t="str">
        <f t="shared" si="14181"/>
        <v>Hopkins</v>
      </c>
    </row>
    <row r="14184" spans="1:5">
      <c r="A14184" s="3" t="s">
        <v>25464</v>
      </c>
      <c r="B14184" s="110" t="s">
        <v>1368</v>
      </c>
      <c r="C14184" s="111" t="s">
        <v>25465</v>
      </c>
      <c r="D14184" s="111" t="str">
        <f t="shared" ref="D14184:E14184" si="14182">TRIM(B14184)</f>
        <v>South Carolina</v>
      </c>
      <c r="E14184" s="111" t="str">
        <f t="shared" si="14182"/>
        <v>Indian Land</v>
      </c>
    </row>
    <row r="14185" spans="1:5">
      <c r="A14185" s="3" t="s">
        <v>15209</v>
      </c>
      <c r="B14185" s="110" t="s">
        <v>1368</v>
      </c>
      <c r="C14185" s="111" t="s">
        <v>15329</v>
      </c>
      <c r="D14185" s="111" t="str">
        <f t="shared" ref="D14185:E14185" si="14183">TRIM(B14185)</f>
        <v>South Carolina</v>
      </c>
      <c r="E14185" s="111" t="str">
        <f t="shared" si="14183"/>
        <v>Inman</v>
      </c>
    </row>
    <row r="14186" spans="1:5">
      <c r="A14186" s="3" t="s">
        <v>25466</v>
      </c>
      <c r="B14186" s="110" t="s">
        <v>1368</v>
      </c>
      <c r="C14186" s="111" t="s">
        <v>25467</v>
      </c>
      <c r="D14186" s="111" t="str">
        <f t="shared" ref="D14186:E14186" si="14184">TRIM(B14186)</f>
        <v>South Carolina</v>
      </c>
      <c r="E14186" s="111" t="str">
        <f t="shared" si="14184"/>
        <v>Irmo</v>
      </c>
    </row>
    <row r="14187" spans="1:5">
      <c r="A14187" s="3" t="s">
        <v>23744</v>
      </c>
      <c r="B14187" s="110" t="s">
        <v>1368</v>
      </c>
      <c r="C14187" s="111" t="s">
        <v>25468</v>
      </c>
      <c r="D14187" s="111" t="str">
        <f t="shared" ref="D14187:E14187" si="14185">TRIM(B14187)</f>
        <v>South Carolina</v>
      </c>
      <c r="E14187" s="111" t="str">
        <f t="shared" si="14185"/>
        <v>Iva</v>
      </c>
    </row>
    <row r="14188" spans="1:5">
      <c r="A14188" s="3" t="s">
        <v>25469</v>
      </c>
      <c r="B14188" s="110" t="s">
        <v>1368</v>
      </c>
      <c r="C14188" s="111" t="s">
        <v>13320</v>
      </c>
      <c r="D14188" s="111" t="str">
        <f t="shared" ref="D14188:E14188" si="14186">TRIM(B14188)</f>
        <v>South Carolina</v>
      </c>
      <c r="E14188" s="111" t="str">
        <f t="shared" si="14186"/>
        <v>Johns Island</v>
      </c>
    </row>
    <row r="14189" spans="1:5">
      <c r="A14189" s="3" t="s">
        <v>25470</v>
      </c>
      <c r="B14189" s="110" t="s">
        <v>1368</v>
      </c>
      <c r="C14189" s="111" t="s">
        <v>25471</v>
      </c>
      <c r="D14189" s="111" t="str">
        <f t="shared" ref="D14189:E14189" si="14187">TRIM(B14189)</f>
        <v>South Carolina</v>
      </c>
      <c r="E14189" s="111" t="str">
        <f t="shared" si="14187"/>
        <v>Johnsonville</v>
      </c>
    </row>
    <row r="14190" spans="1:5">
      <c r="A14190" s="3" t="s">
        <v>25472</v>
      </c>
      <c r="B14190" s="110" t="s">
        <v>1368</v>
      </c>
      <c r="C14190" s="111" t="s">
        <v>491</v>
      </c>
      <c r="D14190" s="111" t="str">
        <f t="shared" ref="D14190:E14190" si="14188">TRIM(B14190)</f>
        <v>South Carolina</v>
      </c>
      <c r="E14190" s="111" t="str">
        <f t="shared" si="14188"/>
        <v>Johnston</v>
      </c>
    </row>
    <row r="14191" spans="1:5">
      <c r="A14191" s="3" t="s">
        <v>9393</v>
      </c>
      <c r="B14191" s="110" t="s">
        <v>1368</v>
      </c>
      <c r="C14191" s="111" t="s">
        <v>25473</v>
      </c>
      <c r="D14191" s="111" t="str">
        <f t="shared" ref="D14191:E14191" si="14189">TRIM(B14191)</f>
        <v>South Carolina</v>
      </c>
      <c r="E14191" s="111" t="str">
        <f t="shared" si="14189"/>
        <v>Kershaw</v>
      </c>
    </row>
    <row r="14192" spans="1:5">
      <c r="A14192" s="3" t="s">
        <v>14320</v>
      </c>
      <c r="B14192" s="110" t="s">
        <v>1368</v>
      </c>
      <c r="C14192" s="111" t="s">
        <v>25473</v>
      </c>
      <c r="D14192" s="111" t="str">
        <f t="shared" ref="D14192:E14192" si="14190">TRIM(B14192)</f>
        <v>South Carolina</v>
      </c>
      <c r="E14192" s="111" t="str">
        <f t="shared" si="14190"/>
        <v>Kershaw</v>
      </c>
    </row>
    <row r="14193" spans="1:5">
      <c r="A14193" s="3" t="s">
        <v>25474</v>
      </c>
      <c r="B14193" s="110" t="s">
        <v>1368</v>
      </c>
      <c r="C14193" s="111" t="s">
        <v>13418</v>
      </c>
      <c r="D14193" s="111" t="str">
        <f t="shared" ref="D14193:E14193" si="14191">TRIM(B14193)</f>
        <v>South Carolina</v>
      </c>
      <c r="E14193" s="111" t="str">
        <f t="shared" si="14191"/>
        <v>Kingstree</v>
      </c>
    </row>
    <row r="14194" spans="1:5">
      <c r="A14194" s="3" t="s">
        <v>11656</v>
      </c>
      <c r="B14194" s="110" t="s">
        <v>1368</v>
      </c>
      <c r="C14194" s="111" t="s">
        <v>3922</v>
      </c>
      <c r="D14194" s="111" t="str">
        <f t="shared" ref="D14194:E14194" si="14192">TRIM(B14194)</f>
        <v>South Carolina</v>
      </c>
      <c r="E14194" s="111" t="str">
        <f t="shared" si="14192"/>
        <v>Lake City</v>
      </c>
    </row>
    <row r="14195" spans="1:5">
      <c r="A14195" s="3" t="s">
        <v>12388</v>
      </c>
      <c r="B14195" s="110" t="s">
        <v>1368</v>
      </c>
      <c r="C14195" s="111" t="s">
        <v>14917</v>
      </c>
      <c r="D14195" s="111" t="str">
        <f t="shared" ref="D14195:E14195" si="14193">TRIM(B14195)</f>
        <v>South Carolina</v>
      </c>
      <c r="E14195" s="111" t="str">
        <f t="shared" si="14193"/>
        <v>Lake View</v>
      </c>
    </row>
    <row r="14196" spans="1:5">
      <c r="A14196" s="3" t="s">
        <v>3927</v>
      </c>
      <c r="B14196" s="110" t="s">
        <v>1368</v>
      </c>
      <c r="C14196" s="111" t="s">
        <v>3928</v>
      </c>
      <c r="D14196" s="111" t="str">
        <f t="shared" ref="D14196:E14196" si="14194">TRIM(B14196)</f>
        <v>South Carolina</v>
      </c>
      <c r="E14196" s="111" t="str">
        <f t="shared" si="14194"/>
        <v>Lamar</v>
      </c>
    </row>
    <row r="14197" spans="1:5">
      <c r="A14197" s="3" t="s">
        <v>10478</v>
      </c>
      <c r="B14197" s="110" t="s">
        <v>1368</v>
      </c>
      <c r="C14197" s="111" t="s">
        <v>61</v>
      </c>
      <c r="D14197" s="111" t="str">
        <f t="shared" ref="D14197:E14197" si="14195">TRIM(B14197)</f>
        <v>South Carolina</v>
      </c>
      <c r="E14197" s="111" t="str">
        <f t="shared" si="14195"/>
        <v>Lancaster</v>
      </c>
    </row>
    <row r="14198" spans="1:5">
      <c r="A14198" s="3" t="s">
        <v>5460</v>
      </c>
      <c r="B14198" s="110" t="s">
        <v>1368</v>
      </c>
      <c r="C14198" s="111" t="s">
        <v>61</v>
      </c>
      <c r="D14198" s="111" t="str">
        <f t="shared" ref="D14198:E14198" si="14196">TRIM(B14198)</f>
        <v>South Carolina</v>
      </c>
      <c r="E14198" s="111" t="str">
        <f t="shared" si="14196"/>
        <v>Lancaster</v>
      </c>
    </row>
    <row r="14199" spans="1:5">
      <c r="A14199" s="3" t="s">
        <v>23611</v>
      </c>
      <c r="B14199" s="110" t="s">
        <v>1368</v>
      </c>
      <c r="C14199" s="111" t="s">
        <v>25475</v>
      </c>
      <c r="D14199" s="111" t="str">
        <f t="shared" ref="D14199:E14199" si="14197">TRIM(B14199)</f>
        <v>South Carolina</v>
      </c>
      <c r="E14199" s="111" t="str">
        <f t="shared" si="14197"/>
        <v>Latta</v>
      </c>
    </row>
    <row r="14200" spans="1:5">
      <c r="A14200" s="3" t="s">
        <v>25476</v>
      </c>
      <c r="B14200" s="110" t="s">
        <v>1368</v>
      </c>
      <c r="C14200" s="111" t="s">
        <v>25477</v>
      </c>
      <c r="D14200" s="111" t="str">
        <f t="shared" ref="D14200:E14200" si="14198">TRIM(B14200)</f>
        <v>South Carolina</v>
      </c>
      <c r="E14200" s="111" t="str">
        <f t="shared" si="14198"/>
        <v>Laurens</v>
      </c>
    </row>
    <row r="14201" spans="1:5">
      <c r="A14201" s="3" t="s">
        <v>13208</v>
      </c>
      <c r="B14201" s="110" t="s">
        <v>1368</v>
      </c>
      <c r="C14201" s="111" t="s">
        <v>506</v>
      </c>
      <c r="D14201" s="111" t="str">
        <f t="shared" ref="D14201:E14201" si="14199">TRIM(B14201)</f>
        <v>South Carolina</v>
      </c>
      <c r="E14201" s="111" t="str">
        <f t="shared" si="14199"/>
        <v>Lexington</v>
      </c>
    </row>
    <row r="14202" spans="1:5">
      <c r="A14202" s="3" t="s">
        <v>25478</v>
      </c>
      <c r="B14202" s="110" t="s">
        <v>1368</v>
      </c>
      <c r="C14202" s="111" t="s">
        <v>506</v>
      </c>
      <c r="D14202" s="111" t="str">
        <f t="shared" ref="D14202:E14202" si="14200">TRIM(B14202)</f>
        <v>South Carolina</v>
      </c>
      <c r="E14202" s="111" t="str">
        <f t="shared" si="14200"/>
        <v>Lexington</v>
      </c>
    </row>
    <row r="14203" spans="1:5">
      <c r="A14203" s="3" t="s">
        <v>25479</v>
      </c>
      <c r="B14203" s="110" t="s">
        <v>1368</v>
      </c>
      <c r="C14203" s="111" t="s">
        <v>506</v>
      </c>
      <c r="D14203" s="111" t="str">
        <f t="shared" ref="D14203:E14203" si="14201">TRIM(B14203)</f>
        <v>South Carolina</v>
      </c>
      <c r="E14203" s="111" t="str">
        <f t="shared" si="14201"/>
        <v>Lexington</v>
      </c>
    </row>
    <row r="14204" spans="1:5">
      <c r="A14204" s="3" t="s">
        <v>2745</v>
      </c>
      <c r="B14204" s="110" t="s">
        <v>1368</v>
      </c>
      <c r="C14204" s="111" t="s">
        <v>6684</v>
      </c>
      <c r="D14204" s="111" t="str">
        <f t="shared" ref="D14204:E14204" si="14202">TRIM(B14204)</f>
        <v>South Carolina</v>
      </c>
      <c r="E14204" s="111" t="str">
        <f t="shared" si="14202"/>
        <v>Liberty</v>
      </c>
    </row>
    <row r="14205" spans="1:5">
      <c r="A14205" s="3" t="s">
        <v>25480</v>
      </c>
      <c r="B14205" s="110" t="s">
        <v>1368</v>
      </c>
      <c r="C14205" s="111" t="s">
        <v>15375</v>
      </c>
      <c r="D14205" s="111" t="str">
        <f t="shared" ref="D14205:E14205" si="14203">TRIM(B14205)</f>
        <v>South Carolina</v>
      </c>
      <c r="E14205" s="111" t="str">
        <f t="shared" si="14203"/>
        <v>Little River</v>
      </c>
    </row>
    <row r="14206" spans="1:5">
      <c r="A14206" s="3" t="s">
        <v>25481</v>
      </c>
      <c r="B14206" s="110" t="s">
        <v>1368</v>
      </c>
      <c r="C14206" s="111" t="s">
        <v>25482</v>
      </c>
      <c r="D14206" s="111" t="str">
        <f t="shared" ref="D14206:E14206" si="14204">TRIM(B14206)</f>
        <v>South Carolina</v>
      </c>
      <c r="E14206" s="111" t="str">
        <f t="shared" si="14204"/>
        <v>Loris</v>
      </c>
    </row>
    <row r="14207" spans="1:5">
      <c r="A14207" s="3" t="s">
        <v>25483</v>
      </c>
      <c r="B14207" s="110" t="s">
        <v>1368</v>
      </c>
      <c r="C14207" s="112" t="s">
        <v>25484</v>
      </c>
      <c r="D14207" s="111" t="str">
        <f t="shared" ref="D14207:E14207" si="14205">TRIM(B14207)</f>
        <v>South Carolina</v>
      </c>
      <c r="E14207" s="111" t="str">
        <f t="shared" si="14205"/>
        <v>Lugoff</v>
      </c>
    </row>
    <row r="14208" spans="1:5">
      <c r="A14208" s="3" t="s">
        <v>25485</v>
      </c>
      <c r="B14208" s="110" t="s">
        <v>1368</v>
      </c>
      <c r="C14208" s="112" t="s">
        <v>13358</v>
      </c>
      <c r="D14208" s="111" t="str">
        <f t="shared" ref="D14208:E14208" si="14206">TRIM(B14208)</f>
        <v>South Carolina</v>
      </c>
      <c r="E14208" s="111" t="str">
        <f t="shared" si="14206"/>
        <v>Manning</v>
      </c>
    </row>
    <row r="14209" spans="1:5">
      <c r="A14209" s="3" t="s">
        <v>25486</v>
      </c>
      <c r="B14209" s="110" t="s">
        <v>1368</v>
      </c>
      <c r="C14209" s="112" t="s">
        <v>3995</v>
      </c>
      <c r="D14209" s="111" t="str">
        <f t="shared" ref="D14209:E14209" si="14207">TRIM(B14209)</f>
        <v>South Carolina</v>
      </c>
      <c r="E14209" s="111" t="str">
        <f t="shared" si="14207"/>
        <v>Marion</v>
      </c>
    </row>
    <row r="14210" spans="1:5">
      <c r="A14210" s="3" t="s">
        <v>3993</v>
      </c>
      <c r="B14210" s="110" t="s">
        <v>1368</v>
      </c>
      <c r="C14210" s="112" t="s">
        <v>3995</v>
      </c>
      <c r="D14210" s="111" t="str">
        <f t="shared" ref="D14210:E14210" si="14208">TRIM(B14210)</f>
        <v>South Carolina</v>
      </c>
      <c r="E14210" s="111" t="str">
        <f t="shared" si="14208"/>
        <v>Marion</v>
      </c>
    </row>
    <row r="14211" spans="1:5">
      <c r="A14211" s="3" t="s">
        <v>25487</v>
      </c>
      <c r="B14211" s="110" t="s">
        <v>1368</v>
      </c>
      <c r="C14211" s="112" t="s">
        <v>4268</v>
      </c>
      <c r="D14211" s="111" t="str">
        <f t="shared" ref="D14211:E14211" si="14209">TRIM(B14211)</f>
        <v>South Carolina</v>
      </c>
      <c r="E14211" s="111" t="str">
        <f t="shared" si="14209"/>
        <v>Mauldin</v>
      </c>
    </row>
    <row r="14212" spans="1:5">
      <c r="A14212" s="3" t="s">
        <v>25488</v>
      </c>
      <c r="B14212" s="110" t="s">
        <v>1368</v>
      </c>
      <c r="C14212" s="111" t="s">
        <v>25489</v>
      </c>
      <c r="D14212" s="111" t="str">
        <f t="shared" ref="D14212:E14212" si="14210">TRIM(B14212)</f>
        <v>South Carolina</v>
      </c>
      <c r="E14212" s="111" t="str">
        <f t="shared" si="14210"/>
        <v>Mcbee</v>
      </c>
    </row>
    <row r="14213" spans="1:5">
      <c r="A14213" s="3" t="s">
        <v>25490</v>
      </c>
      <c r="B14213" s="110" t="s">
        <v>1368</v>
      </c>
      <c r="C14213" s="111" t="s">
        <v>25491</v>
      </c>
      <c r="D14213" s="111" t="str">
        <f t="shared" ref="D14213:E14213" si="14211">TRIM(B14213)</f>
        <v>South Carolina</v>
      </c>
      <c r="E14213" s="111" t="str">
        <f t="shared" si="14211"/>
        <v>Mccormick</v>
      </c>
    </row>
    <row r="14214" spans="1:5">
      <c r="A14214" s="3" t="s">
        <v>25492</v>
      </c>
      <c r="B14214" s="110" t="s">
        <v>1368</v>
      </c>
      <c r="C14214" s="111" t="s">
        <v>25493</v>
      </c>
      <c r="D14214" s="111" t="str">
        <f t="shared" ref="D14214:E14214" si="14212">TRIM(B14214)</f>
        <v>South Carolina</v>
      </c>
      <c r="E14214" s="111" t="str">
        <f t="shared" si="14212"/>
        <v>Moncks Corner</v>
      </c>
    </row>
    <row r="14215" spans="1:5">
      <c r="A14215" s="3" t="s">
        <v>4477</v>
      </c>
      <c r="B14215" s="110" t="s">
        <v>1368</v>
      </c>
      <c r="C14215" s="111" t="s">
        <v>25493</v>
      </c>
      <c r="D14215" s="111" t="str">
        <f t="shared" ref="D14215:E14215" si="14213">TRIM(B14215)</f>
        <v>South Carolina</v>
      </c>
      <c r="E14215" s="111" t="str">
        <f t="shared" si="14213"/>
        <v>Moncks Corner</v>
      </c>
    </row>
    <row r="14216" spans="1:5">
      <c r="A14216" s="3" t="s">
        <v>25494</v>
      </c>
      <c r="B14216" s="110" t="s">
        <v>1368</v>
      </c>
      <c r="C14216" s="111" t="s">
        <v>25495</v>
      </c>
      <c r="D14216" s="111" t="str">
        <f t="shared" ref="D14216:E14216" si="14214">TRIM(B14216)</f>
        <v>South Carolina</v>
      </c>
      <c r="E14216" s="111" t="str">
        <f t="shared" si="14214"/>
        <v>Monetta</v>
      </c>
    </row>
    <row r="14217" spans="1:5">
      <c r="A14217" s="3" t="s">
        <v>25496</v>
      </c>
      <c r="B14217" s="110" t="s">
        <v>1368</v>
      </c>
      <c r="C14217" s="111" t="s">
        <v>398</v>
      </c>
      <c r="D14217" s="111" t="str">
        <f t="shared" ref="D14217:E14217" si="14215">TRIM(B14217)</f>
        <v>South Carolina</v>
      </c>
      <c r="E14217" s="111" t="str">
        <f t="shared" si="14215"/>
        <v>Mount Pleasant</v>
      </c>
    </row>
    <row r="14218" spans="1:5">
      <c r="A14218" s="3" t="s">
        <v>25497</v>
      </c>
      <c r="B14218" s="110" t="s">
        <v>1368</v>
      </c>
      <c r="C14218" s="111" t="s">
        <v>2544</v>
      </c>
      <c r="D14218" s="111" t="str">
        <f t="shared" ref="D14218:E14218" si="14216">TRIM(B14218)</f>
        <v>South Carolina</v>
      </c>
      <c r="E14218" s="111" t="str">
        <f t="shared" si="14216"/>
        <v>Mt. Pleasant</v>
      </c>
    </row>
    <row r="14219" spans="1:5">
      <c r="A14219" s="3" t="s">
        <v>25498</v>
      </c>
      <c r="B14219" s="110" t="s">
        <v>1368</v>
      </c>
      <c r="C14219" s="111" t="s">
        <v>13376</v>
      </c>
      <c r="D14219" s="111" t="str">
        <f t="shared" ref="D14219:E14219" si="14217">TRIM(B14219)</f>
        <v>South Carolina</v>
      </c>
      <c r="E14219" s="111" t="str">
        <f t="shared" si="14217"/>
        <v>Mullins</v>
      </c>
    </row>
    <row r="14220" spans="1:5">
      <c r="A14220" s="3" t="s">
        <v>16139</v>
      </c>
      <c r="B14220" s="110" t="s">
        <v>1368</v>
      </c>
      <c r="C14220" s="111" t="s">
        <v>25499</v>
      </c>
      <c r="D14220" s="111" t="str">
        <f t="shared" ref="D14220:E14220" si="14218">TRIM(B14220)</f>
        <v>South Carolina</v>
      </c>
      <c r="E14220" s="111" t="str">
        <f t="shared" si="14218"/>
        <v>Murrells Inlet</v>
      </c>
    </row>
    <row r="14221" spans="1:5">
      <c r="A14221" s="3" t="s">
        <v>25500</v>
      </c>
      <c r="B14221" s="110" t="s">
        <v>1368</v>
      </c>
      <c r="C14221" s="111" t="s">
        <v>3499</v>
      </c>
      <c r="D14221" s="111" t="str">
        <f t="shared" ref="D14221:E14221" si="14219">TRIM(B14221)</f>
        <v>South Carolina</v>
      </c>
      <c r="E14221" s="111" t="str">
        <f t="shared" si="14219"/>
        <v>Myrtle Beach</v>
      </c>
    </row>
    <row r="14222" spans="1:5">
      <c r="A14222" s="3" t="s">
        <v>25501</v>
      </c>
      <c r="B14222" s="110" t="s">
        <v>1368</v>
      </c>
      <c r="C14222" s="111" t="s">
        <v>3499</v>
      </c>
      <c r="D14222" s="111" t="str">
        <f t="shared" ref="D14222:E14222" si="14220">TRIM(B14222)</f>
        <v>South Carolina</v>
      </c>
      <c r="E14222" s="111" t="str">
        <f t="shared" si="14220"/>
        <v>Myrtle Beach</v>
      </c>
    </row>
    <row r="14223" spans="1:5">
      <c r="A14223" s="3" t="s">
        <v>25502</v>
      </c>
      <c r="B14223" s="110" t="s">
        <v>1368</v>
      </c>
      <c r="C14223" s="111" t="s">
        <v>3499</v>
      </c>
      <c r="D14223" s="111" t="str">
        <f t="shared" ref="D14223:E14223" si="14221">TRIM(B14223)</f>
        <v>South Carolina</v>
      </c>
      <c r="E14223" s="111" t="str">
        <f t="shared" si="14221"/>
        <v>Myrtle Beach</v>
      </c>
    </row>
    <row r="14224" spans="1:5">
      <c r="A14224" s="3" t="s">
        <v>25503</v>
      </c>
      <c r="B14224" s="110" t="s">
        <v>1368</v>
      </c>
      <c r="C14224" s="111" t="s">
        <v>3499</v>
      </c>
      <c r="D14224" s="111" t="str">
        <f t="shared" ref="D14224:E14224" si="14222">TRIM(B14224)</f>
        <v>South Carolina</v>
      </c>
      <c r="E14224" s="111" t="str">
        <f t="shared" si="14222"/>
        <v>Myrtle Beach</v>
      </c>
    </row>
    <row r="14225" spans="1:5">
      <c r="A14225" s="3" t="s">
        <v>25504</v>
      </c>
      <c r="B14225" s="110" t="s">
        <v>1368</v>
      </c>
      <c r="C14225" s="111" t="s">
        <v>3499</v>
      </c>
      <c r="D14225" s="111" t="str">
        <f t="shared" ref="D14225:E14225" si="14223">TRIM(B14225)</f>
        <v>South Carolina</v>
      </c>
      <c r="E14225" s="111" t="str">
        <f t="shared" si="14223"/>
        <v>Myrtle Beach</v>
      </c>
    </row>
    <row r="14226" spans="1:5">
      <c r="A14226" s="3" t="s">
        <v>25505</v>
      </c>
      <c r="B14226" s="110" t="s">
        <v>1368</v>
      </c>
      <c r="C14226" s="111" t="s">
        <v>25506</v>
      </c>
      <c r="D14226" s="111" t="str">
        <f t="shared" ref="D14226:E14226" si="14224">TRIM(B14226)</f>
        <v>South Carolina</v>
      </c>
      <c r="E14226" s="111" t="str">
        <f t="shared" si="14224"/>
        <v>Neeses</v>
      </c>
    </row>
    <row r="14227" spans="1:5">
      <c r="A14227" s="3" t="s">
        <v>9771</v>
      </c>
      <c r="B14227" s="110" t="s">
        <v>1368</v>
      </c>
      <c r="C14227" s="111" t="s">
        <v>9773</v>
      </c>
      <c r="D14227" s="111" t="str">
        <f t="shared" ref="D14227:E14227" si="14225">TRIM(B14227)</f>
        <v>South Carolina</v>
      </c>
      <c r="E14227" s="111" t="str">
        <f t="shared" si="14225"/>
        <v>Newberry</v>
      </c>
    </row>
    <row r="14228" spans="1:5">
      <c r="A14228" s="3" t="s">
        <v>25507</v>
      </c>
      <c r="B14228" s="110" t="s">
        <v>1368</v>
      </c>
      <c r="C14228" s="111" t="s">
        <v>25508</v>
      </c>
      <c r="D14228" s="111" t="str">
        <f t="shared" ref="D14228:E14228" si="14226">TRIM(B14228)</f>
        <v>South Carolina</v>
      </c>
      <c r="E14228" s="111" t="str">
        <f t="shared" si="14226"/>
        <v>Ninety Six</v>
      </c>
    </row>
    <row r="14229" spans="1:5">
      <c r="A14229" s="3" t="s">
        <v>25509</v>
      </c>
      <c r="B14229" s="110" t="s">
        <v>1368</v>
      </c>
      <c r="C14229" s="111" t="s">
        <v>25510</v>
      </c>
      <c r="D14229" s="111" t="str">
        <f t="shared" ref="D14229:E14229" si="14227">TRIM(B14229)</f>
        <v>South Carolina</v>
      </c>
      <c r="E14229" s="111" t="str">
        <f t="shared" si="14227"/>
        <v>North</v>
      </c>
    </row>
    <row r="14230" spans="1:5">
      <c r="A14230" s="3" t="s">
        <v>25511</v>
      </c>
      <c r="B14230" s="110" t="s">
        <v>1368</v>
      </c>
      <c r="C14230" s="111" t="s">
        <v>25512</v>
      </c>
      <c r="D14230" s="111" t="str">
        <f t="shared" ref="D14230:E14230" si="14228">TRIM(B14230)</f>
        <v>South Carolina</v>
      </c>
      <c r="E14230" s="111" t="str">
        <f t="shared" si="14228"/>
        <v>North Augusta</v>
      </c>
    </row>
    <row r="14231" spans="1:5">
      <c r="A14231" s="3" t="s">
        <v>25513</v>
      </c>
      <c r="B14231" s="110" t="s">
        <v>1368</v>
      </c>
      <c r="C14231" s="111" t="s">
        <v>25512</v>
      </c>
      <c r="D14231" s="111" t="str">
        <f t="shared" ref="D14231:E14231" si="14229">TRIM(B14231)</f>
        <v>South Carolina</v>
      </c>
      <c r="E14231" s="111" t="str">
        <f t="shared" si="14229"/>
        <v>North Augusta</v>
      </c>
    </row>
    <row r="14232" spans="1:5">
      <c r="A14232" s="3" t="s">
        <v>25514</v>
      </c>
      <c r="B14232" s="110" t="s">
        <v>1368</v>
      </c>
      <c r="C14232" s="111" t="s">
        <v>434</v>
      </c>
      <c r="D14232" s="111" t="str">
        <f t="shared" ref="D14232:E14232" si="14230">TRIM(B14232)</f>
        <v>South Carolina</v>
      </c>
      <c r="E14232" s="111" t="str">
        <f t="shared" si="14230"/>
        <v>North Charleston</v>
      </c>
    </row>
    <row r="14233" spans="1:5">
      <c r="A14233" s="110" t="s">
        <v>25515</v>
      </c>
      <c r="B14233" s="110" t="s">
        <v>1368</v>
      </c>
      <c r="C14233" s="111" t="s">
        <v>434</v>
      </c>
      <c r="D14233" s="111" t="str">
        <f t="shared" ref="D14233:E14233" si="14231">TRIM(B14233)</f>
        <v>South Carolina</v>
      </c>
      <c r="E14233" s="111" t="str">
        <f t="shared" si="14231"/>
        <v>North Charleston</v>
      </c>
    </row>
    <row r="14234" spans="1:5">
      <c r="A14234" s="3" t="s">
        <v>25516</v>
      </c>
      <c r="B14234" s="110" t="s">
        <v>1368</v>
      </c>
      <c r="C14234" s="111" t="s">
        <v>434</v>
      </c>
      <c r="D14234" s="111" t="str">
        <f t="shared" ref="D14234:E14234" si="14232">TRIM(B14234)</f>
        <v>South Carolina</v>
      </c>
      <c r="E14234" s="111" t="str">
        <f t="shared" si="14232"/>
        <v>North Charleston</v>
      </c>
    </row>
    <row r="14235" spans="1:5">
      <c r="A14235" s="3" t="s">
        <v>25517</v>
      </c>
      <c r="B14235" s="110" t="s">
        <v>1368</v>
      </c>
      <c r="C14235" s="111" t="s">
        <v>434</v>
      </c>
      <c r="D14235" s="111" t="str">
        <f t="shared" ref="D14235:E14235" si="14233">TRIM(B14235)</f>
        <v>South Carolina</v>
      </c>
      <c r="E14235" s="111" t="str">
        <f t="shared" si="14233"/>
        <v>North Charleston</v>
      </c>
    </row>
    <row r="14236" spans="1:5">
      <c r="A14236" s="3" t="s">
        <v>25518</v>
      </c>
      <c r="B14236" s="110" t="s">
        <v>1368</v>
      </c>
      <c r="C14236" s="111" t="s">
        <v>434</v>
      </c>
      <c r="D14236" s="111" t="str">
        <f t="shared" ref="D14236:E14236" si="14234">TRIM(B14236)</f>
        <v>South Carolina</v>
      </c>
      <c r="E14236" s="111" t="str">
        <f t="shared" si="14234"/>
        <v>North Charleston</v>
      </c>
    </row>
    <row r="14237" spans="1:5">
      <c r="A14237" s="3" t="s">
        <v>25519</v>
      </c>
      <c r="B14237" s="110" t="s">
        <v>1368</v>
      </c>
      <c r="C14237" s="111" t="s">
        <v>434</v>
      </c>
      <c r="D14237" s="111" t="str">
        <f t="shared" ref="D14237:E14237" si="14235">TRIM(B14237)</f>
        <v>South Carolina</v>
      </c>
      <c r="E14237" s="111" t="str">
        <f t="shared" si="14235"/>
        <v>North Charleston</v>
      </c>
    </row>
    <row r="14238" spans="1:5">
      <c r="A14238" s="3" t="s">
        <v>25520</v>
      </c>
      <c r="B14238" s="110" t="s">
        <v>1368</v>
      </c>
      <c r="C14238" s="111" t="s">
        <v>434</v>
      </c>
      <c r="D14238" s="111" t="str">
        <f t="shared" ref="D14238:E14238" si="14236">TRIM(B14238)</f>
        <v>South Carolina</v>
      </c>
      <c r="E14238" s="111" t="str">
        <f t="shared" si="14236"/>
        <v>North Charleston</v>
      </c>
    </row>
    <row r="14239" spans="1:5">
      <c r="A14239" s="3" t="s">
        <v>25521</v>
      </c>
      <c r="B14239" s="110" t="s">
        <v>1368</v>
      </c>
      <c r="C14239" s="111" t="s">
        <v>434</v>
      </c>
      <c r="D14239" s="111" t="str">
        <f t="shared" ref="D14239:E14239" si="14237">TRIM(B14239)</f>
        <v>South Carolina</v>
      </c>
      <c r="E14239" s="111" t="str">
        <f t="shared" si="14237"/>
        <v>North Charleston</v>
      </c>
    </row>
    <row r="14240" spans="1:5">
      <c r="A14240" s="3" t="s">
        <v>25522</v>
      </c>
      <c r="B14240" s="110" t="s">
        <v>1368</v>
      </c>
      <c r="C14240" s="111" t="s">
        <v>434</v>
      </c>
      <c r="D14240" s="111" t="str">
        <f t="shared" ref="D14240:E14240" si="14238">TRIM(B14240)</f>
        <v>South Carolina</v>
      </c>
      <c r="E14240" s="111" t="str">
        <f t="shared" si="14238"/>
        <v>North Charleston</v>
      </c>
    </row>
    <row r="14241" spans="1:5">
      <c r="A14241" s="3" t="s">
        <v>25523</v>
      </c>
      <c r="B14241" s="110" t="s">
        <v>1368</v>
      </c>
      <c r="C14241" s="111" t="s">
        <v>21644</v>
      </c>
      <c r="D14241" s="111" t="str">
        <f t="shared" ref="D14241:E14241" si="14239">TRIM(B14241)</f>
        <v>South Carolina</v>
      </c>
      <c r="E14241" s="111" t="str">
        <f t="shared" si="14239"/>
        <v>Orangeburg</v>
      </c>
    </row>
    <row r="14242" spans="1:5">
      <c r="A14242" s="3" t="s">
        <v>25524</v>
      </c>
      <c r="B14242" s="110" t="s">
        <v>1368</v>
      </c>
      <c r="C14242" s="111" t="s">
        <v>21644</v>
      </c>
      <c r="D14242" s="111" t="str">
        <f t="shared" ref="D14242:E14242" si="14240">TRIM(B14242)</f>
        <v>South Carolina</v>
      </c>
      <c r="E14242" s="111" t="str">
        <f t="shared" si="14240"/>
        <v>Orangeburg</v>
      </c>
    </row>
    <row r="14243" spans="1:5">
      <c r="A14243" s="3" t="s">
        <v>1843</v>
      </c>
      <c r="B14243" s="110" t="s">
        <v>1368</v>
      </c>
      <c r="C14243" s="111" t="s">
        <v>25525</v>
      </c>
      <c r="D14243" s="111" t="str">
        <f t="shared" ref="D14243:E14243" si="14241">TRIM(B14243)</f>
        <v>South Carolina</v>
      </c>
      <c r="E14243" s="111" t="str">
        <f t="shared" si="14241"/>
        <v>Pageland</v>
      </c>
    </row>
    <row r="14244" spans="1:5">
      <c r="A14244" s="3" t="s">
        <v>25526</v>
      </c>
      <c r="B14244" s="110" t="s">
        <v>1368</v>
      </c>
      <c r="C14244" s="111" t="s">
        <v>25527</v>
      </c>
      <c r="D14244" s="111" t="str">
        <f t="shared" ref="D14244:E14244" si="14242">TRIM(B14244)</f>
        <v>South Carolina</v>
      </c>
      <c r="E14244" s="111" t="str">
        <f t="shared" si="14242"/>
        <v>Pamplico</v>
      </c>
    </row>
    <row r="14245" spans="1:5">
      <c r="A14245" s="3" t="s">
        <v>25528</v>
      </c>
      <c r="B14245" s="110" t="s">
        <v>1368</v>
      </c>
      <c r="C14245" s="111" t="s">
        <v>25529</v>
      </c>
      <c r="D14245" s="111" t="str">
        <f t="shared" ref="D14245:E14245" si="14243">TRIM(B14245)</f>
        <v>South Carolina</v>
      </c>
      <c r="E14245" s="111" t="str">
        <f t="shared" si="14243"/>
        <v>Pawleys Island</v>
      </c>
    </row>
    <row r="14246" spans="1:5">
      <c r="A14246" s="3" t="s">
        <v>25530</v>
      </c>
      <c r="B14246" s="110" t="s">
        <v>1368</v>
      </c>
      <c r="C14246" s="111" t="s">
        <v>25531</v>
      </c>
      <c r="D14246" s="111" t="str">
        <f t="shared" ref="D14246:E14246" si="14244">TRIM(B14246)</f>
        <v>South Carolina</v>
      </c>
      <c r="E14246" s="111" t="str">
        <f t="shared" si="14244"/>
        <v>Pelion</v>
      </c>
    </row>
    <row r="14247" spans="1:5">
      <c r="A14247" s="3" t="s">
        <v>25532</v>
      </c>
      <c r="B14247" s="110" t="s">
        <v>1368</v>
      </c>
      <c r="C14247" s="111" t="s">
        <v>25533</v>
      </c>
      <c r="D14247" s="111" t="str">
        <f t="shared" ref="D14247:E14247" si="14245">TRIM(B14247)</f>
        <v>South Carolina</v>
      </c>
      <c r="E14247" s="111" t="str">
        <f t="shared" si="14245"/>
        <v>Pickens</v>
      </c>
    </row>
    <row r="14248" spans="1:5">
      <c r="A14248" s="3" t="s">
        <v>25534</v>
      </c>
      <c r="B14248" s="110" t="s">
        <v>1368</v>
      </c>
      <c r="C14248" s="111" t="s">
        <v>2093</v>
      </c>
      <c r="D14248" s="111" t="str">
        <f t="shared" ref="D14248:E14248" si="14246">TRIM(B14248)</f>
        <v>South Carolina</v>
      </c>
      <c r="E14248" s="111" t="str">
        <f t="shared" si="14246"/>
        <v>Piedmont</v>
      </c>
    </row>
    <row r="14249" spans="1:5">
      <c r="A14249" s="3" t="s">
        <v>25535</v>
      </c>
      <c r="B14249" s="110" t="s">
        <v>1368</v>
      </c>
      <c r="C14249" s="111" t="s">
        <v>2093</v>
      </c>
      <c r="D14249" s="111" t="str">
        <f t="shared" ref="D14249:E14249" si="14247">TRIM(B14249)</f>
        <v>South Carolina</v>
      </c>
      <c r="E14249" s="111" t="str">
        <f t="shared" si="14247"/>
        <v>Piedmont</v>
      </c>
    </row>
    <row r="14250" spans="1:5">
      <c r="A14250" s="3" t="s">
        <v>25536</v>
      </c>
      <c r="B14250" s="110" t="s">
        <v>1368</v>
      </c>
      <c r="C14250" s="111" t="s">
        <v>25537</v>
      </c>
      <c r="D14250" s="111" t="str">
        <f t="shared" ref="D14250:E14250" si="14248">TRIM(B14250)</f>
        <v>South Carolina</v>
      </c>
      <c r="E14250" s="111" t="str">
        <f t="shared" si="14248"/>
        <v>Prosperity</v>
      </c>
    </row>
    <row r="14251" spans="1:5">
      <c r="A14251" s="3" t="s">
        <v>25538</v>
      </c>
      <c r="B14251" s="110" t="s">
        <v>1368</v>
      </c>
      <c r="C14251" s="111" t="s">
        <v>25539</v>
      </c>
      <c r="D14251" s="111" t="str">
        <f t="shared" ref="D14251:E14251" si="14249">TRIM(B14251)</f>
        <v>South Carolina</v>
      </c>
      <c r="E14251" s="111" t="str">
        <f t="shared" si="14249"/>
        <v>Richburg</v>
      </c>
    </row>
    <row r="14252" spans="1:5">
      <c r="A14252" s="3" t="s">
        <v>25540</v>
      </c>
      <c r="B14252" s="110" t="s">
        <v>1368</v>
      </c>
      <c r="C14252" s="111" t="s">
        <v>467</v>
      </c>
      <c r="D14252" s="111" t="str">
        <f t="shared" ref="D14252:E14252" si="14250">TRIM(B14252)</f>
        <v>South Carolina</v>
      </c>
      <c r="E14252" s="111" t="str">
        <f t="shared" si="14250"/>
        <v>Ridgeland</v>
      </c>
    </row>
    <row r="14253" spans="1:5">
      <c r="A14253" s="3" t="s">
        <v>13546</v>
      </c>
      <c r="B14253" s="110" t="s">
        <v>1368</v>
      </c>
      <c r="C14253" s="111" t="s">
        <v>13394</v>
      </c>
      <c r="D14253" s="111" t="str">
        <f t="shared" ref="D14253:E14253" si="14251">TRIM(B14253)</f>
        <v>South Carolina</v>
      </c>
      <c r="E14253" s="111" t="str">
        <f t="shared" si="14251"/>
        <v>Rock Hill</v>
      </c>
    </row>
    <row r="14254" spans="1:5">
      <c r="A14254" s="3" t="s">
        <v>25541</v>
      </c>
      <c r="B14254" s="110" t="s">
        <v>1368</v>
      </c>
      <c r="C14254" s="111" t="s">
        <v>13394</v>
      </c>
      <c r="D14254" s="111" t="str">
        <f t="shared" ref="D14254:E14254" si="14252">TRIM(B14254)</f>
        <v>South Carolina</v>
      </c>
      <c r="E14254" s="111" t="str">
        <f t="shared" si="14252"/>
        <v>Rock Hill</v>
      </c>
    </row>
    <row r="14255" spans="1:5">
      <c r="A14255" s="3" t="s">
        <v>3120</v>
      </c>
      <c r="B14255" s="110" t="s">
        <v>1368</v>
      </c>
      <c r="C14255" s="111" t="s">
        <v>13394</v>
      </c>
      <c r="D14255" s="111" t="str">
        <f t="shared" ref="D14255:E14255" si="14253">TRIM(B14255)</f>
        <v>South Carolina</v>
      </c>
      <c r="E14255" s="111" t="str">
        <f t="shared" si="14253"/>
        <v>Rock Hill</v>
      </c>
    </row>
    <row r="14256" spans="1:5">
      <c r="A14256" s="3" t="s">
        <v>25542</v>
      </c>
      <c r="B14256" s="110" t="s">
        <v>1368</v>
      </c>
      <c r="C14256" s="111" t="s">
        <v>607</v>
      </c>
      <c r="D14256" s="111" t="str">
        <f t="shared" ref="D14256:E14256" si="14254">TRIM(B14256)</f>
        <v>South Carolina</v>
      </c>
      <c r="E14256" s="111" t="str">
        <f t="shared" si="14254"/>
        <v>Roebuck</v>
      </c>
    </row>
    <row r="14257" spans="1:5">
      <c r="A14257" s="3" t="s">
        <v>25543</v>
      </c>
      <c r="B14257" s="110" t="s">
        <v>1368</v>
      </c>
      <c r="C14257" s="111" t="s">
        <v>25544</v>
      </c>
      <c r="D14257" s="111" t="str">
        <f t="shared" ref="D14257:E14257" si="14255">TRIM(B14257)</f>
        <v>South Carolina</v>
      </c>
      <c r="E14257" s="111" t="str">
        <f t="shared" si="14255"/>
        <v>Rowesville</v>
      </c>
    </row>
    <row r="14258" spans="1:5">
      <c r="A14258" s="3" t="s">
        <v>25545</v>
      </c>
      <c r="B14258" s="110" t="s">
        <v>1368</v>
      </c>
      <c r="C14258" s="111" t="s">
        <v>25546</v>
      </c>
      <c r="D14258" s="111" t="str">
        <f t="shared" ref="D14258:E14258" si="14256">TRIM(B14258)</f>
        <v>South Carolina</v>
      </c>
      <c r="E14258" s="111" t="str">
        <f t="shared" si="14256"/>
        <v>Saluda</v>
      </c>
    </row>
    <row r="14259" spans="1:5">
      <c r="A14259" s="3" t="s">
        <v>25547</v>
      </c>
      <c r="B14259" s="110" t="s">
        <v>1368</v>
      </c>
      <c r="C14259" s="111" t="s">
        <v>7100</v>
      </c>
      <c r="D14259" s="111" t="str">
        <f t="shared" ref="D14259:E14259" si="14257">TRIM(B14259)</f>
        <v>South Carolina</v>
      </c>
      <c r="E14259" s="111" t="str">
        <f t="shared" si="14257"/>
        <v>Santee</v>
      </c>
    </row>
    <row r="14260" spans="1:5">
      <c r="A14260" s="3" t="s">
        <v>25548</v>
      </c>
      <c r="B14260" s="110" t="s">
        <v>1368</v>
      </c>
      <c r="C14260" s="111" t="s">
        <v>25549</v>
      </c>
      <c r="D14260" s="111" t="str">
        <f t="shared" ref="D14260:E14260" si="14258">TRIM(B14260)</f>
        <v>South Carolina</v>
      </c>
      <c r="E14260" s="111" t="str">
        <f t="shared" si="14258"/>
        <v>Seabrook</v>
      </c>
    </row>
    <row r="14261" spans="1:5">
      <c r="A14261" s="3" t="s">
        <v>13785</v>
      </c>
      <c r="B14261" s="110" t="s">
        <v>1368</v>
      </c>
      <c r="C14261" s="111" t="s">
        <v>13787</v>
      </c>
      <c r="D14261" s="111" t="str">
        <f t="shared" ref="D14261:E14261" si="14259">TRIM(B14261)</f>
        <v>South Carolina</v>
      </c>
      <c r="E14261" s="111" t="str">
        <f t="shared" si="14259"/>
        <v>Seneca</v>
      </c>
    </row>
    <row r="14262" spans="1:5">
      <c r="A14262" s="110" t="s">
        <v>25550</v>
      </c>
      <c r="B14262" s="110" t="s">
        <v>1368</v>
      </c>
      <c r="C14262" s="111" t="s">
        <v>13341</v>
      </c>
      <c r="D14262" s="111" t="str">
        <f t="shared" ref="D14262:E14262" si="14260">TRIM(B14262)</f>
        <v>South Carolina</v>
      </c>
      <c r="E14262" s="111" t="str">
        <f t="shared" si="14260"/>
        <v>Simpsonville</v>
      </c>
    </row>
    <row r="14263" spans="1:5">
      <c r="A14263" s="3" t="s">
        <v>1736</v>
      </c>
      <c r="B14263" s="110" t="s">
        <v>1368</v>
      </c>
      <c r="C14263" s="111" t="s">
        <v>13341</v>
      </c>
      <c r="D14263" s="111" t="str">
        <f t="shared" ref="D14263:E14263" si="14261">TRIM(B14263)</f>
        <v>South Carolina</v>
      </c>
      <c r="E14263" s="111" t="str">
        <f t="shared" si="14261"/>
        <v>Simpsonville</v>
      </c>
    </row>
    <row r="14264" spans="1:5">
      <c r="A14264" s="3" t="s">
        <v>25551</v>
      </c>
      <c r="B14264" s="110" t="s">
        <v>1368</v>
      </c>
      <c r="C14264" s="111" t="s">
        <v>466</v>
      </c>
      <c r="D14264" s="111" t="str">
        <f t="shared" ref="D14264:E14264" si="14262">TRIM(B14264)</f>
        <v>South Carolina</v>
      </c>
      <c r="E14264" s="111" t="str">
        <f t="shared" si="14262"/>
        <v>Spartanburg</v>
      </c>
    </row>
    <row r="14265" spans="1:5">
      <c r="A14265" s="3" t="s">
        <v>25552</v>
      </c>
      <c r="B14265" s="110" t="s">
        <v>1368</v>
      </c>
      <c r="C14265" s="111" t="s">
        <v>466</v>
      </c>
      <c r="D14265" s="111" t="str">
        <f t="shared" ref="D14265:E14265" si="14263">TRIM(B14265)</f>
        <v>South Carolina</v>
      </c>
      <c r="E14265" s="111" t="str">
        <f t="shared" si="14263"/>
        <v>Spartanburg</v>
      </c>
    </row>
    <row r="14266" spans="1:5">
      <c r="A14266" s="3" t="s">
        <v>10729</v>
      </c>
      <c r="B14266" s="110" t="s">
        <v>1368</v>
      </c>
      <c r="C14266" s="111" t="s">
        <v>25553</v>
      </c>
      <c r="D14266" s="111" t="str">
        <f t="shared" ref="D14266:E14266" si="14264">TRIM(B14266)</f>
        <v>South Carolina</v>
      </c>
      <c r="E14266" s="111" t="str">
        <f t="shared" si="14264"/>
        <v>St. Matthews</v>
      </c>
    </row>
    <row r="14267" spans="1:5">
      <c r="A14267" s="3" t="s">
        <v>19228</v>
      </c>
      <c r="B14267" s="110" t="s">
        <v>1368</v>
      </c>
      <c r="C14267" s="111" t="s">
        <v>25554</v>
      </c>
      <c r="D14267" s="111" t="str">
        <f t="shared" ref="D14267:E14267" si="14265">TRIM(B14267)</f>
        <v>South Carolina</v>
      </c>
      <c r="E14267" s="111" t="str">
        <f t="shared" si="14265"/>
        <v>St. Stephen</v>
      </c>
    </row>
    <row r="14268" spans="1:5">
      <c r="A14268" s="3" t="s">
        <v>25555</v>
      </c>
      <c r="B14268" s="110" t="s">
        <v>1368</v>
      </c>
      <c r="C14268" s="111" t="s">
        <v>13324</v>
      </c>
      <c r="D14268" s="111" t="str">
        <f t="shared" ref="D14268:E14268" si="14266">TRIM(B14268)</f>
        <v>South Carolina</v>
      </c>
      <c r="E14268" s="111" t="str">
        <f t="shared" si="14266"/>
        <v>Summerton</v>
      </c>
    </row>
    <row r="14269" spans="1:5">
      <c r="A14269" s="3" t="s">
        <v>25556</v>
      </c>
      <c r="B14269" s="110" t="s">
        <v>1368</v>
      </c>
      <c r="C14269" s="111" t="s">
        <v>11319</v>
      </c>
      <c r="D14269" s="111" t="str">
        <f t="shared" ref="D14269:E14269" si="14267">TRIM(B14269)</f>
        <v>South Carolina</v>
      </c>
      <c r="E14269" s="111" t="str">
        <f t="shared" si="14267"/>
        <v>Summerville</v>
      </c>
    </row>
    <row r="14270" spans="1:5">
      <c r="A14270" s="3" t="s">
        <v>25557</v>
      </c>
      <c r="B14270" s="110" t="s">
        <v>1368</v>
      </c>
      <c r="C14270" s="111" t="s">
        <v>11319</v>
      </c>
      <c r="D14270" s="111" t="str">
        <f t="shared" ref="D14270:E14270" si="14268">TRIM(B14270)</f>
        <v>South Carolina</v>
      </c>
      <c r="E14270" s="111" t="str">
        <f t="shared" si="14268"/>
        <v>Summerville</v>
      </c>
    </row>
    <row r="14271" spans="1:5">
      <c r="A14271" s="3" t="s">
        <v>7312</v>
      </c>
      <c r="B14271" s="110" t="s">
        <v>1368</v>
      </c>
      <c r="C14271" s="111" t="s">
        <v>11319</v>
      </c>
      <c r="D14271" s="111" t="str">
        <f t="shared" ref="D14271:E14271" si="14269">TRIM(B14271)</f>
        <v>South Carolina</v>
      </c>
      <c r="E14271" s="111" t="str">
        <f t="shared" si="14269"/>
        <v>Summerville</v>
      </c>
    </row>
    <row r="14272" spans="1:5">
      <c r="A14272" s="3" t="s">
        <v>14771</v>
      </c>
      <c r="B14272" s="110" t="s">
        <v>1368</v>
      </c>
      <c r="C14272" s="111" t="s">
        <v>13397</v>
      </c>
      <c r="D14272" s="111" t="str">
        <f t="shared" ref="D14272:E14272" si="14270">TRIM(B14272)</f>
        <v>South Carolina</v>
      </c>
      <c r="E14272" s="111" t="str">
        <f t="shared" si="14270"/>
        <v>Sumter</v>
      </c>
    </row>
    <row r="14273" spans="1:5">
      <c r="A14273" s="3" t="s">
        <v>5451</v>
      </c>
      <c r="B14273" s="110" t="s">
        <v>1368</v>
      </c>
      <c r="C14273" s="111" t="s">
        <v>13397</v>
      </c>
      <c r="D14273" s="111" t="str">
        <f t="shared" ref="D14273:E14273" si="14271">TRIM(B14273)</f>
        <v>South Carolina</v>
      </c>
      <c r="E14273" s="111" t="str">
        <f t="shared" si="14271"/>
        <v>Sumter</v>
      </c>
    </row>
    <row r="14274" spans="1:5">
      <c r="A14274" s="3" t="s">
        <v>25558</v>
      </c>
      <c r="B14274" s="110" t="s">
        <v>1368</v>
      </c>
      <c r="C14274" s="111" t="s">
        <v>13397</v>
      </c>
      <c r="D14274" s="111" t="str">
        <f t="shared" ref="D14274:E14274" si="14272">TRIM(B14274)</f>
        <v>South Carolina</v>
      </c>
      <c r="E14274" s="111" t="str">
        <f t="shared" si="14272"/>
        <v>Sumter</v>
      </c>
    </row>
    <row r="14275" spans="1:5">
      <c r="A14275" s="3" t="s">
        <v>25559</v>
      </c>
      <c r="B14275" s="110" t="s">
        <v>1368</v>
      </c>
      <c r="C14275" s="111" t="s">
        <v>16865</v>
      </c>
      <c r="D14275" s="111" t="str">
        <f t="shared" ref="D14275:E14275" si="14273">TRIM(B14275)</f>
        <v>South Carolina</v>
      </c>
      <c r="E14275" s="111" t="str">
        <f t="shared" si="14273"/>
        <v>Swansea</v>
      </c>
    </row>
    <row r="14276" spans="1:5">
      <c r="A14276" s="3" t="s">
        <v>5459</v>
      </c>
      <c r="B14276" s="110" t="s">
        <v>1368</v>
      </c>
      <c r="C14276" s="111" t="s">
        <v>25560</v>
      </c>
      <c r="D14276" s="111" t="str">
        <f t="shared" ref="D14276:E14276" si="14274">TRIM(B14276)</f>
        <v>South Carolina</v>
      </c>
      <c r="E14276" s="111" t="str">
        <f t="shared" si="14274"/>
        <v>Taylors</v>
      </c>
    </row>
    <row r="14277" spans="1:5">
      <c r="A14277" s="3" t="s">
        <v>25561</v>
      </c>
      <c r="B14277" s="110" t="s">
        <v>1368</v>
      </c>
      <c r="C14277" s="111" t="s">
        <v>25560</v>
      </c>
      <c r="D14277" s="111" t="str">
        <f t="shared" ref="D14277:E14277" si="14275">TRIM(B14277)</f>
        <v>South Carolina</v>
      </c>
      <c r="E14277" s="111" t="str">
        <f t="shared" si="14275"/>
        <v>Taylors</v>
      </c>
    </row>
    <row r="14278" spans="1:5">
      <c r="A14278" s="3" t="s">
        <v>25562</v>
      </c>
      <c r="B14278" s="110" t="s">
        <v>1368</v>
      </c>
      <c r="C14278" s="111" t="s">
        <v>25563</v>
      </c>
      <c r="D14278" s="111" t="str">
        <f t="shared" ref="D14278:E14278" si="14276">TRIM(B14278)</f>
        <v>South Carolina</v>
      </c>
      <c r="E14278" s="111" t="str">
        <f t="shared" si="14276"/>
        <v>Timmonsville</v>
      </c>
    </row>
    <row r="14279" spans="1:5">
      <c r="A14279" s="3" t="s">
        <v>25564</v>
      </c>
      <c r="B14279" s="110" t="s">
        <v>1368</v>
      </c>
      <c r="C14279" s="111" t="s">
        <v>25565</v>
      </c>
      <c r="D14279" s="111" t="str">
        <f t="shared" ref="D14279:E14279" si="14277">TRIM(B14279)</f>
        <v>South Carolina</v>
      </c>
      <c r="E14279" s="111" t="str">
        <f t="shared" si="14277"/>
        <v>Travelers Rest</v>
      </c>
    </row>
    <row r="14280" spans="1:5">
      <c r="A14280" s="3" t="s">
        <v>25566</v>
      </c>
      <c r="B14280" s="110" t="s">
        <v>1368</v>
      </c>
      <c r="C14280" s="111" t="s">
        <v>25567</v>
      </c>
      <c r="D14280" s="111" t="str">
        <f t="shared" ref="D14280:E14280" si="14278">TRIM(B14280)</f>
        <v>South Carolina</v>
      </c>
      <c r="E14280" s="111" t="str">
        <f t="shared" si="14278"/>
        <v>Turbeville</v>
      </c>
    </row>
    <row r="14281" spans="1:5">
      <c r="A14281" s="3" t="s">
        <v>9484</v>
      </c>
      <c r="B14281" s="110" t="s">
        <v>1368</v>
      </c>
      <c r="C14281" s="111" t="s">
        <v>483</v>
      </c>
      <c r="D14281" s="111" t="str">
        <f t="shared" ref="D14281:E14281" si="14279">TRIM(B14281)</f>
        <v>South Carolina</v>
      </c>
      <c r="E14281" s="111" t="str">
        <f t="shared" si="14279"/>
        <v>Union</v>
      </c>
    </row>
    <row r="14282" spans="1:5">
      <c r="A14282" s="3" t="s">
        <v>25447</v>
      </c>
      <c r="B14282" s="110" t="s">
        <v>1368</v>
      </c>
      <c r="C14282" s="111" t="s">
        <v>25568</v>
      </c>
      <c r="D14282" s="111" t="str">
        <f t="shared" ref="D14282:E14282" si="14280">TRIM(B14282)</f>
        <v>South Carolina</v>
      </c>
      <c r="E14282" s="111" t="str">
        <f t="shared" si="14280"/>
        <v>Varnville</v>
      </c>
    </row>
    <row r="14283" spans="1:5">
      <c r="A14283" s="3" t="s">
        <v>25569</v>
      </c>
      <c r="B14283" s="110" t="s">
        <v>1368</v>
      </c>
      <c r="C14283" s="112" t="s">
        <v>25570</v>
      </c>
      <c r="D14283" s="111" t="str">
        <f t="shared" ref="D14283:E14283" si="14281">TRIM(B14283)</f>
        <v>South Carolina</v>
      </c>
      <c r="E14283" s="111" t="str">
        <f t="shared" si="14281"/>
        <v>Wagener</v>
      </c>
    </row>
    <row r="14284" spans="1:5">
      <c r="A14284" s="3" t="s">
        <v>25571</v>
      </c>
      <c r="B14284" s="110" t="s">
        <v>1368</v>
      </c>
      <c r="C14284" s="111" t="s">
        <v>22748</v>
      </c>
      <c r="D14284" s="111" t="str">
        <f t="shared" ref="D14284:E14284" si="14282">TRIM(B14284)</f>
        <v>South Carolina</v>
      </c>
      <c r="E14284" s="111" t="str">
        <f t="shared" si="14282"/>
        <v>Walhalla</v>
      </c>
    </row>
    <row r="14285" spans="1:5">
      <c r="A14285" s="3" t="s">
        <v>25572</v>
      </c>
      <c r="B14285" s="110" t="s">
        <v>1368</v>
      </c>
      <c r="C14285" s="111" t="s">
        <v>13330</v>
      </c>
      <c r="D14285" s="111" t="str">
        <f t="shared" ref="D14285:E14285" si="14283">TRIM(B14285)</f>
        <v>South Carolina</v>
      </c>
      <c r="E14285" s="111" t="str">
        <f t="shared" si="14283"/>
        <v>Walterboro</v>
      </c>
    </row>
    <row r="14286" spans="1:5">
      <c r="A14286" s="3" t="s">
        <v>25573</v>
      </c>
      <c r="B14286" s="110" t="s">
        <v>1368</v>
      </c>
      <c r="C14286" s="111" t="s">
        <v>25574</v>
      </c>
      <c r="D14286" s="111" t="str">
        <f t="shared" ref="D14286:E14286" si="14284">TRIM(B14286)</f>
        <v>South Carolina</v>
      </c>
      <c r="E14286" s="111" t="str">
        <f t="shared" si="14284"/>
        <v>Ware Shoals</v>
      </c>
    </row>
    <row r="14287" spans="1:5">
      <c r="A14287" s="3" t="s">
        <v>25575</v>
      </c>
      <c r="B14287" s="110" t="s">
        <v>1368</v>
      </c>
      <c r="C14287" s="111" t="s">
        <v>25576</v>
      </c>
      <c r="D14287" s="111" t="str">
        <f t="shared" ref="D14287:E14287" si="14285">TRIM(B14287)</f>
        <v>South Carolina</v>
      </c>
      <c r="E14287" s="111" t="str">
        <f t="shared" si="14285"/>
        <v>West Columbia</v>
      </c>
    </row>
    <row r="14288" spans="1:5">
      <c r="A14288" s="3" t="s">
        <v>25577</v>
      </c>
      <c r="B14288" s="110" t="s">
        <v>1368</v>
      </c>
      <c r="C14288" s="111" t="s">
        <v>25576</v>
      </c>
      <c r="D14288" s="111" t="str">
        <f t="shared" ref="D14288:E14288" si="14286">TRIM(B14288)</f>
        <v>South Carolina</v>
      </c>
      <c r="E14288" s="111" t="str">
        <f t="shared" si="14286"/>
        <v>West Columbia</v>
      </c>
    </row>
    <row r="14289" spans="1:5">
      <c r="A14289" s="3" t="s">
        <v>25578</v>
      </c>
      <c r="B14289" s="110" t="s">
        <v>1368</v>
      </c>
      <c r="C14289" s="111" t="s">
        <v>7481</v>
      </c>
      <c r="D14289" s="111" t="str">
        <f t="shared" ref="D14289:E14289" si="14287">TRIM(B14289)</f>
        <v>South Carolina</v>
      </c>
      <c r="E14289" s="111" t="str">
        <f t="shared" si="14287"/>
        <v>Westminster</v>
      </c>
    </row>
    <row r="14290" spans="1:5">
      <c r="A14290" s="3" t="s">
        <v>25579</v>
      </c>
      <c r="B14290" s="110" t="s">
        <v>1368</v>
      </c>
      <c r="C14290" s="111" t="s">
        <v>25580</v>
      </c>
      <c r="D14290" s="111" t="str">
        <f t="shared" ref="D14290:E14290" si="14288">TRIM(B14290)</f>
        <v>South Carolina</v>
      </c>
      <c r="E14290" s="111" t="str">
        <f t="shared" si="14288"/>
        <v>Whitmire</v>
      </c>
    </row>
    <row r="14291" spans="1:5">
      <c r="A14291" s="3" t="s">
        <v>9910</v>
      </c>
      <c r="B14291" s="110" t="s">
        <v>1368</v>
      </c>
      <c r="C14291" s="111" t="s">
        <v>2637</v>
      </c>
      <c r="D14291" s="111" t="str">
        <f t="shared" ref="D14291:E14291" si="14289">TRIM(B14291)</f>
        <v>South Carolina</v>
      </c>
      <c r="E14291" s="111" t="str">
        <f t="shared" si="14289"/>
        <v>Williamston</v>
      </c>
    </row>
    <row r="14292" spans="1:5">
      <c r="A14292" s="3" t="s">
        <v>25581</v>
      </c>
      <c r="B14292" s="110" t="s">
        <v>1368</v>
      </c>
      <c r="C14292" s="111" t="s">
        <v>10256</v>
      </c>
      <c r="D14292" s="111" t="str">
        <f t="shared" ref="D14292:E14292" si="14290">TRIM(B14292)</f>
        <v>South Carolina</v>
      </c>
      <c r="E14292" s="111" t="str">
        <f t="shared" si="14290"/>
        <v>Williston</v>
      </c>
    </row>
    <row r="14293" spans="1:5">
      <c r="A14293" s="3" t="s">
        <v>25582</v>
      </c>
      <c r="B14293" s="110" t="s">
        <v>1368</v>
      </c>
      <c r="C14293" s="111" t="s">
        <v>10896</v>
      </c>
      <c r="D14293" s="111" t="str">
        <f t="shared" ref="D14293:E14293" si="14291">TRIM(B14293)</f>
        <v>South Carolina</v>
      </c>
      <c r="E14293" s="111" t="str">
        <f t="shared" si="14291"/>
        <v>Winnsboro</v>
      </c>
    </row>
    <row r="14294" spans="1:5">
      <c r="A14294" s="3" t="s">
        <v>25583</v>
      </c>
      <c r="B14294" s="110" t="s">
        <v>1368</v>
      </c>
      <c r="C14294" s="111" t="s">
        <v>25584</v>
      </c>
      <c r="D14294" s="111" t="str">
        <f t="shared" ref="D14294:E14294" si="14292">TRIM(B14294)</f>
        <v>South Carolina</v>
      </c>
      <c r="E14294" s="111" t="str">
        <f t="shared" si="14292"/>
        <v>Woodruff</v>
      </c>
    </row>
    <row r="14295" spans="1:5">
      <c r="A14295" s="3" t="s">
        <v>25585</v>
      </c>
      <c r="B14295" s="110" t="s">
        <v>1368</v>
      </c>
      <c r="C14295" s="111" t="s">
        <v>567</v>
      </c>
      <c r="D14295" s="111" t="str">
        <f t="shared" ref="D14295:E14295" si="14293">TRIM(B14295)</f>
        <v>South Carolina</v>
      </c>
      <c r="E14295" s="111" t="str">
        <f t="shared" si="14293"/>
        <v>York</v>
      </c>
    </row>
    <row r="14296" spans="1:5">
      <c r="A14296" s="3" t="s">
        <v>25586</v>
      </c>
      <c r="B14296" s="110" t="s">
        <v>1371</v>
      </c>
      <c r="C14296" s="111" t="s">
        <v>11582</v>
      </c>
      <c r="D14296" s="111" t="str">
        <f t="shared" ref="D14296:E14296" si="14294">TRIM(B14296)</f>
        <v>South Dakota</v>
      </c>
      <c r="E14296" s="111" t="str">
        <f t="shared" si="14294"/>
        <v>Aberdeen</v>
      </c>
    </row>
    <row r="14297" spans="1:5">
      <c r="A14297" s="3" t="s">
        <v>25587</v>
      </c>
      <c r="B14297" s="110" t="s">
        <v>1371</v>
      </c>
      <c r="C14297" s="111" t="s">
        <v>25588</v>
      </c>
      <c r="D14297" s="111" t="str">
        <f t="shared" ref="D14297:E14297" si="14295">TRIM(B14297)</f>
        <v>South Dakota</v>
      </c>
      <c r="E14297" s="111" t="str">
        <f t="shared" si="14295"/>
        <v>Alcester</v>
      </c>
    </row>
    <row r="14298" spans="1:5">
      <c r="A14298" s="3" t="s">
        <v>25589</v>
      </c>
      <c r="B14298" s="110" t="s">
        <v>1371</v>
      </c>
      <c r="C14298" s="111" t="s">
        <v>831</v>
      </c>
      <c r="D14298" s="111" t="str">
        <f t="shared" ref="D14298:E14298" si="14296">TRIM(B14298)</f>
        <v>South Dakota</v>
      </c>
      <c r="E14298" s="111" t="str">
        <f t="shared" si="14296"/>
        <v>Alexandria</v>
      </c>
    </row>
    <row r="14299" spans="1:5">
      <c r="A14299" s="3" t="s">
        <v>25590</v>
      </c>
      <c r="B14299" s="110" t="s">
        <v>1371</v>
      </c>
      <c r="C14299" s="111" t="s">
        <v>831</v>
      </c>
      <c r="D14299" s="111" t="str">
        <f t="shared" ref="D14299:E14299" si="14297">TRIM(B14299)</f>
        <v>South Dakota</v>
      </c>
      <c r="E14299" s="111" t="str">
        <f t="shared" si="14297"/>
        <v>Alexandria</v>
      </c>
    </row>
    <row r="14300" spans="1:5">
      <c r="A14300" s="3" t="s">
        <v>25591</v>
      </c>
      <c r="B14300" s="110" t="s">
        <v>1371</v>
      </c>
      <c r="C14300" s="111" t="s">
        <v>1048</v>
      </c>
      <c r="D14300" s="111" t="str">
        <f t="shared" ref="D14300:E14300" si="14298">TRIM(B14300)</f>
        <v>South Dakota</v>
      </c>
      <c r="E14300" s="111" t="str">
        <f t="shared" si="14298"/>
        <v>Arlington</v>
      </c>
    </row>
    <row r="14301" spans="1:5">
      <c r="A14301" s="3" t="s">
        <v>25592</v>
      </c>
      <c r="B14301" s="110" t="s">
        <v>1371</v>
      </c>
      <c r="C14301" s="111" t="s">
        <v>1048</v>
      </c>
      <c r="D14301" s="111" t="str">
        <f t="shared" ref="D14301:E14301" si="14299">TRIM(B14301)</f>
        <v>South Dakota</v>
      </c>
      <c r="E14301" s="111" t="str">
        <f t="shared" si="14299"/>
        <v>Arlington</v>
      </c>
    </row>
    <row r="14302" spans="1:5">
      <c r="A14302" s="3" t="s">
        <v>25593</v>
      </c>
      <c r="B14302" s="110" t="s">
        <v>1371</v>
      </c>
      <c r="C14302" s="111" t="s">
        <v>25594</v>
      </c>
      <c r="D14302" s="111" t="str">
        <f t="shared" ref="D14302:E14302" si="14300">TRIM(B14302)</f>
        <v>South Dakota</v>
      </c>
      <c r="E14302" s="111" t="str">
        <f t="shared" si="14300"/>
        <v>Armour</v>
      </c>
    </row>
    <row r="14303" spans="1:5">
      <c r="A14303" s="3" t="s">
        <v>25595</v>
      </c>
      <c r="B14303" s="110" t="s">
        <v>1371</v>
      </c>
      <c r="C14303" s="111" t="s">
        <v>8331</v>
      </c>
      <c r="D14303" s="111" t="str">
        <f t="shared" ref="D14303:E14303" si="14301">TRIM(B14303)</f>
        <v>South Dakota</v>
      </c>
      <c r="E14303" s="111" t="str">
        <f t="shared" si="14301"/>
        <v>Avon</v>
      </c>
    </row>
    <row r="14304" spans="1:5">
      <c r="A14304" s="3" t="s">
        <v>25596</v>
      </c>
      <c r="B14304" s="110" t="s">
        <v>1371</v>
      </c>
      <c r="C14304" s="111" t="s">
        <v>9748</v>
      </c>
      <c r="D14304" s="111" t="str">
        <f t="shared" ref="D14304:E14304" si="14302">TRIM(B14304)</f>
        <v>South Dakota</v>
      </c>
      <c r="E14304" s="111" t="str">
        <f t="shared" si="14302"/>
        <v>Baltic</v>
      </c>
    </row>
    <row r="14305" spans="1:5">
      <c r="A14305" s="3" t="s">
        <v>25597</v>
      </c>
      <c r="B14305" s="110" t="s">
        <v>1371</v>
      </c>
      <c r="C14305" s="111" t="s">
        <v>25598</v>
      </c>
      <c r="D14305" s="111" t="str">
        <f t="shared" ref="D14305:E14305" si="14303">TRIM(B14305)</f>
        <v>South Dakota</v>
      </c>
      <c r="E14305" s="111" t="str">
        <f t="shared" si="14303"/>
        <v>Belle Fourche</v>
      </c>
    </row>
    <row r="14306" spans="1:5">
      <c r="A14306" s="3" t="s">
        <v>25599</v>
      </c>
      <c r="B14306" s="110" t="s">
        <v>1371</v>
      </c>
      <c r="C14306" s="111" t="s">
        <v>25600</v>
      </c>
      <c r="D14306" s="111" t="str">
        <f t="shared" ref="D14306:E14306" si="14304">TRIM(B14306)</f>
        <v>South Dakota</v>
      </c>
      <c r="E14306" s="111" t="str">
        <f t="shared" si="14304"/>
        <v>Beresford</v>
      </c>
    </row>
    <row r="14307" spans="1:5">
      <c r="A14307" s="3" t="s">
        <v>25601</v>
      </c>
      <c r="B14307" s="110" t="s">
        <v>1371</v>
      </c>
      <c r="C14307" s="111" t="s">
        <v>25602</v>
      </c>
      <c r="D14307" s="111" t="str">
        <f t="shared" ref="D14307:E14307" si="14305">TRIM(B14307)</f>
        <v>South Dakota</v>
      </c>
      <c r="E14307" s="111" t="str">
        <f t="shared" si="14305"/>
        <v>Bison</v>
      </c>
    </row>
    <row r="14308" spans="1:5">
      <c r="A14308" s="3" t="s">
        <v>25603</v>
      </c>
      <c r="B14308" s="110" t="s">
        <v>1371</v>
      </c>
      <c r="C14308" s="111" t="s">
        <v>25604</v>
      </c>
      <c r="D14308" s="111" t="str">
        <f t="shared" ref="D14308:E14308" si="14306">TRIM(B14308)</f>
        <v>South Dakota</v>
      </c>
      <c r="E14308" s="111" t="str">
        <f t="shared" si="14306"/>
        <v>Bowdle</v>
      </c>
    </row>
    <row r="14309" spans="1:5">
      <c r="A14309" s="3" t="s">
        <v>25605</v>
      </c>
      <c r="B14309" s="110" t="s">
        <v>1371</v>
      </c>
      <c r="C14309" s="111" t="s">
        <v>19266</v>
      </c>
      <c r="D14309" s="111" t="str">
        <f t="shared" ref="D14309:E14309" si="14307">TRIM(B14309)</f>
        <v>South Dakota</v>
      </c>
      <c r="E14309" s="111" t="str">
        <f t="shared" si="14307"/>
        <v>Box Elder</v>
      </c>
    </row>
    <row r="14310" spans="1:5">
      <c r="A14310" s="3" t="s">
        <v>25606</v>
      </c>
      <c r="B14310" s="110" t="s">
        <v>1371</v>
      </c>
      <c r="C14310" s="111" t="s">
        <v>9005</v>
      </c>
      <c r="D14310" s="111" t="str">
        <f t="shared" ref="D14310:E14310" si="14308">TRIM(B14310)</f>
        <v>South Dakota</v>
      </c>
      <c r="E14310" s="111" t="str">
        <f t="shared" si="14308"/>
        <v>Brandon</v>
      </c>
    </row>
    <row r="14311" spans="1:5">
      <c r="A14311" s="3" t="s">
        <v>25607</v>
      </c>
      <c r="B14311" s="110" t="s">
        <v>1371</v>
      </c>
      <c r="C14311" s="112" t="s">
        <v>25608</v>
      </c>
      <c r="D14311" s="111" t="str">
        <f t="shared" ref="D14311:E14311" si="14309">TRIM(B14311)</f>
        <v>South Dakota</v>
      </c>
      <c r="E14311" s="111" t="str">
        <f t="shared" si="14309"/>
        <v>Britton</v>
      </c>
    </row>
    <row r="14312" spans="1:5">
      <c r="A14312" s="3" t="s">
        <v>25609</v>
      </c>
      <c r="B14312" s="110" t="s">
        <v>1371</v>
      </c>
      <c r="C14312" s="111" t="s">
        <v>25608</v>
      </c>
      <c r="D14312" s="111" t="str">
        <f t="shared" ref="D14312:E14312" si="14310">TRIM(B14312)</f>
        <v>South Dakota</v>
      </c>
      <c r="E14312" s="111" t="str">
        <f t="shared" si="14310"/>
        <v>Britton</v>
      </c>
    </row>
    <row r="14313" spans="1:5">
      <c r="A14313" s="3" t="s">
        <v>25610</v>
      </c>
      <c r="B14313" s="110" t="s">
        <v>1371</v>
      </c>
      <c r="C14313" s="111" t="s">
        <v>24228</v>
      </c>
      <c r="D14313" s="111" t="str">
        <f t="shared" ref="D14313:E14313" si="14311">TRIM(B14313)</f>
        <v>South Dakota</v>
      </c>
      <c r="E14313" s="111" t="str">
        <f t="shared" si="14311"/>
        <v>Brookings</v>
      </c>
    </row>
    <row r="14314" spans="1:5">
      <c r="A14314" s="3" t="s">
        <v>25611</v>
      </c>
      <c r="B14314" s="110" t="s">
        <v>1371</v>
      </c>
      <c r="C14314" s="111" t="s">
        <v>12129</v>
      </c>
      <c r="D14314" s="111" t="str">
        <f t="shared" ref="D14314:E14314" si="14312">TRIM(B14314)</f>
        <v>South Dakota</v>
      </c>
      <c r="E14314" s="111" t="str">
        <f t="shared" si="14312"/>
        <v>Buffalo</v>
      </c>
    </row>
    <row r="14315" spans="1:5">
      <c r="A14315" s="3" t="s">
        <v>25612</v>
      </c>
      <c r="B14315" s="110" t="s">
        <v>1371</v>
      </c>
      <c r="C14315" s="111" t="s">
        <v>25613</v>
      </c>
      <c r="D14315" s="111" t="str">
        <f t="shared" ref="D14315:E14315" si="14313">TRIM(B14315)</f>
        <v>South Dakota</v>
      </c>
      <c r="E14315" s="111" t="str">
        <f t="shared" si="14313"/>
        <v>Burke</v>
      </c>
    </row>
    <row r="14316" spans="1:5">
      <c r="A14316" s="110" t="s">
        <v>25614</v>
      </c>
      <c r="B14316" s="110" t="s">
        <v>1371</v>
      </c>
      <c r="C14316" s="111" t="s">
        <v>25613</v>
      </c>
      <c r="D14316" s="111" t="str">
        <f t="shared" ref="D14316:E14316" si="14314">TRIM(B14316)</f>
        <v>South Dakota</v>
      </c>
      <c r="E14316" s="111" t="str">
        <f t="shared" si="14314"/>
        <v>Burke</v>
      </c>
    </row>
    <row r="14317" spans="1:5">
      <c r="A14317" s="3" t="s">
        <v>25615</v>
      </c>
      <c r="B14317" s="110" t="s">
        <v>1371</v>
      </c>
      <c r="C14317" s="111" t="s">
        <v>25616</v>
      </c>
      <c r="D14317" s="111" t="str">
        <f t="shared" ref="D14317:E14317" si="14315">TRIM(B14317)</f>
        <v>South Dakota</v>
      </c>
      <c r="E14317" s="111" t="str">
        <f t="shared" si="14315"/>
        <v>Canistota</v>
      </c>
    </row>
    <row r="14318" spans="1:5">
      <c r="A14318" s="3" t="s">
        <v>25617</v>
      </c>
      <c r="B14318" s="110" t="s">
        <v>1371</v>
      </c>
      <c r="C14318" s="111" t="s">
        <v>1205</v>
      </c>
      <c r="D14318" s="111" t="str">
        <f t="shared" ref="D14318:E14318" si="14316">TRIM(B14318)</f>
        <v>South Dakota</v>
      </c>
      <c r="E14318" s="111" t="str">
        <f t="shared" si="14316"/>
        <v>Canton</v>
      </c>
    </row>
    <row r="14319" spans="1:5">
      <c r="A14319" s="3" t="s">
        <v>25618</v>
      </c>
      <c r="B14319" s="110" t="s">
        <v>1371</v>
      </c>
      <c r="C14319" s="111" t="s">
        <v>25619</v>
      </c>
      <c r="D14319" s="111" t="str">
        <f t="shared" ref="D14319:E14319" si="14317">TRIM(B14319)</f>
        <v>South Dakota</v>
      </c>
      <c r="E14319" s="111" t="str">
        <f t="shared" si="14317"/>
        <v>Castlewood</v>
      </c>
    </row>
    <row r="14320" spans="1:5">
      <c r="A14320" s="3" t="s">
        <v>25620</v>
      </c>
      <c r="B14320" s="110" t="s">
        <v>1371</v>
      </c>
      <c r="C14320" s="111" t="s">
        <v>12830</v>
      </c>
      <c r="D14320" s="111" t="str">
        <f t="shared" ref="D14320:E14320" si="14318">TRIM(B14320)</f>
        <v>South Dakota</v>
      </c>
      <c r="E14320" s="111" t="str">
        <f t="shared" si="14318"/>
        <v>Centerville</v>
      </c>
    </row>
    <row r="14321" spans="1:5">
      <c r="A14321" s="3" t="s">
        <v>25621</v>
      </c>
      <c r="B14321" s="110" t="s">
        <v>1371</v>
      </c>
      <c r="C14321" s="111" t="s">
        <v>25622</v>
      </c>
      <c r="D14321" s="111" t="str">
        <f t="shared" ref="D14321:E14321" si="14319">TRIM(B14321)</f>
        <v>South Dakota</v>
      </c>
      <c r="E14321" s="111" t="str">
        <f t="shared" si="14319"/>
        <v>Chamberlain</v>
      </c>
    </row>
    <row r="14322" spans="1:5">
      <c r="A14322" s="110" t="s">
        <v>25623</v>
      </c>
      <c r="B14322" s="110" t="s">
        <v>1371</v>
      </c>
      <c r="C14322" s="111" t="s">
        <v>2262</v>
      </c>
      <c r="D14322" s="111" t="str">
        <f t="shared" ref="D14322:E14322" si="14320">TRIM(B14322)</f>
        <v>South Dakota</v>
      </c>
      <c r="E14322" s="111" t="str">
        <f t="shared" si="14320"/>
        <v>Chester</v>
      </c>
    </row>
    <row r="14323" spans="1:5">
      <c r="A14323" s="3" t="s">
        <v>25624</v>
      </c>
      <c r="B14323" s="110" t="s">
        <v>1371</v>
      </c>
      <c r="C14323" s="111" t="s">
        <v>2262</v>
      </c>
      <c r="D14323" s="111" t="str">
        <f t="shared" ref="D14323:E14323" si="14321">TRIM(B14323)</f>
        <v>South Dakota</v>
      </c>
      <c r="E14323" s="111" t="str">
        <f t="shared" si="14321"/>
        <v>Chester</v>
      </c>
    </row>
    <row r="14324" spans="1:5">
      <c r="A14324" s="3" t="s">
        <v>25625</v>
      </c>
      <c r="B14324" s="110" t="s">
        <v>1371</v>
      </c>
      <c r="C14324" s="111" t="s">
        <v>12088</v>
      </c>
      <c r="D14324" s="111" t="str">
        <f t="shared" ref="D14324:E14324" si="14322">TRIM(B14324)</f>
        <v>South Dakota</v>
      </c>
      <c r="E14324" s="111" t="str">
        <f t="shared" si="14322"/>
        <v>Clark</v>
      </c>
    </row>
    <row r="14325" spans="1:5">
      <c r="A14325" s="3" t="s">
        <v>25626</v>
      </c>
      <c r="B14325" s="110" t="s">
        <v>1371</v>
      </c>
      <c r="C14325" s="111" t="s">
        <v>14755</v>
      </c>
      <c r="D14325" s="111" t="str">
        <f t="shared" ref="D14325:E14325" si="14323">TRIM(B14325)</f>
        <v>South Dakota</v>
      </c>
      <c r="E14325" s="111" t="str">
        <f t="shared" si="14323"/>
        <v>Clear Lake</v>
      </c>
    </row>
    <row r="14326" spans="1:5">
      <c r="A14326" s="3" t="s">
        <v>25627</v>
      </c>
      <c r="B14326" s="110" t="s">
        <v>1371</v>
      </c>
      <c r="C14326" s="111" t="s">
        <v>25628</v>
      </c>
      <c r="D14326" s="111" t="str">
        <f t="shared" ref="D14326:E14326" si="14324">TRIM(B14326)</f>
        <v>South Dakota</v>
      </c>
      <c r="E14326" s="111" t="str">
        <f t="shared" si="14324"/>
        <v>Colman</v>
      </c>
    </row>
    <row r="14327" spans="1:5">
      <c r="A14327" s="3" t="s">
        <v>25629</v>
      </c>
      <c r="B14327" s="110" t="s">
        <v>1371</v>
      </c>
      <c r="C14327" s="111" t="s">
        <v>25630</v>
      </c>
      <c r="D14327" s="111" t="str">
        <f t="shared" ref="D14327:E14327" si="14325">TRIM(B14327)</f>
        <v>South Dakota</v>
      </c>
      <c r="E14327" s="111" t="str">
        <f t="shared" si="14325"/>
        <v>Colome</v>
      </c>
    </row>
    <row r="14328" spans="1:5">
      <c r="A14328" s="3" t="s">
        <v>25631</v>
      </c>
      <c r="B14328" s="110" t="s">
        <v>1371</v>
      </c>
      <c r="C14328" s="111" t="s">
        <v>4721</v>
      </c>
      <c r="D14328" s="111" t="str">
        <f t="shared" ref="D14328:E14328" si="14326">TRIM(B14328)</f>
        <v>South Dakota</v>
      </c>
      <c r="E14328" s="111" t="str">
        <f t="shared" si="14326"/>
        <v>Colton</v>
      </c>
    </row>
    <row r="14329" spans="1:5">
      <c r="A14329" s="3" t="s">
        <v>25632</v>
      </c>
      <c r="B14329" s="110" t="s">
        <v>1371</v>
      </c>
      <c r="C14329" s="111" t="s">
        <v>25633</v>
      </c>
      <c r="D14329" s="111" t="str">
        <f t="shared" ref="D14329:E14329" si="14327">TRIM(B14329)</f>
        <v>South Dakota</v>
      </c>
      <c r="E14329" s="111" t="str">
        <f t="shared" si="14327"/>
        <v>Corsica</v>
      </c>
    </row>
    <row r="14330" spans="1:5">
      <c r="A14330" s="3" t="s">
        <v>25634</v>
      </c>
      <c r="B14330" s="110" t="s">
        <v>1371</v>
      </c>
      <c r="C14330" s="111" t="s">
        <v>17097</v>
      </c>
      <c r="D14330" s="111" t="str">
        <f t="shared" ref="D14330:E14330" si="14328">TRIM(B14330)</f>
        <v>South Dakota</v>
      </c>
      <c r="E14330" s="111" t="str">
        <f t="shared" si="14328"/>
        <v>Custer</v>
      </c>
    </row>
    <row r="14331" spans="1:5">
      <c r="A14331" s="3" t="s">
        <v>25635</v>
      </c>
      <c r="B14331" s="110" t="s">
        <v>1371</v>
      </c>
      <c r="C14331" s="111" t="s">
        <v>25636</v>
      </c>
      <c r="D14331" s="111" t="str">
        <f t="shared" ref="D14331:E14331" si="14329">TRIM(B14331)</f>
        <v>South Dakota</v>
      </c>
      <c r="E14331" s="111" t="str">
        <f t="shared" si="14329"/>
        <v>De Smet</v>
      </c>
    </row>
    <row r="14332" spans="1:5">
      <c r="A14332" s="3" t="s">
        <v>25637</v>
      </c>
      <c r="B14332" s="110" t="s">
        <v>1371</v>
      </c>
      <c r="C14332" s="111" t="s">
        <v>6769</v>
      </c>
      <c r="D14332" s="111" t="str">
        <f t="shared" ref="D14332:E14332" si="14330">TRIM(B14332)</f>
        <v>South Dakota</v>
      </c>
      <c r="E14332" s="111" t="str">
        <f t="shared" si="14330"/>
        <v>Dell Rapids</v>
      </c>
    </row>
    <row r="14333" spans="1:5">
      <c r="A14333" s="3" t="s">
        <v>25638</v>
      </c>
      <c r="B14333" s="110" t="s">
        <v>1371</v>
      </c>
      <c r="C14333" s="111" t="s">
        <v>23761</v>
      </c>
      <c r="D14333" s="111" t="str">
        <f t="shared" ref="D14333:E14333" si="14331">TRIM(B14333)</f>
        <v>South Dakota</v>
      </c>
      <c r="E14333" s="111" t="str">
        <f t="shared" si="14331"/>
        <v>Dewey</v>
      </c>
    </row>
    <row r="14334" spans="1:5">
      <c r="A14334" s="3" t="s">
        <v>25639</v>
      </c>
      <c r="B14334" s="110" t="s">
        <v>1371</v>
      </c>
      <c r="C14334" s="111" t="s">
        <v>25640</v>
      </c>
      <c r="D14334" s="111" t="str">
        <f t="shared" ref="D14334:E14334" si="14332">TRIM(B14334)</f>
        <v>South Dakota</v>
      </c>
      <c r="E14334" s="111" t="str">
        <f t="shared" si="14332"/>
        <v>Doland</v>
      </c>
    </row>
    <row r="14335" spans="1:5">
      <c r="A14335" s="3" t="s">
        <v>25641</v>
      </c>
      <c r="B14335" s="110" t="s">
        <v>1371</v>
      </c>
      <c r="C14335" s="111" t="s">
        <v>25640</v>
      </c>
      <c r="D14335" s="111" t="str">
        <f t="shared" ref="D14335:E14335" si="14333">TRIM(B14335)</f>
        <v>South Dakota</v>
      </c>
      <c r="E14335" s="111" t="str">
        <f t="shared" si="14333"/>
        <v>Doland</v>
      </c>
    </row>
    <row r="14336" spans="1:5">
      <c r="A14336" s="3" t="s">
        <v>25642</v>
      </c>
      <c r="B14336" s="110" t="s">
        <v>1371</v>
      </c>
      <c r="C14336" s="111" t="s">
        <v>25643</v>
      </c>
      <c r="D14336" s="111" t="str">
        <f t="shared" ref="D14336:E14336" si="14334">TRIM(B14336)</f>
        <v>South Dakota</v>
      </c>
      <c r="E14336" s="111" t="str">
        <f t="shared" si="14334"/>
        <v>Dupree</v>
      </c>
    </row>
    <row r="14337" spans="1:5">
      <c r="A14337" s="3" t="s">
        <v>25644</v>
      </c>
      <c r="B14337" s="110" t="s">
        <v>1371</v>
      </c>
      <c r="C14337" s="111" t="s">
        <v>25645</v>
      </c>
      <c r="D14337" s="111" t="str">
        <f t="shared" ref="D14337:E14337" si="14335">TRIM(B14337)</f>
        <v>South Dakota</v>
      </c>
      <c r="E14337" s="111" t="str">
        <f t="shared" si="14335"/>
        <v>Eagle Butte</v>
      </c>
    </row>
    <row r="14338" spans="1:5">
      <c r="A14338" s="3" t="s">
        <v>25646</v>
      </c>
      <c r="B14338" s="110" t="s">
        <v>1371</v>
      </c>
      <c r="C14338" s="111" t="s">
        <v>25647</v>
      </c>
      <c r="D14338" s="111" t="str">
        <f t="shared" ref="D14338:E14338" si="14336">TRIM(B14338)</f>
        <v>South Dakota</v>
      </c>
      <c r="E14338" s="111" t="str">
        <f t="shared" si="14336"/>
        <v>Edgemont</v>
      </c>
    </row>
    <row r="14339" spans="1:5">
      <c r="A14339" s="3" t="s">
        <v>25648</v>
      </c>
      <c r="B14339" s="110" t="s">
        <v>1371</v>
      </c>
      <c r="C14339" s="111" t="s">
        <v>25649</v>
      </c>
      <c r="D14339" s="111" t="str">
        <f t="shared" ref="D14339:E14339" si="14337">TRIM(B14339)</f>
        <v>South Dakota</v>
      </c>
      <c r="E14339" s="111" t="str">
        <f t="shared" si="14337"/>
        <v>Elk Point</v>
      </c>
    </row>
    <row r="14340" spans="1:5">
      <c r="A14340" s="3" t="s">
        <v>25650</v>
      </c>
      <c r="B14340" s="110" t="s">
        <v>1371</v>
      </c>
      <c r="C14340" s="111" t="s">
        <v>15674</v>
      </c>
      <c r="D14340" s="111" t="str">
        <f t="shared" ref="D14340:E14340" si="14338">TRIM(B14340)</f>
        <v>South Dakota</v>
      </c>
      <c r="E14340" s="111" t="str">
        <f t="shared" si="14338"/>
        <v>Elkton</v>
      </c>
    </row>
    <row r="14341" spans="1:5">
      <c r="A14341" s="3" t="s">
        <v>25651</v>
      </c>
      <c r="B14341" s="110" t="s">
        <v>1371</v>
      </c>
      <c r="C14341" s="111" t="s">
        <v>25652</v>
      </c>
      <c r="D14341" s="111" t="str">
        <f t="shared" ref="D14341:E14341" si="14339">TRIM(B14341)</f>
        <v>South Dakota</v>
      </c>
      <c r="E14341" s="111" t="str">
        <f t="shared" si="14339"/>
        <v>Emery</v>
      </c>
    </row>
    <row r="14342" spans="1:5">
      <c r="A14342" s="3" t="s">
        <v>25653</v>
      </c>
      <c r="B14342" s="110" t="s">
        <v>1371</v>
      </c>
      <c r="C14342" s="111" t="s">
        <v>25654</v>
      </c>
      <c r="D14342" s="111" t="str">
        <f t="shared" ref="D14342:E14342" si="14340">TRIM(B14342)</f>
        <v>South Dakota</v>
      </c>
      <c r="E14342" s="111" t="str">
        <f t="shared" si="14340"/>
        <v>Estelline</v>
      </c>
    </row>
    <row r="14343" spans="1:5">
      <c r="A14343" s="3" t="s">
        <v>25655</v>
      </c>
      <c r="B14343" s="110" t="s">
        <v>1371</v>
      </c>
      <c r="C14343" s="111" t="s">
        <v>25656</v>
      </c>
      <c r="D14343" s="111" t="str">
        <f t="shared" ref="D14343:E14343" si="14341">TRIM(B14343)</f>
        <v>South Dakota</v>
      </c>
      <c r="E14343" s="111" t="str">
        <f t="shared" si="14341"/>
        <v>Ethan</v>
      </c>
    </row>
    <row r="14344" spans="1:5">
      <c r="A14344" s="3" t="s">
        <v>25657</v>
      </c>
      <c r="B14344" s="110" t="s">
        <v>1371</v>
      </c>
      <c r="C14344" s="111" t="s">
        <v>4989</v>
      </c>
      <c r="D14344" s="111" t="str">
        <f t="shared" ref="D14344:E14344" si="14342">TRIM(B14344)</f>
        <v>South Dakota</v>
      </c>
      <c r="E14344" s="111" t="str">
        <f t="shared" si="14342"/>
        <v>Eureka</v>
      </c>
    </row>
    <row r="14345" spans="1:5">
      <c r="A14345" s="3" t="s">
        <v>25658</v>
      </c>
      <c r="B14345" s="110" t="s">
        <v>1371</v>
      </c>
      <c r="C14345" s="111" t="s">
        <v>25659</v>
      </c>
      <c r="D14345" s="111" t="str">
        <f t="shared" ref="D14345:E14345" si="14343">TRIM(B14345)</f>
        <v>South Dakota</v>
      </c>
      <c r="E14345" s="111" t="str">
        <f t="shared" si="14343"/>
        <v>Faith</v>
      </c>
    </row>
    <row r="14346" spans="1:5">
      <c r="A14346" s="3" t="s">
        <v>25660</v>
      </c>
      <c r="B14346" s="110" t="s">
        <v>1371</v>
      </c>
      <c r="C14346" s="111" t="s">
        <v>25661</v>
      </c>
      <c r="D14346" s="111" t="str">
        <f t="shared" ref="D14346:E14346" si="14344">TRIM(B14346)</f>
        <v>South Dakota</v>
      </c>
      <c r="E14346" s="111" t="str">
        <f t="shared" si="14344"/>
        <v>Faulkton</v>
      </c>
    </row>
    <row r="14347" spans="1:5">
      <c r="A14347" s="3" t="s">
        <v>25662</v>
      </c>
      <c r="B14347" s="110" t="s">
        <v>1371</v>
      </c>
      <c r="C14347" s="111" t="s">
        <v>25663</v>
      </c>
      <c r="D14347" s="111" t="str">
        <f t="shared" ref="D14347:E14347" si="14345">TRIM(B14347)</f>
        <v>South Dakota</v>
      </c>
      <c r="E14347" s="111" t="str">
        <f t="shared" si="14345"/>
        <v>Flandreau</v>
      </c>
    </row>
    <row r="14348" spans="1:5">
      <c r="A14348" s="3" t="s">
        <v>25664</v>
      </c>
      <c r="B14348" s="110" t="s">
        <v>1371</v>
      </c>
      <c r="C14348" s="111" t="s">
        <v>1756</v>
      </c>
      <c r="D14348" s="111" t="str">
        <f t="shared" ref="D14348:E14348" si="14346">TRIM(B14348)</f>
        <v>South Dakota</v>
      </c>
      <c r="E14348" s="111" t="str">
        <f t="shared" si="14346"/>
        <v>Florence</v>
      </c>
    </row>
    <row r="14349" spans="1:5">
      <c r="A14349" s="3" t="s">
        <v>25665</v>
      </c>
      <c r="B14349" s="110" t="s">
        <v>1371</v>
      </c>
      <c r="C14349" s="112" t="s">
        <v>25666</v>
      </c>
      <c r="D14349" s="111" t="str">
        <f t="shared" ref="D14349:E14349" si="14347">TRIM(B14349)</f>
        <v>South Dakota</v>
      </c>
      <c r="E14349" s="111" t="str">
        <f t="shared" si="14347"/>
        <v>Forestburg</v>
      </c>
    </row>
    <row r="14350" spans="1:5">
      <c r="A14350" s="3" t="s">
        <v>25667</v>
      </c>
      <c r="B14350" s="110" t="s">
        <v>1371</v>
      </c>
      <c r="C14350" s="111" t="s">
        <v>25668</v>
      </c>
      <c r="D14350" s="111" t="str">
        <f t="shared" ref="D14350:E14350" si="14348">TRIM(B14350)</f>
        <v>South Dakota</v>
      </c>
      <c r="E14350" s="111" t="str">
        <f t="shared" si="14348"/>
        <v>Fort Pierre</v>
      </c>
    </row>
    <row r="14351" spans="1:5">
      <c r="A14351" s="3" t="s">
        <v>25669</v>
      </c>
      <c r="B14351" s="110" t="s">
        <v>1371</v>
      </c>
      <c r="C14351" s="111" t="s">
        <v>7921</v>
      </c>
      <c r="D14351" s="111" t="str">
        <f t="shared" ref="D14351:E14351" si="14349">TRIM(B14351)</f>
        <v>South Dakota</v>
      </c>
      <c r="E14351" s="111" t="str">
        <f t="shared" si="14349"/>
        <v>Frederick</v>
      </c>
    </row>
    <row r="14352" spans="1:5">
      <c r="A14352" s="3" t="s">
        <v>25670</v>
      </c>
      <c r="B14352" s="110" t="s">
        <v>1371</v>
      </c>
      <c r="C14352" s="111" t="s">
        <v>13423</v>
      </c>
      <c r="D14352" s="111" t="str">
        <f t="shared" ref="D14352:E14352" si="14350">TRIM(B14352)</f>
        <v>South Dakota</v>
      </c>
      <c r="E14352" s="111" t="str">
        <f t="shared" si="14350"/>
        <v>Freeman</v>
      </c>
    </row>
    <row r="14353" spans="1:5">
      <c r="A14353" s="3" t="s">
        <v>25671</v>
      </c>
      <c r="B14353" s="110" t="s">
        <v>1371</v>
      </c>
      <c r="C14353" s="111" t="s">
        <v>25672</v>
      </c>
      <c r="D14353" s="111" t="str">
        <f t="shared" ref="D14353:E14353" si="14351">TRIM(B14353)</f>
        <v>South Dakota</v>
      </c>
      <c r="E14353" s="111" t="str">
        <f t="shared" si="14351"/>
        <v>Garretson</v>
      </c>
    </row>
    <row r="14354" spans="1:5">
      <c r="A14354" s="3" t="s">
        <v>25673</v>
      </c>
      <c r="B14354" s="110" t="s">
        <v>1371</v>
      </c>
      <c r="C14354" s="111" t="s">
        <v>25674</v>
      </c>
      <c r="D14354" s="111" t="str">
        <f t="shared" ref="D14354:E14354" si="14352">TRIM(B14354)</f>
        <v>South Dakota</v>
      </c>
      <c r="E14354" s="111" t="str">
        <f t="shared" si="14352"/>
        <v>Gayville</v>
      </c>
    </row>
    <row r="14355" spans="1:5">
      <c r="A14355" s="3" t="s">
        <v>25675</v>
      </c>
      <c r="B14355" s="110" t="s">
        <v>1371</v>
      </c>
      <c r="C14355" s="111" t="s">
        <v>24683</v>
      </c>
      <c r="D14355" s="111" t="str">
        <f t="shared" ref="D14355:E14355" si="14353">TRIM(B14355)</f>
        <v>South Dakota</v>
      </c>
      <c r="E14355" s="111" t="str">
        <f t="shared" si="14353"/>
        <v>Gettysburg</v>
      </c>
    </row>
    <row r="14356" spans="1:5">
      <c r="A14356" s="3" t="s">
        <v>25676</v>
      </c>
      <c r="B14356" s="110" t="s">
        <v>1371</v>
      </c>
      <c r="C14356" s="111" t="s">
        <v>25677</v>
      </c>
      <c r="D14356" s="111" t="str">
        <f t="shared" ref="D14356:E14356" si="14354">TRIM(B14356)</f>
        <v>South Dakota</v>
      </c>
      <c r="E14356" s="111" t="str">
        <f t="shared" si="14354"/>
        <v>Gregory</v>
      </c>
    </row>
    <row r="14357" spans="1:5">
      <c r="A14357" s="3" t="s">
        <v>25678</v>
      </c>
      <c r="B14357" s="110" t="s">
        <v>1371</v>
      </c>
      <c r="C14357" s="111" t="s">
        <v>8481</v>
      </c>
      <c r="D14357" s="111" t="str">
        <f t="shared" ref="D14357:E14357" si="14355">TRIM(B14357)</f>
        <v>South Dakota</v>
      </c>
      <c r="E14357" s="111" t="str">
        <f t="shared" si="14355"/>
        <v>Groton</v>
      </c>
    </row>
    <row r="14358" spans="1:5">
      <c r="A14358" s="3" t="s">
        <v>25679</v>
      </c>
      <c r="B14358" s="110" t="s">
        <v>1371</v>
      </c>
      <c r="C14358" s="111" t="s">
        <v>3845</v>
      </c>
      <c r="D14358" s="111" t="str">
        <f t="shared" ref="D14358:E14358" si="14356">TRIM(B14358)</f>
        <v>South Dakota</v>
      </c>
      <c r="E14358" s="111" t="str">
        <f t="shared" si="14356"/>
        <v>Harrisburg</v>
      </c>
    </row>
    <row r="14359" spans="1:5">
      <c r="A14359" s="3" t="s">
        <v>25680</v>
      </c>
      <c r="B14359" s="110" t="s">
        <v>1371</v>
      </c>
      <c r="C14359" s="111" t="s">
        <v>1832</v>
      </c>
      <c r="D14359" s="111" t="str">
        <f t="shared" ref="D14359:E14359" si="14357">TRIM(B14359)</f>
        <v>South Dakota</v>
      </c>
      <c r="E14359" s="111" t="str">
        <f t="shared" si="14357"/>
        <v>Hartford</v>
      </c>
    </row>
    <row r="14360" spans="1:5">
      <c r="A14360" s="3" t="s">
        <v>25681</v>
      </c>
      <c r="B14360" s="110" t="s">
        <v>1371</v>
      </c>
      <c r="C14360" s="111" t="s">
        <v>18819</v>
      </c>
      <c r="D14360" s="111" t="str">
        <f t="shared" ref="D14360:E14360" si="14358">TRIM(B14360)</f>
        <v>South Dakota</v>
      </c>
      <c r="E14360" s="111" t="str">
        <f t="shared" si="14358"/>
        <v>Hayti</v>
      </c>
    </row>
    <row r="14361" spans="1:5">
      <c r="A14361" s="3" t="s">
        <v>25682</v>
      </c>
      <c r="B14361" s="110" t="s">
        <v>1371</v>
      </c>
      <c r="C14361" s="111" t="s">
        <v>13046</v>
      </c>
      <c r="D14361" s="111" t="str">
        <f t="shared" ref="D14361:E14361" si="14359">TRIM(B14361)</f>
        <v>South Dakota</v>
      </c>
      <c r="E14361" s="111" t="str">
        <f t="shared" si="14359"/>
        <v>Henry</v>
      </c>
    </row>
    <row r="14362" spans="1:5">
      <c r="A14362" s="3" t="s">
        <v>25683</v>
      </c>
      <c r="B14362" s="110" t="s">
        <v>1371</v>
      </c>
      <c r="C14362" s="111" t="s">
        <v>25684</v>
      </c>
      <c r="D14362" s="111" t="str">
        <f t="shared" ref="D14362:E14362" si="14360">TRIM(B14362)</f>
        <v>South Dakota</v>
      </c>
      <c r="E14362" s="111" t="str">
        <f t="shared" si="14360"/>
        <v>Herreid</v>
      </c>
    </row>
    <row r="14363" spans="1:5">
      <c r="A14363" s="3" t="s">
        <v>25685</v>
      </c>
      <c r="B14363" s="110" t="s">
        <v>1371</v>
      </c>
      <c r="C14363" s="111" t="s">
        <v>25686</v>
      </c>
      <c r="D14363" s="111" t="str">
        <f t="shared" ref="D14363:E14363" si="14361">TRIM(B14363)</f>
        <v>South Dakota</v>
      </c>
      <c r="E14363" s="111" t="str">
        <f t="shared" si="14361"/>
        <v>Highmore</v>
      </c>
    </row>
    <row r="14364" spans="1:5">
      <c r="A14364" s="3" t="s">
        <v>25687</v>
      </c>
      <c r="B14364" s="110" t="s">
        <v>1371</v>
      </c>
      <c r="C14364" s="111" t="s">
        <v>15309</v>
      </c>
      <c r="D14364" s="111" t="str">
        <f t="shared" ref="D14364:E14364" si="14362">TRIM(B14364)</f>
        <v>South Dakota</v>
      </c>
      <c r="E14364" s="111" t="str">
        <f t="shared" si="14362"/>
        <v>Hill City</v>
      </c>
    </row>
    <row r="14365" spans="1:5">
      <c r="A14365" s="3" t="s">
        <v>25688</v>
      </c>
      <c r="B14365" s="110" t="s">
        <v>1371</v>
      </c>
      <c r="C14365" s="111" t="s">
        <v>2699</v>
      </c>
      <c r="D14365" s="111" t="str">
        <f t="shared" ref="D14365:E14365" si="14363">TRIM(B14365)</f>
        <v>South Dakota</v>
      </c>
      <c r="E14365" s="111" t="str">
        <f t="shared" si="14363"/>
        <v>Hot Springs</v>
      </c>
    </row>
    <row r="14366" spans="1:5">
      <c r="A14366" s="3" t="s">
        <v>25689</v>
      </c>
      <c r="B14366" s="110" t="s">
        <v>1371</v>
      </c>
      <c r="C14366" s="111" t="s">
        <v>25690</v>
      </c>
      <c r="D14366" s="111" t="str">
        <f t="shared" ref="D14366:E14366" si="14364">TRIM(B14366)</f>
        <v>South Dakota</v>
      </c>
      <c r="E14366" s="111" t="str">
        <f t="shared" si="14364"/>
        <v>Hoven</v>
      </c>
    </row>
    <row r="14367" spans="1:5">
      <c r="A14367" s="3" t="s">
        <v>25691</v>
      </c>
      <c r="B14367" s="110" t="s">
        <v>1371</v>
      </c>
      <c r="C14367" s="111" t="s">
        <v>23151</v>
      </c>
      <c r="D14367" s="111" t="str">
        <f t="shared" ref="D14367:E14367" si="14365">TRIM(B14367)</f>
        <v>South Dakota</v>
      </c>
      <c r="E14367" s="111" t="str">
        <f t="shared" si="14365"/>
        <v>Howard</v>
      </c>
    </row>
    <row r="14368" spans="1:5">
      <c r="A14368" s="3" t="s">
        <v>25692</v>
      </c>
      <c r="B14368" s="110" t="s">
        <v>1371</v>
      </c>
      <c r="C14368" s="111" t="s">
        <v>6878</v>
      </c>
      <c r="D14368" s="111" t="str">
        <f t="shared" ref="D14368:E14368" si="14366">TRIM(B14368)</f>
        <v>South Dakota</v>
      </c>
      <c r="E14368" s="111" t="str">
        <f t="shared" si="14366"/>
        <v>Huron</v>
      </c>
    </row>
    <row r="14369" spans="1:5">
      <c r="A14369" s="3" t="s">
        <v>25693</v>
      </c>
      <c r="B14369" s="110" t="s">
        <v>1371</v>
      </c>
      <c r="C14369" s="111" t="s">
        <v>16692</v>
      </c>
      <c r="D14369" s="111" t="str">
        <f t="shared" ref="D14369:E14369" si="14367">TRIM(B14369)</f>
        <v>South Dakota</v>
      </c>
      <c r="E14369" s="111" t="str">
        <f t="shared" si="14367"/>
        <v>Ipswich</v>
      </c>
    </row>
    <row r="14370" spans="1:5">
      <c r="A14370" s="3" t="s">
        <v>25694</v>
      </c>
      <c r="B14370" s="110" t="s">
        <v>1371</v>
      </c>
      <c r="C14370" s="111" t="s">
        <v>25695</v>
      </c>
      <c r="D14370" s="111" t="str">
        <f t="shared" ref="D14370:E14370" si="14368">TRIM(B14370)</f>
        <v>South Dakota</v>
      </c>
      <c r="E14370" s="111" t="str">
        <f t="shared" si="14368"/>
        <v>Irene</v>
      </c>
    </row>
    <row r="14371" spans="1:5">
      <c r="A14371" s="3" t="s">
        <v>25696</v>
      </c>
      <c r="B14371" s="110" t="s">
        <v>1371</v>
      </c>
      <c r="C14371" s="111" t="s">
        <v>25697</v>
      </c>
      <c r="D14371" s="111" t="str">
        <f t="shared" ref="D14371:E14371" si="14369">TRIM(B14371)</f>
        <v>South Dakota</v>
      </c>
      <c r="E14371" s="111" t="str">
        <f t="shared" si="14369"/>
        <v>Iroquois</v>
      </c>
    </row>
    <row r="14372" spans="1:5">
      <c r="A14372" s="3" t="s">
        <v>25698</v>
      </c>
      <c r="B14372" s="110" t="s">
        <v>1371</v>
      </c>
      <c r="C14372" s="111" t="s">
        <v>25699</v>
      </c>
      <c r="D14372" s="111" t="str">
        <f t="shared" ref="D14372:E14372" si="14370">TRIM(B14372)</f>
        <v>South Dakota</v>
      </c>
      <c r="E14372" s="111" t="str">
        <f t="shared" si="14370"/>
        <v>Kadoka</v>
      </c>
    </row>
    <row r="14373" spans="1:5">
      <c r="A14373" s="3" t="s">
        <v>25700</v>
      </c>
      <c r="B14373" s="110" t="s">
        <v>1371</v>
      </c>
      <c r="C14373" s="111" t="s">
        <v>17989</v>
      </c>
      <c r="D14373" s="111" t="str">
        <f t="shared" ref="D14373:E14373" si="14371">TRIM(B14373)</f>
        <v>South Dakota</v>
      </c>
      <c r="E14373" s="111" t="str">
        <f t="shared" si="14371"/>
        <v>Kimball</v>
      </c>
    </row>
    <row r="14374" spans="1:5">
      <c r="A14374" s="3" t="s">
        <v>25701</v>
      </c>
      <c r="B14374" s="110" t="s">
        <v>1371</v>
      </c>
      <c r="C14374" s="111" t="s">
        <v>17989</v>
      </c>
      <c r="D14374" s="111" t="str">
        <f t="shared" ref="D14374:E14374" si="14372">TRIM(B14374)</f>
        <v>South Dakota</v>
      </c>
      <c r="E14374" s="111" t="str">
        <f t="shared" si="14372"/>
        <v>Kimball</v>
      </c>
    </row>
    <row r="14375" spans="1:5">
      <c r="A14375" s="3" t="s">
        <v>25702</v>
      </c>
      <c r="B14375" s="110" t="s">
        <v>1371</v>
      </c>
      <c r="C14375" s="111" t="s">
        <v>25703</v>
      </c>
      <c r="D14375" s="111" t="str">
        <f t="shared" ref="D14375:E14375" si="14373">TRIM(B14375)</f>
        <v>South Dakota</v>
      </c>
      <c r="E14375" s="111" t="str">
        <f t="shared" si="14373"/>
        <v>Lake Andes</v>
      </c>
    </row>
    <row r="14376" spans="1:5">
      <c r="A14376" s="3" t="s">
        <v>25704</v>
      </c>
      <c r="B14376" s="110" t="s">
        <v>1371</v>
      </c>
      <c r="C14376" s="111" t="s">
        <v>25705</v>
      </c>
      <c r="D14376" s="111" t="str">
        <f t="shared" ref="D14376:E14376" si="14374">TRIM(B14376)</f>
        <v>South Dakota</v>
      </c>
      <c r="E14376" s="111" t="str">
        <f t="shared" si="14374"/>
        <v>Lake Preston</v>
      </c>
    </row>
    <row r="14377" spans="1:5">
      <c r="A14377" s="3" t="s">
        <v>25706</v>
      </c>
      <c r="B14377" s="110" t="s">
        <v>1371</v>
      </c>
      <c r="C14377" s="111" t="s">
        <v>25707</v>
      </c>
      <c r="D14377" s="111" t="str">
        <f t="shared" ref="D14377:E14377" si="14375">TRIM(B14377)</f>
        <v>South Dakota</v>
      </c>
      <c r="E14377" s="111" t="str">
        <f t="shared" si="14375"/>
        <v>Langford</v>
      </c>
    </row>
    <row r="14378" spans="1:5">
      <c r="A14378" s="3" t="s">
        <v>25708</v>
      </c>
      <c r="B14378" s="110" t="s">
        <v>1371</v>
      </c>
      <c r="C14378" s="111" t="s">
        <v>25709</v>
      </c>
      <c r="D14378" s="111" t="str">
        <f t="shared" ref="D14378:E14378" si="14376">TRIM(B14378)</f>
        <v>South Dakota</v>
      </c>
      <c r="E14378" s="111" t="str">
        <f t="shared" si="14376"/>
        <v>Lead</v>
      </c>
    </row>
    <row r="14379" spans="1:5">
      <c r="A14379" s="3" t="s">
        <v>25710</v>
      </c>
      <c r="B14379" s="110" t="s">
        <v>1371</v>
      </c>
      <c r="C14379" s="111" t="s">
        <v>25711</v>
      </c>
      <c r="D14379" s="111" t="str">
        <f t="shared" ref="D14379:E14379" si="14377">TRIM(B14379)</f>
        <v>South Dakota</v>
      </c>
      <c r="E14379" s="111" t="str">
        <f t="shared" si="14377"/>
        <v>Lemmon</v>
      </c>
    </row>
    <row r="14380" spans="1:5">
      <c r="A14380" s="3" t="s">
        <v>25712</v>
      </c>
      <c r="B14380" s="110" t="s">
        <v>1371</v>
      </c>
      <c r="C14380" s="111" t="s">
        <v>5507</v>
      </c>
      <c r="D14380" s="111" t="str">
        <f t="shared" ref="D14380:E14380" si="14378">TRIM(B14380)</f>
        <v>South Dakota</v>
      </c>
      <c r="E14380" s="111" t="str">
        <f t="shared" si="14378"/>
        <v>Lennox</v>
      </c>
    </row>
    <row r="14381" spans="1:5">
      <c r="A14381" s="3" t="s">
        <v>25713</v>
      </c>
      <c r="B14381" s="110" t="s">
        <v>1371</v>
      </c>
      <c r="C14381" s="111" t="s">
        <v>13255</v>
      </c>
      <c r="D14381" s="111" t="str">
        <f t="shared" ref="D14381:E14381" si="14379">TRIM(B14381)</f>
        <v>South Dakota</v>
      </c>
      <c r="E14381" s="111" t="str">
        <f t="shared" si="14379"/>
        <v>Leola</v>
      </c>
    </row>
    <row r="14382" spans="1:5">
      <c r="A14382" s="3" t="s">
        <v>25714</v>
      </c>
      <c r="B14382" s="110" t="s">
        <v>1371</v>
      </c>
      <c r="C14382" s="111" t="s">
        <v>488</v>
      </c>
      <c r="D14382" s="111" t="str">
        <f t="shared" ref="D14382:E14382" si="14380">TRIM(B14382)</f>
        <v>South Dakota</v>
      </c>
      <c r="E14382" s="111" t="str">
        <f t="shared" si="14380"/>
        <v>Madison</v>
      </c>
    </row>
    <row r="14383" spans="1:5">
      <c r="A14383" s="3" t="s">
        <v>25715</v>
      </c>
      <c r="B14383" s="110" t="s">
        <v>1371</v>
      </c>
      <c r="C14383" s="111" t="s">
        <v>3995</v>
      </c>
      <c r="D14383" s="111" t="str">
        <f t="shared" ref="D14383:E14383" si="14381">TRIM(B14383)</f>
        <v>South Dakota</v>
      </c>
      <c r="E14383" s="111" t="str">
        <f t="shared" si="14381"/>
        <v>Marion</v>
      </c>
    </row>
    <row r="14384" spans="1:5">
      <c r="A14384" s="3" t="s">
        <v>25716</v>
      </c>
      <c r="B14384" s="110" t="s">
        <v>1371</v>
      </c>
      <c r="C14384" s="111" t="s">
        <v>17397</v>
      </c>
      <c r="D14384" s="111" t="str">
        <f t="shared" ref="D14384:E14384" si="14382">TRIM(B14384)</f>
        <v>South Dakota</v>
      </c>
      <c r="E14384" s="111" t="str">
        <f t="shared" si="14382"/>
        <v>Martin</v>
      </c>
    </row>
    <row r="14385" spans="1:5">
      <c r="A14385" s="3" t="s">
        <v>25717</v>
      </c>
      <c r="B14385" s="110" t="s">
        <v>1371</v>
      </c>
      <c r="C14385" s="111" t="s">
        <v>25718</v>
      </c>
      <c r="D14385" s="111" t="str">
        <f t="shared" ref="D14385:E14385" si="14383">TRIM(B14385)</f>
        <v>South Dakota</v>
      </c>
      <c r="E14385" s="111" t="str">
        <f t="shared" si="14383"/>
        <v>Mcintosh</v>
      </c>
    </row>
    <row r="14386" spans="1:5">
      <c r="A14386" s="3" t="s">
        <v>25719</v>
      </c>
      <c r="B14386" s="110" t="s">
        <v>1371</v>
      </c>
      <c r="C14386" s="111" t="s">
        <v>25720</v>
      </c>
      <c r="D14386" s="111" t="str">
        <f t="shared" ref="D14386:E14386" si="14384">TRIM(B14386)</f>
        <v>South Dakota</v>
      </c>
      <c r="E14386" s="111" t="str">
        <f t="shared" si="14384"/>
        <v>Mclaughlin</v>
      </c>
    </row>
    <row r="14387" spans="1:5">
      <c r="A14387" s="3" t="s">
        <v>25721</v>
      </c>
      <c r="B14387" s="110" t="s">
        <v>1371</v>
      </c>
      <c r="C14387" s="111" t="s">
        <v>25722</v>
      </c>
      <c r="D14387" s="111" t="str">
        <f t="shared" ref="D14387:E14387" si="14385">TRIM(B14387)</f>
        <v>South Dakota</v>
      </c>
      <c r="E14387" s="111" t="str">
        <f t="shared" si="14385"/>
        <v>Mellette</v>
      </c>
    </row>
    <row r="14388" spans="1:5">
      <c r="A14388" s="3" t="s">
        <v>25723</v>
      </c>
      <c r="B14388" s="110" t="s">
        <v>1371</v>
      </c>
      <c r="C14388" s="111" t="s">
        <v>25722</v>
      </c>
      <c r="D14388" s="111" t="str">
        <f t="shared" ref="D14388:E14388" si="14386">TRIM(B14388)</f>
        <v>South Dakota</v>
      </c>
      <c r="E14388" s="111" t="str">
        <f t="shared" si="14386"/>
        <v>Mellette</v>
      </c>
    </row>
    <row r="14389" spans="1:5">
      <c r="A14389" s="3" t="s">
        <v>25724</v>
      </c>
      <c r="B14389" s="110" t="s">
        <v>1371</v>
      </c>
      <c r="C14389" s="111" t="s">
        <v>25725</v>
      </c>
      <c r="D14389" s="111" t="str">
        <f t="shared" ref="D14389:E14389" si="14387">TRIM(B14389)</f>
        <v>South Dakota</v>
      </c>
      <c r="E14389" s="111" t="str">
        <f t="shared" si="14387"/>
        <v>Menno</v>
      </c>
    </row>
    <row r="14390" spans="1:5">
      <c r="A14390" s="3" t="s">
        <v>25726</v>
      </c>
      <c r="B14390" s="110" t="s">
        <v>1371</v>
      </c>
      <c r="C14390" s="111" t="s">
        <v>25727</v>
      </c>
      <c r="D14390" s="111" t="str">
        <f t="shared" ref="D14390:E14390" si="14388">TRIM(B14390)</f>
        <v>South Dakota</v>
      </c>
      <c r="E14390" s="111" t="str">
        <f t="shared" si="14388"/>
        <v>Milbank</v>
      </c>
    </row>
    <row r="14391" spans="1:5">
      <c r="A14391" s="3" t="s">
        <v>25728</v>
      </c>
      <c r="B14391" s="110" t="s">
        <v>1371</v>
      </c>
      <c r="C14391" s="111" t="s">
        <v>584</v>
      </c>
      <c r="D14391" s="111" t="str">
        <f t="shared" ref="D14391:E14391" si="14389">TRIM(B14391)</f>
        <v>South Dakota</v>
      </c>
      <c r="E14391" s="111" t="str">
        <f t="shared" si="14389"/>
        <v>Miller</v>
      </c>
    </row>
    <row r="14392" spans="1:5">
      <c r="A14392" s="3" t="s">
        <v>25729</v>
      </c>
      <c r="B14392" s="110" t="s">
        <v>1371</v>
      </c>
      <c r="C14392" s="111" t="s">
        <v>13686</v>
      </c>
      <c r="D14392" s="111" t="str">
        <f t="shared" ref="D14392:E14392" si="14390">TRIM(B14392)</f>
        <v>South Dakota</v>
      </c>
      <c r="E14392" s="111" t="str">
        <f t="shared" si="14390"/>
        <v>Mission</v>
      </c>
    </row>
    <row r="14393" spans="1:5">
      <c r="A14393" s="3" t="s">
        <v>25730</v>
      </c>
      <c r="B14393" s="110" t="s">
        <v>1371</v>
      </c>
      <c r="C14393" s="111" t="s">
        <v>14496</v>
      </c>
      <c r="D14393" s="111" t="str">
        <f t="shared" ref="D14393:E14393" si="14391">TRIM(B14393)</f>
        <v>South Dakota</v>
      </c>
      <c r="E14393" s="111" t="str">
        <f t="shared" si="14391"/>
        <v>Mitchell</v>
      </c>
    </row>
    <row r="14394" spans="1:5">
      <c r="A14394" s="3" t="s">
        <v>25731</v>
      </c>
      <c r="B14394" s="110" t="s">
        <v>1371</v>
      </c>
      <c r="C14394" s="111" t="s">
        <v>14496</v>
      </c>
      <c r="D14394" s="111" t="str">
        <f t="shared" ref="D14394:E14394" si="14392">TRIM(B14394)</f>
        <v>South Dakota</v>
      </c>
      <c r="E14394" s="111" t="str">
        <f t="shared" si="14392"/>
        <v>Mitchell</v>
      </c>
    </row>
    <row r="14395" spans="1:5">
      <c r="A14395" s="3" t="s">
        <v>25732</v>
      </c>
      <c r="B14395" s="110" t="s">
        <v>1371</v>
      </c>
      <c r="C14395" s="111" t="s">
        <v>25733</v>
      </c>
      <c r="D14395" s="111" t="str">
        <f t="shared" ref="D14395:E14395" si="14393">TRIM(B14395)</f>
        <v>South Dakota</v>
      </c>
      <c r="E14395" s="111" t="str">
        <f t="shared" si="14393"/>
        <v>Mobridge</v>
      </c>
    </row>
    <row r="14396" spans="1:5">
      <c r="A14396" s="3" t="s">
        <v>25734</v>
      </c>
      <c r="B14396" s="110" t="s">
        <v>1371</v>
      </c>
      <c r="C14396" s="111" t="s">
        <v>8117</v>
      </c>
      <c r="D14396" s="111" t="str">
        <f t="shared" ref="D14396:E14396" si="14394">TRIM(B14396)</f>
        <v>South Dakota</v>
      </c>
      <c r="E14396" s="111" t="str">
        <f t="shared" si="14394"/>
        <v>Montrose</v>
      </c>
    </row>
    <row r="14397" spans="1:5">
      <c r="A14397" s="3" t="s">
        <v>25735</v>
      </c>
      <c r="B14397" s="110" t="s">
        <v>1371</v>
      </c>
      <c r="C14397" s="111" t="s">
        <v>6798</v>
      </c>
      <c r="D14397" s="111" t="str">
        <f t="shared" ref="D14397:E14397" si="14395">TRIM(B14397)</f>
        <v>South Dakota</v>
      </c>
      <c r="E14397" s="111" t="str">
        <f t="shared" si="14395"/>
        <v>Mount Vernon</v>
      </c>
    </row>
    <row r="14398" spans="1:5">
      <c r="A14398" s="3" t="s">
        <v>25736</v>
      </c>
      <c r="B14398" s="110" t="s">
        <v>1371</v>
      </c>
      <c r="C14398" s="111" t="s">
        <v>25737</v>
      </c>
      <c r="D14398" s="111" t="str">
        <f t="shared" ref="D14398:E14398" si="14396">TRIM(B14398)</f>
        <v>South Dakota</v>
      </c>
      <c r="E14398" s="111" t="str">
        <f t="shared" si="14396"/>
        <v>Murdo</v>
      </c>
    </row>
    <row r="14399" spans="1:5">
      <c r="A14399" s="3" t="s">
        <v>25738</v>
      </c>
      <c r="B14399" s="110" t="s">
        <v>1371</v>
      </c>
      <c r="C14399" s="111" t="s">
        <v>25739</v>
      </c>
      <c r="D14399" s="111" t="str">
        <f t="shared" ref="D14399:E14399" si="14397">TRIM(B14399)</f>
        <v>South Dakota</v>
      </c>
      <c r="E14399" s="111" t="str">
        <f t="shared" si="14397"/>
        <v>New Underwood</v>
      </c>
    </row>
    <row r="14400" spans="1:5">
      <c r="A14400" s="3" t="s">
        <v>25740</v>
      </c>
      <c r="B14400" s="110" t="s">
        <v>1371</v>
      </c>
      <c r="C14400" s="111" t="s">
        <v>14994</v>
      </c>
      <c r="D14400" s="111" t="str">
        <f t="shared" ref="D14400:E14400" si="14398">TRIM(B14400)</f>
        <v>South Dakota</v>
      </c>
      <c r="E14400" s="111" t="str">
        <f t="shared" si="14398"/>
        <v>Newell</v>
      </c>
    </row>
    <row r="14401" spans="1:5">
      <c r="A14401" s="3" t="s">
        <v>25741</v>
      </c>
      <c r="B14401" s="110" t="s">
        <v>1371</v>
      </c>
      <c r="C14401" s="111" t="s">
        <v>25742</v>
      </c>
      <c r="D14401" s="111" t="str">
        <f t="shared" ref="D14401:E14401" si="14399">TRIM(B14401)</f>
        <v>South Dakota</v>
      </c>
      <c r="E14401" s="111" t="str">
        <f t="shared" si="14399"/>
        <v>North Sioux City</v>
      </c>
    </row>
    <row r="14402" spans="1:5">
      <c r="A14402" s="3" t="s">
        <v>25743</v>
      </c>
      <c r="B14402" s="110" t="s">
        <v>1371</v>
      </c>
      <c r="C14402" s="111" t="s">
        <v>25744</v>
      </c>
      <c r="D14402" s="111" t="str">
        <f t="shared" ref="D14402:E14402" si="14400">TRIM(B14402)</f>
        <v>South Dakota</v>
      </c>
      <c r="E14402" s="111" t="str">
        <f t="shared" si="14400"/>
        <v>Oelrichs</v>
      </c>
    </row>
    <row r="14403" spans="1:5">
      <c r="A14403" s="3" t="s">
        <v>25745</v>
      </c>
      <c r="B14403" s="110" t="s">
        <v>1371</v>
      </c>
      <c r="C14403" s="111" t="s">
        <v>25746</v>
      </c>
      <c r="D14403" s="111" t="str">
        <f t="shared" ref="D14403:E14403" si="14401">TRIM(B14403)</f>
        <v>South Dakota</v>
      </c>
      <c r="E14403" s="111" t="str">
        <f t="shared" si="14401"/>
        <v>Onida</v>
      </c>
    </row>
    <row r="14404" spans="1:5">
      <c r="A14404" s="3" t="s">
        <v>25747</v>
      </c>
      <c r="B14404" s="110" t="s">
        <v>1371</v>
      </c>
      <c r="C14404" s="111" t="s">
        <v>2891</v>
      </c>
      <c r="D14404" s="111" t="str">
        <f t="shared" ref="D14404:E14404" si="14402">TRIM(B14404)</f>
        <v>South Dakota</v>
      </c>
      <c r="E14404" s="111" t="str">
        <f t="shared" si="14402"/>
        <v>Parker</v>
      </c>
    </row>
    <row r="14405" spans="1:5">
      <c r="A14405" s="3" t="s">
        <v>25748</v>
      </c>
      <c r="B14405" s="110" t="s">
        <v>1371</v>
      </c>
      <c r="C14405" s="111" t="s">
        <v>25749</v>
      </c>
      <c r="D14405" s="111" t="str">
        <f t="shared" ref="D14405:E14405" si="14403">TRIM(B14405)</f>
        <v>South Dakota</v>
      </c>
      <c r="E14405" s="111" t="str">
        <f t="shared" si="14403"/>
        <v>Parkston</v>
      </c>
    </row>
    <row r="14406" spans="1:5">
      <c r="A14406" s="3" t="s">
        <v>25750</v>
      </c>
      <c r="B14406" s="110" t="s">
        <v>1371</v>
      </c>
      <c r="C14406" s="111" t="s">
        <v>25751</v>
      </c>
      <c r="D14406" s="111" t="str">
        <f t="shared" ref="D14406:E14406" si="14404">TRIM(B14406)</f>
        <v>South Dakota</v>
      </c>
      <c r="E14406" s="111" t="str">
        <f t="shared" si="14404"/>
        <v>Philip</v>
      </c>
    </row>
    <row r="14407" spans="1:5">
      <c r="A14407" s="3" t="s">
        <v>25752</v>
      </c>
      <c r="B14407" s="110" t="s">
        <v>1371</v>
      </c>
      <c r="C14407" s="111" t="s">
        <v>25753</v>
      </c>
      <c r="D14407" s="111" t="str">
        <f t="shared" ref="D14407:E14407" si="14405">TRIM(B14407)</f>
        <v>South Dakota</v>
      </c>
      <c r="E14407" s="111" t="str">
        <f t="shared" si="14405"/>
        <v>Pierre</v>
      </c>
    </row>
    <row r="14408" spans="1:5">
      <c r="A14408" s="3" t="s">
        <v>25754</v>
      </c>
      <c r="B14408" s="110" t="s">
        <v>1371</v>
      </c>
      <c r="C14408" s="111" t="s">
        <v>25755</v>
      </c>
      <c r="D14408" s="111" t="str">
        <f t="shared" ref="D14408:E14408" si="14406">TRIM(B14408)</f>
        <v>South Dakota</v>
      </c>
      <c r="E14408" s="111" t="str">
        <f t="shared" si="14406"/>
        <v>Plankinton</v>
      </c>
    </row>
    <row r="14409" spans="1:5">
      <c r="A14409" s="3" t="s">
        <v>25756</v>
      </c>
      <c r="B14409" s="110" t="s">
        <v>1371</v>
      </c>
      <c r="C14409" s="111" t="s">
        <v>25757</v>
      </c>
      <c r="D14409" s="111" t="str">
        <f t="shared" ref="D14409:E14409" si="14407">TRIM(B14409)</f>
        <v>South Dakota</v>
      </c>
      <c r="E14409" s="111" t="str">
        <f t="shared" si="14407"/>
        <v>Platte</v>
      </c>
    </row>
    <row r="14410" spans="1:5">
      <c r="A14410" s="3" t="s">
        <v>25758</v>
      </c>
      <c r="B14410" s="110" t="s">
        <v>1371</v>
      </c>
      <c r="C14410" s="111" t="s">
        <v>25759</v>
      </c>
      <c r="D14410" s="111" t="str">
        <f t="shared" ref="D14410:E14410" si="14408">TRIM(B14410)</f>
        <v>South Dakota</v>
      </c>
      <c r="E14410" s="111" t="str">
        <f t="shared" si="14408"/>
        <v>Presho</v>
      </c>
    </row>
    <row r="14411" spans="1:5">
      <c r="A14411" s="3" t="s">
        <v>25760</v>
      </c>
      <c r="B14411" s="110" t="s">
        <v>1371</v>
      </c>
      <c r="C14411" s="111" t="s">
        <v>6458</v>
      </c>
      <c r="D14411" s="111" t="str">
        <f t="shared" ref="D14411:E14411" si="14409">TRIM(B14411)</f>
        <v>South Dakota</v>
      </c>
      <c r="E14411" s="111" t="str">
        <f t="shared" si="14409"/>
        <v>Ramona</v>
      </c>
    </row>
    <row r="14412" spans="1:5">
      <c r="A14412" s="3" t="s">
        <v>25761</v>
      </c>
      <c r="B14412" s="110" t="s">
        <v>1371</v>
      </c>
      <c r="C14412" s="111" t="s">
        <v>13437</v>
      </c>
      <c r="D14412" s="111" t="str">
        <f t="shared" ref="D14412:E14412" si="14410">TRIM(B14412)</f>
        <v>South Dakota</v>
      </c>
      <c r="E14412" s="111" t="str">
        <f t="shared" si="14410"/>
        <v>Rapid City</v>
      </c>
    </row>
    <row r="14413" spans="1:5">
      <c r="A14413" s="3" t="s">
        <v>25762</v>
      </c>
      <c r="B14413" s="110" t="s">
        <v>1371</v>
      </c>
      <c r="C14413" s="111" t="s">
        <v>13437</v>
      </c>
      <c r="D14413" s="111" t="str">
        <f t="shared" ref="D14413:E14413" si="14411">TRIM(B14413)</f>
        <v>South Dakota</v>
      </c>
      <c r="E14413" s="111" t="str">
        <f t="shared" si="14411"/>
        <v>Rapid City</v>
      </c>
    </row>
    <row r="14414" spans="1:5">
      <c r="A14414" s="3" t="s">
        <v>25763</v>
      </c>
      <c r="B14414" s="110" t="s">
        <v>1371</v>
      </c>
      <c r="C14414" s="111" t="s">
        <v>25764</v>
      </c>
      <c r="D14414" s="111" t="str">
        <f t="shared" ref="D14414:E14414" si="14412">TRIM(B14414)</f>
        <v>South Dakota</v>
      </c>
      <c r="E14414" s="111" t="str">
        <f t="shared" si="14412"/>
        <v>Redfield</v>
      </c>
    </row>
    <row r="14415" spans="1:5">
      <c r="A14415" s="3" t="s">
        <v>25765</v>
      </c>
      <c r="B14415" s="110" t="s">
        <v>1371</v>
      </c>
      <c r="C14415" s="111" t="s">
        <v>25766</v>
      </c>
      <c r="D14415" s="111" t="str">
        <f t="shared" ref="D14415:E14415" si="14413">TRIM(B14415)</f>
        <v>South Dakota</v>
      </c>
      <c r="E14415" s="111" t="str">
        <f t="shared" si="14413"/>
        <v>Roscoe</v>
      </c>
    </row>
    <row r="14416" spans="1:5">
      <c r="A14416" s="3" t="s">
        <v>25767</v>
      </c>
      <c r="B14416" s="110" t="s">
        <v>1371</v>
      </c>
      <c r="C14416" s="111" t="s">
        <v>25768</v>
      </c>
      <c r="D14416" s="111" t="str">
        <f t="shared" ref="D14416:E14416" si="14414">TRIM(B14416)</f>
        <v>South Dakota</v>
      </c>
      <c r="E14416" s="111" t="str">
        <f t="shared" si="14414"/>
        <v>Rosholt</v>
      </c>
    </row>
    <row r="14417" spans="1:5">
      <c r="A14417" s="3" t="s">
        <v>25769</v>
      </c>
      <c r="B14417" s="110" t="s">
        <v>1371</v>
      </c>
      <c r="C14417" s="111" t="s">
        <v>13922</v>
      </c>
      <c r="D14417" s="111" t="str">
        <f t="shared" ref="D14417:E14417" si="14415">TRIM(B14417)</f>
        <v>South Dakota</v>
      </c>
      <c r="E14417" s="111" t="str">
        <f t="shared" si="14415"/>
        <v>Rutland</v>
      </c>
    </row>
    <row r="14418" spans="1:5">
      <c r="A14418" s="3" t="s">
        <v>25770</v>
      </c>
      <c r="B14418" s="110" t="s">
        <v>1371</v>
      </c>
      <c r="C14418" s="111" t="s">
        <v>451</v>
      </c>
      <c r="D14418" s="111" t="str">
        <f t="shared" ref="D14418:E14418" si="14416">TRIM(B14418)</f>
        <v>South Dakota</v>
      </c>
      <c r="E14418" s="111" t="str">
        <f t="shared" si="14416"/>
        <v>Salem</v>
      </c>
    </row>
    <row r="14419" spans="1:5">
      <c r="A14419" s="3" t="s">
        <v>25771</v>
      </c>
      <c r="B14419" s="110" t="s">
        <v>1371</v>
      </c>
      <c r="C14419" s="111" t="s">
        <v>25772</v>
      </c>
      <c r="D14419" s="111" t="str">
        <f t="shared" ref="D14419:E14419" si="14417">TRIM(B14419)</f>
        <v>South Dakota</v>
      </c>
      <c r="E14419" s="111" t="str">
        <f t="shared" si="14417"/>
        <v>Scotland</v>
      </c>
    </row>
    <row r="14420" spans="1:5">
      <c r="A14420" s="3" t="s">
        <v>25773</v>
      </c>
      <c r="B14420" s="110" t="s">
        <v>1371</v>
      </c>
      <c r="C14420" s="111" t="s">
        <v>25774</v>
      </c>
      <c r="D14420" s="111" t="str">
        <f t="shared" ref="D14420:E14420" si="14418">TRIM(B14420)</f>
        <v>South Dakota</v>
      </c>
      <c r="E14420" s="111" t="str">
        <f t="shared" si="14418"/>
        <v>Selby</v>
      </c>
    </row>
    <row r="14421" spans="1:5">
      <c r="A14421" s="3" t="s">
        <v>25775</v>
      </c>
      <c r="B14421" s="110" t="s">
        <v>1371</v>
      </c>
      <c r="C14421" s="111" t="s">
        <v>13427</v>
      </c>
      <c r="D14421" s="111" t="str">
        <f t="shared" ref="D14421:E14421" si="14419">TRIM(B14421)</f>
        <v>South Dakota</v>
      </c>
      <c r="E14421" s="111" t="str">
        <f t="shared" si="14419"/>
        <v>Sioux Falls</v>
      </c>
    </row>
    <row r="14422" spans="1:5">
      <c r="A14422" s="3" t="s">
        <v>25776</v>
      </c>
      <c r="B14422" s="110" t="s">
        <v>1371</v>
      </c>
      <c r="C14422" s="111" t="s">
        <v>13427</v>
      </c>
      <c r="D14422" s="111" t="str">
        <f t="shared" ref="D14422:E14422" si="14420">TRIM(B14422)</f>
        <v>South Dakota</v>
      </c>
      <c r="E14422" s="111" t="str">
        <f t="shared" si="14420"/>
        <v>Sioux Falls</v>
      </c>
    </row>
    <row r="14423" spans="1:5">
      <c r="A14423" s="3" t="s">
        <v>25777</v>
      </c>
      <c r="B14423" s="110" t="s">
        <v>1371</v>
      </c>
      <c r="C14423" s="111" t="s">
        <v>13427</v>
      </c>
      <c r="D14423" s="111" t="str">
        <f t="shared" ref="D14423:E14423" si="14421">TRIM(B14423)</f>
        <v>South Dakota</v>
      </c>
      <c r="E14423" s="111" t="str">
        <f t="shared" si="14421"/>
        <v>Sioux Falls</v>
      </c>
    </row>
    <row r="14424" spans="1:5">
      <c r="A14424" s="3" t="s">
        <v>25778</v>
      </c>
      <c r="B14424" s="110" t="s">
        <v>1371</v>
      </c>
      <c r="C14424" s="111" t="s">
        <v>13427</v>
      </c>
      <c r="D14424" s="111" t="str">
        <f t="shared" ref="D14424:E14424" si="14422">TRIM(B14424)</f>
        <v>South Dakota</v>
      </c>
      <c r="E14424" s="111" t="str">
        <f t="shared" si="14422"/>
        <v>Sioux Falls</v>
      </c>
    </row>
    <row r="14425" spans="1:5">
      <c r="A14425" s="3" t="s">
        <v>25779</v>
      </c>
      <c r="B14425" s="110" t="s">
        <v>1371</v>
      </c>
      <c r="C14425" s="111" t="s">
        <v>25780</v>
      </c>
      <c r="D14425" s="111" t="str">
        <f t="shared" ref="D14425:E14425" si="14423">TRIM(B14425)</f>
        <v>South Dakota</v>
      </c>
      <c r="E14425" s="111" t="str">
        <f t="shared" si="14423"/>
        <v>Sisseton</v>
      </c>
    </row>
    <row r="14426" spans="1:5">
      <c r="A14426" s="3" t="s">
        <v>25781</v>
      </c>
      <c r="B14426" s="110" t="s">
        <v>1371</v>
      </c>
      <c r="C14426" s="111" t="s">
        <v>25782</v>
      </c>
      <c r="D14426" s="111" t="str">
        <f t="shared" ref="D14426:E14426" si="14424">TRIM(B14426)</f>
        <v>South Dakota</v>
      </c>
      <c r="E14426" s="111" t="str">
        <f t="shared" si="14424"/>
        <v>Spearfish</v>
      </c>
    </row>
    <row r="14427" spans="1:5">
      <c r="A14427" s="3" t="s">
        <v>25783</v>
      </c>
      <c r="B14427" s="110" t="s">
        <v>1371</v>
      </c>
      <c r="C14427" s="111" t="s">
        <v>17621</v>
      </c>
      <c r="D14427" s="111" t="str">
        <f t="shared" ref="D14427:E14427" si="14425">TRIM(B14427)</f>
        <v>South Dakota</v>
      </c>
      <c r="E14427" s="111" t="str">
        <f t="shared" si="14425"/>
        <v>Sturgis</v>
      </c>
    </row>
    <row r="14428" spans="1:5">
      <c r="A14428" s="3" t="s">
        <v>25784</v>
      </c>
      <c r="B14428" s="110" t="s">
        <v>1371</v>
      </c>
      <c r="C14428" s="111" t="s">
        <v>12068</v>
      </c>
      <c r="D14428" s="111" t="str">
        <f t="shared" ref="D14428:E14428" si="14426">TRIM(B14428)</f>
        <v>South Dakota</v>
      </c>
      <c r="E14428" s="111" t="str">
        <f t="shared" si="14426"/>
        <v>Summit</v>
      </c>
    </row>
    <row r="14429" spans="1:5">
      <c r="A14429" s="3" t="s">
        <v>25785</v>
      </c>
      <c r="B14429" s="110" t="s">
        <v>1371</v>
      </c>
      <c r="C14429" s="111" t="s">
        <v>25786</v>
      </c>
      <c r="D14429" s="111" t="str">
        <f t="shared" ref="D14429:E14429" si="14427">TRIM(B14429)</f>
        <v>South Dakota</v>
      </c>
      <c r="E14429" s="111" t="str">
        <f t="shared" si="14427"/>
        <v>Tea</v>
      </c>
    </row>
    <row r="14430" spans="1:5">
      <c r="A14430" s="3" t="s">
        <v>25787</v>
      </c>
      <c r="B14430" s="110" t="s">
        <v>1371</v>
      </c>
      <c r="C14430" s="111" t="s">
        <v>25788</v>
      </c>
      <c r="D14430" s="111" t="str">
        <f t="shared" ref="D14430:E14430" si="14428">TRIM(B14430)</f>
        <v>South Dakota</v>
      </c>
      <c r="E14430" s="111" t="str">
        <f t="shared" si="14428"/>
        <v>Timber Lake</v>
      </c>
    </row>
    <row r="14431" spans="1:5">
      <c r="A14431" s="3" t="s">
        <v>25789</v>
      </c>
      <c r="B14431" s="110" t="s">
        <v>1371</v>
      </c>
      <c r="C14431" s="111" t="s">
        <v>25790</v>
      </c>
      <c r="D14431" s="111" t="str">
        <f t="shared" ref="D14431:E14431" si="14429">TRIM(B14431)</f>
        <v>South Dakota</v>
      </c>
      <c r="E14431" s="111" t="str">
        <f t="shared" si="14429"/>
        <v>Tripp</v>
      </c>
    </row>
    <row r="14432" spans="1:5">
      <c r="A14432" s="3" t="s">
        <v>25791</v>
      </c>
      <c r="B14432" s="110" t="s">
        <v>1371</v>
      </c>
      <c r="C14432" s="111" t="s">
        <v>546</v>
      </c>
      <c r="D14432" s="111" t="str">
        <f t="shared" ref="D14432:E14432" si="14430">TRIM(B14432)</f>
        <v>South Dakota</v>
      </c>
      <c r="E14432" s="111" t="str">
        <f t="shared" si="14430"/>
        <v>Tulare</v>
      </c>
    </row>
    <row r="14433" spans="1:5">
      <c r="A14433" s="3" t="s">
        <v>25792</v>
      </c>
      <c r="B14433" s="110" t="s">
        <v>1371</v>
      </c>
      <c r="C14433" s="111" t="s">
        <v>25793</v>
      </c>
      <c r="D14433" s="111" t="str">
        <f t="shared" ref="D14433:E14433" si="14431">TRIM(B14433)</f>
        <v>South Dakota</v>
      </c>
      <c r="E14433" s="111" t="str">
        <f t="shared" si="14431"/>
        <v>Tyndall</v>
      </c>
    </row>
    <row r="14434" spans="1:5">
      <c r="A14434" s="3" t="s">
        <v>25794</v>
      </c>
      <c r="B14434" s="110" t="s">
        <v>1371</v>
      </c>
      <c r="C14434" s="111" t="s">
        <v>25795</v>
      </c>
      <c r="D14434" s="111" t="str">
        <f t="shared" ref="D14434:E14434" si="14432">TRIM(B14434)</f>
        <v>South Dakota</v>
      </c>
      <c r="E14434" s="111" t="str">
        <f t="shared" si="14432"/>
        <v>Vermillion</v>
      </c>
    </row>
    <row r="14435" spans="1:5">
      <c r="A14435" s="3" t="s">
        <v>25796</v>
      </c>
      <c r="B14435" s="110" t="s">
        <v>1371</v>
      </c>
      <c r="C14435" s="111" t="s">
        <v>25797</v>
      </c>
      <c r="D14435" s="111" t="str">
        <f t="shared" ref="D14435:E14435" si="14433">TRIM(B14435)</f>
        <v>South Dakota</v>
      </c>
      <c r="E14435" s="111" t="str">
        <f t="shared" si="14433"/>
        <v>Viborg</v>
      </c>
    </row>
    <row r="14436" spans="1:5">
      <c r="A14436" s="3" t="s">
        <v>25798</v>
      </c>
      <c r="B14436" s="110" t="s">
        <v>1371</v>
      </c>
      <c r="C14436" s="111" t="s">
        <v>25799</v>
      </c>
      <c r="D14436" s="111" t="str">
        <f t="shared" ref="D14436:E14436" si="14434">TRIM(B14436)</f>
        <v>South Dakota</v>
      </c>
      <c r="E14436" s="111" t="str">
        <f t="shared" si="14434"/>
        <v>Volga</v>
      </c>
    </row>
    <row r="14437" spans="1:5">
      <c r="A14437" s="3" t="s">
        <v>25800</v>
      </c>
      <c r="B14437" s="110" t="s">
        <v>1371</v>
      </c>
      <c r="C14437" s="111" t="s">
        <v>25801</v>
      </c>
      <c r="D14437" s="111" t="str">
        <f t="shared" ref="D14437:E14437" si="14435">TRIM(B14437)</f>
        <v>South Dakota</v>
      </c>
      <c r="E14437" s="111" t="str">
        <f t="shared" si="14435"/>
        <v>Wagner</v>
      </c>
    </row>
    <row r="14438" spans="1:5">
      <c r="A14438" s="3" t="s">
        <v>25802</v>
      </c>
      <c r="B14438" s="110" t="s">
        <v>1371</v>
      </c>
      <c r="C14438" s="111" t="s">
        <v>25803</v>
      </c>
      <c r="D14438" s="111" t="str">
        <f t="shared" ref="D14438:E14438" si="14436">TRIM(B14438)</f>
        <v>South Dakota</v>
      </c>
      <c r="E14438" s="111" t="str">
        <f t="shared" si="14436"/>
        <v>Wakpala</v>
      </c>
    </row>
    <row r="14439" spans="1:5">
      <c r="A14439" s="3" t="s">
        <v>25804</v>
      </c>
      <c r="B14439" s="110" t="s">
        <v>1371</v>
      </c>
      <c r="C14439" s="111" t="s">
        <v>20432</v>
      </c>
      <c r="D14439" s="111" t="str">
        <f t="shared" ref="D14439:E14439" si="14437">TRIM(B14439)</f>
        <v>South Dakota</v>
      </c>
      <c r="E14439" s="111" t="str">
        <f t="shared" si="14437"/>
        <v>Wall</v>
      </c>
    </row>
    <row r="14440" spans="1:5">
      <c r="A14440" s="3" t="s">
        <v>25805</v>
      </c>
      <c r="B14440" s="110" t="s">
        <v>1371</v>
      </c>
      <c r="C14440" s="111" t="s">
        <v>24163</v>
      </c>
      <c r="D14440" s="111" t="str">
        <f t="shared" ref="D14440:E14440" si="14438">TRIM(B14440)</f>
        <v>South Dakota</v>
      </c>
      <c r="E14440" s="111" t="str">
        <f t="shared" si="14438"/>
        <v>Warner</v>
      </c>
    </row>
    <row r="14441" spans="1:5">
      <c r="A14441" s="3" t="s">
        <v>25806</v>
      </c>
      <c r="B14441" s="110" t="s">
        <v>1371</v>
      </c>
      <c r="C14441" s="111" t="s">
        <v>8737</v>
      </c>
      <c r="D14441" s="111" t="str">
        <f t="shared" ref="D14441:E14441" si="14439">TRIM(B14441)</f>
        <v>South Dakota</v>
      </c>
      <c r="E14441" s="111" t="str">
        <f t="shared" si="14439"/>
        <v>Watertown</v>
      </c>
    </row>
    <row r="14442" spans="1:5">
      <c r="A14442" s="3" t="s">
        <v>25807</v>
      </c>
      <c r="B14442" s="110" t="s">
        <v>1371</v>
      </c>
      <c r="C14442" s="111" t="s">
        <v>25808</v>
      </c>
      <c r="D14442" s="111" t="str">
        <f t="shared" ref="D14442:E14442" si="14440">TRIM(B14442)</f>
        <v>South Dakota</v>
      </c>
      <c r="E14442" s="111" t="str">
        <f t="shared" si="14440"/>
        <v>Waubay</v>
      </c>
    </row>
    <row r="14443" spans="1:5">
      <c r="A14443" s="3" t="s">
        <v>25809</v>
      </c>
      <c r="B14443" s="110" t="s">
        <v>1371</v>
      </c>
      <c r="C14443" s="111" t="s">
        <v>517</v>
      </c>
      <c r="D14443" s="111" t="str">
        <f t="shared" ref="D14443:E14443" si="14441">TRIM(B14443)</f>
        <v>South Dakota</v>
      </c>
      <c r="E14443" s="111" t="str">
        <f t="shared" si="14441"/>
        <v>Waverly</v>
      </c>
    </row>
    <row r="14444" spans="1:5">
      <c r="A14444" s="3" t="s">
        <v>25810</v>
      </c>
      <c r="B14444" s="110" t="s">
        <v>1371</v>
      </c>
      <c r="C14444" s="111" t="s">
        <v>12392</v>
      </c>
      <c r="D14444" s="111" t="str">
        <f t="shared" ref="D14444:E14444" si="14442">TRIM(B14444)</f>
        <v>South Dakota</v>
      </c>
      <c r="E14444" s="111" t="str">
        <f t="shared" si="14442"/>
        <v>Webster</v>
      </c>
    </row>
    <row r="14445" spans="1:5">
      <c r="A14445" s="3" t="s">
        <v>25811</v>
      </c>
      <c r="B14445" s="110" t="s">
        <v>1371</v>
      </c>
      <c r="C14445" s="113" t="s">
        <v>25812</v>
      </c>
      <c r="D14445" s="111" t="str">
        <f t="shared" ref="D14445:E14445" si="14443">TRIM(B14445)</f>
        <v>South Dakota</v>
      </c>
      <c r="E14445" s="111" t="str">
        <f t="shared" si="14443"/>
        <v>Wessington Springs</v>
      </c>
    </row>
    <row r="14446" spans="1:5">
      <c r="A14446" s="3" t="s">
        <v>25813</v>
      </c>
      <c r="B14446" s="110" t="s">
        <v>1371</v>
      </c>
      <c r="C14446" s="113" t="s">
        <v>25812</v>
      </c>
      <c r="D14446" s="111" t="str">
        <f t="shared" ref="D14446:E14446" si="14444">TRIM(B14446)</f>
        <v>South Dakota</v>
      </c>
      <c r="E14446" s="111" t="str">
        <f t="shared" si="14444"/>
        <v>Wessington Springs</v>
      </c>
    </row>
    <row r="14447" spans="1:5">
      <c r="A14447" s="3" t="s">
        <v>25814</v>
      </c>
      <c r="B14447" s="110" t="s">
        <v>1371</v>
      </c>
      <c r="C14447" s="111" t="s">
        <v>11439</v>
      </c>
      <c r="D14447" s="111" t="str">
        <f t="shared" ref="D14447:E14447" si="14445">TRIM(B14447)</f>
        <v>South Dakota</v>
      </c>
      <c r="E14447" s="111" t="str">
        <f t="shared" si="14445"/>
        <v>White</v>
      </c>
    </row>
    <row r="14448" spans="1:5">
      <c r="A14448" s="3" t="s">
        <v>25815</v>
      </c>
      <c r="B14448" s="110" t="s">
        <v>1371</v>
      </c>
      <c r="C14448" s="111" t="s">
        <v>17668</v>
      </c>
      <c r="D14448" s="111" t="str">
        <f t="shared" ref="D14448:E14448" si="14446">TRIM(B14448)</f>
        <v>South Dakota</v>
      </c>
      <c r="E14448" s="111" t="str">
        <f t="shared" si="14446"/>
        <v>White Lake</v>
      </c>
    </row>
    <row r="14449" spans="1:5">
      <c r="A14449" s="3" t="s">
        <v>25816</v>
      </c>
      <c r="B14449" s="110" t="s">
        <v>1371</v>
      </c>
      <c r="C14449" s="111" t="s">
        <v>25817</v>
      </c>
      <c r="D14449" s="111" t="str">
        <f t="shared" ref="D14449:E14449" si="14447">TRIM(B14449)</f>
        <v>South Dakota</v>
      </c>
      <c r="E14449" s="111" t="str">
        <f t="shared" si="14447"/>
        <v>White River</v>
      </c>
    </row>
    <row r="14450" spans="1:5">
      <c r="A14450" s="3" t="s">
        <v>25818</v>
      </c>
      <c r="B14450" s="110" t="s">
        <v>1371</v>
      </c>
      <c r="C14450" s="111" t="s">
        <v>25819</v>
      </c>
      <c r="D14450" s="111" t="str">
        <f t="shared" ref="D14450:E14450" si="14448">TRIM(B14450)</f>
        <v>South Dakota</v>
      </c>
      <c r="E14450" s="111" t="str">
        <f t="shared" si="14448"/>
        <v>Willow Lake</v>
      </c>
    </row>
    <row r="14451" spans="1:5">
      <c r="A14451" s="3" t="s">
        <v>25820</v>
      </c>
      <c r="B14451" s="110" t="s">
        <v>1371</v>
      </c>
      <c r="C14451" s="111" t="s">
        <v>25821</v>
      </c>
      <c r="D14451" s="111" t="str">
        <f t="shared" ref="D14451:E14451" si="14449">TRIM(B14451)</f>
        <v>South Dakota</v>
      </c>
      <c r="E14451" s="111" t="str">
        <f t="shared" si="14449"/>
        <v>Wilmot</v>
      </c>
    </row>
    <row r="14452" spans="1:5">
      <c r="A14452" s="3" t="s">
        <v>25822</v>
      </c>
      <c r="B14452" s="110" t="s">
        <v>1371</v>
      </c>
      <c r="C14452" s="111" t="s">
        <v>25823</v>
      </c>
      <c r="D14452" s="111" t="str">
        <f t="shared" ref="D14452:E14452" si="14450">TRIM(B14452)</f>
        <v>South Dakota</v>
      </c>
      <c r="E14452" s="111" t="str">
        <f t="shared" si="14450"/>
        <v>Winner</v>
      </c>
    </row>
    <row r="14453" spans="1:5">
      <c r="A14453" s="3" t="s">
        <v>25824</v>
      </c>
      <c r="B14453" s="110" t="s">
        <v>1371</v>
      </c>
      <c r="C14453" s="111" t="s">
        <v>25825</v>
      </c>
      <c r="D14453" s="111" t="str">
        <f t="shared" ref="D14453:E14453" si="14451">TRIM(B14453)</f>
        <v>South Dakota</v>
      </c>
      <c r="E14453" s="111" t="str">
        <f t="shared" si="14451"/>
        <v>Wolsey</v>
      </c>
    </row>
    <row r="14454" spans="1:5">
      <c r="A14454" s="3" t="s">
        <v>25826</v>
      </c>
      <c r="B14454" s="110" t="s">
        <v>1371</v>
      </c>
      <c r="C14454" s="111" t="s">
        <v>13280</v>
      </c>
      <c r="D14454" s="111" t="str">
        <f t="shared" ref="D14454:E14454" si="14452">TRIM(B14454)</f>
        <v>South Dakota</v>
      </c>
      <c r="E14454" s="111" t="str">
        <f t="shared" si="14452"/>
        <v>Woonsocket</v>
      </c>
    </row>
    <row r="14455" spans="1:5">
      <c r="A14455" s="3" t="s">
        <v>25827</v>
      </c>
      <c r="B14455" s="110" t="s">
        <v>1371</v>
      </c>
      <c r="C14455" s="111" t="s">
        <v>4057</v>
      </c>
      <c r="D14455" s="111" t="str">
        <f t="shared" ref="D14455:E14455" si="14453">TRIM(B14455)</f>
        <v>South Dakota</v>
      </c>
      <c r="E14455" s="111" t="str">
        <f t="shared" si="14453"/>
        <v>Yankton</v>
      </c>
    </row>
    <row r="14456" spans="1:5">
      <c r="A14456" s="3" t="s">
        <v>25828</v>
      </c>
      <c r="B14456" s="110" t="s">
        <v>1372</v>
      </c>
      <c r="C14456" s="111" t="s">
        <v>1476</v>
      </c>
      <c r="D14456" s="111" t="str">
        <f t="shared" ref="D14456:E14456" si="14454">TRIM(B14456)</f>
        <v>Tennessee</v>
      </c>
      <c r="E14456" s="111" t="str">
        <f t="shared" si="14454"/>
        <v>Adamsville</v>
      </c>
    </row>
    <row r="14457" spans="1:5">
      <c r="A14457" s="3" t="s">
        <v>25829</v>
      </c>
      <c r="B14457" s="110" t="s">
        <v>1372</v>
      </c>
      <c r="C14457" s="111" t="s">
        <v>14683</v>
      </c>
      <c r="D14457" s="111" t="str">
        <f t="shared" ref="D14457:E14457" si="14455">TRIM(B14457)</f>
        <v>Tennessee</v>
      </c>
      <c r="E14457" s="111" t="str">
        <f t="shared" si="14455"/>
        <v>Afton</v>
      </c>
    </row>
    <row r="14458" spans="1:5">
      <c r="A14458" s="3" t="s">
        <v>25830</v>
      </c>
      <c r="B14458" s="110" t="s">
        <v>1372</v>
      </c>
      <c r="C14458" s="111" t="s">
        <v>10294</v>
      </c>
      <c r="D14458" s="111" t="str">
        <f t="shared" ref="D14458:E14458" si="14456">TRIM(B14458)</f>
        <v>Tennessee</v>
      </c>
      <c r="E14458" s="111" t="str">
        <f t="shared" si="14456"/>
        <v>Alamo</v>
      </c>
    </row>
    <row r="14459" spans="1:5">
      <c r="A14459" s="3" t="s">
        <v>25831</v>
      </c>
      <c r="B14459" s="110" t="s">
        <v>1372</v>
      </c>
      <c r="C14459" s="111" t="s">
        <v>25832</v>
      </c>
      <c r="D14459" s="111" t="str">
        <f t="shared" ref="D14459:E14459" si="14457">TRIM(B14459)</f>
        <v>Tennessee</v>
      </c>
      <c r="E14459" s="111" t="str">
        <f t="shared" si="14457"/>
        <v>Alcoa</v>
      </c>
    </row>
    <row r="14460" spans="1:5">
      <c r="A14460" s="3" t="s">
        <v>4356</v>
      </c>
      <c r="B14460" s="110" t="s">
        <v>1372</v>
      </c>
      <c r="C14460" s="111" t="s">
        <v>4357</v>
      </c>
      <c r="D14460" s="111" t="str">
        <f t="shared" ref="D14460:E14460" si="14458">TRIM(B14460)</f>
        <v>Tennessee</v>
      </c>
      <c r="E14460" s="111" t="str">
        <f t="shared" si="14458"/>
        <v>Antioch</v>
      </c>
    </row>
    <row r="14461" spans="1:5">
      <c r="A14461" s="3" t="s">
        <v>25833</v>
      </c>
      <c r="B14461" s="110" t="s">
        <v>1372</v>
      </c>
      <c r="C14461" s="111" t="s">
        <v>4357</v>
      </c>
      <c r="D14461" s="111" t="str">
        <f t="shared" ref="D14461:E14461" si="14459">TRIM(B14461)</f>
        <v>Tennessee</v>
      </c>
      <c r="E14461" s="111" t="str">
        <f t="shared" si="14459"/>
        <v>Antioch</v>
      </c>
    </row>
    <row r="14462" spans="1:5">
      <c r="A14462" s="3" t="s">
        <v>25834</v>
      </c>
      <c r="B14462" s="110" t="s">
        <v>1372</v>
      </c>
      <c r="C14462" s="111" t="s">
        <v>4357</v>
      </c>
      <c r="D14462" s="111" t="str">
        <f t="shared" ref="D14462:E14462" si="14460">TRIM(B14462)</f>
        <v>Tennessee</v>
      </c>
      <c r="E14462" s="111" t="str">
        <f t="shared" si="14460"/>
        <v>Antioch</v>
      </c>
    </row>
    <row r="14463" spans="1:5">
      <c r="A14463" s="3" t="s">
        <v>25835</v>
      </c>
      <c r="B14463" s="110" t="s">
        <v>1372</v>
      </c>
      <c r="C14463" s="111" t="s">
        <v>4357</v>
      </c>
      <c r="D14463" s="111" t="str">
        <f t="shared" ref="D14463:E14463" si="14461">TRIM(B14463)</f>
        <v>Tennessee</v>
      </c>
      <c r="E14463" s="111" t="str">
        <f t="shared" si="14461"/>
        <v>Antioch</v>
      </c>
    </row>
    <row r="14464" spans="1:5">
      <c r="A14464" s="3" t="s">
        <v>6555</v>
      </c>
      <c r="B14464" s="110" t="s">
        <v>1372</v>
      </c>
      <c r="C14464" s="111" t="s">
        <v>1048</v>
      </c>
      <c r="D14464" s="111" t="str">
        <f t="shared" ref="D14464:E14464" si="14462">TRIM(B14464)</f>
        <v>Tennessee</v>
      </c>
      <c r="E14464" s="111" t="str">
        <f t="shared" si="14462"/>
        <v>Arlington</v>
      </c>
    </row>
    <row r="14465" spans="1:5">
      <c r="A14465" s="3" t="s">
        <v>8349</v>
      </c>
      <c r="B14465" s="110" t="s">
        <v>1372</v>
      </c>
      <c r="C14465" s="111" t="s">
        <v>1048</v>
      </c>
      <c r="D14465" s="111" t="str">
        <f t="shared" ref="D14465:E14465" si="14463">TRIM(B14465)</f>
        <v>Tennessee</v>
      </c>
      <c r="E14465" s="111" t="str">
        <f t="shared" si="14463"/>
        <v>Arlington</v>
      </c>
    </row>
    <row r="14466" spans="1:5">
      <c r="A14466" s="110" t="s">
        <v>25836</v>
      </c>
      <c r="B14466" s="110" t="s">
        <v>1372</v>
      </c>
      <c r="C14466" s="111" t="s">
        <v>25837</v>
      </c>
      <c r="D14466" s="111" t="str">
        <f t="shared" ref="D14466:E14466" si="14464">TRIM(B14466)</f>
        <v>Tennessee</v>
      </c>
      <c r="E14466" s="111" t="str">
        <f t="shared" si="14464"/>
        <v>Ashland City</v>
      </c>
    </row>
    <row r="14467" spans="1:5">
      <c r="A14467" s="3" t="s">
        <v>25838</v>
      </c>
      <c r="B14467" s="110" t="s">
        <v>1372</v>
      </c>
      <c r="C14467" s="111" t="s">
        <v>327</v>
      </c>
      <c r="D14467" s="111" t="str">
        <f t="shared" ref="D14467:E14467" si="14465">TRIM(B14467)</f>
        <v>Tennessee</v>
      </c>
      <c r="E14467" s="111" t="str">
        <f t="shared" si="14465"/>
        <v>Athens</v>
      </c>
    </row>
    <row r="14468" spans="1:5">
      <c r="A14468" s="3" t="s">
        <v>2290</v>
      </c>
      <c r="B14468" s="110" t="s">
        <v>1372</v>
      </c>
      <c r="C14468" s="111" t="s">
        <v>4734</v>
      </c>
      <c r="D14468" s="111" t="str">
        <f t="shared" ref="D14468:E14468" si="14466">TRIM(B14468)</f>
        <v>Tennessee</v>
      </c>
      <c r="E14468" s="111" t="str">
        <f t="shared" si="14466"/>
        <v>Bartlett</v>
      </c>
    </row>
    <row r="14469" spans="1:5">
      <c r="A14469" s="3" t="s">
        <v>25839</v>
      </c>
      <c r="B14469" s="110" t="s">
        <v>1372</v>
      </c>
      <c r="C14469" s="111" t="s">
        <v>14711</v>
      </c>
      <c r="D14469" s="111" t="str">
        <f t="shared" ref="D14469:E14469" si="14467">TRIM(B14469)</f>
        <v>Tennessee</v>
      </c>
      <c r="E14469" s="111" t="str">
        <f t="shared" si="14467"/>
        <v>Baxter</v>
      </c>
    </row>
    <row r="14470" spans="1:5">
      <c r="A14470" s="3" t="s">
        <v>22096</v>
      </c>
      <c r="B14470" s="110" t="s">
        <v>1372</v>
      </c>
      <c r="C14470" s="111" t="s">
        <v>3604</v>
      </c>
      <c r="D14470" s="111" t="str">
        <f t="shared" ref="D14470:E14470" si="14468">TRIM(B14470)</f>
        <v>Tennessee</v>
      </c>
      <c r="E14470" s="111" t="str">
        <f t="shared" si="14468"/>
        <v>Benton</v>
      </c>
    </row>
    <row r="14471" spans="1:5">
      <c r="A14471" s="3" t="s">
        <v>25840</v>
      </c>
      <c r="B14471" s="110" t="s">
        <v>1372</v>
      </c>
      <c r="C14471" s="111" t="s">
        <v>25841</v>
      </c>
      <c r="D14471" s="111" t="str">
        <f t="shared" ref="D14471:E14471" si="14469">TRIM(B14471)</f>
        <v>Tennessee</v>
      </c>
      <c r="E14471" s="111" t="str">
        <f t="shared" si="14469"/>
        <v>Blountville</v>
      </c>
    </row>
    <row r="14472" spans="1:5">
      <c r="A14472" s="3" t="s">
        <v>25842</v>
      </c>
      <c r="B14472" s="110" t="s">
        <v>1372</v>
      </c>
      <c r="C14472" s="111" t="s">
        <v>25843</v>
      </c>
      <c r="D14472" s="111" t="str">
        <f t="shared" ref="D14472:E14472" si="14470">TRIM(B14472)</f>
        <v>Tennessee</v>
      </c>
      <c r="E14472" s="111" t="str">
        <f t="shared" si="14470"/>
        <v>Bluff City</v>
      </c>
    </row>
    <row r="14473" spans="1:5">
      <c r="A14473" s="3" t="s">
        <v>1843</v>
      </c>
      <c r="B14473" s="110" t="s">
        <v>1372</v>
      </c>
      <c r="C14473" s="111" t="s">
        <v>6989</v>
      </c>
      <c r="D14473" s="111" t="str">
        <f t="shared" ref="D14473:E14473" si="14471">TRIM(B14473)</f>
        <v>Tennessee</v>
      </c>
      <c r="E14473" s="111" t="str">
        <f t="shared" si="14471"/>
        <v>Bolivar</v>
      </c>
    </row>
    <row r="14474" spans="1:5">
      <c r="A14474" s="3" t="s">
        <v>3640</v>
      </c>
      <c r="B14474" s="110" t="s">
        <v>1372</v>
      </c>
      <c r="C14474" s="111" t="s">
        <v>3641</v>
      </c>
      <c r="D14474" s="111" t="str">
        <f t="shared" ref="D14474:E14474" si="14472">TRIM(B14474)</f>
        <v>Tennessee</v>
      </c>
      <c r="E14474" s="111" t="str">
        <f t="shared" si="14472"/>
        <v>Bradford</v>
      </c>
    </row>
    <row r="14475" spans="1:5">
      <c r="A14475" s="3" t="s">
        <v>18652</v>
      </c>
      <c r="B14475" s="110" t="s">
        <v>1372</v>
      </c>
      <c r="C14475" s="111" t="s">
        <v>3554</v>
      </c>
      <c r="D14475" s="111" t="str">
        <f t="shared" ref="D14475:E14475" si="14473">TRIM(B14475)</f>
        <v>Tennessee</v>
      </c>
      <c r="E14475" s="111" t="str">
        <f t="shared" si="14473"/>
        <v>Brentwood</v>
      </c>
    </row>
    <row r="14476" spans="1:5">
      <c r="A14476" s="3" t="s">
        <v>25844</v>
      </c>
      <c r="B14476" s="110" t="s">
        <v>1372</v>
      </c>
      <c r="C14476" s="111" t="s">
        <v>3554</v>
      </c>
      <c r="D14476" s="111" t="str">
        <f t="shared" ref="D14476:E14476" si="14474">TRIM(B14476)</f>
        <v>Tennessee</v>
      </c>
      <c r="E14476" s="111" t="str">
        <f t="shared" si="14474"/>
        <v>Brentwood</v>
      </c>
    </row>
    <row r="14477" spans="1:5">
      <c r="A14477" s="3" t="s">
        <v>7648</v>
      </c>
      <c r="B14477" s="110" t="s">
        <v>1372</v>
      </c>
      <c r="C14477" s="111" t="s">
        <v>7645</v>
      </c>
      <c r="D14477" s="111" t="str">
        <f t="shared" ref="D14477:E14477" si="14475">TRIM(B14477)</f>
        <v>Tennessee</v>
      </c>
      <c r="E14477" s="111" t="str">
        <f t="shared" si="14475"/>
        <v>Brighton</v>
      </c>
    </row>
    <row r="14478" spans="1:5">
      <c r="A14478" s="3" t="s">
        <v>25845</v>
      </c>
      <c r="B14478" s="110" t="s">
        <v>1372</v>
      </c>
      <c r="C14478" s="111" t="s">
        <v>561</v>
      </c>
      <c r="D14478" s="111" t="str">
        <f t="shared" ref="D14478:E14478" si="14476">TRIM(B14478)</f>
        <v>Tennessee</v>
      </c>
      <c r="E14478" s="111" t="str">
        <f t="shared" si="14476"/>
        <v>Bristol</v>
      </c>
    </row>
    <row r="14479" spans="1:5">
      <c r="A14479" s="110" t="s">
        <v>25846</v>
      </c>
      <c r="B14479" s="110" t="s">
        <v>1372</v>
      </c>
      <c r="C14479" s="111" t="s">
        <v>561</v>
      </c>
      <c r="D14479" s="111" t="str">
        <f t="shared" ref="D14479:E14479" si="14477">TRIM(B14479)</f>
        <v>Tennessee</v>
      </c>
      <c r="E14479" s="111" t="str">
        <f t="shared" si="14477"/>
        <v>Bristol</v>
      </c>
    </row>
    <row r="14480" spans="1:5">
      <c r="A14480" s="3" t="s">
        <v>25847</v>
      </c>
      <c r="B14480" s="110" t="s">
        <v>1372</v>
      </c>
      <c r="C14480" s="111" t="s">
        <v>426</v>
      </c>
      <c r="D14480" s="111" t="str">
        <f t="shared" ref="D14480:E14480" si="14478">TRIM(B14480)</f>
        <v>Tennessee</v>
      </c>
      <c r="E14480" s="111" t="str">
        <f t="shared" si="14478"/>
        <v>Brownsville</v>
      </c>
    </row>
    <row r="14481" spans="1:5">
      <c r="A14481" s="3" t="s">
        <v>1843</v>
      </c>
      <c r="B14481" s="110" t="s">
        <v>1372</v>
      </c>
      <c r="C14481" s="111" t="s">
        <v>25848</v>
      </c>
      <c r="D14481" s="111" t="str">
        <f t="shared" ref="D14481:E14481" si="14479">TRIM(B14481)</f>
        <v>Tennessee</v>
      </c>
      <c r="E14481" s="111" t="str">
        <f t="shared" si="14479"/>
        <v>Bruceton</v>
      </c>
    </row>
    <row r="14482" spans="1:5">
      <c r="A14482" s="3" t="s">
        <v>25849</v>
      </c>
      <c r="B14482" s="110" t="s">
        <v>1372</v>
      </c>
      <c r="C14482" s="112" t="s">
        <v>25850</v>
      </c>
      <c r="D14482" s="111" t="str">
        <f t="shared" ref="D14482:E14482" si="14480">TRIM(B14482)</f>
        <v>Tennessee</v>
      </c>
      <c r="E14482" s="111" t="str">
        <f t="shared" si="14480"/>
        <v>Byrdstown</v>
      </c>
    </row>
    <row r="14483" spans="1:5">
      <c r="A14483" s="3" t="s">
        <v>25851</v>
      </c>
      <c r="B14483" s="110" t="s">
        <v>1372</v>
      </c>
      <c r="C14483" s="111" t="s">
        <v>773</v>
      </c>
      <c r="D14483" s="111" t="str">
        <f t="shared" ref="D14483:E14483" si="14481">TRIM(B14483)</f>
        <v>Tennessee</v>
      </c>
      <c r="E14483" s="111" t="str">
        <f t="shared" si="14481"/>
        <v>Camden</v>
      </c>
    </row>
    <row r="14484" spans="1:5">
      <c r="A14484" s="3" t="s">
        <v>25852</v>
      </c>
      <c r="B14484" s="110" t="s">
        <v>1372</v>
      </c>
      <c r="C14484" s="111" t="s">
        <v>773</v>
      </c>
      <c r="D14484" s="111" t="str">
        <f t="shared" ref="D14484:E14484" si="14482">TRIM(B14484)</f>
        <v>Tennessee</v>
      </c>
      <c r="E14484" s="111" t="str">
        <f t="shared" si="14482"/>
        <v>Camden</v>
      </c>
    </row>
    <row r="14485" spans="1:5">
      <c r="A14485" s="3" t="s">
        <v>25853</v>
      </c>
      <c r="B14485" s="110" t="s">
        <v>1372</v>
      </c>
      <c r="C14485" s="111" t="s">
        <v>12189</v>
      </c>
      <c r="D14485" s="111" t="str">
        <f t="shared" ref="D14485:E14485" si="14483">TRIM(B14485)</f>
        <v>Tennessee</v>
      </c>
      <c r="E14485" s="111" t="str">
        <f t="shared" si="14483"/>
        <v>Carthage</v>
      </c>
    </row>
    <row r="14486" spans="1:5">
      <c r="A14486" s="3" t="s">
        <v>25854</v>
      </c>
      <c r="B14486" s="110" t="s">
        <v>1372</v>
      </c>
      <c r="C14486" s="111" t="s">
        <v>261</v>
      </c>
      <c r="D14486" s="111" t="str">
        <f t="shared" ref="D14486:E14486" si="14484">TRIM(B14486)</f>
        <v>Tennessee</v>
      </c>
      <c r="E14486" s="111" t="str">
        <f t="shared" si="14484"/>
        <v>Cedar Hill</v>
      </c>
    </row>
    <row r="14487" spans="1:5">
      <c r="A14487" s="3" t="s">
        <v>15765</v>
      </c>
      <c r="B14487" s="110" t="s">
        <v>1372</v>
      </c>
      <c r="C14487" s="111" t="s">
        <v>22886</v>
      </c>
      <c r="D14487" s="111" t="str">
        <f t="shared" ref="D14487:E14487" si="14485">TRIM(B14487)</f>
        <v>Tennessee</v>
      </c>
      <c r="E14487" s="111" t="str">
        <f t="shared" si="14485"/>
        <v>Celina</v>
      </c>
    </row>
    <row r="14488" spans="1:5">
      <c r="A14488" s="3" t="s">
        <v>25855</v>
      </c>
      <c r="B14488" s="110" t="s">
        <v>1372</v>
      </c>
      <c r="C14488" s="111" t="s">
        <v>12830</v>
      </c>
      <c r="D14488" s="111" t="str">
        <f t="shared" ref="D14488:E14488" si="14486">TRIM(B14488)</f>
        <v>Tennessee</v>
      </c>
      <c r="E14488" s="111" t="str">
        <f t="shared" si="14486"/>
        <v>Centerville</v>
      </c>
    </row>
    <row r="14489" spans="1:5">
      <c r="A14489" s="110" t="s">
        <v>25856</v>
      </c>
      <c r="B14489" s="110" t="s">
        <v>1372</v>
      </c>
      <c r="C14489" s="111" t="s">
        <v>22063</v>
      </c>
      <c r="D14489" s="111" t="str">
        <f t="shared" ref="D14489:E14489" si="14487">TRIM(B14489)</f>
        <v>Tennessee</v>
      </c>
      <c r="E14489" s="111" t="str">
        <f t="shared" si="14487"/>
        <v>Chapel Hill</v>
      </c>
    </row>
    <row r="14490" spans="1:5">
      <c r="A14490" s="3" t="s">
        <v>25857</v>
      </c>
      <c r="B14490" s="110" t="s">
        <v>1372</v>
      </c>
      <c r="C14490" s="111" t="s">
        <v>283</v>
      </c>
      <c r="D14490" s="111" t="str">
        <f t="shared" ref="D14490:E14490" si="14488">TRIM(B14490)</f>
        <v>Tennessee</v>
      </c>
      <c r="E14490" s="111" t="str">
        <f t="shared" si="14488"/>
        <v>Charlotte</v>
      </c>
    </row>
    <row r="14491" spans="1:5">
      <c r="A14491" s="3" t="s">
        <v>25858</v>
      </c>
      <c r="B14491" s="110" t="s">
        <v>1372</v>
      </c>
      <c r="C14491" s="111" t="s">
        <v>780</v>
      </c>
      <c r="D14491" s="111" t="str">
        <f t="shared" ref="D14491:E14491" si="14489">TRIM(B14491)</f>
        <v>Tennessee</v>
      </c>
      <c r="E14491" s="111" t="str">
        <f t="shared" si="14489"/>
        <v>Chattanooga</v>
      </c>
    </row>
    <row r="14492" spans="1:5">
      <c r="A14492" s="3" t="s">
        <v>25859</v>
      </c>
      <c r="B14492" s="110" t="s">
        <v>1372</v>
      </c>
      <c r="C14492" s="111" t="s">
        <v>780</v>
      </c>
      <c r="D14492" s="111" t="str">
        <f t="shared" ref="D14492:E14492" si="14490">TRIM(B14492)</f>
        <v>Tennessee</v>
      </c>
      <c r="E14492" s="111" t="str">
        <f t="shared" si="14490"/>
        <v>Chattanooga</v>
      </c>
    </row>
    <row r="14493" spans="1:5">
      <c r="A14493" s="3" t="s">
        <v>25860</v>
      </c>
      <c r="B14493" s="110" t="s">
        <v>1372</v>
      </c>
      <c r="C14493" s="111" t="s">
        <v>780</v>
      </c>
      <c r="D14493" s="111" t="str">
        <f t="shared" ref="D14493:E14493" si="14491">TRIM(B14493)</f>
        <v>Tennessee</v>
      </c>
      <c r="E14493" s="111" t="str">
        <f t="shared" si="14491"/>
        <v>Chattanooga</v>
      </c>
    </row>
    <row r="14494" spans="1:5">
      <c r="A14494" s="110" t="s">
        <v>25861</v>
      </c>
      <c r="B14494" s="110" t="s">
        <v>1372</v>
      </c>
      <c r="C14494" s="111" t="s">
        <v>780</v>
      </c>
      <c r="D14494" s="111" t="str">
        <f t="shared" ref="D14494:E14494" si="14492">TRIM(B14494)</f>
        <v>Tennessee</v>
      </c>
      <c r="E14494" s="111" t="str">
        <f t="shared" si="14492"/>
        <v>Chattanooga</v>
      </c>
    </row>
    <row r="14495" spans="1:5">
      <c r="A14495" s="3" t="s">
        <v>9059</v>
      </c>
      <c r="B14495" s="110" t="s">
        <v>1372</v>
      </c>
      <c r="C14495" s="111" t="s">
        <v>780</v>
      </c>
      <c r="D14495" s="111" t="str">
        <f t="shared" ref="D14495:E14495" si="14493">TRIM(B14495)</f>
        <v>Tennessee</v>
      </c>
      <c r="E14495" s="111" t="str">
        <f t="shared" si="14493"/>
        <v>Chattanooga</v>
      </c>
    </row>
    <row r="14496" spans="1:5">
      <c r="A14496" s="3" t="s">
        <v>25862</v>
      </c>
      <c r="B14496" s="110" t="s">
        <v>1372</v>
      </c>
      <c r="C14496" s="111" t="s">
        <v>780</v>
      </c>
      <c r="D14496" s="111" t="str">
        <f t="shared" ref="D14496:E14496" si="14494">TRIM(B14496)</f>
        <v>Tennessee</v>
      </c>
      <c r="E14496" s="111" t="str">
        <f t="shared" si="14494"/>
        <v>Chattanooga</v>
      </c>
    </row>
    <row r="14497" spans="1:5">
      <c r="A14497" s="3" t="s">
        <v>25863</v>
      </c>
      <c r="B14497" s="110" t="s">
        <v>1372</v>
      </c>
      <c r="C14497" s="111" t="s">
        <v>780</v>
      </c>
      <c r="D14497" s="111" t="str">
        <f t="shared" ref="D14497:E14497" si="14495">TRIM(B14497)</f>
        <v>Tennessee</v>
      </c>
      <c r="E14497" s="111" t="str">
        <f t="shared" si="14495"/>
        <v>Chattanooga</v>
      </c>
    </row>
    <row r="14498" spans="1:5">
      <c r="A14498" s="3" t="s">
        <v>25864</v>
      </c>
      <c r="B14498" s="110" t="s">
        <v>1372</v>
      </c>
      <c r="C14498" s="111" t="s">
        <v>780</v>
      </c>
      <c r="D14498" s="111" t="str">
        <f t="shared" ref="D14498:E14498" si="14496">TRIM(B14498)</f>
        <v>Tennessee</v>
      </c>
      <c r="E14498" s="111" t="str">
        <f t="shared" si="14496"/>
        <v>Chattanooga</v>
      </c>
    </row>
    <row r="14499" spans="1:5">
      <c r="A14499" s="110" t="s">
        <v>25865</v>
      </c>
      <c r="B14499" s="110" t="s">
        <v>1372</v>
      </c>
      <c r="C14499" s="111" t="s">
        <v>780</v>
      </c>
      <c r="D14499" s="111" t="str">
        <f t="shared" ref="D14499:E14499" si="14497">TRIM(B14499)</f>
        <v>Tennessee</v>
      </c>
      <c r="E14499" s="111" t="str">
        <f t="shared" si="14497"/>
        <v>Chattanooga</v>
      </c>
    </row>
    <row r="14500" spans="1:5">
      <c r="A14500" s="110" t="s">
        <v>25866</v>
      </c>
      <c r="B14500" s="110" t="s">
        <v>1372</v>
      </c>
      <c r="C14500" s="111" t="s">
        <v>780</v>
      </c>
      <c r="D14500" s="111" t="str">
        <f t="shared" ref="D14500:E14500" si="14498">TRIM(B14500)</f>
        <v>Tennessee</v>
      </c>
      <c r="E14500" s="111" t="str">
        <f t="shared" si="14498"/>
        <v>Chattanooga</v>
      </c>
    </row>
    <row r="14501" spans="1:5">
      <c r="A14501" s="3" t="s">
        <v>25867</v>
      </c>
      <c r="B14501" s="110" t="s">
        <v>1372</v>
      </c>
      <c r="C14501" s="111" t="s">
        <v>780</v>
      </c>
      <c r="D14501" s="111" t="str">
        <f t="shared" ref="D14501:E14501" si="14499">TRIM(B14501)</f>
        <v>Tennessee</v>
      </c>
      <c r="E14501" s="111" t="str">
        <f t="shared" si="14499"/>
        <v>Chattanooga</v>
      </c>
    </row>
    <row r="14502" spans="1:5">
      <c r="A14502" s="3" t="s">
        <v>25868</v>
      </c>
      <c r="B14502" s="110" t="s">
        <v>1372</v>
      </c>
      <c r="C14502" s="111" t="s">
        <v>25869</v>
      </c>
      <c r="D14502" s="111" t="str">
        <f t="shared" ref="D14502:E14502" si="14500">TRIM(B14502)</f>
        <v>Tennessee</v>
      </c>
      <c r="E14502" s="111" t="str">
        <f t="shared" si="14500"/>
        <v>Church Hill</v>
      </c>
    </row>
    <row r="14503" spans="1:5">
      <c r="A14503" s="3" t="s">
        <v>25870</v>
      </c>
      <c r="B14503" s="110" t="s">
        <v>1372</v>
      </c>
      <c r="C14503" s="111" t="s">
        <v>25871</v>
      </c>
      <c r="D14503" s="111" t="str">
        <f t="shared" ref="D14503:E14503" si="14501">TRIM(B14503)</f>
        <v>Tennessee</v>
      </c>
      <c r="E14503" s="111" t="str">
        <f t="shared" si="14501"/>
        <v>Clarkrange</v>
      </c>
    </row>
    <row r="14504" spans="1:5">
      <c r="A14504" s="3" t="s">
        <v>3692</v>
      </c>
      <c r="B14504" s="110" t="s">
        <v>1372</v>
      </c>
      <c r="C14504" s="111" t="s">
        <v>3693</v>
      </c>
      <c r="D14504" s="111" t="str">
        <f t="shared" ref="D14504:E14504" si="14502">TRIM(B14504)</f>
        <v>Tennessee</v>
      </c>
      <c r="E14504" s="111" t="str">
        <f t="shared" si="14502"/>
        <v>Clarksville</v>
      </c>
    </row>
    <row r="14505" spans="1:5">
      <c r="A14505" s="3" t="s">
        <v>25872</v>
      </c>
      <c r="B14505" s="110" t="s">
        <v>1372</v>
      </c>
      <c r="C14505" s="111" t="s">
        <v>3693</v>
      </c>
      <c r="D14505" s="111" t="str">
        <f t="shared" ref="D14505:E14505" si="14503">TRIM(B14505)</f>
        <v>Tennessee</v>
      </c>
      <c r="E14505" s="111" t="str">
        <f t="shared" si="14503"/>
        <v>Clarksville</v>
      </c>
    </row>
    <row r="14506" spans="1:5">
      <c r="A14506" s="110" t="s">
        <v>25873</v>
      </c>
      <c r="B14506" s="110" t="s">
        <v>1372</v>
      </c>
      <c r="C14506" s="111" t="s">
        <v>3693</v>
      </c>
      <c r="D14506" s="111" t="str">
        <f t="shared" ref="D14506:E14506" si="14504">TRIM(B14506)</f>
        <v>Tennessee</v>
      </c>
      <c r="E14506" s="111" t="str">
        <f t="shared" si="14504"/>
        <v>Clarksville</v>
      </c>
    </row>
    <row r="14507" spans="1:5">
      <c r="A14507" s="3" t="s">
        <v>9797</v>
      </c>
      <c r="B14507" s="110" t="s">
        <v>1372</v>
      </c>
      <c r="C14507" s="111" t="s">
        <v>3693</v>
      </c>
      <c r="D14507" s="111" t="str">
        <f t="shared" ref="D14507:E14507" si="14505">TRIM(B14507)</f>
        <v>Tennessee</v>
      </c>
      <c r="E14507" s="111" t="str">
        <f t="shared" si="14505"/>
        <v>Clarksville</v>
      </c>
    </row>
    <row r="14508" spans="1:5">
      <c r="A14508" s="3" t="s">
        <v>15590</v>
      </c>
      <c r="B14508" s="110" t="s">
        <v>1372</v>
      </c>
      <c r="C14508" s="111" t="s">
        <v>3693</v>
      </c>
      <c r="D14508" s="111" t="str">
        <f t="shared" ref="D14508:E14508" si="14506">TRIM(B14508)</f>
        <v>Tennessee</v>
      </c>
      <c r="E14508" s="111" t="str">
        <f t="shared" si="14506"/>
        <v>Clarksville</v>
      </c>
    </row>
    <row r="14509" spans="1:5">
      <c r="A14509" s="3" t="s">
        <v>25874</v>
      </c>
      <c r="B14509" s="110" t="s">
        <v>1372</v>
      </c>
      <c r="C14509" s="111" t="s">
        <v>3693</v>
      </c>
      <c r="D14509" s="111" t="str">
        <f t="shared" ref="D14509:E14509" si="14507">TRIM(B14509)</f>
        <v>Tennessee</v>
      </c>
      <c r="E14509" s="111" t="str">
        <f t="shared" si="14507"/>
        <v>Clarksville</v>
      </c>
    </row>
    <row r="14510" spans="1:5">
      <c r="A14510" s="3" t="s">
        <v>25875</v>
      </c>
      <c r="B14510" s="110" t="s">
        <v>1372</v>
      </c>
      <c r="C14510" s="111" t="s">
        <v>3693</v>
      </c>
      <c r="D14510" s="111" t="str">
        <f t="shared" ref="D14510:E14510" si="14508">TRIM(B14510)</f>
        <v>Tennessee</v>
      </c>
      <c r="E14510" s="111" t="str">
        <f t="shared" si="14508"/>
        <v>Clarksville</v>
      </c>
    </row>
    <row r="14511" spans="1:5">
      <c r="A14511" s="3" t="s">
        <v>25876</v>
      </c>
      <c r="B14511" s="110" t="s">
        <v>1372</v>
      </c>
      <c r="C14511" s="111" t="s">
        <v>127</v>
      </c>
      <c r="D14511" s="111" t="str">
        <f t="shared" ref="D14511:E14511" si="14509">TRIM(B14511)</f>
        <v>Tennessee</v>
      </c>
      <c r="E14511" s="111" t="str">
        <f t="shared" si="14509"/>
        <v>Cleveland</v>
      </c>
    </row>
    <row r="14512" spans="1:5">
      <c r="A14512" s="3" t="s">
        <v>1642</v>
      </c>
      <c r="B14512" s="110" t="s">
        <v>1372</v>
      </c>
      <c r="C14512" s="111" t="s">
        <v>127</v>
      </c>
      <c r="D14512" s="111" t="str">
        <f t="shared" ref="D14512:E14512" si="14510">TRIM(B14512)</f>
        <v>Tennessee</v>
      </c>
      <c r="E14512" s="111" t="str">
        <f t="shared" si="14510"/>
        <v>Cleveland</v>
      </c>
    </row>
    <row r="14513" spans="1:5">
      <c r="A14513" s="3" t="s">
        <v>25877</v>
      </c>
      <c r="B14513" s="110" t="s">
        <v>1372</v>
      </c>
      <c r="C14513" s="111" t="s">
        <v>127</v>
      </c>
      <c r="D14513" s="111" t="str">
        <f t="shared" ref="D14513:E14513" si="14511">TRIM(B14513)</f>
        <v>Tennessee</v>
      </c>
      <c r="E14513" s="111" t="str">
        <f t="shared" si="14511"/>
        <v>Cleveland</v>
      </c>
    </row>
    <row r="14514" spans="1:5">
      <c r="A14514" s="3" t="s">
        <v>25878</v>
      </c>
      <c r="B14514" s="110" t="s">
        <v>1372</v>
      </c>
      <c r="C14514" s="111" t="s">
        <v>127</v>
      </c>
      <c r="D14514" s="111" t="str">
        <f t="shared" ref="D14514:E14514" si="14512">TRIM(B14514)</f>
        <v>Tennessee</v>
      </c>
      <c r="E14514" s="111" t="str">
        <f t="shared" si="14512"/>
        <v>Cleveland</v>
      </c>
    </row>
    <row r="14515" spans="1:5">
      <c r="A14515" s="3" t="s">
        <v>15729</v>
      </c>
      <c r="B14515" s="110" t="s">
        <v>1372</v>
      </c>
      <c r="C14515" s="111" t="s">
        <v>3697</v>
      </c>
      <c r="D14515" s="111" t="str">
        <f t="shared" ref="D14515:E14515" si="14513">TRIM(B14515)</f>
        <v>Tennessee</v>
      </c>
      <c r="E14515" s="111" t="str">
        <f t="shared" si="14513"/>
        <v>Clinton</v>
      </c>
    </row>
    <row r="14516" spans="1:5">
      <c r="A14516" s="3" t="s">
        <v>3695</v>
      </c>
      <c r="B14516" s="110" t="s">
        <v>1372</v>
      </c>
      <c r="C14516" s="111" t="s">
        <v>3697</v>
      </c>
      <c r="D14516" s="111" t="str">
        <f t="shared" ref="D14516:E14516" si="14514">TRIM(B14516)</f>
        <v>Tennessee</v>
      </c>
      <c r="E14516" s="111" t="str">
        <f t="shared" si="14514"/>
        <v>Clinton</v>
      </c>
    </row>
    <row r="14517" spans="1:5">
      <c r="A14517" s="3" t="s">
        <v>25879</v>
      </c>
      <c r="B14517" s="110" t="s">
        <v>1372</v>
      </c>
      <c r="C14517" s="111" t="s">
        <v>25880</v>
      </c>
      <c r="D14517" s="111" t="str">
        <f t="shared" ref="D14517:E14517" si="14515">TRIM(B14517)</f>
        <v>Tennessee</v>
      </c>
      <c r="E14517" s="111" t="str">
        <f t="shared" si="14515"/>
        <v>Coalmont</v>
      </c>
    </row>
    <row r="14518" spans="1:5">
      <c r="A14518" s="3" t="s">
        <v>25881</v>
      </c>
      <c r="B14518" s="110" t="s">
        <v>1372</v>
      </c>
      <c r="C14518" s="112" t="s">
        <v>13565</v>
      </c>
      <c r="D14518" s="111" t="str">
        <f t="shared" ref="D14518:E14518" si="14516">TRIM(B14518)</f>
        <v>Tennessee</v>
      </c>
      <c r="E14518" s="111" t="str">
        <f t="shared" si="14516"/>
        <v>Collierville</v>
      </c>
    </row>
    <row r="14519" spans="1:5">
      <c r="A14519" s="3" t="s">
        <v>22936</v>
      </c>
      <c r="B14519" s="110" t="s">
        <v>1372</v>
      </c>
      <c r="C14519" s="111" t="s">
        <v>25882</v>
      </c>
      <c r="D14519" s="111" t="str">
        <f t="shared" ref="D14519:E14519" si="14517">TRIM(B14519)</f>
        <v>Tennessee</v>
      </c>
      <c r="E14519" s="111" t="str">
        <f t="shared" si="14517"/>
        <v>Collinwood</v>
      </c>
    </row>
    <row r="14520" spans="1:5">
      <c r="A14520" s="3" t="s">
        <v>17009</v>
      </c>
      <c r="B14520" s="110" t="s">
        <v>1372</v>
      </c>
      <c r="C14520" s="111" t="s">
        <v>356</v>
      </c>
      <c r="D14520" s="111" t="str">
        <f t="shared" ref="D14520:E14520" si="14518">TRIM(B14520)</f>
        <v>Tennessee</v>
      </c>
      <c r="E14520" s="111" t="str">
        <f t="shared" si="14518"/>
        <v>Columbia</v>
      </c>
    </row>
    <row r="14521" spans="1:5">
      <c r="A14521" s="3" t="s">
        <v>3874</v>
      </c>
      <c r="B14521" s="110" t="s">
        <v>1372</v>
      </c>
      <c r="C14521" s="111" t="s">
        <v>356</v>
      </c>
      <c r="D14521" s="111" t="str">
        <f t="shared" ref="D14521:E14521" si="14519">TRIM(B14521)</f>
        <v>Tennessee</v>
      </c>
      <c r="E14521" s="111" t="str">
        <f t="shared" si="14519"/>
        <v>Columbia</v>
      </c>
    </row>
    <row r="14522" spans="1:5">
      <c r="A14522" s="110" t="s">
        <v>25883</v>
      </c>
      <c r="B14522" s="110" t="s">
        <v>1372</v>
      </c>
      <c r="C14522" s="111" t="s">
        <v>356</v>
      </c>
      <c r="D14522" s="111" t="str">
        <f t="shared" ref="D14522:E14522" si="14520">TRIM(B14522)</f>
        <v>Tennessee</v>
      </c>
      <c r="E14522" s="111" t="str">
        <f t="shared" si="14520"/>
        <v>Columbia</v>
      </c>
    </row>
    <row r="14523" spans="1:5">
      <c r="A14523" s="3" t="s">
        <v>25884</v>
      </c>
      <c r="B14523" s="110" t="s">
        <v>1372</v>
      </c>
      <c r="C14523" s="111" t="s">
        <v>25885</v>
      </c>
      <c r="D14523" s="111" t="str">
        <f t="shared" ref="D14523:E14523" si="14521">TRIM(B14523)</f>
        <v>Tennessee</v>
      </c>
      <c r="E14523" s="111" t="str">
        <f t="shared" si="14521"/>
        <v>Copperhill</v>
      </c>
    </row>
    <row r="14524" spans="1:5">
      <c r="A14524" s="3" t="s">
        <v>1649</v>
      </c>
      <c r="B14524" s="110" t="s">
        <v>1372</v>
      </c>
      <c r="C14524" s="111" t="s">
        <v>1650</v>
      </c>
      <c r="D14524" s="111" t="str">
        <f t="shared" ref="D14524:E14524" si="14522">TRIM(B14524)</f>
        <v>Tennessee</v>
      </c>
      <c r="E14524" s="111" t="str">
        <f t="shared" si="14522"/>
        <v>Cordova</v>
      </c>
    </row>
    <row r="14525" spans="1:5">
      <c r="A14525" s="110" t="s">
        <v>25886</v>
      </c>
      <c r="B14525" s="110" t="s">
        <v>1372</v>
      </c>
      <c r="C14525" s="111" t="s">
        <v>25887</v>
      </c>
      <c r="D14525" s="111" t="str">
        <f t="shared" ref="D14525:E14525" si="14523">TRIM(B14525)</f>
        <v>Tennessee</v>
      </c>
      <c r="E14525" s="111" t="str">
        <f t="shared" si="14523"/>
        <v>Cornersville</v>
      </c>
    </row>
    <row r="14526" spans="1:5">
      <c r="A14526" s="3" t="s">
        <v>10106</v>
      </c>
      <c r="B14526" s="110" t="s">
        <v>1372</v>
      </c>
      <c r="C14526" s="111" t="s">
        <v>25888</v>
      </c>
      <c r="D14526" s="111" t="str">
        <f t="shared" ref="D14526:E14526" si="14524">TRIM(B14526)</f>
        <v>Tennessee</v>
      </c>
      <c r="E14526" s="111" t="str">
        <f t="shared" si="14524"/>
        <v>Corryton</v>
      </c>
    </row>
    <row r="14527" spans="1:5">
      <c r="A14527" s="3" t="s">
        <v>25889</v>
      </c>
      <c r="B14527" s="110" t="s">
        <v>1372</v>
      </c>
      <c r="C14527" s="111" t="s">
        <v>25890</v>
      </c>
      <c r="D14527" s="111" t="str">
        <f t="shared" ref="D14527:E14527" si="14525">TRIM(B14527)</f>
        <v>Tennessee</v>
      </c>
      <c r="E14527" s="111" t="str">
        <f t="shared" si="14525"/>
        <v>Cosby</v>
      </c>
    </row>
    <row r="14528" spans="1:5">
      <c r="A14528" s="3" t="s">
        <v>15917</v>
      </c>
      <c r="B14528" s="110" t="s">
        <v>1372</v>
      </c>
      <c r="C14528" s="111" t="s">
        <v>10597</v>
      </c>
      <c r="D14528" s="111" t="str">
        <f t="shared" ref="D14528:E14528" si="14526">TRIM(B14528)</f>
        <v>Tennessee</v>
      </c>
      <c r="E14528" s="111" t="str">
        <f t="shared" si="14526"/>
        <v>Covington</v>
      </c>
    </row>
    <row r="14529" spans="1:5">
      <c r="A14529" s="3" t="s">
        <v>25891</v>
      </c>
      <c r="B14529" s="110" t="s">
        <v>1372</v>
      </c>
      <c r="C14529" s="112" t="s">
        <v>25892</v>
      </c>
      <c r="D14529" s="111" t="str">
        <f t="shared" ref="D14529:E14529" si="14527">TRIM(B14529)</f>
        <v>Tennessee</v>
      </c>
      <c r="E14529" s="111" t="str">
        <f t="shared" si="14527"/>
        <v>Cross Plains</v>
      </c>
    </row>
    <row r="14530" spans="1:5">
      <c r="A14530" s="3" t="s">
        <v>15636</v>
      </c>
      <c r="B14530" s="110" t="s">
        <v>1372</v>
      </c>
      <c r="C14530" s="111" t="s">
        <v>1659</v>
      </c>
      <c r="D14530" s="111" t="str">
        <f t="shared" ref="D14530:E14530" si="14528">TRIM(B14530)</f>
        <v>Tennessee</v>
      </c>
      <c r="E14530" s="111" t="str">
        <f t="shared" si="14528"/>
        <v>Crossville</v>
      </c>
    </row>
    <row r="14531" spans="1:5">
      <c r="A14531" s="3" t="s">
        <v>25893</v>
      </c>
      <c r="B14531" s="110" t="s">
        <v>1372</v>
      </c>
      <c r="C14531" s="111" t="s">
        <v>1659</v>
      </c>
      <c r="D14531" s="111" t="str">
        <f t="shared" ref="D14531:E14531" si="14529">TRIM(B14531)</f>
        <v>Tennessee</v>
      </c>
      <c r="E14531" s="111" t="str">
        <f t="shared" si="14529"/>
        <v>Crossville</v>
      </c>
    </row>
    <row r="14532" spans="1:5">
      <c r="A14532" s="110" t="s">
        <v>25894</v>
      </c>
      <c r="B14532" s="110" t="s">
        <v>1372</v>
      </c>
      <c r="C14532" s="111" t="s">
        <v>1659</v>
      </c>
      <c r="D14532" s="111" t="str">
        <f t="shared" ref="D14532:E14532" si="14530">TRIM(B14532)</f>
        <v>Tennessee</v>
      </c>
      <c r="E14532" s="111" t="str">
        <f t="shared" si="14530"/>
        <v>Crossville</v>
      </c>
    </row>
    <row r="14533" spans="1:5">
      <c r="A14533" s="3" t="s">
        <v>25895</v>
      </c>
      <c r="B14533" s="110" t="s">
        <v>1372</v>
      </c>
      <c r="C14533" s="113" t="s">
        <v>25896</v>
      </c>
      <c r="D14533" s="111" t="str">
        <f t="shared" ref="D14533:E14533" si="14531">TRIM(B14533)</f>
        <v>Tennessee</v>
      </c>
      <c r="E14533" s="111" t="str">
        <f t="shared" si="14531"/>
        <v>Cumberland Gap</v>
      </c>
    </row>
    <row r="14534" spans="1:5">
      <c r="A14534" s="3" t="s">
        <v>25897</v>
      </c>
      <c r="B14534" s="110" t="s">
        <v>1372</v>
      </c>
      <c r="C14534" s="111" t="s">
        <v>15243</v>
      </c>
      <c r="D14534" s="111" t="str">
        <f t="shared" ref="D14534:E14534" si="14532">TRIM(B14534)</f>
        <v>Tennessee</v>
      </c>
      <c r="E14534" s="111" t="str">
        <f t="shared" si="14532"/>
        <v>Cunningham</v>
      </c>
    </row>
    <row r="14535" spans="1:5">
      <c r="A14535" s="3" t="s">
        <v>18419</v>
      </c>
      <c r="B14535" s="110" t="s">
        <v>1372</v>
      </c>
      <c r="C14535" s="111" t="s">
        <v>25898</v>
      </c>
      <c r="D14535" s="111" t="str">
        <f t="shared" ref="D14535:E14535" si="14533">TRIM(B14535)</f>
        <v>Tennessee</v>
      </c>
      <c r="E14535" s="111" t="str">
        <f t="shared" si="14533"/>
        <v>Dandridge</v>
      </c>
    </row>
    <row r="14536" spans="1:5">
      <c r="A14536" s="3" t="s">
        <v>25899</v>
      </c>
      <c r="B14536" s="110" t="s">
        <v>1372</v>
      </c>
      <c r="C14536" s="111" t="s">
        <v>1686</v>
      </c>
      <c r="D14536" s="111" t="str">
        <f t="shared" ref="D14536:E14536" si="14534">TRIM(B14536)</f>
        <v>Tennessee</v>
      </c>
      <c r="E14536" s="111" t="str">
        <f t="shared" si="14534"/>
        <v>Decatur</v>
      </c>
    </row>
    <row r="14537" spans="1:5">
      <c r="A14537" s="3" t="s">
        <v>3921</v>
      </c>
      <c r="B14537" s="110" t="s">
        <v>1372</v>
      </c>
      <c r="C14537" s="111" t="s">
        <v>25900</v>
      </c>
      <c r="D14537" s="111" t="str">
        <f t="shared" ref="D14537:E14537" si="14535">TRIM(B14537)</f>
        <v>Tennessee</v>
      </c>
      <c r="E14537" s="111" t="str">
        <f t="shared" si="14535"/>
        <v>Decaturville</v>
      </c>
    </row>
    <row r="14538" spans="1:5">
      <c r="A14538" s="3" t="s">
        <v>25901</v>
      </c>
      <c r="B14538" s="110" t="s">
        <v>1372</v>
      </c>
      <c r="C14538" s="111" t="s">
        <v>25902</v>
      </c>
      <c r="D14538" s="111" t="str">
        <f t="shared" ref="D14538:E14538" si="14536">TRIM(B14538)</f>
        <v>Tennessee</v>
      </c>
      <c r="E14538" s="111" t="str">
        <f t="shared" si="14536"/>
        <v>Dickson</v>
      </c>
    </row>
    <row r="14539" spans="1:5">
      <c r="A14539" s="3" t="s">
        <v>25903</v>
      </c>
      <c r="B14539" s="110" t="s">
        <v>1372</v>
      </c>
      <c r="C14539" s="111" t="s">
        <v>3744</v>
      </c>
      <c r="D14539" s="111" t="str">
        <f t="shared" ref="D14539:E14539" si="14537">TRIM(B14539)</f>
        <v>Tennessee</v>
      </c>
      <c r="E14539" s="111" t="str">
        <f t="shared" si="14537"/>
        <v>Dover</v>
      </c>
    </row>
    <row r="14540" spans="1:5">
      <c r="A14540" s="3" t="s">
        <v>25904</v>
      </c>
      <c r="B14540" s="110" t="s">
        <v>1372</v>
      </c>
      <c r="C14540" s="111" t="s">
        <v>23054</v>
      </c>
      <c r="D14540" s="111" t="str">
        <f t="shared" ref="D14540:E14540" si="14538">TRIM(B14540)</f>
        <v>Tennessee</v>
      </c>
      <c r="E14540" s="111" t="str">
        <f t="shared" si="14538"/>
        <v>Dresden</v>
      </c>
    </row>
    <row r="14541" spans="1:5">
      <c r="A14541" s="3" t="s">
        <v>25905</v>
      </c>
      <c r="B14541" s="110" t="s">
        <v>1372</v>
      </c>
      <c r="C14541" s="111" t="s">
        <v>4865</v>
      </c>
      <c r="D14541" s="111" t="str">
        <f t="shared" ref="D14541:E14541" si="14539">TRIM(B14541)</f>
        <v>Tennessee</v>
      </c>
      <c r="E14541" s="111" t="str">
        <f t="shared" si="14539"/>
        <v>Dunlap</v>
      </c>
    </row>
    <row r="14542" spans="1:5">
      <c r="A14542" s="3" t="s">
        <v>25906</v>
      </c>
      <c r="B14542" s="110" t="s">
        <v>1372</v>
      </c>
      <c r="C14542" s="111" t="s">
        <v>25907</v>
      </c>
      <c r="D14542" s="111" t="str">
        <f t="shared" ref="D14542:E14542" si="14540">TRIM(B14542)</f>
        <v>Tennessee</v>
      </c>
      <c r="E14542" s="111" t="str">
        <f t="shared" si="14540"/>
        <v>Dyer</v>
      </c>
    </row>
    <row r="14543" spans="1:5">
      <c r="A14543" s="3" t="s">
        <v>25908</v>
      </c>
      <c r="B14543" s="110" t="s">
        <v>1372</v>
      </c>
      <c r="C14543" s="111" t="s">
        <v>25909</v>
      </c>
      <c r="D14543" s="111" t="str">
        <f t="shared" ref="D14543:E14543" si="14541">TRIM(B14543)</f>
        <v>Tennessee</v>
      </c>
      <c r="E14543" s="111" t="str">
        <f t="shared" si="14541"/>
        <v>Dyersburg</v>
      </c>
    </row>
    <row r="14544" spans="1:5">
      <c r="A14544" s="3" t="s">
        <v>25910</v>
      </c>
      <c r="B14544" s="110" t="s">
        <v>1372</v>
      </c>
      <c r="C14544" s="111" t="s">
        <v>25911</v>
      </c>
      <c r="D14544" s="111" t="str">
        <f t="shared" ref="D14544:E14544" si="14542">TRIM(B14544)</f>
        <v>Tennessee</v>
      </c>
      <c r="E14544" s="111" t="str">
        <f t="shared" si="14542"/>
        <v>Elizabethton</v>
      </c>
    </row>
    <row r="14545" spans="1:5">
      <c r="A14545" s="3" t="s">
        <v>25912</v>
      </c>
      <c r="B14545" s="110" t="s">
        <v>1372</v>
      </c>
      <c r="C14545" s="111" t="s">
        <v>25911</v>
      </c>
      <c r="D14545" s="111" t="str">
        <f t="shared" ref="D14545:E14545" si="14543">TRIM(B14545)</f>
        <v>Tennessee</v>
      </c>
      <c r="E14545" s="111" t="str">
        <f t="shared" si="14543"/>
        <v>Elizabethton</v>
      </c>
    </row>
    <row r="14546" spans="1:5">
      <c r="A14546" s="3" t="s">
        <v>25913</v>
      </c>
      <c r="B14546" s="110" t="s">
        <v>1372</v>
      </c>
      <c r="C14546" s="111" t="s">
        <v>25911</v>
      </c>
      <c r="D14546" s="111" t="str">
        <f t="shared" ref="D14546:E14546" si="14544">TRIM(B14546)</f>
        <v>Tennessee</v>
      </c>
      <c r="E14546" s="111" t="str">
        <f t="shared" si="14544"/>
        <v>Elizabethton</v>
      </c>
    </row>
    <row r="14547" spans="1:5">
      <c r="A14547" s="3" t="s">
        <v>1843</v>
      </c>
      <c r="B14547" s="110" t="s">
        <v>1372</v>
      </c>
      <c r="C14547" s="111" t="s">
        <v>7884</v>
      </c>
      <c r="D14547" s="111" t="str">
        <f t="shared" ref="D14547:E14547" si="14545">TRIM(B14547)</f>
        <v>Tennessee</v>
      </c>
      <c r="E14547" s="111" t="str">
        <f t="shared" si="14545"/>
        <v>Englewood</v>
      </c>
    </row>
    <row r="14548" spans="1:5">
      <c r="A14548" s="3" t="s">
        <v>25914</v>
      </c>
      <c r="B14548" s="110" t="s">
        <v>1372</v>
      </c>
      <c r="C14548" s="111" t="s">
        <v>25915</v>
      </c>
      <c r="D14548" s="111" t="str">
        <f t="shared" ref="D14548:E14548" si="14546">TRIM(B14548)</f>
        <v>Tennessee</v>
      </c>
      <c r="E14548" s="111" t="str">
        <f t="shared" si="14546"/>
        <v>Erin</v>
      </c>
    </row>
    <row r="14549" spans="1:5">
      <c r="A14549" s="3" t="s">
        <v>25916</v>
      </c>
      <c r="B14549" s="110" t="s">
        <v>1372</v>
      </c>
      <c r="C14549" s="111" t="s">
        <v>22148</v>
      </c>
      <c r="D14549" s="111" t="str">
        <f t="shared" ref="D14549:E14549" si="14547">TRIM(B14549)</f>
        <v>Tennessee</v>
      </c>
      <c r="E14549" s="111" t="str">
        <f t="shared" si="14547"/>
        <v>Erwin</v>
      </c>
    </row>
    <row r="14550" spans="1:5">
      <c r="A14550" s="3" t="s">
        <v>25917</v>
      </c>
      <c r="B14550" s="110" t="s">
        <v>1372</v>
      </c>
      <c r="C14550" s="111" t="s">
        <v>25918</v>
      </c>
      <c r="D14550" s="111" t="str">
        <f t="shared" ref="D14550:E14550" si="14548">TRIM(B14550)</f>
        <v>Tennessee</v>
      </c>
      <c r="E14550" s="111" t="str">
        <f t="shared" si="14548"/>
        <v>Evensville</v>
      </c>
    </row>
    <row r="14551" spans="1:5">
      <c r="A14551" s="3" t="s">
        <v>1663</v>
      </c>
      <c r="B14551" s="110" t="s">
        <v>1372</v>
      </c>
      <c r="C14551" s="111" t="s">
        <v>2490</v>
      </c>
      <c r="D14551" s="111" t="str">
        <f t="shared" ref="D14551:E14551" si="14549">TRIM(B14551)</f>
        <v>Tennessee</v>
      </c>
      <c r="E14551" s="111" t="str">
        <f t="shared" si="14549"/>
        <v>Fairview</v>
      </c>
    </row>
    <row r="14552" spans="1:5">
      <c r="A14552" s="3" t="s">
        <v>25919</v>
      </c>
      <c r="B14552" s="110" t="s">
        <v>1372</v>
      </c>
      <c r="C14552" s="111" t="s">
        <v>554</v>
      </c>
      <c r="D14552" s="111" t="str">
        <f t="shared" ref="D14552:E14552" si="14550">TRIM(B14552)</f>
        <v>Tennessee</v>
      </c>
      <c r="E14552" s="111" t="str">
        <f t="shared" si="14550"/>
        <v>Fayetteville</v>
      </c>
    </row>
    <row r="14553" spans="1:5">
      <c r="A14553" s="3" t="s">
        <v>10963</v>
      </c>
      <c r="B14553" s="110" t="s">
        <v>1372</v>
      </c>
      <c r="C14553" s="111" t="s">
        <v>554</v>
      </c>
      <c r="D14553" s="111" t="str">
        <f t="shared" ref="D14553:E14553" si="14551">TRIM(B14553)</f>
        <v>Tennessee</v>
      </c>
      <c r="E14553" s="111" t="str">
        <f t="shared" si="14551"/>
        <v>Fayetteville</v>
      </c>
    </row>
    <row r="14554" spans="1:5">
      <c r="A14554" s="3" t="s">
        <v>2905</v>
      </c>
      <c r="B14554" s="110" t="s">
        <v>1372</v>
      </c>
      <c r="C14554" s="111" t="s">
        <v>525</v>
      </c>
      <c r="D14554" s="111" t="str">
        <f t="shared" ref="D14554:E14554" si="14552">TRIM(B14554)</f>
        <v>Tennessee</v>
      </c>
      <c r="E14554" s="111" t="str">
        <f t="shared" si="14552"/>
        <v>Franklin</v>
      </c>
    </row>
    <row r="14555" spans="1:5">
      <c r="A14555" s="3" t="s">
        <v>4937</v>
      </c>
      <c r="B14555" s="110" t="s">
        <v>1372</v>
      </c>
      <c r="C14555" s="111" t="s">
        <v>525</v>
      </c>
      <c r="D14555" s="111" t="str">
        <f t="shared" ref="D14555:E14555" si="14553">TRIM(B14555)</f>
        <v>Tennessee</v>
      </c>
      <c r="E14555" s="111" t="str">
        <f t="shared" si="14553"/>
        <v>Franklin</v>
      </c>
    </row>
    <row r="14556" spans="1:5">
      <c r="A14556" s="3" t="s">
        <v>25920</v>
      </c>
      <c r="B14556" s="110" t="s">
        <v>1372</v>
      </c>
      <c r="C14556" s="111" t="s">
        <v>525</v>
      </c>
      <c r="D14556" s="111" t="str">
        <f t="shared" ref="D14556:E14556" si="14554">TRIM(B14556)</f>
        <v>Tennessee</v>
      </c>
      <c r="E14556" s="111" t="str">
        <f t="shared" si="14554"/>
        <v>Franklin</v>
      </c>
    </row>
    <row r="14557" spans="1:5">
      <c r="A14557" s="3" t="s">
        <v>11810</v>
      </c>
      <c r="B14557" s="110" t="s">
        <v>1372</v>
      </c>
      <c r="C14557" s="111" t="s">
        <v>525</v>
      </c>
      <c r="D14557" s="111" t="str">
        <f t="shared" ref="D14557:E14557" si="14555">TRIM(B14557)</f>
        <v>Tennessee</v>
      </c>
      <c r="E14557" s="111" t="str">
        <f t="shared" si="14555"/>
        <v>Franklin</v>
      </c>
    </row>
    <row r="14558" spans="1:5">
      <c r="A14558" s="3" t="s">
        <v>15771</v>
      </c>
      <c r="B14558" s="110" t="s">
        <v>1372</v>
      </c>
      <c r="C14558" s="111" t="s">
        <v>25921</v>
      </c>
      <c r="D14558" s="111" t="str">
        <f t="shared" ref="D14558:E14558" si="14556">TRIM(B14558)</f>
        <v>Tennessee</v>
      </c>
      <c r="E14558" s="111" t="str">
        <f t="shared" si="14556"/>
        <v>Gainesboro</v>
      </c>
    </row>
    <row r="14559" spans="1:5">
      <c r="A14559" s="3" t="s">
        <v>25922</v>
      </c>
      <c r="B14559" s="110" t="s">
        <v>1372</v>
      </c>
      <c r="C14559" s="111" t="s">
        <v>18786</v>
      </c>
      <c r="D14559" s="111" t="str">
        <f t="shared" ref="D14559:E14559" si="14557">TRIM(B14559)</f>
        <v>Tennessee</v>
      </c>
      <c r="E14559" s="111" t="str">
        <f t="shared" si="14557"/>
        <v>Gallatin</v>
      </c>
    </row>
    <row r="14560" spans="1:5">
      <c r="A14560" s="3" t="s">
        <v>25923</v>
      </c>
      <c r="B14560" s="110" t="s">
        <v>1372</v>
      </c>
      <c r="C14560" s="112" t="s">
        <v>18786</v>
      </c>
      <c r="D14560" s="111" t="str">
        <f t="shared" ref="D14560:E14560" si="14558">TRIM(B14560)</f>
        <v>Tennessee</v>
      </c>
      <c r="E14560" s="111" t="str">
        <f t="shared" si="14558"/>
        <v>Gallatin</v>
      </c>
    </row>
    <row r="14561" spans="1:5">
      <c r="A14561" s="3" t="s">
        <v>25924</v>
      </c>
      <c r="B14561" s="110" t="s">
        <v>1372</v>
      </c>
      <c r="C14561" s="111" t="s">
        <v>18786</v>
      </c>
      <c r="D14561" s="111" t="str">
        <f t="shared" ref="D14561:E14561" si="14559">TRIM(B14561)</f>
        <v>Tennessee</v>
      </c>
      <c r="E14561" s="111" t="str">
        <f t="shared" si="14559"/>
        <v>Gallatin</v>
      </c>
    </row>
    <row r="14562" spans="1:5">
      <c r="A14562" s="3" t="s">
        <v>25925</v>
      </c>
      <c r="B14562" s="110" t="s">
        <v>1372</v>
      </c>
      <c r="C14562" s="111" t="s">
        <v>25926</v>
      </c>
      <c r="D14562" s="111" t="str">
        <f t="shared" ref="D14562:E14562" si="14560">TRIM(B14562)</f>
        <v>Tennessee</v>
      </c>
      <c r="E14562" s="111" t="str">
        <f t="shared" si="14560"/>
        <v>Gatlinburg</v>
      </c>
    </row>
    <row r="14563" spans="1:5">
      <c r="A14563" s="3" t="s">
        <v>18480</v>
      </c>
      <c r="B14563" s="110" t="s">
        <v>1372</v>
      </c>
      <c r="C14563" s="111" t="s">
        <v>1157</v>
      </c>
      <c r="D14563" s="111" t="str">
        <f t="shared" ref="D14563:E14563" si="14561">TRIM(B14563)</f>
        <v>Tennessee</v>
      </c>
      <c r="E14563" s="111" t="str">
        <f t="shared" si="14561"/>
        <v>Germantown</v>
      </c>
    </row>
    <row r="14564" spans="1:5">
      <c r="A14564" s="3" t="s">
        <v>2358</v>
      </c>
      <c r="B14564" s="110" t="s">
        <v>1372</v>
      </c>
      <c r="C14564" s="111" t="s">
        <v>1157</v>
      </c>
      <c r="D14564" s="111" t="str">
        <f t="shared" ref="D14564:E14564" si="14562">TRIM(B14564)</f>
        <v>Tennessee</v>
      </c>
      <c r="E14564" s="111" t="str">
        <f t="shared" si="14562"/>
        <v>Germantown</v>
      </c>
    </row>
    <row r="14565" spans="1:5">
      <c r="A14565" s="3" t="s">
        <v>25927</v>
      </c>
      <c r="B14565" s="110" t="s">
        <v>1372</v>
      </c>
      <c r="C14565" s="111" t="s">
        <v>25928</v>
      </c>
      <c r="D14565" s="111" t="str">
        <f t="shared" ref="D14565:E14565" si="14563">TRIM(B14565)</f>
        <v>Tennessee</v>
      </c>
      <c r="E14565" s="111" t="str">
        <f t="shared" si="14563"/>
        <v>Gordonsville</v>
      </c>
    </row>
    <row r="14566" spans="1:5">
      <c r="A14566" s="3" t="s">
        <v>25929</v>
      </c>
      <c r="B14566" s="110" t="s">
        <v>1372</v>
      </c>
      <c r="C14566" s="111" t="s">
        <v>10819</v>
      </c>
      <c r="D14566" s="111" t="str">
        <f t="shared" ref="D14566:E14566" si="14564">TRIM(B14566)</f>
        <v>Tennessee</v>
      </c>
      <c r="E14566" s="111" t="str">
        <f t="shared" si="14564"/>
        <v>Gray</v>
      </c>
    </row>
    <row r="14567" spans="1:5">
      <c r="A14567" s="3" t="s">
        <v>3813</v>
      </c>
      <c r="B14567" s="110" t="s">
        <v>1372</v>
      </c>
      <c r="C14567" s="111" t="s">
        <v>3814</v>
      </c>
      <c r="D14567" s="111" t="str">
        <f t="shared" ref="D14567:E14567" si="14565">TRIM(B14567)</f>
        <v>Tennessee</v>
      </c>
      <c r="E14567" s="111" t="str">
        <f t="shared" si="14565"/>
        <v>Greenbrier</v>
      </c>
    </row>
    <row r="14568" spans="1:5">
      <c r="A14568" s="3" t="s">
        <v>25930</v>
      </c>
      <c r="B14568" s="110" t="s">
        <v>1372</v>
      </c>
      <c r="C14568" s="111" t="s">
        <v>405</v>
      </c>
      <c r="D14568" s="111" t="str">
        <f t="shared" ref="D14568:E14568" si="14566">TRIM(B14568)</f>
        <v>Tennessee</v>
      </c>
      <c r="E14568" s="111" t="str">
        <f t="shared" si="14566"/>
        <v>Greeneville</v>
      </c>
    </row>
    <row r="14569" spans="1:5">
      <c r="A14569" s="3" t="s">
        <v>25931</v>
      </c>
      <c r="B14569" s="110" t="s">
        <v>1372</v>
      </c>
      <c r="C14569" s="111" t="s">
        <v>405</v>
      </c>
      <c r="D14569" s="111" t="str">
        <f t="shared" ref="D14569:E14569" si="14567">TRIM(B14569)</f>
        <v>Tennessee</v>
      </c>
      <c r="E14569" s="111" t="str">
        <f t="shared" si="14567"/>
        <v>Greeneville</v>
      </c>
    </row>
    <row r="14570" spans="1:5">
      <c r="A14570" s="3" t="s">
        <v>25932</v>
      </c>
      <c r="B14570" s="110" t="s">
        <v>1372</v>
      </c>
      <c r="C14570" s="111" t="s">
        <v>405</v>
      </c>
      <c r="D14570" s="111" t="str">
        <f t="shared" ref="D14570:E14570" si="14568">TRIM(B14570)</f>
        <v>Tennessee</v>
      </c>
      <c r="E14570" s="111" t="str">
        <f t="shared" si="14568"/>
        <v>Greeneville</v>
      </c>
    </row>
    <row r="14571" spans="1:5">
      <c r="A14571" s="3" t="s">
        <v>25933</v>
      </c>
      <c r="B14571" s="110" t="s">
        <v>1372</v>
      </c>
      <c r="C14571" s="111" t="s">
        <v>25934</v>
      </c>
      <c r="D14571" s="111" t="str">
        <f t="shared" ref="D14571:E14571" si="14569">TRIM(B14571)</f>
        <v>Tennessee</v>
      </c>
      <c r="E14571" s="111" t="str">
        <f t="shared" si="14569"/>
        <v>Halls</v>
      </c>
    </row>
    <row r="14572" spans="1:5">
      <c r="A14572" s="3" t="s">
        <v>3839</v>
      </c>
      <c r="B14572" s="110" t="s">
        <v>1372</v>
      </c>
      <c r="C14572" s="111" t="s">
        <v>3841</v>
      </c>
      <c r="D14572" s="111" t="str">
        <f t="shared" ref="D14572:E14572" si="14570">TRIM(B14572)</f>
        <v>Tennessee</v>
      </c>
      <c r="E14572" s="111" t="str">
        <f t="shared" si="14570"/>
        <v>Hampton</v>
      </c>
    </row>
    <row r="14573" spans="1:5">
      <c r="A14573" s="3" t="s">
        <v>25935</v>
      </c>
      <c r="B14573" s="110" t="s">
        <v>1372</v>
      </c>
      <c r="C14573" s="111" t="s">
        <v>25936</v>
      </c>
      <c r="D14573" s="111" t="str">
        <f t="shared" ref="D14573:E14573" si="14571">TRIM(B14573)</f>
        <v>Tennessee</v>
      </c>
      <c r="E14573" s="111" t="str">
        <f t="shared" si="14571"/>
        <v>Harriman</v>
      </c>
    </row>
    <row r="14574" spans="1:5">
      <c r="A14574" s="110" t="s">
        <v>25937</v>
      </c>
      <c r="B14574" s="110" t="s">
        <v>1372</v>
      </c>
      <c r="C14574" s="111" t="s">
        <v>25936</v>
      </c>
      <c r="D14574" s="111" t="str">
        <f t="shared" ref="D14574:E14574" si="14572">TRIM(B14574)</f>
        <v>Tennessee</v>
      </c>
      <c r="E14574" s="111" t="str">
        <f t="shared" si="14572"/>
        <v>Harriman</v>
      </c>
    </row>
    <row r="14575" spans="1:5">
      <c r="A14575" s="3" t="s">
        <v>1843</v>
      </c>
      <c r="B14575" s="110" t="s">
        <v>1372</v>
      </c>
      <c r="C14575" s="111" t="s">
        <v>3849</v>
      </c>
      <c r="D14575" s="111" t="str">
        <f t="shared" ref="D14575:E14575" si="14573">TRIM(B14575)</f>
        <v>Tennessee</v>
      </c>
      <c r="E14575" s="111" t="str">
        <f t="shared" si="14573"/>
        <v>Harrison</v>
      </c>
    </row>
    <row r="14576" spans="1:5">
      <c r="A14576" s="3" t="s">
        <v>25938</v>
      </c>
      <c r="B14576" s="110" t="s">
        <v>1372</v>
      </c>
      <c r="C14576" s="111" t="s">
        <v>25454</v>
      </c>
      <c r="D14576" s="111" t="str">
        <f t="shared" ref="D14576:E14576" si="14574">TRIM(B14576)</f>
        <v>Tennessee</v>
      </c>
      <c r="E14576" s="111" t="str">
        <f t="shared" si="14574"/>
        <v>Hartsville</v>
      </c>
    </row>
    <row r="14577" spans="1:5">
      <c r="A14577" s="3" t="s">
        <v>25939</v>
      </c>
      <c r="B14577" s="110" t="s">
        <v>1372</v>
      </c>
      <c r="C14577" s="111" t="s">
        <v>7970</v>
      </c>
      <c r="D14577" s="111" t="str">
        <f t="shared" ref="D14577:E14577" si="14575">TRIM(B14577)</f>
        <v>Tennessee</v>
      </c>
      <c r="E14577" s="111" t="str">
        <f t="shared" si="14575"/>
        <v>Henderson</v>
      </c>
    </row>
    <row r="14578" spans="1:5">
      <c r="A14578" s="3" t="s">
        <v>25940</v>
      </c>
      <c r="B14578" s="110" t="s">
        <v>1372</v>
      </c>
      <c r="C14578" s="111" t="s">
        <v>13545</v>
      </c>
      <c r="D14578" s="111" t="str">
        <f t="shared" ref="D14578:E14578" si="14576">TRIM(B14578)</f>
        <v>Tennessee</v>
      </c>
      <c r="E14578" s="111" t="str">
        <f t="shared" si="14576"/>
        <v>Hendersonville</v>
      </c>
    </row>
    <row r="14579" spans="1:5">
      <c r="A14579" s="3" t="s">
        <v>22219</v>
      </c>
      <c r="B14579" s="110" t="s">
        <v>1372</v>
      </c>
      <c r="C14579" s="111" t="s">
        <v>13545</v>
      </c>
      <c r="D14579" s="111" t="str">
        <f t="shared" ref="D14579:E14579" si="14577">TRIM(B14579)</f>
        <v>Tennessee</v>
      </c>
      <c r="E14579" s="111" t="str">
        <f t="shared" si="14577"/>
        <v>Hendersonville</v>
      </c>
    </row>
    <row r="14580" spans="1:5">
      <c r="A14580" s="3" t="s">
        <v>25941</v>
      </c>
      <c r="B14580" s="110" t="s">
        <v>1372</v>
      </c>
      <c r="C14580" s="111" t="s">
        <v>13458</v>
      </c>
      <c r="D14580" s="111" t="str">
        <f t="shared" ref="D14580:E14580" si="14578">TRIM(B14580)</f>
        <v>Tennessee</v>
      </c>
      <c r="E14580" s="111" t="str">
        <f t="shared" si="14578"/>
        <v>Hixson</v>
      </c>
    </row>
    <row r="14581" spans="1:5">
      <c r="A14581" s="3" t="s">
        <v>25942</v>
      </c>
      <c r="B14581" s="110" t="s">
        <v>1372</v>
      </c>
      <c r="C14581" s="111" t="s">
        <v>13497</v>
      </c>
      <c r="D14581" s="111" t="str">
        <f t="shared" ref="D14581:E14581" si="14579">TRIM(B14581)</f>
        <v>Tennessee</v>
      </c>
      <c r="E14581" s="111" t="str">
        <f t="shared" si="14579"/>
        <v>Hohenwald</v>
      </c>
    </row>
    <row r="14582" spans="1:5">
      <c r="A14582" s="3" t="s">
        <v>25943</v>
      </c>
      <c r="B14582" s="110" t="s">
        <v>1372</v>
      </c>
      <c r="C14582" s="111" t="s">
        <v>14878</v>
      </c>
      <c r="D14582" s="111" t="str">
        <f t="shared" ref="D14582:E14582" si="14580">TRIM(B14582)</f>
        <v>Tennessee</v>
      </c>
      <c r="E14582" s="111" t="str">
        <f t="shared" si="14580"/>
        <v>Humboldt</v>
      </c>
    </row>
    <row r="14583" spans="1:5">
      <c r="A14583" s="3" t="s">
        <v>25944</v>
      </c>
      <c r="B14583" s="110" t="s">
        <v>1372</v>
      </c>
      <c r="C14583" s="111" t="s">
        <v>8907</v>
      </c>
      <c r="D14583" s="111" t="str">
        <f t="shared" ref="D14583:E14583" si="14581">TRIM(B14583)</f>
        <v>Tennessee</v>
      </c>
      <c r="E14583" s="111" t="str">
        <f t="shared" si="14581"/>
        <v>Huntingdon</v>
      </c>
    </row>
    <row r="14584" spans="1:5">
      <c r="A14584" s="3" t="s">
        <v>15842</v>
      </c>
      <c r="B14584" s="110" t="s">
        <v>1372</v>
      </c>
      <c r="C14584" s="111" t="s">
        <v>472</v>
      </c>
      <c r="D14584" s="111" t="str">
        <f t="shared" ref="D14584:E14584" si="14582">TRIM(B14584)</f>
        <v>Tennessee</v>
      </c>
      <c r="E14584" s="111" t="str">
        <f t="shared" si="14582"/>
        <v>Huntsville</v>
      </c>
    </row>
    <row r="14585" spans="1:5">
      <c r="A14585" s="3" t="s">
        <v>25945</v>
      </c>
      <c r="B14585" s="110" t="s">
        <v>1372</v>
      </c>
      <c r="C14585" s="111" t="s">
        <v>495</v>
      </c>
      <c r="D14585" s="111" t="str">
        <f t="shared" ref="D14585:E14585" si="14583">TRIM(B14585)</f>
        <v>Tennessee</v>
      </c>
      <c r="E14585" s="111" t="str">
        <f t="shared" si="14583"/>
        <v>Jacksboro</v>
      </c>
    </row>
    <row r="14586" spans="1:5">
      <c r="A14586" s="3" t="s">
        <v>25946</v>
      </c>
      <c r="B14586" s="110" t="s">
        <v>1372</v>
      </c>
      <c r="C14586" s="111" t="s">
        <v>297</v>
      </c>
      <c r="D14586" s="111" t="str">
        <f t="shared" ref="D14586:E14586" si="14584">TRIM(B14586)</f>
        <v>Tennessee</v>
      </c>
      <c r="E14586" s="111" t="str">
        <f t="shared" si="14584"/>
        <v>Jackson</v>
      </c>
    </row>
    <row r="14587" spans="1:5">
      <c r="A14587" s="3" t="s">
        <v>25947</v>
      </c>
      <c r="B14587" s="110" t="s">
        <v>1372</v>
      </c>
      <c r="C14587" s="111" t="s">
        <v>297</v>
      </c>
      <c r="D14587" s="111" t="str">
        <f t="shared" ref="D14587:E14587" si="14585">TRIM(B14587)</f>
        <v>Tennessee</v>
      </c>
      <c r="E14587" s="111" t="str">
        <f t="shared" si="14585"/>
        <v>Jackson</v>
      </c>
    </row>
    <row r="14588" spans="1:5">
      <c r="A14588" s="3" t="s">
        <v>25948</v>
      </c>
      <c r="B14588" s="110" t="s">
        <v>1372</v>
      </c>
      <c r="C14588" s="111" t="s">
        <v>297</v>
      </c>
      <c r="D14588" s="111" t="str">
        <f t="shared" ref="D14588:E14588" si="14586">TRIM(B14588)</f>
        <v>Tennessee</v>
      </c>
      <c r="E14588" s="111" t="str">
        <f t="shared" si="14586"/>
        <v>Jackson</v>
      </c>
    </row>
    <row r="14589" spans="1:5">
      <c r="A14589" s="3" t="s">
        <v>14332</v>
      </c>
      <c r="B14589" s="110" t="s">
        <v>1372</v>
      </c>
      <c r="C14589" s="111" t="s">
        <v>297</v>
      </c>
      <c r="D14589" s="111" t="str">
        <f t="shared" ref="D14589:E14589" si="14587">TRIM(B14589)</f>
        <v>Tennessee</v>
      </c>
      <c r="E14589" s="111" t="str">
        <f t="shared" si="14587"/>
        <v>Jackson</v>
      </c>
    </row>
    <row r="14590" spans="1:5">
      <c r="A14590" s="3" t="s">
        <v>3597</v>
      </c>
      <c r="B14590" s="110" t="s">
        <v>1372</v>
      </c>
      <c r="C14590" s="111" t="s">
        <v>297</v>
      </c>
      <c r="D14590" s="111" t="str">
        <f t="shared" ref="D14590:E14590" si="14588">TRIM(B14590)</f>
        <v>Tennessee</v>
      </c>
      <c r="E14590" s="111" t="str">
        <f t="shared" si="14588"/>
        <v>Jackson</v>
      </c>
    </row>
    <row r="14591" spans="1:5">
      <c r="A14591" s="110" t="s">
        <v>25949</v>
      </c>
      <c r="B14591" s="110" t="s">
        <v>1372</v>
      </c>
      <c r="C14591" s="111" t="s">
        <v>18854</v>
      </c>
      <c r="D14591" s="111" t="str">
        <f t="shared" ref="D14591:E14591" si="14589">TRIM(B14591)</f>
        <v>Tennessee</v>
      </c>
      <c r="E14591" s="111" t="str">
        <f t="shared" si="14589"/>
        <v>Jamestown</v>
      </c>
    </row>
    <row r="14592" spans="1:5">
      <c r="A14592" s="3" t="s">
        <v>25950</v>
      </c>
      <c r="B14592" s="110" t="s">
        <v>1372</v>
      </c>
      <c r="C14592" s="111" t="s">
        <v>263</v>
      </c>
      <c r="D14592" s="111" t="str">
        <f t="shared" ref="D14592:E14592" si="14590">TRIM(B14592)</f>
        <v>Tennessee</v>
      </c>
      <c r="E14592" s="111" t="str">
        <f t="shared" si="14590"/>
        <v>Jasper</v>
      </c>
    </row>
    <row r="14593" spans="1:5">
      <c r="A14593" s="3" t="s">
        <v>25951</v>
      </c>
      <c r="B14593" s="110" t="s">
        <v>1372</v>
      </c>
      <c r="C14593" s="111" t="s">
        <v>25952</v>
      </c>
      <c r="D14593" s="111" t="str">
        <f t="shared" ref="D14593:E14593" si="14591">TRIM(B14593)</f>
        <v>Tennessee</v>
      </c>
      <c r="E14593" s="111" t="str">
        <f t="shared" si="14591"/>
        <v>Jellico</v>
      </c>
    </row>
    <row r="14594" spans="1:5">
      <c r="A14594" s="3" t="s">
        <v>25953</v>
      </c>
      <c r="B14594" s="110" t="s">
        <v>1372</v>
      </c>
      <c r="C14594" s="111" t="s">
        <v>6545</v>
      </c>
      <c r="D14594" s="111" t="str">
        <f t="shared" ref="D14594:E14594" si="14592">TRIM(B14594)</f>
        <v>Tennessee</v>
      </c>
      <c r="E14594" s="111" t="str">
        <f t="shared" si="14592"/>
        <v>Johnson City</v>
      </c>
    </row>
    <row r="14595" spans="1:5">
      <c r="A14595" s="3" t="s">
        <v>25954</v>
      </c>
      <c r="B14595" s="110" t="s">
        <v>1372</v>
      </c>
      <c r="C14595" s="111" t="s">
        <v>25955</v>
      </c>
      <c r="D14595" s="111" t="str">
        <f t="shared" ref="D14595:E14595" si="14593">TRIM(B14595)</f>
        <v>Tennessee</v>
      </c>
      <c r="E14595" s="111" t="str">
        <f t="shared" si="14593"/>
        <v>Jonesborough</v>
      </c>
    </row>
    <row r="14596" spans="1:5">
      <c r="A14596" s="3" t="s">
        <v>25956</v>
      </c>
      <c r="B14596" s="110" t="s">
        <v>1372</v>
      </c>
      <c r="C14596" s="111" t="s">
        <v>25957</v>
      </c>
      <c r="D14596" s="111" t="str">
        <f t="shared" ref="D14596:E14596" si="14594">TRIM(B14596)</f>
        <v>Tennessee</v>
      </c>
      <c r="E14596" s="111" t="str">
        <f t="shared" si="14594"/>
        <v>Kingsport</v>
      </c>
    </row>
    <row r="14597" spans="1:5">
      <c r="A14597" s="3" t="s">
        <v>25958</v>
      </c>
      <c r="B14597" s="110" t="s">
        <v>1372</v>
      </c>
      <c r="C14597" s="111" t="s">
        <v>25957</v>
      </c>
      <c r="D14597" s="111" t="str">
        <f t="shared" ref="D14597:E14597" si="14595">TRIM(B14597)</f>
        <v>Tennessee</v>
      </c>
      <c r="E14597" s="111" t="str">
        <f t="shared" si="14595"/>
        <v>Kingsport</v>
      </c>
    </row>
    <row r="14598" spans="1:5">
      <c r="A14598" s="3" t="s">
        <v>25959</v>
      </c>
      <c r="B14598" s="110" t="s">
        <v>1372</v>
      </c>
      <c r="C14598" s="111" t="s">
        <v>25957</v>
      </c>
      <c r="D14598" s="111" t="str">
        <f t="shared" ref="D14598:E14598" si="14596">TRIM(B14598)</f>
        <v>Tennessee</v>
      </c>
      <c r="E14598" s="111" t="str">
        <f t="shared" si="14596"/>
        <v>Kingsport</v>
      </c>
    </row>
    <row r="14599" spans="1:5">
      <c r="A14599" s="3" t="s">
        <v>25960</v>
      </c>
      <c r="B14599" s="110" t="s">
        <v>1372</v>
      </c>
      <c r="C14599" s="112" t="s">
        <v>25957</v>
      </c>
      <c r="D14599" s="111" t="str">
        <f t="shared" ref="D14599:E14599" si="14597">TRIM(B14599)</f>
        <v>Tennessee</v>
      </c>
      <c r="E14599" s="111" t="str">
        <f t="shared" si="14597"/>
        <v>Kingsport</v>
      </c>
    </row>
    <row r="14600" spans="1:5">
      <c r="A14600" s="3" t="s">
        <v>18703</v>
      </c>
      <c r="B14600" s="110" t="s">
        <v>1372</v>
      </c>
      <c r="C14600" s="111" t="s">
        <v>3917</v>
      </c>
      <c r="D14600" s="111" t="str">
        <f t="shared" ref="D14600:E14600" si="14598">TRIM(B14600)</f>
        <v>Tennessee</v>
      </c>
      <c r="E14600" s="111" t="str">
        <f t="shared" si="14598"/>
        <v>Kingston</v>
      </c>
    </row>
    <row r="14601" spans="1:5">
      <c r="A14601" s="3" t="s">
        <v>25961</v>
      </c>
      <c r="B14601" s="110" t="s">
        <v>1372</v>
      </c>
      <c r="C14601" s="111" t="s">
        <v>3917</v>
      </c>
      <c r="D14601" s="111" t="str">
        <f t="shared" ref="D14601:E14601" si="14599">TRIM(B14601)</f>
        <v>Tennessee</v>
      </c>
      <c r="E14601" s="111" t="str">
        <f t="shared" si="14599"/>
        <v>Kingston</v>
      </c>
    </row>
    <row r="14602" spans="1:5">
      <c r="A14602" s="3" t="s">
        <v>25962</v>
      </c>
      <c r="B14602" s="110" t="s">
        <v>1372</v>
      </c>
      <c r="C14602" s="111" t="s">
        <v>25963</v>
      </c>
      <c r="D14602" s="111" t="str">
        <f t="shared" ref="D14602:E14602" si="14600">TRIM(B14602)</f>
        <v>Tennessee</v>
      </c>
      <c r="E14602" s="111" t="str">
        <f t="shared" si="14600"/>
        <v>Kingston Springs</v>
      </c>
    </row>
    <row r="14603" spans="1:5">
      <c r="A14603" s="3" t="s">
        <v>25964</v>
      </c>
      <c r="B14603" s="110" t="s">
        <v>1372</v>
      </c>
      <c r="C14603" s="111" t="s">
        <v>13155</v>
      </c>
      <c r="D14603" s="111" t="str">
        <f t="shared" ref="D14603:E14603" si="14601">TRIM(B14603)</f>
        <v>Tennessee</v>
      </c>
      <c r="E14603" s="111" t="str">
        <f t="shared" si="14601"/>
        <v>Knoxville</v>
      </c>
    </row>
    <row r="14604" spans="1:5">
      <c r="A14604" s="3" t="s">
        <v>3595</v>
      </c>
      <c r="B14604" s="110" t="s">
        <v>1372</v>
      </c>
      <c r="C14604" s="111" t="s">
        <v>13155</v>
      </c>
      <c r="D14604" s="111" t="str">
        <f t="shared" ref="D14604:E14604" si="14602">TRIM(B14604)</f>
        <v>Tennessee</v>
      </c>
      <c r="E14604" s="111" t="str">
        <f t="shared" si="14602"/>
        <v>Knoxville</v>
      </c>
    </row>
    <row r="14605" spans="1:5">
      <c r="A14605" s="3" t="s">
        <v>25965</v>
      </c>
      <c r="B14605" s="110" t="s">
        <v>1372</v>
      </c>
      <c r="C14605" s="111" t="s">
        <v>13155</v>
      </c>
      <c r="D14605" s="111" t="str">
        <f t="shared" ref="D14605:E14605" si="14603">TRIM(B14605)</f>
        <v>Tennessee</v>
      </c>
      <c r="E14605" s="111" t="str">
        <f t="shared" si="14603"/>
        <v>Knoxville</v>
      </c>
    </row>
    <row r="14606" spans="1:5">
      <c r="A14606" s="3" t="s">
        <v>1843</v>
      </c>
      <c r="B14606" s="110" t="s">
        <v>1372</v>
      </c>
      <c r="C14606" s="111" t="s">
        <v>13155</v>
      </c>
      <c r="D14606" s="111" t="str">
        <f t="shared" ref="D14606:E14606" si="14604">TRIM(B14606)</f>
        <v>Tennessee</v>
      </c>
      <c r="E14606" s="111" t="str">
        <f t="shared" si="14604"/>
        <v>Knoxville</v>
      </c>
    </row>
    <row r="14607" spans="1:5">
      <c r="A14607" s="3" t="s">
        <v>25966</v>
      </c>
      <c r="B14607" s="110" t="s">
        <v>1372</v>
      </c>
      <c r="C14607" s="111" t="s">
        <v>13155</v>
      </c>
      <c r="D14607" s="111" t="str">
        <f t="shared" ref="D14607:E14607" si="14605">TRIM(B14607)</f>
        <v>Tennessee</v>
      </c>
      <c r="E14607" s="111" t="str">
        <f t="shared" si="14605"/>
        <v>Knoxville</v>
      </c>
    </row>
    <row r="14608" spans="1:5">
      <c r="A14608" s="3" t="s">
        <v>25967</v>
      </c>
      <c r="B14608" s="110" t="s">
        <v>1372</v>
      </c>
      <c r="C14608" s="111" t="s">
        <v>13155</v>
      </c>
      <c r="D14608" s="111" t="str">
        <f t="shared" ref="D14608:E14608" si="14606">TRIM(B14608)</f>
        <v>Tennessee</v>
      </c>
      <c r="E14608" s="111" t="str">
        <f t="shared" si="14606"/>
        <v>Knoxville</v>
      </c>
    </row>
    <row r="14609" spans="1:5">
      <c r="A14609" s="3" t="s">
        <v>12925</v>
      </c>
      <c r="B14609" s="110" t="s">
        <v>1372</v>
      </c>
      <c r="C14609" s="112" t="s">
        <v>13155</v>
      </c>
      <c r="D14609" s="111" t="str">
        <f t="shared" ref="D14609:E14609" si="14607">TRIM(B14609)</f>
        <v>Tennessee</v>
      </c>
      <c r="E14609" s="111" t="str">
        <f t="shared" si="14607"/>
        <v>Knoxville</v>
      </c>
    </row>
    <row r="14610" spans="1:5">
      <c r="A14610" s="3" t="s">
        <v>25933</v>
      </c>
      <c r="B14610" s="110" t="s">
        <v>1372</v>
      </c>
      <c r="C14610" s="111" t="s">
        <v>13155</v>
      </c>
      <c r="D14610" s="111" t="str">
        <f t="shared" ref="D14610:E14610" si="14608">TRIM(B14610)</f>
        <v>Tennessee</v>
      </c>
      <c r="E14610" s="111" t="str">
        <f t="shared" si="14608"/>
        <v>Knoxville</v>
      </c>
    </row>
    <row r="14611" spans="1:5">
      <c r="A14611" s="3" t="s">
        <v>25968</v>
      </c>
      <c r="B14611" s="110" t="s">
        <v>1372</v>
      </c>
      <c r="C14611" s="111" t="s">
        <v>13155</v>
      </c>
      <c r="D14611" s="111" t="str">
        <f t="shared" ref="D14611:E14611" si="14609">TRIM(B14611)</f>
        <v>Tennessee</v>
      </c>
      <c r="E14611" s="111" t="str">
        <f t="shared" si="14609"/>
        <v>Knoxville</v>
      </c>
    </row>
    <row r="14612" spans="1:5">
      <c r="A14612" s="3" t="s">
        <v>25969</v>
      </c>
      <c r="B14612" s="110" t="s">
        <v>1372</v>
      </c>
      <c r="C14612" s="111" t="s">
        <v>13155</v>
      </c>
      <c r="D14612" s="111" t="str">
        <f t="shared" ref="D14612:E14612" si="14610">TRIM(B14612)</f>
        <v>Tennessee</v>
      </c>
      <c r="E14612" s="111" t="str">
        <f t="shared" si="14610"/>
        <v>Knoxville</v>
      </c>
    </row>
    <row r="14613" spans="1:5">
      <c r="A14613" s="3" t="s">
        <v>25970</v>
      </c>
      <c r="B14613" s="110" t="s">
        <v>1372</v>
      </c>
      <c r="C14613" s="111" t="s">
        <v>13155</v>
      </c>
      <c r="D14613" s="111" t="str">
        <f t="shared" ref="D14613:E14613" si="14611">TRIM(B14613)</f>
        <v>Tennessee</v>
      </c>
      <c r="E14613" s="111" t="str">
        <f t="shared" si="14611"/>
        <v>Knoxville</v>
      </c>
    </row>
    <row r="14614" spans="1:5">
      <c r="A14614" s="3" t="s">
        <v>25971</v>
      </c>
      <c r="B14614" s="110" t="s">
        <v>1372</v>
      </c>
      <c r="C14614" s="111" t="s">
        <v>13155</v>
      </c>
      <c r="D14614" s="111" t="str">
        <f t="shared" ref="D14614:E14614" si="14612">TRIM(B14614)</f>
        <v>Tennessee</v>
      </c>
      <c r="E14614" s="111" t="str">
        <f t="shared" si="14612"/>
        <v>Knoxville</v>
      </c>
    </row>
    <row r="14615" spans="1:5">
      <c r="A14615" s="3" t="s">
        <v>2304</v>
      </c>
      <c r="B14615" s="110" t="s">
        <v>1372</v>
      </c>
      <c r="C14615" s="111" t="s">
        <v>13155</v>
      </c>
      <c r="D14615" s="111" t="str">
        <f t="shared" ref="D14615:E14615" si="14613">TRIM(B14615)</f>
        <v>Tennessee</v>
      </c>
      <c r="E14615" s="111" t="str">
        <f t="shared" si="14613"/>
        <v>Knoxville</v>
      </c>
    </row>
    <row r="14616" spans="1:5">
      <c r="A14616" s="3" t="s">
        <v>25972</v>
      </c>
      <c r="B14616" s="110" t="s">
        <v>1372</v>
      </c>
      <c r="C14616" s="111" t="s">
        <v>25973</v>
      </c>
      <c r="D14616" s="111" t="str">
        <f t="shared" ref="D14616:E14616" si="14614">TRIM(B14616)</f>
        <v>Tennessee</v>
      </c>
      <c r="E14616" s="111" t="str">
        <f t="shared" si="14614"/>
        <v>Kodak</v>
      </c>
    </row>
    <row r="14617" spans="1:5">
      <c r="A14617" s="3" t="s">
        <v>11098</v>
      </c>
      <c r="B14617" s="110" t="s">
        <v>1372</v>
      </c>
      <c r="C14617" s="111" t="s">
        <v>236</v>
      </c>
      <c r="D14617" s="111" t="str">
        <f t="shared" ref="D14617:E14617" si="14615">TRIM(B14617)</f>
        <v>Tennessee</v>
      </c>
      <c r="E14617" s="111" t="str">
        <f t="shared" si="14615"/>
        <v>Lafayette</v>
      </c>
    </row>
    <row r="14618" spans="1:5">
      <c r="A14618" s="3" t="s">
        <v>25974</v>
      </c>
      <c r="B14618" s="110" t="s">
        <v>1372</v>
      </c>
      <c r="C14618" s="111" t="s">
        <v>25975</v>
      </c>
      <c r="D14618" s="111" t="str">
        <f t="shared" ref="D14618:E14618" si="14616">TRIM(B14618)</f>
        <v>Tennessee</v>
      </c>
      <c r="E14618" s="111" t="str">
        <f t="shared" si="14616"/>
        <v>Lavergne</v>
      </c>
    </row>
    <row r="14619" spans="1:5">
      <c r="A14619" s="3" t="s">
        <v>25976</v>
      </c>
      <c r="B14619" s="110" t="s">
        <v>1372</v>
      </c>
      <c r="C14619" s="111" t="s">
        <v>14457</v>
      </c>
      <c r="D14619" s="111" t="str">
        <f t="shared" ref="D14619:E14619" si="14617">TRIM(B14619)</f>
        <v>Tennessee</v>
      </c>
      <c r="E14619" s="111" t="str">
        <f t="shared" si="14617"/>
        <v>Lawrenceburg</v>
      </c>
    </row>
    <row r="14620" spans="1:5">
      <c r="A14620" s="3" t="s">
        <v>13191</v>
      </c>
      <c r="B14620" s="110" t="s">
        <v>1372</v>
      </c>
      <c r="C14620" s="111" t="s">
        <v>8525</v>
      </c>
      <c r="D14620" s="111" t="str">
        <f t="shared" ref="D14620:E14620" si="14618">TRIM(B14620)</f>
        <v>Tennessee</v>
      </c>
      <c r="E14620" s="111" t="str">
        <f t="shared" si="14618"/>
        <v>Lebanon</v>
      </c>
    </row>
    <row r="14621" spans="1:5">
      <c r="A14621" s="3" t="s">
        <v>25977</v>
      </c>
      <c r="B14621" s="110" t="s">
        <v>1372</v>
      </c>
      <c r="C14621" s="111" t="s">
        <v>8525</v>
      </c>
      <c r="D14621" s="111" t="str">
        <f t="shared" ref="D14621:E14621" si="14619">TRIM(B14621)</f>
        <v>Tennessee</v>
      </c>
      <c r="E14621" s="111" t="str">
        <f t="shared" si="14619"/>
        <v>Lebanon</v>
      </c>
    </row>
    <row r="14622" spans="1:5">
      <c r="A14622" s="3" t="s">
        <v>25978</v>
      </c>
      <c r="B14622" s="110" t="s">
        <v>1372</v>
      </c>
      <c r="C14622" s="111" t="s">
        <v>25979</v>
      </c>
      <c r="D14622" s="111" t="str">
        <f t="shared" ref="D14622:E14622" si="14620">TRIM(B14622)</f>
        <v>Tennessee</v>
      </c>
      <c r="E14622" s="111" t="str">
        <f t="shared" si="14620"/>
        <v>Lenoir City</v>
      </c>
    </row>
    <row r="14623" spans="1:5">
      <c r="A14623" s="3" t="s">
        <v>25980</v>
      </c>
      <c r="B14623" s="110" t="s">
        <v>1372</v>
      </c>
      <c r="C14623" s="111" t="s">
        <v>471</v>
      </c>
      <c r="D14623" s="111" t="str">
        <f t="shared" ref="D14623:E14623" si="14621">TRIM(B14623)</f>
        <v>Tennessee</v>
      </c>
      <c r="E14623" s="111" t="str">
        <f t="shared" si="14621"/>
        <v>Lewisburg</v>
      </c>
    </row>
    <row r="14624" spans="1:5">
      <c r="A14624" s="3" t="s">
        <v>25981</v>
      </c>
      <c r="B14624" s="110" t="s">
        <v>1372</v>
      </c>
      <c r="C14624" s="111" t="s">
        <v>298</v>
      </c>
      <c r="D14624" s="111" t="str">
        <f t="shared" ref="D14624:E14624" si="14622">TRIM(B14624)</f>
        <v>Tennessee</v>
      </c>
      <c r="E14624" s="111" t="str">
        <f t="shared" si="14622"/>
        <v>Linden</v>
      </c>
    </row>
    <row r="14625" spans="1:5">
      <c r="A14625" s="3" t="s">
        <v>25982</v>
      </c>
      <c r="B14625" s="110" t="s">
        <v>1372</v>
      </c>
      <c r="C14625" s="111" t="s">
        <v>5527</v>
      </c>
      <c r="D14625" s="111" t="str">
        <f t="shared" ref="D14625:E14625" si="14623">TRIM(B14625)</f>
        <v>Tennessee</v>
      </c>
      <c r="E14625" s="111" t="str">
        <f t="shared" si="14623"/>
        <v>Livingston</v>
      </c>
    </row>
    <row r="14626" spans="1:5">
      <c r="A14626" s="3" t="s">
        <v>25983</v>
      </c>
      <c r="B14626" s="110" t="s">
        <v>1372</v>
      </c>
      <c r="C14626" s="111" t="s">
        <v>25984</v>
      </c>
      <c r="D14626" s="111" t="str">
        <f t="shared" ref="D14626:E14626" si="14624">TRIM(B14626)</f>
        <v>Tennessee</v>
      </c>
      <c r="E14626" s="111" t="str">
        <f t="shared" si="14624"/>
        <v>Loretto</v>
      </c>
    </row>
    <row r="14627" spans="1:5">
      <c r="A14627" s="3" t="s">
        <v>25985</v>
      </c>
      <c r="B14627" s="110" t="s">
        <v>1372</v>
      </c>
      <c r="C14627" s="111" t="s">
        <v>25986</v>
      </c>
      <c r="D14627" s="111" t="str">
        <f t="shared" ref="D14627:E14627" si="14625">TRIM(B14627)</f>
        <v>Tennessee</v>
      </c>
      <c r="E14627" s="111" t="str">
        <f t="shared" si="14625"/>
        <v>Loudon</v>
      </c>
    </row>
    <row r="14628" spans="1:5">
      <c r="A14628" s="3" t="s">
        <v>25987</v>
      </c>
      <c r="B14628" s="110" t="s">
        <v>1372</v>
      </c>
      <c r="C14628" s="111" t="s">
        <v>25988</v>
      </c>
      <c r="D14628" s="111" t="str">
        <f t="shared" ref="D14628:E14628" si="14626">TRIM(B14628)</f>
        <v>Tennessee</v>
      </c>
      <c r="E14628" s="111" t="str">
        <f t="shared" si="14626"/>
        <v>Lyles</v>
      </c>
    </row>
    <row r="14629" spans="1:5">
      <c r="A14629" s="3" t="s">
        <v>25989</v>
      </c>
      <c r="B14629" s="110" t="s">
        <v>1372</v>
      </c>
      <c r="C14629" s="111" t="s">
        <v>14005</v>
      </c>
      <c r="D14629" s="111" t="str">
        <f t="shared" ref="D14629:E14629" si="14627">TRIM(B14629)</f>
        <v>Tennessee</v>
      </c>
      <c r="E14629" s="111" t="str">
        <f t="shared" si="14627"/>
        <v>Lynchburg</v>
      </c>
    </row>
    <row r="14630" spans="1:5">
      <c r="A14630" s="110" t="s">
        <v>25990</v>
      </c>
      <c r="B14630" s="110" t="s">
        <v>1372</v>
      </c>
      <c r="C14630" s="111" t="s">
        <v>14479</v>
      </c>
      <c r="D14630" s="111" t="str">
        <f t="shared" ref="D14630:E14630" si="14628">TRIM(B14630)</f>
        <v>Tennessee</v>
      </c>
      <c r="E14630" s="111" t="str">
        <f t="shared" si="14628"/>
        <v>Lynnville</v>
      </c>
    </row>
    <row r="14631" spans="1:5">
      <c r="A14631" s="3" t="s">
        <v>10498</v>
      </c>
      <c r="B14631" s="110" t="s">
        <v>1372</v>
      </c>
      <c r="C14631" s="111" t="s">
        <v>15763</v>
      </c>
      <c r="D14631" s="111" t="str">
        <f t="shared" ref="D14631:E14631" si="14629">TRIM(B14631)</f>
        <v>Tennessee</v>
      </c>
      <c r="E14631" s="111" t="str">
        <f t="shared" si="14629"/>
        <v>Madisonville</v>
      </c>
    </row>
    <row r="14632" spans="1:5">
      <c r="A14632" s="3" t="s">
        <v>25991</v>
      </c>
      <c r="B14632" s="110" t="s">
        <v>1372</v>
      </c>
      <c r="C14632" s="111" t="s">
        <v>8540</v>
      </c>
      <c r="D14632" s="111" t="str">
        <f t="shared" ref="D14632:E14632" si="14630">TRIM(B14632)</f>
        <v>Tennessee</v>
      </c>
      <c r="E14632" s="111" t="str">
        <f t="shared" si="14630"/>
        <v>Manchester</v>
      </c>
    </row>
    <row r="14633" spans="1:5">
      <c r="A14633" s="3" t="s">
        <v>2466</v>
      </c>
      <c r="B14633" s="110" t="s">
        <v>1372</v>
      </c>
      <c r="C14633" s="111" t="s">
        <v>17397</v>
      </c>
      <c r="D14633" s="111" t="str">
        <f t="shared" ref="D14633:E14633" si="14631">TRIM(B14633)</f>
        <v>Tennessee</v>
      </c>
      <c r="E14633" s="111" t="str">
        <f t="shared" si="14631"/>
        <v>Martin</v>
      </c>
    </row>
    <row r="14634" spans="1:5">
      <c r="A14634" s="3" t="s">
        <v>4519</v>
      </c>
      <c r="B14634" s="110" t="s">
        <v>1372</v>
      </c>
      <c r="C14634" s="111" t="s">
        <v>4419</v>
      </c>
      <c r="D14634" s="111" t="str">
        <f t="shared" ref="D14634:E14634" si="14632">TRIM(B14634)</f>
        <v>Tennessee</v>
      </c>
      <c r="E14634" s="111" t="str">
        <f t="shared" si="14632"/>
        <v>Maryville</v>
      </c>
    </row>
    <row r="14635" spans="1:5">
      <c r="A14635" s="3" t="s">
        <v>18945</v>
      </c>
      <c r="B14635" s="110" t="s">
        <v>1372</v>
      </c>
      <c r="C14635" s="111" t="s">
        <v>4419</v>
      </c>
      <c r="D14635" s="111" t="str">
        <f t="shared" ref="D14635:E14635" si="14633">TRIM(B14635)</f>
        <v>Tennessee</v>
      </c>
      <c r="E14635" s="111" t="str">
        <f t="shared" si="14633"/>
        <v>Maryville</v>
      </c>
    </row>
    <row r="14636" spans="1:5">
      <c r="A14636" s="3" t="s">
        <v>25992</v>
      </c>
      <c r="B14636" s="110" t="s">
        <v>1372</v>
      </c>
      <c r="C14636" s="111" t="s">
        <v>4419</v>
      </c>
      <c r="D14636" s="111" t="str">
        <f t="shared" ref="D14636:E14636" si="14634">TRIM(B14636)</f>
        <v>Tennessee</v>
      </c>
      <c r="E14636" s="111" t="str">
        <f t="shared" si="14634"/>
        <v>Maryville</v>
      </c>
    </row>
    <row r="14637" spans="1:5">
      <c r="A14637" s="3" t="s">
        <v>9484</v>
      </c>
      <c r="B14637" s="110" t="s">
        <v>1372</v>
      </c>
      <c r="C14637" s="111" t="s">
        <v>25993</v>
      </c>
      <c r="D14637" s="111" t="str">
        <f t="shared" ref="D14637:E14637" si="14635">TRIM(B14637)</f>
        <v>Tennessee</v>
      </c>
      <c r="E14637" s="111" t="str">
        <f t="shared" si="14635"/>
        <v>Maynardville</v>
      </c>
    </row>
    <row r="14638" spans="1:5">
      <c r="A14638" s="3" t="s">
        <v>25994</v>
      </c>
      <c r="B14638" s="110" t="s">
        <v>1372</v>
      </c>
      <c r="C14638" s="111" t="s">
        <v>25995</v>
      </c>
      <c r="D14638" s="111" t="str">
        <f t="shared" ref="D14638:E14638" si="14636">TRIM(B14638)</f>
        <v>Tennessee</v>
      </c>
      <c r="E14638" s="111" t="str">
        <f t="shared" si="14636"/>
        <v>Mcewen</v>
      </c>
    </row>
    <row r="14639" spans="1:5">
      <c r="A14639" s="3" t="s">
        <v>25996</v>
      </c>
      <c r="B14639" s="110" t="s">
        <v>1372</v>
      </c>
      <c r="C14639" s="111" t="s">
        <v>25997</v>
      </c>
      <c r="D14639" s="111" t="str">
        <f t="shared" ref="D14639:E14639" si="14637">TRIM(B14639)</f>
        <v>Tennessee</v>
      </c>
      <c r="E14639" s="111" t="str">
        <f t="shared" si="14637"/>
        <v>Mckenzie</v>
      </c>
    </row>
    <row r="14640" spans="1:5">
      <c r="A14640" s="3" t="s">
        <v>11416</v>
      </c>
      <c r="B14640" s="110" t="s">
        <v>1372</v>
      </c>
      <c r="C14640" s="111" t="s">
        <v>24333</v>
      </c>
      <c r="D14640" s="111" t="str">
        <f t="shared" ref="D14640:E14640" si="14638">TRIM(B14640)</f>
        <v>Tennessee</v>
      </c>
      <c r="E14640" s="111" t="str">
        <f t="shared" si="14638"/>
        <v>Mcminnville</v>
      </c>
    </row>
    <row r="14641" spans="1:5">
      <c r="A14641" s="3" t="s">
        <v>25998</v>
      </c>
      <c r="B14641" s="110" t="s">
        <v>1372</v>
      </c>
      <c r="C14641" s="111" t="s">
        <v>2947</v>
      </c>
      <c r="D14641" s="111" t="str">
        <f t="shared" ref="D14641:E14641" si="14639">TRIM(B14641)</f>
        <v>Tennessee</v>
      </c>
      <c r="E14641" s="111" t="str">
        <f t="shared" si="14639"/>
        <v>Medina</v>
      </c>
    </row>
    <row r="14642" spans="1:5">
      <c r="A14642" s="3" t="s">
        <v>25999</v>
      </c>
      <c r="B14642" s="110" t="s">
        <v>1372</v>
      </c>
      <c r="C14642" s="111" t="s">
        <v>257</v>
      </c>
      <c r="D14642" s="111" t="str">
        <f t="shared" ref="D14642:E14642" si="14640">TRIM(B14642)</f>
        <v>Tennessee</v>
      </c>
      <c r="E14642" s="111" t="str">
        <f t="shared" si="14640"/>
        <v>Memphis</v>
      </c>
    </row>
    <row r="14643" spans="1:5">
      <c r="A14643" s="3" t="s">
        <v>1843</v>
      </c>
      <c r="B14643" s="110" t="s">
        <v>1372</v>
      </c>
      <c r="C14643" s="111" t="s">
        <v>257</v>
      </c>
      <c r="D14643" s="111" t="str">
        <f t="shared" ref="D14643:E14643" si="14641">TRIM(B14643)</f>
        <v>Tennessee</v>
      </c>
      <c r="E14643" s="111" t="str">
        <f t="shared" si="14641"/>
        <v>Memphis</v>
      </c>
    </row>
    <row r="14644" spans="1:5">
      <c r="A14644" s="110" t="s">
        <v>26000</v>
      </c>
      <c r="B14644" s="110" t="s">
        <v>1372</v>
      </c>
      <c r="C14644" s="111" t="s">
        <v>257</v>
      </c>
      <c r="D14644" s="111" t="str">
        <f t="shared" ref="D14644:E14644" si="14642">TRIM(B14644)</f>
        <v>Tennessee</v>
      </c>
      <c r="E14644" s="111" t="str">
        <f t="shared" si="14642"/>
        <v>Memphis</v>
      </c>
    </row>
    <row r="14645" spans="1:5">
      <c r="A14645" s="110" t="s">
        <v>26001</v>
      </c>
      <c r="B14645" s="110" t="s">
        <v>1372</v>
      </c>
      <c r="C14645" s="111" t="s">
        <v>257</v>
      </c>
      <c r="D14645" s="111" t="str">
        <f t="shared" ref="D14645:E14645" si="14643">TRIM(B14645)</f>
        <v>Tennessee</v>
      </c>
      <c r="E14645" s="111" t="str">
        <f t="shared" si="14643"/>
        <v>Memphis</v>
      </c>
    </row>
    <row r="14646" spans="1:5">
      <c r="A14646" s="3" t="s">
        <v>26002</v>
      </c>
      <c r="B14646" s="110" t="s">
        <v>1372</v>
      </c>
      <c r="C14646" s="111" t="s">
        <v>257</v>
      </c>
      <c r="D14646" s="111" t="str">
        <f t="shared" ref="D14646:E14646" si="14644">TRIM(B14646)</f>
        <v>Tennessee</v>
      </c>
      <c r="E14646" s="111" t="str">
        <f t="shared" si="14644"/>
        <v>Memphis</v>
      </c>
    </row>
    <row r="14647" spans="1:5">
      <c r="A14647" s="3" t="s">
        <v>10346</v>
      </c>
      <c r="B14647" s="110" t="s">
        <v>1372</v>
      </c>
      <c r="C14647" s="112" t="s">
        <v>257</v>
      </c>
      <c r="D14647" s="111" t="str">
        <f t="shared" ref="D14647:E14647" si="14645">TRIM(B14647)</f>
        <v>Tennessee</v>
      </c>
      <c r="E14647" s="111" t="str">
        <f t="shared" si="14645"/>
        <v>Memphis</v>
      </c>
    </row>
    <row r="14648" spans="1:5">
      <c r="A14648" s="3" t="s">
        <v>2294</v>
      </c>
      <c r="B14648" s="110" t="s">
        <v>1372</v>
      </c>
      <c r="C14648" s="111" t="s">
        <v>257</v>
      </c>
      <c r="D14648" s="111" t="str">
        <f t="shared" ref="D14648:E14648" si="14646">TRIM(B14648)</f>
        <v>Tennessee</v>
      </c>
      <c r="E14648" s="111" t="str">
        <f t="shared" si="14646"/>
        <v>Memphis</v>
      </c>
    </row>
    <row r="14649" spans="1:5">
      <c r="A14649" s="3" t="s">
        <v>26003</v>
      </c>
      <c r="B14649" s="110" t="s">
        <v>1372</v>
      </c>
      <c r="C14649" s="111" t="s">
        <v>257</v>
      </c>
      <c r="D14649" s="111" t="str">
        <f t="shared" ref="D14649:E14649" si="14647">TRIM(B14649)</f>
        <v>Tennessee</v>
      </c>
      <c r="E14649" s="111" t="str">
        <f t="shared" si="14647"/>
        <v>Memphis</v>
      </c>
    </row>
    <row r="14650" spans="1:5">
      <c r="A14650" s="3" t="s">
        <v>26004</v>
      </c>
      <c r="B14650" s="110" t="s">
        <v>1372</v>
      </c>
      <c r="C14650" s="111" t="s">
        <v>257</v>
      </c>
      <c r="D14650" s="111" t="str">
        <f t="shared" ref="D14650:E14650" si="14648">TRIM(B14650)</f>
        <v>Tennessee</v>
      </c>
      <c r="E14650" s="111" t="str">
        <f t="shared" si="14648"/>
        <v>Memphis</v>
      </c>
    </row>
    <row r="14651" spans="1:5">
      <c r="A14651" s="3" t="s">
        <v>1827</v>
      </c>
      <c r="B14651" s="110" t="s">
        <v>1372</v>
      </c>
      <c r="C14651" s="111" t="s">
        <v>257</v>
      </c>
      <c r="D14651" s="111" t="str">
        <f t="shared" ref="D14651:E14651" si="14649">TRIM(B14651)</f>
        <v>Tennessee</v>
      </c>
      <c r="E14651" s="111" t="str">
        <f t="shared" si="14649"/>
        <v>Memphis</v>
      </c>
    </row>
    <row r="14652" spans="1:5">
      <c r="A14652" s="3" t="s">
        <v>1736</v>
      </c>
      <c r="B14652" s="110" t="s">
        <v>1372</v>
      </c>
      <c r="C14652" s="111" t="s">
        <v>257</v>
      </c>
      <c r="D14652" s="111" t="str">
        <f t="shared" ref="D14652:E14652" si="14650">TRIM(B14652)</f>
        <v>Tennessee</v>
      </c>
      <c r="E14652" s="111" t="str">
        <f t="shared" si="14650"/>
        <v>Memphis</v>
      </c>
    </row>
    <row r="14653" spans="1:5">
      <c r="A14653" s="110" t="s">
        <v>26005</v>
      </c>
      <c r="B14653" s="110" t="s">
        <v>1372</v>
      </c>
      <c r="C14653" s="111" t="s">
        <v>257</v>
      </c>
      <c r="D14653" s="111" t="str">
        <f t="shared" ref="D14653:E14653" si="14651">TRIM(B14653)</f>
        <v>Tennessee</v>
      </c>
      <c r="E14653" s="111" t="str">
        <f t="shared" si="14651"/>
        <v>Memphis</v>
      </c>
    </row>
    <row r="14654" spans="1:5">
      <c r="A14654" s="3" t="s">
        <v>26006</v>
      </c>
      <c r="B14654" s="110" t="s">
        <v>1372</v>
      </c>
      <c r="C14654" s="111" t="s">
        <v>257</v>
      </c>
      <c r="D14654" s="111" t="str">
        <f t="shared" ref="D14654:E14654" si="14652">TRIM(B14654)</f>
        <v>Tennessee</v>
      </c>
      <c r="E14654" s="111" t="str">
        <f t="shared" si="14652"/>
        <v>Memphis</v>
      </c>
    </row>
    <row r="14655" spans="1:5">
      <c r="A14655" s="3" t="s">
        <v>26007</v>
      </c>
      <c r="B14655" s="110" t="s">
        <v>1372</v>
      </c>
      <c r="C14655" s="111" t="s">
        <v>257</v>
      </c>
      <c r="D14655" s="111" t="str">
        <f t="shared" ref="D14655:E14655" si="14653">TRIM(B14655)</f>
        <v>Tennessee</v>
      </c>
      <c r="E14655" s="111" t="str">
        <f t="shared" si="14653"/>
        <v>Memphis</v>
      </c>
    </row>
    <row r="14656" spans="1:5">
      <c r="A14656" s="3" t="s">
        <v>3919</v>
      </c>
      <c r="B14656" s="110" t="s">
        <v>1372</v>
      </c>
      <c r="C14656" s="111" t="s">
        <v>257</v>
      </c>
      <c r="D14656" s="111" t="str">
        <f t="shared" ref="D14656:E14656" si="14654">TRIM(B14656)</f>
        <v>Tennessee</v>
      </c>
      <c r="E14656" s="111" t="str">
        <f t="shared" si="14654"/>
        <v>Memphis</v>
      </c>
    </row>
    <row r="14657" spans="1:5">
      <c r="A14657" s="3" t="s">
        <v>26008</v>
      </c>
      <c r="B14657" s="110" t="s">
        <v>1372</v>
      </c>
      <c r="C14657" s="111" t="s">
        <v>257</v>
      </c>
      <c r="D14657" s="111" t="str">
        <f t="shared" ref="D14657:E14657" si="14655">TRIM(B14657)</f>
        <v>Tennessee</v>
      </c>
      <c r="E14657" s="111" t="str">
        <f t="shared" si="14655"/>
        <v>Memphis</v>
      </c>
    </row>
    <row r="14658" spans="1:5">
      <c r="A14658" s="3" t="s">
        <v>26009</v>
      </c>
      <c r="B14658" s="110" t="s">
        <v>1372</v>
      </c>
      <c r="C14658" s="111" t="s">
        <v>257</v>
      </c>
      <c r="D14658" s="111" t="str">
        <f t="shared" ref="D14658:E14658" si="14656">TRIM(B14658)</f>
        <v>Tennessee</v>
      </c>
      <c r="E14658" s="111" t="str">
        <f t="shared" si="14656"/>
        <v>Memphis</v>
      </c>
    </row>
    <row r="14659" spans="1:5">
      <c r="A14659" s="3" t="s">
        <v>16738</v>
      </c>
      <c r="B14659" s="110" t="s">
        <v>1372</v>
      </c>
      <c r="C14659" s="111" t="s">
        <v>257</v>
      </c>
      <c r="D14659" s="111" t="str">
        <f t="shared" ref="D14659:E14659" si="14657">TRIM(B14659)</f>
        <v>Tennessee</v>
      </c>
      <c r="E14659" s="111" t="str">
        <f t="shared" si="14657"/>
        <v>Memphis</v>
      </c>
    </row>
    <row r="14660" spans="1:5">
      <c r="A14660" s="3" t="s">
        <v>26010</v>
      </c>
      <c r="B14660" s="110" t="s">
        <v>1372</v>
      </c>
      <c r="C14660" s="111" t="s">
        <v>257</v>
      </c>
      <c r="D14660" s="111" t="str">
        <f t="shared" ref="D14660:E14660" si="14658">TRIM(B14660)</f>
        <v>Tennessee</v>
      </c>
      <c r="E14660" s="111" t="str">
        <f t="shared" si="14658"/>
        <v>Memphis</v>
      </c>
    </row>
    <row r="14661" spans="1:5">
      <c r="A14661" s="3" t="s">
        <v>26011</v>
      </c>
      <c r="B14661" s="110" t="s">
        <v>1372</v>
      </c>
      <c r="C14661" s="111" t="s">
        <v>257</v>
      </c>
      <c r="D14661" s="111" t="str">
        <f t="shared" ref="D14661:E14661" si="14659">TRIM(B14661)</f>
        <v>Tennessee</v>
      </c>
      <c r="E14661" s="111" t="str">
        <f t="shared" si="14659"/>
        <v>Memphis</v>
      </c>
    </row>
    <row r="14662" spans="1:5">
      <c r="A14662" s="3" t="s">
        <v>26012</v>
      </c>
      <c r="B14662" s="110" t="s">
        <v>1372</v>
      </c>
      <c r="C14662" s="111" t="s">
        <v>257</v>
      </c>
      <c r="D14662" s="111" t="str">
        <f t="shared" ref="D14662:E14662" si="14660">TRIM(B14662)</f>
        <v>Tennessee</v>
      </c>
      <c r="E14662" s="111" t="str">
        <f t="shared" si="14660"/>
        <v>Memphis</v>
      </c>
    </row>
    <row r="14663" spans="1:5">
      <c r="A14663" s="110" t="s">
        <v>26013</v>
      </c>
      <c r="B14663" s="110" t="s">
        <v>1372</v>
      </c>
      <c r="C14663" s="111" t="s">
        <v>257</v>
      </c>
      <c r="D14663" s="111" t="str">
        <f t="shared" ref="D14663:E14663" si="14661">TRIM(B14663)</f>
        <v>Tennessee</v>
      </c>
      <c r="E14663" s="111" t="str">
        <f t="shared" si="14661"/>
        <v>Memphis</v>
      </c>
    </row>
    <row r="14664" spans="1:5">
      <c r="A14664" s="3" t="s">
        <v>5761</v>
      </c>
      <c r="B14664" s="110" t="s">
        <v>1372</v>
      </c>
      <c r="C14664" s="111" t="s">
        <v>257</v>
      </c>
      <c r="D14664" s="111" t="str">
        <f t="shared" ref="D14664:E14664" si="14662">TRIM(B14664)</f>
        <v>Tennessee</v>
      </c>
      <c r="E14664" s="111" t="str">
        <f t="shared" si="14662"/>
        <v>Memphis</v>
      </c>
    </row>
    <row r="14665" spans="1:5">
      <c r="A14665" s="3" t="s">
        <v>7729</v>
      </c>
      <c r="B14665" s="110" t="s">
        <v>1372</v>
      </c>
      <c r="C14665" s="112" t="s">
        <v>257</v>
      </c>
      <c r="D14665" s="111" t="str">
        <f t="shared" ref="D14665:E14665" si="14663">TRIM(B14665)</f>
        <v>Tennessee</v>
      </c>
      <c r="E14665" s="111" t="str">
        <f t="shared" si="14663"/>
        <v>Memphis</v>
      </c>
    </row>
    <row r="14666" spans="1:5">
      <c r="A14666" s="3" t="s">
        <v>26014</v>
      </c>
      <c r="B14666" s="110" t="s">
        <v>1372</v>
      </c>
      <c r="C14666" s="111" t="s">
        <v>257</v>
      </c>
      <c r="D14666" s="111" t="str">
        <f t="shared" ref="D14666:E14666" si="14664">TRIM(B14666)</f>
        <v>Tennessee</v>
      </c>
      <c r="E14666" s="111" t="str">
        <f t="shared" si="14664"/>
        <v>Memphis</v>
      </c>
    </row>
    <row r="14667" spans="1:5">
      <c r="A14667" s="3" t="s">
        <v>26015</v>
      </c>
      <c r="B14667" s="110" t="s">
        <v>1372</v>
      </c>
      <c r="C14667" s="111" t="s">
        <v>257</v>
      </c>
      <c r="D14667" s="111" t="str">
        <f t="shared" ref="D14667:E14667" si="14665">TRIM(B14667)</f>
        <v>Tennessee</v>
      </c>
      <c r="E14667" s="111" t="str">
        <f t="shared" si="14665"/>
        <v>Memphis</v>
      </c>
    </row>
    <row r="14668" spans="1:5">
      <c r="A14668" s="3" t="s">
        <v>19691</v>
      </c>
      <c r="B14668" s="110" t="s">
        <v>1372</v>
      </c>
      <c r="C14668" s="111" t="s">
        <v>257</v>
      </c>
      <c r="D14668" s="111" t="str">
        <f t="shared" ref="D14668:E14668" si="14666">TRIM(B14668)</f>
        <v>Tennessee</v>
      </c>
      <c r="E14668" s="111" t="str">
        <f t="shared" si="14666"/>
        <v>Memphis</v>
      </c>
    </row>
    <row r="14669" spans="1:5">
      <c r="A14669" s="110" t="s">
        <v>26016</v>
      </c>
      <c r="B14669" s="110" t="s">
        <v>1372</v>
      </c>
      <c r="C14669" s="111" t="s">
        <v>257</v>
      </c>
      <c r="D14669" s="111" t="str">
        <f t="shared" ref="D14669:E14669" si="14667">TRIM(B14669)</f>
        <v>Tennessee</v>
      </c>
      <c r="E14669" s="111" t="str">
        <f t="shared" si="14667"/>
        <v>Memphis</v>
      </c>
    </row>
    <row r="14670" spans="1:5">
      <c r="A14670" s="110" t="s">
        <v>26017</v>
      </c>
      <c r="B14670" s="110" t="s">
        <v>1372</v>
      </c>
      <c r="C14670" s="111" t="s">
        <v>257</v>
      </c>
      <c r="D14670" s="111" t="str">
        <f t="shared" ref="D14670:E14670" si="14668">TRIM(B14670)</f>
        <v>Tennessee</v>
      </c>
      <c r="E14670" s="111" t="str">
        <f t="shared" si="14668"/>
        <v>Memphis</v>
      </c>
    </row>
    <row r="14671" spans="1:5">
      <c r="A14671" s="3" t="s">
        <v>26018</v>
      </c>
      <c r="B14671" s="110" t="s">
        <v>1372</v>
      </c>
      <c r="C14671" s="111" t="s">
        <v>257</v>
      </c>
      <c r="D14671" s="111" t="str">
        <f t="shared" ref="D14671:E14671" si="14669">TRIM(B14671)</f>
        <v>Tennessee</v>
      </c>
      <c r="E14671" s="111" t="str">
        <f t="shared" si="14669"/>
        <v>Memphis</v>
      </c>
    </row>
    <row r="14672" spans="1:5">
      <c r="A14672" s="3" t="s">
        <v>26019</v>
      </c>
      <c r="B14672" s="110" t="s">
        <v>1372</v>
      </c>
      <c r="C14672" s="111" t="s">
        <v>257</v>
      </c>
      <c r="D14672" s="111" t="str">
        <f t="shared" ref="D14672:E14672" si="14670">TRIM(B14672)</f>
        <v>Tennessee</v>
      </c>
      <c r="E14672" s="111" t="str">
        <f t="shared" si="14670"/>
        <v>Memphis</v>
      </c>
    </row>
    <row r="14673" spans="1:5">
      <c r="A14673" s="3" t="s">
        <v>19062</v>
      </c>
      <c r="B14673" s="110" t="s">
        <v>1372</v>
      </c>
      <c r="C14673" s="111" t="s">
        <v>257</v>
      </c>
      <c r="D14673" s="111" t="str">
        <f t="shared" ref="D14673:E14673" si="14671">TRIM(B14673)</f>
        <v>Tennessee</v>
      </c>
      <c r="E14673" s="111" t="str">
        <f t="shared" si="14671"/>
        <v>Memphis</v>
      </c>
    </row>
    <row r="14674" spans="1:5">
      <c r="A14674" s="3" t="s">
        <v>2164</v>
      </c>
      <c r="B14674" s="110" t="s">
        <v>1372</v>
      </c>
      <c r="C14674" s="111" t="s">
        <v>257</v>
      </c>
      <c r="D14674" s="111" t="str">
        <f t="shared" ref="D14674:E14674" si="14672">TRIM(B14674)</f>
        <v>Tennessee</v>
      </c>
      <c r="E14674" s="111" t="str">
        <f t="shared" si="14672"/>
        <v>Memphis</v>
      </c>
    </row>
    <row r="14675" spans="1:5">
      <c r="A14675" s="110" t="s">
        <v>26020</v>
      </c>
      <c r="B14675" s="110" t="s">
        <v>1372</v>
      </c>
      <c r="C14675" s="111" t="s">
        <v>257</v>
      </c>
      <c r="D14675" s="111" t="str">
        <f t="shared" ref="D14675:E14675" si="14673">TRIM(B14675)</f>
        <v>Tennessee</v>
      </c>
      <c r="E14675" s="111" t="str">
        <f t="shared" si="14673"/>
        <v>Memphis</v>
      </c>
    </row>
    <row r="14676" spans="1:5">
      <c r="A14676" s="3" t="s">
        <v>26021</v>
      </c>
      <c r="B14676" s="110" t="s">
        <v>1372</v>
      </c>
      <c r="C14676" s="111" t="s">
        <v>257</v>
      </c>
      <c r="D14676" s="111" t="str">
        <f t="shared" ref="D14676:E14676" si="14674">TRIM(B14676)</f>
        <v>Tennessee</v>
      </c>
      <c r="E14676" s="111" t="str">
        <f t="shared" si="14674"/>
        <v>Memphis</v>
      </c>
    </row>
    <row r="14677" spans="1:5">
      <c r="A14677" s="110" t="s">
        <v>26022</v>
      </c>
      <c r="B14677" s="110" t="s">
        <v>1372</v>
      </c>
      <c r="C14677" s="112" t="s">
        <v>257</v>
      </c>
      <c r="D14677" s="111" t="str">
        <f t="shared" ref="D14677:E14677" si="14675">TRIM(B14677)</f>
        <v>Tennessee</v>
      </c>
      <c r="E14677" s="111" t="str">
        <f t="shared" si="14675"/>
        <v>Memphis</v>
      </c>
    </row>
    <row r="14678" spans="1:5">
      <c r="A14678" s="3" t="s">
        <v>26023</v>
      </c>
      <c r="B14678" s="110" t="s">
        <v>1372</v>
      </c>
      <c r="C14678" s="111" t="s">
        <v>257</v>
      </c>
      <c r="D14678" s="111" t="str">
        <f t="shared" ref="D14678:E14678" si="14676">TRIM(B14678)</f>
        <v>Tennessee</v>
      </c>
      <c r="E14678" s="111" t="str">
        <f t="shared" si="14676"/>
        <v>Memphis</v>
      </c>
    </row>
    <row r="14679" spans="1:5">
      <c r="A14679" s="3" t="s">
        <v>2860</v>
      </c>
      <c r="B14679" s="110" t="s">
        <v>1372</v>
      </c>
      <c r="C14679" s="111" t="s">
        <v>257</v>
      </c>
      <c r="D14679" s="111" t="str">
        <f t="shared" ref="D14679:E14679" si="14677">TRIM(B14679)</f>
        <v>Tennessee</v>
      </c>
      <c r="E14679" s="111" t="str">
        <f t="shared" si="14677"/>
        <v>Memphis</v>
      </c>
    </row>
    <row r="14680" spans="1:5">
      <c r="A14680" s="3" t="s">
        <v>26024</v>
      </c>
      <c r="B14680" s="110" t="s">
        <v>1372</v>
      </c>
      <c r="C14680" s="111" t="s">
        <v>257</v>
      </c>
      <c r="D14680" s="111" t="str">
        <f t="shared" ref="D14680:E14680" si="14678">TRIM(B14680)</f>
        <v>Tennessee</v>
      </c>
      <c r="E14680" s="111" t="str">
        <f t="shared" si="14678"/>
        <v>Memphis</v>
      </c>
    </row>
    <row r="14681" spans="1:5">
      <c r="A14681" s="3" t="s">
        <v>26025</v>
      </c>
      <c r="B14681" s="110" t="s">
        <v>1372</v>
      </c>
      <c r="C14681" s="111" t="s">
        <v>257</v>
      </c>
      <c r="D14681" s="111" t="str">
        <f t="shared" ref="D14681:E14681" si="14679">TRIM(B14681)</f>
        <v>Tennessee</v>
      </c>
      <c r="E14681" s="111" t="str">
        <f t="shared" si="14679"/>
        <v>Memphis</v>
      </c>
    </row>
    <row r="14682" spans="1:5">
      <c r="A14682" s="3" t="s">
        <v>26026</v>
      </c>
      <c r="B14682" s="110" t="s">
        <v>1372</v>
      </c>
      <c r="C14682" s="112" t="s">
        <v>257</v>
      </c>
      <c r="D14682" s="111" t="str">
        <f t="shared" ref="D14682:E14682" si="14680">TRIM(B14682)</f>
        <v>Tennessee</v>
      </c>
      <c r="E14682" s="111" t="str">
        <f t="shared" si="14680"/>
        <v>Memphis</v>
      </c>
    </row>
    <row r="14683" spans="1:5">
      <c r="A14683" s="3" t="s">
        <v>10160</v>
      </c>
      <c r="B14683" s="110" t="s">
        <v>1372</v>
      </c>
      <c r="C14683" s="111" t="s">
        <v>11814</v>
      </c>
      <c r="D14683" s="111" t="str">
        <f t="shared" ref="D14683:E14683" si="14681">TRIM(B14683)</f>
        <v>Tennessee</v>
      </c>
      <c r="E14683" s="111" t="str">
        <f t="shared" si="14681"/>
        <v>Middleton</v>
      </c>
    </row>
    <row r="14684" spans="1:5">
      <c r="A14684" s="3" t="s">
        <v>14492</v>
      </c>
      <c r="B14684" s="110" t="s">
        <v>1372</v>
      </c>
      <c r="C14684" s="111" t="s">
        <v>14493</v>
      </c>
      <c r="D14684" s="111" t="str">
        <f t="shared" ref="D14684:E14684" si="14682">TRIM(B14684)</f>
        <v>Tennessee</v>
      </c>
      <c r="E14684" s="111" t="str">
        <f t="shared" si="14682"/>
        <v>Milan</v>
      </c>
    </row>
    <row r="14685" spans="1:5">
      <c r="A14685" s="3" t="s">
        <v>26027</v>
      </c>
      <c r="B14685" s="110" t="s">
        <v>1372</v>
      </c>
      <c r="C14685" s="111" t="s">
        <v>13588</v>
      </c>
      <c r="D14685" s="111" t="str">
        <f t="shared" ref="D14685:E14685" si="14683">TRIM(B14685)</f>
        <v>Tennessee</v>
      </c>
      <c r="E14685" s="111" t="str">
        <f t="shared" si="14683"/>
        <v>Millington</v>
      </c>
    </row>
    <row r="14686" spans="1:5">
      <c r="A14686" s="3" t="s">
        <v>5994</v>
      </c>
      <c r="B14686" s="110" t="s">
        <v>1372</v>
      </c>
      <c r="C14686" s="111" t="s">
        <v>5995</v>
      </c>
      <c r="D14686" s="111" t="str">
        <f t="shared" ref="D14686:E14686" si="14684">TRIM(B14686)</f>
        <v>Tennessee</v>
      </c>
      <c r="E14686" s="111" t="str">
        <f t="shared" si="14684"/>
        <v>Monterey</v>
      </c>
    </row>
    <row r="14687" spans="1:5">
      <c r="A14687" s="3" t="s">
        <v>26028</v>
      </c>
      <c r="B14687" s="110" t="s">
        <v>1372</v>
      </c>
      <c r="C14687" s="111" t="s">
        <v>12004</v>
      </c>
      <c r="D14687" s="111" t="str">
        <f t="shared" ref="D14687:E14687" si="14685">TRIM(B14687)</f>
        <v>Tennessee</v>
      </c>
      <c r="E14687" s="111" t="str">
        <f t="shared" si="14685"/>
        <v>Morristown</v>
      </c>
    </row>
    <row r="14688" spans="1:5">
      <c r="A14688" s="3" t="s">
        <v>26029</v>
      </c>
      <c r="B14688" s="110" t="s">
        <v>1372</v>
      </c>
      <c r="C14688" s="111" t="s">
        <v>12004</v>
      </c>
      <c r="D14688" s="111" t="str">
        <f t="shared" ref="D14688:E14688" si="14686">TRIM(B14688)</f>
        <v>Tennessee</v>
      </c>
      <c r="E14688" s="111" t="str">
        <f t="shared" si="14686"/>
        <v>Morristown</v>
      </c>
    </row>
    <row r="14689" spans="1:5">
      <c r="A14689" s="3" t="s">
        <v>26030</v>
      </c>
      <c r="B14689" s="110" t="s">
        <v>1372</v>
      </c>
      <c r="C14689" s="111" t="s">
        <v>26031</v>
      </c>
      <c r="D14689" s="111" t="str">
        <f t="shared" ref="D14689:E14689" si="14687">TRIM(B14689)</f>
        <v>Tennessee</v>
      </c>
      <c r="E14689" s="111" t="str">
        <f t="shared" si="14687"/>
        <v>Mosheim</v>
      </c>
    </row>
    <row r="14690" spans="1:5">
      <c r="A14690" s="3" t="s">
        <v>26032</v>
      </c>
      <c r="B14690" s="110" t="s">
        <v>1372</v>
      </c>
      <c r="C14690" s="111" t="s">
        <v>13538</v>
      </c>
      <c r="D14690" s="111" t="str">
        <f t="shared" ref="D14690:E14690" si="14688">TRIM(B14690)</f>
        <v>Tennessee</v>
      </c>
      <c r="E14690" s="111" t="str">
        <f t="shared" si="14688"/>
        <v>Mountain City</v>
      </c>
    </row>
    <row r="14691" spans="1:5">
      <c r="A14691" s="3" t="s">
        <v>26033</v>
      </c>
      <c r="B14691" s="110" t="s">
        <v>1372</v>
      </c>
      <c r="C14691" s="111" t="s">
        <v>26034</v>
      </c>
      <c r="D14691" s="111" t="str">
        <f t="shared" ref="D14691:E14691" si="14689">TRIM(B14691)</f>
        <v>Tennessee</v>
      </c>
      <c r="E14691" s="111" t="str">
        <f t="shared" si="14689"/>
        <v>Mt Juliet</v>
      </c>
    </row>
    <row r="14692" spans="1:5">
      <c r="A14692" s="3" t="s">
        <v>22715</v>
      </c>
      <c r="B14692" s="110" t="s">
        <v>1372</v>
      </c>
      <c r="C14692" s="111" t="s">
        <v>775</v>
      </c>
      <c r="D14692" s="111" t="str">
        <f t="shared" ref="D14692:E14692" si="14690">TRIM(B14692)</f>
        <v>Tennessee</v>
      </c>
      <c r="E14692" s="111" t="str">
        <f t="shared" si="14690"/>
        <v>Mt Pleasant</v>
      </c>
    </row>
    <row r="14693" spans="1:5">
      <c r="A14693" s="3" t="s">
        <v>2008</v>
      </c>
      <c r="B14693" s="110" t="s">
        <v>1372</v>
      </c>
      <c r="C14693" s="111" t="s">
        <v>2009</v>
      </c>
      <c r="D14693" s="111" t="str">
        <f t="shared" ref="D14693:E14693" si="14691">TRIM(B14693)</f>
        <v>Tennessee</v>
      </c>
      <c r="E14693" s="111" t="str">
        <f t="shared" si="14691"/>
        <v>Munford</v>
      </c>
    </row>
    <row r="14694" spans="1:5">
      <c r="A14694" s="3" t="s">
        <v>26035</v>
      </c>
      <c r="B14694" s="110" t="s">
        <v>1372</v>
      </c>
      <c r="C14694" s="111" t="s">
        <v>278</v>
      </c>
      <c r="D14694" s="111" t="str">
        <f t="shared" ref="D14694:E14694" si="14692">TRIM(B14694)</f>
        <v>Tennessee</v>
      </c>
      <c r="E14694" s="111" t="str">
        <f t="shared" si="14692"/>
        <v>Murfreesboro</v>
      </c>
    </row>
    <row r="14695" spans="1:5">
      <c r="A14695" s="110" t="s">
        <v>26036</v>
      </c>
      <c r="B14695" s="110" t="s">
        <v>1372</v>
      </c>
      <c r="C14695" s="111" t="s">
        <v>278</v>
      </c>
      <c r="D14695" s="111" t="str">
        <f t="shared" ref="D14695:E14695" si="14693">TRIM(B14695)</f>
        <v>Tennessee</v>
      </c>
      <c r="E14695" s="111" t="str">
        <f t="shared" si="14693"/>
        <v>Murfreesboro</v>
      </c>
    </row>
    <row r="14696" spans="1:5">
      <c r="A14696" s="3" t="s">
        <v>26037</v>
      </c>
      <c r="B14696" s="110" t="s">
        <v>1372</v>
      </c>
      <c r="C14696" s="111" t="s">
        <v>278</v>
      </c>
      <c r="D14696" s="111" t="str">
        <f t="shared" ref="D14696:E14696" si="14694">TRIM(B14696)</f>
        <v>Tennessee</v>
      </c>
      <c r="E14696" s="111" t="str">
        <f t="shared" si="14694"/>
        <v>Murfreesboro</v>
      </c>
    </row>
    <row r="14697" spans="1:5">
      <c r="A14697" s="3" t="s">
        <v>6188</v>
      </c>
      <c r="B14697" s="110" t="s">
        <v>1372</v>
      </c>
      <c r="C14697" s="111" t="s">
        <v>278</v>
      </c>
      <c r="D14697" s="111" t="str">
        <f t="shared" ref="D14697:E14697" si="14695">TRIM(B14697)</f>
        <v>Tennessee</v>
      </c>
      <c r="E14697" s="111" t="str">
        <f t="shared" si="14695"/>
        <v>Murfreesboro</v>
      </c>
    </row>
    <row r="14698" spans="1:5">
      <c r="A14698" s="3" t="s">
        <v>6551</v>
      </c>
      <c r="B14698" s="110" t="s">
        <v>1372</v>
      </c>
      <c r="C14698" s="111" t="s">
        <v>278</v>
      </c>
      <c r="D14698" s="111" t="str">
        <f t="shared" ref="D14698:E14698" si="14696">TRIM(B14698)</f>
        <v>Tennessee</v>
      </c>
      <c r="E14698" s="111" t="str">
        <f t="shared" si="14696"/>
        <v>Murfreesboro</v>
      </c>
    </row>
    <row r="14699" spans="1:5">
      <c r="A14699" s="3" t="s">
        <v>26038</v>
      </c>
      <c r="B14699" s="110" t="s">
        <v>1372</v>
      </c>
      <c r="C14699" s="111" t="s">
        <v>278</v>
      </c>
      <c r="D14699" s="111" t="str">
        <f t="shared" ref="D14699:E14699" si="14697">TRIM(B14699)</f>
        <v>Tennessee</v>
      </c>
      <c r="E14699" s="111" t="str">
        <f t="shared" si="14697"/>
        <v>Murfreesboro</v>
      </c>
    </row>
    <row r="14700" spans="1:5">
      <c r="A14700" s="3" t="s">
        <v>26039</v>
      </c>
      <c r="B14700" s="110" t="s">
        <v>1372</v>
      </c>
      <c r="C14700" s="111" t="s">
        <v>350</v>
      </c>
      <c r="D14700" s="111" t="str">
        <f t="shared" ref="D14700:E14700" si="14698">TRIM(B14700)</f>
        <v>Tennessee</v>
      </c>
      <c r="E14700" s="111" t="str">
        <f t="shared" si="14698"/>
        <v>Nashville</v>
      </c>
    </row>
    <row r="14701" spans="1:5">
      <c r="A14701" s="3" t="s">
        <v>26040</v>
      </c>
      <c r="B14701" s="110" t="s">
        <v>1372</v>
      </c>
      <c r="C14701" s="111" t="s">
        <v>350</v>
      </c>
      <c r="D14701" s="111" t="str">
        <f t="shared" ref="D14701:E14701" si="14699">TRIM(B14701)</f>
        <v>Tennessee</v>
      </c>
      <c r="E14701" s="111" t="str">
        <f t="shared" si="14699"/>
        <v>Nashville</v>
      </c>
    </row>
    <row r="14702" spans="1:5">
      <c r="A14702" s="3" t="s">
        <v>13068</v>
      </c>
      <c r="B14702" s="110" t="s">
        <v>1372</v>
      </c>
      <c r="C14702" s="111" t="s">
        <v>350</v>
      </c>
      <c r="D14702" s="111" t="str">
        <f t="shared" ref="D14702:E14702" si="14700">TRIM(B14702)</f>
        <v>Tennessee</v>
      </c>
      <c r="E14702" s="111" t="str">
        <f t="shared" si="14700"/>
        <v>Nashville</v>
      </c>
    </row>
    <row r="14703" spans="1:5">
      <c r="A14703" s="3" t="s">
        <v>26041</v>
      </c>
      <c r="B14703" s="110" t="s">
        <v>1372</v>
      </c>
      <c r="C14703" s="111" t="s">
        <v>350</v>
      </c>
      <c r="D14703" s="111" t="str">
        <f t="shared" ref="D14703:E14703" si="14701">TRIM(B14703)</f>
        <v>Tennessee</v>
      </c>
      <c r="E14703" s="111" t="str">
        <f t="shared" si="14701"/>
        <v>Nashville</v>
      </c>
    </row>
    <row r="14704" spans="1:5">
      <c r="A14704" s="3" t="s">
        <v>26042</v>
      </c>
      <c r="B14704" s="110" t="s">
        <v>1372</v>
      </c>
      <c r="C14704" s="111" t="s">
        <v>350</v>
      </c>
      <c r="D14704" s="111" t="str">
        <f t="shared" ref="D14704:E14704" si="14702">TRIM(B14704)</f>
        <v>Tennessee</v>
      </c>
      <c r="E14704" s="111" t="str">
        <f t="shared" si="14702"/>
        <v>Nashville</v>
      </c>
    </row>
    <row r="14705" spans="1:5">
      <c r="A14705" s="3" t="s">
        <v>26043</v>
      </c>
      <c r="B14705" s="110" t="s">
        <v>1372</v>
      </c>
      <c r="C14705" s="111" t="s">
        <v>350</v>
      </c>
      <c r="D14705" s="111" t="str">
        <f t="shared" ref="D14705:E14705" si="14703">TRIM(B14705)</f>
        <v>Tennessee</v>
      </c>
      <c r="E14705" s="111" t="str">
        <f t="shared" si="14703"/>
        <v>Nashville</v>
      </c>
    </row>
    <row r="14706" spans="1:5">
      <c r="A14706" s="3" t="s">
        <v>26044</v>
      </c>
      <c r="B14706" s="110" t="s">
        <v>1372</v>
      </c>
      <c r="C14706" s="112" t="s">
        <v>350</v>
      </c>
      <c r="D14706" s="111" t="str">
        <f t="shared" ref="D14706:E14706" si="14704">TRIM(B14706)</f>
        <v>Tennessee</v>
      </c>
      <c r="E14706" s="111" t="str">
        <f t="shared" si="14704"/>
        <v>Nashville</v>
      </c>
    </row>
    <row r="14707" spans="1:5">
      <c r="A14707" s="110" t="s">
        <v>26045</v>
      </c>
      <c r="B14707" s="110" t="s">
        <v>1372</v>
      </c>
      <c r="C14707" s="111" t="s">
        <v>350</v>
      </c>
      <c r="D14707" s="111" t="str">
        <f t="shared" ref="D14707:E14707" si="14705">TRIM(B14707)</f>
        <v>Tennessee</v>
      </c>
      <c r="E14707" s="111" t="str">
        <f t="shared" si="14705"/>
        <v>Nashville</v>
      </c>
    </row>
    <row r="14708" spans="1:5">
      <c r="A14708" s="3" t="s">
        <v>26046</v>
      </c>
      <c r="B14708" s="110" t="s">
        <v>1372</v>
      </c>
      <c r="C14708" s="111" t="s">
        <v>350</v>
      </c>
      <c r="D14708" s="111" t="str">
        <f t="shared" ref="D14708:E14708" si="14706">TRIM(B14708)</f>
        <v>Tennessee</v>
      </c>
      <c r="E14708" s="111" t="str">
        <f t="shared" si="14706"/>
        <v>Nashville</v>
      </c>
    </row>
    <row r="14709" spans="1:5">
      <c r="A14709" s="3" t="s">
        <v>26047</v>
      </c>
      <c r="B14709" s="110" t="s">
        <v>1372</v>
      </c>
      <c r="C14709" s="111" t="s">
        <v>350</v>
      </c>
      <c r="D14709" s="111" t="str">
        <f t="shared" ref="D14709:E14709" si="14707">TRIM(B14709)</f>
        <v>Tennessee</v>
      </c>
      <c r="E14709" s="111" t="str">
        <f t="shared" si="14707"/>
        <v>Nashville</v>
      </c>
    </row>
    <row r="14710" spans="1:5">
      <c r="A14710" s="3" t="s">
        <v>23013</v>
      </c>
      <c r="B14710" s="110" t="s">
        <v>1372</v>
      </c>
      <c r="C14710" s="111" t="s">
        <v>350</v>
      </c>
      <c r="D14710" s="111" t="str">
        <f t="shared" ref="D14710:E14710" si="14708">TRIM(B14710)</f>
        <v>Tennessee</v>
      </c>
      <c r="E14710" s="111" t="str">
        <f t="shared" si="14708"/>
        <v>Nashville</v>
      </c>
    </row>
    <row r="14711" spans="1:5">
      <c r="A14711" s="110" t="s">
        <v>26048</v>
      </c>
      <c r="B14711" s="110" t="s">
        <v>1372</v>
      </c>
      <c r="C14711" s="111" t="s">
        <v>350</v>
      </c>
      <c r="D14711" s="111" t="str">
        <f t="shared" ref="D14711:E14711" si="14709">TRIM(B14711)</f>
        <v>Tennessee</v>
      </c>
      <c r="E14711" s="111" t="str">
        <f t="shared" si="14709"/>
        <v>Nashville</v>
      </c>
    </row>
    <row r="14712" spans="1:5">
      <c r="A14712" s="3" t="s">
        <v>26049</v>
      </c>
      <c r="B14712" s="110" t="s">
        <v>1372</v>
      </c>
      <c r="C14712" s="111" t="s">
        <v>350</v>
      </c>
      <c r="D14712" s="111" t="str">
        <f t="shared" ref="D14712:E14712" si="14710">TRIM(B14712)</f>
        <v>Tennessee</v>
      </c>
      <c r="E14712" s="111" t="str">
        <f t="shared" si="14710"/>
        <v>Nashville</v>
      </c>
    </row>
    <row r="14713" spans="1:5">
      <c r="A14713" s="3" t="s">
        <v>5761</v>
      </c>
      <c r="B14713" s="110" t="s">
        <v>1372</v>
      </c>
      <c r="C14713" s="111" t="s">
        <v>350</v>
      </c>
      <c r="D14713" s="111" t="str">
        <f t="shared" ref="D14713:E14713" si="14711">TRIM(B14713)</f>
        <v>Tennessee</v>
      </c>
      <c r="E14713" s="111" t="str">
        <f t="shared" si="14711"/>
        <v>Nashville</v>
      </c>
    </row>
    <row r="14714" spans="1:5">
      <c r="A14714" s="3" t="s">
        <v>26050</v>
      </c>
      <c r="B14714" s="110" t="s">
        <v>1372</v>
      </c>
      <c r="C14714" s="111" t="s">
        <v>350</v>
      </c>
      <c r="D14714" s="111" t="str">
        <f t="shared" ref="D14714:E14714" si="14712">TRIM(B14714)</f>
        <v>Tennessee</v>
      </c>
      <c r="E14714" s="111" t="str">
        <f t="shared" si="14712"/>
        <v>Nashville</v>
      </c>
    </row>
    <row r="14715" spans="1:5">
      <c r="A14715" s="110" t="s">
        <v>26051</v>
      </c>
      <c r="B14715" s="110" t="s">
        <v>1372</v>
      </c>
      <c r="C14715" s="111" t="s">
        <v>350</v>
      </c>
      <c r="D14715" s="111" t="str">
        <f t="shared" ref="D14715:E14715" si="14713">TRIM(B14715)</f>
        <v>Tennessee</v>
      </c>
      <c r="E14715" s="111" t="str">
        <f t="shared" si="14713"/>
        <v>Nashville</v>
      </c>
    </row>
    <row r="14716" spans="1:5">
      <c r="A14716" s="3" t="s">
        <v>26052</v>
      </c>
      <c r="B14716" s="110" t="s">
        <v>1372</v>
      </c>
      <c r="C14716" s="111" t="s">
        <v>350</v>
      </c>
      <c r="D14716" s="111" t="str">
        <f t="shared" ref="D14716:E14716" si="14714">TRIM(B14716)</f>
        <v>Tennessee</v>
      </c>
      <c r="E14716" s="111" t="str">
        <f t="shared" si="14714"/>
        <v>Nashville</v>
      </c>
    </row>
    <row r="14717" spans="1:5">
      <c r="A14717" s="3" t="s">
        <v>19058</v>
      </c>
      <c r="B14717" s="110" t="s">
        <v>1372</v>
      </c>
      <c r="C14717" s="111" t="s">
        <v>350</v>
      </c>
      <c r="D14717" s="111" t="str">
        <f t="shared" ref="D14717:E14717" si="14715">TRIM(B14717)</f>
        <v>Tennessee</v>
      </c>
      <c r="E14717" s="111" t="str">
        <f t="shared" si="14715"/>
        <v>Nashville</v>
      </c>
    </row>
    <row r="14718" spans="1:5">
      <c r="A14718" s="3" t="s">
        <v>26053</v>
      </c>
      <c r="B14718" s="110" t="s">
        <v>1372</v>
      </c>
      <c r="C14718" s="111" t="s">
        <v>350</v>
      </c>
      <c r="D14718" s="111" t="str">
        <f t="shared" ref="D14718:E14718" si="14716">TRIM(B14718)</f>
        <v>Tennessee</v>
      </c>
      <c r="E14718" s="111" t="str">
        <f t="shared" si="14716"/>
        <v>Nashville</v>
      </c>
    </row>
    <row r="14719" spans="1:5">
      <c r="A14719" s="110" t="s">
        <v>26054</v>
      </c>
      <c r="B14719" s="110" t="s">
        <v>1372</v>
      </c>
      <c r="C14719" s="111" t="s">
        <v>350</v>
      </c>
      <c r="D14719" s="111" t="str">
        <f t="shared" ref="D14719:E14719" si="14717">TRIM(B14719)</f>
        <v>Tennessee</v>
      </c>
      <c r="E14719" s="111" t="str">
        <f t="shared" si="14717"/>
        <v>Nashville</v>
      </c>
    </row>
    <row r="14720" spans="1:5">
      <c r="A14720" s="3" t="s">
        <v>26055</v>
      </c>
      <c r="B14720" s="110" t="s">
        <v>1372</v>
      </c>
      <c r="C14720" s="111" t="s">
        <v>350</v>
      </c>
      <c r="D14720" s="111" t="str">
        <f t="shared" ref="D14720:E14720" si="14718">TRIM(B14720)</f>
        <v>Tennessee</v>
      </c>
      <c r="E14720" s="111" t="str">
        <f t="shared" si="14718"/>
        <v>Nashville</v>
      </c>
    </row>
    <row r="14721" spans="1:5">
      <c r="A14721" s="3" t="s">
        <v>26056</v>
      </c>
      <c r="B14721" s="110" t="s">
        <v>1372</v>
      </c>
      <c r="C14721" s="111" t="s">
        <v>350</v>
      </c>
      <c r="D14721" s="111" t="str">
        <f t="shared" ref="D14721:E14721" si="14719">TRIM(B14721)</f>
        <v>Tennessee</v>
      </c>
      <c r="E14721" s="111" t="str">
        <f t="shared" si="14719"/>
        <v>Nashville</v>
      </c>
    </row>
    <row r="14722" spans="1:5">
      <c r="A14722" s="110" t="s">
        <v>26057</v>
      </c>
      <c r="B14722" s="110" t="s">
        <v>1372</v>
      </c>
      <c r="C14722" s="111" t="s">
        <v>350</v>
      </c>
      <c r="D14722" s="111" t="str">
        <f t="shared" ref="D14722:E14722" si="14720">TRIM(B14722)</f>
        <v>Tennessee</v>
      </c>
      <c r="E14722" s="111" t="str">
        <f t="shared" si="14720"/>
        <v>Nashville</v>
      </c>
    </row>
    <row r="14723" spans="1:5">
      <c r="A14723" s="3" t="s">
        <v>26058</v>
      </c>
      <c r="B14723" s="110" t="s">
        <v>1372</v>
      </c>
      <c r="C14723" s="111" t="s">
        <v>26059</v>
      </c>
      <c r="D14723" s="111" t="str">
        <f t="shared" ref="D14723:E14723" si="14721">TRIM(B14723)</f>
        <v>Tennessee</v>
      </c>
      <c r="E14723" s="111" t="str">
        <f t="shared" si="14721"/>
        <v>New Tazewell</v>
      </c>
    </row>
    <row r="14724" spans="1:5">
      <c r="A14724" s="3" t="s">
        <v>26060</v>
      </c>
      <c r="B14724" s="110" t="s">
        <v>1372</v>
      </c>
      <c r="C14724" s="111" t="s">
        <v>26061</v>
      </c>
      <c r="D14724" s="111" t="str">
        <f t="shared" ref="D14724:E14724" si="14722">TRIM(B14724)</f>
        <v>Tennessee</v>
      </c>
      <c r="E14724" s="111" t="str">
        <f t="shared" si="14722"/>
        <v>Newbern</v>
      </c>
    </row>
    <row r="14725" spans="1:5">
      <c r="A14725" s="3" t="s">
        <v>26062</v>
      </c>
      <c r="B14725" s="110" t="s">
        <v>1372</v>
      </c>
      <c r="C14725" s="111" t="s">
        <v>4078</v>
      </c>
      <c r="D14725" s="111" t="str">
        <f t="shared" ref="D14725:E14725" si="14723">TRIM(B14725)</f>
        <v>Tennessee</v>
      </c>
      <c r="E14725" s="111" t="str">
        <f t="shared" si="14723"/>
        <v>Newport</v>
      </c>
    </row>
    <row r="14726" spans="1:5">
      <c r="A14726" s="3" t="s">
        <v>26063</v>
      </c>
      <c r="B14726" s="110" t="s">
        <v>1372</v>
      </c>
      <c r="C14726" s="111" t="s">
        <v>26064</v>
      </c>
      <c r="D14726" s="111" t="str">
        <f t="shared" ref="D14726:E14726" si="14724">TRIM(B14726)</f>
        <v>Tennessee</v>
      </c>
      <c r="E14726" s="111" t="str">
        <f t="shared" si="14724"/>
        <v>Nolensville</v>
      </c>
    </row>
    <row r="14727" spans="1:5">
      <c r="A14727" s="3" t="s">
        <v>4902</v>
      </c>
      <c r="B14727" s="110" t="s">
        <v>1372</v>
      </c>
      <c r="C14727" s="111" t="s">
        <v>6284</v>
      </c>
      <c r="D14727" s="111" t="str">
        <f t="shared" ref="D14727:E14727" si="14725">TRIM(B14727)</f>
        <v>Tennessee</v>
      </c>
      <c r="E14727" s="111" t="str">
        <f t="shared" si="14725"/>
        <v>Oak Ridge</v>
      </c>
    </row>
    <row r="14728" spans="1:5">
      <c r="A14728" s="3" t="s">
        <v>26065</v>
      </c>
      <c r="B14728" s="110" t="s">
        <v>1372</v>
      </c>
      <c r="C14728" s="111" t="s">
        <v>26066</v>
      </c>
      <c r="D14728" s="111" t="str">
        <f t="shared" ref="D14728:E14728" si="14726">TRIM(B14728)</f>
        <v>Tennessee</v>
      </c>
      <c r="E14728" s="111" t="str">
        <f t="shared" si="14726"/>
        <v>Oliver Springs</v>
      </c>
    </row>
    <row r="14729" spans="1:5">
      <c r="A14729" s="3" t="s">
        <v>26067</v>
      </c>
      <c r="B14729" s="110" t="s">
        <v>1372</v>
      </c>
      <c r="C14729" s="111" t="s">
        <v>12369</v>
      </c>
      <c r="D14729" s="111" t="str">
        <f t="shared" ref="D14729:E14729" si="14727">TRIM(B14729)</f>
        <v>Tennessee</v>
      </c>
      <c r="E14729" s="111" t="str">
        <f t="shared" si="14727"/>
        <v>Oneida</v>
      </c>
    </row>
    <row r="14730" spans="1:5">
      <c r="A14730" s="110" t="s">
        <v>26068</v>
      </c>
      <c r="B14730" s="110" t="s">
        <v>1372</v>
      </c>
      <c r="C14730" s="111" t="s">
        <v>26069</v>
      </c>
      <c r="D14730" s="111" t="str">
        <f t="shared" ref="D14730:E14730" si="14728">TRIM(B14730)</f>
        <v>Tennessee</v>
      </c>
      <c r="E14730" s="111" t="str">
        <f t="shared" si="14728"/>
        <v>Ooltewah</v>
      </c>
    </row>
    <row r="14731" spans="1:5">
      <c r="A14731" s="3" t="s">
        <v>9432</v>
      </c>
      <c r="B14731" s="110" t="s">
        <v>1372</v>
      </c>
      <c r="C14731" s="111" t="s">
        <v>26069</v>
      </c>
      <c r="D14731" s="111" t="str">
        <f t="shared" ref="D14731:E14731" si="14729">TRIM(B14731)</f>
        <v>Tennessee</v>
      </c>
      <c r="E14731" s="111" t="str">
        <f t="shared" si="14729"/>
        <v>Ooltewah</v>
      </c>
    </row>
    <row r="14732" spans="1:5">
      <c r="A14732" s="3" t="s">
        <v>26070</v>
      </c>
      <c r="B14732" s="110" t="s">
        <v>1372</v>
      </c>
      <c r="C14732" s="111" t="s">
        <v>26069</v>
      </c>
      <c r="D14732" s="111" t="str">
        <f t="shared" ref="D14732:E14732" si="14730">TRIM(B14732)</f>
        <v>Tennessee</v>
      </c>
      <c r="E14732" s="111" t="str">
        <f t="shared" si="14730"/>
        <v>Ooltewah</v>
      </c>
    </row>
    <row r="14733" spans="1:5">
      <c r="A14733" s="3" t="s">
        <v>26071</v>
      </c>
      <c r="B14733" s="110" t="s">
        <v>1372</v>
      </c>
      <c r="C14733" s="111" t="s">
        <v>194</v>
      </c>
      <c r="D14733" s="111" t="str">
        <f t="shared" ref="D14733:E14733" si="14731">TRIM(B14733)</f>
        <v>Tennessee</v>
      </c>
      <c r="E14733" s="111" t="str">
        <f t="shared" si="14731"/>
        <v>Paris</v>
      </c>
    </row>
    <row r="14734" spans="1:5">
      <c r="A14734" s="3" t="s">
        <v>26072</v>
      </c>
      <c r="B14734" s="110" t="s">
        <v>1372</v>
      </c>
      <c r="C14734" s="111" t="s">
        <v>26073</v>
      </c>
      <c r="D14734" s="111" t="str">
        <f t="shared" ref="D14734:E14734" si="14732">TRIM(B14734)</f>
        <v>Tennessee</v>
      </c>
      <c r="E14734" s="111" t="str">
        <f t="shared" si="14732"/>
        <v>Pigeon Forge</v>
      </c>
    </row>
    <row r="14735" spans="1:5">
      <c r="A14735" s="3" t="s">
        <v>26074</v>
      </c>
      <c r="B14735" s="110" t="s">
        <v>1372</v>
      </c>
      <c r="C14735" s="111" t="s">
        <v>15808</v>
      </c>
      <c r="D14735" s="111" t="str">
        <f t="shared" ref="D14735:E14735" si="14733">TRIM(B14735)</f>
        <v>Tennessee</v>
      </c>
      <c r="E14735" s="111" t="str">
        <f t="shared" si="14733"/>
        <v>Pikeville</v>
      </c>
    </row>
    <row r="14736" spans="1:5">
      <c r="A14736" s="3" t="s">
        <v>13881</v>
      </c>
      <c r="B14736" s="110" t="s">
        <v>1372</v>
      </c>
      <c r="C14736" s="111" t="s">
        <v>26075</v>
      </c>
      <c r="D14736" s="111" t="str">
        <f t="shared" ref="D14736:E14736" si="14734">TRIM(B14736)</f>
        <v>Tennessee</v>
      </c>
      <c r="E14736" s="111" t="str">
        <f t="shared" si="14734"/>
        <v>Pleasant View</v>
      </c>
    </row>
    <row r="14737" spans="1:5">
      <c r="A14737" s="3" t="s">
        <v>8642</v>
      </c>
      <c r="B14737" s="110" t="s">
        <v>1372</v>
      </c>
      <c r="C14737" s="111" t="s">
        <v>8643</v>
      </c>
      <c r="D14737" s="111" t="str">
        <f t="shared" ref="D14737:E14737" si="14735">TRIM(B14737)</f>
        <v>Tennessee</v>
      </c>
      <c r="E14737" s="111" t="str">
        <f t="shared" si="14735"/>
        <v>Portland</v>
      </c>
    </row>
    <row r="14738" spans="1:5">
      <c r="A14738" s="3" t="s">
        <v>26076</v>
      </c>
      <c r="B14738" s="110" t="s">
        <v>1372</v>
      </c>
      <c r="C14738" s="111" t="s">
        <v>12898</v>
      </c>
      <c r="D14738" s="111" t="str">
        <f t="shared" ref="D14738:E14738" si="14736">TRIM(B14738)</f>
        <v>Tennessee</v>
      </c>
      <c r="E14738" s="111" t="str">
        <f t="shared" si="14736"/>
        <v>Powell</v>
      </c>
    </row>
    <row r="14739" spans="1:5">
      <c r="A14739" s="3" t="s">
        <v>26077</v>
      </c>
      <c r="B14739" s="110" t="s">
        <v>1372</v>
      </c>
      <c r="C14739" s="111" t="s">
        <v>21712</v>
      </c>
      <c r="D14739" s="111" t="str">
        <f t="shared" ref="D14739:E14739" si="14737">TRIM(B14739)</f>
        <v>Tennessee</v>
      </c>
      <c r="E14739" s="111" t="str">
        <f t="shared" si="14737"/>
        <v>Pulaski</v>
      </c>
    </row>
    <row r="14740" spans="1:5">
      <c r="A14740" s="3" t="s">
        <v>26078</v>
      </c>
      <c r="B14740" s="110" t="s">
        <v>1372</v>
      </c>
      <c r="C14740" s="111" t="s">
        <v>26079</v>
      </c>
      <c r="D14740" s="111" t="str">
        <f t="shared" ref="D14740:E14740" si="14738">TRIM(B14740)</f>
        <v>Tennessee</v>
      </c>
      <c r="E14740" s="111" t="str">
        <f t="shared" si="14738"/>
        <v>Reagan</v>
      </c>
    </row>
    <row r="14741" spans="1:5">
      <c r="A14741" s="110" t="s">
        <v>26080</v>
      </c>
      <c r="B14741" s="110" t="s">
        <v>1372</v>
      </c>
      <c r="C14741" s="113" t="s">
        <v>26081</v>
      </c>
      <c r="D14741" s="111" t="str">
        <f t="shared" ref="D14741:E14741" si="14739">TRIM(B14741)</f>
        <v>Tennessee</v>
      </c>
      <c r="E14741" s="111" t="str">
        <f t="shared" si="14739"/>
        <v>Red Boiling Springs</v>
      </c>
    </row>
    <row r="14742" spans="1:5">
      <c r="A14742" s="3" t="s">
        <v>18547</v>
      </c>
      <c r="B14742" s="110" t="s">
        <v>1372</v>
      </c>
      <c r="C14742" s="111" t="s">
        <v>5754</v>
      </c>
      <c r="D14742" s="111" t="str">
        <f t="shared" ref="D14742:E14742" si="14740">TRIM(B14742)</f>
        <v>Tennessee</v>
      </c>
      <c r="E14742" s="111" t="str">
        <f t="shared" si="14740"/>
        <v>Ripley</v>
      </c>
    </row>
    <row r="14743" spans="1:5">
      <c r="A14743" s="3" t="s">
        <v>26082</v>
      </c>
      <c r="B14743" s="110" t="s">
        <v>1372</v>
      </c>
      <c r="C14743" s="111" t="s">
        <v>26083</v>
      </c>
      <c r="D14743" s="111" t="str">
        <f t="shared" ref="D14743:E14743" si="14741">TRIM(B14743)</f>
        <v>Tennessee</v>
      </c>
      <c r="E14743" s="111" t="str">
        <f t="shared" si="14741"/>
        <v>Roan Mountain</v>
      </c>
    </row>
    <row r="14744" spans="1:5">
      <c r="A14744" s="3" t="s">
        <v>26084</v>
      </c>
      <c r="B14744" s="110" t="s">
        <v>1372</v>
      </c>
      <c r="C14744" s="111" t="s">
        <v>17551</v>
      </c>
      <c r="D14744" s="111" t="str">
        <f t="shared" ref="D14744:E14744" si="14742">TRIM(B14744)</f>
        <v>Tennessee</v>
      </c>
      <c r="E14744" s="111" t="str">
        <f t="shared" si="14742"/>
        <v>Rockwood</v>
      </c>
    </row>
    <row r="14745" spans="1:5">
      <c r="A14745" s="3" t="s">
        <v>1625</v>
      </c>
      <c r="B14745" s="110" t="s">
        <v>1372</v>
      </c>
      <c r="C14745" s="111" t="s">
        <v>19070</v>
      </c>
      <c r="D14745" s="111" t="str">
        <f t="shared" ref="D14745:E14745" si="14743">TRIM(B14745)</f>
        <v>Tennessee</v>
      </c>
      <c r="E14745" s="111" t="str">
        <f t="shared" si="14743"/>
        <v>Rogersville</v>
      </c>
    </row>
    <row r="14746" spans="1:5">
      <c r="A14746" s="3" t="s">
        <v>26085</v>
      </c>
      <c r="B14746" s="110" t="s">
        <v>1372</v>
      </c>
      <c r="C14746" s="111" t="s">
        <v>26086</v>
      </c>
      <c r="D14746" s="111" t="str">
        <f t="shared" ref="D14746:E14746" si="14744">TRIM(B14746)</f>
        <v>Tennessee</v>
      </c>
      <c r="E14746" s="111" t="str">
        <f t="shared" si="14744"/>
        <v>Rutledge</v>
      </c>
    </row>
    <row r="14747" spans="1:5">
      <c r="A14747" s="3" t="s">
        <v>26087</v>
      </c>
      <c r="B14747" s="110" t="s">
        <v>1372</v>
      </c>
      <c r="C14747" s="111" t="s">
        <v>26086</v>
      </c>
      <c r="D14747" s="111" t="str">
        <f t="shared" ref="D14747:E14747" si="14745">TRIM(B14747)</f>
        <v>Tennessee</v>
      </c>
      <c r="E14747" s="111" t="str">
        <f t="shared" si="14745"/>
        <v>Rutledge</v>
      </c>
    </row>
    <row r="14748" spans="1:5">
      <c r="A14748" s="3" t="s">
        <v>26088</v>
      </c>
      <c r="B14748" s="110" t="s">
        <v>1372</v>
      </c>
      <c r="C14748" s="111" t="s">
        <v>26089</v>
      </c>
      <c r="D14748" s="111" t="str">
        <f t="shared" ref="D14748:E14748" si="14746">TRIM(B14748)</f>
        <v>Tennessee</v>
      </c>
      <c r="E14748" s="111" t="str">
        <f t="shared" si="14746"/>
        <v>Sale Creek</v>
      </c>
    </row>
    <row r="14749" spans="1:5">
      <c r="A14749" s="3" t="s">
        <v>12853</v>
      </c>
      <c r="B14749" s="110" t="s">
        <v>1372</v>
      </c>
      <c r="C14749" s="111" t="s">
        <v>10272</v>
      </c>
      <c r="D14749" s="111" t="str">
        <f t="shared" ref="D14749:E14749" si="14747">TRIM(B14749)</f>
        <v>Tennessee</v>
      </c>
      <c r="E14749" s="111" t="str">
        <f t="shared" si="14747"/>
        <v>Savannah</v>
      </c>
    </row>
    <row r="14750" spans="1:5">
      <c r="A14750" s="3" t="s">
        <v>26090</v>
      </c>
      <c r="B14750" s="110" t="s">
        <v>1372</v>
      </c>
      <c r="C14750" s="111" t="s">
        <v>26091</v>
      </c>
      <c r="D14750" s="111" t="str">
        <f t="shared" ref="D14750:E14750" si="14748">TRIM(B14750)</f>
        <v>Tennessee</v>
      </c>
      <c r="E14750" s="111" t="str">
        <f t="shared" si="14748"/>
        <v>Selmer</v>
      </c>
    </row>
    <row r="14751" spans="1:5">
      <c r="A14751" s="3" t="s">
        <v>26092</v>
      </c>
      <c r="B14751" s="110" t="s">
        <v>1372</v>
      </c>
      <c r="C14751" s="111" t="s">
        <v>26093</v>
      </c>
      <c r="D14751" s="111" t="str">
        <f t="shared" ref="D14751:E14751" si="14749">TRIM(B14751)</f>
        <v>Tennessee</v>
      </c>
      <c r="E14751" s="111" t="str">
        <f t="shared" si="14749"/>
        <v>Sevierville</v>
      </c>
    </row>
    <row r="14752" spans="1:5">
      <c r="A14752" s="3" t="s">
        <v>26094</v>
      </c>
      <c r="B14752" s="110" t="s">
        <v>1372</v>
      </c>
      <c r="C14752" s="111" t="s">
        <v>26093</v>
      </c>
      <c r="D14752" s="111" t="str">
        <f t="shared" ref="D14752:E14752" si="14750">TRIM(B14752)</f>
        <v>Tennessee</v>
      </c>
      <c r="E14752" s="111" t="str">
        <f t="shared" si="14750"/>
        <v>Sevierville</v>
      </c>
    </row>
    <row r="14753" spans="1:5">
      <c r="A14753" s="3" t="s">
        <v>8660</v>
      </c>
      <c r="B14753" s="110" t="s">
        <v>1372</v>
      </c>
      <c r="C14753" s="111" t="s">
        <v>6650</v>
      </c>
      <c r="D14753" s="111" t="str">
        <f t="shared" ref="D14753:E14753" si="14751">TRIM(B14753)</f>
        <v>Tennessee</v>
      </c>
      <c r="E14753" s="111" t="str">
        <f t="shared" si="14751"/>
        <v>Seymour</v>
      </c>
    </row>
    <row r="14754" spans="1:5">
      <c r="A14754" s="3" t="s">
        <v>26095</v>
      </c>
      <c r="B14754" s="110" t="s">
        <v>1372</v>
      </c>
      <c r="C14754" s="111" t="s">
        <v>5599</v>
      </c>
      <c r="D14754" s="111" t="str">
        <f t="shared" ref="D14754:E14754" si="14752">TRIM(B14754)</f>
        <v>Tennessee</v>
      </c>
      <c r="E14754" s="111" t="str">
        <f t="shared" si="14752"/>
        <v>Shelbyville</v>
      </c>
    </row>
    <row r="14755" spans="1:5">
      <c r="A14755" s="3" t="s">
        <v>26096</v>
      </c>
      <c r="B14755" s="110" t="s">
        <v>1372</v>
      </c>
      <c r="C14755" s="111" t="s">
        <v>26097</v>
      </c>
      <c r="D14755" s="111" t="str">
        <f t="shared" ref="D14755:E14755" si="14753">TRIM(B14755)</f>
        <v>Tennessee</v>
      </c>
      <c r="E14755" s="111" t="str">
        <f t="shared" si="14753"/>
        <v>Signal Mountain</v>
      </c>
    </row>
    <row r="14756" spans="1:5">
      <c r="A14756" s="3" t="s">
        <v>26098</v>
      </c>
      <c r="B14756" s="110" t="s">
        <v>1372</v>
      </c>
      <c r="C14756" s="111" t="s">
        <v>19096</v>
      </c>
      <c r="D14756" s="111" t="str">
        <f t="shared" ref="D14756:E14756" si="14754">TRIM(B14756)</f>
        <v>Tennessee</v>
      </c>
      <c r="E14756" s="111" t="str">
        <f t="shared" si="14754"/>
        <v>Smithville</v>
      </c>
    </row>
    <row r="14757" spans="1:5">
      <c r="A14757" s="3" t="s">
        <v>8844</v>
      </c>
      <c r="B14757" s="110" t="s">
        <v>1372</v>
      </c>
      <c r="C14757" s="111" t="s">
        <v>8845</v>
      </c>
      <c r="D14757" s="111" t="str">
        <f t="shared" ref="D14757:E14757" si="14755">TRIM(B14757)</f>
        <v>Tennessee</v>
      </c>
      <c r="E14757" s="111" t="str">
        <f t="shared" si="14755"/>
        <v>Smyrna</v>
      </c>
    </row>
    <row r="14758" spans="1:5">
      <c r="A14758" s="3" t="s">
        <v>26099</v>
      </c>
      <c r="B14758" s="110" t="s">
        <v>1372</v>
      </c>
      <c r="C14758" s="111" t="s">
        <v>8845</v>
      </c>
      <c r="D14758" s="111" t="str">
        <f t="shared" ref="D14758:E14758" si="14756">TRIM(B14758)</f>
        <v>Tennessee</v>
      </c>
      <c r="E14758" s="111" t="str">
        <f t="shared" si="14756"/>
        <v>Smyrna</v>
      </c>
    </row>
    <row r="14759" spans="1:5">
      <c r="A14759" s="3" t="s">
        <v>18460</v>
      </c>
      <c r="B14759" s="110" t="s">
        <v>1372</v>
      </c>
      <c r="C14759" s="111" t="s">
        <v>26100</v>
      </c>
      <c r="D14759" s="111" t="str">
        <f t="shared" ref="D14759:E14759" si="14757">TRIM(B14759)</f>
        <v>Tennessee</v>
      </c>
      <c r="E14759" s="111" t="str">
        <f t="shared" si="14757"/>
        <v>Sneedville</v>
      </c>
    </row>
    <row r="14760" spans="1:5">
      <c r="A14760" s="3" t="s">
        <v>26101</v>
      </c>
      <c r="B14760" s="110" t="s">
        <v>1372</v>
      </c>
      <c r="C14760" s="111" t="s">
        <v>26102</v>
      </c>
      <c r="D14760" s="111" t="str">
        <f t="shared" ref="D14760:E14760" si="14758">TRIM(B14760)</f>
        <v>Tennessee</v>
      </c>
      <c r="E14760" s="111" t="str">
        <f t="shared" si="14758"/>
        <v>Soddy Daisy</v>
      </c>
    </row>
    <row r="14761" spans="1:5">
      <c r="A14761" s="3" t="s">
        <v>10498</v>
      </c>
      <c r="B14761" s="110" t="s">
        <v>1372</v>
      </c>
      <c r="C14761" s="111" t="s">
        <v>26102</v>
      </c>
      <c r="D14761" s="111" t="str">
        <f t="shared" ref="D14761:E14761" si="14759">TRIM(B14761)</f>
        <v>Tennessee</v>
      </c>
      <c r="E14761" s="111" t="str">
        <f t="shared" si="14759"/>
        <v>Soddy Daisy</v>
      </c>
    </row>
    <row r="14762" spans="1:5">
      <c r="A14762" s="3" t="s">
        <v>26103</v>
      </c>
      <c r="B14762" s="110" t="s">
        <v>1372</v>
      </c>
      <c r="C14762" s="111" t="s">
        <v>26102</v>
      </c>
      <c r="D14762" s="111" t="str">
        <f t="shared" ref="D14762:E14762" si="14760">TRIM(B14762)</f>
        <v>Tennessee</v>
      </c>
      <c r="E14762" s="111" t="str">
        <f t="shared" si="14760"/>
        <v>Soddy Daisy</v>
      </c>
    </row>
    <row r="14763" spans="1:5">
      <c r="A14763" s="3" t="s">
        <v>26104</v>
      </c>
      <c r="B14763" s="110" t="s">
        <v>1372</v>
      </c>
      <c r="C14763" s="111" t="s">
        <v>2178</v>
      </c>
      <c r="D14763" s="111" t="str">
        <f t="shared" ref="D14763:E14763" si="14761">TRIM(B14763)</f>
        <v>Tennessee</v>
      </c>
      <c r="E14763" s="111" t="str">
        <f t="shared" si="14761"/>
        <v>Somerville</v>
      </c>
    </row>
    <row r="14764" spans="1:5">
      <c r="A14764" s="3" t="s">
        <v>26105</v>
      </c>
      <c r="B14764" s="110" t="s">
        <v>1372</v>
      </c>
      <c r="C14764" s="111" t="s">
        <v>26106</v>
      </c>
      <c r="D14764" s="111" t="str">
        <f t="shared" ref="D14764:E14764" si="14762">TRIM(B14764)</f>
        <v>Tennessee</v>
      </c>
      <c r="E14764" s="111" t="str">
        <f t="shared" si="14762"/>
        <v>South Fulton</v>
      </c>
    </row>
    <row r="14765" spans="1:5">
      <c r="A14765" s="3" t="s">
        <v>26107</v>
      </c>
      <c r="B14765" s="110" t="s">
        <v>1372</v>
      </c>
      <c r="C14765" s="111" t="s">
        <v>26108</v>
      </c>
      <c r="D14765" s="111" t="str">
        <f t="shared" ref="D14765:E14765" si="14763">TRIM(B14765)</f>
        <v>Tennessee</v>
      </c>
      <c r="E14765" s="111" t="str">
        <f t="shared" si="14763"/>
        <v>South Pittsburg</v>
      </c>
    </row>
    <row r="14766" spans="1:5">
      <c r="A14766" s="3" t="s">
        <v>10547</v>
      </c>
      <c r="B14766" s="110" t="s">
        <v>1372</v>
      </c>
      <c r="C14766" s="111" t="s">
        <v>10334</v>
      </c>
      <c r="D14766" s="111" t="str">
        <f t="shared" ref="D14766:E14766" si="14764">TRIM(B14766)</f>
        <v>Tennessee</v>
      </c>
      <c r="E14766" s="111" t="str">
        <f t="shared" si="14764"/>
        <v>Sparta</v>
      </c>
    </row>
    <row r="14767" spans="1:5">
      <c r="A14767" s="3" t="s">
        <v>26109</v>
      </c>
      <c r="B14767" s="110" t="s">
        <v>1372</v>
      </c>
      <c r="C14767" s="111" t="s">
        <v>14606</v>
      </c>
      <c r="D14767" s="111" t="str">
        <f t="shared" ref="D14767:E14767" si="14765">TRIM(B14767)</f>
        <v>Tennessee</v>
      </c>
      <c r="E14767" s="111" t="str">
        <f t="shared" si="14765"/>
        <v>Spencer</v>
      </c>
    </row>
    <row r="14768" spans="1:5">
      <c r="A14768" s="3" t="s">
        <v>26110</v>
      </c>
      <c r="B14768" s="110" t="s">
        <v>1372</v>
      </c>
      <c r="C14768" s="111" t="s">
        <v>10093</v>
      </c>
      <c r="D14768" s="111" t="str">
        <f t="shared" ref="D14768:E14768" si="14766">TRIM(B14768)</f>
        <v>Tennessee</v>
      </c>
      <c r="E14768" s="111" t="str">
        <f t="shared" si="14766"/>
        <v>Spring Hill</v>
      </c>
    </row>
    <row r="14769" spans="1:5">
      <c r="A14769" s="3" t="s">
        <v>2617</v>
      </c>
      <c r="B14769" s="110" t="s">
        <v>1372</v>
      </c>
      <c r="C14769" s="111" t="s">
        <v>10093</v>
      </c>
      <c r="D14769" s="111" t="str">
        <f t="shared" ref="D14769:E14769" si="14767">TRIM(B14769)</f>
        <v>Tennessee</v>
      </c>
      <c r="E14769" s="111" t="str">
        <f t="shared" si="14767"/>
        <v>Spring Hill</v>
      </c>
    </row>
    <row r="14770" spans="1:5">
      <c r="A14770" s="3" t="s">
        <v>13829</v>
      </c>
      <c r="B14770" s="110" t="s">
        <v>1372</v>
      </c>
      <c r="C14770" s="111" t="s">
        <v>416</v>
      </c>
      <c r="D14770" s="111" t="str">
        <f t="shared" ref="D14770:E14770" si="14768">TRIM(B14770)</f>
        <v>Tennessee</v>
      </c>
      <c r="E14770" s="111" t="str">
        <f t="shared" si="14768"/>
        <v>Springfield</v>
      </c>
    </row>
    <row r="14771" spans="1:5">
      <c r="A14771" s="3" t="s">
        <v>26111</v>
      </c>
      <c r="B14771" s="110" t="s">
        <v>1372</v>
      </c>
      <c r="C14771" s="113" t="s">
        <v>26112</v>
      </c>
      <c r="D14771" s="111" t="str">
        <f t="shared" ref="D14771:E14771" si="14769">TRIM(B14771)</f>
        <v>Tennessee</v>
      </c>
      <c r="E14771" s="111" t="str">
        <f t="shared" si="14769"/>
        <v>Strawberry Plains</v>
      </c>
    </row>
    <row r="14772" spans="1:5">
      <c r="A14772" s="3" t="s">
        <v>26113</v>
      </c>
      <c r="B14772" s="110" t="s">
        <v>1372</v>
      </c>
      <c r="C14772" s="111" t="s">
        <v>26114</v>
      </c>
      <c r="D14772" s="111" t="str">
        <f t="shared" ref="D14772:E14772" si="14770">TRIM(B14772)</f>
        <v>Tennessee</v>
      </c>
      <c r="E14772" s="111" t="str">
        <f t="shared" si="14770"/>
        <v>Summertown</v>
      </c>
    </row>
    <row r="14773" spans="1:5">
      <c r="A14773" s="3" t="s">
        <v>6044</v>
      </c>
      <c r="B14773" s="110" t="s">
        <v>1372</v>
      </c>
      <c r="C14773" s="111" t="s">
        <v>24109</v>
      </c>
      <c r="D14773" s="111" t="str">
        <f t="shared" ref="D14773:E14773" si="14771">TRIM(B14773)</f>
        <v>Tennessee</v>
      </c>
      <c r="E14773" s="111" t="str">
        <f t="shared" si="14771"/>
        <v>Sweetwater</v>
      </c>
    </row>
    <row r="14774" spans="1:5">
      <c r="A14774" s="3" t="s">
        <v>26115</v>
      </c>
      <c r="B14774" s="110" t="s">
        <v>1372</v>
      </c>
      <c r="C14774" s="111" t="s">
        <v>26116</v>
      </c>
      <c r="D14774" s="111" t="str">
        <f t="shared" ref="D14774:E14774" si="14772">TRIM(B14774)</f>
        <v>Tennessee</v>
      </c>
      <c r="E14774" s="111" t="str">
        <f t="shared" si="14772"/>
        <v>Tellico Plains</v>
      </c>
    </row>
    <row r="14775" spans="1:5">
      <c r="A14775" s="3" t="s">
        <v>2727</v>
      </c>
      <c r="B14775" s="110" t="s">
        <v>1372</v>
      </c>
      <c r="C14775" s="113" t="s">
        <v>26117</v>
      </c>
      <c r="D14775" s="111" t="str">
        <f t="shared" ref="D14775:E14775" si="14773">TRIM(B14775)</f>
        <v>Tennessee</v>
      </c>
      <c r="E14775" s="111" t="str">
        <f t="shared" si="14773"/>
        <v>Thompson'S Station</v>
      </c>
    </row>
    <row r="14776" spans="1:5">
      <c r="A14776" s="3" t="s">
        <v>26118</v>
      </c>
      <c r="B14776" s="110" t="s">
        <v>1372</v>
      </c>
      <c r="C14776" s="111" t="s">
        <v>26119</v>
      </c>
      <c r="D14776" s="111" t="str">
        <f t="shared" ref="D14776:E14776" si="14774">TRIM(B14776)</f>
        <v>Tennessee</v>
      </c>
      <c r="E14776" s="111" t="str">
        <f t="shared" si="14774"/>
        <v>Tracy City</v>
      </c>
    </row>
    <row r="14777" spans="1:5">
      <c r="A14777" s="3" t="s">
        <v>26120</v>
      </c>
      <c r="B14777" s="110" t="s">
        <v>1372</v>
      </c>
      <c r="C14777" s="111" t="s">
        <v>10194</v>
      </c>
      <c r="D14777" s="111" t="str">
        <f t="shared" ref="D14777:E14777" si="14775">TRIM(B14777)</f>
        <v>Tennessee</v>
      </c>
      <c r="E14777" s="111" t="str">
        <f t="shared" si="14775"/>
        <v>Trenton</v>
      </c>
    </row>
    <row r="14778" spans="1:5">
      <c r="A14778" s="3" t="s">
        <v>26121</v>
      </c>
      <c r="B14778" s="110" t="s">
        <v>1372</v>
      </c>
      <c r="C14778" s="111" t="s">
        <v>2228</v>
      </c>
      <c r="D14778" s="111" t="str">
        <f t="shared" ref="D14778:E14778" si="14776">TRIM(B14778)</f>
        <v>Tennessee</v>
      </c>
      <c r="E14778" s="111" t="str">
        <f t="shared" si="14776"/>
        <v>Troy</v>
      </c>
    </row>
    <row r="14779" spans="1:5">
      <c r="A14779" s="3" t="s">
        <v>26122</v>
      </c>
      <c r="B14779" s="110" t="s">
        <v>1372</v>
      </c>
      <c r="C14779" s="111" t="s">
        <v>26123</v>
      </c>
      <c r="D14779" s="111" t="str">
        <f t="shared" ref="D14779:E14779" si="14777">TRIM(B14779)</f>
        <v>Tennessee</v>
      </c>
      <c r="E14779" s="111" t="str">
        <f t="shared" si="14777"/>
        <v>Tullahoma</v>
      </c>
    </row>
    <row r="14780" spans="1:5">
      <c r="A14780" s="3" t="s">
        <v>17637</v>
      </c>
      <c r="B14780" s="110" t="s">
        <v>1372</v>
      </c>
      <c r="C14780" s="111" t="s">
        <v>7340</v>
      </c>
      <c r="D14780" s="111" t="str">
        <f t="shared" ref="D14780:E14780" si="14778">TRIM(B14780)</f>
        <v>Tennessee</v>
      </c>
      <c r="E14780" s="111" t="str">
        <f t="shared" si="14778"/>
        <v>Union City</v>
      </c>
    </row>
    <row r="14781" spans="1:5">
      <c r="A14781" s="3" t="s">
        <v>13964</v>
      </c>
      <c r="B14781" s="110" t="s">
        <v>1372</v>
      </c>
      <c r="C14781" s="111" t="s">
        <v>19199</v>
      </c>
      <c r="D14781" s="111" t="str">
        <f t="shared" ref="D14781:E14781" si="14779">TRIM(B14781)</f>
        <v>Tennessee</v>
      </c>
      <c r="E14781" s="111" t="str">
        <f t="shared" si="14779"/>
        <v>Unionville</v>
      </c>
    </row>
    <row r="14782" spans="1:5">
      <c r="A14782" s="3" t="s">
        <v>1843</v>
      </c>
      <c r="B14782" s="110" t="s">
        <v>1372</v>
      </c>
      <c r="C14782" s="111" t="s">
        <v>26124</v>
      </c>
      <c r="D14782" s="111" t="str">
        <f t="shared" ref="D14782:E14782" si="14780">TRIM(B14782)</f>
        <v>Tennessee</v>
      </c>
      <c r="E14782" s="111" t="str">
        <f t="shared" si="14780"/>
        <v>Wartburg</v>
      </c>
    </row>
    <row r="14783" spans="1:5">
      <c r="A14783" s="3" t="s">
        <v>19278</v>
      </c>
      <c r="B14783" s="110" t="s">
        <v>1372</v>
      </c>
      <c r="C14783" s="111" t="s">
        <v>26125</v>
      </c>
      <c r="D14783" s="111" t="str">
        <f t="shared" ref="D14783:E14783" si="14781">TRIM(B14783)</f>
        <v>Tennessee</v>
      </c>
      <c r="E14783" s="111" t="str">
        <f t="shared" si="14781"/>
        <v>Wartrace</v>
      </c>
    </row>
    <row r="14784" spans="1:5">
      <c r="A14784" s="3" t="s">
        <v>8736</v>
      </c>
      <c r="B14784" s="110" t="s">
        <v>1372</v>
      </c>
      <c r="C14784" s="111" t="s">
        <v>8737</v>
      </c>
      <c r="D14784" s="111" t="str">
        <f t="shared" ref="D14784:E14784" si="14782">TRIM(B14784)</f>
        <v>Tennessee</v>
      </c>
      <c r="E14784" s="111" t="str">
        <f t="shared" si="14782"/>
        <v>Watertown</v>
      </c>
    </row>
    <row r="14785" spans="1:5">
      <c r="A14785" s="3" t="s">
        <v>26126</v>
      </c>
      <c r="B14785" s="110" t="s">
        <v>1372</v>
      </c>
      <c r="C14785" s="111" t="s">
        <v>517</v>
      </c>
      <c r="D14785" s="111" t="str">
        <f t="shared" ref="D14785:E14785" si="14783">TRIM(B14785)</f>
        <v>Tennessee</v>
      </c>
      <c r="E14785" s="111" t="str">
        <f t="shared" si="14783"/>
        <v>Waverly</v>
      </c>
    </row>
    <row r="14786" spans="1:5">
      <c r="A14786" s="3" t="s">
        <v>10902</v>
      </c>
      <c r="B14786" s="110" t="s">
        <v>1372</v>
      </c>
      <c r="C14786" s="111" t="s">
        <v>10314</v>
      </c>
      <c r="D14786" s="111" t="str">
        <f t="shared" ref="D14786:E14786" si="14784">TRIM(B14786)</f>
        <v>Tennessee</v>
      </c>
      <c r="E14786" s="111" t="str">
        <f t="shared" si="14784"/>
        <v>Waynesboro</v>
      </c>
    </row>
    <row r="14787" spans="1:5">
      <c r="A14787" s="3" t="s">
        <v>26127</v>
      </c>
      <c r="B14787" s="110" t="s">
        <v>1372</v>
      </c>
      <c r="C14787" s="111" t="s">
        <v>21960</v>
      </c>
      <c r="D14787" s="111" t="str">
        <f t="shared" ref="D14787:E14787" si="14785">TRIM(B14787)</f>
        <v>Tennessee</v>
      </c>
      <c r="E14787" s="111" t="str">
        <f t="shared" si="14785"/>
        <v>Westmoreland</v>
      </c>
    </row>
    <row r="14788" spans="1:5">
      <c r="A14788" s="3" t="s">
        <v>26128</v>
      </c>
      <c r="B14788" s="110" t="s">
        <v>1372</v>
      </c>
      <c r="C14788" s="111" t="s">
        <v>13482</v>
      </c>
      <c r="D14788" s="111" t="str">
        <f t="shared" ref="D14788:E14788" si="14786">TRIM(B14788)</f>
        <v>Tennessee</v>
      </c>
      <c r="E14788" s="111" t="str">
        <f t="shared" si="14786"/>
        <v>White House</v>
      </c>
    </row>
    <row r="14789" spans="1:5">
      <c r="A14789" s="3" t="s">
        <v>26129</v>
      </c>
      <c r="B14789" s="110" t="s">
        <v>1372</v>
      </c>
      <c r="C14789" s="111" t="s">
        <v>13482</v>
      </c>
      <c r="D14789" s="111" t="str">
        <f t="shared" ref="D14789:E14789" si="14787">TRIM(B14789)</f>
        <v>Tennessee</v>
      </c>
      <c r="E14789" s="111" t="str">
        <f t="shared" si="14787"/>
        <v>White House</v>
      </c>
    </row>
    <row r="14790" spans="1:5">
      <c r="A14790" s="3" t="s">
        <v>26130</v>
      </c>
      <c r="B14790" s="110" t="s">
        <v>1372</v>
      </c>
      <c r="C14790" s="111" t="s">
        <v>26131</v>
      </c>
      <c r="D14790" s="111" t="str">
        <f t="shared" ref="D14790:E14790" si="14788">TRIM(B14790)</f>
        <v>Tennessee</v>
      </c>
      <c r="E14790" s="111" t="str">
        <f t="shared" si="14788"/>
        <v>Whites Creek</v>
      </c>
    </row>
    <row r="14791" spans="1:5">
      <c r="A14791" s="3" t="s">
        <v>26132</v>
      </c>
      <c r="B14791" s="110" t="s">
        <v>1372</v>
      </c>
      <c r="C14791" s="111" t="s">
        <v>26133</v>
      </c>
      <c r="D14791" s="111" t="str">
        <f t="shared" ref="D14791:E14791" si="14789">TRIM(B14791)</f>
        <v>Tennessee</v>
      </c>
      <c r="E14791" s="111" t="str">
        <f t="shared" si="14789"/>
        <v>Whitwell</v>
      </c>
    </row>
    <row r="14792" spans="1:5">
      <c r="A14792" s="3" t="s">
        <v>26134</v>
      </c>
      <c r="B14792" s="110" t="s">
        <v>1372</v>
      </c>
      <c r="C14792" s="111" t="s">
        <v>14042</v>
      </c>
      <c r="D14792" s="111" t="str">
        <f t="shared" ref="D14792:E14792" si="14790">TRIM(B14792)</f>
        <v>Tennessee</v>
      </c>
      <c r="E14792" s="111" t="str">
        <f t="shared" si="14790"/>
        <v>Winchester</v>
      </c>
    </row>
    <row r="14793" spans="1:5">
      <c r="A14793" s="3" t="s">
        <v>26135</v>
      </c>
      <c r="B14793" s="110" t="s">
        <v>1372</v>
      </c>
      <c r="C14793" s="111" t="s">
        <v>8789</v>
      </c>
      <c r="D14793" s="111" t="str">
        <f t="shared" ref="D14793:E14793" si="14791">TRIM(B14793)</f>
        <v>Tennessee</v>
      </c>
      <c r="E14793" s="111" t="str">
        <f t="shared" si="14791"/>
        <v>Woodbury</v>
      </c>
    </row>
    <row r="14794" spans="1:5">
      <c r="A14794" s="110" t="s">
        <v>26136</v>
      </c>
      <c r="B14794" s="110" t="s">
        <v>1373</v>
      </c>
      <c r="C14794" s="111" t="s">
        <v>5944</v>
      </c>
      <c r="D14794" s="111" t="str">
        <f t="shared" ref="D14794:E14794" si="14792">TRIM(B14794)</f>
        <v>Texas</v>
      </c>
      <c r="E14794" s="111" t="str">
        <f t="shared" si="14792"/>
        <v>Abernathy</v>
      </c>
    </row>
    <row r="14795" spans="1:5">
      <c r="A14795" s="110" t="s">
        <v>26137</v>
      </c>
      <c r="B14795" s="110" t="s">
        <v>1373</v>
      </c>
      <c r="C14795" s="111" t="s">
        <v>15147</v>
      </c>
      <c r="D14795" s="111" t="str">
        <f t="shared" ref="D14795:E14795" si="14793">TRIM(B14795)</f>
        <v>Texas</v>
      </c>
      <c r="E14795" s="111" t="str">
        <f t="shared" si="14793"/>
        <v>Abilene</v>
      </c>
    </row>
    <row r="14796" spans="1:5">
      <c r="A14796" s="3" t="s">
        <v>26138</v>
      </c>
      <c r="B14796" s="110" t="s">
        <v>1373</v>
      </c>
      <c r="C14796" s="111" t="s">
        <v>15147</v>
      </c>
      <c r="D14796" s="111" t="str">
        <f t="shared" ref="D14796:E14796" si="14794">TRIM(B14796)</f>
        <v>Texas</v>
      </c>
      <c r="E14796" s="111" t="str">
        <f t="shared" si="14794"/>
        <v>Abilene</v>
      </c>
    </row>
    <row r="14797" spans="1:5">
      <c r="A14797" s="110" t="s">
        <v>26139</v>
      </c>
      <c r="B14797" s="110" t="s">
        <v>1373</v>
      </c>
      <c r="C14797" s="111" t="s">
        <v>15147</v>
      </c>
      <c r="D14797" s="111" t="str">
        <f t="shared" ref="D14797:E14797" si="14795">TRIM(B14797)</f>
        <v>Texas</v>
      </c>
      <c r="E14797" s="111" t="str">
        <f t="shared" si="14795"/>
        <v>Abilene</v>
      </c>
    </row>
    <row r="14798" spans="1:5">
      <c r="A14798" s="110" t="s">
        <v>26140</v>
      </c>
      <c r="B14798" s="110" t="s">
        <v>1373</v>
      </c>
      <c r="C14798" s="111" t="s">
        <v>15147</v>
      </c>
      <c r="D14798" s="111" t="str">
        <f t="shared" ref="D14798:E14798" si="14796">TRIM(B14798)</f>
        <v>Texas</v>
      </c>
      <c r="E14798" s="111" t="str">
        <f t="shared" si="14796"/>
        <v>Abilene</v>
      </c>
    </row>
    <row r="14799" spans="1:5">
      <c r="A14799" s="110" t="s">
        <v>26141</v>
      </c>
      <c r="B14799" s="110" t="s">
        <v>1373</v>
      </c>
      <c r="C14799" s="111" t="s">
        <v>26142</v>
      </c>
      <c r="D14799" s="111" t="str">
        <f t="shared" ref="D14799:E14799" si="14797">TRIM(B14799)</f>
        <v>Texas</v>
      </c>
      <c r="E14799" s="111" t="str">
        <f t="shared" si="14797"/>
        <v>Agua Dulce</v>
      </c>
    </row>
    <row r="14800" spans="1:5">
      <c r="A14800" s="110" t="s">
        <v>26143</v>
      </c>
      <c r="B14800" s="110" t="s">
        <v>1373</v>
      </c>
      <c r="C14800" s="111" t="s">
        <v>10294</v>
      </c>
      <c r="D14800" s="111" t="str">
        <f t="shared" ref="D14800:E14800" si="14798">TRIM(B14800)</f>
        <v>Texas</v>
      </c>
      <c r="E14800" s="111" t="str">
        <f t="shared" si="14798"/>
        <v>Alamo</v>
      </c>
    </row>
    <row r="14801" spans="1:5">
      <c r="A14801" s="110" t="s">
        <v>26144</v>
      </c>
      <c r="B14801" s="110" t="s">
        <v>1373</v>
      </c>
      <c r="C14801" s="111" t="s">
        <v>10294</v>
      </c>
      <c r="D14801" s="111" t="str">
        <f t="shared" ref="D14801:E14801" si="14799">TRIM(B14801)</f>
        <v>Texas</v>
      </c>
      <c r="E14801" s="111" t="str">
        <f t="shared" si="14799"/>
        <v>Alamo</v>
      </c>
    </row>
    <row r="14802" spans="1:5">
      <c r="A14802" s="110" t="s">
        <v>26145</v>
      </c>
      <c r="B14802" s="110" t="s">
        <v>1373</v>
      </c>
      <c r="C14802" s="111" t="s">
        <v>26146</v>
      </c>
      <c r="D14802" s="111" t="str">
        <f t="shared" ref="D14802:E14802" si="14800">TRIM(B14802)</f>
        <v>Texas</v>
      </c>
      <c r="E14802" s="111" t="str">
        <f t="shared" si="14800"/>
        <v>Alba</v>
      </c>
    </row>
    <row r="14803" spans="1:5">
      <c r="A14803" s="110" t="s">
        <v>26147</v>
      </c>
      <c r="B14803" s="110" t="s">
        <v>1373</v>
      </c>
      <c r="C14803" s="111" t="s">
        <v>182</v>
      </c>
      <c r="D14803" s="111" t="str">
        <f t="shared" ref="D14803:E14803" si="14801">TRIM(B14803)</f>
        <v>Texas</v>
      </c>
      <c r="E14803" s="111" t="str">
        <f t="shared" si="14801"/>
        <v>Albany</v>
      </c>
    </row>
    <row r="14804" spans="1:5">
      <c r="A14804" s="110" t="s">
        <v>26148</v>
      </c>
      <c r="B14804" s="110" t="s">
        <v>1373</v>
      </c>
      <c r="C14804" s="111" t="s">
        <v>11953</v>
      </c>
      <c r="D14804" s="111" t="str">
        <f t="shared" ref="D14804:E14804" si="14802">TRIM(B14804)</f>
        <v>Texas</v>
      </c>
      <c r="E14804" s="111" t="str">
        <f t="shared" si="14802"/>
        <v>Aledo</v>
      </c>
    </row>
    <row r="14805" spans="1:5">
      <c r="A14805" s="110" t="s">
        <v>26149</v>
      </c>
      <c r="B14805" s="110" t="s">
        <v>1373</v>
      </c>
      <c r="C14805" s="111" t="s">
        <v>26150</v>
      </c>
      <c r="D14805" s="111" t="str">
        <f t="shared" ref="D14805:E14805" si="14803">TRIM(B14805)</f>
        <v>Texas</v>
      </c>
      <c r="E14805" s="111" t="str">
        <f t="shared" si="14803"/>
        <v>Alice</v>
      </c>
    </row>
    <row r="14806" spans="1:5">
      <c r="A14806" s="110" t="s">
        <v>26151</v>
      </c>
      <c r="B14806" s="110" t="s">
        <v>1373</v>
      </c>
      <c r="C14806" s="111" t="s">
        <v>754</v>
      </c>
      <c r="D14806" s="111" t="str">
        <f t="shared" ref="D14806:E14806" si="14804">TRIM(B14806)</f>
        <v>Texas</v>
      </c>
      <c r="E14806" s="111" t="str">
        <f t="shared" si="14804"/>
        <v>Allen</v>
      </c>
    </row>
    <row r="14807" spans="1:5">
      <c r="A14807" s="110" t="s">
        <v>26152</v>
      </c>
      <c r="B14807" s="110" t="s">
        <v>1373</v>
      </c>
      <c r="C14807" s="111" t="s">
        <v>1496</v>
      </c>
      <c r="D14807" s="111" t="str">
        <f t="shared" ref="D14807:E14807" si="14805">TRIM(B14807)</f>
        <v>Texas</v>
      </c>
      <c r="E14807" s="111" t="str">
        <f t="shared" si="14805"/>
        <v>Alpine</v>
      </c>
    </row>
    <row r="14808" spans="1:5">
      <c r="A14808" s="110" t="s">
        <v>26153</v>
      </c>
      <c r="B14808" s="110" t="s">
        <v>1373</v>
      </c>
      <c r="C14808" s="111" t="s">
        <v>26154</v>
      </c>
      <c r="D14808" s="111" t="str">
        <f t="shared" ref="D14808:E14808" si="14806">TRIM(B14808)</f>
        <v>Texas</v>
      </c>
      <c r="E14808" s="111" t="str">
        <f t="shared" si="14806"/>
        <v>Altair</v>
      </c>
    </row>
    <row r="14809" spans="1:5">
      <c r="A14809" s="110" t="s">
        <v>26155</v>
      </c>
      <c r="B14809" s="110" t="s">
        <v>1373</v>
      </c>
      <c r="C14809" s="111" t="s">
        <v>26156</v>
      </c>
      <c r="D14809" s="111" t="str">
        <f t="shared" ref="D14809:E14809" si="14807">TRIM(B14809)</f>
        <v>Texas</v>
      </c>
      <c r="E14809" s="111" t="str">
        <f t="shared" si="14807"/>
        <v>Alto</v>
      </c>
    </row>
    <row r="14810" spans="1:5">
      <c r="A14810" s="110" t="s">
        <v>26157</v>
      </c>
      <c r="B14810" s="110" t="s">
        <v>1373</v>
      </c>
      <c r="C14810" s="111" t="s">
        <v>435</v>
      </c>
      <c r="D14810" s="111" t="str">
        <f t="shared" ref="D14810:E14810" si="14808">TRIM(B14810)</f>
        <v>Texas</v>
      </c>
      <c r="E14810" s="111" t="str">
        <f t="shared" si="14808"/>
        <v>Alton</v>
      </c>
    </row>
    <row r="14811" spans="1:5">
      <c r="A14811" s="110" t="s">
        <v>26158</v>
      </c>
      <c r="B14811" s="110" t="s">
        <v>1373</v>
      </c>
      <c r="C14811" s="111" t="s">
        <v>26159</v>
      </c>
      <c r="D14811" s="111" t="str">
        <f t="shared" ref="D14811:E14811" si="14809">TRIM(B14811)</f>
        <v>Texas</v>
      </c>
      <c r="E14811" s="111" t="str">
        <f t="shared" si="14809"/>
        <v>Alvarado</v>
      </c>
    </row>
    <row r="14812" spans="1:5">
      <c r="A14812" s="110" t="s">
        <v>26160</v>
      </c>
      <c r="B14812" s="110" t="s">
        <v>1373</v>
      </c>
      <c r="C14812" s="111" t="s">
        <v>26161</v>
      </c>
      <c r="D14812" s="111" t="str">
        <f t="shared" ref="D14812:E14812" si="14810">TRIM(B14812)</f>
        <v>Texas</v>
      </c>
      <c r="E14812" s="111" t="str">
        <f t="shared" si="14810"/>
        <v>Alvin</v>
      </c>
    </row>
    <row r="14813" spans="1:5">
      <c r="A14813" s="110" t="s">
        <v>26162</v>
      </c>
      <c r="B14813" s="110" t="s">
        <v>1373</v>
      </c>
      <c r="C14813" s="111" t="s">
        <v>26161</v>
      </c>
      <c r="D14813" s="111" t="str">
        <f t="shared" ref="D14813:E14813" si="14811">TRIM(B14813)</f>
        <v>Texas</v>
      </c>
      <c r="E14813" s="111" t="str">
        <f t="shared" si="14811"/>
        <v>Alvin</v>
      </c>
    </row>
    <row r="14814" spans="1:5">
      <c r="A14814" s="110" t="s">
        <v>26163</v>
      </c>
      <c r="B14814" s="110" t="s">
        <v>1373</v>
      </c>
      <c r="C14814" s="111" t="s">
        <v>26164</v>
      </c>
      <c r="D14814" s="111" t="str">
        <f t="shared" ref="D14814:E14814" si="14812">TRIM(B14814)</f>
        <v>Texas</v>
      </c>
      <c r="E14814" s="111" t="str">
        <f t="shared" si="14812"/>
        <v>Alvord</v>
      </c>
    </row>
    <row r="14815" spans="1:5">
      <c r="A14815" s="110" t="s">
        <v>26165</v>
      </c>
      <c r="B14815" s="110" t="s">
        <v>1373</v>
      </c>
      <c r="C14815" s="111" t="s">
        <v>3111</v>
      </c>
      <c r="D14815" s="111" t="str">
        <f t="shared" ref="D14815:E14815" si="14813">TRIM(B14815)</f>
        <v>Texas</v>
      </c>
      <c r="E14815" s="111" t="str">
        <f t="shared" si="14813"/>
        <v>Amarillo</v>
      </c>
    </row>
    <row r="14816" spans="1:5">
      <c r="A14816" s="110" t="s">
        <v>26166</v>
      </c>
      <c r="B14816" s="110" t="s">
        <v>1373</v>
      </c>
      <c r="C14816" s="111" t="s">
        <v>3111</v>
      </c>
      <c r="D14816" s="111" t="str">
        <f t="shared" ref="D14816:E14816" si="14814">TRIM(B14816)</f>
        <v>Texas</v>
      </c>
      <c r="E14816" s="111" t="str">
        <f t="shared" si="14814"/>
        <v>Amarillo</v>
      </c>
    </row>
    <row r="14817" spans="1:5">
      <c r="A14817" s="110" t="s">
        <v>26167</v>
      </c>
      <c r="B14817" s="110" t="s">
        <v>1373</v>
      </c>
      <c r="C14817" s="111" t="s">
        <v>3111</v>
      </c>
      <c r="D14817" s="111" t="str">
        <f t="shared" ref="D14817:E14817" si="14815">TRIM(B14817)</f>
        <v>Texas</v>
      </c>
      <c r="E14817" s="111" t="str">
        <f t="shared" si="14815"/>
        <v>Amarillo</v>
      </c>
    </row>
    <row r="14818" spans="1:5">
      <c r="A14818" s="3" t="s">
        <v>26168</v>
      </c>
      <c r="B14818" s="110" t="s">
        <v>1373</v>
      </c>
      <c r="C14818" s="111" t="s">
        <v>3111</v>
      </c>
      <c r="D14818" s="111" t="str">
        <f t="shared" ref="D14818:E14818" si="14816">TRIM(B14818)</f>
        <v>Texas</v>
      </c>
      <c r="E14818" s="111" t="str">
        <f t="shared" si="14816"/>
        <v>Amarillo</v>
      </c>
    </row>
    <row r="14819" spans="1:5">
      <c r="A14819" s="110" t="s">
        <v>26169</v>
      </c>
      <c r="B14819" s="110" t="s">
        <v>1373</v>
      </c>
      <c r="C14819" s="111" t="s">
        <v>3111</v>
      </c>
      <c r="D14819" s="111" t="str">
        <f t="shared" ref="D14819:E14819" si="14817">TRIM(B14819)</f>
        <v>Texas</v>
      </c>
      <c r="E14819" s="111" t="str">
        <f t="shared" si="14817"/>
        <v>Amarillo</v>
      </c>
    </row>
    <row r="14820" spans="1:5">
      <c r="A14820" s="110" t="s">
        <v>26170</v>
      </c>
      <c r="B14820" s="110" t="s">
        <v>1373</v>
      </c>
      <c r="C14820" s="111" t="s">
        <v>3111</v>
      </c>
      <c r="D14820" s="111" t="str">
        <f t="shared" ref="D14820:E14820" si="14818">TRIM(B14820)</f>
        <v>Texas</v>
      </c>
      <c r="E14820" s="111" t="str">
        <f t="shared" si="14818"/>
        <v>Amarillo</v>
      </c>
    </row>
    <row r="14821" spans="1:5">
      <c r="A14821" s="110" t="s">
        <v>26171</v>
      </c>
      <c r="B14821" s="110" t="s">
        <v>1373</v>
      </c>
      <c r="C14821" s="111" t="s">
        <v>3111</v>
      </c>
      <c r="D14821" s="111" t="str">
        <f t="shared" ref="D14821:E14821" si="14819">TRIM(B14821)</f>
        <v>Texas</v>
      </c>
      <c r="E14821" s="111" t="str">
        <f t="shared" si="14819"/>
        <v>Amarillo</v>
      </c>
    </row>
    <row r="14822" spans="1:5">
      <c r="A14822" s="110" t="s">
        <v>26172</v>
      </c>
      <c r="B14822" s="110" t="s">
        <v>1373</v>
      </c>
      <c r="C14822" s="111" t="s">
        <v>3111</v>
      </c>
      <c r="D14822" s="111" t="str">
        <f t="shared" ref="D14822:E14822" si="14820">TRIM(B14822)</f>
        <v>Texas</v>
      </c>
      <c r="E14822" s="111" t="str">
        <f t="shared" si="14820"/>
        <v>Amarillo</v>
      </c>
    </row>
    <row r="14823" spans="1:5">
      <c r="A14823" s="110" t="s">
        <v>26173</v>
      </c>
      <c r="B14823" s="110" t="s">
        <v>1373</v>
      </c>
      <c r="C14823" s="111" t="s">
        <v>26174</v>
      </c>
      <c r="D14823" s="111" t="str">
        <f t="shared" ref="D14823:E14823" si="14821">TRIM(B14823)</f>
        <v>Texas</v>
      </c>
      <c r="E14823" s="111" t="str">
        <f t="shared" si="14821"/>
        <v>Anahuac</v>
      </c>
    </row>
    <row r="14824" spans="1:5">
      <c r="A14824" s="110" t="s">
        <v>26175</v>
      </c>
      <c r="B14824" s="110" t="s">
        <v>1373</v>
      </c>
      <c r="C14824" s="111" t="s">
        <v>4345</v>
      </c>
      <c r="D14824" s="111" t="str">
        <f t="shared" ref="D14824:E14824" si="14822">TRIM(B14824)</f>
        <v>Texas</v>
      </c>
      <c r="E14824" s="111" t="str">
        <f t="shared" si="14822"/>
        <v>Anderson</v>
      </c>
    </row>
    <row r="14825" spans="1:5">
      <c r="A14825" s="110" t="s">
        <v>26176</v>
      </c>
      <c r="B14825" s="110" t="s">
        <v>1373</v>
      </c>
      <c r="C14825" s="111" t="s">
        <v>21988</v>
      </c>
      <c r="D14825" s="111" t="str">
        <f t="shared" ref="D14825:E14825" si="14823">TRIM(B14825)</f>
        <v>Texas</v>
      </c>
      <c r="E14825" s="111" t="str">
        <f t="shared" si="14823"/>
        <v>Andrews</v>
      </c>
    </row>
    <row r="14826" spans="1:5">
      <c r="A14826" s="110" t="s">
        <v>26177</v>
      </c>
      <c r="B14826" s="110" t="s">
        <v>1373</v>
      </c>
      <c r="C14826" s="111" t="s">
        <v>26178</v>
      </c>
      <c r="D14826" s="111" t="str">
        <f t="shared" ref="D14826:E14826" si="14824">TRIM(B14826)</f>
        <v>Texas</v>
      </c>
      <c r="E14826" s="111" t="str">
        <f t="shared" si="14824"/>
        <v>Angleton</v>
      </c>
    </row>
    <row r="14827" spans="1:5">
      <c r="A14827" s="110" t="s">
        <v>26179</v>
      </c>
      <c r="B14827" s="110" t="s">
        <v>1373</v>
      </c>
      <c r="C14827" s="111" t="s">
        <v>11971</v>
      </c>
      <c r="D14827" s="111" t="str">
        <f t="shared" ref="D14827:E14827" si="14825">TRIM(B14827)</f>
        <v>Texas</v>
      </c>
      <c r="E14827" s="111" t="str">
        <f t="shared" si="14825"/>
        <v>Anna</v>
      </c>
    </row>
    <row r="14828" spans="1:5">
      <c r="A14828" s="110" t="s">
        <v>26180</v>
      </c>
      <c r="B14828" s="110" t="s">
        <v>1373</v>
      </c>
      <c r="C14828" s="111" t="s">
        <v>26181</v>
      </c>
      <c r="D14828" s="111" t="str">
        <f t="shared" ref="D14828:E14828" si="14826">TRIM(B14828)</f>
        <v>Texas</v>
      </c>
      <c r="E14828" s="111" t="str">
        <f t="shared" si="14826"/>
        <v>Anson</v>
      </c>
    </row>
    <row r="14829" spans="1:5">
      <c r="A14829" s="110" t="s">
        <v>26182</v>
      </c>
      <c r="B14829" s="110" t="s">
        <v>1373</v>
      </c>
      <c r="C14829" s="111" t="s">
        <v>15157</v>
      </c>
      <c r="D14829" s="111" t="str">
        <f t="shared" ref="D14829:E14829" si="14827">TRIM(B14829)</f>
        <v>Texas</v>
      </c>
      <c r="E14829" s="111" t="str">
        <f t="shared" si="14827"/>
        <v>Anthony</v>
      </c>
    </row>
    <row r="14830" spans="1:5">
      <c r="A14830" s="110" t="s">
        <v>26183</v>
      </c>
      <c r="B14830" s="110" t="s">
        <v>1373</v>
      </c>
      <c r="C14830" s="111" t="s">
        <v>26184</v>
      </c>
      <c r="D14830" s="111" t="str">
        <f t="shared" ref="D14830:E14830" si="14828">TRIM(B14830)</f>
        <v>Texas</v>
      </c>
      <c r="E14830" s="111" t="str">
        <f t="shared" si="14828"/>
        <v>Apple Springs</v>
      </c>
    </row>
    <row r="14831" spans="1:5">
      <c r="A14831" s="110" t="s">
        <v>26185</v>
      </c>
      <c r="B14831" s="110" t="s">
        <v>1373</v>
      </c>
      <c r="C14831" s="111" t="s">
        <v>26186</v>
      </c>
      <c r="D14831" s="111" t="str">
        <f t="shared" ref="D14831:E14831" si="14829">TRIM(B14831)</f>
        <v>Texas</v>
      </c>
      <c r="E14831" s="111" t="str">
        <f t="shared" si="14829"/>
        <v>Aransas Pass</v>
      </c>
    </row>
    <row r="14832" spans="1:5">
      <c r="A14832" s="110" t="s">
        <v>26187</v>
      </c>
      <c r="B14832" s="110" t="s">
        <v>1373</v>
      </c>
      <c r="C14832" s="111" t="s">
        <v>26188</v>
      </c>
      <c r="D14832" s="111" t="str">
        <f t="shared" ref="D14832:E14832" si="14830">TRIM(B14832)</f>
        <v>Texas</v>
      </c>
      <c r="E14832" s="111" t="str">
        <f t="shared" si="14830"/>
        <v>Archer City</v>
      </c>
    </row>
    <row r="14833" spans="1:5">
      <c r="A14833" s="110" t="s">
        <v>26189</v>
      </c>
      <c r="B14833" s="110" t="s">
        <v>1373</v>
      </c>
      <c r="C14833" s="111" t="s">
        <v>1698</v>
      </c>
      <c r="D14833" s="111" t="str">
        <f t="shared" ref="D14833:E14833" si="14831">TRIM(B14833)</f>
        <v>Texas</v>
      </c>
      <c r="E14833" s="111" t="str">
        <f t="shared" si="14831"/>
        <v>Argyle</v>
      </c>
    </row>
    <row r="14834" spans="1:5">
      <c r="A14834" s="110" t="s">
        <v>26190</v>
      </c>
      <c r="B14834" s="110" t="s">
        <v>1373</v>
      </c>
      <c r="C14834" s="111" t="s">
        <v>1048</v>
      </c>
      <c r="D14834" s="111" t="str">
        <f t="shared" ref="D14834:E14834" si="14832">TRIM(B14834)</f>
        <v>Texas</v>
      </c>
      <c r="E14834" s="111" t="str">
        <f t="shared" si="14832"/>
        <v>Arlington</v>
      </c>
    </row>
    <row r="14835" spans="1:5">
      <c r="A14835" s="110" t="s">
        <v>26191</v>
      </c>
      <c r="B14835" s="110" t="s">
        <v>1373</v>
      </c>
      <c r="C14835" s="111" t="s">
        <v>1048</v>
      </c>
      <c r="D14835" s="111" t="str">
        <f t="shared" ref="D14835:E14835" si="14833">TRIM(B14835)</f>
        <v>Texas</v>
      </c>
      <c r="E14835" s="111" t="str">
        <f t="shared" si="14833"/>
        <v>Arlington</v>
      </c>
    </row>
    <row r="14836" spans="1:5">
      <c r="A14836" s="110" t="s">
        <v>26192</v>
      </c>
      <c r="B14836" s="110" t="s">
        <v>1373</v>
      </c>
      <c r="C14836" s="111" t="s">
        <v>1048</v>
      </c>
      <c r="D14836" s="111" t="str">
        <f t="shared" ref="D14836:E14836" si="14834">TRIM(B14836)</f>
        <v>Texas</v>
      </c>
      <c r="E14836" s="111" t="str">
        <f t="shared" si="14834"/>
        <v>Arlington</v>
      </c>
    </row>
    <row r="14837" spans="1:5">
      <c r="A14837" s="110" t="s">
        <v>26193</v>
      </c>
      <c r="B14837" s="110" t="s">
        <v>1373</v>
      </c>
      <c r="C14837" s="111" t="s">
        <v>1048</v>
      </c>
      <c r="D14837" s="111" t="str">
        <f t="shared" ref="D14837:E14837" si="14835">TRIM(B14837)</f>
        <v>Texas</v>
      </c>
      <c r="E14837" s="111" t="str">
        <f t="shared" si="14835"/>
        <v>Arlington</v>
      </c>
    </row>
    <row r="14838" spans="1:5">
      <c r="A14838" s="110" t="s">
        <v>26194</v>
      </c>
      <c r="B14838" s="110" t="s">
        <v>1373</v>
      </c>
      <c r="C14838" s="111" t="s">
        <v>1048</v>
      </c>
      <c r="D14838" s="111" t="str">
        <f t="shared" ref="D14838:E14838" si="14836">TRIM(B14838)</f>
        <v>Texas</v>
      </c>
      <c r="E14838" s="111" t="str">
        <f t="shared" si="14836"/>
        <v>Arlington</v>
      </c>
    </row>
    <row r="14839" spans="1:5">
      <c r="A14839" s="110" t="s">
        <v>26195</v>
      </c>
      <c r="B14839" s="110" t="s">
        <v>1373</v>
      </c>
      <c r="C14839" s="111" t="s">
        <v>1048</v>
      </c>
      <c r="D14839" s="111" t="str">
        <f t="shared" ref="D14839:E14839" si="14837">TRIM(B14839)</f>
        <v>Texas</v>
      </c>
      <c r="E14839" s="111" t="str">
        <f t="shared" si="14837"/>
        <v>Arlington</v>
      </c>
    </row>
    <row r="14840" spans="1:5">
      <c r="A14840" s="110" t="s">
        <v>26196</v>
      </c>
      <c r="B14840" s="110" t="s">
        <v>1373</v>
      </c>
      <c r="C14840" s="111" t="s">
        <v>1048</v>
      </c>
      <c r="D14840" s="111" t="str">
        <f t="shared" ref="D14840:E14840" si="14838">TRIM(B14840)</f>
        <v>Texas</v>
      </c>
      <c r="E14840" s="111" t="str">
        <f t="shared" si="14838"/>
        <v>Arlington</v>
      </c>
    </row>
    <row r="14841" spans="1:5">
      <c r="A14841" s="110" t="s">
        <v>26197</v>
      </c>
      <c r="B14841" s="110" t="s">
        <v>1373</v>
      </c>
      <c r="C14841" s="111" t="s">
        <v>1048</v>
      </c>
      <c r="D14841" s="111" t="str">
        <f t="shared" ref="D14841:E14841" si="14839">TRIM(B14841)</f>
        <v>Texas</v>
      </c>
      <c r="E14841" s="111" t="str">
        <f t="shared" si="14839"/>
        <v>Arlington</v>
      </c>
    </row>
    <row r="14842" spans="1:5">
      <c r="A14842" s="110" t="s">
        <v>26198</v>
      </c>
      <c r="B14842" s="110" t="s">
        <v>1373</v>
      </c>
      <c r="C14842" s="111" t="s">
        <v>1048</v>
      </c>
      <c r="D14842" s="111" t="str">
        <f t="shared" ref="D14842:E14842" si="14840">TRIM(B14842)</f>
        <v>Texas</v>
      </c>
      <c r="E14842" s="111" t="str">
        <f t="shared" si="14840"/>
        <v>Arlington</v>
      </c>
    </row>
    <row r="14843" spans="1:5">
      <c r="A14843" s="110" t="s">
        <v>26199</v>
      </c>
      <c r="B14843" s="110" t="s">
        <v>1373</v>
      </c>
      <c r="C14843" s="111" t="s">
        <v>26200</v>
      </c>
      <c r="D14843" s="111" t="str">
        <f t="shared" ref="D14843:E14843" si="14841">TRIM(B14843)</f>
        <v>Texas</v>
      </c>
      <c r="E14843" s="111" t="str">
        <f t="shared" si="14841"/>
        <v>Arp</v>
      </c>
    </row>
    <row r="14844" spans="1:5">
      <c r="A14844" s="110" t="s">
        <v>26201</v>
      </c>
      <c r="B14844" s="110" t="s">
        <v>1373</v>
      </c>
      <c r="C14844" s="111" t="s">
        <v>26202</v>
      </c>
      <c r="D14844" s="111" t="str">
        <f t="shared" ref="D14844:E14844" si="14842">TRIM(B14844)</f>
        <v>Texas</v>
      </c>
      <c r="E14844" s="111" t="str">
        <f t="shared" si="14842"/>
        <v>Aspermont</v>
      </c>
    </row>
    <row r="14845" spans="1:5">
      <c r="A14845" s="110" t="s">
        <v>26203</v>
      </c>
      <c r="B14845" s="110" t="s">
        <v>1373</v>
      </c>
      <c r="C14845" s="111" t="s">
        <v>327</v>
      </c>
      <c r="D14845" s="111" t="str">
        <f t="shared" ref="D14845:E14845" si="14843">TRIM(B14845)</f>
        <v>Texas</v>
      </c>
      <c r="E14845" s="111" t="str">
        <f t="shared" si="14843"/>
        <v>Athens</v>
      </c>
    </row>
    <row r="14846" spans="1:5">
      <c r="A14846" s="110" t="s">
        <v>26204</v>
      </c>
      <c r="B14846" s="110" t="s">
        <v>1373</v>
      </c>
      <c r="C14846" s="111" t="s">
        <v>149</v>
      </c>
      <c r="D14846" s="111" t="str">
        <f t="shared" ref="D14846:E14846" si="14844">TRIM(B14846)</f>
        <v>Texas</v>
      </c>
      <c r="E14846" s="111" t="str">
        <f t="shared" si="14844"/>
        <v>Atlanta</v>
      </c>
    </row>
    <row r="14847" spans="1:5">
      <c r="A14847" s="110" t="s">
        <v>26205</v>
      </c>
      <c r="B14847" s="110" t="s">
        <v>1373</v>
      </c>
      <c r="C14847" s="111" t="s">
        <v>26206</v>
      </c>
      <c r="D14847" s="111" t="str">
        <f t="shared" ref="D14847:E14847" si="14845">TRIM(B14847)</f>
        <v>Texas</v>
      </c>
      <c r="E14847" s="111" t="str">
        <f t="shared" si="14845"/>
        <v>Aubrey</v>
      </c>
    </row>
    <row r="14848" spans="1:5">
      <c r="A14848" s="110" t="s">
        <v>26207</v>
      </c>
      <c r="B14848" s="110" t="s">
        <v>1373</v>
      </c>
      <c r="C14848" s="111" t="s">
        <v>26206</v>
      </c>
      <c r="D14848" s="111" t="str">
        <f t="shared" ref="D14848:E14848" si="14846">TRIM(B14848)</f>
        <v>Texas</v>
      </c>
      <c r="E14848" s="111" t="str">
        <f t="shared" si="14846"/>
        <v>Aubrey</v>
      </c>
    </row>
    <row r="14849" spans="1:5">
      <c r="A14849" s="110" t="s">
        <v>26208</v>
      </c>
      <c r="B14849" s="110" t="s">
        <v>1373</v>
      </c>
      <c r="C14849" s="111" t="s">
        <v>574</v>
      </c>
      <c r="D14849" s="111" t="str">
        <f t="shared" ref="D14849:E14849" si="14847">TRIM(B14849)</f>
        <v>Texas</v>
      </c>
      <c r="E14849" s="111" t="str">
        <f t="shared" si="14847"/>
        <v>Austin</v>
      </c>
    </row>
    <row r="14850" spans="1:5">
      <c r="A14850" s="110" t="s">
        <v>26209</v>
      </c>
      <c r="B14850" s="110" t="s">
        <v>1373</v>
      </c>
      <c r="C14850" s="111" t="s">
        <v>574</v>
      </c>
      <c r="D14850" s="111" t="str">
        <f t="shared" ref="D14850:E14850" si="14848">TRIM(B14850)</f>
        <v>Texas</v>
      </c>
      <c r="E14850" s="111" t="str">
        <f t="shared" si="14848"/>
        <v>Austin</v>
      </c>
    </row>
    <row r="14851" spans="1:5">
      <c r="A14851" s="110" t="s">
        <v>26210</v>
      </c>
      <c r="B14851" s="110" t="s">
        <v>1373</v>
      </c>
      <c r="C14851" s="111" t="s">
        <v>574</v>
      </c>
      <c r="D14851" s="111" t="str">
        <f t="shared" ref="D14851:E14851" si="14849">TRIM(B14851)</f>
        <v>Texas</v>
      </c>
      <c r="E14851" s="111" t="str">
        <f t="shared" si="14849"/>
        <v>Austin</v>
      </c>
    </row>
    <row r="14852" spans="1:5">
      <c r="A14852" s="110" t="s">
        <v>26192</v>
      </c>
      <c r="B14852" s="110" t="s">
        <v>1373</v>
      </c>
      <c r="C14852" s="111" t="s">
        <v>574</v>
      </c>
      <c r="D14852" s="111" t="str">
        <f t="shared" ref="D14852:E14852" si="14850">TRIM(B14852)</f>
        <v>Texas</v>
      </c>
      <c r="E14852" s="111" t="str">
        <f t="shared" si="14850"/>
        <v>Austin</v>
      </c>
    </row>
    <row r="14853" spans="1:5">
      <c r="A14853" s="3" t="s">
        <v>26211</v>
      </c>
      <c r="B14853" s="110" t="s">
        <v>1373</v>
      </c>
      <c r="C14853" s="111" t="s">
        <v>574</v>
      </c>
      <c r="D14853" s="111" t="str">
        <f t="shared" ref="D14853:E14853" si="14851">TRIM(B14853)</f>
        <v>Texas</v>
      </c>
      <c r="E14853" s="111" t="str">
        <f t="shared" si="14851"/>
        <v>Austin</v>
      </c>
    </row>
    <row r="14854" spans="1:5">
      <c r="A14854" s="110" t="s">
        <v>26212</v>
      </c>
      <c r="B14854" s="110" t="s">
        <v>1373</v>
      </c>
      <c r="C14854" s="111" t="s">
        <v>574</v>
      </c>
      <c r="D14854" s="111" t="str">
        <f t="shared" ref="D14854:E14854" si="14852">TRIM(B14854)</f>
        <v>Texas</v>
      </c>
      <c r="E14854" s="111" t="str">
        <f t="shared" si="14852"/>
        <v>Austin</v>
      </c>
    </row>
    <row r="14855" spans="1:5">
      <c r="A14855" s="110" t="s">
        <v>26213</v>
      </c>
      <c r="B14855" s="110" t="s">
        <v>1373</v>
      </c>
      <c r="C14855" s="111" t="s">
        <v>574</v>
      </c>
      <c r="D14855" s="111" t="str">
        <f t="shared" ref="D14855:E14855" si="14853">TRIM(B14855)</f>
        <v>Texas</v>
      </c>
      <c r="E14855" s="111" t="str">
        <f t="shared" si="14853"/>
        <v>Austin</v>
      </c>
    </row>
    <row r="14856" spans="1:5">
      <c r="A14856" s="110" t="s">
        <v>26214</v>
      </c>
      <c r="B14856" s="110" t="s">
        <v>1373</v>
      </c>
      <c r="C14856" s="111" t="s">
        <v>574</v>
      </c>
      <c r="D14856" s="111" t="str">
        <f t="shared" ref="D14856:E14856" si="14854">TRIM(B14856)</f>
        <v>Texas</v>
      </c>
      <c r="E14856" s="111" t="str">
        <f t="shared" si="14854"/>
        <v>Austin</v>
      </c>
    </row>
    <row r="14857" spans="1:5">
      <c r="A14857" s="110" t="s">
        <v>26215</v>
      </c>
      <c r="B14857" s="110" t="s">
        <v>1373</v>
      </c>
      <c r="C14857" s="111" t="s">
        <v>574</v>
      </c>
      <c r="D14857" s="111" t="str">
        <f t="shared" ref="D14857:E14857" si="14855">TRIM(B14857)</f>
        <v>Texas</v>
      </c>
      <c r="E14857" s="111" t="str">
        <f t="shared" si="14855"/>
        <v>Austin</v>
      </c>
    </row>
    <row r="14858" spans="1:5">
      <c r="A14858" s="110" t="s">
        <v>26216</v>
      </c>
      <c r="B14858" s="110" t="s">
        <v>1373</v>
      </c>
      <c r="C14858" s="111" t="s">
        <v>574</v>
      </c>
      <c r="D14858" s="111" t="str">
        <f t="shared" ref="D14858:E14858" si="14856">TRIM(B14858)</f>
        <v>Texas</v>
      </c>
      <c r="E14858" s="111" t="str">
        <f t="shared" si="14856"/>
        <v>Austin</v>
      </c>
    </row>
    <row r="14859" spans="1:5">
      <c r="A14859" s="110" t="s">
        <v>26217</v>
      </c>
      <c r="B14859" s="110" t="s">
        <v>1373</v>
      </c>
      <c r="C14859" s="111" t="s">
        <v>574</v>
      </c>
      <c r="D14859" s="111" t="str">
        <f t="shared" ref="D14859:E14859" si="14857">TRIM(B14859)</f>
        <v>Texas</v>
      </c>
      <c r="E14859" s="111" t="str">
        <f t="shared" si="14857"/>
        <v>Austin</v>
      </c>
    </row>
    <row r="14860" spans="1:5">
      <c r="A14860" s="110" t="s">
        <v>26218</v>
      </c>
      <c r="B14860" s="110" t="s">
        <v>1373</v>
      </c>
      <c r="C14860" s="112" t="s">
        <v>574</v>
      </c>
      <c r="D14860" s="111" t="str">
        <f t="shared" ref="D14860:E14860" si="14858">TRIM(B14860)</f>
        <v>Texas</v>
      </c>
      <c r="E14860" s="111" t="str">
        <f t="shared" si="14858"/>
        <v>Austin</v>
      </c>
    </row>
    <row r="14861" spans="1:5">
      <c r="A14861" s="110" t="s">
        <v>26219</v>
      </c>
      <c r="B14861" s="110" t="s">
        <v>1373</v>
      </c>
      <c r="C14861" s="111" t="s">
        <v>574</v>
      </c>
      <c r="D14861" s="111" t="str">
        <f t="shared" ref="D14861:E14861" si="14859">TRIM(B14861)</f>
        <v>Texas</v>
      </c>
      <c r="E14861" s="111" t="str">
        <f t="shared" si="14859"/>
        <v>Austin</v>
      </c>
    </row>
    <row r="14862" spans="1:5">
      <c r="A14862" s="110" t="s">
        <v>26220</v>
      </c>
      <c r="B14862" s="110" t="s">
        <v>1373</v>
      </c>
      <c r="C14862" s="111" t="s">
        <v>574</v>
      </c>
      <c r="D14862" s="111" t="str">
        <f t="shared" ref="D14862:E14862" si="14860">TRIM(B14862)</f>
        <v>Texas</v>
      </c>
      <c r="E14862" s="111" t="str">
        <f t="shared" si="14860"/>
        <v>Austin</v>
      </c>
    </row>
    <row r="14863" spans="1:5">
      <c r="A14863" s="3" t="s">
        <v>26221</v>
      </c>
      <c r="B14863" s="110" t="s">
        <v>1373</v>
      </c>
      <c r="C14863" s="111" t="s">
        <v>574</v>
      </c>
      <c r="D14863" s="111" t="str">
        <f t="shared" ref="D14863:E14863" si="14861">TRIM(B14863)</f>
        <v>Texas</v>
      </c>
      <c r="E14863" s="111" t="str">
        <f t="shared" si="14861"/>
        <v>Austin</v>
      </c>
    </row>
    <row r="14864" spans="1:5">
      <c r="A14864" s="110" t="s">
        <v>26222</v>
      </c>
      <c r="B14864" s="110" t="s">
        <v>1373</v>
      </c>
      <c r="C14864" s="111" t="s">
        <v>574</v>
      </c>
      <c r="D14864" s="111" t="str">
        <f t="shared" ref="D14864:E14864" si="14862">TRIM(B14864)</f>
        <v>Texas</v>
      </c>
      <c r="E14864" s="111" t="str">
        <f t="shared" si="14862"/>
        <v>Austin</v>
      </c>
    </row>
    <row r="14865" spans="1:5">
      <c r="A14865" s="110" t="s">
        <v>26223</v>
      </c>
      <c r="B14865" s="110" t="s">
        <v>1373</v>
      </c>
      <c r="C14865" s="111" t="s">
        <v>574</v>
      </c>
      <c r="D14865" s="111" t="str">
        <f t="shared" ref="D14865:E14865" si="14863">TRIM(B14865)</f>
        <v>Texas</v>
      </c>
      <c r="E14865" s="111" t="str">
        <f t="shared" si="14863"/>
        <v>Austin</v>
      </c>
    </row>
    <row r="14866" spans="1:5">
      <c r="A14866" s="110" t="s">
        <v>26224</v>
      </c>
      <c r="B14866" s="110" t="s">
        <v>1373</v>
      </c>
      <c r="C14866" s="111" t="s">
        <v>574</v>
      </c>
      <c r="D14866" s="111" t="str">
        <f t="shared" ref="D14866:E14866" si="14864">TRIM(B14866)</f>
        <v>Texas</v>
      </c>
      <c r="E14866" s="111" t="str">
        <f t="shared" si="14864"/>
        <v>Austin</v>
      </c>
    </row>
    <row r="14867" spans="1:5">
      <c r="A14867" s="110" t="s">
        <v>26225</v>
      </c>
      <c r="B14867" s="110" t="s">
        <v>1373</v>
      </c>
      <c r="C14867" s="111" t="s">
        <v>574</v>
      </c>
      <c r="D14867" s="111" t="str">
        <f t="shared" ref="D14867:E14867" si="14865">TRIM(B14867)</f>
        <v>Texas</v>
      </c>
      <c r="E14867" s="111" t="str">
        <f t="shared" si="14865"/>
        <v>Austin</v>
      </c>
    </row>
    <row r="14868" spans="1:5">
      <c r="A14868" s="110" t="s">
        <v>26226</v>
      </c>
      <c r="B14868" s="110" t="s">
        <v>1373</v>
      </c>
      <c r="C14868" s="111" t="s">
        <v>574</v>
      </c>
      <c r="D14868" s="111" t="str">
        <f t="shared" ref="D14868:E14868" si="14866">TRIM(B14868)</f>
        <v>Texas</v>
      </c>
      <c r="E14868" s="111" t="str">
        <f t="shared" si="14866"/>
        <v>Austin</v>
      </c>
    </row>
    <row r="14869" spans="1:5">
      <c r="A14869" s="110" t="s">
        <v>26227</v>
      </c>
      <c r="B14869" s="110" t="s">
        <v>1373</v>
      </c>
      <c r="C14869" s="111" t="s">
        <v>574</v>
      </c>
      <c r="D14869" s="111" t="str">
        <f t="shared" ref="D14869:E14869" si="14867">TRIM(B14869)</f>
        <v>Texas</v>
      </c>
      <c r="E14869" s="111" t="str">
        <f t="shared" si="14867"/>
        <v>Austin</v>
      </c>
    </row>
    <row r="14870" spans="1:5">
      <c r="A14870" s="110" t="s">
        <v>26228</v>
      </c>
      <c r="B14870" s="110" t="s">
        <v>1373</v>
      </c>
      <c r="C14870" s="111" t="s">
        <v>574</v>
      </c>
      <c r="D14870" s="111" t="str">
        <f t="shared" ref="D14870:E14870" si="14868">TRIM(B14870)</f>
        <v>Texas</v>
      </c>
      <c r="E14870" s="111" t="str">
        <f t="shared" si="14868"/>
        <v>Austin</v>
      </c>
    </row>
    <row r="14871" spans="1:5">
      <c r="A14871" s="110" t="s">
        <v>26229</v>
      </c>
      <c r="B14871" s="110" t="s">
        <v>1373</v>
      </c>
      <c r="C14871" s="111" t="s">
        <v>574</v>
      </c>
      <c r="D14871" s="111" t="str">
        <f t="shared" ref="D14871:E14871" si="14869">TRIM(B14871)</f>
        <v>Texas</v>
      </c>
      <c r="E14871" s="111" t="str">
        <f t="shared" si="14869"/>
        <v>Austin</v>
      </c>
    </row>
    <row r="14872" spans="1:5">
      <c r="A14872" s="110" t="s">
        <v>26230</v>
      </c>
      <c r="B14872" s="110" t="s">
        <v>1373</v>
      </c>
      <c r="C14872" s="111" t="s">
        <v>574</v>
      </c>
      <c r="D14872" s="111" t="str">
        <f t="shared" ref="D14872:E14872" si="14870">TRIM(B14872)</f>
        <v>Texas</v>
      </c>
      <c r="E14872" s="111" t="str">
        <f t="shared" si="14870"/>
        <v>Austin</v>
      </c>
    </row>
    <row r="14873" spans="1:5">
      <c r="A14873" s="110" t="s">
        <v>26231</v>
      </c>
      <c r="B14873" s="110" t="s">
        <v>1373</v>
      </c>
      <c r="C14873" s="111" t="s">
        <v>26232</v>
      </c>
      <c r="D14873" s="111" t="str">
        <f t="shared" ref="D14873:E14873" si="14871">TRIM(B14873)</f>
        <v>Texas</v>
      </c>
      <c r="E14873" s="111" t="str">
        <f t="shared" si="14871"/>
        <v>Avery</v>
      </c>
    </row>
    <row r="14874" spans="1:5">
      <c r="A14874" s="110" t="s">
        <v>26233</v>
      </c>
      <c r="B14874" s="110" t="s">
        <v>1373</v>
      </c>
      <c r="C14874" s="111" t="s">
        <v>14709</v>
      </c>
      <c r="D14874" s="111" t="str">
        <f t="shared" ref="D14874:E14874" si="14872">TRIM(B14874)</f>
        <v>Texas</v>
      </c>
      <c r="E14874" s="111" t="str">
        <f t="shared" si="14872"/>
        <v>Avoca</v>
      </c>
    </row>
    <row r="14875" spans="1:5">
      <c r="A14875" s="110" t="s">
        <v>26234</v>
      </c>
      <c r="B14875" s="110" t="s">
        <v>1373</v>
      </c>
      <c r="C14875" s="111" t="s">
        <v>15170</v>
      </c>
      <c r="D14875" s="111" t="str">
        <f t="shared" ref="D14875:E14875" si="14873">TRIM(B14875)</f>
        <v>Texas</v>
      </c>
      <c r="E14875" s="111" t="str">
        <f t="shared" si="14873"/>
        <v>Axtell</v>
      </c>
    </row>
    <row r="14876" spans="1:5">
      <c r="A14876" s="110" t="s">
        <v>26235</v>
      </c>
      <c r="B14876" s="110" t="s">
        <v>1373</v>
      </c>
      <c r="C14876" s="111" t="s">
        <v>26236</v>
      </c>
      <c r="D14876" s="111" t="str">
        <f t="shared" ref="D14876:E14876" si="14874">TRIM(B14876)</f>
        <v>Texas</v>
      </c>
      <c r="E14876" s="111" t="str">
        <f t="shared" si="14874"/>
        <v>Azle</v>
      </c>
    </row>
    <row r="14877" spans="1:5">
      <c r="A14877" s="110" t="s">
        <v>26237</v>
      </c>
      <c r="B14877" s="110" t="s">
        <v>1373</v>
      </c>
      <c r="C14877" s="111" t="s">
        <v>26238</v>
      </c>
      <c r="D14877" s="111" t="str">
        <f t="shared" ref="D14877:E14877" si="14875">TRIM(B14877)</f>
        <v>Texas</v>
      </c>
      <c r="E14877" s="111" t="str">
        <f t="shared" si="14875"/>
        <v>Baird</v>
      </c>
    </row>
    <row r="14878" spans="1:5">
      <c r="A14878" s="110" t="s">
        <v>26239</v>
      </c>
      <c r="B14878" s="110" t="s">
        <v>1373</v>
      </c>
      <c r="C14878" s="111" t="s">
        <v>26240</v>
      </c>
      <c r="D14878" s="111" t="str">
        <f t="shared" ref="D14878:E14878" si="14876">TRIM(B14878)</f>
        <v>Texas</v>
      </c>
      <c r="E14878" s="111" t="str">
        <f t="shared" si="14876"/>
        <v>Ballinger</v>
      </c>
    </row>
    <row r="14879" spans="1:5">
      <c r="A14879" s="110" t="s">
        <v>26241</v>
      </c>
      <c r="B14879" s="110" t="s">
        <v>1373</v>
      </c>
      <c r="C14879" s="111" t="s">
        <v>26242</v>
      </c>
      <c r="D14879" s="111" t="str">
        <f t="shared" ref="D14879:E14879" si="14877">TRIM(B14879)</f>
        <v>Texas</v>
      </c>
      <c r="E14879" s="111" t="str">
        <f t="shared" si="14877"/>
        <v>Bandera</v>
      </c>
    </row>
    <row r="14880" spans="1:5">
      <c r="A14880" s="110" t="s">
        <v>26243</v>
      </c>
      <c r="B14880" s="110" t="s">
        <v>1373</v>
      </c>
      <c r="C14880" s="111" t="s">
        <v>26244</v>
      </c>
      <c r="D14880" s="111" t="str">
        <f t="shared" ref="D14880:E14880" si="14878">TRIM(B14880)</f>
        <v>Texas</v>
      </c>
      <c r="E14880" s="111" t="str">
        <f t="shared" si="14878"/>
        <v>Bangs</v>
      </c>
    </row>
    <row r="14881" spans="1:5">
      <c r="A14881" s="110" t="s">
        <v>26245</v>
      </c>
      <c r="B14881" s="110" t="s">
        <v>1373</v>
      </c>
      <c r="C14881" s="111" t="s">
        <v>26246</v>
      </c>
      <c r="D14881" s="111" t="str">
        <f t="shared" ref="D14881:E14881" si="14879">TRIM(B14881)</f>
        <v>Texas</v>
      </c>
      <c r="E14881" s="111" t="str">
        <f t="shared" si="14879"/>
        <v>Banquete</v>
      </c>
    </row>
    <row r="14882" spans="1:5">
      <c r="A14882" s="3" t="s">
        <v>26247</v>
      </c>
      <c r="B14882" s="110" t="s">
        <v>1373</v>
      </c>
      <c r="C14882" s="111" t="s">
        <v>26248</v>
      </c>
      <c r="D14882" s="111" t="str">
        <f t="shared" ref="D14882:E14882" si="14880">TRIM(B14882)</f>
        <v>Texas</v>
      </c>
      <c r="E14882" s="111" t="str">
        <f t="shared" si="14880"/>
        <v>Barksdale</v>
      </c>
    </row>
    <row r="14883" spans="1:5">
      <c r="A14883" s="110" t="s">
        <v>26249</v>
      </c>
      <c r="B14883" s="110" t="s">
        <v>1373</v>
      </c>
      <c r="C14883" s="111" t="s">
        <v>10935</v>
      </c>
      <c r="D14883" s="111" t="str">
        <f t="shared" ref="D14883:E14883" si="14881">TRIM(B14883)</f>
        <v>Texas</v>
      </c>
      <c r="E14883" s="111" t="str">
        <f t="shared" si="14881"/>
        <v>Bastrop</v>
      </c>
    </row>
    <row r="14884" spans="1:5">
      <c r="A14884" s="3" t="s">
        <v>26250</v>
      </c>
      <c r="B14884" s="110" t="s">
        <v>1373</v>
      </c>
      <c r="C14884" s="111" t="s">
        <v>10935</v>
      </c>
      <c r="D14884" s="111" t="str">
        <f t="shared" ref="D14884:E14884" si="14882">TRIM(B14884)</f>
        <v>Texas</v>
      </c>
      <c r="E14884" s="111" t="str">
        <f t="shared" si="14882"/>
        <v>Bastrop</v>
      </c>
    </row>
    <row r="14885" spans="1:5">
      <c r="A14885" s="110" t="s">
        <v>26251</v>
      </c>
      <c r="B14885" s="110" t="s">
        <v>1373</v>
      </c>
      <c r="C14885" s="111" t="s">
        <v>11418</v>
      </c>
      <c r="D14885" s="111" t="str">
        <f t="shared" ref="D14885:E14885" si="14883">TRIM(B14885)</f>
        <v>Texas</v>
      </c>
      <c r="E14885" s="111" t="str">
        <f t="shared" si="14883"/>
        <v>Bay City</v>
      </c>
    </row>
    <row r="14886" spans="1:5">
      <c r="A14886" s="110" t="s">
        <v>26252</v>
      </c>
      <c r="B14886" s="110" t="s">
        <v>1373</v>
      </c>
      <c r="C14886" s="111" t="s">
        <v>26253</v>
      </c>
      <c r="D14886" s="111" t="str">
        <f t="shared" ref="D14886:E14886" si="14884">TRIM(B14886)</f>
        <v>Texas</v>
      </c>
      <c r="E14886" s="111" t="str">
        <f t="shared" si="14884"/>
        <v>Baytown</v>
      </c>
    </row>
    <row r="14887" spans="1:5">
      <c r="A14887" s="110" t="s">
        <v>26254</v>
      </c>
      <c r="B14887" s="110" t="s">
        <v>1373</v>
      </c>
      <c r="C14887" s="111" t="s">
        <v>26253</v>
      </c>
      <c r="D14887" s="111" t="str">
        <f t="shared" ref="D14887:E14887" si="14885">TRIM(B14887)</f>
        <v>Texas</v>
      </c>
      <c r="E14887" s="111" t="str">
        <f t="shared" si="14885"/>
        <v>Baytown</v>
      </c>
    </row>
    <row r="14888" spans="1:5">
      <c r="A14888" s="110" t="s">
        <v>26255</v>
      </c>
      <c r="B14888" s="110" t="s">
        <v>1373</v>
      </c>
      <c r="C14888" s="111" t="s">
        <v>26253</v>
      </c>
      <c r="D14888" s="111" t="str">
        <f t="shared" ref="D14888:E14888" si="14886">TRIM(B14888)</f>
        <v>Texas</v>
      </c>
      <c r="E14888" s="111" t="str">
        <f t="shared" si="14886"/>
        <v>Baytown</v>
      </c>
    </row>
    <row r="14889" spans="1:5">
      <c r="A14889" s="110" t="s">
        <v>26256</v>
      </c>
      <c r="B14889" s="110" t="s">
        <v>1373</v>
      </c>
      <c r="C14889" s="111" t="s">
        <v>26253</v>
      </c>
      <c r="D14889" s="111" t="str">
        <f t="shared" ref="D14889:E14889" si="14887">TRIM(B14889)</f>
        <v>Texas</v>
      </c>
      <c r="E14889" s="111" t="str">
        <f t="shared" si="14887"/>
        <v>Baytown</v>
      </c>
    </row>
    <row r="14890" spans="1:5">
      <c r="A14890" s="110" t="s">
        <v>26257</v>
      </c>
      <c r="B14890" s="110" t="s">
        <v>1373</v>
      </c>
      <c r="C14890" s="111" t="s">
        <v>1002</v>
      </c>
      <c r="D14890" s="111" t="str">
        <f t="shared" ref="D14890:E14890" si="14888">TRIM(B14890)</f>
        <v>Texas</v>
      </c>
      <c r="E14890" s="111" t="str">
        <f t="shared" si="14888"/>
        <v>Beaumont</v>
      </c>
    </row>
    <row r="14891" spans="1:5">
      <c r="A14891" s="110" t="s">
        <v>26258</v>
      </c>
      <c r="B14891" s="110" t="s">
        <v>1373</v>
      </c>
      <c r="C14891" s="111" t="s">
        <v>1002</v>
      </c>
      <c r="D14891" s="111" t="str">
        <f t="shared" ref="D14891:E14891" si="14889">TRIM(B14891)</f>
        <v>Texas</v>
      </c>
      <c r="E14891" s="111" t="str">
        <f t="shared" si="14889"/>
        <v>Beaumont</v>
      </c>
    </row>
    <row r="14892" spans="1:5">
      <c r="A14892" s="3" t="s">
        <v>26259</v>
      </c>
      <c r="B14892" s="110" t="s">
        <v>1373</v>
      </c>
      <c r="C14892" s="111" t="s">
        <v>26260</v>
      </c>
      <c r="D14892" s="111" t="str">
        <f t="shared" ref="D14892:E14892" si="14890">TRIM(B14892)</f>
        <v>Texas</v>
      </c>
      <c r="E14892" s="111" t="str">
        <f t="shared" si="14890"/>
        <v>Beckville</v>
      </c>
    </row>
    <row r="14893" spans="1:5">
      <c r="A14893" s="110" t="s">
        <v>26261</v>
      </c>
      <c r="B14893" s="110" t="s">
        <v>1373</v>
      </c>
      <c r="C14893" s="111" t="s">
        <v>26262</v>
      </c>
      <c r="D14893" s="111" t="str">
        <f t="shared" ref="D14893:E14893" si="14891">TRIM(B14893)</f>
        <v>Texas</v>
      </c>
      <c r="E14893" s="111" t="str">
        <f t="shared" si="14891"/>
        <v>Beeville</v>
      </c>
    </row>
    <row r="14894" spans="1:5">
      <c r="A14894" s="110" t="s">
        <v>26263</v>
      </c>
      <c r="B14894" s="110" t="s">
        <v>1373</v>
      </c>
      <c r="C14894" s="111" t="s">
        <v>4281</v>
      </c>
      <c r="D14894" s="111" t="str">
        <f t="shared" ref="D14894:E14894" si="14892">TRIM(B14894)</f>
        <v>Texas</v>
      </c>
      <c r="E14894" s="111" t="str">
        <f t="shared" si="14892"/>
        <v>Bellaire</v>
      </c>
    </row>
    <row r="14895" spans="1:5">
      <c r="A14895" s="110" t="s">
        <v>26264</v>
      </c>
      <c r="B14895" s="110" t="s">
        <v>1373</v>
      </c>
      <c r="C14895" s="111" t="s">
        <v>26265</v>
      </c>
      <c r="D14895" s="111" t="str">
        <f t="shared" ref="D14895:E14895" si="14893">TRIM(B14895)</f>
        <v>Texas</v>
      </c>
      <c r="E14895" s="111" t="str">
        <f t="shared" si="14893"/>
        <v>Bells</v>
      </c>
    </row>
    <row r="14896" spans="1:5">
      <c r="A14896" s="110" t="s">
        <v>26266</v>
      </c>
      <c r="B14896" s="110" t="s">
        <v>1373</v>
      </c>
      <c r="C14896" s="111" t="s">
        <v>22825</v>
      </c>
      <c r="D14896" s="111" t="str">
        <f t="shared" ref="D14896:E14896" si="14894">TRIM(B14896)</f>
        <v>Texas</v>
      </c>
      <c r="E14896" s="111" t="str">
        <f t="shared" si="14894"/>
        <v>Bellville</v>
      </c>
    </row>
    <row r="14897" spans="1:5">
      <c r="A14897" s="110" t="s">
        <v>26267</v>
      </c>
      <c r="B14897" s="110" t="s">
        <v>1373</v>
      </c>
      <c r="C14897" s="111" t="s">
        <v>362</v>
      </c>
      <c r="D14897" s="111" t="str">
        <f t="shared" ref="D14897:E14897" si="14895">TRIM(B14897)</f>
        <v>Texas</v>
      </c>
      <c r="E14897" s="111" t="str">
        <f t="shared" si="14895"/>
        <v>Belton</v>
      </c>
    </row>
    <row r="14898" spans="1:5">
      <c r="A14898" s="110" t="s">
        <v>26268</v>
      </c>
      <c r="B14898" s="110" t="s">
        <v>1373</v>
      </c>
      <c r="C14898" s="111" t="s">
        <v>362</v>
      </c>
      <c r="D14898" s="111" t="str">
        <f t="shared" ref="D14898:E14898" si="14896">TRIM(B14898)</f>
        <v>Texas</v>
      </c>
      <c r="E14898" s="111" t="str">
        <f t="shared" si="14896"/>
        <v>Belton</v>
      </c>
    </row>
    <row r="14899" spans="1:5">
      <c r="A14899" s="110" t="s">
        <v>26269</v>
      </c>
      <c r="B14899" s="110" t="s">
        <v>1373</v>
      </c>
      <c r="C14899" s="111" t="s">
        <v>26270</v>
      </c>
      <c r="D14899" s="111" t="str">
        <f t="shared" ref="D14899:E14899" si="14897">TRIM(B14899)</f>
        <v>Texas</v>
      </c>
      <c r="E14899" s="111" t="str">
        <f t="shared" si="14897"/>
        <v>Ben Bolt</v>
      </c>
    </row>
    <row r="14900" spans="1:5">
      <c r="A14900" s="110" t="s">
        <v>26271</v>
      </c>
      <c r="B14900" s="110" t="s">
        <v>1373</v>
      </c>
      <c r="C14900" s="111" t="s">
        <v>26272</v>
      </c>
      <c r="D14900" s="111" t="str">
        <f t="shared" ref="D14900:E14900" si="14898">TRIM(B14900)</f>
        <v>Texas</v>
      </c>
      <c r="E14900" s="111" t="str">
        <f t="shared" si="14898"/>
        <v>Benavides</v>
      </c>
    </row>
    <row r="14901" spans="1:5">
      <c r="A14901" s="110" t="s">
        <v>26273</v>
      </c>
      <c r="B14901" s="110" t="s">
        <v>1373</v>
      </c>
      <c r="C14901" s="111" t="s">
        <v>17751</v>
      </c>
      <c r="D14901" s="111" t="str">
        <f t="shared" ref="D14901:E14901" si="14899">TRIM(B14901)</f>
        <v>Texas</v>
      </c>
      <c r="E14901" s="111" t="str">
        <f t="shared" si="14899"/>
        <v>Big Lake</v>
      </c>
    </row>
    <row r="14902" spans="1:5">
      <c r="A14902" s="110" t="s">
        <v>26274</v>
      </c>
      <c r="B14902" s="110" t="s">
        <v>1373</v>
      </c>
      <c r="C14902" s="111" t="s">
        <v>19257</v>
      </c>
      <c r="D14902" s="111" t="str">
        <f t="shared" ref="D14902:E14902" si="14900">TRIM(B14902)</f>
        <v>Texas</v>
      </c>
      <c r="E14902" s="111" t="str">
        <f t="shared" si="14900"/>
        <v>Big Sandy</v>
      </c>
    </row>
    <row r="14903" spans="1:5">
      <c r="A14903" s="110" t="s">
        <v>26275</v>
      </c>
      <c r="B14903" s="110" t="s">
        <v>1373</v>
      </c>
      <c r="C14903" s="111" t="s">
        <v>19257</v>
      </c>
      <c r="D14903" s="111" t="str">
        <f t="shared" ref="D14903:E14903" si="14901">TRIM(B14903)</f>
        <v>Texas</v>
      </c>
      <c r="E14903" s="111" t="str">
        <f t="shared" si="14901"/>
        <v>Big Sandy</v>
      </c>
    </row>
    <row r="14904" spans="1:5">
      <c r="A14904" s="110" t="s">
        <v>26276</v>
      </c>
      <c r="B14904" s="110" t="s">
        <v>1373</v>
      </c>
      <c r="C14904" s="111" t="s">
        <v>26277</v>
      </c>
      <c r="D14904" s="111" t="str">
        <f t="shared" ref="D14904:E14904" si="14902">TRIM(B14904)</f>
        <v>Texas</v>
      </c>
      <c r="E14904" s="111" t="str">
        <f t="shared" si="14902"/>
        <v>Big Spring</v>
      </c>
    </row>
    <row r="14905" spans="1:5">
      <c r="A14905" s="110" t="s">
        <v>26278</v>
      </c>
      <c r="B14905" s="110" t="s">
        <v>1373</v>
      </c>
      <c r="C14905" s="111" t="s">
        <v>4495</v>
      </c>
      <c r="D14905" s="111" t="str">
        <f t="shared" ref="D14905:E14905" si="14903">TRIM(B14905)</f>
        <v>Texas</v>
      </c>
      <c r="E14905" s="111" t="str">
        <f t="shared" si="14903"/>
        <v>Bishop</v>
      </c>
    </row>
    <row r="14906" spans="1:5">
      <c r="A14906" s="110" t="s">
        <v>26279</v>
      </c>
      <c r="B14906" s="110" t="s">
        <v>1373</v>
      </c>
      <c r="C14906" s="111" t="s">
        <v>26280</v>
      </c>
      <c r="D14906" s="111" t="str">
        <f t="shared" ref="D14906:E14906" si="14904">TRIM(B14906)</f>
        <v>Texas</v>
      </c>
      <c r="E14906" s="111" t="str">
        <f t="shared" si="14904"/>
        <v>Blanco</v>
      </c>
    </row>
    <row r="14907" spans="1:5">
      <c r="A14907" s="110" t="s">
        <v>26281</v>
      </c>
      <c r="B14907" s="110" t="s">
        <v>1373</v>
      </c>
      <c r="C14907" s="111" t="s">
        <v>26282</v>
      </c>
      <c r="D14907" s="111" t="str">
        <f t="shared" ref="D14907:E14907" si="14905">TRIM(B14907)</f>
        <v>Texas</v>
      </c>
      <c r="E14907" s="111" t="str">
        <f t="shared" si="14905"/>
        <v>Bloomburg</v>
      </c>
    </row>
    <row r="14908" spans="1:5">
      <c r="A14908" s="110" t="s">
        <v>26283</v>
      </c>
      <c r="B14908" s="110" t="s">
        <v>1373</v>
      </c>
      <c r="C14908" s="111" t="s">
        <v>26284</v>
      </c>
      <c r="D14908" s="111" t="str">
        <f t="shared" ref="D14908:E14908" si="14906">TRIM(B14908)</f>
        <v>Texas</v>
      </c>
      <c r="E14908" s="111" t="str">
        <f t="shared" si="14906"/>
        <v>Blooming Grove</v>
      </c>
    </row>
    <row r="14909" spans="1:5">
      <c r="A14909" s="110" t="s">
        <v>26285</v>
      </c>
      <c r="B14909" s="110" t="s">
        <v>1373</v>
      </c>
      <c r="C14909" s="111" t="s">
        <v>1004</v>
      </c>
      <c r="D14909" s="111" t="str">
        <f t="shared" ref="D14909:E14909" si="14907">TRIM(B14909)</f>
        <v>Texas</v>
      </c>
      <c r="E14909" s="111" t="str">
        <f t="shared" si="14907"/>
        <v>Bloomington</v>
      </c>
    </row>
    <row r="14910" spans="1:5">
      <c r="A14910" s="110" t="s">
        <v>26286</v>
      </c>
      <c r="B14910" s="110" t="s">
        <v>1373</v>
      </c>
      <c r="C14910" s="111" t="s">
        <v>10444</v>
      </c>
      <c r="D14910" s="111" t="str">
        <f t="shared" ref="D14910:E14910" si="14908">TRIM(B14910)</f>
        <v>Texas</v>
      </c>
      <c r="E14910" s="111" t="str">
        <f t="shared" si="14908"/>
        <v>Blue Ridge</v>
      </c>
    </row>
    <row r="14911" spans="1:5">
      <c r="A14911" s="110" t="s">
        <v>26287</v>
      </c>
      <c r="B14911" s="110" t="s">
        <v>1373</v>
      </c>
      <c r="C14911" s="111" t="s">
        <v>13651</v>
      </c>
      <c r="D14911" s="111" t="str">
        <f t="shared" ref="D14911:E14911" si="14909">TRIM(B14911)</f>
        <v>Texas</v>
      </c>
      <c r="E14911" s="111" t="str">
        <f t="shared" si="14909"/>
        <v>Boerne</v>
      </c>
    </row>
    <row r="14912" spans="1:5">
      <c r="A14912" s="110" t="s">
        <v>26288</v>
      </c>
      <c r="B14912" s="110" t="s">
        <v>1373</v>
      </c>
      <c r="C14912" s="111" t="s">
        <v>13651</v>
      </c>
      <c r="D14912" s="111" t="str">
        <f t="shared" ref="D14912:E14912" si="14910">TRIM(B14912)</f>
        <v>Texas</v>
      </c>
      <c r="E14912" s="111" t="str">
        <f t="shared" si="14910"/>
        <v>Boerne</v>
      </c>
    </row>
    <row r="14913" spans="1:5">
      <c r="A14913" s="110" t="s">
        <v>26289</v>
      </c>
      <c r="B14913" s="110" t="s">
        <v>1373</v>
      </c>
      <c r="C14913" s="111" t="s">
        <v>26290</v>
      </c>
      <c r="D14913" s="111" t="str">
        <f t="shared" ref="D14913:E14913" si="14911">TRIM(B14913)</f>
        <v>Texas</v>
      </c>
      <c r="E14913" s="111" t="str">
        <f t="shared" si="14911"/>
        <v>Bogata</v>
      </c>
    </row>
    <row r="14914" spans="1:5">
      <c r="A14914" s="110" t="s">
        <v>26291</v>
      </c>
      <c r="B14914" s="110" t="s">
        <v>1373</v>
      </c>
      <c r="C14914" s="111" t="s">
        <v>26292</v>
      </c>
      <c r="D14914" s="111" t="str">
        <f t="shared" ref="D14914:E14914" si="14912">TRIM(B14914)</f>
        <v>Texas</v>
      </c>
      <c r="E14914" s="111" t="str">
        <f t="shared" si="14912"/>
        <v>Boling</v>
      </c>
    </row>
    <row r="14915" spans="1:5">
      <c r="A14915" s="110" t="s">
        <v>26293</v>
      </c>
      <c r="B14915" s="110" t="s">
        <v>1373</v>
      </c>
      <c r="C14915" s="111" t="s">
        <v>26294</v>
      </c>
      <c r="D14915" s="111" t="str">
        <f t="shared" ref="D14915:E14915" si="14913">TRIM(B14915)</f>
        <v>Texas</v>
      </c>
      <c r="E14915" s="111" t="str">
        <f t="shared" si="14913"/>
        <v>Bonham</v>
      </c>
    </row>
    <row r="14916" spans="1:5">
      <c r="A14916" s="110" t="s">
        <v>26295</v>
      </c>
      <c r="B14916" s="110" t="s">
        <v>1373</v>
      </c>
      <c r="C14916" s="111" t="s">
        <v>26296</v>
      </c>
      <c r="D14916" s="111" t="str">
        <f t="shared" ref="D14916:E14916" si="14914">TRIM(B14916)</f>
        <v>Texas</v>
      </c>
      <c r="E14916" s="111" t="str">
        <f t="shared" si="14914"/>
        <v>Booker</v>
      </c>
    </row>
    <row r="14917" spans="1:5">
      <c r="A14917" s="110" t="s">
        <v>26297</v>
      </c>
      <c r="B14917" s="110" t="s">
        <v>1373</v>
      </c>
      <c r="C14917" s="111" t="s">
        <v>26298</v>
      </c>
      <c r="D14917" s="111" t="str">
        <f t="shared" ref="D14917:E14917" si="14915">TRIM(B14917)</f>
        <v>Texas</v>
      </c>
      <c r="E14917" s="111" t="str">
        <f t="shared" si="14915"/>
        <v>Borger</v>
      </c>
    </row>
    <row r="14918" spans="1:5">
      <c r="A14918" s="110" t="s">
        <v>26299</v>
      </c>
      <c r="B14918" s="110" t="s">
        <v>1373</v>
      </c>
      <c r="C14918" s="111" t="s">
        <v>26300</v>
      </c>
      <c r="D14918" s="111" t="str">
        <f t="shared" ref="D14918:E14918" si="14916">TRIM(B14918)</f>
        <v>Texas</v>
      </c>
      <c r="E14918" s="111" t="str">
        <f t="shared" si="14916"/>
        <v>Bovina</v>
      </c>
    </row>
    <row r="14919" spans="1:5">
      <c r="A14919" s="110" t="s">
        <v>26192</v>
      </c>
      <c r="B14919" s="110" t="s">
        <v>1373</v>
      </c>
      <c r="C14919" s="111" t="s">
        <v>2487</v>
      </c>
      <c r="D14919" s="111" t="str">
        <f t="shared" ref="D14919:E14919" si="14917">TRIM(B14919)</f>
        <v>Texas</v>
      </c>
      <c r="E14919" s="111" t="str">
        <f t="shared" si="14917"/>
        <v>Bowie</v>
      </c>
    </row>
    <row r="14920" spans="1:5">
      <c r="A14920" s="110" t="s">
        <v>26301</v>
      </c>
      <c r="B14920" s="110" t="s">
        <v>1373</v>
      </c>
      <c r="C14920" s="111" t="s">
        <v>26302</v>
      </c>
      <c r="D14920" s="111" t="str">
        <f t="shared" ref="D14920:E14920" si="14918">TRIM(B14920)</f>
        <v>Texas</v>
      </c>
      <c r="E14920" s="111" t="str">
        <f t="shared" si="14918"/>
        <v>Boyd</v>
      </c>
    </row>
    <row r="14921" spans="1:5">
      <c r="A14921" s="110" t="s">
        <v>26303</v>
      </c>
      <c r="B14921" s="110" t="s">
        <v>1373</v>
      </c>
      <c r="C14921" s="111" t="s">
        <v>26304</v>
      </c>
      <c r="D14921" s="111" t="str">
        <f t="shared" ref="D14921:E14921" si="14919">TRIM(B14921)</f>
        <v>Texas</v>
      </c>
      <c r="E14921" s="111" t="str">
        <f t="shared" si="14919"/>
        <v>Brackettville</v>
      </c>
    </row>
    <row r="14922" spans="1:5">
      <c r="A14922" s="110" t="s">
        <v>26305</v>
      </c>
      <c r="B14922" s="110" t="s">
        <v>1373</v>
      </c>
      <c r="C14922" s="111" t="s">
        <v>19514</v>
      </c>
      <c r="D14922" s="111" t="str">
        <f t="shared" ref="D14922:E14922" si="14920">TRIM(B14922)</f>
        <v>Texas</v>
      </c>
      <c r="E14922" s="111" t="str">
        <f t="shared" si="14920"/>
        <v>Brady</v>
      </c>
    </row>
    <row r="14923" spans="1:5">
      <c r="A14923" s="110" t="s">
        <v>26306</v>
      </c>
      <c r="B14923" s="110" t="s">
        <v>1373</v>
      </c>
      <c r="C14923" s="111" t="s">
        <v>17000</v>
      </c>
      <c r="D14923" s="111" t="str">
        <f t="shared" ref="D14923:E14923" si="14921">TRIM(B14923)</f>
        <v>Texas</v>
      </c>
      <c r="E14923" s="111" t="str">
        <f t="shared" si="14921"/>
        <v>Breckenridge</v>
      </c>
    </row>
    <row r="14924" spans="1:5">
      <c r="A14924" s="110" t="s">
        <v>26307</v>
      </c>
      <c r="B14924" s="110" t="s">
        <v>1373</v>
      </c>
      <c r="C14924" s="111" t="s">
        <v>26308</v>
      </c>
      <c r="D14924" s="111" t="str">
        <f t="shared" ref="D14924:E14924" si="14922">TRIM(B14924)</f>
        <v>Texas</v>
      </c>
      <c r="E14924" s="111" t="str">
        <f t="shared" si="14922"/>
        <v>Bremond</v>
      </c>
    </row>
    <row r="14925" spans="1:5">
      <c r="A14925" s="110" t="s">
        <v>26309</v>
      </c>
      <c r="B14925" s="110" t="s">
        <v>1373</v>
      </c>
      <c r="C14925" s="111" t="s">
        <v>26310</v>
      </c>
      <c r="D14925" s="111" t="str">
        <f t="shared" ref="D14925:E14925" si="14923">TRIM(B14925)</f>
        <v>Texas</v>
      </c>
      <c r="E14925" s="111" t="str">
        <f t="shared" si="14923"/>
        <v>Brenham</v>
      </c>
    </row>
    <row r="14926" spans="1:5">
      <c r="A14926" s="110" t="s">
        <v>26311</v>
      </c>
      <c r="B14926" s="110" t="s">
        <v>1373</v>
      </c>
      <c r="C14926" s="111" t="s">
        <v>26312</v>
      </c>
      <c r="D14926" s="111" t="str">
        <f t="shared" ref="D14926:E14926" si="14924">TRIM(B14926)</f>
        <v>Texas</v>
      </c>
      <c r="E14926" s="111" t="str">
        <f t="shared" si="14924"/>
        <v>Bridge City</v>
      </c>
    </row>
    <row r="14927" spans="1:5">
      <c r="A14927" s="110" t="s">
        <v>26313</v>
      </c>
      <c r="B14927" s="110" t="s">
        <v>1373</v>
      </c>
      <c r="C14927" s="111" t="s">
        <v>3478</v>
      </c>
      <c r="D14927" s="111" t="str">
        <f t="shared" ref="D14927:E14927" si="14925">TRIM(B14927)</f>
        <v>Texas</v>
      </c>
      <c r="E14927" s="111" t="str">
        <f t="shared" si="14925"/>
        <v>Bridgeport</v>
      </c>
    </row>
    <row r="14928" spans="1:5">
      <c r="A14928" s="110" t="s">
        <v>26314</v>
      </c>
      <c r="B14928" s="110" t="s">
        <v>1373</v>
      </c>
      <c r="C14928" s="111" t="s">
        <v>26315</v>
      </c>
      <c r="D14928" s="111" t="str">
        <f t="shared" ref="D14928:E14928" si="14926">TRIM(B14928)</f>
        <v>Texas</v>
      </c>
      <c r="E14928" s="111" t="str">
        <f t="shared" si="14926"/>
        <v>Broaddus</v>
      </c>
    </row>
    <row r="14929" spans="1:5">
      <c r="A14929" s="110" t="s">
        <v>26316</v>
      </c>
      <c r="B14929" s="110" t="s">
        <v>1373</v>
      </c>
      <c r="C14929" s="111" t="s">
        <v>26317</v>
      </c>
      <c r="D14929" s="111" t="str">
        <f t="shared" ref="D14929:E14929" si="14927">TRIM(B14929)</f>
        <v>Texas</v>
      </c>
      <c r="E14929" s="111" t="str">
        <f t="shared" si="14927"/>
        <v>Brock</v>
      </c>
    </row>
    <row r="14930" spans="1:5">
      <c r="A14930" s="110" t="s">
        <v>26318</v>
      </c>
      <c r="B14930" s="110" t="s">
        <v>1373</v>
      </c>
      <c r="C14930" s="111" t="s">
        <v>26319</v>
      </c>
      <c r="D14930" s="111" t="str">
        <f t="shared" ref="D14930:E14930" si="14928">TRIM(B14930)</f>
        <v>Texas</v>
      </c>
      <c r="E14930" s="111" t="str">
        <f t="shared" si="14928"/>
        <v>Brookeland</v>
      </c>
    </row>
    <row r="14931" spans="1:5">
      <c r="A14931" s="110" t="s">
        <v>26320</v>
      </c>
      <c r="B14931" s="110" t="s">
        <v>1373</v>
      </c>
      <c r="C14931" s="111" t="s">
        <v>26321</v>
      </c>
      <c r="D14931" s="111" t="str">
        <f t="shared" ref="D14931:E14931" si="14929">TRIM(B14931)</f>
        <v>Texas</v>
      </c>
      <c r="E14931" s="111" t="str">
        <f t="shared" si="14929"/>
        <v>Brownfield</v>
      </c>
    </row>
    <row r="14932" spans="1:5">
      <c r="A14932" s="110" t="s">
        <v>26322</v>
      </c>
      <c r="B14932" s="110" t="s">
        <v>1373</v>
      </c>
      <c r="C14932" s="111" t="s">
        <v>26323</v>
      </c>
      <c r="D14932" s="111" t="str">
        <f t="shared" ref="D14932:E14932" si="14930">TRIM(B14932)</f>
        <v>Texas</v>
      </c>
      <c r="E14932" s="111" t="str">
        <f t="shared" si="14930"/>
        <v>Brownsboro</v>
      </c>
    </row>
    <row r="14933" spans="1:5">
      <c r="A14933" s="110" t="s">
        <v>26324</v>
      </c>
      <c r="B14933" s="110" t="s">
        <v>1373</v>
      </c>
      <c r="C14933" s="111" t="s">
        <v>426</v>
      </c>
      <c r="D14933" s="111" t="str">
        <f t="shared" ref="D14933:E14933" si="14931">TRIM(B14933)</f>
        <v>Texas</v>
      </c>
      <c r="E14933" s="111" t="str">
        <f t="shared" si="14931"/>
        <v>Brownsville</v>
      </c>
    </row>
    <row r="14934" spans="1:5">
      <c r="A14934" s="110" t="s">
        <v>26325</v>
      </c>
      <c r="B14934" s="110" t="s">
        <v>1373</v>
      </c>
      <c r="C14934" s="111" t="s">
        <v>426</v>
      </c>
      <c r="D14934" s="111" t="str">
        <f t="shared" ref="D14934:E14934" si="14932">TRIM(B14934)</f>
        <v>Texas</v>
      </c>
      <c r="E14934" s="111" t="str">
        <f t="shared" si="14932"/>
        <v>Brownsville</v>
      </c>
    </row>
    <row r="14935" spans="1:5">
      <c r="A14935" s="110" t="s">
        <v>26326</v>
      </c>
      <c r="B14935" s="110" t="s">
        <v>1373</v>
      </c>
      <c r="C14935" s="111" t="s">
        <v>426</v>
      </c>
      <c r="D14935" s="111" t="str">
        <f t="shared" ref="D14935:E14935" si="14933">TRIM(B14935)</f>
        <v>Texas</v>
      </c>
      <c r="E14935" s="111" t="str">
        <f t="shared" si="14933"/>
        <v>Brownsville</v>
      </c>
    </row>
    <row r="14936" spans="1:5">
      <c r="A14936" s="110" t="s">
        <v>26327</v>
      </c>
      <c r="B14936" s="110" t="s">
        <v>1373</v>
      </c>
      <c r="C14936" s="111" t="s">
        <v>426</v>
      </c>
      <c r="D14936" s="111" t="str">
        <f t="shared" ref="D14936:E14936" si="14934">TRIM(B14936)</f>
        <v>Texas</v>
      </c>
      <c r="E14936" s="111" t="str">
        <f t="shared" si="14934"/>
        <v>Brownsville</v>
      </c>
    </row>
    <row r="14937" spans="1:5">
      <c r="A14937" s="110" t="s">
        <v>26328</v>
      </c>
      <c r="B14937" s="110" t="s">
        <v>1373</v>
      </c>
      <c r="C14937" s="111" t="s">
        <v>426</v>
      </c>
      <c r="D14937" s="111" t="str">
        <f t="shared" ref="D14937:E14937" si="14935">TRIM(B14937)</f>
        <v>Texas</v>
      </c>
      <c r="E14937" s="111" t="str">
        <f t="shared" si="14935"/>
        <v>Brownsville</v>
      </c>
    </row>
    <row r="14938" spans="1:5">
      <c r="A14938" s="110" t="s">
        <v>26329</v>
      </c>
      <c r="B14938" s="110" t="s">
        <v>1373</v>
      </c>
      <c r="C14938" s="111" t="s">
        <v>426</v>
      </c>
      <c r="D14938" s="111" t="str">
        <f t="shared" ref="D14938:E14938" si="14936">TRIM(B14938)</f>
        <v>Texas</v>
      </c>
      <c r="E14938" s="111" t="str">
        <f t="shared" si="14936"/>
        <v>Brownsville</v>
      </c>
    </row>
    <row r="14939" spans="1:5">
      <c r="A14939" s="110" t="s">
        <v>26330</v>
      </c>
      <c r="B14939" s="110" t="s">
        <v>1373</v>
      </c>
      <c r="C14939" s="111" t="s">
        <v>426</v>
      </c>
      <c r="D14939" s="111" t="str">
        <f t="shared" ref="D14939:E14939" si="14937">TRIM(B14939)</f>
        <v>Texas</v>
      </c>
      <c r="E14939" s="111" t="str">
        <f t="shared" si="14937"/>
        <v>Brownsville</v>
      </c>
    </row>
    <row r="14940" spans="1:5">
      <c r="A14940" s="110" t="s">
        <v>26331</v>
      </c>
      <c r="B14940" s="110" t="s">
        <v>1373</v>
      </c>
      <c r="C14940" s="111" t="s">
        <v>426</v>
      </c>
      <c r="D14940" s="111" t="str">
        <f t="shared" ref="D14940:E14940" si="14938">TRIM(B14940)</f>
        <v>Texas</v>
      </c>
      <c r="E14940" s="111" t="str">
        <f t="shared" si="14938"/>
        <v>Brownsville</v>
      </c>
    </row>
    <row r="14941" spans="1:5">
      <c r="A14941" s="110" t="s">
        <v>26332</v>
      </c>
      <c r="B14941" s="110" t="s">
        <v>1373</v>
      </c>
      <c r="C14941" s="111" t="s">
        <v>426</v>
      </c>
      <c r="D14941" s="111" t="str">
        <f t="shared" ref="D14941:E14941" si="14939">TRIM(B14941)</f>
        <v>Texas</v>
      </c>
      <c r="E14941" s="111" t="str">
        <f t="shared" si="14939"/>
        <v>Brownsville</v>
      </c>
    </row>
    <row r="14942" spans="1:5">
      <c r="A14942" s="110" t="s">
        <v>26333</v>
      </c>
      <c r="B14942" s="110" t="s">
        <v>1373</v>
      </c>
      <c r="C14942" s="111" t="s">
        <v>13851</v>
      </c>
      <c r="D14942" s="111" t="str">
        <f t="shared" ref="D14942:E14942" si="14940">TRIM(B14942)</f>
        <v>Texas</v>
      </c>
      <c r="E14942" s="111" t="str">
        <f t="shared" si="14940"/>
        <v>Brownwood</v>
      </c>
    </row>
    <row r="14943" spans="1:5">
      <c r="A14943" s="110" t="s">
        <v>26334</v>
      </c>
      <c r="B14943" s="110" t="s">
        <v>1373</v>
      </c>
      <c r="C14943" s="111" t="s">
        <v>13851</v>
      </c>
      <c r="D14943" s="111" t="str">
        <f t="shared" ref="D14943:E14943" si="14941">TRIM(B14943)</f>
        <v>Texas</v>
      </c>
      <c r="E14943" s="111" t="str">
        <f t="shared" si="14941"/>
        <v>Brownwood</v>
      </c>
    </row>
    <row r="14944" spans="1:5">
      <c r="A14944" s="110" t="s">
        <v>26335</v>
      </c>
      <c r="B14944" s="110" t="s">
        <v>1373</v>
      </c>
      <c r="C14944" s="111" t="s">
        <v>26336</v>
      </c>
      <c r="D14944" s="111" t="str">
        <f t="shared" ref="D14944:E14944" si="14942">TRIM(B14944)</f>
        <v>Texas</v>
      </c>
      <c r="E14944" s="111" t="str">
        <f t="shared" si="14942"/>
        <v>Bruni</v>
      </c>
    </row>
    <row r="14945" spans="1:5">
      <c r="A14945" s="110" t="s">
        <v>26337</v>
      </c>
      <c r="B14945" s="110" t="s">
        <v>1373</v>
      </c>
      <c r="C14945" s="111" t="s">
        <v>13607</v>
      </c>
      <c r="D14945" s="111" t="str">
        <f t="shared" ref="D14945:E14945" si="14943">TRIM(B14945)</f>
        <v>Texas</v>
      </c>
      <c r="E14945" s="111" t="str">
        <f t="shared" si="14943"/>
        <v>Bryan</v>
      </c>
    </row>
    <row r="14946" spans="1:5">
      <c r="A14946" s="110" t="s">
        <v>26338</v>
      </c>
      <c r="B14946" s="110" t="s">
        <v>1373</v>
      </c>
      <c r="C14946" s="111" t="s">
        <v>13607</v>
      </c>
      <c r="D14946" s="111" t="str">
        <f t="shared" ref="D14946:E14946" si="14944">TRIM(B14946)</f>
        <v>Texas</v>
      </c>
      <c r="E14946" s="111" t="str">
        <f t="shared" si="14944"/>
        <v>Bryan</v>
      </c>
    </row>
    <row r="14947" spans="1:5">
      <c r="A14947" s="110" t="s">
        <v>26339</v>
      </c>
      <c r="B14947" s="110" t="s">
        <v>1373</v>
      </c>
      <c r="C14947" s="111" t="s">
        <v>13607</v>
      </c>
      <c r="D14947" s="111" t="str">
        <f t="shared" ref="D14947:E14947" si="14945">TRIM(B14947)</f>
        <v>Texas</v>
      </c>
      <c r="E14947" s="111" t="str">
        <f t="shared" si="14945"/>
        <v>Bryan</v>
      </c>
    </row>
    <row r="14948" spans="1:5">
      <c r="A14948" s="110" t="s">
        <v>26340</v>
      </c>
      <c r="B14948" s="110" t="s">
        <v>1373</v>
      </c>
      <c r="C14948" s="111" t="s">
        <v>26341</v>
      </c>
      <c r="D14948" s="111" t="str">
        <f t="shared" ref="D14948:E14948" si="14946">TRIM(B14948)</f>
        <v>Texas</v>
      </c>
      <c r="E14948" s="111" t="str">
        <f t="shared" si="14946"/>
        <v>Buda</v>
      </c>
    </row>
    <row r="14949" spans="1:5">
      <c r="A14949" s="110" t="s">
        <v>26342</v>
      </c>
      <c r="B14949" s="110" t="s">
        <v>1373</v>
      </c>
      <c r="C14949" s="111" t="s">
        <v>12129</v>
      </c>
      <c r="D14949" s="111" t="str">
        <f t="shared" ref="D14949:E14949" si="14947">TRIM(B14949)</f>
        <v>Texas</v>
      </c>
      <c r="E14949" s="111" t="str">
        <f t="shared" si="14947"/>
        <v>Buffalo</v>
      </c>
    </row>
    <row r="14950" spans="1:5">
      <c r="A14950" s="110" t="s">
        <v>26343</v>
      </c>
      <c r="B14950" s="110" t="s">
        <v>1373</v>
      </c>
      <c r="C14950" s="111" t="s">
        <v>13808</v>
      </c>
      <c r="D14950" s="111" t="str">
        <f t="shared" ref="D14950:E14950" si="14948">TRIM(B14950)</f>
        <v>Texas</v>
      </c>
      <c r="E14950" s="111" t="str">
        <f t="shared" si="14948"/>
        <v>Bullard</v>
      </c>
    </row>
    <row r="14951" spans="1:5">
      <c r="A14951" s="110" t="s">
        <v>26344</v>
      </c>
      <c r="B14951" s="110" t="s">
        <v>1373</v>
      </c>
      <c r="C14951" s="111" t="s">
        <v>26345</v>
      </c>
      <c r="D14951" s="111" t="str">
        <f t="shared" ref="D14951:E14951" si="14949">TRIM(B14951)</f>
        <v>Texas</v>
      </c>
      <c r="E14951" s="111" t="str">
        <f t="shared" si="14949"/>
        <v>Buna</v>
      </c>
    </row>
    <row r="14952" spans="1:5">
      <c r="A14952" s="110" t="s">
        <v>26346</v>
      </c>
      <c r="B14952" s="110" t="s">
        <v>1373</v>
      </c>
      <c r="C14952" s="111" t="s">
        <v>26347</v>
      </c>
      <c r="D14952" s="111" t="str">
        <f t="shared" ref="D14952:E14952" si="14950">TRIM(B14952)</f>
        <v>Texas</v>
      </c>
      <c r="E14952" s="111" t="str">
        <f t="shared" si="14950"/>
        <v>Burkburnett</v>
      </c>
    </row>
    <row r="14953" spans="1:5">
      <c r="A14953" s="110" t="s">
        <v>26348</v>
      </c>
      <c r="B14953" s="110" t="s">
        <v>1373</v>
      </c>
      <c r="C14953" s="111" t="s">
        <v>1061</v>
      </c>
      <c r="D14953" s="111" t="str">
        <f t="shared" ref="D14953:E14953" si="14951">TRIM(B14953)</f>
        <v>Texas</v>
      </c>
      <c r="E14953" s="111" t="str">
        <f t="shared" si="14951"/>
        <v>Burleson</v>
      </c>
    </row>
    <row r="14954" spans="1:5">
      <c r="A14954" s="110" t="s">
        <v>26349</v>
      </c>
      <c r="B14954" s="110" t="s">
        <v>1373</v>
      </c>
      <c r="C14954" s="111" t="s">
        <v>1061</v>
      </c>
      <c r="D14954" s="111" t="str">
        <f t="shared" ref="D14954:E14954" si="14952">TRIM(B14954)</f>
        <v>Texas</v>
      </c>
      <c r="E14954" s="111" t="str">
        <f t="shared" si="14952"/>
        <v>Burleson</v>
      </c>
    </row>
    <row r="14955" spans="1:5">
      <c r="A14955" s="110" t="s">
        <v>26350</v>
      </c>
      <c r="B14955" s="110" t="s">
        <v>1373</v>
      </c>
      <c r="C14955" s="111" t="s">
        <v>26351</v>
      </c>
      <c r="D14955" s="111" t="str">
        <f t="shared" ref="D14955:E14955" si="14953">TRIM(B14955)</f>
        <v>Texas</v>
      </c>
      <c r="E14955" s="111" t="str">
        <f t="shared" si="14953"/>
        <v>Burnet</v>
      </c>
    </row>
    <row r="14956" spans="1:5">
      <c r="A14956" s="110" t="s">
        <v>26352</v>
      </c>
      <c r="B14956" s="110" t="s">
        <v>1373</v>
      </c>
      <c r="C14956" s="111" t="s">
        <v>11495</v>
      </c>
      <c r="D14956" s="111" t="str">
        <f t="shared" ref="D14956:E14956" si="14954">TRIM(B14956)</f>
        <v>Texas</v>
      </c>
      <c r="E14956" s="111" t="str">
        <f t="shared" si="14954"/>
        <v>Burton</v>
      </c>
    </row>
    <row r="14957" spans="1:5">
      <c r="A14957" s="110" t="s">
        <v>26353</v>
      </c>
      <c r="B14957" s="110" t="s">
        <v>1373</v>
      </c>
      <c r="C14957" s="111" t="s">
        <v>26354</v>
      </c>
      <c r="D14957" s="111" t="str">
        <f t="shared" ref="D14957:E14957" si="14955">TRIM(B14957)</f>
        <v>Texas</v>
      </c>
      <c r="E14957" s="111" t="str">
        <f t="shared" si="14955"/>
        <v>Bushland</v>
      </c>
    </row>
    <row r="14958" spans="1:5">
      <c r="A14958" s="110" t="s">
        <v>26355</v>
      </c>
      <c r="B14958" s="110" t="s">
        <v>1373</v>
      </c>
      <c r="C14958" s="111" t="s">
        <v>26356</v>
      </c>
      <c r="D14958" s="111" t="str">
        <f t="shared" ref="D14958:E14958" si="14956">TRIM(B14958)</f>
        <v>Texas</v>
      </c>
      <c r="E14958" s="111" t="str">
        <f t="shared" si="14956"/>
        <v>Caddo Mills</v>
      </c>
    </row>
    <row r="14959" spans="1:5">
      <c r="A14959" s="110" t="s">
        <v>26357</v>
      </c>
      <c r="B14959" s="110" t="s">
        <v>1373</v>
      </c>
      <c r="C14959" s="111" t="s">
        <v>271</v>
      </c>
      <c r="D14959" s="111" t="str">
        <f t="shared" ref="D14959:E14959" si="14957">TRIM(B14959)</f>
        <v>Texas</v>
      </c>
      <c r="E14959" s="111" t="str">
        <f t="shared" si="14957"/>
        <v>Caldwell</v>
      </c>
    </row>
    <row r="14960" spans="1:5">
      <c r="A14960" s="110" t="s">
        <v>26358</v>
      </c>
      <c r="B14960" s="110" t="s">
        <v>1373</v>
      </c>
      <c r="C14960" s="111" t="s">
        <v>26359</v>
      </c>
      <c r="D14960" s="111" t="str">
        <f t="shared" ref="D14960:E14960" si="14958">TRIM(B14960)</f>
        <v>Texas</v>
      </c>
      <c r="E14960" s="111" t="str">
        <f t="shared" si="14958"/>
        <v>Callisburg</v>
      </c>
    </row>
    <row r="14961" spans="1:5">
      <c r="A14961" s="110" t="s">
        <v>26360</v>
      </c>
      <c r="B14961" s="110" t="s">
        <v>1373</v>
      </c>
      <c r="C14961" s="111" t="s">
        <v>13742</v>
      </c>
      <c r="D14961" s="111" t="str">
        <f t="shared" ref="D14961:E14961" si="14959">TRIM(B14961)</f>
        <v>Texas</v>
      </c>
      <c r="E14961" s="111" t="str">
        <f t="shared" si="14959"/>
        <v>Cameron</v>
      </c>
    </row>
    <row r="14962" spans="1:5">
      <c r="A14962" s="110" t="s">
        <v>26361</v>
      </c>
      <c r="B14962" s="110" t="s">
        <v>1373</v>
      </c>
      <c r="C14962" s="111" t="s">
        <v>4578</v>
      </c>
      <c r="D14962" s="111" t="str">
        <f t="shared" ref="D14962:E14962" si="14960">TRIM(B14962)</f>
        <v>Texas</v>
      </c>
      <c r="E14962" s="111" t="str">
        <f t="shared" si="14960"/>
        <v>Campbell</v>
      </c>
    </row>
    <row r="14963" spans="1:5">
      <c r="A14963" s="110" t="s">
        <v>26362</v>
      </c>
      <c r="B14963" s="110" t="s">
        <v>1373</v>
      </c>
      <c r="C14963" s="111" t="s">
        <v>23699</v>
      </c>
      <c r="D14963" s="111" t="str">
        <f t="shared" ref="D14963:E14963" si="14961">TRIM(B14963)</f>
        <v>Texas</v>
      </c>
      <c r="E14963" s="111" t="str">
        <f t="shared" si="14961"/>
        <v>Canadian</v>
      </c>
    </row>
    <row r="14964" spans="1:5">
      <c r="A14964" s="110" t="s">
        <v>26363</v>
      </c>
      <c r="B14964" s="110" t="s">
        <v>1373</v>
      </c>
      <c r="C14964" s="111" t="s">
        <v>1205</v>
      </c>
      <c r="D14964" s="111" t="str">
        <f t="shared" ref="D14964:E14964" si="14962">TRIM(B14964)</f>
        <v>Texas</v>
      </c>
      <c r="E14964" s="111" t="str">
        <f t="shared" si="14962"/>
        <v>Canton</v>
      </c>
    </row>
    <row r="14965" spans="1:5">
      <c r="A14965" s="110" t="s">
        <v>26364</v>
      </c>
      <c r="B14965" s="110" t="s">
        <v>1373</v>
      </c>
      <c r="C14965" s="111" t="s">
        <v>26365</v>
      </c>
      <c r="D14965" s="111" t="str">
        <f t="shared" ref="D14965:E14965" si="14963">TRIM(B14965)</f>
        <v>Texas</v>
      </c>
      <c r="E14965" s="111" t="str">
        <f t="shared" si="14963"/>
        <v>Canutillo</v>
      </c>
    </row>
    <row r="14966" spans="1:5">
      <c r="A14966" s="3" t="s">
        <v>26366</v>
      </c>
      <c r="B14966" s="110" t="s">
        <v>1373</v>
      </c>
      <c r="C14966" s="111" t="s">
        <v>26365</v>
      </c>
      <c r="D14966" s="111" t="str">
        <f t="shared" ref="D14966:E14966" si="14964">TRIM(B14966)</f>
        <v>Texas</v>
      </c>
      <c r="E14966" s="111" t="str">
        <f t="shared" si="14964"/>
        <v>Canutillo</v>
      </c>
    </row>
    <row r="14967" spans="1:5">
      <c r="A14967" s="110" t="s">
        <v>26367</v>
      </c>
      <c r="B14967" s="110" t="s">
        <v>1373</v>
      </c>
      <c r="C14967" s="111" t="s">
        <v>26368</v>
      </c>
      <c r="D14967" s="111" t="str">
        <f t="shared" ref="D14967:E14967" si="14965">TRIM(B14967)</f>
        <v>Texas</v>
      </c>
      <c r="E14967" s="111" t="str">
        <f t="shared" si="14965"/>
        <v>Canyon</v>
      </c>
    </row>
    <row r="14968" spans="1:5">
      <c r="A14968" s="110" t="s">
        <v>26369</v>
      </c>
      <c r="B14968" s="110" t="s">
        <v>1373</v>
      </c>
      <c r="C14968" s="111" t="s">
        <v>26370</v>
      </c>
      <c r="D14968" s="111" t="str">
        <f t="shared" ref="D14968:E14968" si="14966">TRIM(B14968)</f>
        <v>Texas</v>
      </c>
      <c r="E14968" s="111" t="str">
        <f t="shared" si="14966"/>
        <v>Carmine</v>
      </c>
    </row>
    <row r="14969" spans="1:5">
      <c r="A14969" s="110" t="s">
        <v>26371</v>
      </c>
      <c r="B14969" s="110" t="s">
        <v>1373</v>
      </c>
      <c r="C14969" s="111" t="s">
        <v>26372</v>
      </c>
      <c r="D14969" s="111" t="str">
        <f t="shared" ref="D14969:E14969" si="14967">TRIM(B14969)</f>
        <v>Texas</v>
      </c>
      <c r="E14969" s="111" t="str">
        <f t="shared" si="14967"/>
        <v>Carrizo Springs</v>
      </c>
    </row>
    <row r="14970" spans="1:5">
      <c r="A14970" s="110" t="s">
        <v>26373</v>
      </c>
      <c r="B14970" s="110" t="s">
        <v>1373</v>
      </c>
      <c r="C14970" s="111" t="s">
        <v>5618</v>
      </c>
      <c r="D14970" s="111" t="str">
        <f t="shared" ref="D14970:E14970" si="14968">TRIM(B14970)</f>
        <v>Texas</v>
      </c>
      <c r="E14970" s="111" t="str">
        <f t="shared" si="14968"/>
        <v>Carrollton</v>
      </c>
    </row>
    <row r="14971" spans="1:5">
      <c r="A14971" s="110" t="s">
        <v>26374</v>
      </c>
      <c r="B14971" s="110" t="s">
        <v>1373</v>
      </c>
      <c r="C14971" s="111" t="s">
        <v>5618</v>
      </c>
      <c r="D14971" s="111" t="str">
        <f t="shared" ref="D14971:E14971" si="14969">TRIM(B14971)</f>
        <v>Texas</v>
      </c>
      <c r="E14971" s="111" t="str">
        <f t="shared" si="14969"/>
        <v>Carrollton</v>
      </c>
    </row>
    <row r="14972" spans="1:5">
      <c r="A14972" s="110" t="s">
        <v>26375</v>
      </c>
      <c r="B14972" s="110" t="s">
        <v>1373</v>
      </c>
      <c r="C14972" s="111" t="s">
        <v>5618</v>
      </c>
      <c r="D14972" s="111" t="str">
        <f t="shared" ref="D14972:E14972" si="14970">TRIM(B14972)</f>
        <v>Texas</v>
      </c>
      <c r="E14972" s="111" t="str">
        <f t="shared" si="14970"/>
        <v>Carrollton</v>
      </c>
    </row>
    <row r="14973" spans="1:5">
      <c r="A14973" s="110" t="s">
        <v>26376</v>
      </c>
      <c r="B14973" s="110" t="s">
        <v>1373</v>
      </c>
      <c r="C14973" s="111" t="s">
        <v>5618</v>
      </c>
      <c r="D14973" s="111" t="str">
        <f t="shared" ref="D14973:E14973" si="14971">TRIM(B14973)</f>
        <v>Texas</v>
      </c>
      <c r="E14973" s="111" t="str">
        <f t="shared" si="14971"/>
        <v>Carrollton</v>
      </c>
    </row>
    <row r="14974" spans="1:5">
      <c r="A14974" s="110" t="s">
        <v>26377</v>
      </c>
      <c r="B14974" s="110" t="s">
        <v>1373</v>
      </c>
      <c r="C14974" s="111" t="s">
        <v>12189</v>
      </c>
      <c r="D14974" s="111" t="str">
        <f t="shared" ref="D14974:E14974" si="14972">TRIM(B14974)</f>
        <v>Texas</v>
      </c>
      <c r="E14974" s="111" t="str">
        <f t="shared" si="14972"/>
        <v>Carthage</v>
      </c>
    </row>
    <row r="14975" spans="1:5">
      <c r="A14975" s="110" t="s">
        <v>26378</v>
      </c>
      <c r="B14975" s="110" t="s">
        <v>1373</v>
      </c>
      <c r="C14975" s="111" t="s">
        <v>12189</v>
      </c>
      <c r="D14975" s="111" t="str">
        <f t="shared" ref="D14975:E14975" si="14973">TRIM(B14975)</f>
        <v>Texas</v>
      </c>
      <c r="E14975" s="111" t="str">
        <f t="shared" si="14973"/>
        <v>Carthage</v>
      </c>
    </row>
    <row r="14976" spans="1:5">
      <c r="A14976" s="110" t="s">
        <v>26379</v>
      </c>
      <c r="B14976" s="110" t="s">
        <v>1373</v>
      </c>
      <c r="C14976" s="111" t="s">
        <v>4613</v>
      </c>
      <c r="D14976" s="111" t="str">
        <f t="shared" ref="D14976:E14976" si="14974">TRIM(B14976)</f>
        <v>Texas</v>
      </c>
      <c r="E14976" s="111" t="str">
        <f t="shared" si="14974"/>
        <v>Castroville</v>
      </c>
    </row>
    <row r="14977" spans="1:5">
      <c r="A14977" s="110" t="s">
        <v>26380</v>
      </c>
      <c r="B14977" s="110" t="s">
        <v>1373</v>
      </c>
      <c r="C14977" s="111" t="s">
        <v>14188</v>
      </c>
      <c r="D14977" s="111" t="str">
        <f t="shared" ref="D14977:E14977" si="14975">TRIM(B14977)</f>
        <v>Texas</v>
      </c>
      <c r="E14977" s="111" t="str">
        <f t="shared" si="14975"/>
        <v>Cayuga</v>
      </c>
    </row>
    <row r="14978" spans="1:5">
      <c r="A14978" s="110" t="s">
        <v>26381</v>
      </c>
      <c r="B14978" s="110" t="s">
        <v>1373</v>
      </c>
      <c r="C14978" s="111" t="s">
        <v>26382</v>
      </c>
      <c r="D14978" s="111" t="str">
        <f t="shared" ref="D14978:E14978" si="14976">TRIM(B14978)</f>
        <v>Texas</v>
      </c>
      <c r="E14978" s="111" t="str">
        <f t="shared" si="14976"/>
        <v>Cedar Creek</v>
      </c>
    </row>
    <row r="14979" spans="1:5">
      <c r="A14979" s="110" t="s">
        <v>26383</v>
      </c>
      <c r="B14979" s="110" t="s">
        <v>1373</v>
      </c>
      <c r="C14979" s="111" t="s">
        <v>261</v>
      </c>
      <c r="D14979" s="111" t="str">
        <f t="shared" ref="D14979:E14979" si="14977">TRIM(B14979)</f>
        <v>Texas</v>
      </c>
      <c r="E14979" s="111" t="str">
        <f t="shared" si="14977"/>
        <v>Cedar Hill</v>
      </c>
    </row>
    <row r="14980" spans="1:5">
      <c r="A14980" s="110" t="s">
        <v>26384</v>
      </c>
      <c r="B14980" s="110" t="s">
        <v>1373</v>
      </c>
      <c r="C14980" s="111" t="s">
        <v>261</v>
      </c>
      <c r="D14980" s="111" t="str">
        <f t="shared" ref="D14980:E14980" si="14978">TRIM(B14980)</f>
        <v>Texas</v>
      </c>
      <c r="E14980" s="111" t="str">
        <f t="shared" si="14978"/>
        <v>Cedar Hill</v>
      </c>
    </row>
    <row r="14981" spans="1:5">
      <c r="A14981" s="110" t="s">
        <v>26385</v>
      </c>
      <c r="B14981" s="110" t="s">
        <v>1373</v>
      </c>
      <c r="C14981" s="111" t="s">
        <v>7246</v>
      </c>
      <c r="D14981" s="111" t="str">
        <f t="shared" ref="D14981:E14981" si="14979">TRIM(B14981)</f>
        <v>Texas</v>
      </c>
      <c r="E14981" s="111" t="str">
        <f t="shared" si="14979"/>
        <v>Cedar Park</v>
      </c>
    </row>
    <row r="14982" spans="1:5">
      <c r="A14982" s="110" t="s">
        <v>26386</v>
      </c>
      <c r="B14982" s="110" t="s">
        <v>1373</v>
      </c>
      <c r="C14982" s="111" t="s">
        <v>26387</v>
      </c>
      <c r="D14982" s="111" t="str">
        <f t="shared" ref="D14982:E14982" si="14980">TRIM(B14982)</f>
        <v>Texas</v>
      </c>
      <c r="E14982" s="111" t="str">
        <f t="shared" si="14980"/>
        <v>Celeste</v>
      </c>
    </row>
    <row r="14983" spans="1:5">
      <c r="A14983" s="110" t="s">
        <v>26388</v>
      </c>
      <c r="B14983" s="110" t="s">
        <v>1373</v>
      </c>
      <c r="C14983" s="111" t="s">
        <v>22886</v>
      </c>
      <c r="D14983" s="111" t="str">
        <f t="shared" ref="D14983:E14983" si="14981">TRIM(B14983)</f>
        <v>Texas</v>
      </c>
      <c r="E14983" s="111" t="str">
        <f t="shared" si="14981"/>
        <v>Celina</v>
      </c>
    </row>
    <row r="14984" spans="1:5">
      <c r="A14984" s="110" t="s">
        <v>26389</v>
      </c>
      <c r="B14984" s="110" t="s">
        <v>1373</v>
      </c>
      <c r="C14984" s="111" t="s">
        <v>7698</v>
      </c>
      <c r="D14984" s="111" t="str">
        <f t="shared" ref="D14984:E14984" si="14982">TRIM(B14984)</f>
        <v>Texas</v>
      </c>
      <c r="E14984" s="111" t="str">
        <f t="shared" si="14982"/>
        <v>Center</v>
      </c>
    </row>
    <row r="14985" spans="1:5">
      <c r="A14985" s="110" t="s">
        <v>26390</v>
      </c>
      <c r="B14985" s="110" t="s">
        <v>1373</v>
      </c>
      <c r="C14985" s="111" t="s">
        <v>1611</v>
      </c>
      <c r="D14985" s="111" t="str">
        <f t="shared" ref="D14985:E14985" si="14983">TRIM(B14985)</f>
        <v>Texas</v>
      </c>
      <c r="E14985" s="111" t="str">
        <f t="shared" si="14983"/>
        <v>Center Point</v>
      </c>
    </row>
    <row r="14986" spans="1:5">
      <c r="A14986" s="110" t="s">
        <v>26391</v>
      </c>
      <c r="B14986" s="110" t="s">
        <v>1373</v>
      </c>
      <c r="C14986" s="111" t="s">
        <v>12830</v>
      </c>
      <c r="D14986" s="111" t="str">
        <f t="shared" ref="D14986:E14986" si="14984">TRIM(B14986)</f>
        <v>Texas</v>
      </c>
      <c r="E14986" s="111" t="str">
        <f t="shared" si="14984"/>
        <v>Centerville</v>
      </c>
    </row>
    <row r="14987" spans="1:5">
      <c r="A14987" s="110" t="s">
        <v>26392</v>
      </c>
      <c r="B14987" s="110" t="s">
        <v>1373</v>
      </c>
      <c r="C14987" s="111" t="s">
        <v>26393</v>
      </c>
      <c r="D14987" s="111" t="str">
        <f t="shared" ref="D14987:E14987" si="14985">TRIM(B14987)</f>
        <v>Texas</v>
      </c>
      <c r="E14987" s="111" t="str">
        <f t="shared" si="14985"/>
        <v>Channelview</v>
      </c>
    </row>
    <row r="14988" spans="1:5">
      <c r="A14988" s="110" t="s">
        <v>26394</v>
      </c>
      <c r="B14988" s="110" t="s">
        <v>1373</v>
      </c>
      <c r="C14988" s="111" t="s">
        <v>283</v>
      </c>
      <c r="D14988" s="111" t="str">
        <f t="shared" ref="D14988:E14988" si="14986">TRIM(B14988)</f>
        <v>Texas</v>
      </c>
      <c r="E14988" s="111" t="str">
        <f t="shared" si="14986"/>
        <v>Charlotte</v>
      </c>
    </row>
    <row r="14989" spans="1:5">
      <c r="A14989" s="110" t="s">
        <v>26395</v>
      </c>
      <c r="B14989" s="110" t="s">
        <v>1373</v>
      </c>
      <c r="C14989" s="111" t="s">
        <v>2262</v>
      </c>
      <c r="D14989" s="111" t="str">
        <f t="shared" ref="D14989:E14989" si="14987">TRIM(B14989)</f>
        <v>Texas</v>
      </c>
      <c r="E14989" s="111" t="str">
        <f t="shared" si="14987"/>
        <v>Chester</v>
      </c>
    </row>
    <row r="14990" spans="1:5">
      <c r="A14990" s="110" t="s">
        <v>26396</v>
      </c>
      <c r="B14990" s="110" t="s">
        <v>1373</v>
      </c>
      <c r="C14990" s="111" t="s">
        <v>4640</v>
      </c>
      <c r="D14990" s="111" t="str">
        <f t="shared" ref="D14990:E14990" si="14988">TRIM(B14990)</f>
        <v>Texas</v>
      </c>
      <c r="E14990" s="111" t="str">
        <f t="shared" si="14988"/>
        <v>Chico</v>
      </c>
    </row>
    <row r="14991" spans="1:5">
      <c r="A14991" s="110" t="s">
        <v>26397</v>
      </c>
      <c r="B14991" s="110" t="s">
        <v>1373</v>
      </c>
      <c r="C14991" s="111" t="s">
        <v>26398</v>
      </c>
      <c r="D14991" s="111" t="str">
        <f t="shared" ref="D14991:E14991" si="14989">TRIM(B14991)</f>
        <v>Texas</v>
      </c>
      <c r="E14991" s="111" t="str">
        <f t="shared" si="14989"/>
        <v>Childress</v>
      </c>
    </row>
    <row r="14992" spans="1:5">
      <c r="A14992" s="110" t="s">
        <v>26399</v>
      </c>
      <c r="B14992" s="110" t="s">
        <v>1373</v>
      </c>
      <c r="C14992" s="111" t="s">
        <v>1178</v>
      </c>
      <c r="D14992" s="111" t="str">
        <f t="shared" ref="D14992:E14992" si="14990">TRIM(B14992)</f>
        <v>Texas</v>
      </c>
      <c r="E14992" s="111" t="str">
        <f t="shared" si="14990"/>
        <v>Chillicothe</v>
      </c>
    </row>
    <row r="14993" spans="1:5">
      <c r="A14993" s="110" t="s">
        <v>26400</v>
      </c>
      <c r="B14993" s="110" t="s">
        <v>1373</v>
      </c>
      <c r="C14993" s="111" t="s">
        <v>26401</v>
      </c>
      <c r="D14993" s="111" t="str">
        <f t="shared" ref="D14993:E14993" si="14991">TRIM(B14993)</f>
        <v>Texas</v>
      </c>
      <c r="E14993" s="111" t="str">
        <f t="shared" si="14991"/>
        <v>China Spring</v>
      </c>
    </row>
    <row r="14994" spans="1:5">
      <c r="A14994" s="110" t="s">
        <v>26402</v>
      </c>
      <c r="B14994" s="110" t="s">
        <v>1373</v>
      </c>
      <c r="C14994" s="111" t="s">
        <v>26403</v>
      </c>
      <c r="D14994" s="111" t="str">
        <f t="shared" ref="D14994:E14994" si="14992">TRIM(B14994)</f>
        <v>Texas</v>
      </c>
      <c r="E14994" s="111" t="str">
        <f t="shared" si="14992"/>
        <v>Chireno</v>
      </c>
    </row>
    <row r="14995" spans="1:5">
      <c r="A14995" s="110" t="s">
        <v>26404</v>
      </c>
      <c r="B14995" s="110" t="s">
        <v>1373</v>
      </c>
      <c r="C14995" s="111" t="s">
        <v>26405</v>
      </c>
      <c r="D14995" s="111" t="str">
        <f t="shared" ref="D14995:E14995" si="14993">TRIM(B14995)</f>
        <v>Texas</v>
      </c>
      <c r="E14995" s="111" t="str">
        <f t="shared" si="14993"/>
        <v>Christoval</v>
      </c>
    </row>
    <row r="14996" spans="1:5">
      <c r="A14996" s="110" t="s">
        <v>26406</v>
      </c>
      <c r="B14996" s="110" t="s">
        <v>1373</v>
      </c>
      <c r="C14996" s="111" t="s">
        <v>26407</v>
      </c>
      <c r="D14996" s="111" t="str">
        <f t="shared" ref="D14996:E14996" si="14994">TRIM(B14996)</f>
        <v>Texas</v>
      </c>
      <c r="E14996" s="111" t="str">
        <f t="shared" si="14994"/>
        <v>Cisco</v>
      </c>
    </row>
    <row r="14997" spans="1:5">
      <c r="A14997" s="110" t="s">
        <v>26408</v>
      </c>
      <c r="B14997" s="110" t="s">
        <v>1373</v>
      </c>
      <c r="C14997" s="111" t="s">
        <v>3691</v>
      </c>
      <c r="D14997" s="111" t="str">
        <f t="shared" ref="D14997:E14997" si="14995">TRIM(B14997)</f>
        <v>Texas</v>
      </c>
      <c r="E14997" s="111" t="str">
        <f t="shared" si="14995"/>
        <v>Clarendon</v>
      </c>
    </row>
    <row r="14998" spans="1:5">
      <c r="A14998" s="110" t="s">
        <v>26409</v>
      </c>
      <c r="B14998" s="110" t="s">
        <v>1373</v>
      </c>
      <c r="C14998" s="111" t="s">
        <v>3693</v>
      </c>
      <c r="D14998" s="111" t="str">
        <f t="shared" ref="D14998:E14998" si="14996">TRIM(B14998)</f>
        <v>Texas</v>
      </c>
      <c r="E14998" s="111" t="str">
        <f t="shared" si="14996"/>
        <v>Clarksville</v>
      </c>
    </row>
    <row r="14999" spans="1:5">
      <c r="A14999" s="110" t="s">
        <v>26410</v>
      </c>
      <c r="B14999" s="110" t="s">
        <v>1373</v>
      </c>
      <c r="C14999" s="111" t="s">
        <v>26411</v>
      </c>
      <c r="D14999" s="111" t="str">
        <f t="shared" ref="D14999:E14999" si="14997">TRIM(B14999)</f>
        <v>Texas</v>
      </c>
      <c r="E14999" s="111" t="str">
        <f t="shared" si="14997"/>
        <v>Claude</v>
      </c>
    </row>
    <row r="15000" spans="1:5">
      <c r="A15000" s="110" t="s">
        <v>26412</v>
      </c>
      <c r="B15000" s="110" t="s">
        <v>1373</v>
      </c>
      <c r="C15000" s="111" t="s">
        <v>26413</v>
      </c>
      <c r="D15000" s="111" t="str">
        <f t="shared" ref="D15000:E15000" si="14998">TRIM(B15000)</f>
        <v>Texas</v>
      </c>
      <c r="E15000" s="111" t="str">
        <f t="shared" si="14998"/>
        <v>Cleburne</v>
      </c>
    </row>
    <row r="15001" spans="1:5">
      <c r="A15001" s="110" t="s">
        <v>26414</v>
      </c>
      <c r="B15001" s="110" t="s">
        <v>1373</v>
      </c>
      <c r="C15001" s="111" t="s">
        <v>127</v>
      </c>
      <c r="D15001" s="111" t="str">
        <f t="shared" ref="D15001:E15001" si="14999">TRIM(B15001)</f>
        <v>Texas</v>
      </c>
      <c r="E15001" s="111" t="str">
        <f t="shared" si="14999"/>
        <v>Cleveland</v>
      </c>
    </row>
    <row r="15002" spans="1:5">
      <c r="A15002" s="110" t="s">
        <v>26415</v>
      </c>
      <c r="B15002" s="110" t="s">
        <v>1373</v>
      </c>
      <c r="C15002" s="111" t="s">
        <v>127</v>
      </c>
      <c r="D15002" s="111" t="str">
        <f t="shared" ref="D15002:E15002" si="15000">TRIM(B15002)</f>
        <v>Texas</v>
      </c>
      <c r="E15002" s="111" t="str">
        <f t="shared" si="15000"/>
        <v>Cleveland</v>
      </c>
    </row>
    <row r="15003" spans="1:5">
      <c r="A15003" s="110" t="s">
        <v>26416</v>
      </c>
      <c r="B15003" s="110" t="s">
        <v>1373</v>
      </c>
      <c r="C15003" s="111" t="s">
        <v>12666</v>
      </c>
      <c r="D15003" s="111" t="str">
        <f t="shared" ref="D15003:E15003" si="15001">TRIM(B15003)</f>
        <v>Texas</v>
      </c>
      <c r="E15003" s="111" t="str">
        <f t="shared" si="15001"/>
        <v>Clifton</v>
      </c>
    </row>
    <row r="15004" spans="1:5">
      <c r="A15004" s="110" t="s">
        <v>26417</v>
      </c>
      <c r="B15004" s="110" t="s">
        <v>1373</v>
      </c>
      <c r="C15004" s="111" t="s">
        <v>15226</v>
      </c>
      <c r="D15004" s="111" t="str">
        <f t="shared" ref="D15004:E15004" si="15002">TRIM(B15004)</f>
        <v>Texas</v>
      </c>
      <c r="E15004" s="111" t="str">
        <f t="shared" si="15002"/>
        <v>Clyde</v>
      </c>
    </row>
    <row r="15005" spans="1:5">
      <c r="A15005" s="110" t="s">
        <v>26418</v>
      </c>
      <c r="B15005" s="110" t="s">
        <v>1373</v>
      </c>
      <c r="C15005" s="111" t="s">
        <v>15226</v>
      </c>
      <c r="D15005" s="111" t="str">
        <f t="shared" ref="D15005:E15005" si="15003">TRIM(B15005)</f>
        <v>Texas</v>
      </c>
      <c r="E15005" s="111" t="str">
        <f t="shared" si="15003"/>
        <v>Clyde</v>
      </c>
    </row>
    <row r="15006" spans="1:5">
      <c r="A15006" s="110" t="s">
        <v>26419</v>
      </c>
      <c r="B15006" s="110" t="s">
        <v>1373</v>
      </c>
      <c r="C15006" s="111" t="s">
        <v>26420</v>
      </c>
      <c r="D15006" s="111" t="str">
        <f t="shared" ref="D15006:E15006" si="15004">TRIM(B15006)</f>
        <v>Texas</v>
      </c>
      <c r="E15006" s="111" t="str">
        <f t="shared" si="15004"/>
        <v>Coahoma</v>
      </c>
    </row>
    <row r="15007" spans="1:5">
      <c r="A15007" s="110" t="s">
        <v>26421</v>
      </c>
      <c r="B15007" s="110" t="s">
        <v>1373</v>
      </c>
      <c r="C15007" s="111" t="s">
        <v>26422</v>
      </c>
      <c r="D15007" s="111" t="str">
        <f t="shared" ref="D15007:E15007" si="15005">TRIM(B15007)</f>
        <v>Texas</v>
      </c>
      <c r="E15007" s="111" t="str">
        <f t="shared" si="15005"/>
        <v>Coldspring</v>
      </c>
    </row>
    <row r="15008" spans="1:5">
      <c r="A15008" s="110" t="s">
        <v>26423</v>
      </c>
      <c r="B15008" s="110" t="s">
        <v>1373</v>
      </c>
      <c r="C15008" s="111" t="s">
        <v>17074</v>
      </c>
      <c r="D15008" s="111" t="str">
        <f t="shared" ref="D15008:E15008" si="15006">TRIM(B15008)</f>
        <v>Texas</v>
      </c>
      <c r="E15008" s="111" t="str">
        <f t="shared" si="15006"/>
        <v>Coleman</v>
      </c>
    </row>
    <row r="15009" spans="1:5">
      <c r="A15009" s="110" t="s">
        <v>26424</v>
      </c>
      <c r="B15009" s="110" t="s">
        <v>1373</v>
      </c>
      <c r="C15009" s="111" t="s">
        <v>26425</v>
      </c>
      <c r="D15009" s="111" t="str">
        <f t="shared" ref="D15009:E15009" si="15007">TRIM(B15009)</f>
        <v>Texas</v>
      </c>
      <c r="E15009" s="111" t="str">
        <f t="shared" si="15007"/>
        <v>College Station</v>
      </c>
    </row>
    <row r="15010" spans="1:5">
      <c r="A15010" s="110" t="s">
        <v>26426</v>
      </c>
      <c r="B15010" s="110" t="s">
        <v>1373</v>
      </c>
      <c r="C15010" s="111" t="s">
        <v>26425</v>
      </c>
      <c r="D15010" s="111" t="str">
        <f t="shared" ref="D15010:E15010" si="15008">TRIM(B15010)</f>
        <v>Texas</v>
      </c>
      <c r="E15010" s="111" t="str">
        <f t="shared" si="15008"/>
        <v>College Station</v>
      </c>
    </row>
    <row r="15011" spans="1:5">
      <c r="A15011" s="110" t="s">
        <v>26427</v>
      </c>
      <c r="B15011" s="110" t="s">
        <v>1373</v>
      </c>
      <c r="C15011" s="111" t="s">
        <v>26425</v>
      </c>
      <c r="D15011" s="111" t="str">
        <f t="shared" ref="D15011:E15011" si="15009">TRIM(B15011)</f>
        <v>Texas</v>
      </c>
      <c r="E15011" s="111" t="str">
        <f t="shared" si="15009"/>
        <v>College Station</v>
      </c>
    </row>
    <row r="15012" spans="1:5">
      <c r="A15012" s="110" t="s">
        <v>26428</v>
      </c>
      <c r="B15012" s="110" t="s">
        <v>1373</v>
      </c>
      <c r="C15012" s="111" t="s">
        <v>26429</v>
      </c>
      <c r="D15012" s="111" t="str">
        <f t="shared" ref="D15012:E15012" si="15010">TRIM(B15012)</f>
        <v>Texas</v>
      </c>
      <c r="E15012" s="111" t="str">
        <f t="shared" si="15010"/>
        <v>Colleyville</v>
      </c>
    </row>
    <row r="15013" spans="1:5">
      <c r="A15013" s="110" t="s">
        <v>26430</v>
      </c>
      <c r="B15013" s="110" t="s">
        <v>1373</v>
      </c>
      <c r="C15013" s="111" t="s">
        <v>801</v>
      </c>
      <c r="D15013" s="111" t="str">
        <f t="shared" ref="D15013:E15013" si="15011">TRIM(B15013)</f>
        <v>Texas</v>
      </c>
      <c r="E15013" s="111" t="str">
        <f t="shared" si="15011"/>
        <v>Collinsville</v>
      </c>
    </row>
    <row r="15014" spans="1:5">
      <c r="A15014" s="3" t="s">
        <v>26431</v>
      </c>
      <c r="B15014" s="110" t="s">
        <v>1373</v>
      </c>
      <c r="C15014" s="111" t="s">
        <v>26432</v>
      </c>
      <c r="D15014" s="111" t="str">
        <f t="shared" ref="D15014:E15014" si="15012">TRIM(B15014)</f>
        <v>Texas</v>
      </c>
      <c r="E15014" s="111" t="str">
        <f t="shared" si="15012"/>
        <v>Colmesneil</v>
      </c>
    </row>
    <row r="15015" spans="1:5">
      <c r="A15015" s="110" t="s">
        <v>26433</v>
      </c>
      <c r="B15015" s="110" t="s">
        <v>1373</v>
      </c>
      <c r="C15015" s="111" t="s">
        <v>2570</v>
      </c>
      <c r="D15015" s="111" t="str">
        <f t="shared" ref="D15015:E15015" si="15013">TRIM(B15015)</f>
        <v>Texas</v>
      </c>
      <c r="E15015" s="111" t="str">
        <f t="shared" si="15013"/>
        <v>Colorado City</v>
      </c>
    </row>
    <row r="15016" spans="1:5">
      <c r="A15016" s="110" t="s">
        <v>26434</v>
      </c>
      <c r="B15016" s="110" t="s">
        <v>1373</v>
      </c>
      <c r="C15016" s="111" t="s">
        <v>138</v>
      </c>
      <c r="D15016" s="111" t="str">
        <f t="shared" ref="D15016:E15016" si="15014">TRIM(B15016)</f>
        <v>Texas</v>
      </c>
      <c r="E15016" s="111" t="str">
        <f t="shared" si="15014"/>
        <v>Columbus</v>
      </c>
    </row>
    <row r="15017" spans="1:5">
      <c r="A15017" s="110" t="s">
        <v>26435</v>
      </c>
      <c r="B15017" s="110" t="s">
        <v>1373</v>
      </c>
      <c r="C15017" s="111" t="s">
        <v>23733</v>
      </c>
      <c r="D15017" s="111" t="str">
        <f t="shared" ref="D15017:E15017" si="15015">TRIM(B15017)</f>
        <v>Texas</v>
      </c>
      <c r="E15017" s="111" t="str">
        <f t="shared" si="15015"/>
        <v>Comanche</v>
      </c>
    </row>
    <row r="15018" spans="1:5">
      <c r="A15018" s="110" t="s">
        <v>26436</v>
      </c>
      <c r="B15018" s="110" t="s">
        <v>1373</v>
      </c>
      <c r="C15018" s="111" t="s">
        <v>26437</v>
      </c>
      <c r="D15018" s="111" t="str">
        <f t="shared" ref="D15018:E15018" si="15016">TRIM(B15018)</f>
        <v>Texas</v>
      </c>
      <c r="E15018" s="111" t="str">
        <f t="shared" si="15016"/>
        <v>Comfort</v>
      </c>
    </row>
    <row r="15019" spans="1:5">
      <c r="A15019" s="110" t="s">
        <v>26438</v>
      </c>
      <c r="B15019" s="110" t="s">
        <v>1373</v>
      </c>
      <c r="C15019" s="111" t="s">
        <v>10582</v>
      </c>
      <c r="D15019" s="111" t="str">
        <f t="shared" ref="D15019:E15019" si="15017">TRIM(B15019)</f>
        <v>Texas</v>
      </c>
      <c r="E15019" s="111" t="str">
        <f t="shared" si="15017"/>
        <v>Commerce</v>
      </c>
    </row>
    <row r="15020" spans="1:5">
      <c r="A15020" s="110" t="s">
        <v>26439</v>
      </c>
      <c r="B15020" s="110" t="s">
        <v>1373</v>
      </c>
      <c r="C15020" s="111" t="s">
        <v>359</v>
      </c>
      <c r="D15020" s="111" t="str">
        <f t="shared" ref="D15020:E15020" si="15018">TRIM(B15020)</f>
        <v>Texas</v>
      </c>
      <c r="E15020" s="111" t="str">
        <f t="shared" si="15018"/>
        <v>Conroe</v>
      </c>
    </row>
    <row r="15021" spans="1:5">
      <c r="A15021" s="110" t="s">
        <v>26440</v>
      </c>
      <c r="B15021" s="110" t="s">
        <v>1373</v>
      </c>
      <c r="C15021" s="111" t="s">
        <v>359</v>
      </c>
      <c r="D15021" s="111" t="str">
        <f t="shared" ref="D15021:E15021" si="15019">TRIM(B15021)</f>
        <v>Texas</v>
      </c>
      <c r="E15021" s="111" t="str">
        <f t="shared" si="15019"/>
        <v>Conroe</v>
      </c>
    </row>
    <row r="15022" spans="1:5">
      <c r="A15022" s="110" t="s">
        <v>26441</v>
      </c>
      <c r="B15022" s="110" t="s">
        <v>1373</v>
      </c>
      <c r="C15022" s="111" t="s">
        <v>359</v>
      </c>
      <c r="D15022" s="111" t="str">
        <f t="shared" ref="D15022:E15022" si="15020">TRIM(B15022)</f>
        <v>Texas</v>
      </c>
      <c r="E15022" s="111" t="str">
        <f t="shared" si="15020"/>
        <v>Conroe</v>
      </c>
    </row>
    <row r="15023" spans="1:5">
      <c r="A15023" s="110" t="s">
        <v>26442</v>
      </c>
      <c r="B15023" s="110" t="s">
        <v>1373</v>
      </c>
      <c r="C15023" s="111" t="s">
        <v>14233</v>
      </c>
      <c r="D15023" s="111" t="str">
        <f t="shared" ref="D15023:E15023" si="15021">TRIM(B15023)</f>
        <v>Texas</v>
      </c>
      <c r="E15023" s="111" t="str">
        <f t="shared" si="15021"/>
        <v>Converse</v>
      </c>
    </row>
    <row r="15024" spans="1:5">
      <c r="A15024" s="110" t="s">
        <v>26443</v>
      </c>
      <c r="B15024" s="110" t="s">
        <v>1373</v>
      </c>
      <c r="C15024" s="111" t="s">
        <v>2575</v>
      </c>
      <c r="D15024" s="111" t="str">
        <f t="shared" ref="D15024:E15024" si="15022">TRIM(B15024)</f>
        <v>Texas</v>
      </c>
      <c r="E15024" s="111" t="str">
        <f t="shared" si="15022"/>
        <v>Coolidge</v>
      </c>
    </row>
    <row r="15025" spans="1:5">
      <c r="A15025" s="110" t="s">
        <v>26139</v>
      </c>
      <c r="B15025" s="110" t="s">
        <v>1373</v>
      </c>
      <c r="C15025" s="111" t="s">
        <v>26444</v>
      </c>
      <c r="D15025" s="111" t="str">
        <f t="shared" ref="D15025:E15025" si="15023">TRIM(B15025)</f>
        <v>Texas</v>
      </c>
      <c r="E15025" s="111" t="str">
        <f t="shared" si="15023"/>
        <v>Cooper</v>
      </c>
    </row>
    <row r="15026" spans="1:5">
      <c r="A15026" s="110" t="s">
        <v>26445</v>
      </c>
      <c r="B15026" s="110" t="s">
        <v>1373</v>
      </c>
      <c r="C15026" s="111" t="s">
        <v>364</v>
      </c>
      <c r="D15026" s="111" t="str">
        <f t="shared" ref="D15026:E15026" si="15024">TRIM(B15026)</f>
        <v>Texas</v>
      </c>
      <c r="E15026" s="111" t="str">
        <f t="shared" si="15024"/>
        <v>Coppell</v>
      </c>
    </row>
    <row r="15027" spans="1:5">
      <c r="A15027" s="110" t="s">
        <v>26446</v>
      </c>
      <c r="B15027" s="110" t="s">
        <v>1373</v>
      </c>
      <c r="C15027" s="111" t="s">
        <v>364</v>
      </c>
      <c r="D15027" s="111" t="str">
        <f t="shared" ref="D15027:E15027" si="15025">TRIM(B15027)</f>
        <v>Texas</v>
      </c>
      <c r="E15027" s="111" t="str">
        <f t="shared" si="15025"/>
        <v>Coppell</v>
      </c>
    </row>
    <row r="15028" spans="1:5">
      <c r="A15028" s="110" t="s">
        <v>26447</v>
      </c>
      <c r="B15028" s="110" t="s">
        <v>1373</v>
      </c>
      <c r="C15028" s="111" t="s">
        <v>26448</v>
      </c>
      <c r="D15028" s="111" t="str">
        <f t="shared" ref="D15028:E15028" si="15026">TRIM(B15028)</f>
        <v>Texas</v>
      </c>
      <c r="E15028" s="111" t="str">
        <f t="shared" si="15026"/>
        <v>Copperas Cove</v>
      </c>
    </row>
    <row r="15029" spans="1:5">
      <c r="A15029" s="110" t="s">
        <v>26449</v>
      </c>
      <c r="B15029" s="110" t="s">
        <v>1373</v>
      </c>
      <c r="C15029" s="111" t="s">
        <v>13773</v>
      </c>
      <c r="D15029" s="111" t="str">
        <f t="shared" ref="D15029:E15029" si="15027">TRIM(B15029)</f>
        <v>Texas</v>
      </c>
      <c r="E15029" s="111" t="str">
        <f t="shared" si="15027"/>
        <v>Corpus Christi</v>
      </c>
    </row>
    <row r="15030" spans="1:5">
      <c r="A15030" s="110" t="s">
        <v>26450</v>
      </c>
      <c r="B15030" s="110" t="s">
        <v>1373</v>
      </c>
      <c r="C15030" s="111" t="s">
        <v>13773</v>
      </c>
      <c r="D15030" s="111" t="str">
        <f t="shared" ref="D15030:E15030" si="15028">TRIM(B15030)</f>
        <v>Texas</v>
      </c>
      <c r="E15030" s="111" t="str">
        <f t="shared" si="15028"/>
        <v>Corpus Christi</v>
      </c>
    </row>
    <row r="15031" spans="1:5">
      <c r="A15031" s="110" t="s">
        <v>26451</v>
      </c>
      <c r="B15031" s="110" t="s">
        <v>1373</v>
      </c>
      <c r="C15031" s="111" t="s">
        <v>13773</v>
      </c>
      <c r="D15031" s="111" t="str">
        <f t="shared" ref="D15031:E15031" si="15029">TRIM(B15031)</f>
        <v>Texas</v>
      </c>
      <c r="E15031" s="111" t="str">
        <f t="shared" si="15029"/>
        <v>Corpus Christi</v>
      </c>
    </row>
    <row r="15032" spans="1:5">
      <c r="A15032" s="110" t="s">
        <v>26452</v>
      </c>
      <c r="B15032" s="110" t="s">
        <v>1373</v>
      </c>
      <c r="C15032" s="112" t="s">
        <v>13773</v>
      </c>
      <c r="D15032" s="111" t="str">
        <f t="shared" ref="D15032:E15032" si="15030">TRIM(B15032)</f>
        <v>Texas</v>
      </c>
      <c r="E15032" s="111" t="str">
        <f t="shared" si="15030"/>
        <v>Corpus Christi</v>
      </c>
    </row>
    <row r="15033" spans="1:5">
      <c r="A15033" s="3" t="s">
        <v>26453</v>
      </c>
      <c r="B15033" s="110" t="s">
        <v>1373</v>
      </c>
      <c r="C15033" s="111" t="s">
        <v>13773</v>
      </c>
      <c r="D15033" s="111" t="str">
        <f t="shared" ref="D15033:E15033" si="15031">TRIM(B15033)</f>
        <v>Texas</v>
      </c>
      <c r="E15033" s="111" t="str">
        <f t="shared" si="15031"/>
        <v>Corpus Christi</v>
      </c>
    </row>
    <row r="15034" spans="1:5">
      <c r="A15034" s="110" t="s">
        <v>26454</v>
      </c>
      <c r="B15034" s="110" t="s">
        <v>1373</v>
      </c>
      <c r="C15034" s="111" t="s">
        <v>13773</v>
      </c>
      <c r="D15034" s="111" t="str">
        <f t="shared" ref="D15034:E15034" si="15032">TRIM(B15034)</f>
        <v>Texas</v>
      </c>
      <c r="E15034" s="111" t="str">
        <f t="shared" si="15032"/>
        <v>Corpus Christi</v>
      </c>
    </row>
    <row r="15035" spans="1:5">
      <c r="A15035" s="110" t="s">
        <v>26455</v>
      </c>
      <c r="B15035" s="110" t="s">
        <v>1373</v>
      </c>
      <c r="C15035" s="111" t="s">
        <v>13773</v>
      </c>
      <c r="D15035" s="111" t="str">
        <f t="shared" ref="D15035:E15035" si="15033">TRIM(B15035)</f>
        <v>Texas</v>
      </c>
      <c r="E15035" s="111" t="str">
        <f t="shared" si="15033"/>
        <v>Corpus Christi</v>
      </c>
    </row>
    <row r="15036" spans="1:5">
      <c r="A15036" s="110" t="s">
        <v>26456</v>
      </c>
      <c r="B15036" s="110" t="s">
        <v>1373</v>
      </c>
      <c r="C15036" s="111" t="s">
        <v>13773</v>
      </c>
      <c r="D15036" s="111" t="str">
        <f t="shared" ref="D15036:E15036" si="15034">TRIM(B15036)</f>
        <v>Texas</v>
      </c>
      <c r="E15036" s="111" t="str">
        <f t="shared" si="15034"/>
        <v>Corpus Christi</v>
      </c>
    </row>
    <row r="15037" spans="1:5">
      <c r="A15037" s="110" t="s">
        <v>26457</v>
      </c>
      <c r="B15037" s="110" t="s">
        <v>1373</v>
      </c>
      <c r="C15037" s="111" t="s">
        <v>13773</v>
      </c>
      <c r="D15037" s="111" t="str">
        <f t="shared" ref="D15037:E15037" si="15035">TRIM(B15037)</f>
        <v>Texas</v>
      </c>
      <c r="E15037" s="111" t="str">
        <f t="shared" si="15035"/>
        <v>Corpus Christi</v>
      </c>
    </row>
    <row r="15038" spans="1:5">
      <c r="A15038" s="110" t="s">
        <v>26458</v>
      </c>
      <c r="B15038" s="110" t="s">
        <v>1373</v>
      </c>
      <c r="C15038" s="111" t="s">
        <v>13773</v>
      </c>
      <c r="D15038" s="111" t="str">
        <f t="shared" ref="D15038:E15038" si="15036">TRIM(B15038)</f>
        <v>Texas</v>
      </c>
      <c r="E15038" s="111" t="str">
        <f t="shared" si="15036"/>
        <v>Corpus Christi</v>
      </c>
    </row>
    <row r="15039" spans="1:5">
      <c r="A15039" s="110" t="s">
        <v>26459</v>
      </c>
      <c r="B15039" s="110" t="s">
        <v>1373</v>
      </c>
      <c r="C15039" s="111" t="s">
        <v>13773</v>
      </c>
      <c r="D15039" s="111" t="str">
        <f t="shared" ref="D15039:E15039" si="15037">TRIM(B15039)</f>
        <v>Texas</v>
      </c>
      <c r="E15039" s="111" t="str">
        <f t="shared" si="15037"/>
        <v>Corpus Christi</v>
      </c>
    </row>
    <row r="15040" spans="1:5">
      <c r="A15040" s="110" t="s">
        <v>26460</v>
      </c>
      <c r="B15040" s="110" t="s">
        <v>1373</v>
      </c>
      <c r="C15040" s="111" t="s">
        <v>13773</v>
      </c>
      <c r="D15040" s="111" t="str">
        <f t="shared" ref="D15040:E15040" si="15038">TRIM(B15040)</f>
        <v>Texas</v>
      </c>
      <c r="E15040" s="111" t="str">
        <f t="shared" si="15038"/>
        <v>Corpus Christi</v>
      </c>
    </row>
    <row r="15041" spans="1:5">
      <c r="A15041" s="110" t="s">
        <v>26461</v>
      </c>
      <c r="B15041" s="110" t="s">
        <v>1373</v>
      </c>
      <c r="C15041" s="111" t="s">
        <v>13773</v>
      </c>
      <c r="D15041" s="111" t="str">
        <f t="shared" ref="D15041:E15041" si="15039">TRIM(B15041)</f>
        <v>Texas</v>
      </c>
      <c r="E15041" s="111" t="str">
        <f t="shared" si="15039"/>
        <v>Corpus Christi</v>
      </c>
    </row>
    <row r="15042" spans="1:5">
      <c r="A15042" s="110" t="s">
        <v>26462</v>
      </c>
      <c r="B15042" s="110" t="s">
        <v>1373</v>
      </c>
      <c r="C15042" s="111" t="s">
        <v>26463</v>
      </c>
      <c r="D15042" s="111" t="str">
        <f t="shared" ref="D15042:E15042" si="15040">TRIM(B15042)</f>
        <v>Texas</v>
      </c>
      <c r="E15042" s="111" t="str">
        <f t="shared" si="15040"/>
        <v>Corrigan</v>
      </c>
    </row>
    <row r="15043" spans="1:5">
      <c r="A15043" s="110" t="s">
        <v>26464</v>
      </c>
      <c r="B15043" s="110" t="s">
        <v>1373</v>
      </c>
      <c r="C15043" s="111" t="s">
        <v>26465</v>
      </c>
      <c r="D15043" s="111" t="str">
        <f t="shared" ref="D15043:E15043" si="15041">TRIM(B15043)</f>
        <v>Texas</v>
      </c>
      <c r="E15043" s="111" t="str">
        <f t="shared" si="15041"/>
        <v>Corsicana</v>
      </c>
    </row>
    <row r="15044" spans="1:5">
      <c r="A15044" s="110" t="s">
        <v>26466</v>
      </c>
      <c r="B15044" s="110" t="s">
        <v>1373</v>
      </c>
      <c r="C15044" s="111" t="s">
        <v>26465</v>
      </c>
      <c r="D15044" s="111" t="str">
        <f t="shared" ref="D15044:E15044" si="15042">TRIM(B15044)</f>
        <v>Texas</v>
      </c>
      <c r="E15044" s="111" t="str">
        <f t="shared" si="15042"/>
        <v>Corsicana</v>
      </c>
    </row>
    <row r="15045" spans="1:5">
      <c r="A15045" s="110" t="s">
        <v>26467</v>
      </c>
      <c r="B15045" s="110" t="s">
        <v>1373</v>
      </c>
      <c r="C15045" s="111" t="s">
        <v>26468</v>
      </c>
      <c r="D15045" s="111" t="str">
        <f t="shared" ref="D15045:E15045" si="15043">TRIM(B15045)</f>
        <v>Texas</v>
      </c>
      <c r="E15045" s="111" t="str">
        <f t="shared" si="15043"/>
        <v>Cotulla</v>
      </c>
    </row>
    <row r="15046" spans="1:5">
      <c r="A15046" s="110" t="s">
        <v>26469</v>
      </c>
      <c r="B15046" s="110" t="s">
        <v>1373</v>
      </c>
      <c r="C15046" s="111" t="s">
        <v>26470</v>
      </c>
      <c r="D15046" s="111" t="str">
        <f t="shared" ref="D15046:E15046" si="15044">TRIM(B15046)</f>
        <v>Texas</v>
      </c>
      <c r="E15046" s="111" t="str">
        <f t="shared" si="15044"/>
        <v>Crandall</v>
      </c>
    </row>
    <row r="15047" spans="1:5">
      <c r="A15047" s="110" t="s">
        <v>26471</v>
      </c>
      <c r="B15047" s="110" t="s">
        <v>1373</v>
      </c>
      <c r="C15047" s="111" t="s">
        <v>18720</v>
      </c>
      <c r="D15047" s="111" t="str">
        <f t="shared" ref="D15047:E15047" si="15045">TRIM(B15047)</f>
        <v>Texas</v>
      </c>
      <c r="E15047" s="111" t="str">
        <f t="shared" si="15045"/>
        <v>Crane</v>
      </c>
    </row>
    <row r="15048" spans="1:5">
      <c r="A15048" s="110" t="s">
        <v>26472</v>
      </c>
      <c r="B15048" s="110" t="s">
        <v>1373</v>
      </c>
      <c r="C15048" s="111" t="s">
        <v>19540</v>
      </c>
      <c r="D15048" s="111" t="str">
        <f t="shared" ref="D15048:E15048" si="15046">TRIM(B15048)</f>
        <v>Texas</v>
      </c>
      <c r="E15048" s="111" t="str">
        <f t="shared" si="15046"/>
        <v>Crawford</v>
      </c>
    </row>
    <row r="15049" spans="1:5">
      <c r="A15049" s="110" t="s">
        <v>26212</v>
      </c>
      <c r="B15049" s="110" t="s">
        <v>1373</v>
      </c>
      <c r="C15049" s="111" t="s">
        <v>4784</v>
      </c>
      <c r="D15049" s="111" t="str">
        <f t="shared" ref="D15049:E15049" si="15047">TRIM(B15049)</f>
        <v>Texas</v>
      </c>
      <c r="E15049" s="111" t="str">
        <f t="shared" si="15047"/>
        <v>Crockett</v>
      </c>
    </row>
    <row r="15050" spans="1:5">
      <c r="A15050" s="110" t="s">
        <v>26473</v>
      </c>
      <c r="B15050" s="110" t="s">
        <v>1373</v>
      </c>
      <c r="C15050" s="111" t="s">
        <v>17840</v>
      </c>
      <c r="D15050" s="111" t="str">
        <f t="shared" ref="D15050:E15050" si="15048">TRIM(B15050)</f>
        <v>Texas</v>
      </c>
      <c r="E15050" s="111" t="str">
        <f t="shared" si="15048"/>
        <v>Crosby</v>
      </c>
    </row>
    <row r="15051" spans="1:5">
      <c r="A15051" s="110" t="s">
        <v>26474</v>
      </c>
      <c r="B15051" s="110" t="s">
        <v>1373</v>
      </c>
      <c r="C15051" s="111" t="s">
        <v>26475</v>
      </c>
      <c r="D15051" s="111" t="str">
        <f t="shared" ref="D15051:E15051" si="15049">TRIM(B15051)</f>
        <v>Texas</v>
      </c>
      <c r="E15051" s="111" t="str">
        <f t="shared" si="15049"/>
        <v>Crosbyton</v>
      </c>
    </row>
    <row r="15052" spans="1:5">
      <c r="A15052" s="110" t="s">
        <v>26476</v>
      </c>
      <c r="B15052" s="110" t="s">
        <v>1373</v>
      </c>
      <c r="C15052" s="111" t="s">
        <v>25892</v>
      </c>
      <c r="D15052" s="111" t="str">
        <f t="shared" ref="D15052:E15052" si="15050">TRIM(B15052)</f>
        <v>Texas</v>
      </c>
      <c r="E15052" s="111" t="str">
        <f t="shared" si="15050"/>
        <v>Cross Plains</v>
      </c>
    </row>
    <row r="15053" spans="1:5">
      <c r="A15053" s="110" t="s">
        <v>26477</v>
      </c>
      <c r="B15053" s="110" t="s">
        <v>1373</v>
      </c>
      <c r="C15053" s="111" t="s">
        <v>10926</v>
      </c>
      <c r="D15053" s="111" t="str">
        <f t="shared" ref="D15053:E15053" si="15051">TRIM(B15053)</f>
        <v>Texas</v>
      </c>
      <c r="E15053" s="111" t="str">
        <f t="shared" si="15051"/>
        <v>Crowley</v>
      </c>
    </row>
    <row r="15054" spans="1:5">
      <c r="A15054" s="110" t="s">
        <v>26478</v>
      </c>
      <c r="B15054" s="110" t="s">
        <v>1373</v>
      </c>
      <c r="C15054" s="111" t="s">
        <v>18726</v>
      </c>
      <c r="D15054" s="111" t="str">
        <f t="shared" ref="D15054:E15054" si="15052">TRIM(B15054)</f>
        <v>Texas</v>
      </c>
      <c r="E15054" s="111" t="str">
        <f t="shared" si="15052"/>
        <v>Crystal City</v>
      </c>
    </row>
    <row r="15055" spans="1:5">
      <c r="A15055" s="110" t="s">
        <v>26479</v>
      </c>
      <c r="B15055" s="110" t="s">
        <v>1373</v>
      </c>
      <c r="C15055" s="111" t="s">
        <v>26480</v>
      </c>
      <c r="D15055" s="111" t="str">
        <f t="shared" ref="D15055:E15055" si="15053">TRIM(B15055)</f>
        <v>Texas</v>
      </c>
      <c r="E15055" s="111" t="str">
        <f t="shared" si="15053"/>
        <v>Cuero</v>
      </c>
    </row>
    <row r="15056" spans="1:5">
      <c r="A15056" s="110" t="s">
        <v>26481</v>
      </c>
      <c r="B15056" s="110" t="s">
        <v>1373</v>
      </c>
      <c r="C15056" s="111" t="s">
        <v>26482</v>
      </c>
      <c r="D15056" s="111" t="str">
        <f t="shared" ref="D15056:E15056" si="15054">TRIM(B15056)</f>
        <v>Texas</v>
      </c>
      <c r="E15056" s="111" t="str">
        <f t="shared" si="15054"/>
        <v>Cumby</v>
      </c>
    </row>
    <row r="15057" spans="1:5">
      <c r="A15057" s="110" t="s">
        <v>26483</v>
      </c>
      <c r="B15057" s="110" t="s">
        <v>1373</v>
      </c>
      <c r="C15057" s="111" t="s">
        <v>23750</v>
      </c>
      <c r="D15057" s="111" t="str">
        <f t="shared" ref="D15057:E15057" si="15055">TRIM(B15057)</f>
        <v>Texas</v>
      </c>
      <c r="E15057" s="111" t="str">
        <f t="shared" si="15055"/>
        <v>Cushing</v>
      </c>
    </row>
    <row r="15058" spans="1:5">
      <c r="A15058" s="110" t="s">
        <v>26484</v>
      </c>
      <c r="B15058" s="110" t="s">
        <v>1373</v>
      </c>
      <c r="C15058" s="111" t="s">
        <v>4797</v>
      </c>
      <c r="D15058" s="111" t="str">
        <f t="shared" ref="D15058:E15058" si="15056">TRIM(B15058)</f>
        <v>Texas</v>
      </c>
      <c r="E15058" s="111" t="str">
        <f t="shared" si="15056"/>
        <v>Cypress</v>
      </c>
    </row>
    <row r="15059" spans="1:5">
      <c r="A15059" s="110" t="s">
        <v>26485</v>
      </c>
      <c r="B15059" s="110" t="s">
        <v>1373</v>
      </c>
      <c r="C15059" s="111" t="s">
        <v>4797</v>
      </c>
      <c r="D15059" s="111" t="str">
        <f t="shared" ref="D15059:E15059" si="15057">TRIM(B15059)</f>
        <v>Texas</v>
      </c>
      <c r="E15059" s="111" t="str">
        <f t="shared" si="15057"/>
        <v>Cypress</v>
      </c>
    </row>
    <row r="15060" spans="1:5">
      <c r="A15060" s="110" t="s">
        <v>26486</v>
      </c>
      <c r="B15060" s="110" t="s">
        <v>1373</v>
      </c>
      <c r="C15060" s="111" t="s">
        <v>4797</v>
      </c>
      <c r="D15060" s="111" t="str">
        <f t="shared" ref="D15060:E15060" si="15058">TRIM(B15060)</f>
        <v>Texas</v>
      </c>
      <c r="E15060" s="111" t="str">
        <f t="shared" si="15058"/>
        <v>Cypress</v>
      </c>
    </row>
    <row r="15061" spans="1:5">
      <c r="A15061" s="110" t="s">
        <v>26487</v>
      </c>
      <c r="B15061" s="110" t="s">
        <v>1373</v>
      </c>
      <c r="C15061" s="111" t="s">
        <v>4797</v>
      </c>
      <c r="D15061" s="111" t="str">
        <f t="shared" ref="D15061:E15061" si="15059">TRIM(B15061)</f>
        <v>Texas</v>
      </c>
      <c r="E15061" s="111" t="str">
        <f t="shared" si="15059"/>
        <v>Cypress</v>
      </c>
    </row>
    <row r="15062" spans="1:5">
      <c r="A15062" s="110" t="s">
        <v>26488</v>
      </c>
      <c r="B15062" s="110" t="s">
        <v>1373</v>
      </c>
      <c r="C15062" s="111" t="s">
        <v>26489</v>
      </c>
      <c r="D15062" s="111" t="str">
        <f t="shared" ref="D15062:E15062" si="15060">TRIM(B15062)</f>
        <v>Texas</v>
      </c>
      <c r="E15062" s="111" t="str">
        <f t="shared" si="15060"/>
        <v>Daingerfield</v>
      </c>
    </row>
    <row r="15063" spans="1:5">
      <c r="A15063" s="110" t="s">
        <v>26490</v>
      </c>
      <c r="B15063" s="110" t="s">
        <v>1373</v>
      </c>
      <c r="C15063" s="111" t="s">
        <v>26491</v>
      </c>
      <c r="D15063" s="111" t="str">
        <f t="shared" ref="D15063:E15063" si="15061">TRIM(B15063)</f>
        <v>Texas</v>
      </c>
      <c r="E15063" s="111" t="str">
        <f t="shared" si="15061"/>
        <v>Daisetta</v>
      </c>
    </row>
    <row r="15064" spans="1:5">
      <c r="A15064" s="110" t="s">
        <v>26492</v>
      </c>
      <c r="B15064" s="110" t="s">
        <v>1373</v>
      </c>
      <c r="C15064" s="111" t="s">
        <v>26493</v>
      </c>
      <c r="D15064" s="111" t="str">
        <f t="shared" ref="D15064:E15064" si="15062">TRIM(B15064)</f>
        <v>Texas</v>
      </c>
      <c r="E15064" s="111" t="str">
        <f t="shared" si="15062"/>
        <v>Dalhart</v>
      </c>
    </row>
    <row r="15065" spans="1:5">
      <c r="A15065" s="110" t="s">
        <v>26494</v>
      </c>
      <c r="B15065" s="110" t="s">
        <v>1373</v>
      </c>
      <c r="C15065" s="111" t="s">
        <v>252</v>
      </c>
      <c r="D15065" s="111" t="str">
        <f t="shared" ref="D15065:E15065" si="15063">TRIM(B15065)</f>
        <v>Texas</v>
      </c>
      <c r="E15065" s="111" t="str">
        <f t="shared" si="15063"/>
        <v>Dallas</v>
      </c>
    </row>
    <row r="15066" spans="1:5">
      <c r="A15066" s="3" t="s">
        <v>26495</v>
      </c>
      <c r="B15066" s="110" t="s">
        <v>1373</v>
      </c>
      <c r="C15066" s="111" t="s">
        <v>252</v>
      </c>
      <c r="D15066" s="111" t="str">
        <f t="shared" ref="D15066:E15066" si="15064">TRIM(B15066)</f>
        <v>Texas</v>
      </c>
      <c r="E15066" s="111" t="str">
        <f t="shared" si="15064"/>
        <v>Dallas</v>
      </c>
    </row>
    <row r="15067" spans="1:5">
      <c r="A15067" s="110" t="s">
        <v>26496</v>
      </c>
      <c r="B15067" s="110" t="s">
        <v>1373</v>
      </c>
      <c r="C15067" s="111" t="s">
        <v>252</v>
      </c>
      <c r="D15067" s="111" t="str">
        <f t="shared" ref="D15067:E15067" si="15065">TRIM(B15067)</f>
        <v>Texas</v>
      </c>
      <c r="E15067" s="111" t="str">
        <f t="shared" si="15065"/>
        <v>Dallas</v>
      </c>
    </row>
    <row r="15068" spans="1:5">
      <c r="A15068" s="110" t="s">
        <v>26497</v>
      </c>
      <c r="B15068" s="110" t="s">
        <v>1373</v>
      </c>
      <c r="C15068" s="111" t="s">
        <v>252</v>
      </c>
      <c r="D15068" s="111" t="str">
        <f t="shared" ref="D15068:E15068" si="15066">TRIM(B15068)</f>
        <v>Texas</v>
      </c>
      <c r="E15068" s="111" t="str">
        <f t="shared" si="15066"/>
        <v>Dallas</v>
      </c>
    </row>
    <row r="15069" spans="1:5">
      <c r="A15069" s="110" t="s">
        <v>26498</v>
      </c>
      <c r="B15069" s="110" t="s">
        <v>1373</v>
      </c>
      <c r="C15069" s="111" t="s">
        <v>252</v>
      </c>
      <c r="D15069" s="111" t="str">
        <f t="shared" ref="D15069:E15069" si="15067">TRIM(B15069)</f>
        <v>Texas</v>
      </c>
      <c r="E15069" s="111" t="str">
        <f t="shared" si="15067"/>
        <v>Dallas</v>
      </c>
    </row>
    <row r="15070" spans="1:5">
      <c r="A15070" s="110" t="s">
        <v>26499</v>
      </c>
      <c r="B15070" s="110" t="s">
        <v>1373</v>
      </c>
      <c r="C15070" s="111" t="s">
        <v>252</v>
      </c>
      <c r="D15070" s="111" t="str">
        <f t="shared" ref="D15070:E15070" si="15068">TRIM(B15070)</f>
        <v>Texas</v>
      </c>
      <c r="E15070" s="111" t="str">
        <f t="shared" si="15068"/>
        <v>Dallas</v>
      </c>
    </row>
    <row r="15071" spans="1:5">
      <c r="A15071" s="110" t="s">
        <v>26500</v>
      </c>
      <c r="B15071" s="110" t="s">
        <v>1373</v>
      </c>
      <c r="C15071" s="111" t="s">
        <v>252</v>
      </c>
      <c r="D15071" s="111" t="str">
        <f t="shared" ref="D15071:E15071" si="15069">TRIM(B15071)</f>
        <v>Texas</v>
      </c>
      <c r="E15071" s="111" t="str">
        <f t="shared" si="15069"/>
        <v>Dallas</v>
      </c>
    </row>
    <row r="15072" spans="1:5">
      <c r="A15072" s="110" t="s">
        <v>26501</v>
      </c>
      <c r="B15072" s="110" t="s">
        <v>1373</v>
      </c>
      <c r="C15072" s="111" t="s">
        <v>252</v>
      </c>
      <c r="D15072" s="111" t="str">
        <f t="shared" ref="D15072:E15072" si="15070">TRIM(B15072)</f>
        <v>Texas</v>
      </c>
      <c r="E15072" s="111" t="str">
        <f t="shared" si="15070"/>
        <v>Dallas</v>
      </c>
    </row>
    <row r="15073" spans="1:5">
      <c r="A15073" s="110" t="s">
        <v>26502</v>
      </c>
      <c r="B15073" s="110" t="s">
        <v>1373</v>
      </c>
      <c r="C15073" s="111" t="s">
        <v>252</v>
      </c>
      <c r="D15073" s="111" t="str">
        <f t="shared" ref="D15073:E15073" si="15071">TRIM(B15073)</f>
        <v>Texas</v>
      </c>
      <c r="E15073" s="111" t="str">
        <f t="shared" si="15071"/>
        <v>Dallas</v>
      </c>
    </row>
    <row r="15074" spans="1:5">
      <c r="A15074" s="3" t="s">
        <v>26503</v>
      </c>
      <c r="B15074" s="110" t="s">
        <v>1373</v>
      </c>
      <c r="C15074" s="111" t="s">
        <v>252</v>
      </c>
      <c r="D15074" s="111" t="str">
        <f t="shared" ref="D15074:E15074" si="15072">TRIM(B15074)</f>
        <v>Texas</v>
      </c>
      <c r="E15074" s="111" t="str">
        <f t="shared" si="15072"/>
        <v>Dallas</v>
      </c>
    </row>
    <row r="15075" spans="1:5">
      <c r="A15075" s="110" t="s">
        <v>26504</v>
      </c>
      <c r="B15075" s="110" t="s">
        <v>1373</v>
      </c>
      <c r="C15075" s="111" t="s">
        <v>252</v>
      </c>
      <c r="D15075" s="111" t="str">
        <f t="shared" ref="D15075:E15075" si="15073">TRIM(B15075)</f>
        <v>Texas</v>
      </c>
      <c r="E15075" s="111" t="str">
        <f t="shared" si="15073"/>
        <v>Dallas</v>
      </c>
    </row>
    <row r="15076" spans="1:5">
      <c r="A15076" s="3" t="s">
        <v>26168</v>
      </c>
      <c r="B15076" s="110" t="s">
        <v>1373</v>
      </c>
      <c r="C15076" s="111" t="s">
        <v>252</v>
      </c>
      <c r="D15076" s="111" t="str">
        <f t="shared" ref="D15076:E15076" si="15074">TRIM(B15076)</f>
        <v>Texas</v>
      </c>
      <c r="E15076" s="111" t="str">
        <f t="shared" si="15074"/>
        <v>Dallas</v>
      </c>
    </row>
    <row r="15077" spans="1:5">
      <c r="A15077" s="110" t="s">
        <v>26505</v>
      </c>
      <c r="B15077" s="110" t="s">
        <v>1373</v>
      </c>
      <c r="C15077" s="111" t="s">
        <v>252</v>
      </c>
      <c r="D15077" s="111" t="str">
        <f t="shared" ref="D15077:E15077" si="15075">TRIM(B15077)</f>
        <v>Texas</v>
      </c>
      <c r="E15077" s="111" t="str">
        <f t="shared" si="15075"/>
        <v>Dallas</v>
      </c>
    </row>
    <row r="15078" spans="1:5">
      <c r="A15078" s="3" t="s">
        <v>26506</v>
      </c>
      <c r="B15078" s="110" t="s">
        <v>1373</v>
      </c>
      <c r="C15078" s="111" t="s">
        <v>252</v>
      </c>
      <c r="D15078" s="111" t="str">
        <f t="shared" ref="D15078:E15078" si="15076">TRIM(B15078)</f>
        <v>Texas</v>
      </c>
      <c r="E15078" s="111" t="str">
        <f t="shared" si="15076"/>
        <v>Dallas</v>
      </c>
    </row>
    <row r="15079" spans="1:5">
      <c r="A15079" s="3" t="s">
        <v>26507</v>
      </c>
      <c r="B15079" s="110" t="s">
        <v>1373</v>
      </c>
      <c r="C15079" s="111" t="s">
        <v>252</v>
      </c>
      <c r="D15079" s="111" t="str">
        <f t="shared" ref="D15079:E15079" si="15077">TRIM(B15079)</f>
        <v>Texas</v>
      </c>
      <c r="E15079" s="111" t="str">
        <f t="shared" si="15077"/>
        <v>Dallas</v>
      </c>
    </row>
    <row r="15080" spans="1:5">
      <c r="A15080" s="110" t="s">
        <v>26508</v>
      </c>
      <c r="B15080" s="110" t="s">
        <v>1373</v>
      </c>
      <c r="C15080" s="111" t="s">
        <v>252</v>
      </c>
      <c r="D15080" s="111" t="str">
        <f t="shared" ref="D15080:E15080" si="15078">TRIM(B15080)</f>
        <v>Texas</v>
      </c>
      <c r="E15080" s="111" t="str">
        <f t="shared" si="15078"/>
        <v>Dallas</v>
      </c>
    </row>
    <row r="15081" spans="1:5">
      <c r="A15081" s="110" t="s">
        <v>26509</v>
      </c>
      <c r="B15081" s="110" t="s">
        <v>1373</v>
      </c>
      <c r="C15081" s="111" t="s">
        <v>252</v>
      </c>
      <c r="D15081" s="111" t="str">
        <f t="shared" ref="D15081:E15081" si="15079">TRIM(B15081)</f>
        <v>Texas</v>
      </c>
      <c r="E15081" s="111" t="str">
        <f t="shared" si="15079"/>
        <v>Dallas</v>
      </c>
    </row>
    <row r="15082" spans="1:5">
      <c r="A15082" s="110" t="s">
        <v>26510</v>
      </c>
      <c r="B15082" s="110" t="s">
        <v>1373</v>
      </c>
      <c r="C15082" s="111" t="s">
        <v>252</v>
      </c>
      <c r="D15082" s="111" t="str">
        <f t="shared" ref="D15082:E15082" si="15080">TRIM(B15082)</f>
        <v>Texas</v>
      </c>
      <c r="E15082" s="111" t="str">
        <f t="shared" si="15080"/>
        <v>Dallas</v>
      </c>
    </row>
    <row r="15083" spans="1:5">
      <c r="A15083" s="110" t="s">
        <v>26511</v>
      </c>
      <c r="B15083" s="110" t="s">
        <v>1373</v>
      </c>
      <c r="C15083" s="111" t="s">
        <v>252</v>
      </c>
      <c r="D15083" s="111" t="str">
        <f t="shared" ref="D15083:E15083" si="15081">TRIM(B15083)</f>
        <v>Texas</v>
      </c>
      <c r="E15083" s="111" t="str">
        <f t="shared" si="15081"/>
        <v>Dallas</v>
      </c>
    </row>
    <row r="15084" spans="1:5">
      <c r="A15084" s="3" t="s">
        <v>26512</v>
      </c>
      <c r="B15084" s="110" t="s">
        <v>1373</v>
      </c>
      <c r="C15084" s="111" t="s">
        <v>252</v>
      </c>
      <c r="D15084" s="111" t="str">
        <f t="shared" ref="D15084:E15084" si="15082">TRIM(B15084)</f>
        <v>Texas</v>
      </c>
      <c r="E15084" s="111" t="str">
        <f t="shared" si="15082"/>
        <v>Dallas</v>
      </c>
    </row>
    <row r="15085" spans="1:5">
      <c r="A15085" s="110" t="s">
        <v>26513</v>
      </c>
      <c r="B15085" s="110" t="s">
        <v>1373</v>
      </c>
      <c r="C15085" s="111" t="s">
        <v>252</v>
      </c>
      <c r="D15085" s="111" t="str">
        <f t="shared" ref="D15085:E15085" si="15083">TRIM(B15085)</f>
        <v>Texas</v>
      </c>
      <c r="E15085" s="111" t="str">
        <f t="shared" si="15083"/>
        <v>Dallas</v>
      </c>
    </row>
    <row r="15086" spans="1:5">
      <c r="A15086" s="3" t="s">
        <v>26514</v>
      </c>
      <c r="B15086" s="110" t="s">
        <v>1373</v>
      </c>
      <c r="C15086" s="111" t="s">
        <v>252</v>
      </c>
      <c r="D15086" s="111" t="str">
        <f t="shared" ref="D15086:E15086" si="15084">TRIM(B15086)</f>
        <v>Texas</v>
      </c>
      <c r="E15086" s="111" t="str">
        <f t="shared" si="15084"/>
        <v>Dallas</v>
      </c>
    </row>
    <row r="15087" spans="1:5">
      <c r="A15087" s="3" t="s">
        <v>26515</v>
      </c>
      <c r="B15087" s="110" t="s">
        <v>1373</v>
      </c>
      <c r="C15087" s="111" t="s">
        <v>252</v>
      </c>
      <c r="D15087" s="111" t="str">
        <f t="shared" ref="D15087:E15087" si="15085">TRIM(B15087)</f>
        <v>Texas</v>
      </c>
      <c r="E15087" s="111" t="str">
        <f t="shared" si="15085"/>
        <v>Dallas</v>
      </c>
    </row>
    <row r="15088" spans="1:5">
      <c r="A15088" s="110" t="s">
        <v>26516</v>
      </c>
      <c r="B15088" s="110" t="s">
        <v>1373</v>
      </c>
      <c r="C15088" s="111" t="s">
        <v>252</v>
      </c>
      <c r="D15088" s="111" t="str">
        <f t="shared" ref="D15088:E15088" si="15086">TRIM(B15088)</f>
        <v>Texas</v>
      </c>
      <c r="E15088" s="111" t="str">
        <f t="shared" si="15086"/>
        <v>Dallas</v>
      </c>
    </row>
    <row r="15089" spans="1:5">
      <c r="A15089" s="110" t="s">
        <v>26517</v>
      </c>
      <c r="B15089" s="110" t="s">
        <v>1373</v>
      </c>
      <c r="C15089" s="111" t="s">
        <v>252</v>
      </c>
      <c r="D15089" s="111" t="str">
        <f t="shared" ref="D15089:E15089" si="15087">TRIM(B15089)</f>
        <v>Texas</v>
      </c>
      <c r="E15089" s="111" t="str">
        <f t="shared" si="15087"/>
        <v>Dallas</v>
      </c>
    </row>
    <row r="15090" spans="1:5">
      <c r="A15090" s="110" t="s">
        <v>26518</v>
      </c>
      <c r="B15090" s="110" t="s">
        <v>1373</v>
      </c>
      <c r="C15090" s="111" t="s">
        <v>252</v>
      </c>
      <c r="D15090" s="111" t="str">
        <f t="shared" ref="D15090:E15090" si="15088">TRIM(B15090)</f>
        <v>Texas</v>
      </c>
      <c r="E15090" s="111" t="str">
        <f t="shared" si="15088"/>
        <v>Dallas</v>
      </c>
    </row>
    <row r="15091" spans="1:5">
      <c r="A15091" s="110" t="s">
        <v>26519</v>
      </c>
      <c r="B15091" s="110" t="s">
        <v>1373</v>
      </c>
      <c r="C15091" s="111" t="s">
        <v>252</v>
      </c>
      <c r="D15091" s="111" t="str">
        <f t="shared" ref="D15091:E15091" si="15089">TRIM(B15091)</f>
        <v>Texas</v>
      </c>
      <c r="E15091" s="111" t="str">
        <f t="shared" si="15089"/>
        <v>Dallas</v>
      </c>
    </row>
    <row r="15092" spans="1:5">
      <c r="A15092" s="110" t="s">
        <v>26520</v>
      </c>
      <c r="B15092" s="110" t="s">
        <v>1373</v>
      </c>
      <c r="C15092" s="111" t="s">
        <v>252</v>
      </c>
      <c r="D15092" s="111" t="str">
        <f t="shared" ref="D15092:E15092" si="15090">TRIM(B15092)</f>
        <v>Texas</v>
      </c>
      <c r="E15092" s="111" t="str">
        <f t="shared" si="15090"/>
        <v>Dallas</v>
      </c>
    </row>
    <row r="15093" spans="1:5">
      <c r="A15093" s="110" t="s">
        <v>26521</v>
      </c>
      <c r="B15093" s="110" t="s">
        <v>1373</v>
      </c>
      <c r="C15093" s="111" t="s">
        <v>252</v>
      </c>
      <c r="D15093" s="111" t="str">
        <f t="shared" ref="D15093:E15093" si="15091">TRIM(B15093)</f>
        <v>Texas</v>
      </c>
      <c r="E15093" s="111" t="str">
        <f t="shared" si="15091"/>
        <v>Dallas</v>
      </c>
    </row>
    <row r="15094" spans="1:5">
      <c r="A15094" s="110" t="s">
        <v>26522</v>
      </c>
      <c r="B15094" s="110" t="s">
        <v>1373</v>
      </c>
      <c r="C15094" s="111" t="s">
        <v>252</v>
      </c>
      <c r="D15094" s="111" t="str">
        <f t="shared" ref="D15094:E15094" si="15092">TRIM(B15094)</f>
        <v>Texas</v>
      </c>
      <c r="E15094" s="111" t="str">
        <f t="shared" si="15092"/>
        <v>Dallas</v>
      </c>
    </row>
    <row r="15095" spans="1:5">
      <c r="A15095" s="110" t="s">
        <v>26523</v>
      </c>
      <c r="B15095" s="110" t="s">
        <v>1373</v>
      </c>
      <c r="C15095" s="111" t="s">
        <v>252</v>
      </c>
      <c r="D15095" s="111" t="str">
        <f t="shared" ref="D15095:E15095" si="15093">TRIM(B15095)</f>
        <v>Texas</v>
      </c>
      <c r="E15095" s="111" t="str">
        <f t="shared" si="15093"/>
        <v>Dallas</v>
      </c>
    </row>
    <row r="15096" spans="1:5">
      <c r="A15096" s="110" t="s">
        <v>26524</v>
      </c>
      <c r="B15096" s="110" t="s">
        <v>1373</v>
      </c>
      <c r="C15096" s="111" t="s">
        <v>252</v>
      </c>
      <c r="D15096" s="111" t="str">
        <f t="shared" ref="D15096:E15096" si="15094">TRIM(B15096)</f>
        <v>Texas</v>
      </c>
      <c r="E15096" s="111" t="str">
        <f t="shared" si="15094"/>
        <v>Dallas</v>
      </c>
    </row>
    <row r="15097" spans="1:5">
      <c r="A15097" s="110" t="s">
        <v>26525</v>
      </c>
      <c r="B15097" s="110" t="s">
        <v>1373</v>
      </c>
      <c r="C15097" s="111" t="s">
        <v>252</v>
      </c>
      <c r="D15097" s="111" t="str">
        <f t="shared" ref="D15097:E15097" si="15095">TRIM(B15097)</f>
        <v>Texas</v>
      </c>
      <c r="E15097" s="111" t="str">
        <f t="shared" si="15095"/>
        <v>Dallas</v>
      </c>
    </row>
    <row r="15098" spans="1:5">
      <c r="A15098" s="110" t="s">
        <v>26526</v>
      </c>
      <c r="B15098" s="110" t="s">
        <v>1373</v>
      </c>
      <c r="C15098" s="111" t="s">
        <v>252</v>
      </c>
      <c r="D15098" s="111" t="str">
        <f t="shared" ref="D15098:E15098" si="15096">TRIM(B15098)</f>
        <v>Texas</v>
      </c>
      <c r="E15098" s="111" t="str">
        <f t="shared" si="15096"/>
        <v>Dallas</v>
      </c>
    </row>
    <row r="15099" spans="1:5">
      <c r="A15099" s="110" t="s">
        <v>26527</v>
      </c>
      <c r="B15099" s="110" t="s">
        <v>1373</v>
      </c>
      <c r="C15099" s="111" t="s">
        <v>252</v>
      </c>
      <c r="D15099" s="111" t="str">
        <f t="shared" ref="D15099:E15099" si="15097">TRIM(B15099)</f>
        <v>Texas</v>
      </c>
      <c r="E15099" s="111" t="str">
        <f t="shared" si="15097"/>
        <v>Dallas</v>
      </c>
    </row>
    <row r="15100" spans="1:5">
      <c r="A15100" s="110" t="s">
        <v>26528</v>
      </c>
      <c r="B15100" s="110" t="s">
        <v>1373</v>
      </c>
      <c r="C15100" s="111" t="s">
        <v>252</v>
      </c>
      <c r="D15100" s="111" t="str">
        <f t="shared" ref="D15100:E15100" si="15098">TRIM(B15100)</f>
        <v>Texas</v>
      </c>
      <c r="E15100" s="111" t="str">
        <f t="shared" si="15098"/>
        <v>Dallas</v>
      </c>
    </row>
    <row r="15101" spans="1:5">
      <c r="A15101" s="110" t="s">
        <v>26529</v>
      </c>
      <c r="B15101" s="110" t="s">
        <v>1373</v>
      </c>
      <c r="C15101" s="111" t="s">
        <v>252</v>
      </c>
      <c r="D15101" s="111" t="str">
        <f t="shared" ref="D15101:E15101" si="15099">TRIM(B15101)</f>
        <v>Texas</v>
      </c>
      <c r="E15101" s="111" t="str">
        <f t="shared" si="15099"/>
        <v>Dallas</v>
      </c>
    </row>
    <row r="15102" spans="1:5">
      <c r="A15102" s="110" t="s">
        <v>26530</v>
      </c>
      <c r="B15102" s="110" t="s">
        <v>1373</v>
      </c>
      <c r="C15102" s="111" t="s">
        <v>252</v>
      </c>
      <c r="D15102" s="111" t="str">
        <f t="shared" ref="D15102:E15102" si="15100">TRIM(B15102)</f>
        <v>Texas</v>
      </c>
      <c r="E15102" s="111" t="str">
        <f t="shared" si="15100"/>
        <v>Dallas</v>
      </c>
    </row>
    <row r="15103" spans="1:5">
      <c r="A15103" s="110" t="s">
        <v>26531</v>
      </c>
      <c r="B15103" s="110" t="s">
        <v>1373</v>
      </c>
      <c r="C15103" s="111" t="s">
        <v>252</v>
      </c>
      <c r="D15103" s="111" t="str">
        <f t="shared" ref="D15103:E15103" si="15101">TRIM(B15103)</f>
        <v>Texas</v>
      </c>
      <c r="E15103" s="111" t="str">
        <f t="shared" si="15101"/>
        <v>Dallas</v>
      </c>
    </row>
    <row r="15104" spans="1:5">
      <c r="A15104" s="110" t="s">
        <v>26532</v>
      </c>
      <c r="B15104" s="110" t="s">
        <v>1373</v>
      </c>
      <c r="C15104" s="111" t="s">
        <v>252</v>
      </c>
      <c r="D15104" s="111" t="str">
        <f t="shared" ref="D15104:E15104" si="15102">TRIM(B15104)</f>
        <v>Texas</v>
      </c>
      <c r="E15104" s="111" t="str">
        <f t="shared" si="15102"/>
        <v>Dallas</v>
      </c>
    </row>
    <row r="15105" spans="1:5">
      <c r="A15105" s="110" t="s">
        <v>26533</v>
      </c>
      <c r="B15105" s="110" t="s">
        <v>1373</v>
      </c>
      <c r="C15105" s="111" t="s">
        <v>252</v>
      </c>
      <c r="D15105" s="111" t="str">
        <f t="shared" ref="D15105:E15105" si="15103">TRIM(B15105)</f>
        <v>Texas</v>
      </c>
      <c r="E15105" s="111" t="str">
        <f t="shared" si="15103"/>
        <v>Dallas</v>
      </c>
    </row>
    <row r="15106" spans="1:5">
      <c r="A15106" s="110" t="s">
        <v>26534</v>
      </c>
      <c r="B15106" s="110" t="s">
        <v>1373</v>
      </c>
      <c r="C15106" s="111" t="s">
        <v>252</v>
      </c>
      <c r="D15106" s="111" t="str">
        <f t="shared" ref="D15106:E15106" si="15104">TRIM(B15106)</f>
        <v>Texas</v>
      </c>
      <c r="E15106" s="111" t="str">
        <f t="shared" si="15104"/>
        <v>Dallas</v>
      </c>
    </row>
    <row r="15107" spans="1:5">
      <c r="A15107" s="110" t="s">
        <v>26535</v>
      </c>
      <c r="B15107" s="110" t="s">
        <v>1373</v>
      </c>
      <c r="C15107" s="111" t="s">
        <v>252</v>
      </c>
      <c r="D15107" s="111" t="str">
        <f t="shared" ref="D15107:E15107" si="15105">TRIM(B15107)</f>
        <v>Texas</v>
      </c>
      <c r="E15107" s="111" t="str">
        <f t="shared" si="15105"/>
        <v>Dallas</v>
      </c>
    </row>
    <row r="15108" spans="1:5">
      <c r="A15108" s="110" t="s">
        <v>26536</v>
      </c>
      <c r="B15108" s="110" t="s">
        <v>1373</v>
      </c>
      <c r="C15108" s="111" t="s">
        <v>252</v>
      </c>
      <c r="D15108" s="111" t="str">
        <f t="shared" ref="D15108:E15108" si="15106">TRIM(B15108)</f>
        <v>Texas</v>
      </c>
      <c r="E15108" s="111" t="str">
        <f t="shared" si="15106"/>
        <v>Dallas</v>
      </c>
    </row>
    <row r="15109" spans="1:5">
      <c r="A15109" s="110" t="s">
        <v>26537</v>
      </c>
      <c r="B15109" s="110" t="s">
        <v>1373</v>
      </c>
      <c r="C15109" s="111" t="s">
        <v>252</v>
      </c>
      <c r="D15109" s="111" t="str">
        <f t="shared" ref="D15109:E15109" si="15107">TRIM(B15109)</f>
        <v>Texas</v>
      </c>
      <c r="E15109" s="111" t="str">
        <f t="shared" si="15107"/>
        <v>Dallas</v>
      </c>
    </row>
    <row r="15110" spans="1:5">
      <c r="A15110" s="110" t="s">
        <v>26538</v>
      </c>
      <c r="B15110" s="110" t="s">
        <v>1373</v>
      </c>
      <c r="C15110" s="111" t="s">
        <v>252</v>
      </c>
      <c r="D15110" s="111" t="str">
        <f t="shared" ref="D15110:E15110" si="15108">TRIM(B15110)</f>
        <v>Texas</v>
      </c>
      <c r="E15110" s="111" t="str">
        <f t="shared" si="15108"/>
        <v>Dallas</v>
      </c>
    </row>
    <row r="15111" spans="1:5">
      <c r="A15111" s="110" t="s">
        <v>26539</v>
      </c>
      <c r="B15111" s="110" t="s">
        <v>1373</v>
      </c>
      <c r="C15111" s="111" t="s">
        <v>252</v>
      </c>
      <c r="D15111" s="111" t="str">
        <f t="shared" ref="D15111:E15111" si="15109">TRIM(B15111)</f>
        <v>Texas</v>
      </c>
      <c r="E15111" s="111" t="str">
        <f t="shared" si="15109"/>
        <v>Dallas</v>
      </c>
    </row>
    <row r="15112" spans="1:5">
      <c r="A15112" s="110" t="s">
        <v>26540</v>
      </c>
      <c r="B15112" s="110" t="s">
        <v>1373</v>
      </c>
      <c r="C15112" s="111" t="s">
        <v>252</v>
      </c>
      <c r="D15112" s="111" t="str">
        <f t="shared" ref="D15112:E15112" si="15110">TRIM(B15112)</f>
        <v>Texas</v>
      </c>
      <c r="E15112" s="111" t="str">
        <f t="shared" si="15110"/>
        <v>Dallas</v>
      </c>
    </row>
    <row r="15113" spans="1:5">
      <c r="A15113" s="110" t="s">
        <v>26541</v>
      </c>
      <c r="B15113" s="110" t="s">
        <v>1373</v>
      </c>
      <c r="C15113" s="111" t="s">
        <v>252</v>
      </c>
      <c r="D15113" s="111" t="str">
        <f t="shared" ref="D15113:E15113" si="15111">TRIM(B15113)</f>
        <v>Texas</v>
      </c>
      <c r="E15113" s="111" t="str">
        <f t="shared" si="15111"/>
        <v>Dallas</v>
      </c>
    </row>
    <row r="15114" spans="1:5">
      <c r="A15114" s="110" t="s">
        <v>26542</v>
      </c>
      <c r="B15114" s="110" t="s">
        <v>1373</v>
      </c>
      <c r="C15114" s="111" t="s">
        <v>252</v>
      </c>
      <c r="D15114" s="111" t="str">
        <f t="shared" ref="D15114:E15114" si="15112">TRIM(B15114)</f>
        <v>Texas</v>
      </c>
      <c r="E15114" s="111" t="str">
        <f t="shared" si="15112"/>
        <v>Dallas</v>
      </c>
    </row>
    <row r="15115" spans="1:5">
      <c r="A15115" s="110" t="s">
        <v>26543</v>
      </c>
      <c r="B15115" s="110" t="s">
        <v>1373</v>
      </c>
      <c r="C15115" s="111" t="s">
        <v>252</v>
      </c>
      <c r="D15115" s="111" t="str">
        <f t="shared" ref="D15115:E15115" si="15113">TRIM(B15115)</f>
        <v>Texas</v>
      </c>
      <c r="E15115" s="111" t="str">
        <f t="shared" si="15113"/>
        <v>Dallas</v>
      </c>
    </row>
    <row r="15116" spans="1:5">
      <c r="A15116" s="110" t="s">
        <v>26544</v>
      </c>
      <c r="B15116" s="110" t="s">
        <v>1373</v>
      </c>
      <c r="C15116" s="111" t="s">
        <v>252</v>
      </c>
      <c r="D15116" s="111" t="str">
        <f t="shared" ref="D15116:E15116" si="15114">TRIM(B15116)</f>
        <v>Texas</v>
      </c>
      <c r="E15116" s="111" t="str">
        <f t="shared" si="15114"/>
        <v>Dallas</v>
      </c>
    </row>
    <row r="15117" spans="1:5">
      <c r="A15117" s="110" t="s">
        <v>26545</v>
      </c>
      <c r="B15117" s="110" t="s">
        <v>1373</v>
      </c>
      <c r="C15117" s="111" t="s">
        <v>26546</v>
      </c>
      <c r="D15117" s="111" t="str">
        <f t="shared" ref="D15117:E15117" si="15115">TRIM(B15117)</f>
        <v>Texas</v>
      </c>
      <c r="E15117" s="111" t="str">
        <f t="shared" si="15115"/>
        <v>Damon</v>
      </c>
    </row>
    <row r="15118" spans="1:5">
      <c r="A15118" s="110" t="s">
        <v>26547</v>
      </c>
      <c r="B15118" s="110" t="s">
        <v>1373</v>
      </c>
      <c r="C15118" s="111" t="s">
        <v>8404</v>
      </c>
      <c r="D15118" s="111" t="str">
        <f t="shared" ref="D15118:E15118" si="15116">TRIM(B15118)</f>
        <v>Texas</v>
      </c>
      <c r="E15118" s="111" t="str">
        <f t="shared" si="15116"/>
        <v>Danbury</v>
      </c>
    </row>
    <row r="15119" spans="1:5">
      <c r="A15119" s="110" t="s">
        <v>26548</v>
      </c>
      <c r="B15119" s="110" t="s">
        <v>1373</v>
      </c>
      <c r="C15119" s="111" t="s">
        <v>10654</v>
      </c>
      <c r="D15119" s="111" t="str">
        <f t="shared" ref="D15119:E15119" si="15117">TRIM(B15119)</f>
        <v>Texas</v>
      </c>
      <c r="E15119" s="111" t="str">
        <f t="shared" si="15117"/>
        <v>Dawson</v>
      </c>
    </row>
    <row r="15120" spans="1:5">
      <c r="A15120" s="110" t="s">
        <v>26549</v>
      </c>
      <c r="B15120" s="110" t="s">
        <v>1373</v>
      </c>
      <c r="C15120" s="111" t="s">
        <v>568</v>
      </c>
      <c r="D15120" s="111" t="str">
        <f t="shared" ref="D15120:E15120" si="15118">TRIM(B15120)</f>
        <v>Texas</v>
      </c>
      <c r="E15120" s="111" t="str">
        <f t="shared" si="15118"/>
        <v>Dayton</v>
      </c>
    </row>
    <row r="15121" spans="1:5">
      <c r="A15121" s="110" t="s">
        <v>26550</v>
      </c>
      <c r="B15121" s="110" t="s">
        <v>1373</v>
      </c>
      <c r="C15121" s="111" t="s">
        <v>26551</v>
      </c>
      <c r="D15121" s="111" t="str">
        <f t="shared" ref="D15121:E15121" si="15119">TRIM(B15121)</f>
        <v>Texas</v>
      </c>
      <c r="E15121" s="111" t="str">
        <f t="shared" si="15119"/>
        <v>De Leon</v>
      </c>
    </row>
    <row r="15122" spans="1:5">
      <c r="A15122" s="110" t="s">
        <v>26552</v>
      </c>
      <c r="B15122" s="110" t="s">
        <v>1373</v>
      </c>
      <c r="C15122" s="111" t="s">
        <v>1686</v>
      </c>
      <c r="D15122" s="111" t="str">
        <f t="shared" ref="D15122:E15122" si="15120">TRIM(B15122)</f>
        <v>Texas</v>
      </c>
      <c r="E15122" s="111" t="str">
        <f t="shared" si="15120"/>
        <v>Decatur</v>
      </c>
    </row>
    <row r="15123" spans="1:5">
      <c r="A15123" s="3" t="s">
        <v>21135</v>
      </c>
      <c r="B15123" s="110" t="s">
        <v>1373</v>
      </c>
      <c r="C15123" s="111" t="s">
        <v>21136</v>
      </c>
      <c r="D15123" s="111" t="str">
        <f t="shared" ref="D15123:E15123" si="15121">TRIM(B15123)</f>
        <v>Texas</v>
      </c>
      <c r="E15123" s="111" t="str">
        <f t="shared" si="15121"/>
        <v>Deer Park</v>
      </c>
    </row>
    <row r="15124" spans="1:5">
      <c r="A15124" s="110" t="s">
        <v>26553</v>
      </c>
      <c r="B15124" s="110" t="s">
        <v>1373</v>
      </c>
      <c r="C15124" s="111" t="s">
        <v>12753</v>
      </c>
      <c r="D15124" s="111" t="str">
        <f t="shared" ref="D15124:E15124" si="15122">TRIM(B15124)</f>
        <v>Texas</v>
      </c>
      <c r="E15124" s="111" t="str">
        <f t="shared" si="15122"/>
        <v>Dekalb</v>
      </c>
    </row>
    <row r="15125" spans="1:5">
      <c r="A15125" s="110" t="s">
        <v>26554</v>
      </c>
      <c r="B15125" s="110" t="s">
        <v>1373</v>
      </c>
      <c r="C15125" s="111" t="s">
        <v>26555</v>
      </c>
      <c r="D15125" s="111" t="str">
        <f t="shared" ref="D15125:E15125" si="15123">TRIM(B15125)</f>
        <v>Texas</v>
      </c>
      <c r="E15125" s="111" t="str">
        <f t="shared" si="15123"/>
        <v>Del Rio</v>
      </c>
    </row>
    <row r="15126" spans="1:5">
      <c r="A15126" s="110" t="s">
        <v>26556</v>
      </c>
      <c r="B15126" s="110" t="s">
        <v>1373</v>
      </c>
      <c r="C15126" s="111" t="s">
        <v>26555</v>
      </c>
      <c r="D15126" s="111" t="str">
        <f t="shared" ref="D15126:E15126" si="15124">TRIM(B15126)</f>
        <v>Texas</v>
      </c>
      <c r="E15126" s="111" t="str">
        <f t="shared" si="15124"/>
        <v>Del Rio</v>
      </c>
    </row>
    <row r="15127" spans="1:5">
      <c r="A15127" s="110" t="s">
        <v>26557</v>
      </c>
      <c r="B15127" s="110" t="s">
        <v>1373</v>
      </c>
      <c r="C15127" s="111" t="s">
        <v>26558</v>
      </c>
      <c r="D15127" s="111" t="str">
        <f t="shared" ref="D15127:E15127" si="15125">TRIM(B15127)</f>
        <v>Texas</v>
      </c>
      <c r="E15127" s="111" t="str">
        <f t="shared" si="15125"/>
        <v>Del Valle</v>
      </c>
    </row>
    <row r="15128" spans="1:5">
      <c r="A15128" s="110" t="s">
        <v>26559</v>
      </c>
      <c r="B15128" s="110" t="s">
        <v>1373</v>
      </c>
      <c r="C15128" s="111" t="s">
        <v>14782</v>
      </c>
      <c r="D15128" s="111" t="str">
        <f t="shared" ref="D15128:E15128" si="15126">TRIM(B15128)</f>
        <v>Texas</v>
      </c>
      <c r="E15128" s="111" t="str">
        <f t="shared" si="15126"/>
        <v>Denison</v>
      </c>
    </row>
    <row r="15129" spans="1:5">
      <c r="A15129" s="110" t="s">
        <v>26560</v>
      </c>
      <c r="B15129" s="110" t="s">
        <v>1373</v>
      </c>
      <c r="C15129" s="111" t="s">
        <v>808</v>
      </c>
      <c r="D15129" s="111" t="str">
        <f t="shared" ref="D15129:E15129" si="15127">TRIM(B15129)</f>
        <v>Texas</v>
      </c>
      <c r="E15129" s="111" t="str">
        <f t="shared" si="15127"/>
        <v>Denton</v>
      </c>
    </row>
    <row r="15130" spans="1:5">
      <c r="A15130" s="110" t="s">
        <v>26561</v>
      </c>
      <c r="B15130" s="110" t="s">
        <v>1373</v>
      </c>
      <c r="C15130" s="111" t="s">
        <v>808</v>
      </c>
      <c r="D15130" s="111" t="str">
        <f t="shared" ref="D15130:E15130" si="15128">TRIM(B15130)</f>
        <v>Texas</v>
      </c>
      <c r="E15130" s="111" t="str">
        <f t="shared" si="15128"/>
        <v>Denton</v>
      </c>
    </row>
    <row r="15131" spans="1:5">
      <c r="A15131" s="110" t="s">
        <v>26562</v>
      </c>
      <c r="B15131" s="110" t="s">
        <v>1373</v>
      </c>
      <c r="C15131" s="111" t="s">
        <v>808</v>
      </c>
      <c r="D15131" s="111" t="str">
        <f t="shared" ref="D15131:E15131" si="15129">TRIM(B15131)</f>
        <v>Texas</v>
      </c>
      <c r="E15131" s="111" t="str">
        <f t="shared" si="15129"/>
        <v>Denton</v>
      </c>
    </row>
    <row r="15132" spans="1:5">
      <c r="A15132" s="110" t="s">
        <v>26563</v>
      </c>
      <c r="B15132" s="110" t="s">
        <v>1373</v>
      </c>
      <c r="C15132" s="111" t="s">
        <v>26564</v>
      </c>
      <c r="D15132" s="111" t="str">
        <f t="shared" ref="D15132:E15132" si="15130">TRIM(B15132)</f>
        <v>Texas</v>
      </c>
      <c r="E15132" s="111" t="str">
        <f t="shared" si="15130"/>
        <v>Denver City</v>
      </c>
    </row>
    <row r="15133" spans="1:5">
      <c r="A15133" s="110" t="s">
        <v>26565</v>
      </c>
      <c r="B15133" s="110" t="s">
        <v>1373</v>
      </c>
      <c r="C15133" s="111" t="s">
        <v>18735</v>
      </c>
      <c r="D15133" s="111" t="str">
        <f t="shared" ref="D15133:E15133" si="15131">TRIM(B15133)</f>
        <v>Texas</v>
      </c>
      <c r="E15133" s="111" t="str">
        <f t="shared" si="15131"/>
        <v>Desoto</v>
      </c>
    </row>
    <row r="15134" spans="1:5">
      <c r="A15134" s="110" t="s">
        <v>26566</v>
      </c>
      <c r="B15134" s="110" t="s">
        <v>1373</v>
      </c>
      <c r="C15134" s="111" t="s">
        <v>24</v>
      </c>
      <c r="D15134" s="111" t="str">
        <f t="shared" ref="D15134:E15134" si="15132">TRIM(B15134)</f>
        <v>Texas</v>
      </c>
      <c r="E15134" s="111" t="str">
        <f t="shared" si="15132"/>
        <v>Detroit</v>
      </c>
    </row>
    <row r="15135" spans="1:5">
      <c r="A15135" s="110" t="s">
        <v>26567</v>
      </c>
      <c r="B15135" s="110" t="s">
        <v>1373</v>
      </c>
      <c r="C15135" s="111" t="s">
        <v>26568</v>
      </c>
      <c r="D15135" s="111" t="str">
        <f t="shared" ref="D15135:E15135" si="15133">TRIM(B15135)</f>
        <v>Texas</v>
      </c>
      <c r="E15135" s="111" t="str">
        <f t="shared" si="15133"/>
        <v>Devine</v>
      </c>
    </row>
    <row r="15136" spans="1:5">
      <c r="A15136" s="110" t="s">
        <v>26569</v>
      </c>
      <c r="B15136" s="110" t="s">
        <v>1373</v>
      </c>
      <c r="C15136" s="111" t="s">
        <v>26570</v>
      </c>
      <c r="D15136" s="111" t="str">
        <f t="shared" ref="D15136:E15136" si="15134">TRIM(B15136)</f>
        <v>Texas</v>
      </c>
      <c r="E15136" s="111" t="str">
        <f t="shared" si="15134"/>
        <v>Diana</v>
      </c>
    </row>
    <row r="15137" spans="1:5">
      <c r="A15137" s="110" t="s">
        <v>26571</v>
      </c>
      <c r="B15137" s="110" t="s">
        <v>1373</v>
      </c>
      <c r="C15137" s="111" t="s">
        <v>26572</v>
      </c>
      <c r="D15137" s="111" t="str">
        <f t="shared" ref="D15137:E15137" si="15135">TRIM(B15137)</f>
        <v>Texas</v>
      </c>
      <c r="E15137" s="111" t="str">
        <f t="shared" si="15135"/>
        <v>Diboll</v>
      </c>
    </row>
    <row r="15138" spans="1:5">
      <c r="A15138" s="110" t="s">
        <v>26573</v>
      </c>
      <c r="B15138" s="110" t="s">
        <v>1373</v>
      </c>
      <c r="C15138" s="111" t="s">
        <v>54</v>
      </c>
      <c r="D15138" s="111" t="str">
        <f t="shared" ref="D15138:E15138" si="15136">TRIM(B15138)</f>
        <v>Texas</v>
      </c>
      <c r="E15138" s="111" t="str">
        <f t="shared" si="15136"/>
        <v>Dickinson</v>
      </c>
    </row>
    <row r="15139" spans="1:5">
      <c r="A15139" s="110" t="s">
        <v>26574</v>
      </c>
      <c r="B15139" s="110" t="s">
        <v>1373</v>
      </c>
      <c r="C15139" s="111" t="s">
        <v>26575</v>
      </c>
      <c r="D15139" s="111" t="str">
        <f t="shared" ref="D15139:E15139" si="15137">TRIM(B15139)</f>
        <v>Texas</v>
      </c>
      <c r="E15139" s="111" t="str">
        <f t="shared" si="15137"/>
        <v>Dilley</v>
      </c>
    </row>
    <row r="15140" spans="1:5">
      <c r="A15140" s="110" t="s">
        <v>26576</v>
      </c>
      <c r="B15140" s="110" t="s">
        <v>1373</v>
      </c>
      <c r="C15140" s="111" t="s">
        <v>26577</v>
      </c>
      <c r="D15140" s="111" t="str">
        <f t="shared" ref="D15140:E15140" si="15138">TRIM(B15140)</f>
        <v>Texas</v>
      </c>
      <c r="E15140" s="111" t="str">
        <f t="shared" si="15138"/>
        <v>Dimmitt</v>
      </c>
    </row>
    <row r="15141" spans="1:5">
      <c r="A15141" s="110" t="s">
        <v>26578</v>
      </c>
      <c r="B15141" s="110" t="s">
        <v>1373</v>
      </c>
      <c r="C15141" s="111" t="s">
        <v>26579</v>
      </c>
      <c r="D15141" s="111" t="str">
        <f t="shared" ref="D15141:E15141" si="15139">TRIM(B15141)</f>
        <v>Texas</v>
      </c>
      <c r="E15141" s="111" t="str">
        <f t="shared" si="15139"/>
        <v>Donna</v>
      </c>
    </row>
    <row r="15142" spans="1:5">
      <c r="A15142" s="110" t="s">
        <v>26580</v>
      </c>
      <c r="B15142" s="110" t="s">
        <v>1373</v>
      </c>
      <c r="C15142" s="111" t="s">
        <v>26579</v>
      </c>
      <c r="D15142" s="111" t="str">
        <f t="shared" ref="D15142:E15142" si="15140">TRIM(B15142)</f>
        <v>Texas</v>
      </c>
      <c r="E15142" s="111" t="str">
        <f t="shared" si="15140"/>
        <v>Donna</v>
      </c>
    </row>
    <row r="15143" spans="1:5">
      <c r="A15143" s="110" t="s">
        <v>26581</v>
      </c>
      <c r="B15143" s="110" t="s">
        <v>1373</v>
      </c>
      <c r="C15143" s="111" t="s">
        <v>26579</v>
      </c>
      <c r="D15143" s="111" t="str">
        <f t="shared" ref="D15143:E15143" si="15141">TRIM(B15143)</f>
        <v>Texas</v>
      </c>
      <c r="E15143" s="111" t="str">
        <f t="shared" si="15141"/>
        <v>Donna</v>
      </c>
    </row>
    <row r="15144" spans="1:5">
      <c r="A15144" s="110" t="s">
        <v>26582</v>
      </c>
      <c r="B15144" s="110" t="s">
        <v>1373</v>
      </c>
      <c r="C15144" s="111" t="s">
        <v>8380</v>
      </c>
      <c r="D15144" s="111" t="str">
        <f t="shared" ref="D15144:E15144" si="15142">TRIM(B15144)</f>
        <v>Texas</v>
      </c>
      <c r="E15144" s="111" t="str">
        <f t="shared" si="15142"/>
        <v>Dripping Springs</v>
      </c>
    </row>
    <row r="15145" spans="1:5">
      <c r="A15145" s="110" t="s">
        <v>26583</v>
      </c>
      <c r="B15145" s="110" t="s">
        <v>1373</v>
      </c>
      <c r="C15145" s="111" t="s">
        <v>850</v>
      </c>
      <c r="D15145" s="111" t="str">
        <f t="shared" ref="D15145:E15145" si="15143">TRIM(B15145)</f>
        <v>Texas</v>
      </c>
      <c r="E15145" s="111" t="str">
        <f t="shared" si="15143"/>
        <v>Dublin</v>
      </c>
    </row>
    <row r="15146" spans="1:5">
      <c r="A15146" s="110" t="s">
        <v>26584</v>
      </c>
      <c r="B15146" s="110" t="s">
        <v>1373</v>
      </c>
      <c r="C15146" s="111" t="s">
        <v>3747</v>
      </c>
      <c r="D15146" s="111" t="str">
        <f t="shared" ref="D15146:E15146" si="15144">TRIM(B15146)</f>
        <v>Texas</v>
      </c>
      <c r="E15146" s="111" t="str">
        <f t="shared" si="15144"/>
        <v>Dumas</v>
      </c>
    </row>
    <row r="15147" spans="1:5">
      <c r="A15147" s="110" t="s">
        <v>26585</v>
      </c>
      <c r="B15147" s="110" t="s">
        <v>1373</v>
      </c>
      <c r="C15147" s="111" t="s">
        <v>41</v>
      </c>
      <c r="D15147" s="111" t="str">
        <f t="shared" ref="D15147:E15147" si="15145">TRIM(B15147)</f>
        <v>Texas</v>
      </c>
      <c r="E15147" s="111" t="str">
        <f t="shared" si="15145"/>
        <v>Duncanville</v>
      </c>
    </row>
    <row r="15148" spans="1:5">
      <c r="A15148" s="3" t="s">
        <v>26586</v>
      </c>
      <c r="B15148" s="110" t="s">
        <v>1373</v>
      </c>
      <c r="C15148" s="111" t="s">
        <v>26587</v>
      </c>
      <c r="D15148" s="111" t="str">
        <f t="shared" ref="D15148:E15148" si="15146">TRIM(B15148)</f>
        <v>Texas</v>
      </c>
      <c r="E15148" s="111" t="str">
        <f t="shared" si="15146"/>
        <v>Eagle Pass</v>
      </c>
    </row>
    <row r="15149" spans="1:5">
      <c r="A15149" s="3" t="s">
        <v>26588</v>
      </c>
      <c r="B15149" s="110" t="s">
        <v>1373</v>
      </c>
      <c r="C15149" s="111" t="s">
        <v>26587</v>
      </c>
      <c r="D15149" s="111" t="str">
        <f t="shared" ref="D15149:E15149" si="15147">TRIM(B15149)</f>
        <v>Texas</v>
      </c>
      <c r="E15149" s="111" t="str">
        <f t="shared" si="15147"/>
        <v>Eagle Pass</v>
      </c>
    </row>
    <row r="15150" spans="1:5">
      <c r="A15150" s="110" t="s">
        <v>26589</v>
      </c>
      <c r="B15150" s="110" t="s">
        <v>1373</v>
      </c>
      <c r="C15150" s="111" t="s">
        <v>26590</v>
      </c>
      <c r="D15150" s="111" t="str">
        <f t="shared" ref="D15150:E15150" si="15148">TRIM(B15150)</f>
        <v>Texas</v>
      </c>
      <c r="E15150" s="111" t="str">
        <f t="shared" si="15148"/>
        <v>Early</v>
      </c>
    </row>
    <row r="15151" spans="1:5">
      <c r="A15151" s="110" t="s">
        <v>26591</v>
      </c>
      <c r="B15151" s="110" t="s">
        <v>1373</v>
      </c>
      <c r="C15151" s="111" t="s">
        <v>26592</v>
      </c>
      <c r="D15151" s="111" t="str">
        <f t="shared" ref="D15151:E15151" si="15149">TRIM(B15151)</f>
        <v>Texas</v>
      </c>
      <c r="E15151" s="111" t="str">
        <f t="shared" si="15149"/>
        <v>Earth</v>
      </c>
    </row>
    <row r="15152" spans="1:5">
      <c r="A15152" s="110" t="s">
        <v>26593</v>
      </c>
      <c r="B15152" s="110" t="s">
        <v>1373</v>
      </c>
      <c r="C15152" s="111" t="s">
        <v>26594</v>
      </c>
      <c r="D15152" s="111" t="str">
        <f t="shared" ref="D15152:E15152" si="15150">TRIM(B15152)</f>
        <v>Texas</v>
      </c>
      <c r="E15152" s="111" t="str">
        <f t="shared" si="15150"/>
        <v>East Bernard</v>
      </c>
    </row>
    <row r="15153" spans="1:5">
      <c r="A15153" s="110" t="s">
        <v>26595</v>
      </c>
      <c r="B15153" s="110" t="s">
        <v>1373</v>
      </c>
      <c r="C15153" s="111" t="s">
        <v>26596</v>
      </c>
      <c r="D15153" s="111" t="str">
        <f t="shared" ref="D15153:E15153" si="15151">TRIM(B15153)</f>
        <v>Texas</v>
      </c>
      <c r="E15153" s="111" t="str">
        <f t="shared" si="15151"/>
        <v>Eastland</v>
      </c>
    </row>
    <row r="15154" spans="1:5">
      <c r="A15154" s="110" t="s">
        <v>26597</v>
      </c>
      <c r="B15154" s="110" t="s">
        <v>1373</v>
      </c>
      <c r="C15154" s="111" t="s">
        <v>26598</v>
      </c>
      <c r="D15154" s="111" t="str">
        <f t="shared" ref="D15154:E15154" si="15152">TRIM(B15154)</f>
        <v>Texas</v>
      </c>
      <c r="E15154" s="111" t="str">
        <f t="shared" si="15152"/>
        <v>Ector</v>
      </c>
    </row>
    <row r="15155" spans="1:5">
      <c r="A15155" s="110" t="s">
        <v>26599</v>
      </c>
      <c r="B15155" s="110" t="s">
        <v>1373</v>
      </c>
      <c r="C15155" s="111" t="s">
        <v>26600</v>
      </c>
      <c r="D15155" s="111" t="str">
        <f t="shared" ref="D15155:E15155" si="15153">TRIM(B15155)</f>
        <v>Texas</v>
      </c>
      <c r="E15155" s="111" t="str">
        <f t="shared" si="15153"/>
        <v>Edcouch</v>
      </c>
    </row>
    <row r="15156" spans="1:5">
      <c r="A15156" s="110" t="s">
        <v>26601</v>
      </c>
      <c r="B15156" s="110" t="s">
        <v>1373</v>
      </c>
      <c r="C15156" s="111" t="s">
        <v>26602</v>
      </c>
      <c r="D15156" s="111" t="str">
        <f t="shared" ref="D15156:E15156" si="15154">TRIM(B15156)</f>
        <v>Texas</v>
      </c>
      <c r="E15156" s="111" t="str">
        <f t="shared" si="15154"/>
        <v>Eddy</v>
      </c>
    </row>
    <row r="15157" spans="1:5">
      <c r="A15157" s="110" t="s">
        <v>26603</v>
      </c>
      <c r="B15157" s="110" t="s">
        <v>1373</v>
      </c>
      <c r="C15157" s="111" t="s">
        <v>253</v>
      </c>
      <c r="D15157" s="111" t="str">
        <f t="shared" ref="D15157:E15157" si="15155">TRIM(B15157)</f>
        <v>Texas</v>
      </c>
      <c r="E15157" s="111" t="str">
        <f t="shared" si="15155"/>
        <v>Edgewood</v>
      </c>
    </row>
    <row r="15158" spans="1:5">
      <c r="A15158" s="110" t="s">
        <v>26604</v>
      </c>
      <c r="B15158" s="110" t="s">
        <v>1373</v>
      </c>
      <c r="C15158" s="111" t="s">
        <v>12828</v>
      </c>
      <c r="D15158" s="111" t="str">
        <f t="shared" ref="D15158:E15158" si="15156">TRIM(B15158)</f>
        <v>Texas</v>
      </c>
      <c r="E15158" s="111" t="str">
        <f t="shared" si="15156"/>
        <v>Edinburg</v>
      </c>
    </row>
    <row r="15159" spans="1:5">
      <c r="A15159" s="110" t="s">
        <v>26605</v>
      </c>
      <c r="B15159" s="110" t="s">
        <v>1373</v>
      </c>
      <c r="C15159" s="111" t="s">
        <v>12828</v>
      </c>
      <c r="D15159" s="111" t="str">
        <f t="shared" ref="D15159:E15159" si="15157">TRIM(B15159)</f>
        <v>Texas</v>
      </c>
      <c r="E15159" s="111" t="str">
        <f t="shared" si="15157"/>
        <v>Edinburg</v>
      </c>
    </row>
    <row r="15160" spans="1:5">
      <c r="A15160" s="110" t="s">
        <v>26606</v>
      </c>
      <c r="B15160" s="110" t="s">
        <v>1373</v>
      </c>
      <c r="C15160" s="111" t="s">
        <v>12828</v>
      </c>
      <c r="D15160" s="111" t="str">
        <f t="shared" ref="D15160:E15160" si="15158">TRIM(B15160)</f>
        <v>Texas</v>
      </c>
      <c r="E15160" s="111" t="str">
        <f t="shared" si="15158"/>
        <v>Edinburg</v>
      </c>
    </row>
    <row r="15161" spans="1:5">
      <c r="A15161" s="110" t="s">
        <v>26607</v>
      </c>
      <c r="B15161" s="110" t="s">
        <v>1373</v>
      </c>
      <c r="C15161" s="111" t="s">
        <v>12828</v>
      </c>
      <c r="D15161" s="111" t="str">
        <f t="shared" ref="D15161:E15161" si="15159">TRIM(B15161)</f>
        <v>Texas</v>
      </c>
      <c r="E15161" s="111" t="str">
        <f t="shared" si="15159"/>
        <v>Edinburg</v>
      </c>
    </row>
    <row r="15162" spans="1:5">
      <c r="A15162" s="110" t="s">
        <v>26608</v>
      </c>
      <c r="B15162" s="110" t="s">
        <v>1373</v>
      </c>
      <c r="C15162" s="111" t="s">
        <v>12828</v>
      </c>
      <c r="D15162" s="111" t="str">
        <f t="shared" ref="D15162:E15162" si="15160">TRIM(B15162)</f>
        <v>Texas</v>
      </c>
      <c r="E15162" s="111" t="str">
        <f t="shared" si="15160"/>
        <v>Edinburg</v>
      </c>
    </row>
    <row r="15163" spans="1:5">
      <c r="A15163" s="110" t="s">
        <v>26609</v>
      </c>
      <c r="B15163" s="110" t="s">
        <v>1373</v>
      </c>
      <c r="C15163" s="111" t="s">
        <v>12828</v>
      </c>
      <c r="D15163" s="111" t="str">
        <f t="shared" ref="D15163:E15163" si="15161">TRIM(B15163)</f>
        <v>Texas</v>
      </c>
      <c r="E15163" s="111" t="str">
        <f t="shared" si="15161"/>
        <v>Edinburg</v>
      </c>
    </row>
    <row r="15164" spans="1:5">
      <c r="A15164" s="110" t="s">
        <v>26610</v>
      </c>
      <c r="B15164" s="110" t="s">
        <v>1373</v>
      </c>
      <c r="C15164" s="111" t="s">
        <v>12828</v>
      </c>
      <c r="D15164" s="111" t="str">
        <f t="shared" ref="D15164:E15164" si="15162">TRIM(B15164)</f>
        <v>Texas</v>
      </c>
      <c r="E15164" s="111" t="str">
        <f t="shared" si="15162"/>
        <v>Edinburg</v>
      </c>
    </row>
    <row r="15165" spans="1:5">
      <c r="A15165" s="3" t="s">
        <v>26611</v>
      </c>
      <c r="B15165" s="110" t="s">
        <v>1373</v>
      </c>
      <c r="C15165" s="111" t="s">
        <v>12828</v>
      </c>
      <c r="D15165" s="111" t="str">
        <f t="shared" ref="D15165:E15165" si="15163">TRIM(B15165)</f>
        <v>Texas</v>
      </c>
      <c r="E15165" s="111" t="str">
        <f t="shared" si="15163"/>
        <v>Edinburg</v>
      </c>
    </row>
    <row r="15166" spans="1:5">
      <c r="A15166" s="110" t="s">
        <v>26612</v>
      </c>
      <c r="B15166" s="110" t="s">
        <v>1373</v>
      </c>
      <c r="C15166" s="111" t="s">
        <v>26613</v>
      </c>
      <c r="D15166" s="111" t="str">
        <f t="shared" ref="D15166:E15166" si="15164">TRIM(B15166)</f>
        <v>Texas</v>
      </c>
      <c r="E15166" s="111" t="str">
        <f t="shared" si="15164"/>
        <v>Edna</v>
      </c>
    </row>
    <row r="15167" spans="1:5">
      <c r="A15167" s="110" t="s">
        <v>26614</v>
      </c>
      <c r="B15167" s="110" t="s">
        <v>1373</v>
      </c>
      <c r="C15167" s="111" t="s">
        <v>26615</v>
      </c>
      <c r="D15167" s="111" t="str">
        <f t="shared" ref="D15167:E15167" si="15165">TRIM(B15167)</f>
        <v>Texas</v>
      </c>
      <c r="E15167" s="111" t="str">
        <f t="shared" si="15165"/>
        <v>El Campo</v>
      </c>
    </row>
    <row r="15168" spans="1:5">
      <c r="A15168" s="110" t="s">
        <v>26616</v>
      </c>
      <c r="B15168" s="110" t="s">
        <v>1373</v>
      </c>
      <c r="C15168" s="111" t="s">
        <v>26617</v>
      </c>
      <c r="D15168" s="111" t="str">
        <f t="shared" ref="D15168:E15168" si="15166">TRIM(B15168)</f>
        <v>Texas</v>
      </c>
      <c r="E15168" s="111" t="str">
        <f t="shared" si="15166"/>
        <v>El Maton</v>
      </c>
    </row>
    <row r="15169" spans="1:5">
      <c r="A15169" s="110" t="s">
        <v>26618</v>
      </c>
      <c r="B15169" s="110" t="s">
        <v>1373</v>
      </c>
      <c r="C15169" s="111" t="s">
        <v>12840</v>
      </c>
      <c r="D15169" s="111" t="str">
        <f t="shared" ref="D15169:E15169" si="15167">TRIM(B15169)</f>
        <v>Texas</v>
      </c>
      <c r="E15169" s="111" t="str">
        <f t="shared" si="15167"/>
        <v>El Paso</v>
      </c>
    </row>
    <row r="15170" spans="1:5">
      <c r="A15170" s="110" t="s">
        <v>26619</v>
      </c>
      <c r="B15170" s="110" t="s">
        <v>1373</v>
      </c>
      <c r="C15170" s="111" t="s">
        <v>12840</v>
      </c>
      <c r="D15170" s="111" t="str">
        <f t="shared" ref="D15170:E15170" si="15168">TRIM(B15170)</f>
        <v>Texas</v>
      </c>
      <c r="E15170" s="111" t="str">
        <f t="shared" si="15168"/>
        <v>El Paso</v>
      </c>
    </row>
    <row r="15171" spans="1:5">
      <c r="A15171" s="110" t="s">
        <v>26210</v>
      </c>
      <c r="B15171" s="110" t="s">
        <v>1373</v>
      </c>
      <c r="C15171" s="111" t="s">
        <v>12840</v>
      </c>
      <c r="D15171" s="111" t="str">
        <f t="shared" ref="D15171:E15171" si="15169">TRIM(B15171)</f>
        <v>Texas</v>
      </c>
      <c r="E15171" s="111" t="str">
        <f t="shared" si="15169"/>
        <v>El Paso</v>
      </c>
    </row>
    <row r="15172" spans="1:5">
      <c r="A15172" s="110" t="s">
        <v>26620</v>
      </c>
      <c r="B15172" s="110" t="s">
        <v>1373</v>
      </c>
      <c r="C15172" s="111" t="s">
        <v>12840</v>
      </c>
      <c r="D15172" s="111" t="str">
        <f t="shared" ref="D15172:E15172" si="15170">TRIM(B15172)</f>
        <v>Texas</v>
      </c>
      <c r="E15172" s="111" t="str">
        <f t="shared" si="15170"/>
        <v>El Paso</v>
      </c>
    </row>
    <row r="15173" spans="1:5">
      <c r="A15173" s="110" t="s">
        <v>26192</v>
      </c>
      <c r="B15173" s="110" t="s">
        <v>1373</v>
      </c>
      <c r="C15173" s="111" t="s">
        <v>12840</v>
      </c>
      <c r="D15173" s="111" t="str">
        <f t="shared" ref="D15173:E15173" si="15171">TRIM(B15173)</f>
        <v>Texas</v>
      </c>
      <c r="E15173" s="111" t="str">
        <f t="shared" si="15171"/>
        <v>El Paso</v>
      </c>
    </row>
    <row r="15174" spans="1:5">
      <c r="A15174" s="110" t="s">
        <v>26621</v>
      </c>
      <c r="B15174" s="110" t="s">
        <v>1373</v>
      </c>
      <c r="C15174" s="111" t="s">
        <v>12840</v>
      </c>
      <c r="D15174" s="111" t="str">
        <f t="shared" ref="D15174:E15174" si="15172">TRIM(B15174)</f>
        <v>Texas</v>
      </c>
      <c r="E15174" s="111" t="str">
        <f t="shared" si="15172"/>
        <v>El Paso</v>
      </c>
    </row>
    <row r="15175" spans="1:5">
      <c r="A15175" s="110" t="s">
        <v>26622</v>
      </c>
      <c r="B15175" s="110" t="s">
        <v>1373</v>
      </c>
      <c r="C15175" s="111" t="s">
        <v>12840</v>
      </c>
      <c r="D15175" s="111" t="str">
        <f t="shared" ref="D15175:E15175" si="15173">TRIM(B15175)</f>
        <v>Texas</v>
      </c>
      <c r="E15175" s="111" t="str">
        <f t="shared" si="15173"/>
        <v>El Paso</v>
      </c>
    </row>
    <row r="15176" spans="1:5">
      <c r="A15176" s="110" t="s">
        <v>26623</v>
      </c>
      <c r="B15176" s="110" t="s">
        <v>1373</v>
      </c>
      <c r="C15176" s="111" t="s">
        <v>12840</v>
      </c>
      <c r="D15176" s="111" t="str">
        <f t="shared" ref="D15176:E15176" si="15174">TRIM(B15176)</f>
        <v>Texas</v>
      </c>
      <c r="E15176" s="111" t="str">
        <f t="shared" si="15174"/>
        <v>El Paso</v>
      </c>
    </row>
    <row r="15177" spans="1:5">
      <c r="A15177" s="110" t="s">
        <v>26624</v>
      </c>
      <c r="B15177" s="110" t="s">
        <v>1373</v>
      </c>
      <c r="C15177" s="111" t="s">
        <v>12840</v>
      </c>
      <c r="D15177" s="111" t="str">
        <f t="shared" ref="D15177:E15177" si="15175">TRIM(B15177)</f>
        <v>Texas</v>
      </c>
      <c r="E15177" s="111" t="str">
        <f t="shared" si="15175"/>
        <v>El Paso</v>
      </c>
    </row>
    <row r="15178" spans="1:5">
      <c r="A15178" s="3" t="s">
        <v>26625</v>
      </c>
      <c r="B15178" s="110" t="s">
        <v>1373</v>
      </c>
      <c r="C15178" s="111" t="s">
        <v>12840</v>
      </c>
      <c r="D15178" s="111" t="str">
        <f t="shared" ref="D15178:E15178" si="15176">TRIM(B15178)</f>
        <v>Texas</v>
      </c>
      <c r="E15178" s="111" t="str">
        <f t="shared" si="15176"/>
        <v>El Paso</v>
      </c>
    </row>
    <row r="15179" spans="1:5">
      <c r="A15179" s="110" t="s">
        <v>26626</v>
      </c>
      <c r="B15179" s="110" t="s">
        <v>1373</v>
      </c>
      <c r="C15179" s="111" t="s">
        <v>12840</v>
      </c>
      <c r="D15179" s="111" t="str">
        <f t="shared" ref="D15179:E15179" si="15177">TRIM(B15179)</f>
        <v>Texas</v>
      </c>
      <c r="E15179" s="111" t="str">
        <f t="shared" si="15177"/>
        <v>El Paso</v>
      </c>
    </row>
    <row r="15180" spans="1:5">
      <c r="A15180" s="110" t="s">
        <v>26627</v>
      </c>
      <c r="B15180" s="110" t="s">
        <v>1373</v>
      </c>
      <c r="C15180" s="111" t="s">
        <v>12840</v>
      </c>
      <c r="D15180" s="111" t="str">
        <f t="shared" ref="D15180:E15180" si="15178">TRIM(B15180)</f>
        <v>Texas</v>
      </c>
      <c r="E15180" s="111" t="str">
        <f t="shared" si="15178"/>
        <v>El Paso</v>
      </c>
    </row>
    <row r="15181" spans="1:5">
      <c r="A15181" s="110" t="s">
        <v>26557</v>
      </c>
      <c r="B15181" s="110" t="s">
        <v>1373</v>
      </c>
      <c r="C15181" s="111" t="s">
        <v>12840</v>
      </c>
      <c r="D15181" s="111" t="str">
        <f t="shared" ref="D15181:E15181" si="15179">TRIM(B15181)</f>
        <v>Texas</v>
      </c>
      <c r="E15181" s="111" t="str">
        <f t="shared" si="15179"/>
        <v>El Paso</v>
      </c>
    </row>
    <row r="15182" spans="1:5">
      <c r="A15182" s="110" t="s">
        <v>26628</v>
      </c>
      <c r="B15182" s="110" t="s">
        <v>1373</v>
      </c>
      <c r="C15182" s="111" t="s">
        <v>12840</v>
      </c>
      <c r="D15182" s="111" t="str">
        <f t="shared" ref="D15182:E15182" si="15180">TRIM(B15182)</f>
        <v>Texas</v>
      </c>
      <c r="E15182" s="111" t="str">
        <f t="shared" si="15180"/>
        <v>El Paso</v>
      </c>
    </row>
    <row r="15183" spans="1:5">
      <c r="A15183" s="110" t="s">
        <v>26629</v>
      </c>
      <c r="B15183" s="110" t="s">
        <v>1373</v>
      </c>
      <c r="C15183" s="111" t="s">
        <v>12840</v>
      </c>
      <c r="D15183" s="111" t="str">
        <f t="shared" ref="D15183:E15183" si="15181">TRIM(B15183)</f>
        <v>Texas</v>
      </c>
      <c r="E15183" s="111" t="str">
        <f t="shared" si="15181"/>
        <v>El Paso</v>
      </c>
    </row>
    <row r="15184" spans="1:5">
      <c r="A15184" s="110" t="s">
        <v>26630</v>
      </c>
      <c r="B15184" s="110" t="s">
        <v>1373</v>
      </c>
      <c r="C15184" s="111" t="s">
        <v>12840</v>
      </c>
      <c r="D15184" s="111" t="str">
        <f t="shared" ref="D15184:E15184" si="15182">TRIM(B15184)</f>
        <v>Texas</v>
      </c>
      <c r="E15184" s="111" t="str">
        <f t="shared" si="15182"/>
        <v>El Paso</v>
      </c>
    </row>
    <row r="15185" spans="1:5">
      <c r="A15185" s="110" t="s">
        <v>26631</v>
      </c>
      <c r="B15185" s="110" t="s">
        <v>1373</v>
      </c>
      <c r="C15185" s="111" t="s">
        <v>12840</v>
      </c>
      <c r="D15185" s="111" t="str">
        <f t="shared" ref="D15185:E15185" si="15183">TRIM(B15185)</f>
        <v>Texas</v>
      </c>
      <c r="E15185" s="111" t="str">
        <f t="shared" si="15183"/>
        <v>El Paso</v>
      </c>
    </row>
    <row r="15186" spans="1:5">
      <c r="A15186" s="110" t="s">
        <v>26632</v>
      </c>
      <c r="B15186" s="110" t="s">
        <v>1373</v>
      </c>
      <c r="C15186" s="111" t="s">
        <v>12840</v>
      </c>
      <c r="D15186" s="111" t="str">
        <f t="shared" ref="D15186:E15186" si="15184">TRIM(B15186)</f>
        <v>Texas</v>
      </c>
      <c r="E15186" s="111" t="str">
        <f t="shared" si="15184"/>
        <v>El Paso</v>
      </c>
    </row>
    <row r="15187" spans="1:5">
      <c r="A15187" s="3" t="s">
        <v>26633</v>
      </c>
      <c r="B15187" s="110" t="s">
        <v>1373</v>
      </c>
      <c r="C15187" s="111" t="s">
        <v>12840</v>
      </c>
      <c r="D15187" s="111" t="str">
        <f t="shared" ref="D15187:E15187" si="15185">TRIM(B15187)</f>
        <v>Texas</v>
      </c>
      <c r="E15187" s="111" t="str">
        <f t="shared" si="15185"/>
        <v>El Paso</v>
      </c>
    </row>
    <row r="15188" spans="1:5">
      <c r="A15188" s="110" t="s">
        <v>26634</v>
      </c>
      <c r="B15188" s="110" t="s">
        <v>1373</v>
      </c>
      <c r="C15188" s="111" t="s">
        <v>12840</v>
      </c>
      <c r="D15188" s="111" t="str">
        <f t="shared" ref="D15188:E15188" si="15186">TRIM(B15188)</f>
        <v>Texas</v>
      </c>
      <c r="E15188" s="111" t="str">
        <f t="shared" si="15186"/>
        <v>El Paso</v>
      </c>
    </row>
    <row r="15189" spans="1:5">
      <c r="A15189" s="110" t="s">
        <v>26635</v>
      </c>
      <c r="B15189" s="110" t="s">
        <v>1373</v>
      </c>
      <c r="C15189" s="111" t="s">
        <v>12840</v>
      </c>
      <c r="D15189" s="111" t="str">
        <f t="shared" ref="D15189:E15189" si="15187">TRIM(B15189)</f>
        <v>Texas</v>
      </c>
      <c r="E15189" s="111" t="str">
        <f t="shared" si="15187"/>
        <v>El Paso</v>
      </c>
    </row>
    <row r="15190" spans="1:5">
      <c r="A15190" s="110" t="s">
        <v>26636</v>
      </c>
      <c r="B15190" s="110" t="s">
        <v>1373</v>
      </c>
      <c r="C15190" s="111" t="s">
        <v>12840</v>
      </c>
      <c r="D15190" s="111" t="str">
        <f t="shared" ref="D15190:E15190" si="15188">TRIM(B15190)</f>
        <v>Texas</v>
      </c>
      <c r="E15190" s="111" t="str">
        <f t="shared" si="15188"/>
        <v>El Paso</v>
      </c>
    </row>
    <row r="15191" spans="1:5">
      <c r="A15191" s="110" t="s">
        <v>26637</v>
      </c>
      <c r="B15191" s="110" t="s">
        <v>1373</v>
      </c>
      <c r="C15191" s="111" t="s">
        <v>12840</v>
      </c>
      <c r="D15191" s="111" t="str">
        <f t="shared" ref="D15191:E15191" si="15189">TRIM(B15191)</f>
        <v>Texas</v>
      </c>
      <c r="E15191" s="111" t="str">
        <f t="shared" si="15189"/>
        <v>El Paso</v>
      </c>
    </row>
    <row r="15192" spans="1:5">
      <c r="A15192" s="110" t="s">
        <v>26638</v>
      </c>
      <c r="B15192" s="110" t="s">
        <v>1373</v>
      </c>
      <c r="C15192" s="111" t="s">
        <v>12840</v>
      </c>
      <c r="D15192" s="111" t="str">
        <f t="shared" ref="D15192:E15192" si="15190">TRIM(B15192)</f>
        <v>Texas</v>
      </c>
      <c r="E15192" s="111" t="str">
        <f t="shared" si="15190"/>
        <v>El Paso</v>
      </c>
    </row>
    <row r="15193" spans="1:5">
      <c r="A15193" s="110" t="s">
        <v>26639</v>
      </c>
      <c r="B15193" s="110" t="s">
        <v>1373</v>
      </c>
      <c r="C15193" s="111" t="s">
        <v>12840</v>
      </c>
      <c r="D15193" s="111" t="str">
        <f t="shared" ref="D15193:E15193" si="15191">TRIM(B15193)</f>
        <v>Texas</v>
      </c>
      <c r="E15193" s="111" t="str">
        <f t="shared" si="15191"/>
        <v>El Paso</v>
      </c>
    </row>
    <row r="15194" spans="1:5">
      <c r="A15194" s="110" t="s">
        <v>26640</v>
      </c>
      <c r="B15194" s="110" t="s">
        <v>1373</v>
      </c>
      <c r="C15194" s="111" t="s">
        <v>12840</v>
      </c>
      <c r="D15194" s="111" t="str">
        <f t="shared" ref="D15194:E15194" si="15192">TRIM(B15194)</f>
        <v>Texas</v>
      </c>
      <c r="E15194" s="111" t="str">
        <f t="shared" si="15192"/>
        <v>El Paso</v>
      </c>
    </row>
    <row r="15195" spans="1:5">
      <c r="A15195" s="110" t="s">
        <v>26641</v>
      </c>
      <c r="B15195" s="110" t="s">
        <v>1373</v>
      </c>
      <c r="C15195" s="111" t="s">
        <v>12840</v>
      </c>
      <c r="D15195" s="111" t="str">
        <f t="shared" ref="D15195:E15195" si="15193">TRIM(B15195)</f>
        <v>Texas</v>
      </c>
      <c r="E15195" s="111" t="str">
        <f t="shared" si="15193"/>
        <v>El Paso</v>
      </c>
    </row>
    <row r="15196" spans="1:5">
      <c r="A15196" s="110" t="s">
        <v>26642</v>
      </c>
      <c r="B15196" s="110" t="s">
        <v>1373</v>
      </c>
      <c r="C15196" s="111" t="s">
        <v>12840</v>
      </c>
      <c r="D15196" s="111" t="str">
        <f t="shared" ref="D15196:E15196" si="15194">TRIM(B15196)</f>
        <v>Texas</v>
      </c>
      <c r="E15196" s="111" t="str">
        <f t="shared" si="15194"/>
        <v>El Paso</v>
      </c>
    </row>
    <row r="15197" spans="1:5">
      <c r="A15197" s="110" t="s">
        <v>26643</v>
      </c>
      <c r="B15197" s="110" t="s">
        <v>1373</v>
      </c>
      <c r="C15197" s="111" t="s">
        <v>12840</v>
      </c>
      <c r="D15197" s="111" t="str">
        <f t="shared" ref="D15197:E15197" si="15195">TRIM(B15197)</f>
        <v>Texas</v>
      </c>
      <c r="E15197" s="111" t="str">
        <f t="shared" si="15195"/>
        <v>El Paso</v>
      </c>
    </row>
    <row r="15198" spans="1:5">
      <c r="A15198" s="110" t="s">
        <v>26644</v>
      </c>
      <c r="B15198" s="110" t="s">
        <v>1373</v>
      </c>
      <c r="C15198" s="111" t="s">
        <v>12840</v>
      </c>
      <c r="D15198" s="111" t="str">
        <f t="shared" ref="D15198:E15198" si="15196">TRIM(B15198)</f>
        <v>Texas</v>
      </c>
      <c r="E15198" s="111" t="str">
        <f t="shared" si="15196"/>
        <v>El Paso</v>
      </c>
    </row>
    <row r="15199" spans="1:5">
      <c r="A15199" s="110" t="s">
        <v>26645</v>
      </c>
      <c r="B15199" s="110" t="s">
        <v>1373</v>
      </c>
      <c r="C15199" s="111" t="s">
        <v>12840</v>
      </c>
      <c r="D15199" s="111" t="str">
        <f t="shared" ref="D15199:E15199" si="15197">TRIM(B15199)</f>
        <v>Texas</v>
      </c>
      <c r="E15199" s="111" t="str">
        <f t="shared" si="15197"/>
        <v>El Paso</v>
      </c>
    </row>
    <row r="15200" spans="1:5">
      <c r="A15200" s="110" t="s">
        <v>26646</v>
      </c>
      <c r="B15200" s="110" t="s">
        <v>1373</v>
      </c>
      <c r="C15200" s="111" t="s">
        <v>12840</v>
      </c>
      <c r="D15200" s="111" t="str">
        <f t="shared" ref="D15200:E15200" si="15198">TRIM(B15200)</f>
        <v>Texas</v>
      </c>
      <c r="E15200" s="111" t="str">
        <f t="shared" si="15198"/>
        <v>El Paso</v>
      </c>
    </row>
    <row r="15201" spans="1:5">
      <c r="A15201" s="110" t="s">
        <v>26647</v>
      </c>
      <c r="B15201" s="110" t="s">
        <v>1373</v>
      </c>
      <c r="C15201" s="111" t="s">
        <v>12840</v>
      </c>
      <c r="D15201" s="111" t="str">
        <f t="shared" ref="D15201:E15201" si="15199">TRIM(B15201)</f>
        <v>Texas</v>
      </c>
      <c r="E15201" s="111" t="str">
        <f t="shared" si="15199"/>
        <v>El Paso</v>
      </c>
    </row>
    <row r="15202" spans="1:5">
      <c r="A15202" s="110" t="s">
        <v>26648</v>
      </c>
      <c r="B15202" s="110" t="s">
        <v>1373</v>
      </c>
      <c r="C15202" s="111" t="s">
        <v>12840</v>
      </c>
      <c r="D15202" s="111" t="str">
        <f t="shared" ref="D15202:E15202" si="15200">TRIM(B15202)</f>
        <v>Texas</v>
      </c>
      <c r="E15202" s="111" t="str">
        <f t="shared" si="15200"/>
        <v>El Paso</v>
      </c>
    </row>
    <row r="15203" spans="1:5">
      <c r="A15203" s="110" t="s">
        <v>26649</v>
      </c>
      <c r="B15203" s="110" t="s">
        <v>1373</v>
      </c>
      <c r="C15203" s="111" t="s">
        <v>12843</v>
      </c>
      <c r="D15203" s="111" t="str">
        <f t="shared" ref="D15203:E15203" si="15201">TRIM(B15203)</f>
        <v>Texas</v>
      </c>
      <c r="E15203" s="111" t="str">
        <f t="shared" si="15201"/>
        <v>Eldorado</v>
      </c>
    </row>
    <row r="15204" spans="1:5">
      <c r="A15204" s="3" t="s">
        <v>26650</v>
      </c>
      <c r="B15204" s="110" t="s">
        <v>1373</v>
      </c>
      <c r="C15204" s="111" t="s">
        <v>26651</v>
      </c>
      <c r="D15204" s="111" t="str">
        <f t="shared" ref="D15204:E15204" si="15202">TRIM(B15204)</f>
        <v>Texas</v>
      </c>
      <c r="E15204" s="111" t="str">
        <f t="shared" si="15202"/>
        <v>Electra</v>
      </c>
    </row>
    <row r="15205" spans="1:5">
      <c r="A15205" s="110" t="s">
        <v>26652</v>
      </c>
      <c r="B15205" s="110" t="s">
        <v>1373</v>
      </c>
      <c r="C15205" s="111" t="s">
        <v>12846</v>
      </c>
      <c r="D15205" s="111" t="str">
        <f t="shared" ref="D15205:E15205" si="15203">TRIM(B15205)</f>
        <v>Texas</v>
      </c>
      <c r="E15205" s="111" t="str">
        <f t="shared" si="15203"/>
        <v>Elgin</v>
      </c>
    </row>
    <row r="15206" spans="1:5">
      <c r="A15206" s="110" t="s">
        <v>26653</v>
      </c>
      <c r="B15206" s="110" t="s">
        <v>1373</v>
      </c>
      <c r="C15206" s="111" t="s">
        <v>14283</v>
      </c>
      <c r="D15206" s="111" t="str">
        <f t="shared" ref="D15206:E15206" si="15204">TRIM(B15206)</f>
        <v>Texas</v>
      </c>
      <c r="E15206" s="111" t="str">
        <f t="shared" si="15204"/>
        <v>Elkhart</v>
      </c>
    </row>
    <row r="15207" spans="1:5">
      <c r="A15207" s="110" t="s">
        <v>26654</v>
      </c>
      <c r="B15207" s="110" t="s">
        <v>1373</v>
      </c>
      <c r="C15207" s="111" t="s">
        <v>14283</v>
      </c>
      <c r="D15207" s="111" t="str">
        <f t="shared" ref="D15207:E15207" si="15205">TRIM(B15207)</f>
        <v>Texas</v>
      </c>
      <c r="E15207" s="111" t="str">
        <f t="shared" si="15205"/>
        <v>Elkhart</v>
      </c>
    </row>
    <row r="15208" spans="1:5">
      <c r="A15208" s="110" t="s">
        <v>26655</v>
      </c>
      <c r="B15208" s="110" t="s">
        <v>1373</v>
      </c>
      <c r="C15208" s="111" t="s">
        <v>26656</v>
      </c>
      <c r="D15208" s="111" t="str">
        <f t="shared" ref="D15208:E15208" si="15206">TRIM(B15208)</f>
        <v>Texas</v>
      </c>
      <c r="E15208" s="111" t="str">
        <f t="shared" si="15206"/>
        <v>Elysian Fields</v>
      </c>
    </row>
    <row r="15209" spans="1:5">
      <c r="A15209" s="110" t="s">
        <v>26657</v>
      </c>
      <c r="B15209" s="110" t="s">
        <v>1373</v>
      </c>
      <c r="C15209" s="111" t="s">
        <v>26658</v>
      </c>
      <c r="D15209" s="111" t="str">
        <f t="shared" ref="D15209:E15209" si="15207">TRIM(B15209)</f>
        <v>Texas</v>
      </c>
      <c r="E15209" s="111" t="str">
        <f t="shared" si="15207"/>
        <v>Emory</v>
      </c>
    </row>
    <row r="15210" spans="1:5">
      <c r="A15210" s="110" t="s">
        <v>26659</v>
      </c>
      <c r="B15210" s="110" t="s">
        <v>1373</v>
      </c>
      <c r="C15210" s="111" t="s">
        <v>19315</v>
      </c>
      <c r="D15210" s="111" t="str">
        <f t="shared" ref="D15210:E15210" si="15208">TRIM(B15210)</f>
        <v>Texas</v>
      </c>
      <c r="E15210" s="111" t="str">
        <f t="shared" si="15208"/>
        <v>Ennis</v>
      </c>
    </row>
    <row r="15211" spans="1:5">
      <c r="A15211" s="3" t="s">
        <v>26660</v>
      </c>
      <c r="B15211" s="110" t="s">
        <v>1373</v>
      </c>
      <c r="C15211" s="111" t="s">
        <v>26661</v>
      </c>
      <c r="D15211" s="111" t="str">
        <f t="shared" ref="D15211:E15211" si="15209">TRIM(B15211)</f>
        <v>Texas</v>
      </c>
      <c r="E15211" s="111" t="str">
        <f t="shared" si="15209"/>
        <v>Euless</v>
      </c>
    </row>
    <row r="15212" spans="1:5">
      <c r="A15212" s="110" t="s">
        <v>26662</v>
      </c>
      <c r="B15212" s="110" t="s">
        <v>1373</v>
      </c>
      <c r="C15212" s="111" t="s">
        <v>26661</v>
      </c>
      <c r="D15212" s="111" t="str">
        <f t="shared" ref="D15212:E15212" si="15210">TRIM(B15212)</f>
        <v>Texas</v>
      </c>
      <c r="E15212" s="111" t="str">
        <f t="shared" si="15210"/>
        <v>Euless</v>
      </c>
    </row>
    <row r="15213" spans="1:5">
      <c r="A15213" s="110" t="s">
        <v>26663</v>
      </c>
      <c r="B15213" s="110" t="s">
        <v>1373</v>
      </c>
      <c r="C15213" s="111" t="s">
        <v>26664</v>
      </c>
      <c r="D15213" s="111" t="str">
        <f t="shared" ref="D15213:E15213" si="15211">TRIM(B15213)</f>
        <v>Texas</v>
      </c>
      <c r="E15213" s="111" t="str">
        <f t="shared" si="15211"/>
        <v>Eustace</v>
      </c>
    </row>
    <row r="15214" spans="1:5">
      <c r="A15214" s="110" t="s">
        <v>26665</v>
      </c>
      <c r="B15214" s="110" t="s">
        <v>1373</v>
      </c>
      <c r="C15214" s="111" t="s">
        <v>26666</v>
      </c>
      <c r="D15214" s="111" t="str">
        <f t="shared" ref="D15214:E15214" si="15212">TRIM(B15214)</f>
        <v>Texas</v>
      </c>
      <c r="E15214" s="111" t="str">
        <f t="shared" si="15212"/>
        <v>Evadale</v>
      </c>
    </row>
    <row r="15215" spans="1:5">
      <c r="A15215" s="110" t="s">
        <v>26667</v>
      </c>
      <c r="B15215" s="110" t="s">
        <v>1373</v>
      </c>
      <c r="C15215" s="111" t="s">
        <v>26668</v>
      </c>
      <c r="D15215" s="111" t="str">
        <f t="shared" ref="D15215:E15215" si="15213">TRIM(B15215)</f>
        <v>Texas</v>
      </c>
      <c r="E15215" s="111" t="str">
        <f t="shared" si="15213"/>
        <v>Evant</v>
      </c>
    </row>
    <row r="15216" spans="1:5">
      <c r="A15216" s="110" t="s">
        <v>26669</v>
      </c>
      <c r="B15216" s="110" t="s">
        <v>1373</v>
      </c>
      <c r="C15216" s="111" t="s">
        <v>26670</v>
      </c>
      <c r="D15216" s="111" t="str">
        <f t="shared" ref="D15216:E15216" si="15214">TRIM(B15216)</f>
        <v>Texas</v>
      </c>
      <c r="E15216" s="111" t="str">
        <f t="shared" si="15214"/>
        <v>Everman</v>
      </c>
    </row>
    <row r="15217" spans="1:5">
      <c r="A15217" s="110" t="s">
        <v>26671</v>
      </c>
      <c r="B15217" s="110" t="s">
        <v>1373</v>
      </c>
      <c r="C15217" s="111" t="s">
        <v>26672</v>
      </c>
      <c r="D15217" s="111" t="str">
        <f t="shared" ref="D15217:E15217" si="15215">TRIM(B15217)</f>
        <v>Texas</v>
      </c>
      <c r="E15217" s="111" t="str">
        <f t="shared" si="15215"/>
        <v>Fabens</v>
      </c>
    </row>
    <row r="15218" spans="1:5">
      <c r="A15218" s="110" t="s">
        <v>26673</v>
      </c>
      <c r="B15218" s="110" t="s">
        <v>1373</v>
      </c>
      <c r="C15218" s="111" t="s">
        <v>303</v>
      </c>
      <c r="D15218" s="111" t="str">
        <f t="shared" ref="D15218:E15218" si="15216">TRIM(B15218)</f>
        <v>Texas</v>
      </c>
      <c r="E15218" s="111" t="str">
        <f t="shared" si="15216"/>
        <v>Fairfield</v>
      </c>
    </row>
    <row r="15219" spans="1:5">
      <c r="A15219" s="110" t="s">
        <v>26674</v>
      </c>
      <c r="B15219" s="110" t="s">
        <v>1373</v>
      </c>
      <c r="C15219" s="111" t="s">
        <v>26675</v>
      </c>
      <c r="D15219" s="111" t="str">
        <f t="shared" ref="D15219:E15219" si="15217">TRIM(B15219)</f>
        <v>Texas</v>
      </c>
      <c r="E15219" s="111" t="str">
        <f t="shared" si="15217"/>
        <v>Falfurrias</v>
      </c>
    </row>
    <row r="15220" spans="1:5">
      <c r="A15220" s="110" t="s">
        <v>26676</v>
      </c>
      <c r="B15220" s="110" t="s">
        <v>1373</v>
      </c>
      <c r="C15220" s="111" t="s">
        <v>11913</v>
      </c>
      <c r="D15220" s="111" t="str">
        <f t="shared" ref="D15220:E15220" si="15218">TRIM(B15220)</f>
        <v>Texas</v>
      </c>
      <c r="E15220" s="111" t="str">
        <f t="shared" si="15218"/>
        <v>Falls City</v>
      </c>
    </row>
    <row r="15221" spans="1:5">
      <c r="A15221" s="110" t="s">
        <v>26677</v>
      </c>
      <c r="B15221" s="110" t="s">
        <v>1373</v>
      </c>
      <c r="C15221" s="111" t="s">
        <v>5014</v>
      </c>
      <c r="D15221" s="111" t="str">
        <f t="shared" ref="D15221:E15221" si="15219">TRIM(B15221)</f>
        <v>Texas</v>
      </c>
      <c r="E15221" s="111" t="str">
        <f t="shared" si="15219"/>
        <v>Farmersville</v>
      </c>
    </row>
    <row r="15222" spans="1:5">
      <c r="A15222" s="110" t="s">
        <v>26678</v>
      </c>
      <c r="B15222" s="110" t="s">
        <v>1373</v>
      </c>
      <c r="C15222" s="111" t="s">
        <v>17186</v>
      </c>
      <c r="D15222" s="111" t="str">
        <f t="shared" ref="D15222:E15222" si="15220">TRIM(B15222)</f>
        <v>Texas</v>
      </c>
      <c r="E15222" s="111" t="str">
        <f t="shared" si="15220"/>
        <v>Farwell</v>
      </c>
    </row>
    <row r="15223" spans="1:5">
      <c r="A15223" s="110" t="s">
        <v>26679</v>
      </c>
      <c r="B15223" s="110" t="s">
        <v>1373</v>
      </c>
      <c r="C15223" s="111" t="s">
        <v>26680</v>
      </c>
      <c r="D15223" s="111" t="str">
        <f t="shared" ref="D15223:E15223" si="15221">TRIM(B15223)</f>
        <v>Texas</v>
      </c>
      <c r="E15223" s="111" t="str">
        <f t="shared" si="15221"/>
        <v>Ferris</v>
      </c>
    </row>
    <row r="15224" spans="1:5">
      <c r="A15224" s="110" t="s">
        <v>26681</v>
      </c>
      <c r="B15224" s="110" t="s">
        <v>1373</v>
      </c>
      <c r="C15224" s="111" t="s">
        <v>26682</v>
      </c>
      <c r="D15224" s="111" t="str">
        <f t="shared" ref="D15224:E15224" si="15222">TRIM(B15224)</f>
        <v>Texas</v>
      </c>
      <c r="E15224" s="111" t="str">
        <f t="shared" si="15222"/>
        <v>Flatonia</v>
      </c>
    </row>
    <row r="15225" spans="1:5">
      <c r="A15225" s="110" t="s">
        <v>26683</v>
      </c>
      <c r="B15225" s="110" t="s">
        <v>1373</v>
      </c>
      <c r="C15225" s="111" t="s">
        <v>1756</v>
      </c>
      <c r="D15225" s="111" t="str">
        <f t="shared" ref="D15225:E15225" si="15223">TRIM(B15225)</f>
        <v>Texas</v>
      </c>
      <c r="E15225" s="111" t="str">
        <f t="shared" si="15223"/>
        <v>Florence</v>
      </c>
    </row>
    <row r="15226" spans="1:5">
      <c r="A15226" s="110" t="s">
        <v>26684</v>
      </c>
      <c r="B15226" s="110" t="s">
        <v>1373</v>
      </c>
      <c r="C15226" s="111" t="s">
        <v>26685</v>
      </c>
      <c r="D15226" s="111" t="str">
        <f t="shared" ref="D15226:E15226" si="15224">TRIM(B15226)</f>
        <v>Texas</v>
      </c>
      <c r="E15226" s="111" t="str">
        <f t="shared" si="15224"/>
        <v>Floresville</v>
      </c>
    </row>
    <row r="15227" spans="1:5">
      <c r="A15227" s="110" t="s">
        <v>26686</v>
      </c>
      <c r="B15227" s="110" t="s">
        <v>1373</v>
      </c>
      <c r="C15227" s="111" t="s">
        <v>2125</v>
      </c>
      <c r="D15227" s="111" t="str">
        <f t="shared" ref="D15227:E15227" si="15225">TRIM(B15227)</f>
        <v>Texas</v>
      </c>
      <c r="E15227" s="111" t="str">
        <f t="shared" si="15225"/>
        <v>Flower Mound</v>
      </c>
    </row>
    <row r="15228" spans="1:5">
      <c r="A15228" s="110" t="s">
        <v>26687</v>
      </c>
      <c r="B15228" s="110" t="s">
        <v>1373</v>
      </c>
      <c r="C15228" s="111" t="s">
        <v>2125</v>
      </c>
      <c r="D15228" s="111" t="str">
        <f t="shared" ref="D15228:E15228" si="15226">TRIM(B15228)</f>
        <v>Texas</v>
      </c>
      <c r="E15228" s="111" t="str">
        <f t="shared" si="15226"/>
        <v>Flower Mound</v>
      </c>
    </row>
    <row r="15229" spans="1:5">
      <c r="A15229" s="110" t="s">
        <v>26688</v>
      </c>
      <c r="B15229" s="110" t="s">
        <v>1373</v>
      </c>
      <c r="C15229" s="111" t="s">
        <v>26689</v>
      </c>
      <c r="D15229" s="111" t="str">
        <f t="shared" ref="D15229:E15229" si="15227">TRIM(B15229)</f>
        <v>Texas</v>
      </c>
      <c r="E15229" s="111" t="str">
        <f t="shared" si="15227"/>
        <v>Floydada</v>
      </c>
    </row>
    <row r="15230" spans="1:5">
      <c r="A15230" s="110" t="s">
        <v>26690</v>
      </c>
      <c r="B15230" s="110" t="s">
        <v>1373</v>
      </c>
      <c r="C15230" s="111" t="s">
        <v>26691</v>
      </c>
      <c r="D15230" s="111" t="str">
        <f t="shared" ref="D15230:E15230" si="15228">TRIM(B15230)</f>
        <v>Texas</v>
      </c>
      <c r="E15230" s="111" t="str">
        <f t="shared" si="15228"/>
        <v>Forney</v>
      </c>
    </row>
    <row r="15231" spans="1:5">
      <c r="A15231" s="110" t="s">
        <v>26692</v>
      </c>
      <c r="B15231" s="110" t="s">
        <v>1373</v>
      </c>
      <c r="C15231" s="111" t="s">
        <v>26691</v>
      </c>
      <c r="D15231" s="111" t="str">
        <f t="shared" ref="D15231:E15231" si="15229">TRIM(B15231)</f>
        <v>Texas</v>
      </c>
      <c r="E15231" s="111" t="str">
        <f t="shared" si="15229"/>
        <v>Forney</v>
      </c>
    </row>
    <row r="15232" spans="1:5">
      <c r="A15232" s="110" t="s">
        <v>26693</v>
      </c>
      <c r="B15232" s="110" t="s">
        <v>1373</v>
      </c>
      <c r="C15232" s="111" t="s">
        <v>26694</v>
      </c>
      <c r="D15232" s="111" t="str">
        <f t="shared" ref="D15232:E15232" si="15230">TRIM(B15232)</f>
        <v>Texas</v>
      </c>
      <c r="E15232" s="111" t="str">
        <f t="shared" si="15230"/>
        <v>Forsan</v>
      </c>
    </row>
    <row r="15233" spans="1:5">
      <c r="A15233" s="110" t="s">
        <v>26695</v>
      </c>
      <c r="B15233" s="110" t="s">
        <v>1373</v>
      </c>
      <c r="C15233" s="111" t="s">
        <v>26696</v>
      </c>
      <c r="D15233" s="111" t="str">
        <f t="shared" ref="D15233:E15233" si="15231">TRIM(B15233)</f>
        <v>Texas</v>
      </c>
      <c r="E15233" s="111" t="str">
        <f t="shared" si="15231"/>
        <v>Fort Hancock</v>
      </c>
    </row>
    <row r="15234" spans="1:5">
      <c r="A15234" s="110" t="s">
        <v>26697</v>
      </c>
      <c r="B15234" s="110" t="s">
        <v>1373</v>
      </c>
      <c r="C15234" s="111" t="s">
        <v>26698</v>
      </c>
      <c r="D15234" s="111" t="str">
        <f t="shared" ref="D15234:E15234" si="15232">TRIM(B15234)</f>
        <v>Texas</v>
      </c>
      <c r="E15234" s="111" t="str">
        <f t="shared" si="15232"/>
        <v>Fort Hood</v>
      </c>
    </row>
    <row r="15235" spans="1:5">
      <c r="A15235" s="3" t="s">
        <v>26699</v>
      </c>
      <c r="B15235" s="110" t="s">
        <v>1373</v>
      </c>
      <c r="C15235" s="111" t="s">
        <v>26700</v>
      </c>
      <c r="D15235" s="111" t="str">
        <f t="shared" ref="D15235:E15235" si="15233">TRIM(B15235)</f>
        <v>Texas</v>
      </c>
      <c r="E15235" s="111" t="str">
        <f t="shared" si="15233"/>
        <v>Fort Stockton</v>
      </c>
    </row>
    <row r="15236" spans="1:5">
      <c r="A15236" s="110" t="s">
        <v>26701</v>
      </c>
      <c r="B15236" s="110" t="s">
        <v>1373</v>
      </c>
      <c r="C15236" s="111" t="s">
        <v>13642</v>
      </c>
      <c r="D15236" s="111" t="str">
        <f t="shared" ref="D15236:E15236" si="15234">TRIM(B15236)</f>
        <v>Texas</v>
      </c>
      <c r="E15236" s="111" t="str">
        <f t="shared" si="15234"/>
        <v>Fort Worth</v>
      </c>
    </row>
    <row r="15237" spans="1:5">
      <c r="A15237" s="3" t="s">
        <v>26702</v>
      </c>
      <c r="B15237" s="110" t="s">
        <v>1373</v>
      </c>
      <c r="C15237" s="111" t="s">
        <v>13642</v>
      </c>
      <c r="D15237" s="111" t="str">
        <f t="shared" ref="D15237:E15237" si="15235">TRIM(B15237)</f>
        <v>Texas</v>
      </c>
      <c r="E15237" s="111" t="str">
        <f t="shared" si="15235"/>
        <v>Fort Worth</v>
      </c>
    </row>
    <row r="15238" spans="1:5">
      <c r="A15238" s="110" t="s">
        <v>26703</v>
      </c>
      <c r="B15238" s="110" t="s">
        <v>1373</v>
      </c>
      <c r="C15238" s="111" t="s">
        <v>13642</v>
      </c>
      <c r="D15238" s="111" t="str">
        <f t="shared" ref="D15238:E15238" si="15236">TRIM(B15238)</f>
        <v>Texas</v>
      </c>
      <c r="E15238" s="111" t="str">
        <f t="shared" si="15236"/>
        <v>Fort Worth</v>
      </c>
    </row>
    <row r="15239" spans="1:5">
      <c r="A15239" s="110" t="s">
        <v>26704</v>
      </c>
      <c r="B15239" s="110" t="s">
        <v>1373</v>
      </c>
      <c r="C15239" s="111" t="s">
        <v>13642</v>
      </c>
      <c r="D15239" s="111" t="str">
        <f t="shared" ref="D15239:E15239" si="15237">TRIM(B15239)</f>
        <v>Texas</v>
      </c>
      <c r="E15239" s="111" t="str">
        <f t="shared" si="15237"/>
        <v>Fort Worth</v>
      </c>
    </row>
    <row r="15240" spans="1:5">
      <c r="A15240" s="110" t="s">
        <v>26705</v>
      </c>
      <c r="B15240" s="110" t="s">
        <v>1373</v>
      </c>
      <c r="C15240" s="111" t="s">
        <v>13642</v>
      </c>
      <c r="D15240" s="111" t="str">
        <f t="shared" ref="D15240:E15240" si="15238">TRIM(B15240)</f>
        <v>Texas</v>
      </c>
      <c r="E15240" s="111" t="str">
        <f t="shared" si="15238"/>
        <v>Fort Worth</v>
      </c>
    </row>
    <row r="15241" spans="1:5">
      <c r="A15241" s="110" t="s">
        <v>26706</v>
      </c>
      <c r="B15241" s="110" t="s">
        <v>1373</v>
      </c>
      <c r="C15241" s="111" t="s">
        <v>13642</v>
      </c>
      <c r="D15241" s="111" t="str">
        <f t="shared" ref="D15241:E15241" si="15239">TRIM(B15241)</f>
        <v>Texas</v>
      </c>
      <c r="E15241" s="111" t="str">
        <f t="shared" si="15239"/>
        <v>Fort Worth</v>
      </c>
    </row>
    <row r="15242" spans="1:5">
      <c r="A15242" s="110" t="s">
        <v>26707</v>
      </c>
      <c r="B15242" s="110" t="s">
        <v>1373</v>
      </c>
      <c r="C15242" s="111" t="s">
        <v>13642</v>
      </c>
      <c r="D15242" s="111" t="str">
        <f t="shared" ref="D15242:E15242" si="15240">TRIM(B15242)</f>
        <v>Texas</v>
      </c>
      <c r="E15242" s="111" t="str">
        <f t="shared" si="15240"/>
        <v>Fort Worth</v>
      </c>
    </row>
    <row r="15243" spans="1:5">
      <c r="A15243" s="110" t="s">
        <v>26708</v>
      </c>
      <c r="B15243" s="110" t="s">
        <v>1373</v>
      </c>
      <c r="C15243" s="111" t="s">
        <v>13642</v>
      </c>
      <c r="D15243" s="111" t="str">
        <f t="shared" ref="D15243:E15243" si="15241">TRIM(B15243)</f>
        <v>Texas</v>
      </c>
      <c r="E15243" s="111" t="str">
        <f t="shared" si="15241"/>
        <v>Fort Worth</v>
      </c>
    </row>
    <row r="15244" spans="1:5">
      <c r="A15244" s="110" t="s">
        <v>26709</v>
      </c>
      <c r="B15244" s="110" t="s">
        <v>1373</v>
      </c>
      <c r="C15244" s="111" t="s">
        <v>13642</v>
      </c>
      <c r="D15244" s="111" t="str">
        <f t="shared" ref="D15244:E15244" si="15242">TRIM(B15244)</f>
        <v>Texas</v>
      </c>
      <c r="E15244" s="111" t="str">
        <f t="shared" si="15242"/>
        <v>Fort Worth</v>
      </c>
    </row>
    <row r="15245" spans="1:5">
      <c r="A15245" s="110" t="s">
        <v>26710</v>
      </c>
      <c r="B15245" s="110" t="s">
        <v>1373</v>
      </c>
      <c r="C15245" s="111" t="s">
        <v>13642</v>
      </c>
      <c r="D15245" s="111" t="str">
        <f t="shared" ref="D15245:E15245" si="15243">TRIM(B15245)</f>
        <v>Texas</v>
      </c>
      <c r="E15245" s="111" t="str">
        <f t="shared" si="15243"/>
        <v>Fort Worth</v>
      </c>
    </row>
    <row r="15246" spans="1:5">
      <c r="A15246" s="3" t="s">
        <v>26711</v>
      </c>
      <c r="B15246" s="110" t="s">
        <v>1373</v>
      </c>
      <c r="C15246" s="111" t="s">
        <v>13642</v>
      </c>
      <c r="D15246" s="111" t="str">
        <f t="shared" ref="D15246:E15246" si="15244">TRIM(B15246)</f>
        <v>Texas</v>
      </c>
      <c r="E15246" s="111" t="str">
        <f t="shared" si="15244"/>
        <v>Fort Worth</v>
      </c>
    </row>
    <row r="15247" spans="1:5">
      <c r="A15247" s="110" t="s">
        <v>26712</v>
      </c>
      <c r="B15247" s="110" t="s">
        <v>1373</v>
      </c>
      <c r="C15247" s="111" t="s">
        <v>13642</v>
      </c>
      <c r="D15247" s="111" t="str">
        <f t="shared" ref="D15247:E15247" si="15245">TRIM(B15247)</f>
        <v>Texas</v>
      </c>
      <c r="E15247" s="111" t="str">
        <f t="shared" si="15245"/>
        <v>Fort Worth</v>
      </c>
    </row>
    <row r="15248" spans="1:5">
      <c r="A15248" s="110" t="s">
        <v>26713</v>
      </c>
      <c r="B15248" s="110" t="s">
        <v>1373</v>
      </c>
      <c r="C15248" s="111" t="s">
        <v>13642</v>
      </c>
      <c r="D15248" s="111" t="str">
        <f t="shared" ref="D15248:E15248" si="15246">TRIM(B15248)</f>
        <v>Texas</v>
      </c>
      <c r="E15248" s="111" t="str">
        <f t="shared" si="15246"/>
        <v>Fort Worth</v>
      </c>
    </row>
    <row r="15249" spans="1:5">
      <c r="A15249" s="110" t="s">
        <v>26714</v>
      </c>
      <c r="B15249" s="110" t="s">
        <v>1373</v>
      </c>
      <c r="C15249" s="111" t="s">
        <v>13642</v>
      </c>
      <c r="D15249" s="111" t="str">
        <f t="shared" ref="D15249:E15249" si="15247">TRIM(B15249)</f>
        <v>Texas</v>
      </c>
      <c r="E15249" s="111" t="str">
        <f t="shared" si="15247"/>
        <v>Fort Worth</v>
      </c>
    </row>
    <row r="15250" spans="1:5">
      <c r="A15250" s="110" t="s">
        <v>26715</v>
      </c>
      <c r="B15250" s="110" t="s">
        <v>1373</v>
      </c>
      <c r="C15250" s="111" t="s">
        <v>13642</v>
      </c>
      <c r="D15250" s="111" t="str">
        <f t="shared" ref="D15250:E15250" si="15248">TRIM(B15250)</f>
        <v>Texas</v>
      </c>
      <c r="E15250" s="111" t="str">
        <f t="shared" si="15248"/>
        <v>Fort Worth</v>
      </c>
    </row>
    <row r="15251" spans="1:5">
      <c r="A15251" s="110" t="s">
        <v>26716</v>
      </c>
      <c r="B15251" s="110" t="s">
        <v>1373</v>
      </c>
      <c r="C15251" s="111" t="s">
        <v>13642</v>
      </c>
      <c r="D15251" s="111" t="str">
        <f t="shared" ref="D15251:E15251" si="15249">TRIM(B15251)</f>
        <v>Texas</v>
      </c>
      <c r="E15251" s="111" t="str">
        <f t="shared" si="15249"/>
        <v>Fort Worth</v>
      </c>
    </row>
    <row r="15252" spans="1:5">
      <c r="A15252" s="110" t="s">
        <v>26717</v>
      </c>
      <c r="B15252" s="110" t="s">
        <v>1373</v>
      </c>
      <c r="C15252" s="111" t="s">
        <v>13642</v>
      </c>
      <c r="D15252" s="111" t="str">
        <f t="shared" ref="D15252:E15252" si="15250">TRIM(B15252)</f>
        <v>Texas</v>
      </c>
      <c r="E15252" s="111" t="str">
        <f t="shared" si="15250"/>
        <v>Fort Worth</v>
      </c>
    </row>
    <row r="15253" spans="1:5">
      <c r="A15253" s="110" t="s">
        <v>26718</v>
      </c>
      <c r="B15253" s="110" t="s">
        <v>1373</v>
      </c>
      <c r="C15253" s="111" t="s">
        <v>13642</v>
      </c>
      <c r="D15253" s="111" t="str">
        <f t="shared" ref="D15253:E15253" si="15251">TRIM(B15253)</f>
        <v>Texas</v>
      </c>
      <c r="E15253" s="111" t="str">
        <f t="shared" si="15251"/>
        <v>Fort Worth</v>
      </c>
    </row>
    <row r="15254" spans="1:5">
      <c r="A15254" s="110" t="s">
        <v>26719</v>
      </c>
      <c r="B15254" s="110" t="s">
        <v>1373</v>
      </c>
      <c r="C15254" s="111" t="s">
        <v>13642</v>
      </c>
      <c r="D15254" s="111" t="str">
        <f t="shared" ref="D15254:E15254" si="15252">TRIM(B15254)</f>
        <v>Texas</v>
      </c>
      <c r="E15254" s="111" t="str">
        <f t="shared" si="15252"/>
        <v>Fort Worth</v>
      </c>
    </row>
    <row r="15255" spans="1:5">
      <c r="A15255" s="110" t="s">
        <v>26720</v>
      </c>
      <c r="B15255" s="110" t="s">
        <v>1373</v>
      </c>
      <c r="C15255" s="111" t="s">
        <v>13642</v>
      </c>
      <c r="D15255" s="111" t="str">
        <f t="shared" ref="D15255:E15255" si="15253">TRIM(B15255)</f>
        <v>Texas</v>
      </c>
      <c r="E15255" s="111" t="str">
        <f t="shared" si="15253"/>
        <v>Fort Worth</v>
      </c>
    </row>
    <row r="15256" spans="1:5">
      <c r="A15256" s="110" t="s">
        <v>26721</v>
      </c>
      <c r="B15256" s="110" t="s">
        <v>1373</v>
      </c>
      <c r="C15256" s="111" t="s">
        <v>13642</v>
      </c>
      <c r="D15256" s="111" t="str">
        <f t="shared" ref="D15256:E15256" si="15254">TRIM(B15256)</f>
        <v>Texas</v>
      </c>
      <c r="E15256" s="111" t="str">
        <f t="shared" si="15254"/>
        <v>Fort Worth</v>
      </c>
    </row>
    <row r="15257" spans="1:5">
      <c r="A15257" s="3" t="s">
        <v>26722</v>
      </c>
      <c r="B15257" s="110" t="s">
        <v>1373</v>
      </c>
      <c r="C15257" s="111" t="s">
        <v>13642</v>
      </c>
      <c r="D15257" s="111" t="str">
        <f t="shared" ref="D15257:E15257" si="15255">TRIM(B15257)</f>
        <v>Texas</v>
      </c>
      <c r="E15257" s="111" t="str">
        <f t="shared" si="15255"/>
        <v>Fort Worth</v>
      </c>
    </row>
    <row r="15258" spans="1:5">
      <c r="A15258" s="110" t="s">
        <v>26723</v>
      </c>
      <c r="B15258" s="110" t="s">
        <v>1373</v>
      </c>
      <c r="C15258" s="111" t="s">
        <v>13642</v>
      </c>
      <c r="D15258" s="111" t="str">
        <f t="shared" ref="D15258:E15258" si="15256">TRIM(B15258)</f>
        <v>Texas</v>
      </c>
      <c r="E15258" s="111" t="str">
        <f t="shared" si="15256"/>
        <v>Fort Worth</v>
      </c>
    </row>
    <row r="15259" spans="1:5">
      <c r="A15259" s="110" t="s">
        <v>26724</v>
      </c>
      <c r="B15259" s="110" t="s">
        <v>1373</v>
      </c>
      <c r="C15259" s="111" t="s">
        <v>13642</v>
      </c>
      <c r="D15259" s="111" t="str">
        <f t="shared" ref="D15259:E15259" si="15257">TRIM(B15259)</f>
        <v>Texas</v>
      </c>
      <c r="E15259" s="111" t="str">
        <f t="shared" si="15257"/>
        <v>Fort Worth</v>
      </c>
    </row>
    <row r="15260" spans="1:5">
      <c r="A15260" s="110" t="s">
        <v>26725</v>
      </c>
      <c r="B15260" s="110" t="s">
        <v>1373</v>
      </c>
      <c r="C15260" s="111" t="s">
        <v>13642</v>
      </c>
      <c r="D15260" s="111" t="str">
        <f t="shared" ref="D15260:E15260" si="15258">TRIM(B15260)</f>
        <v>Texas</v>
      </c>
      <c r="E15260" s="111" t="str">
        <f t="shared" si="15258"/>
        <v>Fort Worth</v>
      </c>
    </row>
    <row r="15261" spans="1:5">
      <c r="A15261" s="110" t="s">
        <v>26726</v>
      </c>
      <c r="B15261" s="110" t="s">
        <v>1373</v>
      </c>
      <c r="C15261" s="111" t="s">
        <v>13642</v>
      </c>
      <c r="D15261" s="111" t="str">
        <f t="shared" ref="D15261:E15261" si="15259">TRIM(B15261)</f>
        <v>Texas</v>
      </c>
      <c r="E15261" s="111" t="str">
        <f t="shared" si="15259"/>
        <v>Fort Worth</v>
      </c>
    </row>
    <row r="15262" spans="1:5">
      <c r="A15262" s="3" t="s">
        <v>26727</v>
      </c>
      <c r="B15262" s="110" t="s">
        <v>1373</v>
      </c>
      <c r="C15262" s="111" t="s">
        <v>13642</v>
      </c>
      <c r="D15262" s="111" t="str">
        <f t="shared" ref="D15262:E15262" si="15260">TRIM(B15262)</f>
        <v>Texas</v>
      </c>
      <c r="E15262" s="111" t="str">
        <f t="shared" si="15260"/>
        <v>Fort Worth</v>
      </c>
    </row>
    <row r="15263" spans="1:5">
      <c r="A15263" s="3" t="s">
        <v>26728</v>
      </c>
      <c r="B15263" s="110" t="s">
        <v>1373</v>
      </c>
      <c r="C15263" s="111" t="s">
        <v>13642</v>
      </c>
      <c r="D15263" s="111" t="str">
        <f t="shared" ref="D15263:E15263" si="15261">TRIM(B15263)</f>
        <v>Texas</v>
      </c>
      <c r="E15263" s="111" t="str">
        <f t="shared" si="15261"/>
        <v>Fort Worth</v>
      </c>
    </row>
    <row r="15264" spans="1:5">
      <c r="A15264" s="110" t="s">
        <v>26632</v>
      </c>
      <c r="B15264" s="110" t="s">
        <v>1373</v>
      </c>
      <c r="C15264" s="111" t="s">
        <v>525</v>
      </c>
      <c r="D15264" s="111" t="str">
        <f t="shared" ref="D15264:E15264" si="15262">TRIM(B15264)</f>
        <v>Texas</v>
      </c>
      <c r="E15264" s="111" t="str">
        <f t="shared" si="15262"/>
        <v>Franklin</v>
      </c>
    </row>
    <row r="15265" spans="1:5">
      <c r="A15265" s="110" t="s">
        <v>26729</v>
      </c>
      <c r="B15265" s="110" t="s">
        <v>1373</v>
      </c>
      <c r="C15265" s="111" t="s">
        <v>26730</v>
      </c>
      <c r="D15265" s="111" t="str">
        <f t="shared" ref="D15265:E15265" si="15263">TRIM(B15265)</f>
        <v>Texas</v>
      </c>
      <c r="E15265" s="111" t="str">
        <f t="shared" si="15263"/>
        <v>Frankston</v>
      </c>
    </row>
    <row r="15266" spans="1:5">
      <c r="A15266" s="110" t="s">
        <v>26731</v>
      </c>
      <c r="B15266" s="110" t="s">
        <v>1373</v>
      </c>
      <c r="C15266" s="111" t="s">
        <v>13612</v>
      </c>
      <c r="D15266" s="111" t="str">
        <f t="shared" ref="D15266:E15266" si="15264">TRIM(B15266)</f>
        <v>Texas</v>
      </c>
      <c r="E15266" s="111" t="str">
        <f t="shared" si="15264"/>
        <v>Fredericksburg</v>
      </c>
    </row>
    <row r="15267" spans="1:5">
      <c r="A15267" s="110" t="s">
        <v>26732</v>
      </c>
      <c r="B15267" s="110" t="s">
        <v>1373</v>
      </c>
      <c r="C15267" s="111" t="s">
        <v>9246</v>
      </c>
      <c r="D15267" s="111" t="str">
        <f t="shared" ref="D15267:E15267" si="15265">TRIM(B15267)</f>
        <v>Texas</v>
      </c>
      <c r="E15267" s="111" t="str">
        <f t="shared" si="15265"/>
        <v>Freeport</v>
      </c>
    </row>
    <row r="15268" spans="1:5">
      <c r="A15268" s="110" t="s">
        <v>26733</v>
      </c>
      <c r="B15268" s="110" t="s">
        <v>1373</v>
      </c>
      <c r="C15268" s="111" t="s">
        <v>9246</v>
      </c>
      <c r="D15268" s="111" t="str">
        <f t="shared" ref="D15268:E15268" si="15266">TRIM(B15268)</f>
        <v>Texas</v>
      </c>
      <c r="E15268" s="111" t="str">
        <f t="shared" si="15266"/>
        <v>Freeport</v>
      </c>
    </row>
    <row r="15269" spans="1:5">
      <c r="A15269" s="110" t="s">
        <v>26734</v>
      </c>
      <c r="B15269" s="110" t="s">
        <v>1373</v>
      </c>
      <c r="C15269" s="111" t="s">
        <v>9246</v>
      </c>
      <c r="D15269" s="111" t="str">
        <f t="shared" ref="D15269:E15269" si="15267">TRIM(B15269)</f>
        <v>Texas</v>
      </c>
      <c r="E15269" s="111" t="str">
        <f t="shared" si="15267"/>
        <v>Freeport</v>
      </c>
    </row>
    <row r="15270" spans="1:5">
      <c r="A15270" s="110" t="s">
        <v>26735</v>
      </c>
      <c r="B15270" s="110" t="s">
        <v>1373</v>
      </c>
      <c r="C15270" s="111" t="s">
        <v>26736</v>
      </c>
      <c r="D15270" s="111" t="str">
        <f t="shared" ref="D15270:E15270" si="15268">TRIM(B15270)</f>
        <v>Texas</v>
      </c>
      <c r="E15270" s="111" t="str">
        <f t="shared" si="15268"/>
        <v>Freer</v>
      </c>
    </row>
    <row r="15271" spans="1:5">
      <c r="A15271" s="110" t="s">
        <v>26737</v>
      </c>
      <c r="B15271" s="110" t="s">
        <v>1373</v>
      </c>
      <c r="C15271" s="111" t="s">
        <v>26738</v>
      </c>
      <c r="D15271" s="111" t="str">
        <f t="shared" ref="D15271:E15271" si="15269">TRIM(B15271)</f>
        <v>Texas</v>
      </c>
      <c r="E15271" s="111" t="str">
        <f t="shared" si="15269"/>
        <v>Friendswood</v>
      </c>
    </row>
    <row r="15272" spans="1:5">
      <c r="A15272" s="110" t="s">
        <v>26739</v>
      </c>
      <c r="B15272" s="110" t="s">
        <v>1373</v>
      </c>
      <c r="C15272" s="111" t="s">
        <v>26738</v>
      </c>
      <c r="D15272" s="111" t="str">
        <f t="shared" ref="D15272:E15272" si="15270">TRIM(B15272)</f>
        <v>Texas</v>
      </c>
      <c r="E15272" s="111" t="str">
        <f t="shared" si="15270"/>
        <v>Friendswood</v>
      </c>
    </row>
    <row r="15273" spans="1:5">
      <c r="A15273" s="110" t="s">
        <v>26740</v>
      </c>
      <c r="B15273" s="110" t="s">
        <v>1373</v>
      </c>
      <c r="C15273" s="111" t="s">
        <v>26741</v>
      </c>
      <c r="D15273" s="111" t="str">
        <f t="shared" ref="D15273:E15273" si="15271">TRIM(B15273)</f>
        <v>Texas</v>
      </c>
      <c r="E15273" s="111" t="str">
        <f t="shared" si="15271"/>
        <v>Friona</v>
      </c>
    </row>
    <row r="15274" spans="1:5">
      <c r="A15274" s="110" t="s">
        <v>26742</v>
      </c>
      <c r="B15274" s="110" t="s">
        <v>1373</v>
      </c>
      <c r="C15274" s="111" t="s">
        <v>7923</v>
      </c>
      <c r="D15274" s="111" t="str">
        <f t="shared" ref="D15274:E15274" si="15272">TRIM(B15274)</f>
        <v>Texas</v>
      </c>
      <c r="E15274" s="111" t="str">
        <f t="shared" si="15272"/>
        <v>Frisco</v>
      </c>
    </row>
    <row r="15275" spans="1:5">
      <c r="A15275" s="110" t="s">
        <v>26743</v>
      </c>
      <c r="B15275" s="110" t="s">
        <v>1373</v>
      </c>
      <c r="C15275" s="111" t="s">
        <v>7923</v>
      </c>
      <c r="D15275" s="111" t="str">
        <f t="shared" ref="D15275:E15275" si="15273">TRIM(B15275)</f>
        <v>Texas</v>
      </c>
      <c r="E15275" s="111" t="str">
        <f t="shared" si="15273"/>
        <v>Frisco</v>
      </c>
    </row>
    <row r="15276" spans="1:5">
      <c r="A15276" s="110" t="s">
        <v>26744</v>
      </c>
      <c r="B15276" s="110" t="s">
        <v>1373</v>
      </c>
      <c r="C15276" s="111" t="s">
        <v>7923</v>
      </c>
      <c r="D15276" s="111" t="str">
        <f t="shared" ref="D15276:E15276" si="15274">TRIM(B15276)</f>
        <v>Texas</v>
      </c>
      <c r="E15276" s="111" t="str">
        <f t="shared" si="15274"/>
        <v>Frisco</v>
      </c>
    </row>
    <row r="15277" spans="1:5">
      <c r="A15277" s="110" t="s">
        <v>26745</v>
      </c>
      <c r="B15277" s="110" t="s">
        <v>1373</v>
      </c>
      <c r="C15277" s="111" t="s">
        <v>7923</v>
      </c>
      <c r="D15277" s="111" t="str">
        <f t="shared" ref="D15277:E15277" si="15275">TRIM(B15277)</f>
        <v>Texas</v>
      </c>
      <c r="E15277" s="111" t="str">
        <f t="shared" si="15275"/>
        <v>Frisco</v>
      </c>
    </row>
    <row r="15278" spans="1:5">
      <c r="A15278" s="110" t="s">
        <v>26746</v>
      </c>
      <c r="B15278" s="110" t="s">
        <v>1373</v>
      </c>
      <c r="C15278" s="111" t="s">
        <v>7923</v>
      </c>
      <c r="D15278" s="111" t="str">
        <f t="shared" ref="D15278:E15278" si="15276">TRIM(B15278)</f>
        <v>Texas</v>
      </c>
      <c r="E15278" s="111" t="str">
        <f t="shared" si="15276"/>
        <v>Frisco</v>
      </c>
    </row>
    <row r="15279" spans="1:5">
      <c r="A15279" s="110" t="s">
        <v>26747</v>
      </c>
      <c r="B15279" s="110" t="s">
        <v>1373</v>
      </c>
      <c r="C15279" s="111" t="s">
        <v>7923</v>
      </c>
      <c r="D15279" s="111" t="str">
        <f t="shared" ref="D15279:E15279" si="15277">TRIM(B15279)</f>
        <v>Texas</v>
      </c>
      <c r="E15279" s="111" t="str">
        <f t="shared" si="15277"/>
        <v>Frisco</v>
      </c>
    </row>
    <row r="15280" spans="1:5">
      <c r="A15280" s="110" t="s">
        <v>26748</v>
      </c>
      <c r="B15280" s="110" t="s">
        <v>1373</v>
      </c>
      <c r="C15280" s="111" t="s">
        <v>7923</v>
      </c>
      <c r="D15280" s="111" t="str">
        <f t="shared" ref="D15280:E15280" si="15278">TRIM(B15280)</f>
        <v>Texas</v>
      </c>
      <c r="E15280" s="111" t="str">
        <f t="shared" si="15278"/>
        <v>Frisco</v>
      </c>
    </row>
    <row r="15281" spans="1:5">
      <c r="A15281" s="110" t="s">
        <v>26749</v>
      </c>
      <c r="B15281" s="110" t="s">
        <v>1373</v>
      </c>
      <c r="C15281" s="111" t="s">
        <v>7923</v>
      </c>
      <c r="D15281" s="111" t="str">
        <f t="shared" ref="D15281:E15281" si="15279">TRIM(B15281)</f>
        <v>Texas</v>
      </c>
      <c r="E15281" s="111" t="str">
        <f t="shared" si="15279"/>
        <v>Frisco</v>
      </c>
    </row>
    <row r="15282" spans="1:5">
      <c r="A15282" s="110" t="s">
        <v>26750</v>
      </c>
      <c r="B15282" s="110" t="s">
        <v>1373</v>
      </c>
      <c r="C15282" s="111" t="s">
        <v>7923</v>
      </c>
      <c r="D15282" s="111" t="str">
        <f t="shared" ref="D15282:E15282" si="15280">TRIM(B15282)</f>
        <v>Texas</v>
      </c>
      <c r="E15282" s="111" t="str">
        <f t="shared" si="15280"/>
        <v>Frisco</v>
      </c>
    </row>
    <row r="15283" spans="1:5">
      <c r="A15283" s="110" t="s">
        <v>26751</v>
      </c>
      <c r="B15283" s="110" t="s">
        <v>1373</v>
      </c>
      <c r="C15283" s="111" t="s">
        <v>7923</v>
      </c>
      <c r="D15283" s="111" t="str">
        <f t="shared" ref="D15283:E15283" si="15281">TRIM(B15283)</f>
        <v>Texas</v>
      </c>
      <c r="E15283" s="111" t="str">
        <f t="shared" si="15281"/>
        <v>Frisco</v>
      </c>
    </row>
    <row r="15284" spans="1:5">
      <c r="A15284" s="110" t="s">
        <v>26752</v>
      </c>
      <c r="B15284" s="110" t="s">
        <v>1373</v>
      </c>
      <c r="C15284" s="111" t="s">
        <v>26753</v>
      </c>
      <c r="D15284" s="111" t="str">
        <f t="shared" ref="D15284:E15284" si="15282">TRIM(B15284)</f>
        <v>Texas</v>
      </c>
      <c r="E15284" s="111" t="str">
        <f t="shared" si="15282"/>
        <v>Fritch</v>
      </c>
    </row>
    <row r="15285" spans="1:5">
      <c r="A15285" s="110" t="s">
        <v>26754</v>
      </c>
      <c r="B15285" s="110" t="s">
        <v>1373</v>
      </c>
      <c r="C15285" s="111" t="s">
        <v>26755</v>
      </c>
      <c r="D15285" s="111" t="str">
        <f t="shared" ref="D15285:E15285" si="15283">TRIM(B15285)</f>
        <v>Texas</v>
      </c>
      <c r="E15285" s="111" t="str">
        <f t="shared" si="15283"/>
        <v>Frost</v>
      </c>
    </row>
    <row r="15286" spans="1:5">
      <c r="A15286" s="110" t="s">
        <v>26756</v>
      </c>
      <c r="B15286" s="110" t="s">
        <v>1373</v>
      </c>
      <c r="C15286" s="111" t="s">
        <v>26757</v>
      </c>
      <c r="D15286" s="111" t="str">
        <f t="shared" ref="D15286:E15286" si="15284">TRIM(B15286)</f>
        <v>Texas</v>
      </c>
      <c r="E15286" s="111" t="str">
        <f t="shared" si="15284"/>
        <v>Fruitvale</v>
      </c>
    </row>
    <row r="15287" spans="1:5">
      <c r="A15287" s="110" t="s">
        <v>26758</v>
      </c>
      <c r="B15287" s="110" t="s">
        <v>1373</v>
      </c>
      <c r="C15287" s="111" t="s">
        <v>26759</v>
      </c>
      <c r="D15287" s="111" t="str">
        <f t="shared" ref="D15287:E15287" si="15285">TRIM(B15287)</f>
        <v>Texas</v>
      </c>
      <c r="E15287" s="111" t="str">
        <f t="shared" si="15285"/>
        <v>Fulshear</v>
      </c>
    </row>
    <row r="15288" spans="1:5">
      <c r="A15288" s="110" t="s">
        <v>26760</v>
      </c>
      <c r="B15288" s="110" t="s">
        <v>1373</v>
      </c>
      <c r="C15288" s="111" t="s">
        <v>291</v>
      </c>
      <c r="D15288" s="111" t="str">
        <f t="shared" ref="D15288:E15288" si="15286">TRIM(B15288)</f>
        <v>Texas</v>
      </c>
      <c r="E15288" s="111" t="str">
        <f t="shared" si="15286"/>
        <v>Gainesville</v>
      </c>
    </row>
    <row r="15289" spans="1:5">
      <c r="A15289" s="110" t="s">
        <v>26761</v>
      </c>
      <c r="B15289" s="110" t="s">
        <v>1373</v>
      </c>
      <c r="C15289" s="111" t="s">
        <v>291</v>
      </c>
      <c r="D15289" s="111" t="str">
        <f t="shared" ref="D15289:E15289" si="15287">TRIM(B15289)</f>
        <v>Texas</v>
      </c>
      <c r="E15289" s="111" t="str">
        <f t="shared" si="15287"/>
        <v>Gainesville</v>
      </c>
    </row>
    <row r="15290" spans="1:5">
      <c r="A15290" s="110" t="s">
        <v>26762</v>
      </c>
      <c r="B15290" s="110" t="s">
        <v>1373</v>
      </c>
      <c r="C15290" s="111" t="s">
        <v>26763</v>
      </c>
      <c r="D15290" s="111" t="str">
        <f t="shared" ref="D15290:E15290" si="15288">TRIM(B15290)</f>
        <v>Texas</v>
      </c>
      <c r="E15290" s="111" t="str">
        <f t="shared" si="15288"/>
        <v>Galena Park</v>
      </c>
    </row>
    <row r="15291" spans="1:5">
      <c r="A15291" s="110" t="s">
        <v>26764</v>
      </c>
      <c r="B15291" s="110" t="s">
        <v>1373</v>
      </c>
      <c r="C15291" s="111" t="s">
        <v>13723</v>
      </c>
      <c r="D15291" s="111" t="str">
        <f t="shared" ref="D15291:E15291" si="15289">TRIM(B15291)</f>
        <v>Texas</v>
      </c>
      <c r="E15291" s="111" t="str">
        <f t="shared" si="15289"/>
        <v>Galveston</v>
      </c>
    </row>
    <row r="15292" spans="1:5">
      <c r="A15292" s="110" t="s">
        <v>26765</v>
      </c>
      <c r="B15292" s="110" t="s">
        <v>1373</v>
      </c>
      <c r="C15292" s="111" t="s">
        <v>2642</v>
      </c>
      <c r="D15292" s="111" t="str">
        <f t="shared" ref="D15292:E15292" si="15290">TRIM(B15292)</f>
        <v>Texas</v>
      </c>
      <c r="E15292" s="111" t="str">
        <f t="shared" si="15290"/>
        <v>Ganado</v>
      </c>
    </row>
    <row r="15293" spans="1:5">
      <c r="A15293" s="110" t="s">
        <v>26766</v>
      </c>
      <c r="B15293" s="110" t="s">
        <v>1373</v>
      </c>
      <c r="C15293" s="111" t="s">
        <v>15272</v>
      </c>
      <c r="D15293" s="111" t="str">
        <f t="shared" ref="D15293:E15293" si="15291">TRIM(B15293)</f>
        <v>Texas</v>
      </c>
      <c r="E15293" s="111" t="str">
        <f t="shared" si="15291"/>
        <v>Garden City</v>
      </c>
    </row>
    <row r="15294" spans="1:5">
      <c r="A15294" s="110" t="s">
        <v>26767</v>
      </c>
      <c r="B15294" s="110" t="s">
        <v>1373</v>
      </c>
      <c r="C15294" s="111" t="s">
        <v>13619</v>
      </c>
      <c r="D15294" s="111" t="str">
        <f t="shared" ref="D15294:E15294" si="15292">TRIM(B15294)</f>
        <v>Texas</v>
      </c>
      <c r="E15294" s="111" t="str">
        <f t="shared" si="15292"/>
        <v>Garland</v>
      </c>
    </row>
    <row r="15295" spans="1:5">
      <c r="A15295" s="110" t="s">
        <v>26768</v>
      </c>
      <c r="B15295" s="110" t="s">
        <v>1373</v>
      </c>
      <c r="C15295" s="111" t="s">
        <v>13619</v>
      </c>
      <c r="D15295" s="111" t="str">
        <f t="shared" ref="D15295:E15295" si="15293">TRIM(B15295)</f>
        <v>Texas</v>
      </c>
      <c r="E15295" s="111" t="str">
        <f t="shared" si="15293"/>
        <v>Garland</v>
      </c>
    </row>
    <row r="15296" spans="1:5">
      <c r="A15296" s="110" t="s">
        <v>26769</v>
      </c>
      <c r="B15296" s="110" t="s">
        <v>1373</v>
      </c>
      <c r="C15296" s="111" t="s">
        <v>13619</v>
      </c>
      <c r="D15296" s="111" t="str">
        <f t="shared" ref="D15296:E15296" si="15294">TRIM(B15296)</f>
        <v>Texas</v>
      </c>
      <c r="E15296" s="111" t="str">
        <f t="shared" si="15294"/>
        <v>Garland</v>
      </c>
    </row>
    <row r="15297" spans="1:5">
      <c r="A15297" s="110" t="s">
        <v>26770</v>
      </c>
      <c r="B15297" s="110" t="s">
        <v>1373</v>
      </c>
      <c r="C15297" s="111" t="s">
        <v>13619</v>
      </c>
      <c r="D15297" s="111" t="str">
        <f t="shared" ref="D15297:E15297" si="15295">TRIM(B15297)</f>
        <v>Texas</v>
      </c>
      <c r="E15297" s="111" t="str">
        <f t="shared" si="15295"/>
        <v>Garland</v>
      </c>
    </row>
    <row r="15298" spans="1:5">
      <c r="A15298" s="110" t="s">
        <v>26771</v>
      </c>
      <c r="B15298" s="110" t="s">
        <v>1373</v>
      </c>
      <c r="C15298" s="111" t="s">
        <v>13619</v>
      </c>
      <c r="D15298" s="111" t="str">
        <f t="shared" ref="D15298:E15298" si="15296">TRIM(B15298)</f>
        <v>Texas</v>
      </c>
      <c r="E15298" s="111" t="str">
        <f t="shared" si="15296"/>
        <v>Garland</v>
      </c>
    </row>
    <row r="15299" spans="1:5">
      <c r="A15299" s="110" t="s">
        <v>26772</v>
      </c>
      <c r="B15299" s="110" t="s">
        <v>1373</v>
      </c>
      <c r="C15299" s="111" t="s">
        <v>13619</v>
      </c>
      <c r="D15299" s="111" t="str">
        <f t="shared" ref="D15299:E15299" si="15297">TRIM(B15299)</f>
        <v>Texas</v>
      </c>
      <c r="E15299" s="111" t="str">
        <f t="shared" si="15297"/>
        <v>Garland</v>
      </c>
    </row>
    <row r="15300" spans="1:5">
      <c r="A15300" s="110" t="s">
        <v>26773</v>
      </c>
      <c r="B15300" s="110" t="s">
        <v>1373</v>
      </c>
      <c r="C15300" s="111" t="s">
        <v>13619</v>
      </c>
      <c r="D15300" s="111" t="str">
        <f t="shared" ref="D15300:E15300" si="15298">TRIM(B15300)</f>
        <v>Texas</v>
      </c>
      <c r="E15300" s="111" t="str">
        <f t="shared" si="15298"/>
        <v>Garland</v>
      </c>
    </row>
    <row r="15301" spans="1:5">
      <c r="A15301" s="110" t="s">
        <v>26774</v>
      </c>
      <c r="B15301" s="110" t="s">
        <v>1373</v>
      </c>
      <c r="C15301" s="111" t="s">
        <v>22611</v>
      </c>
      <c r="D15301" s="111" t="str">
        <f t="shared" ref="D15301:E15301" si="15299">TRIM(B15301)</f>
        <v>Texas</v>
      </c>
      <c r="E15301" s="111" t="str">
        <f t="shared" si="15299"/>
        <v>Garrison</v>
      </c>
    </row>
    <row r="15302" spans="1:5">
      <c r="A15302" s="110" t="s">
        <v>26775</v>
      </c>
      <c r="B15302" s="110" t="s">
        <v>1373</v>
      </c>
      <c r="C15302" s="111" t="s">
        <v>22177</v>
      </c>
      <c r="D15302" s="111" t="str">
        <f t="shared" ref="D15302:E15302" si="15300">TRIM(B15302)</f>
        <v>Texas</v>
      </c>
      <c r="E15302" s="111" t="str">
        <f t="shared" si="15300"/>
        <v>Gatesville</v>
      </c>
    </row>
    <row r="15303" spans="1:5">
      <c r="A15303" s="110" t="s">
        <v>26776</v>
      </c>
      <c r="B15303" s="110" t="s">
        <v>1373</v>
      </c>
      <c r="C15303" s="111" t="s">
        <v>26777</v>
      </c>
      <c r="D15303" s="111" t="str">
        <f t="shared" ref="D15303:E15303" si="15301">TRIM(B15303)</f>
        <v>Texas</v>
      </c>
      <c r="E15303" s="111" t="str">
        <f t="shared" si="15301"/>
        <v>George West</v>
      </c>
    </row>
    <row r="15304" spans="1:5">
      <c r="A15304" s="110" t="s">
        <v>26778</v>
      </c>
      <c r="B15304" s="110" t="s">
        <v>1373</v>
      </c>
      <c r="C15304" s="111" t="s">
        <v>8818</v>
      </c>
      <c r="D15304" s="111" t="str">
        <f t="shared" ref="D15304:E15304" si="15302">TRIM(B15304)</f>
        <v>Texas</v>
      </c>
      <c r="E15304" s="111" t="str">
        <f t="shared" si="15302"/>
        <v>Georgetown</v>
      </c>
    </row>
    <row r="15305" spans="1:5">
      <c r="A15305" s="110" t="s">
        <v>26779</v>
      </c>
      <c r="B15305" s="110" t="s">
        <v>1373</v>
      </c>
      <c r="C15305" s="111" t="s">
        <v>8818</v>
      </c>
      <c r="D15305" s="111" t="str">
        <f t="shared" ref="D15305:E15305" si="15303">TRIM(B15305)</f>
        <v>Texas</v>
      </c>
      <c r="E15305" s="111" t="str">
        <f t="shared" si="15303"/>
        <v>Georgetown</v>
      </c>
    </row>
    <row r="15306" spans="1:5">
      <c r="A15306" s="110" t="s">
        <v>26780</v>
      </c>
      <c r="B15306" s="110" t="s">
        <v>1373</v>
      </c>
      <c r="C15306" s="111" t="s">
        <v>26781</v>
      </c>
      <c r="D15306" s="111" t="str">
        <f t="shared" ref="D15306:E15306" si="15304">TRIM(B15306)</f>
        <v>Texas</v>
      </c>
      <c r="E15306" s="111" t="str">
        <f t="shared" si="15304"/>
        <v>Giddings</v>
      </c>
    </row>
    <row r="15307" spans="1:5">
      <c r="A15307" s="110" t="s">
        <v>26782</v>
      </c>
      <c r="B15307" s="110" t="s">
        <v>1373</v>
      </c>
      <c r="C15307" s="111" t="s">
        <v>26781</v>
      </c>
      <c r="D15307" s="111" t="str">
        <f t="shared" ref="D15307:E15307" si="15305">TRIM(B15307)</f>
        <v>Texas</v>
      </c>
      <c r="E15307" s="111" t="str">
        <f t="shared" si="15305"/>
        <v>Giddings</v>
      </c>
    </row>
    <row r="15308" spans="1:5">
      <c r="A15308" s="110" t="s">
        <v>26783</v>
      </c>
      <c r="B15308" s="110" t="s">
        <v>1373</v>
      </c>
      <c r="C15308" s="111" t="s">
        <v>26784</v>
      </c>
      <c r="D15308" s="111" t="str">
        <f t="shared" ref="D15308:E15308" si="15306">TRIM(B15308)</f>
        <v>Texas</v>
      </c>
      <c r="E15308" s="111" t="str">
        <f t="shared" si="15306"/>
        <v>Gilmer</v>
      </c>
    </row>
    <row r="15309" spans="1:5">
      <c r="A15309" s="110" t="s">
        <v>26785</v>
      </c>
      <c r="B15309" s="110" t="s">
        <v>1373</v>
      </c>
      <c r="C15309" s="111" t="s">
        <v>26784</v>
      </c>
      <c r="D15309" s="111" t="str">
        <f t="shared" ref="D15309:E15309" si="15307">TRIM(B15309)</f>
        <v>Texas</v>
      </c>
      <c r="E15309" s="111" t="str">
        <f t="shared" si="15307"/>
        <v>Gilmer</v>
      </c>
    </row>
    <row r="15310" spans="1:5">
      <c r="A15310" s="110" t="s">
        <v>26786</v>
      </c>
      <c r="B15310" s="110" t="s">
        <v>1373</v>
      </c>
      <c r="C15310" s="111" t="s">
        <v>26787</v>
      </c>
      <c r="D15310" s="111" t="str">
        <f t="shared" ref="D15310:E15310" si="15308">TRIM(B15310)</f>
        <v>Texas</v>
      </c>
      <c r="E15310" s="111" t="str">
        <f t="shared" si="15308"/>
        <v>Gladewater</v>
      </c>
    </row>
    <row r="15311" spans="1:5">
      <c r="A15311" s="110" t="s">
        <v>26788</v>
      </c>
      <c r="B15311" s="110" t="s">
        <v>1373</v>
      </c>
      <c r="C15311" s="111" t="s">
        <v>26787</v>
      </c>
      <c r="D15311" s="111" t="str">
        <f t="shared" ref="D15311:E15311" si="15309">TRIM(B15311)</f>
        <v>Texas</v>
      </c>
      <c r="E15311" s="111" t="str">
        <f t="shared" si="15309"/>
        <v>Gladewater</v>
      </c>
    </row>
    <row r="15312" spans="1:5">
      <c r="A15312" s="110" t="s">
        <v>26789</v>
      </c>
      <c r="B15312" s="110" t="s">
        <v>1373</v>
      </c>
      <c r="C15312" s="111" t="s">
        <v>26787</v>
      </c>
      <c r="D15312" s="111" t="str">
        <f t="shared" ref="D15312:E15312" si="15310">TRIM(B15312)</f>
        <v>Texas</v>
      </c>
      <c r="E15312" s="111" t="str">
        <f t="shared" si="15310"/>
        <v>Gladewater</v>
      </c>
    </row>
    <row r="15313" spans="1:5">
      <c r="A15313" s="110" t="s">
        <v>26790</v>
      </c>
      <c r="B15313" s="110" t="s">
        <v>1373</v>
      </c>
      <c r="C15313" s="111" t="s">
        <v>26791</v>
      </c>
      <c r="D15313" s="111" t="str">
        <f t="shared" ref="D15313:E15313" si="15311">TRIM(B15313)</f>
        <v>Texas</v>
      </c>
      <c r="E15313" s="111" t="str">
        <f t="shared" si="15311"/>
        <v>Glen Rose</v>
      </c>
    </row>
    <row r="15314" spans="1:5">
      <c r="A15314" s="110" t="s">
        <v>26792</v>
      </c>
      <c r="B15314" s="110" t="s">
        <v>1373</v>
      </c>
      <c r="C15314" s="111" t="s">
        <v>26793</v>
      </c>
      <c r="D15314" s="111" t="str">
        <f t="shared" ref="D15314:E15314" si="15312">TRIM(B15314)</f>
        <v>Texas</v>
      </c>
      <c r="E15314" s="111" t="str">
        <f t="shared" si="15312"/>
        <v>Godley</v>
      </c>
    </row>
    <row r="15315" spans="1:5">
      <c r="A15315" s="110" t="s">
        <v>26794</v>
      </c>
      <c r="B15315" s="110" t="s">
        <v>1373</v>
      </c>
      <c r="C15315" s="111" t="s">
        <v>26795</v>
      </c>
      <c r="D15315" s="111" t="str">
        <f t="shared" ref="D15315:E15315" si="15313">TRIM(B15315)</f>
        <v>Texas</v>
      </c>
      <c r="E15315" s="111" t="str">
        <f t="shared" si="15313"/>
        <v>Goldthwaite</v>
      </c>
    </row>
    <row r="15316" spans="1:5">
      <c r="A15316" s="110" t="s">
        <v>26796</v>
      </c>
      <c r="B15316" s="110" t="s">
        <v>1373</v>
      </c>
      <c r="C15316" s="111" t="s">
        <v>26797</v>
      </c>
      <c r="D15316" s="111" t="str">
        <f t="shared" ref="D15316:E15316" si="15314">TRIM(B15316)</f>
        <v>Texas</v>
      </c>
      <c r="E15316" s="111" t="str">
        <f t="shared" si="15314"/>
        <v>Goliad</v>
      </c>
    </row>
    <row r="15317" spans="1:5">
      <c r="A15317" s="110" t="s">
        <v>26798</v>
      </c>
      <c r="B15317" s="110" t="s">
        <v>1373</v>
      </c>
      <c r="C15317" s="111" t="s">
        <v>5163</v>
      </c>
      <c r="D15317" s="111" t="str">
        <f t="shared" ref="D15317:E15317" si="15315">TRIM(B15317)</f>
        <v>Texas</v>
      </c>
      <c r="E15317" s="111" t="str">
        <f t="shared" si="15315"/>
        <v>Gonzales</v>
      </c>
    </row>
    <row r="15318" spans="1:5">
      <c r="A15318" s="110" t="s">
        <v>26799</v>
      </c>
      <c r="B15318" s="110" t="s">
        <v>1373</v>
      </c>
      <c r="C15318" s="111" t="s">
        <v>7033</v>
      </c>
      <c r="D15318" s="111" t="str">
        <f t="shared" ref="D15318:E15318" si="15316">TRIM(B15318)</f>
        <v>Texas</v>
      </c>
      <c r="E15318" s="111" t="str">
        <f t="shared" si="15316"/>
        <v>Goodrich</v>
      </c>
    </row>
    <row r="15319" spans="1:5">
      <c r="A15319" s="110" t="s">
        <v>26800</v>
      </c>
      <c r="B15319" s="110" t="s">
        <v>1373</v>
      </c>
      <c r="C15319" s="111" t="s">
        <v>26801</v>
      </c>
      <c r="D15319" s="111" t="str">
        <f t="shared" ref="D15319:E15319" si="15317">TRIM(B15319)</f>
        <v>Texas</v>
      </c>
      <c r="E15319" s="111" t="str">
        <f t="shared" si="15317"/>
        <v>Gorman</v>
      </c>
    </row>
    <row r="15320" spans="1:5">
      <c r="A15320" s="110" t="s">
        <v>26802</v>
      </c>
      <c r="B15320" s="110" t="s">
        <v>1373</v>
      </c>
      <c r="C15320" s="111" t="s">
        <v>26803</v>
      </c>
      <c r="D15320" s="111" t="str">
        <f t="shared" ref="D15320:E15320" si="15318">TRIM(B15320)</f>
        <v>Texas</v>
      </c>
      <c r="E15320" s="111" t="str">
        <f t="shared" si="15318"/>
        <v>Graford</v>
      </c>
    </row>
    <row r="15321" spans="1:5">
      <c r="A15321" s="110" t="s">
        <v>26804</v>
      </c>
      <c r="B15321" s="110" t="s">
        <v>1373</v>
      </c>
      <c r="C15321" s="111" t="s">
        <v>18797</v>
      </c>
      <c r="D15321" s="111" t="str">
        <f t="shared" ref="D15321:E15321" si="15319">TRIM(B15321)</f>
        <v>Texas</v>
      </c>
      <c r="E15321" s="111" t="str">
        <f t="shared" si="15319"/>
        <v>Graham</v>
      </c>
    </row>
    <row r="15322" spans="1:5">
      <c r="A15322" s="110" t="s">
        <v>26805</v>
      </c>
      <c r="B15322" s="110" t="s">
        <v>1373</v>
      </c>
      <c r="C15322" s="111" t="s">
        <v>13719</v>
      </c>
      <c r="D15322" s="111" t="str">
        <f t="shared" ref="D15322:E15322" si="15320">TRIM(B15322)</f>
        <v>Texas</v>
      </c>
      <c r="E15322" s="111" t="str">
        <f t="shared" si="15320"/>
        <v>Granbury</v>
      </c>
    </row>
    <row r="15323" spans="1:5">
      <c r="A15323" s="110" t="s">
        <v>26806</v>
      </c>
      <c r="B15323" s="110" t="s">
        <v>1373</v>
      </c>
      <c r="C15323" s="111" t="s">
        <v>118</v>
      </c>
      <c r="D15323" s="111" t="str">
        <f t="shared" ref="D15323:E15323" si="15321">TRIM(B15323)</f>
        <v>Texas</v>
      </c>
      <c r="E15323" s="111" t="str">
        <f t="shared" si="15321"/>
        <v>Grand Prairie</v>
      </c>
    </row>
    <row r="15324" spans="1:5">
      <c r="A15324" s="3" t="s">
        <v>26807</v>
      </c>
      <c r="B15324" s="110" t="s">
        <v>1373</v>
      </c>
      <c r="C15324" s="111" t="s">
        <v>118</v>
      </c>
      <c r="D15324" s="111" t="str">
        <f t="shared" ref="D15324:E15324" si="15322">TRIM(B15324)</f>
        <v>Texas</v>
      </c>
      <c r="E15324" s="111" t="str">
        <f t="shared" si="15322"/>
        <v>Grand Prairie</v>
      </c>
    </row>
    <row r="15325" spans="1:5">
      <c r="A15325" s="110" t="s">
        <v>26808</v>
      </c>
      <c r="B15325" s="110" t="s">
        <v>1373</v>
      </c>
      <c r="C15325" s="111" t="s">
        <v>118</v>
      </c>
      <c r="D15325" s="111" t="str">
        <f t="shared" ref="D15325:E15325" si="15323">TRIM(B15325)</f>
        <v>Texas</v>
      </c>
      <c r="E15325" s="111" t="str">
        <f t="shared" si="15323"/>
        <v>Grand Prairie</v>
      </c>
    </row>
    <row r="15326" spans="1:5">
      <c r="A15326" s="110" t="s">
        <v>26809</v>
      </c>
      <c r="B15326" s="110" t="s">
        <v>1373</v>
      </c>
      <c r="C15326" s="111" t="s">
        <v>118</v>
      </c>
      <c r="D15326" s="111" t="str">
        <f t="shared" ref="D15326:E15326" si="15324">TRIM(B15326)</f>
        <v>Texas</v>
      </c>
      <c r="E15326" s="111" t="str">
        <f t="shared" si="15324"/>
        <v>Grand Prairie</v>
      </c>
    </row>
    <row r="15327" spans="1:5">
      <c r="A15327" s="110" t="s">
        <v>26810</v>
      </c>
      <c r="B15327" s="110" t="s">
        <v>1373</v>
      </c>
      <c r="C15327" s="111" t="s">
        <v>118</v>
      </c>
      <c r="D15327" s="111" t="str">
        <f t="shared" ref="D15327:E15327" si="15325">TRIM(B15327)</f>
        <v>Texas</v>
      </c>
      <c r="E15327" s="111" t="str">
        <f t="shared" si="15325"/>
        <v>Grand Prairie</v>
      </c>
    </row>
    <row r="15328" spans="1:5">
      <c r="A15328" s="110" t="s">
        <v>26811</v>
      </c>
      <c r="B15328" s="110" t="s">
        <v>1373</v>
      </c>
      <c r="C15328" s="111" t="s">
        <v>118</v>
      </c>
      <c r="D15328" s="111" t="str">
        <f t="shared" ref="D15328:E15328" si="15326">TRIM(B15328)</f>
        <v>Texas</v>
      </c>
      <c r="E15328" s="111" t="str">
        <f t="shared" si="15326"/>
        <v>Grand Prairie</v>
      </c>
    </row>
    <row r="15329" spans="1:5">
      <c r="A15329" s="110" t="s">
        <v>26812</v>
      </c>
      <c r="B15329" s="110" t="s">
        <v>1373</v>
      </c>
      <c r="C15329" s="111" t="s">
        <v>118</v>
      </c>
      <c r="D15329" s="111" t="str">
        <f t="shared" ref="D15329:E15329" si="15327">TRIM(B15329)</f>
        <v>Texas</v>
      </c>
      <c r="E15329" s="111" t="str">
        <f t="shared" si="15327"/>
        <v>Grand Prairie</v>
      </c>
    </row>
    <row r="15330" spans="1:5">
      <c r="A15330" s="110" t="s">
        <v>26813</v>
      </c>
      <c r="B15330" s="110" t="s">
        <v>1373</v>
      </c>
      <c r="C15330" s="111" t="s">
        <v>26814</v>
      </c>
      <c r="D15330" s="111" t="str">
        <f t="shared" ref="D15330:E15330" si="15328">TRIM(B15330)</f>
        <v>Texas</v>
      </c>
      <c r="E15330" s="111" t="str">
        <f t="shared" si="15328"/>
        <v>Grand Saline</v>
      </c>
    </row>
    <row r="15331" spans="1:5">
      <c r="A15331" s="110" t="s">
        <v>26815</v>
      </c>
      <c r="B15331" s="110" t="s">
        <v>1373</v>
      </c>
      <c r="C15331" s="111" t="s">
        <v>5622</v>
      </c>
      <c r="D15331" s="111" t="str">
        <f t="shared" ref="D15331:E15331" si="15329">TRIM(B15331)</f>
        <v>Texas</v>
      </c>
      <c r="E15331" s="111" t="str">
        <f t="shared" si="15329"/>
        <v>Grandview</v>
      </c>
    </row>
    <row r="15332" spans="1:5">
      <c r="A15332" s="110" t="s">
        <v>26816</v>
      </c>
      <c r="B15332" s="110" t="s">
        <v>1373</v>
      </c>
      <c r="C15332" s="111" t="s">
        <v>26817</v>
      </c>
      <c r="D15332" s="111" t="str">
        <f t="shared" ref="D15332:E15332" si="15330">TRIM(B15332)</f>
        <v>Texas</v>
      </c>
      <c r="E15332" s="111" t="str">
        <f t="shared" si="15330"/>
        <v>Grapeland</v>
      </c>
    </row>
    <row r="15333" spans="1:5">
      <c r="A15333" s="110" t="s">
        <v>26818</v>
      </c>
      <c r="B15333" s="110" t="s">
        <v>1373</v>
      </c>
      <c r="C15333" s="111" t="s">
        <v>26819</v>
      </c>
      <c r="D15333" s="111" t="str">
        <f t="shared" ref="D15333:E15333" si="15331">TRIM(B15333)</f>
        <v>Texas</v>
      </c>
      <c r="E15333" s="111" t="str">
        <f t="shared" si="15331"/>
        <v>Grapevine</v>
      </c>
    </row>
    <row r="15334" spans="1:5">
      <c r="A15334" s="110" t="s">
        <v>26820</v>
      </c>
      <c r="B15334" s="110" t="s">
        <v>1373</v>
      </c>
      <c r="C15334" s="111" t="s">
        <v>26819</v>
      </c>
      <c r="D15334" s="111" t="str">
        <f t="shared" ref="D15334:E15334" si="15332">TRIM(B15334)</f>
        <v>Texas</v>
      </c>
      <c r="E15334" s="111" t="str">
        <f t="shared" si="15332"/>
        <v>Grapevine</v>
      </c>
    </row>
    <row r="15335" spans="1:5">
      <c r="A15335" s="110" t="s">
        <v>26821</v>
      </c>
      <c r="B15335" s="110" t="s">
        <v>1373</v>
      </c>
      <c r="C15335" s="111" t="s">
        <v>1804</v>
      </c>
      <c r="D15335" s="111" t="str">
        <f t="shared" ref="D15335:E15335" si="15333">TRIM(B15335)</f>
        <v>Texas</v>
      </c>
      <c r="E15335" s="111" t="str">
        <f t="shared" si="15333"/>
        <v>Greenville</v>
      </c>
    </row>
    <row r="15336" spans="1:5">
      <c r="A15336" s="110" t="s">
        <v>26822</v>
      </c>
      <c r="B15336" s="110" t="s">
        <v>1373</v>
      </c>
      <c r="C15336" s="111" t="s">
        <v>26823</v>
      </c>
      <c r="D15336" s="111" t="str">
        <f t="shared" ref="D15336:E15336" si="15334">TRIM(B15336)</f>
        <v>Texas</v>
      </c>
      <c r="E15336" s="111" t="str">
        <f t="shared" si="15334"/>
        <v>Groesbeck</v>
      </c>
    </row>
    <row r="15337" spans="1:5">
      <c r="A15337" s="110" t="s">
        <v>26824</v>
      </c>
      <c r="B15337" s="110" t="s">
        <v>1373</v>
      </c>
      <c r="C15337" s="111" t="s">
        <v>19947</v>
      </c>
      <c r="D15337" s="111" t="str">
        <f t="shared" ref="D15337:E15337" si="15335">TRIM(B15337)</f>
        <v>Texas</v>
      </c>
      <c r="E15337" s="111" t="str">
        <f t="shared" si="15335"/>
        <v>Groveton</v>
      </c>
    </row>
    <row r="15338" spans="1:5">
      <c r="A15338" s="110" t="s">
        <v>26825</v>
      </c>
      <c r="B15338" s="110" t="s">
        <v>1373</v>
      </c>
      <c r="C15338" s="112" t="s">
        <v>8548</v>
      </c>
      <c r="D15338" s="111" t="str">
        <f t="shared" ref="D15338:E15338" si="15336">TRIM(B15338)</f>
        <v>Texas</v>
      </c>
      <c r="E15338" s="111" t="str">
        <f t="shared" si="15336"/>
        <v>Gruver</v>
      </c>
    </row>
    <row r="15339" spans="1:5">
      <c r="A15339" s="110" t="s">
        <v>26826</v>
      </c>
      <c r="B15339" s="110" t="s">
        <v>1373</v>
      </c>
      <c r="C15339" s="111" t="s">
        <v>26827</v>
      </c>
      <c r="D15339" s="111" t="str">
        <f t="shared" ref="D15339:E15339" si="15337">TRIM(B15339)</f>
        <v>Texas</v>
      </c>
      <c r="E15339" s="111" t="str">
        <f t="shared" si="15337"/>
        <v>Gunter</v>
      </c>
    </row>
    <row r="15340" spans="1:5">
      <c r="A15340" s="110" t="s">
        <v>26828</v>
      </c>
      <c r="B15340" s="110" t="s">
        <v>1373</v>
      </c>
      <c r="C15340" s="111" t="s">
        <v>26829</v>
      </c>
      <c r="D15340" s="111" t="str">
        <f t="shared" ref="D15340:E15340" si="15338">TRIM(B15340)</f>
        <v>Texas</v>
      </c>
      <c r="E15340" s="111" t="str">
        <f t="shared" si="15338"/>
        <v>Hale Center</v>
      </c>
    </row>
    <row r="15341" spans="1:5">
      <c r="A15341" s="110" t="s">
        <v>26830</v>
      </c>
      <c r="B15341" s="110" t="s">
        <v>1373</v>
      </c>
      <c r="C15341" s="111" t="s">
        <v>26831</v>
      </c>
      <c r="D15341" s="111" t="str">
        <f t="shared" ref="D15341:E15341" si="15339">TRIM(B15341)</f>
        <v>Texas</v>
      </c>
      <c r="E15341" s="111" t="str">
        <f t="shared" si="15339"/>
        <v>Hallettsville</v>
      </c>
    </row>
    <row r="15342" spans="1:5">
      <c r="A15342" s="110" t="s">
        <v>26832</v>
      </c>
      <c r="B15342" s="110" t="s">
        <v>1373</v>
      </c>
      <c r="C15342" s="111" t="s">
        <v>18811</v>
      </c>
      <c r="D15342" s="111" t="str">
        <f t="shared" ref="D15342:E15342" si="15340">TRIM(B15342)</f>
        <v>Texas</v>
      </c>
      <c r="E15342" s="111" t="str">
        <f t="shared" si="15340"/>
        <v>Hallsville</v>
      </c>
    </row>
    <row r="15343" spans="1:5">
      <c r="A15343" s="110" t="s">
        <v>26833</v>
      </c>
      <c r="B15343" s="110" t="s">
        <v>1373</v>
      </c>
      <c r="C15343" s="111" t="s">
        <v>26834</v>
      </c>
      <c r="D15343" s="111" t="str">
        <f t="shared" ref="D15343:E15343" si="15341">TRIM(B15343)</f>
        <v>Texas</v>
      </c>
      <c r="E15343" s="111" t="str">
        <f t="shared" si="15341"/>
        <v>Haltom City</v>
      </c>
    </row>
    <row r="15344" spans="1:5">
      <c r="A15344" s="110" t="s">
        <v>26835</v>
      </c>
      <c r="B15344" s="110" t="s">
        <v>1373</v>
      </c>
      <c r="C15344" s="111" t="s">
        <v>344</v>
      </c>
      <c r="D15344" s="111" t="str">
        <f t="shared" ref="D15344:E15344" si="15342">TRIM(B15344)</f>
        <v>Texas</v>
      </c>
      <c r="E15344" s="111" t="str">
        <f t="shared" si="15342"/>
        <v>Hamilton</v>
      </c>
    </row>
    <row r="15345" spans="1:5">
      <c r="A15345" s="110" t="s">
        <v>26836</v>
      </c>
      <c r="B15345" s="110" t="s">
        <v>1373</v>
      </c>
      <c r="C15345" s="111" t="s">
        <v>26837</v>
      </c>
      <c r="D15345" s="111" t="str">
        <f t="shared" ref="D15345:E15345" si="15343">TRIM(B15345)</f>
        <v>Texas</v>
      </c>
      <c r="E15345" s="111" t="str">
        <f t="shared" si="15343"/>
        <v>Hamlin</v>
      </c>
    </row>
    <row r="15346" spans="1:5">
      <c r="A15346" s="110" t="s">
        <v>26838</v>
      </c>
      <c r="B15346" s="110" t="s">
        <v>1373</v>
      </c>
      <c r="C15346" s="111" t="s">
        <v>26839</v>
      </c>
      <c r="D15346" s="111" t="str">
        <f t="shared" ref="D15346:E15346" si="15344">TRIM(B15346)</f>
        <v>Texas</v>
      </c>
      <c r="E15346" s="111" t="str">
        <f t="shared" si="15344"/>
        <v>Hamshire</v>
      </c>
    </row>
    <row r="15347" spans="1:5">
      <c r="A15347" s="110" t="s">
        <v>26840</v>
      </c>
      <c r="B15347" s="110" t="s">
        <v>1373</v>
      </c>
      <c r="C15347" s="111" t="s">
        <v>26841</v>
      </c>
      <c r="D15347" s="111" t="str">
        <f t="shared" ref="D15347:E15347" si="15345">TRIM(B15347)</f>
        <v>Texas</v>
      </c>
      <c r="E15347" s="111" t="str">
        <f t="shared" si="15345"/>
        <v>Happy</v>
      </c>
    </row>
    <row r="15348" spans="1:5">
      <c r="A15348" s="110" t="s">
        <v>26842</v>
      </c>
      <c r="B15348" s="110" t="s">
        <v>1373</v>
      </c>
      <c r="C15348" s="111" t="s">
        <v>2483</v>
      </c>
      <c r="D15348" s="111" t="str">
        <f t="shared" ref="D15348:E15348" si="15346">TRIM(B15348)</f>
        <v>Texas</v>
      </c>
      <c r="E15348" s="111" t="str">
        <f t="shared" si="15346"/>
        <v>Hardin</v>
      </c>
    </row>
    <row r="15349" spans="1:5">
      <c r="A15349" s="110" t="s">
        <v>26843</v>
      </c>
      <c r="B15349" s="110" t="s">
        <v>1373</v>
      </c>
      <c r="C15349" s="111" t="s">
        <v>26844</v>
      </c>
      <c r="D15349" s="111" t="str">
        <f t="shared" ref="D15349:E15349" si="15347">TRIM(B15349)</f>
        <v>Texas</v>
      </c>
      <c r="E15349" s="111" t="str">
        <f t="shared" si="15347"/>
        <v>Harker Heights</v>
      </c>
    </row>
    <row r="15350" spans="1:5">
      <c r="A15350" s="110" t="s">
        <v>26845</v>
      </c>
      <c r="B15350" s="110" t="s">
        <v>1373</v>
      </c>
      <c r="C15350" s="111" t="s">
        <v>26846</v>
      </c>
      <c r="D15350" s="111" t="str">
        <f t="shared" ref="D15350:E15350" si="15348">TRIM(B15350)</f>
        <v>Texas</v>
      </c>
      <c r="E15350" s="111" t="str">
        <f t="shared" si="15348"/>
        <v>Harleton</v>
      </c>
    </row>
    <row r="15351" spans="1:5">
      <c r="A15351" s="110" t="s">
        <v>26500</v>
      </c>
      <c r="B15351" s="110" t="s">
        <v>1373</v>
      </c>
      <c r="C15351" s="111" t="s">
        <v>13712</v>
      </c>
      <c r="D15351" s="111" t="str">
        <f t="shared" ref="D15351:E15351" si="15349">TRIM(B15351)</f>
        <v>Texas</v>
      </c>
      <c r="E15351" s="111" t="str">
        <f t="shared" si="15349"/>
        <v>Harlingen</v>
      </c>
    </row>
    <row r="15352" spans="1:5">
      <c r="A15352" s="110" t="s">
        <v>26847</v>
      </c>
      <c r="B15352" s="110" t="s">
        <v>1373</v>
      </c>
      <c r="C15352" s="111" t="s">
        <v>13712</v>
      </c>
      <c r="D15352" s="111" t="str">
        <f t="shared" ref="D15352:E15352" si="15350">TRIM(B15352)</f>
        <v>Texas</v>
      </c>
      <c r="E15352" s="111" t="str">
        <f t="shared" si="15350"/>
        <v>Harlingen</v>
      </c>
    </row>
    <row r="15353" spans="1:5">
      <c r="A15353" s="110" t="s">
        <v>26848</v>
      </c>
      <c r="B15353" s="110" t="s">
        <v>1373</v>
      </c>
      <c r="C15353" s="111" t="s">
        <v>13712</v>
      </c>
      <c r="D15353" s="111" t="str">
        <f t="shared" ref="D15353:E15353" si="15351">TRIM(B15353)</f>
        <v>Texas</v>
      </c>
      <c r="E15353" s="111" t="str">
        <f t="shared" si="15351"/>
        <v>Harlingen</v>
      </c>
    </row>
    <row r="15354" spans="1:5">
      <c r="A15354" s="110" t="s">
        <v>26849</v>
      </c>
      <c r="B15354" s="110" t="s">
        <v>1373</v>
      </c>
      <c r="C15354" s="111" t="s">
        <v>13712</v>
      </c>
      <c r="D15354" s="111" t="str">
        <f t="shared" ref="D15354:E15354" si="15352">TRIM(B15354)</f>
        <v>Texas</v>
      </c>
      <c r="E15354" s="111" t="str">
        <f t="shared" si="15352"/>
        <v>Harlingen</v>
      </c>
    </row>
    <row r="15355" spans="1:5">
      <c r="A15355" s="110" t="s">
        <v>26850</v>
      </c>
      <c r="B15355" s="110" t="s">
        <v>1373</v>
      </c>
      <c r="C15355" s="111" t="s">
        <v>26851</v>
      </c>
      <c r="D15355" s="111" t="str">
        <f t="shared" ref="D15355:E15355" si="15353">TRIM(B15355)</f>
        <v>Texas</v>
      </c>
      <c r="E15355" s="111" t="str">
        <f t="shared" si="15353"/>
        <v>Harper</v>
      </c>
    </row>
    <row r="15356" spans="1:5">
      <c r="A15356" s="110" t="s">
        <v>26852</v>
      </c>
      <c r="B15356" s="110" t="s">
        <v>1373</v>
      </c>
      <c r="C15356" s="111" t="s">
        <v>23840</v>
      </c>
      <c r="D15356" s="111" t="str">
        <f t="shared" ref="D15356:E15356" si="15354">TRIM(B15356)</f>
        <v>Texas</v>
      </c>
      <c r="E15356" s="111" t="str">
        <f t="shared" si="15354"/>
        <v>Haskell</v>
      </c>
    </row>
    <row r="15357" spans="1:5">
      <c r="A15357" s="110" t="s">
        <v>26853</v>
      </c>
      <c r="B15357" s="110" t="s">
        <v>1373</v>
      </c>
      <c r="C15357" s="111" t="s">
        <v>26854</v>
      </c>
      <c r="D15357" s="111" t="str">
        <f t="shared" ref="D15357:E15357" si="15355">TRIM(B15357)</f>
        <v>Texas</v>
      </c>
      <c r="E15357" s="111" t="str">
        <f t="shared" si="15355"/>
        <v>Hawkins</v>
      </c>
    </row>
    <row r="15358" spans="1:5">
      <c r="A15358" s="110" t="s">
        <v>26855</v>
      </c>
      <c r="B15358" s="110" t="s">
        <v>1373</v>
      </c>
      <c r="C15358" s="111" t="s">
        <v>17936</v>
      </c>
      <c r="D15358" s="111" t="str">
        <f t="shared" ref="D15358:E15358" si="15356">TRIM(B15358)</f>
        <v>Texas</v>
      </c>
      <c r="E15358" s="111" t="str">
        <f t="shared" si="15356"/>
        <v>Hawley</v>
      </c>
    </row>
    <row r="15359" spans="1:5">
      <c r="A15359" s="110" t="s">
        <v>26856</v>
      </c>
      <c r="B15359" s="110" t="s">
        <v>1373</v>
      </c>
      <c r="C15359" s="111" t="s">
        <v>26857</v>
      </c>
      <c r="D15359" s="111" t="str">
        <f t="shared" ref="D15359:E15359" si="15357">TRIM(B15359)</f>
        <v>Texas</v>
      </c>
      <c r="E15359" s="111" t="str">
        <f t="shared" si="15357"/>
        <v>Hearne</v>
      </c>
    </row>
    <row r="15360" spans="1:5">
      <c r="A15360" s="110" t="s">
        <v>26858</v>
      </c>
      <c r="B15360" s="110" t="s">
        <v>1373</v>
      </c>
      <c r="C15360" s="111" t="s">
        <v>13826</v>
      </c>
      <c r="D15360" s="111" t="str">
        <f t="shared" ref="D15360:E15360" si="15358">TRIM(B15360)</f>
        <v>Texas</v>
      </c>
      <c r="E15360" s="111" t="str">
        <f t="shared" si="15358"/>
        <v>Heath</v>
      </c>
    </row>
    <row r="15361" spans="1:5">
      <c r="A15361" s="110" t="s">
        <v>26859</v>
      </c>
      <c r="B15361" s="110" t="s">
        <v>1373</v>
      </c>
      <c r="C15361" s="111" t="s">
        <v>26860</v>
      </c>
      <c r="D15361" s="111" t="str">
        <f t="shared" ref="D15361:E15361" si="15359">TRIM(B15361)</f>
        <v>Texas</v>
      </c>
      <c r="E15361" s="111" t="str">
        <f t="shared" si="15359"/>
        <v>Hebbronville</v>
      </c>
    </row>
    <row r="15362" spans="1:5">
      <c r="A15362" s="110" t="s">
        <v>26861</v>
      </c>
      <c r="B15362" s="110" t="s">
        <v>1373</v>
      </c>
      <c r="C15362" s="111" t="s">
        <v>26862</v>
      </c>
      <c r="D15362" s="111" t="str">
        <f t="shared" ref="D15362:E15362" si="15360">TRIM(B15362)</f>
        <v>Texas</v>
      </c>
      <c r="E15362" s="111" t="str">
        <f t="shared" si="15360"/>
        <v>Helotes</v>
      </c>
    </row>
    <row r="15363" spans="1:5">
      <c r="A15363" s="110" t="s">
        <v>26863</v>
      </c>
      <c r="B15363" s="110" t="s">
        <v>1373</v>
      </c>
      <c r="C15363" s="111" t="s">
        <v>26864</v>
      </c>
      <c r="D15363" s="111" t="str">
        <f t="shared" ref="D15363:E15363" si="15361">TRIM(B15363)</f>
        <v>Texas</v>
      </c>
      <c r="E15363" s="111" t="str">
        <f t="shared" si="15361"/>
        <v>Hemphill</v>
      </c>
    </row>
    <row r="15364" spans="1:5">
      <c r="A15364" s="110" t="s">
        <v>26865</v>
      </c>
      <c r="B15364" s="110" t="s">
        <v>1373</v>
      </c>
      <c r="C15364" s="111" t="s">
        <v>12317</v>
      </c>
      <c r="D15364" s="111" t="str">
        <f t="shared" ref="D15364:E15364" si="15362">TRIM(B15364)</f>
        <v>Texas</v>
      </c>
      <c r="E15364" s="111" t="str">
        <f t="shared" si="15362"/>
        <v>Hempstead</v>
      </c>
    </row>
    <row r="15365" spans="1:5">
      <c r="A15365" s="110" t="s">
        <v>26866</v>
      </c>
      <c r="B15365" s="110" t="s">
        <v>1373</v>
      </c>
      <c r="C15365" s="111" t="s">
        <v>7970</v>
      </c>
      <c r="D15365" s="111" t="str">
        <f t="shared" ref="D15365:E15365" si="15363">TRIM(B15365)</f>
        <v>Texas</v>
      </c>
      <c r="E15365" s="111" t="str">
        <f t="shared" si="15363"/>
        <v>Henderson</v>
      </c>
    </row>
    <row r="15366" spans="1:5">
      <c r="A15366" s="110" t="s">
        <v>26867</v>
      </c>
      <c r="B15366" s="110" t="s">
        <v>1373</v>
      </c>
      <c r="C15366" s="111" t="s">
        <v>21306</v>
      </c>
      <c r="D15366" s="111" t="str">
        <f t="shared" ref="D15366:E15366" si="15364">TRIM(B15366)</f>
        <v>Texas</v>
      </c>
      <c r="E15366" s="111" t="str">
        <f t="shared" si="15364"/>
        <v>Henrietta</v>
      </c>
    </row>
    <row r="15367" spans="1:5">
      <c r="A15367" s="110" t="s">
        <v>26868</v>
      </c>
      <c r="B15367" s="110" t="s">
        <v>1373</v>
      </c>
      <c r="C15367" s="111" t="s">
        <v>26869</v>
      </c>
      <c r="D15367" s="111" t="str">
        <f t="shared" ref="D15367:E15367" si="15365">TRIM(B15367)</f>
        <v>Texas</v>
      </c>
      <c r="E15367" s="111" t="str">
        <f t="shared" si="15365"/>
        <v>Hereford</v>
      </c>
    </row>
    <row r="15368" spans="1:5">
      <c r="A15368" s="110" t="s">
        <v>26870</v>
      </c>
      <c r="B15368" s="110" t="s">
        <v>1373</v>
      </c>
      <c r="C15368" s="111" t="s">
        <v>26871</v>
      </c>
      <c r="D15368" s="111" t="str">
        <f t="shared" ref="D15368:E15368" si="15366">TRIM(B15368)</f>
        <v>Texas</v>
      </c>
      <c r="E15368" s="111" t="str">
        <f t="shared" si="15366"/>
        <v>Hico</v>
      </c>
    </row>
    <row r="15369" spans="1:5">
      <c r="A15369" s="110" t="s">
        <v>26872</v>
      </c>
      <c r="B15369" s="110" t="s">
        <v>1373</v>
      </c>
      <c r="C15369" s="111" t="s">
        <v>26873</v>
      </c>
      <c r="D15369" s="111" t="str">
        <f t="shared" ref="D15369:E15369" si="15367">TRIM(B15369)</f>
        <v>Texas</v>
      </c>
      <c r="E15369" s="111" t="str">
        <f t="shared" si="15367"/>
        <v>Hidalgo</v>
      </c>
    </row>
    <row r="15370" spans="1:5">
      <c r="A15370" s="110" t="s">
        <v>26874</v>
      </c>
      <c r="B15370" s="110" t="s">
        <v>1373</v>
      </c>
      <c r="C15370" s="111" t="s">
        <v>13070</v>
      </c>
      <c r="D15370" s="111" t="str">
        <f t="shared" ref="D15370:E15370" si="15368">TRIM(B15370)</f>
        <v>Texas</v>
      </c>
      <c r="E15370" s="111" t="str">
        <f t="shared" si="15368"/>
        <v>Hillsboro</v>
      </c>
    </row>
    <row r="15371" spans="1:5">
      <c r="A15371" s="110" t="s">
        <v>26875</v>
      </c>
      <c r="B15371" s="110" t="s">
        <v>1373</v>
      </c>
      <c r="C15371" s="111" t="s">
        <v>26876</v>
      </c>
      <c r="D15371" s="111" t="str">
        <f t="shared" ref="D15371:E15371" si="15369">TRIM(B15371)</f>
        <v>Texas</v>
      </c>
      <c r="E15371" s="111" t="str">
        <f t="shared" si="15369"/>
        <v>Hitchcock</v>
      </c>
    </row>
    <row r="15372" spans="1:5">
      <c r="A15372" s="110" t="s">
        <v>26877</v>
      </c>
      <c r="B15372" s="110" t="s">
        <v>1373</v>
      </c>
      <c r="C15372" s="111" t="s">
        <v>11430</v>
      </c>
      <c r="D15372" s="111" t="str">
        <f t="shared" ref="D15372:E15372" si="15370">TRIM(B15372)</f>
        <v>Texas</v>
      </c>
      <c r="E15372" s="111" t="str">
        <f t="shared" si="15370"/>
        <v>Holland</v>
      </c>
    </row>
    <row r="15373" spans="1:5">
      <c r="A15373" s="110" t="s">
        <v>26878</v>
      </c>
      <c r="B15373" s="110" t="s">
        <v>1373</v>
      </c>
      <c r="C15373" s="111" t="s">
        <v>26879</v>
      </c>
      <c r="D15373" s="111" t="str">
        <f t="shared" ref="D15373:E15373" si="15371">TRIM(B15373)</f>
        <v>Texas</v>
      </c>
      <c r="E15373" s="111" t="str">
        <f t="shared" si="15371"/>
        <v>Holliday</v>
      </c>
    </row>
    <row r="15374" spans="1:5">
      <c r="A15374" s="110" t="s">
        <v>26880</v>
      </c>
      <c r="B15374" s="110" t="s">
        <v>1373</v>
      </c>
      <c r="C15374" s="111" t="s">
        <v>20563</v>
      </c>
      <c r="D15374" s="111" t="str">
        <f t="shared" ref="D15374:E15374" si="15372">TRIM(B15374)</f>
        <v>Texas</v>
      </c>
      <c r="E15374" s="111" t="str">
        <f t="shared" si="15372"/>
        <v>Hondo</v>
      </c>
    </row>
    <row r="15375" spans="1:5">
      <c r="A15375" s="110" t="s">
        <v>26881</v>
      </c>
      <c r="B15375" s="110" t="s">
        <v>1373</v>
      </c>
      <c r="C15375" s="111" t="s">
        <v>26882</v>
      </c>
      <c r="D15375" s="111" t="str">
        <f t="shared" ref="D15375:E15375" si="15373">TRIM(B15375)</f>
        <v>Texas</v>
      </c>
      <c r="E15375" s="111" t="str">
        <f t="shared" si="15373"/>
        <v>Honey Grove</v>
      </c>
    </row>
    <row r="15376" spans="1:5">
      <c r="A15376" s="110" t="s">
        <v>26883</v>
      </c>
      <c r="B15376" s="110" t="s">
        <v>1373</v>
      </c>
      <c r="C15376" s="111" t="s">
        <v>26884</v>
      </c>
      <c r="D15376" s="111" t="str">
        <f t="shared" ref="D15376:E15376" si="15374">TRIM(B15376)</f>
        <v>Texas</v>
      </c>
      <c r="E15376" s="111" t="str">
        <f t="shared" si="15374"/>
        <v>Hooks</v>
      </c>
    </row>
    <row r="15377" spans="1:5">
      <c r="A15377" s="110" t="s">
        <v>26885</v>
      </c>
      <c r="B15377" s="110" t="s">
        <v>1373</v>
      </c>
      <c r="C15377" s="111" t="s">
        <v>368</v>
      </c>
      <c r="D15377" s="111" t="str">
        <f t="shared" ref="D15377:E15377" si="15375">TRIM(B15377)</f>
        <v>Texas</v>
      </c>
      <c r="E15377" s="111" t="str">
        <f t="shared" si="15375"/>
        <v>Houston</v>
      </c>
    </row>
    <row r="15378" spans="1:5">
      <c r="A15378" s="110" t="s">
        <v>26886</v>
      </c>
      <c r="B15378" s="110" t="s">
        <v>1373</v>
      </c>
      <c r="C15378" s="111" t="s">
        <v>368</v>
      </c>
      <c r="D15378" s="111" t="str">
        <f t="shared" ref="D15378:E15378" si="15376">TRIM(B15378)</f>
        <v>Texas</v>
      </c>
      <c r="E15378" s="111" t="str">
        <f t="shared" si="15376"/>
        <v>Houston</v>
      </c>
    </row>
    <row r="15379" spans="1:5">
      <c r="A15379" s="110" t="s">
        <v>26887</v>
      </c>
      <c r="B15379" s="110" t="s">
        <v>1373</v>
      </c>
      <c r="C15379" s="111" t="s">
        <v>368</v>
      </c>
      <c r="D15379" s="111" t="str">
        <f t="shared" ref="D15379:E15379" si="15377">TRIM(B15379)</f>
        <v>Texas</v>
      </c>
      <c r="E15379" s="111" t="str">
        <f t="shared" si="15377"/>
        <v>Houston</v>
      </c>
    </row>
    <row r="15380" spans="1:5">
      <c r="A15380" s="110" t="s">
        <v>26210</v>
      </c>
      <c r="B15380" s="110" t="s">
        <v>1373</v>
      </c>
      <c r="C15380" s="111" t="s">
        <v>368</v>
      </c>
      <c r="D15380" s="111" t="str">
        <f t="shared" ref="D15380:E15380" si="15378">TRIM(B15380)</f>
        <v>Texas</v>
      </c>
      <c r="E15380" s="111" t="str">
        <f t="shared" si="15378"/>
        <v>Houston</v>
      </c>
    </row>
    <row r="15381" spans="1:5">
      <c r="A15381" s="110" t="s">
        <v>26888</v>
      </c>
      <c r="B15381" s="110" t="s">
        <v>1373</v>
      </c>
      <c r="C15381" s="111" t="s">
        <v>368</v>
      </c>
      <c r="D15381" s="111" t="str">
        <f t="shared" ref="D15381:E15381" si="15379">TRIM(B15381)</f>
        <v>Texas</v>
      </c>
      <c r="E15381" s="111" t="str">
        <f t="shared" si="15379"/>
        <v>Houston</v>
      </c>
    </row>
    <row r="15382" spans="1:5">
      <c r="A15382" s="110" t="s">
        <v>26889</v>
      </c>
      <c r="B15382" s="110" t="s">
        <v>1373</v>
      </c>
      <c r="C15382" s="111" t="s">
        <v>368</v>
      </c>
      <c r="D15382" s="111" t="str">
        <f t="shared" ref="D15382:E15382" si="15380">TRIM(B15382)</f>
        <v>Texas</v>
      </c>
      <c r="E15382" s="111" t="str">
        <f t="shared" si="15380"/>
        <v>Houston</v>
      </c>
    </row>
    <row r="15383" spans="1:5">
      <c r="A15383" s="110" t="s">
        <v>26890</v>
      </c>
      <c r="B15383" s="110" t="s">
        <v>1373</v>
      </c>
      <c r="C15383" s="111" t="s">
        <v>368</v>
      </c>
      <c r="D15383" s="111" t="str">
        <f t="shared" ref="D15383:E15383" si="15381">TRIM(B15383)</f>
        <v>Texas</v>
      </c>
      <c r="E15383" s="111" t="str">
        <f t="shared" si="15381"/>
        <v>Houston</v>
      </c>
    </row>
    <row r="15384" spans="1:5">
      <c r="A15384" s="110" t="s">
        <v>26891</v>
      </c>
      <c r="B15384" s="110" t="s">
        <v>1373</v>
      </c>
      <c r="C15384" s="111" t="s">
        <v>368</v>
      </c>
      <c r="D15384" s="111" t="str">
        <f t="shared" ref="D15384:E15384" si="15382">TRIM(B15384)</f>
        <v>Texas</v>
      </c>
      <c r="E15384" s="111" t="str">
        <f t="shared" si="15382"/>
        <v>Houston</v>
      </c>
    </row>
    <row r="15385" spans="1:5">
      <c r="A15385" s="110" t="s">
        <v>26892</v>
      </c>
      <c r="B15385" s="110" t="s">
        <v>1373</v>
      </c>
      <c r="C15385" s="111" t="s">
        <v>368</v>
      </c>
      <c r="D15385" s="111" t="str">
        <f t="shared" ref="D15385:E15385" si="15383">TRIM(B15385)</f>
        <v>Texas</v>
      </c>
      <c r="E15385" s="111" t="str">
        <f t="shared" si="15383"/>
        <v>Houston</v>
      </c>
    </row>
    <row r="15386" spans="1:5">
      <c r="A15386" s="110" t="s">
        <v>26893</v>
      </c>
      <c r="B15386" s="110" t="s">
        <v>1373</v>
      </c>
      <c r="C15386" s="111" t="s">
        <v>368</v>
      </c>
      <c r="D15386" s="111" t="str">
        <f t="shared" ref="D15386:E15386" si="15384">TRIM(B15386)</f>
        <v>Texas</v>
      </c>
      <c r="E15386" s="111" t="str">
        <f t="shared" si="15384"/>
        <v>Houston</v>
      </c>
    </row>
    <row r="15387" spans="1:5">
      <c r="A15387" s="110" t="s">
        <v>26894</v>
      </c>
      <c r="B15387" s="110" t="s">
        <v>1373</v>
      </c>
      <c r="C15387" s="111" t="s">
        <v>368</v>
      </c>
      <c r="D15387" s="111" t="str">
        <f t="shared" ref="D15387:E15387" si="15385">TRIM(B15387)</f>
        <v>Texas</v>
      </c>
      <c r="E15387" s="111" t="str">
        <f t="shared" si="15385"/>
        <v>Houston</v>
      </c>
    </row>
    <row r="15388" spans="1:5">
      <c r="A15388" s="110" t="s">
        <v>26895</v>
      </c>
      <c r="B15388" s="110" t="s">
        <v>1373</v>
      </c>
      <c r="C15388" s="111" t="s">
        <v>368</v>
      </c>
      <c r="D15388" s="111" t="str">
        <f t="shared" ref="D15388:E15388" si="15386">TRIM(B15388)</f>
        <v>Texas</v>
      </c>
      <c r="E15388" s="111" t="str">
        <f t="shared" si="15386"/>
        <v>Houston</v>
      </c>
    </row>
    <row r="15389" spans="1:5">
      <c r="A15389" s="110" t="s">
        <v>26896</v>
      </c>
      <c r="B15389" s="110" t="s">
        <v>1373</v>
      </c>
      <c r="C15389" s="111" t="s">
        <v>368</v>
      </c>
      <c r="D15389" s="111" t="str">
        <f t="shared" ref="D15389:E15389" si="15387">TRIM(B15389)</f>
        <v>Texas</v>
      </c>
      <c r="E15389" s="111" t="str">
        <f t="shared" si="15387"/>
        <v>Houston</v>
      </c>
    </row>
    <row r="15390" spans="1:5">
      <c r="A15390" s="110" t="s">
        <v>26897</v>
      </c>
      <c r="B15390" s="110" t="s">
        <v>1373</v>
      </c>
      <c r="C15390" s="111" t="s">
        <v>368</v>
      </c>
      <c r="D15390" s="111" t="str">
        <f t="shared" ref="D15390:E15390" si="15388">TRIM(B15390)</f>
        <v>Texas</v>
      </c>
      <c r="E15390" s="111" t="str">
        <f t="shared" si="15388"/>
        <v>Houston</v>
      </c>
    </row>
    <row r="15391" spans="1:5">
      <c r="A15391" s="110" t="s">
        <v>26898</v>
      </c>
      <c r="B15391" s="110" t="s">
        <v>1373</v>
      </c>
      <c r="C15391" s="111" t="s">
        <v>368</v>
      </c>
      <c r="D15391" s="111" t="str">
        <f t="shared" ref="D15391:E15391" si="15389">TRIM(B15391)</f>
        <v>Texas</v>
      </c>
      <c r="E15391" s="111" t="str">
        <f t="shared" si="15389"/>
        <v>Houston</v>
      </c>
    </row>
    <row r="15392" spans="1:5">
      <c r="A15392" s="110" t="s">
        <v>26899</v>
      </c>
      <c r="B15392" s="110" t="s">
        <v>1373</v>
      </c>
      <c r="C15392" s="111" t="s">
        <v>368</v>
      </c>
      <c r="D15392" s="111" t="str">
        <f t="shared" ref="D15392:E15392" si="15390">TRIM(B15392)</f>
        <v>Texas</v>
      </c>
      <c r="E15392" s="111" t="str">
        <f t="shared" si="15390"/>
        <v>Houston</v>
      </c>
    </row>
    <row r="15393" spans="1:5">
      <c r="A15393" s="110" t="s">
        <v>26900</v>
      </c>
      <c r="B15393" s="110" t="s">
        <v>1373</v>
      </c>
      <c r="C15393" s="111" t="s">
        <v>368</v>
      </c>
      <c r="D15393" s="111" t="str">
        <f t="shared" ref="D15393:E15393" si="15391">TRIM(B15393)</f>
        <v>Texas</v>
      </c>
      <c r="E15393" s="111" t="str">
        <f t="shared" si="15391"/>
        <v>Houston</v>
      </c>
    </row>
    <row r="15394" spans="1:5">
      <c r="A15394" s="110" t="s">
        <v>26901</v>
      </c>
      <c r="B15394" s="110" t="s">
        <v>1373</v>
      </c>
      <c r="C15394" s="111" t="s">
        <v>368</v>
      </c>
      <c r="D15394" s="111" t="str">
        <f t="shared" ref="D15394:E15394" si="15392">TRIM(B15394)</f>
        <v>Texas</v>
      </c>
      <c r="E15394" s="111" t="str">
        <f t="shared" si="15392"/>
        <v>Houston</v>
      </c>
    </row>
    <row r="15395" spans="1:5">
      <c r="A15395" s="3" t="s">
        <v>26902</v>
      </c>
      <c r="B15395" s="110" t="s">
        <v>1373</v>
      </c>
      <c r="C15395" s="111" t="s">
        <v>368</v>
      </c>
      <c r="D15395" s="111" t="str">
        <f t="shared" ref="D15395:E15395" si="15393">TRIM(B15395)</f>
        <v>Texas</v>
      </c>
      <c r="E15395" s="111" t="str">
        <f t="shared" si="15393"/>
        <v>Houston</v>
      </c>
    </row>
    <row r="15396" spans="1:5">
      <c r="A15396" s="110" t="s">
        <v>26903</v>
      </c>
      <c r="B15396" s="110" t="s">
        <v>1373</v>
      </c>
      <c r="C15396" s="111" t="s">
        <v>368</v>
      </c>
      <c r="D15396" s="111" t="str">
        <f t="shared" ref="D15396:E15396" si="15394">TRIM(B15396)</f>
        <v>Texas</v>
      </c>
      <c r="E15396" s="111" t="str">
        <f t="shared" si="15394"/>
        <v>Houston</v>
      </c>
    </row>
    <row r="15397" spans="1:5">
      <c r="A15397" s="110" t="s">
        <v>26904</v>
      </c>
      <c r="B15397" s="110" t="s">
        <v>1373</v>
      </c>
      <c r="C15397" s="111" t="s">
        <v>368</v>
      </c>
      <c r="D15397" s="111" t="str">
        <f t="shared" ref="D15397:E15397" si="15395">TRIM(B15397)</f>
        <v>Texas</v>
      </c>
      <c r="E15397" s="111" t="str">
        <f t="shared" si="15395"/>
        <v>Houston</v>
      </c>
    </row>
    <row r="15398" spans="1:5">
      <c r="A15398" s="3" t="s">
        <v>26905</v>
      </c>
      <c r="B15398" s="110" t="s">
        <v>1373</v>
      </c>
      <c r="C15398" s="111" t="s">
        <v>368</v>
      </c>
      <c r="D15398" s="111" t="str">
        <f t="shared" ref="D15398:E15398" si="15396">TRIM(B15398)</f>
        <v>Texas</v>
      </c>
      <c r="E15398" s="111" t="str">
        <f t="shared" si="15396"/>
        <v>Houston</v>
      </c>
    </row>
    <row r="15399" spans="1:5">
      <c r="A15399" s="3" t="s">
        <v>26906</v>
      </c>
      <c r="B15399" s="110" t="s">
        <v>1373</v>
      </c>
      <c r="C15399" s="111" t="s">
        <v>368</v>
      </c>
      <c r="D15399" s="111" t="str">
        <f t="shared" ref="D15399:E15399" si="15397">TRIM(B15399)</f>
        <v>Texas</v>
      </c>
      <c r="E15399" s="111" t="str">
        <f t="shared" si="15397"/>
        <v>Houston</v>
      </c>
    </row>
    <row r="15400" spans="1:5">
      <c r="A15400" s="110" t="s">
        <v>26907</v>
      </c>
      <c r="B15400" s="110" t="s">
        <v>1373</v>
      </c>
      <c r="C15400" s="111" t="s">
        <v>368</v>
      </c>
      <c r="D15400" s="111" t="str">
        <f t="shared" ref="D15400:E15400" si="15398">TRIM(B15400)</f>
        <v>Texas</v>
      </c>
      <c r="E15400" s="111" t="str">
        <f t="shared" si="15398"/>
        <v>Houston</v>
      </c>
    </row>
    <row r="15401" spans="1:5">
      <c r="A15401" s="110" t="s">
        <v>26908</v>
      </c>
      <c r="B15401" s="110" t="s">
        <v>1373</v>
      </c>
      <c r="C15401" s="111" t="s">
        <v>368</v>
      </c>
      <c r="D15401" s="111" t="str">
        <f t="shared" ref="D15401:E15401" si="15399">TRIM(B15401)</f>
        <v>Texas</v>
      </c>
      <c r="E15401" s="111" t="str">
        <f t="shared" si="15399"/>
        <v>Houston</v>
      </c>
    </row>
    <row r="15402" spans="1:5">
      <c r="A15402" s="3" t="s">
        <v>26909</v>
      </c>
      <c r="B15402" s="110" t="s">
        <v>1373</v>
      </c>
      <c r="C15402" s="111" t="s">
        <v>368</v>
      </c>
      <c r="D15402" s="111" t="str">
        <f t="shared" ref="D15402:E15402" si="15400">TRIM(B15402)</f>
        <v>Texas</v>
      </c>
      <c r="E15402" s="111" t="str">
        <f t="shared" si="15400"/>
        <v>Houston</v>
      </c>
    </row>
    <row r="15403" spans="1:5">
      <c r="A15403" s="110" t="s">
        <v>26910</v>
      </c>
      <c r="B15403" s="110" t="s">
        <v>1373</v>
      </c>
      <c r="C15403" s="111" t="s">
        <v>368</v>
      </c>
      <c r="D15403" s="111" t="str">
        <f t="shared" ref="D15403:E15403" si="15401">TRIM(B15403)</f>
        <v>Texas</v>
      </c>
      <c r="E15403" s="111" t="str">
        <f t="shared" si="15401"/>
        <v>Houston</v>
      </c>
    </row>
    <row r="15404" spans="1:5">
      <c r="A15404" s="110" t="s">
        <v>26911</v>
      </c>
      <c r="B15404" s="110" t="s">
        <v>1373</v>
      </c>
      <c r="C15404" s="111" t="s">
        <v>368</v>
      </c>
      <c r="D15404" s="111" t="str">
        <f t="shared" ref="D15404:E15404" si="15402">TRIM(B15404)</f>
        <v>Texas</v>
      </c>
      <c r="E15404" s="111" t="str">
        <f t="shared" si="15402"/>
        <v>Houston</v>
      </c>
    </row>
    <row r="15405" spans="1:5">
      <c r="A15405" s="110" t="s">
        <v>26912</v>
      </c>
      <c r="B15405" s="110" t="s">
        <v>1373</v>
      </c>
      <c r="C15405" s="111" t="s">
        <v>368</v>
      </c>
      <c r="D15405" s="111" t="str">
        <f t="shared" ref="D15405:E15405" si="15403">TRIM(B15405)</f>
        <v>Texas</v>
      </c>
      <c r="E15405" s="111" t="str">
        <f t="shared" si="15403"/>
        <v>Houston</v>
      </c>
    </row>
    <row r="15406" spans="1:5">
      <c r="A15406" s="110" t="s">
        <v>26913</v>
      </c>
      <c r="B15406" s="110" t="s">
        <v>1373</v>
      </c>
      <c r="C15406" s="111" t="s">
        <v>368</v>
      </c>
      <c r="D15406" s="111" t="str">
        <f t="shared" ref="D15406:E15406" si="15404">TRIM(B15406)</f>
        <v>Texas</v>
      </c>
      <c r="E15406" s="111" t="str">
        <f t="shared" si="15404"/>
        <v>Houston</v>
      </c>
    </row>
    <row r="15407" spans="1:5">
      <c r="A15407" s="110" t="s">
        <v>26914</v>
      </c>
      <c r="B15407" s="110" t="s">
        <v>1373</v>
      </c>
      <c r="C15407" s="111" t="s">
        <v>368</v>
      </c>
      <c r="D15407" s="111" t="str">
        <f t="shared" ref="D15407:E15407" si="15405">TRIM(B15407)</f>
        <v>Texas</v>
      </c>
      <c r="E15407" s="111" t="str">
        <f t="shared" si="15405"/>
        <v>Houston</v>
      </c>
    </row>
    <row r="15408" spans="1:5">
      <c r="A15408" s="110" t="s">
        <v>26915</v>
      </c>
      <c r="B15408" s="110" t="s">
        <v>1373</v>
      </c>
      <c r="C15408" s="111" t="s">
        <v>368</v>
      </c>
      <c r="D15408" s="111" t="str">
        <f t="shared" ref="D15408:E15408" si="15406">TRIM(B15408)</f>
        <v>Texas</v>
      </c>
      <c r="E15408" s="111" t="str">
        <f t="shared" si="15406"/>
        <v>Houston</v>
      </c>
    </row>
    <row r="15409" spans="1:5">
      <c r="A15409" s="110" t="s">
        <v>26916</v>
      </c>
      <c r="B15409" s="110" t="s">
        <v>1373</v>
      </c>
      <c r="C15409" s="111" t="s">
        <v>368</v>
      </c>
      <c r="D15409" s="111" t="str">
        <f t="shared" ref="D15409:E15409" si="15407">TRIM(B15409)</f>
        <v>Texas</v>
      </c>
      <c r="E15409" s="111" t="str">
        <f t="shared" si="15407"/>
        <v>Houston</v>
      </c>
    </row>
    <row r="15410" spans="1:5">
      <c r="A15410" s="110" t="s">
        <v>26917</v>
      </c>
      <c r="B15410" s="110" t="s">
        <v>1373</v>
      </c>
      <c r="C15410" s="111" t="s">
        <v>368</v>
      </c>
      <c r="D15410" s="111" t="str">
        <f t="shared" ref="D15410:E15410" si="15408">TRIM(B15410)</f>
        <v>Texas</v>
      </c>
      <c r="E15410" s="111" t="str">
        <f t="shared" si="15408"/>
        <v>Houston</v>
      </c>
    </row>
    <row r="15411" spans="1:5">
      <c r="A15411" s="110" t="s">
        <v>26918</v>
      </c>
      <c r="B15411" s="110" t="s">
        <v>1373</v>
      </c>
      <c r="C15411" s="111" t="s">
        <v>368</v>
      </c>
      <c r="D15411" s="111" t="str">
        <f t="shared" ref="D15411:E15411" si="15409">TRIM(B15411)</f>
        <v>Texas</v>
      </c>
      <c r="E15411" s="111" t="str">
        <f t="shared" si="15409"/>
        <v>Houston</v>
      </c>
    </row>
    <row r="15412" spans="1:5">
      <c r="A15412" s="110" t="s">
        <v>26919</v>
      </c>
      <c r="B15412" s="110" t="s">
        <v>1373</v>
      </c>
      <c r="C15412" s="111" t="s">
        <v>368</v>
      </c>
      <c r="D15412" s="111" t="str">
        <f t="shared" ref="D15412:E15412" si="15410">TRIM(B15412)</f>
        <v>Texas</v>
      </c>
      <c r="E15412" s="111" t="str">
        <f t="shared" si="15410"/>
        <v>Houston</v>
      </c>
    </row>
    <row r="15413" spans="1:5">
      <c r="A15413" s="110" t="s">
        <v>26920</v>
      </c>
      <c r="B15413" s="110" t="s">
        <v>1373</v>
      </c>
      <c r="C15413" s="111" t="s">
        <v>368</v>
      </c>
      <c r="D15413" s="111" t="str">
        <f t="shared" ref="D15413:E15413" si="15411">TRIM(B15413)</f>
        <v>Texas</v>
      </c>
      <c r="E15413" s="111" t="str">
        <f t="shared" si="15411"/>
        <v>Houston</v>
      </c>
    </row>
    <row r="15414" spans="1:5">
      <c r="A15414" s="110" t="s">
        <v>26921</v>
      </c>
      <c r="B15414" s="110" t="s">
        <v>1373</v>
      </c>
      <c r="C15414" s="111" t="s">
        <v>368</v>
      </c>
      <c r="D15414" s="111" t="str">
        <f t="shared" ref="D15414:E15414" si="15412">TRIM(B15414)</f>
        <v>Texas</v>
      </c>
      <c r="E15414" s="111" t="str">
        <f t="shared" si="15412"/>
        <v>Houston</v>
      </c>
    </row>
    <row r="15415" spans="1:5">
      <c r="A15415" s="3" t="s">
        <v>26922</v>
      </c>
      <c r="B15415" s="110" t="s">
        <v>1373</v>
      </c>
      <c r="C15415" s="111" t="s">
        <v>368</v>
      </c>
      <c r="D15415" s="111" t="str">
        <f t="shared" ref="D15415:E15415" si="15413">TRIM(B15415)</f>
        <v>Texas</v>
      </c>
      <c r="E15415" s="111" t="str">
        <f t="shared" si="15413"/>
        <v>Houston</v>
      </c>
    </row>
    <row r="15416" spans="1:5">
      <c r="A15416" s="3" t="s">
        <v>26923</v>
      </c>
      <c r="B15416" s="110" t="s">
        <v>1373</v>
      </c>
      <c r="C15416" s="112" t="s">
        <v>368</v>
      </c>
      <c r="D15416" s="111" t="str">
        <f t="shared" ref="D15416:E15416" si="15414">TRIM(B15416)</f>
        <v>Texas</v>
      </c>
      <c r="E15416" s="111" t="str">
        <f t="shared" si="15414"/>
        <v>Houston</v>
      </c>
    </row>
    <row r="15417" spans="1:5">
      <c r="A15417" s="110" t="s">
        <v>26924</v>
      </c>
      <c r="B15417" s="110" t="s">
        <v>1373</v>
      </c>
      <c r="C15417" s="111" t="s">
        <v>368</v>
      </c>
      <c r="D15417" s="111" t="str">
        <f t="shared" ref="D15417:E15417" si="15415">TRIM(B15417)</f>
        <v>Texas</v>
      </c>
      <c r="E15417" s="111" t="str">
        <f t="shared" si="15415"/>
        <v>Houston</v>
      </c>
    </row>
    <row r="15418" spans="1:5">
      <c r="A15418" s="110" t="s">
        <v>26925</v>
      </c>
      <c r="B15418" s="110" t="s">
        <v>1373</v>
      </c>
      <c r="C15418" s="111" t="s">
        <v>368</v>
      </c>
      <c r="D15418" s="111" t="str">
        <f t="shared" ref="D15418:E15418" si="15416">TRIM(B15418)</f>
        <v>Texas</v>
      </c>
      <c r="E15418" s="111" t="str">
        <f t="shared" si="15416"/>
        <v>Houston</v>
      </c>
    </row>
    <row r="15419" spans="1:5">
      <c r="A15419" s="3" t="s">
        <v>26926</v>
      </c>
      <c r="B15419" s="110" t="s">
        <v>1373</v>
      </c>
      <c r="C15419" s="111" t="s">
        <v>368</v>
      </c>
      <c r="D15419" s="111" t="str">
        <f t="shared" ref="D15419:E15419" si="15417">TRIM(B15419)</f>
        <v>Texas</v>
      </c>
      <c r="E15419" s="111" t="str">
        <f t="shared" si="15417"/>
        <v>Houston</v>
      </c>
    </row>
    <row r="15420" spans="1:5">
      <c r="A15420" s="110" t="s">
        <v>26927</v>
      </c>
      <c r="B15420" s="110" t="s">
        <v>1373</v>
      </c>
      <c r="C15420" s="111" t="s">
        <v>368</v>
      </c>
      <c r="D15420" s="111" t="str">
        <f t="shared" ref="D15420:E15420" si="15418">TRIM(B15420)</f>
        <v>Texas</v>
      </c>
      <c r="E15420" s="111" t="str">
        <f t="shared" si="15418"/>
        <v>Houston</v>
      </c>
    </row>
    <row r="15421" spans="1:5">
      <c r="A15421" s="110" t="s">
        <v>26928</v>
      </c>
      <c r="B15421" s="110" t="s">
        <v>1373</v>
      </c>
      <c r="C15421" s="111" t="s">
        <v>368</v>
      </c>
      <c r="D15421" s="111" t="str">
        <f t="shared" ref="D15421:E15421" si="15419">TRIM(B15421)</f>
        <v>Texas</v>
      </c>
      <c r="E15421" s="111" t="str">
        <f t="shared" si="15419"/>
        <v>Houston</v>
      </c>
    </row>
    <row r="15422" spans="1:5">
      <c r="A15422" s="110" t="s">
        <v>26929</v>
      </c>
      <c r="B15422" s="110" t="s">
        <v>1373</v>
      </c>
      <c r="C15422" s="111" t="s">
        <v>368</v>
      </c>
      <c r="D15422" s="111" t="str">
        <f t="shared" ref="D15422:E15422" si="15420">TRIM(B15422)</f>
        <v>Texas</v>
      </c>
      <c r="E15422" s="111" t="str">
        <f t="shared" si="15420"/>
        <v>Houston</v>
      </c>
    </row>
    <row r="15423" spans="1:5">
      <c r="A15423" s="3" t="s">
        <v>26930</v>
      </c>
      <c r="B15423" s="110" t="s">
        <v>1373</v>
      </c>
      <c r="C15423" s="111" t="s">
        <v>368</v>
      </c>
      <c r="D15423" s="111" t="str">
        <f t="shared" ref="D15423:E15423" si="15421">TRIM(B15423)</f>
        <v>Texas</v>
      </c>
      <c r="E15423" s="111" t="str">
        <f t="shared" si="15421"/>
        <v>Houston</v>
      </c>
    </row>
    <row r="15424" spans="1:5">
      <c r="A15424" s="110" t="s">
        <v>26931</v>
      </c>
      <c r="B15424" s="110" t="s">
        <v>1373</v>
      </c>
      <c r="C15424" s="111" t="s">
        <v>368</v>
      </c>
      <c r="D15424" s="111" t="str">
        <f t="shared" ref="D15424:E15424" si="15422">TRIM(B15424)</f>
        <v>Texas</v>
      </c>
      <c r="E15424" s="111" t="str">
        <f t="shared" si="15422"/>
        <v>Houston</v>
      </c>
    </row>
    <row r="15425" spans="1:5">
      <c r="A15425" s="110" t="s">
        <v>26932</v>
      </c>
      <c r="B15425" s="110" t="s">
        <v>1373</v>
      </c>
      <c r="C15425" s="111" t="s">
        <v>368</v>
      </c>
      <c r="D15425" s="111" t="str">
        <f t="shared" ref="D15425:E15425" si="15423">TRIM(B15425)</f>
        <v>Texas</v>
      </c>
      <c r="E15425" s="111" t="str">
        <f t="shared" si="15423"/>
        <v>Houston</v>
      </c>
    </row>
    <row r="15426" spans="1:5">
      <c r="A15426" s="110" t="s">
        <v>26933</v>
      </c>
      <c r="B15426" s="110" t="s">
        <v>1373</v>
      </c>
      <c r="C15426" s="111" t="s">
        <v>368</v>
      </c>
      <c r="D15426" s="111" t="str">
        <f t="shared" ref="D15426:E15426" si="15424">TRIM(B15426)</f>
        <v>Texas</v>
      </c>
      <c r="E15426" s="111" t="str">
        <f t="shared" si="15424"/>
        <v>Houston</v>
      </c>
    </row>
    <row r="15427" spans="1:5">
      <c r="A15427" s="110" t="s">
        <v>26934</v>
      </c>
      <c r="B15427" s="110" t="s">
        <v>1373</v>
      </c>
      <c r="C15427" s="111" t="s">
        <v>368</v>
      </c>
      <c r="D15427" s="111" t="str">
        <f t="shared" ref="D15427:E15427" si="15425">TRIM(B15427)</f>
        <v>Texas</v>
      </c>
      <c r="E15427" s="111" t="str">
        <f t="shared" si="15425"/>
        <v>Houston</v>
      </c>
    </row>
    <row r="15428" spans="1:5">
      <c r="A15428" s="110" t="s">
        <v>26935</v>
      </c>
      <c r="B15428" s="110" t="s">
        <v>1373</v>
      </c>
      <c r="C15428" s="111" t="s">
        <v>368</v>
      </c>
      <c r="D15428" s="111" t="str">
        <f t="shared" ref="D15428:E15428" si="15426">TRIM(B15428)</f>
        <v>Texas</v>
      </c>
      <c r="E15428" s="111" t="str">
        <f t="shared" si="15426"/>
        <v>Houston</v>
      </c>
    </row>
    <row r="15429" spans="1:5">
      <c r="A15429" s="110" t="s">
        <v>26936</v>
      </c>
      <c r="B15429" s="110" t="s">
        <v>1373</v>
      </c>
      <c r="C15429" s="111" t="s">
        <v>368</v>
      </c>
      <c r="D15429" s="111" t="str">
        <f t="shared" ref="D15429:E15429" si="15427">TRIM(B15429)</f>
        <v>Texas</v>
      </c>
      <c r="E15429" s="111" t="str">
        <f t="shared" si="15427"/>
        <v>Houston</v>
      </c>
    </row>
    <row r="15430" spans="1:5">
      <c r="A15430" s="110" t="s">
        <v>26937</v>
      </c>
      <c r="B15430" s="110" t="s">
        <v>1373</v>
      </c>
      <c r="C15430" s="111" t="s">
        <v>368</v>
      </c>
      <c r="D15430" s="111" t="str">
        <f t="shared" ref="D15430:E15430" si="15428">TRIM(B15430)</f>
        <v>Texas</v>
      </c>
      <c r="E15430" s="111" t="str">
        <f t="shared" si="15428"/>
        <v>Houston</v>
      </c>
    </row>
    <row r="15431" spans="1:5">
      <c r="A15431" s="110" t="s">
        <v>26938</v>
      </c>
      <c r="B15431" s="110" t="s">
        <v>1373</v>
      </c>
      <c r="C15431" s="111" t="s">
        <v>368</v>
      </c>
      <c r="D15431" s="111" t="str">
        <f t="shared" ref="D15431:E15431" si="15429">TRIM(B15431)</f>
        <v>Texas</v>
      </c>
      <c r="E15431" s="111" t="str">
        <f t="shared" si="15429"/>
        <v>Houston</v>
      </c>
    </row>
    <row r="15432" spans="1:5">
      <c r="A15432" s="110" t="s">
        <v>26193</v>
      </c>
      <c r="B15432" s="110" t="s">
        <v>1373</v>
      </c>
      <c r="C15432" s="111" t="s">
        <v>368</v>
      </c>
      <c r="D15432" s="111" t="str">
        <f t="shared" ref="D15432:E15432" si="15430">TRIM(B15432)</f>
        <v>Texas</v>
      </c>
      <c r="E15432" s="111" t="str">
        <f t="shared" si="15430"/>
        <v>Houston</v>
      </c>
    </row>
    <row r="15433" spans="1:5">
      <c r="A15433" s="110" t="s">
        <v>26939</v>
      </c>
      <c r="B15433" s="110" t="s">
        <v>1373</v>
      </c>
      <c r="C15433" s="111" t="s">
        <v>368</v>
      </c>
      <c r="D15433" s="111" t="str">
        <f t="shared" ref="D15433:E15433" si="15431">TRIM(B15433)</f>
        <v>Texas</v>
      </c>
      <c r="E15433" s="111" t="str">
        <f t="shared" si="15431"/>
        <v>Houston</v>
      </c>
    </row>
    <row r="15434" spans="1:5">
      <c r="A15434" s="3" t="s">
        <v>26940</v>
      </c>
      <c r="B15434" s="110" t="s">
        <v>1373</v>
      </c>
      <c r="C15434" s="111" t="s">
        <v>368</v>
      </c>
      <c r="D15434" s="111" t="str">
        <f t="shared" ref="D15434:E15434" si="15432">TRIM(B15434)</f>
        <v>Texas</v>
      </c>
      <c r="E15434" s="111" t="str">
        <f t="shared" si="15432"/>
        <v>Houston</v>
      </c>
    </row>
    <row r="15435" spans="1:5">
      <c r="A15435" s="110" t="s">
        <v>26941</v>
      </c>
      <c r="B15435" s="110" t="s">
        <v>1373</v>
      </c>
      <c r="C15435" s="111" t="s">
        <v>368</v>
      </c>
      <c r="D15435" s="111" t="str">
        <f t="shared" ref="D15435:E15435" si="15433">TRIM(B15435)</f>
        <v>Texas</v>
      </c>
      <c r="E15435" s="111" t="str">
        <f t="shared" si="15433"/>
        <v>Houston</v>
      </c>
    </row>
    <row r="15436" spans="1:5">
      <c r="A15436" s="110" t="s">
        <v>26942</v>
      </c>
      <c r="B15436" s="110" t="s">
        <v>1373</v>
      </c>
      <c r="C15436" s="111" t="s">
        <v>368</v>
      </c>
      <c r="D15436" s="111" t="str">
        <f t="shared" ref="D15436:E15436" si="15434">TRIM(B15436)</f>
        <v>Texas</v>
      </c>
      <c r="E15436" s="111" t="str">
        <f t="shared" si="15434"/>
        <v>Houston</v>
      </c>
    </row>
    <row r="15437" spans="1:5">
      <c r="A15437" s="110" t="s">
        <v>26943</v>
      </c>
      <c r="B15437" s="110" t="s">
        <v>1373</v>
      </c>
      <c r="C15437" s="111" t="s">
        <v>368</v>
      </c>
      <c r="D15437" s="111" t="str">
        <f t="shared" ref="D15437:E15437" si="15435">TRIM(B15437)</f>
        <v>Texas</v>
      </c>
      <c r="E15437" s="111" t="str">
        <f t="shared" si="15435"/>
        <v>Houston</v>
      </c>
    </row>
    <row r="15438" spans="1:5">
      <c r="A15438" s="110" t="s">
        <v>26944</v>
      </c>
      <c r="B15438" s="110" t="s">
        <v>1373</v>
      </c>
      <c r="C15438" s="112" t="s">
        <v>368</v>
      </c>
      <c r="D15438" s="111" t="str">
        <f t="shared" ref="D15438:E15438" si="15436">TRIM(B15438)</f>
        <v>Texas</v>
      </c>
      <c r="E15438" s="111" t="str">
        <f t="shared" si="15436"/>
        <v>Houston</v>
      </c>
    </row>
    <row r="15439" spans="1:5">
      <c r="A15439" s="3" t="s">
        <v>26945</v>
      </c>
      <c r="B15439" s="110" t="s">
        <v>1373</v>
      </c>
      <c r="C15439" s="111" t="s">
        <v>368</v>
      </c>
      <c r="D15439" s="111" t="str">
        <f t="shared" ref="D15439:E15439" si="15437">TRIM(B15439)</f>
        <v>Texas</v>
      </c>
      <c r="E15439" s="111" t="str">
        <f t="shared" si="15437"/>
        <v>Houston</v>
      </c>
    </row>
    <row r="15440" spans="1:5">
      <c r="A15440" s="110" t="s">
        <v>26946</v>
      </c>
      <c r="B15440" s="110" t="s">
        <v>1373</v>
      </c>
      <c r="C15440" s="111" t="s">
        <v>368</v>
      </c>
      <c r="D15440" s="111" t="str">
        <f t="shared" ref="D15440:E15440" si="15438">TRIM(B15440)</f>
        <v>Texas</v>
      </c>
      <c r="E15440" s="111" t="str">
        <f t="shared" si="15438"/>
        <v>Houston</v>
      </c>
    </row>
    <row r="15441" spans="1:5">
      <c r="A15441" s="3" t="s">
        <v>10919</v>
      </c>
      <c r="B15441" s="110" t="s">
        <v>1373</v>
      </c>
      <c r="C15441" s="111" t="s">
        <v>368</v>
      </c>
      <c r="D15441" s="111" t="str">
        <f t="shared" ref="D15441:E15441" si="15439">TRIM(B15441)</f>
        <v>Texas</v>
      </c>
      <c r="E15441" s="111" t="str">
        <f t="shared" si="15439"/>
        <v>Houston</v>
      </c>
    </row>
    <row r="15442" spans="1:5">
      <c r="A15442" s="110" t="s">
        <v>26947</v>
      </c>
      <c r="B15442" s="110" t="s">
        <v>1373</v>
      </c>
      <c r="C15442" s="111" t="s">
        <v>368</v>
      </c>
      <c r="D15442" s="111" t="str">
        <f t="shared" ref="D15442:E15442" si="15440">TRIM(B15442)</f>
        <v>Texas</v>
      </c>
      <c r="E15442" s="111" t="str">
        <f t="shared" si="15440"/>
        <v>Houston</v>
      </c>
    </row>
    <row r="15443" spans="1:5">
      <c r="A15443" s="110" t="s">
        <v>26948</v>
      </c>
      <c r="B15443" s="110" t="s">
        <v>1373</v>
      </c>
      <c r="C15443" s="111" t="s">
        <v>368</v>
      </c>
      <c r="D15443" s="111" t="str">
        <f t="shared" ref="D15443:E15443" si="15441">TRIM(B15443)</f>
        <v>Texas</v>
      </c>
      <c r="E15443" s="111" t="str">
        <f t="shared" si="15441"/>
        <v>Houston</v>
      </c>
    </row>
    <row r="15444" spans="1:5">
      <c r="A15444" s="110" t="s">
        <v>26949</v>
      </c>
      <c r="B15444" s="110" t="s">
        <v>1373</v>
      </c>
      <c r="C15444" s="111" t="s">
        <v>368</v>
      </c>
      <c r="D15444" s="111" t="str">
        <f t="shared" ref="D15444:E15444" si="15442">TRIM(B15444)</f>
        <v>Texas</v>
      </c>
      <c r="E15444" s="111" t="str">
        <f t="shared" si="15442"/>
        <v>Houston</v>
      </c>
    </row>
    <row r="15445" spans="1:5">
      <c r="A15445" s="3" t="s">
        <v>21263</v>
      </c>
      <c r="B15445" s="110" t="s">
        <v>1373</v>
      </c>
      <c r="C15445" s="111" t="s">
        <v>368</v>
      </c>
      <c r="D15445" s="111" t="str">
        <f t="shared" ref="D15445:E15445" si="15443">TRIM(B15445)</f>
        <v>Texas</v>
      </c>
      <c r="E15445" s="111" t="str">
        <f t="shared" si="15443"/>
        <v>Houston</v>
      </c>
    </row>
    <row r="15446" spans="1:5">
      <c r="A15446" s="110" t="s">
        <v>26950</v>
      </c>
      <c r="B15446" s="110" t="s">
        <v>1373</v>
      </c>
      <c r="C15446" s="111" t="s">
        <v>368</v>
      </c>
      <c r="D15446" s="111" t="str">
        <f t="shared" ref="D15446:E15446" si="15444">TRIM(B15446)</f>
        <v>Texas</v>
      </c>
      <c r="E15446" s="111" t="str">
        <f t="shared" si="15444"/>
        <v>Houston</v>
      </c>
    </row>
    <row r="15447" spans="1:5">
      <c r="A15447" s="3" t="s">
        <v>26951</v>
      </c>
      <c r="B15447" s="110" t="s">
        <v>1373</v>
      </c>
      <c r="C15447" s="111" t="s">
        <v>368</v>
      </c>
      <c r="D15447" s="111" t="str">
        <f t="shared" ref="D15447:E15447" si="15445">TRIM(B15447)</f>
        <v>Texas</v>
      </c>
      <c r="E15447" s="111" t="str">
        <f t="shared" si="15445"/>
        <v>Houston</v>
      </c>
    </row>
    <row r="15448" spans="1:5">
      <c r="A15448" s="110" t="s">
        <v>26952</v>
      </c>
      <c r="B15448" s="110" t="s">
        <v>1373</v>
      </c>
      <c r="C15448" s="111" t="s">
        <v>368</v>
      </c>
      <c r="D15448" s="111" t="str">
        <f t="shared" ref="D15448:E15448" si="15446">TRIM(B15448)</f>
        <v>Texas</v>
      </c>
      <c r="E15448" s="111" t="str">
        <f t="shared" si="15446"/>
        <v>Houston</v>
      </c>
    </row>
    <row r="15449" spans="1:5">
      <c r="A15449" s="110" t="s">
        <v>26953</v>
      </c>
      <c r="B15449" s="110" t="s">
        <v>1373</v>
      </c>
      <c r="C15449" s="111" t="s">
        <v>368</v>
      </c>
      <c r="D15449" s="111" t="str">
        <f t="shared" ref="D15449:E15449" si="15447">TRIM(B15449)</f>
        <v>Texas</v>
      </c>
      <c r="E15449" s="111" t="str">
        <f t="shared" si="15447"/>
        <v>Houston</v>
      </c>
    </row>
    <row r="15450" spans="1:5">
      <c r="A15450" s="110" t="s">
        <v>26954</v>
      </c>
      <c r="B15450" s="110" t="s">
        <v>1373</v>
      </c>
      <c r="C15450" s="111" t="s">
        <v>368</v>
      </c>
      <c r="D15450" s="111" t="str">
        <f t="shared" ref="D15450:E15450" si="15448">TRIM(B15450)</f>
        <v>Texas</v>
      </c>
      <c r="E15450" s="111" t="str">
        <f t="shared" si="15448"/>
        <v>Houston</v>
      </c>
    </row>
    <row r="15451" spans="1:5">
      <c r="A15451" s="110" t="s">
        <v>26955</v>
      </c>
      <c r="B15451" s="110" t="s">
        <v>1373</v>
      </c>
      <c r="C15451" s="111" t="s">
        <v>368</v>
      </c>
      <c r="D15451" s="111" t="str">
        <f t="shared" ref="D15451:E15451" si="15449">TRIM(B15451)</f>
        <v>Texas</v>
      </c>
      <c r="E15451" s="111" t="str">
        <f t="shared" si="15449"/>
        <v>Houston</v>
      </c>
    </row>
    <row r="15452" spans="1:5">
      <c r="A15452" s="3" t="s">
        <v>26956</v>
      </c>
      <c r="B15452" s="110" t="s">
        <v>1373</v>
      </c>
      <c r="C15452" s="111" t="s">
        <v>368</v>
      </c>
      <c r="D15452" s="111" t="str">
        <f t="shared" ref="D15452:E15452" si="15450">TRIM(B15452)</f>
        <v>Texas</v>
      </c>
      <c r="E15452" s="111" t="str">
        <f t="shared" si="15450"/>
        <v>Houston</v>
      </c>
    </row>
    <row r="15453" spans="1:5">
      <c r="A15453" s="110" t="s">
        <v>26957</v>
      </c>
      <c r="B15453" s="110" t="s">
        <v>1373</v>
      </c>
      <c r="C15453" s="111" t="s">
        <v>368</v>
      </c>
      <c r="D15453" s="111" t="str">
        <f t="shared" ref="D15453:E15453" si="15451">TRIM(B15453)</f>
        <v>Texas</v>
      </c>
      <c r="E15453" s="111" t="str">
        <f t="shared" si="15451"/>
        <v>Houston</v>
      </c>
    </row>
    <row r="15454" spans="1:5">
      <c r="A15454" s="110" t="s">
        <v>26256</v>
      </c>
      <c r="B15454" s="110" t="s">
        <v>1373</v>
      </c>
      <c r="C15454" s="111" t="s">
        <v>368</v>
      </c>
      <c r="D15454" s="111" t="str">
        <f t="shared" ref="D15454:E15454" si="15452">TRIM(B15454)</f>
        <v>Texas</v>
      </c>
      <c r="E15454" s="111" t="str">
        <f t="shared" si="15452"/>
        <v>Houston</v>
      </c>
    </row>
    <row r="15455" spans="1:5">
      <c r="A15455" s="110" t="s">
        <v>26958</v>
      </c>
      <c r="B15455" s="110" t="s">
        <v>1373</v>
      </c>
      <c r="C15455" s="111" t="s">
        <v>368</v>
      </c>
      <c r="D15455" s="111" t="str">
        <f t="shared" ref="D15455:E15455" si="15453">TRIM(B15455)</f>
        <v>Texas</v>
      </c>
      <c r="E15455" s="111" t="str">
        <f t="shared" si="15453"/>
        <v>Houston</v>
      </c>
    </row>
    <row r="15456" spans="1:5">
      <c r="A15456" s="110" t="s">
        <v>26959</v>
      </c>
      <c r="B15456" s="110" t="s">
        <v>1373</v>
      </c>
      <c r="C15456" s="111" t="s">
        <v>368</v>
      </c>
      <c r="D15456" s="111" t="str">
        <f t="shared" ref="D15456:E15456" si="15454">TRIM(B15456)</f>
        <v>Texas</v>
      </c>
      <c r="E15456" s="111" t="str">
        <f t="shared" si="15454"/>
        <v>Houston</v>
      </c>
    </row>
    <row r="15457" spans="1:5">
      <c r="A15457" s="110" t="s">
        <v>26960</v>
      </c>
      <c r="B15457" s="110" t="s">
        <v>1373</v>
      </c>
      <c r="C15457" s="111" t="s">
        <v>368</v>
      </c>
      <c r="D15457" s="111" t="str">
        <f t="shared" ref="D15457:E15457" si="15455">TRIM(B15457)</f>
        <v>Texas</v>
      </c>
      <c r="E15457" s="111" t="str">
        <f t="shared" si="15455"/>
        <v>Houston</v>
      </c>
    </row>
    <row r="15458" spans="1:5">
      <c r="A15458" s="110" t="s">
        <v>26961</v>
      </c>
      <c r="B15458" s="110" t="s">
        <v>1373</v>
      </c>
      <c r="C15458" s="111" t="s">
        <v>368</v>
      </c>
      <c r="D15458" s="111" t="str">
        <f t="shared" ref="D15458:E15458" si="15456">TRIM(B15458)</f>
        <v>Texas</v>
      </c>
      <c r="E15458" s="111" t="str">
        <f t="shared" si="15456"/>
        <v>Houston</v>
      </c>
    </row>
    <row r="15459" spans="1:5">
      <c r="A15459" s="110" t="s">
        <v>26962</v>
      </c>
      <c r="B15459" s="110" t="s">
        <v>1373</v>
      </c>
      <c r="C15459" s="111" t="s">
        <v>368</v>
      </c>
      <c r="D15459" s="111" t="str">
        <f t="shared" ref="D15459:E15459" si="15457">TRIM(B15459)</f>
        <v>Texas</v>
      </c>
      <c r="E15459" s="111" t="str">
        <f t="shared" si="15457"/>
        <v>Houston</v>
      </c>
    </row>
    <row r="15460" spans="1:5">
      <c r="A15460" s="110" t="s">
        <v>26963</v>
      </c>
      <c r="B15460" s="110" t="s">
        <v>1373</v>
      </c>
      <c r="C15460" s="111" t="s">
        <v>368</v>
      </c>
      <c r="D15460" s="111" t="str">
        <f t="shared" ref="D15460:E15460" si="15458">TRIM(B15460)</f>
        <v>Texas</v>
      </c>
      <c r="E15460" s="111" t="str">
        <f t="shared" si="15458"/>
        <v>Houston</v>
      </c>
    </row>
    <row r="15461" spans="1:5">
      <c r="A15461" s="110" t="s">
        <v>26964</v>
      </c>
      <c r="B15461" s="110" t="s">
        <v>1373</v>
      </c>
      <c r="C15461" s="111" t="s">
        <v>368</v>
      </c>
      <c r="D15461" s="111" t="str">
        <f t="shared" ref="D15461:E15461" si="15459">TRIM(B15461)</f>
        <v>Texas</v>
      </c>
      <c r="E15461" s="111" t="str">
        <f t="shared" si="15459"/>
        <v>Houston</v>
      </c>
    </row>
    <row r="15462" spans="1:5">
      <c r="A15462" s="3" t="s">
        <v>26965</v>
      </c>
      <c r="B15462" s="110" t="s">
        <v>1373</v>
      </c>
      <c r="C15462" s="111" t="s">
        <v>368</v>
      </c>
      <c r="D15462" s="111" t="str">
        <f t="shared" ref="D15462:E15462" si="15460">TRIM(B15462)</f>
        <v>Texas</v>
      </c>
      <c r="E15462" s="111" t="str">
        <f t="shared" si="15460"/>
        <v>Houston</v>
      </c>
    </row>
    <row r="15463" spans="1:5">
      <c r="A15463" s="110" t="s">
        <v>26966</v>
      </c>
      <c r="B15463" s="110" t="s">
        <v>1373</v>
      </c>
      <c r="C15463" s="111" t="s">
        <v>368</v>
      </c>
      <c r="D15463" s="111" t="str">
        <f t="shared" ref="D15463:E15463" si="15461">TRIM(B15463)</f>
        <v>Texas</v>
      </c>
      <c r="E15463" s="111" t="str">
        <f t="shared" si="15461"/>
        <v>Houston</v>
      </c>
    </row>
    <row r="15464" spans="1:5">
      <c r="A15464" s="110" t="s">
        <v>26967</v>
      </c>
      <c r="B15464" s="110" t="s">
        <v>1373</v>
      </c>
      <c r="C15464" s="111" t="s">
        <v>368</v>
      </c>
      <c r="D15464" s="111" t="str">
        <f t="shared" ref="D15464:E15464" si="15462">TRIM(B15464)</f>
        <v>Texas</v>
      </c>
      <c r="E15464" s="111" t="str">
        <f t="shared" si="15462"/>
        <v>Houston</v>
      </c>
    </row>
    <row r="15465" spans="1:5">
      <c r="A15465" s="110" t="s">
        <v>26968</v>
      </c>
      <c r="B15465" s="110" t="s">
        <v>1373</v>
      </c>
      <c r="C15465" s="111" t="s">
        <v>368</v>
      </c>
      <c r="D15465" s="111" t="str">
        <f t="shared" ref="D15465:E15465" si="15463">TRIM(B15465)</f>
        <v>Texas</v>
      </c>
      <c r="E15465" s="111" t="str">
        <f t="shared" si="15463"/>
        <v>Houston</v>
      </c>
    </row>
    <row r="15466" spans="1:5">
      <c r="A15466" s="110" t="s">
        <v>26969</v>
      </c>
      <c r="B15466" s="110" t="s">
        <v>1373</v>
      </c>
      <c r="C15466" s="111" t="s">
        <v>368</v>
      </c>
      <c r="D15466" s="111" t="str">
        <f t="shared" ref="D15466:E15466" si="15464">TRIM(B15466)</f>
        <v>Texas</v>
      </c>
      <c r="E15466" s="111" t="str">
        <f t="shared" si="15464"/>
        <v>Houston</v>
      </c>
    </row>
    <row r="15467" spans="1:5">
      <c r="A15467" s="110" t="s">
        <v>26970</v>
      </c>
      <c r="B15467" s="110" t="s">
        <v>1373</v>
      </c>
      <c r="C15467" s="111" t="s">
        <v>368</v>
      </c>
      <c r="D15467" s="111" t="str">
        <f t="shared" ref="D15467:E15467" si="15465">TRIM(B15467)</f>
        <v>Texas</v>
      </c>
      <c r="E15467" s="111" t="str">
        <f t="shared" si="15465"/>
        <v>Houston</v>
      </c>
    </row>
    <row r="15468" spans="1:5">
      <c r="A15468" s="110" t="s">
        <v>26971</v>
      </c>
      <c r="B15468" s="110" t="s">
        <v>1373</v>
      </c>
      <c r="C15468" s="111" t="s">
        <v>368</v>
      </c>
      <c r="D15468" s="111" t="str">
        <f t="shared" ref="D15468:E15468" si="15466">TRIM(B15468)</f>
        <v>Texas</v>
      </c>
      <c r="E15468" s="111" t="str">
        <f t="shared" si="15466"/>
        <v>Houston</v>
      </c>
    </row>
    <row r="15469" spans="1:5">
      <c r="A15469" s="110" t="s">
        <v>26972</v>
      </c>
      <c r="B15469" s="110" t="s">
        <v>1373</v>
      </c>
      <c r="C15469" s="111" t="s">
        <v>368</v>
      </c>
      <c r="D15469" s="111" t="str">
        <f t="shared" ref="D15469:E15469" si="15467">TRIM(B15469)</f>
        <v>Texas</v>
      </c>
      <c r="E15469" s="111" t="str">
        <f t="shared" si="15467"/>
        <v>Houston</v>
      </c>
    </row>
    <row r="15470" spans="1:5">
      <c r="A15470" s="110" t="s">
        <v>26973</v>
      </c>
      <c r="B15470" s="110" t="s">
        <v>1373</v>
      </c>
      <c r="C15470" s="111" t="s">
        <v>368</v>
      </c>
      <c r="D15470" s="111" t="str">
        <f t="shared" ref="D15470:E15470" si="15468">TRIM(B15470)</f>
        <v>Texas</v>
      </c>
      <c r="E15470" s="111" t="str">
        <f t="shared" si="15468"/>
        <v>Houston</v>
      </c>
    </row>
    <row r="15471" spans="1:5">
      <c r="A15471" s="110" t="s">
        <v>26974</v>
      </c>
      <c r="B15471" s="110" t="s">
        <v>1373</v>
      </c>
      <c r="C15471" s="111" t="s">
        <v>368</v>
      </c>
      <c r="D15471" s="111" t="str">
        <f t="shared" ref="D15471:E15471" si="15469">TRIM(B15471)</f>
        <v>Texas</v>
      </c>
      <c r="E15471" s="111" t="str">
        <f t="shared" si="15469"/>
        <v>Houston</v>
      </c>
    </row>
    <row r="15472" spans="1:5">
      <c r="A15472" s="110" t="s">
        <v>26975</v>
      </c>
      <c r="B15472" s="110" t="s">
        <v>1373</v>
      </c>
      <c r="C15472" s="111" t="s">
        <v>368</v>
      </c>
      <c r="D15472" s="111" t="str">
        <f t="shared" ref="D15472:E15472" si="15470">TRIM(B15472)</f>
        <v>Texas</v>
      </c>
      <c r="E15472" s="111" t="str">
        <f t="shared" si="15470"/>
        <v>Houston</v>
      </c>
    </row>
    <row r="15473" spans="1:5">
      <c r="A15473" s="110" t="s">
        <v>26976</v>
      </c>
      <c r="B15473" s="110" t="s">
        <v>1373</v>
      </c>
      <c r="C15473" s="111" t="s">
        <v>368</v>
      </c>
      <c r="D15473" s="111" t="str">
        <f t="shared" ref="D15473:E15473" si="15471">TRIM(B15473)</f>
        <v>Texas</v>
      </c>
      <c r="E15473" s="111" t="str">
        <f t="shared" si="15471"/>
        <v>Houston</v>
      </c>
    </row>
    <row r="15474" spans="1:5">
      <c r="A15474" s="110" t="s">
        <v>26977</v>
      </c>
      <c r="B15474" s="110" t="s">
        <v>1373</v>
      </c>
      <c r="C15474" s="111" t="s">
        <v>368</v>
      </c>
      <c r="D15474" s="111" t="str">
        <f t="shared" ref="D15474:E15474" si="15472">TRIM(B15474)</f>
        <v>Texas</v>
      </c>
      <c r="E15474" s="111" t="str">
        <f t="shared" si="15472"/>
        <v>Houston</v>
      </c>
    </row>
    <row r="15475" spans="1:5">
      <c r="A15475" s="3" t="s">
        <v>26978</v>
      </c>
      <c r="B15475" s="110" t="s">
        <v>1373</v>
      </c>
      <c r="C15475" s="111" t="s">
        <v>368</v>
      </c>
      <c r="D15475" s="111" t="str">
        <f t="shared" ref="D15475:E15475" si="15473">TRIM(B15475)</f>
        <v>Texas</v>
      </c>
      <c r="E15475" s="111" t="str">
        <f t="shared" si="15473"/>
        <v>Houston</v>
      </c>
    </row>
    <row r="15476" spans="1:5">
      <c r="A15476" s="110" t="s">
        <v>26979</v>
      </c>
      <c r="B15476" s="110" t="s">
        <v>1373</v>
      </c>
      <c r="C15476" s="111" t="s">
        <v>368</v>
      </c>
      <c r="D15476" s="111" t="str">
        <f t="shared" ref="D15476:E15476" si="15474">TRIM(B15476)</f>
        <v>Texas</v>
      </c>
      <c r="E15476" s="111" t="str">
        <f t="shared" si="15474"/>
        <v>Houston</v>
      </c>
    </row>
    <row r="15477" spans="1:5">
      <c r="A15477" s="110" t="s">
        <v>26980</v>
      </c>
      <c r="B15477" s="110" t="s">
        <v>1373</v>
      </c>
      <c r="C15477" s="111" t="s">
        <v>368</v>
      </c>
      <c r="D15477" s="111" t="str">
        <f t="shared" ref="D15477:E15477" si="15475">TRIM(B15477)</f>
        <v>Texas</v>
      </c>
      <c r="E15477" s="111" t="str">
        <f t="shared" si="15475"/>
        <v>Houston</v>
      </c>
    </row>
    <row r="15478" spans="1:5">
      <c r="A15478" s="110" t="s">
        <v>26981</v>
      </c>
      <c r="B15478" s="110" t="s">
        <v>1373</v>
      </c>
      <c r="C15478" s="111" t="s">
        <v>368</v>
      </c>
      <c r="D15478" s="111" t="str">
        <f t="shared" ref="D15478:E15478" si="15476">TRIM(B15478)</f>
        <v>Texas</v>
      </c>
      <c r="E15478" s="111" t="str">
        <f t="shared" si="15476"/>
        <v>Houston</v>
      </c>
    </row>
    <row r="15479" spans="1:5">
      <c r="A15479" s="110" t="s">
        <v>26982</v>
      </c>
      <c r="B15479" s="110" t="s">
        <v>1373</v>
      </c>
      <c r="C15479" s="111" t="s">
        <v>368</v>
      </c>
      <c r="D15479" s="111" t="str">
        <f t="shared" ref="D15479:E15479" si="15477">TRIM(B15479)</f>
        <v>Texas</v>
      </c>
      <c r="E15479" s="111" t="str">
        <f t="shared" si="15477"/>
        <v>Houston</v>
      </c>
    </row>
    <row r="15480" spans="1:5">
      <c r="A15480" s="3" t="s">
        <v>26983</v>
      </c>
      <c r="B15480" s="110" t="s">
        <v>1373</v>
      </c>
      <c r="C15480" s="111" t="s">
        <v>368</v>
      </c>
      <c r="D15480" s="111" t="str">
        <f t="shared" ref="D15480:E15480" si="15478">TRIM(B15480)</f>
        <v>Texas</v>
      </c>
      <c r="E15480" s="111" t="str">
        <f t="shared" si="15478"/>
        <v>Houston</v>
      </c>
    </row>
    <row r="15481" spans="1:5">
      <c r="A15481" s="110" t="s">
        <v>26984</v>
      </c>
      <c r="B15481" s="110" t="s">
        <v>1373</v>
      </c>
      <c r="C15481" s="111" t="s">
        <v>23860</v>
      </c>
      <c r="D15481" s="111" t="str">
        <f t="shared" ref="D15481:E15481" si="15479">TRIM(B15481)</f>
        <v>Texas</v>
      </c>
      <c r="E15481" s="111" t="str">
        <f t="shared" si="15479"/>
        <v>Howe</v>
      </c>
    </row>
    <row r="15482" spans="1:5">
      <c r="A15482" s="110" t="s">
        <v>26985</v>
      </c>
      <c r="B15482" s="110" t="s">
        <v>1373</v>
      </c>
      <c r="C15482" s="111" t="s">
        <v>23152</v>
      </c>
      <c r="D15482" s="111" t="str">
        <f t="shared" ref="D15482:E15482" si="15480">TRIM(B15482)</f>
        <v>Texas</v>
      </c>
      <c r="E15482" s="111" t="str">
        <f t="shared" si="15480"/>
        <v>Hubbard</v>
      </c>
    </row>
    <row r="15483" spans="1:5">
      <c r="A15483" s="110" t="s">
        <v>26986</v>
      </c>
      <c r="B15483" s="110" t="s">
        <v>1373</v>
      </c>
      <c r="C15483" s="111" t="s">
        <v>26987</v>
      </c>
      <c r="D15483" s="111" t="str">
        <f t="shared" ref="D15483:E15483" si="15481">TRIM(B15483)</f>
        <v>Texas</v>
      </c>
      <c r="E15483" s="111" t="str">
        <f t="shared" si="15481"/>
        <v>Huffman</v>
      </c>
    </row>
    <row r="15484" spans="1:5">
      <c r="A15484" s="110" t="s">
        <v>26988</v>
      </c>
      <c r="B15484" s="110" t="s">
        <v>1373</v>
      </c>
      <c r="C15484" s="111" t="s">
        <v>26989</v>
      </c>
      <c r="D15484" s="111" t="str">
        <f t="shared" ref="D15484:E15484" si="15482">TRIM(B15484)</f>
        <v>Texas</v>
      </c>
      <c r="E15484" s="111" t="str">
        <f t="shared" si="15482"/>
        <v>Hughes Springs</v>
      </c>
    </row>
    <row r="15485" spans="1:5">
      <c r="A15485" s="110" t="s">
        <v>26990</v>
      </c>
      <c r="B15485" s="110" t="s">
        <v>1373</v>
      </c>
      <c r="C15485" s="111" t="s">
        <v>438</v>
      </c>
      <c r="D15485" s="111" t="str">
        <f t="shared" ref="D15485:E15485" si="15483">TRIM(B15485)</f>
        <v>Texas</v>
      </c>
      <c r="E15485" s="111" t="str">
        <f t="shared" si="15483"/>
        <v>Humble</v>
      </c>
    </row>
    <row r="15486" spans="1:5">
      <c r="A15486" s="110" t="s">
        <v>26991</v>
      </c>
      <c r="B15486" s="110" t="s">
        <v>1373</v>
      </c>
      <c r="C15486" s="111" t="s">
        <v>438</v>
      </c>
      <c r="D15486" s="111" t="str">
        <f t="shared" ref="D15486:E15486" si="15484">TRIM(B15486)</f>
        <v>Texas</v>
      </c>
      <c r="E15486" s="111" t="str">
        <f t="shared" si="15484"/>
        <v>Humble</v>
      </c>
    </row>
    <row r="15487" spans="1:5">
      <c r="A15487" s="110" t="s">
        <v>26992</v>
      </c>
      <c r="B15487" s="110" t="s">
        <v>1373</v>
      </c>
      <c r="C15487" s="111" t="s">
        <v>438</v>
      </c>
      <c r="D15487" s="111" t="str">
        <f t="shared" ref="D15487:E15487" si="15485">TRIM(B15487)</f>
        <v>Texas</v>
      </c>
      <c r="E15487" s="111" t="str">
        <f t="shared" si="15485"/>
        <v>Humble</v>
      </c>
    </row>
    <row r="15488" spans="1:5">
      <c r="A15488" s="110" t="s">
        <v>26993</v>
      </c>
      <c r="B15488" s="110" t="s">
        <v>1373</v>
      </c>
      <c r="C15488" s="111" t="s">
        <v>1053</v>
      </c>
      <c r="D15488" s="111" t="str">
        <f t="shared" ref="D15488:E15488" si="15486">TRIM(B15488)</f>
        <v>Texas</v>
      </c>
      <c r="E15488" s="111" t="str">
        <f t="shared" si="15486"/>
        <v>Huntington</v>
      </c>
    </row>
    <row r="15489" spans="1:5">
      <c r="A15489" s="110" t="s">
        <v>26994</v>
      </c>
      <c r="B15489" s="110" t="s">
        <v>1373</v>
      </c>
      <c r="C15489" s="111" t="s">
        <v>472</v>
      </c>
      <c r="D15489" s="111" t="str">
        <f t="shared" ref="D15489:E15489" si="15487">TRIM(B15489)</f>
        <v>Texas</v>
      </c>
      <c r="E15489" s="111" t="str">
        <f t="shared" si="15487"/>
        <v>Huntsville</v>
      </c>
    </row>
    <row r="15490" spans="1:5">
      <c r="A15490" s="110" t="s">
        <v>26995</v>
      </c>
      <c r="B15490" s="110" t="s">
        <v>1373</v>
      </c>
      <c r="C15490" s="111" t="s">
        <v>472</v>
      </c>
      <c r="D15490" s="111" t="str">
        <f t="shared" ref="D15490:E15490" si="15488">TRIM(B15490)</f>
        <v>Texas</v>
      </c>
      <c r="E15490" s="111" t="str">
        <f t="shared" si="15488"/>
        <v>Huntsville</v>
      </c>
    </row>
    <row r="15491" spans="1:5">
      <c r="A15491" s="110" t="s">
        <v>26996</v>
      </c>
      <c r="B15491" s="110" t="s">
        <v>1373</v>
      </c>
      <c r="C15491" s="111" t="s">
        <v>287</v>
      </c>
      <c r="D15491" s="111" t="str">
        <f t="shared" ref="D15491:E15491" si="15489">TRIM(B15491)</f>
        <v>Texas</v>
      </c>
      <c r="E15491" s="111" t="str">
        <f t="shared" si="15489"/>
        <v>Hurst</v>
      </c>
    </row>
    <row r="15492" spans="1:5">
      <c r="A15492" s="3" t="s">
        <v>26997</v>
      </c>
      <c r="B15492" s="110" t="s">
        <v>1373</v>
      </c>
      <c r="C15492" s="111" t="s">
        <v>287</v>
      </c>
      <c r="D15492" s="111" t="str">
        <f t="shared" ref="D15492:E15492" si="15490">TRIM(B15492)</f>
        <v>Texas</v>
      </c>
      <c r="E15492" s="111" t="str">
        <f t="shared" si="15490"/>
        <v>Hurst</v>
      </c>
    </row>
    <row r="15493" spans="1:5">
      <c r="A15493" s="110" t="s">
        <v>26998</v>
      </c>
      <c r="B15493" s="110" t="s">
        <v>1373</v>
      </c>
      <c r="C15493" s="111" t="s">
        <v>3289</v>
      </c>
      <c r="D15493" s="111" t="str">
        <f t="shared" ref="D15493:E15493" si="15491">TRIM(B15493)</f>
        <v>Texas</v>
      </c>
      <c r="E15493" s="111" t="str">
        <f t="shared" si="15491"/>
        <v>Hutto</v>
      </c>
    </row>
    <row r="15494" spans="1:5">
      <c r="A15494" s="110" t="s">
        <v>26999</v>
      </c>
      <c r="B15494" s="110" t="s">
        <v>1373</v>
      </c>
      <c r="C15494" s="111" t="s">
        <v>27000</v>
      </c>
      <c r="D15494" s="111" t="str">
        <f t="shared" ref="D15494:E15494" si="15492">TRIM(B15494)</f>
        <v>Texas</v>
      </c>
      <c r="E15494" s="111" t="str">
        <f t="shared" si="15492"/>
        <v>Idalou</v>
      </c>
    </row>
    <row r="15495" spans="1:5">
      <c r="A15495" s="110" t="s">
        <v>27001</v>
      </c>
      <c r="B15495" s="110" t="s">
        <v>1373</v>
      </c>
      <c r="C15495" s="111" t="s">
        <v>27002</v>
      </c>
      <c r="D15495" s="111" t="str">
        <f t="shared" ref="D15495:E15495" si="15493">TRIM(B15495)</f>
        <v>Texas</v>
      </c>
      <c r="E15495" s="111" t="str">
        <f t="shared" si="15493"/>
        <v>Ingleside</v>
      </c>
    </row>
    <row r="15496" spans="1:5">
      <c r="A15496" s="110" t="s">
        <v>27003</v>
      </c>
      <c r="B15496" s="110" t="s">
        <v>1373</v>
      </c>
      <c r="C15496" s="111" t="s">
        <v>27004</v>
      </c>
      <c r="D15496" s="111" t="str">
        <f t="shared" ref="D15496:E15496" si="15494">TRIM(B15496)</f>
        <v>Texas</v>
      </c>
      <c r="E15496" s="111" t="str">
        <f t="shared" si="15494"/>
        <v>Ingram</v>
      </c>
    </row>
    <row r="15497" spans="1:5">
      <c r="A15497" s="110" t="s">
        <v>27005</v>
      </c>
      <c r="B15497" s="110" t="s">
        <v>1373</v>
      </c>
      <c r="C15497" s="111" t="s">
        <v>15331</v>
      </c>
      <c r="D15497" s="111" t="str">
        <f t="shared" ref="D15497:E15497" si="15495">TRIM(B15497)</f>
        <v>Texas</v>
      </c>
      <c r="E15497" s="111" t="str">
        <f t="shared" si="15495"/>
        <v>Iola</v>
      </c>
    </row>
    <row r="15498" spans="1:5">
      <c r="A15498" s="110" t="s">
        <v>27006</v>
      </c>
      <c r="B15498" s="110" t="s">
        <v>1373</v>
      </c>
      <c r="C15498" s="111" t="s">
        <v>27007</v>
      </c>
      <c r="D15498" s="111" t="str">
        <f t="shared" ref="D15498:E15498" si="15496">TRIM(B15498)</f>
        <v>Texas</v>
      </c>
      <c r="E15498" s="111" t="str">
        <f t="shared" si="15496"/>
        <v>Iowa Park</v>
      </c>
    </row>
    <row r="15499" spans="1:5">
      <c r="A15499" s="110" t="s">
        <v>27008</v>
      </c>
      <c r="B15499" s="110" t="s">
        <v>1373</v>
      </c>
      <c r="C15499" s="111" t="s">
        <v>27009</v>
      </c>
      <c r="D15499" s="111" t="str">
        <f t="shared" ref="D15499:E15499" si="15497">TRIM(B15499)</f>
        <v>Texas</v>
      </c>
      <c r="E15499" s="111" t="str">
        <f t="shared" si="15497"/>
        <v>Iraan</v>
      </c>
    </row>
    <row r="15500" spans="1:5">
      <c r="A15500" s="110" t="s">
        <v>27010</v>
      </c>
      <c r="B15500" s="110" t="s">
        <v>1373</v>
      </c>
      <c r="C15500" s="112" t="s">
        <v>27011</v>
      </c>
      <c r="D15500" s="111" t="str">
        <f t="shared" ref="D15500:E15500" si="15498">TRIM(B15500)</f>
        <v>Texas</v>
      </c>
      <c r="E15500" s="111" t="str">
        <f t="shared" si="15498"/>
        <v>Irving</v>
      </c>
    </row>
    <row r="15501" spans="1:5">
      <c r="A15501" s="3" t="s">
        <v>27012</v>
      </c>
      <c r="B15501" s="110" t="s">
        <v>1373</v>
      </c>
      <c r="C15501" s="111" t="s">
        <v>27011</v>
      </c>
      <c r="D15501" s="111" t="str">
        <f t="shared" ref="D15501:E15501" si="15499">TRIM(B15501)</f>
        <v>Texas</v>
      </c>
      <c r="E15501" s="111" t="str">
        <f t="shared" si="15499"/>
        <v>Irving</v>
      </c>
    </row>
    <row r="15502" spans="1:5">
      <c r="A15502" s="110" t="s">
        <v>26941</v>
      </c>
      <c r="B15502" s="110" t="s">
        <v>1373</v>
      </c>
      <c r="C15502" s="111" t="s">
        <v>27011</v>
      </c>
      <c r="D15502" s="111" t="str">
        <f t="shared" ref="D15502:E15502" si="15500">TRIM(B15502)</f>
        <v>Texas</v>
      </c>
      <c r="E15502" s="111" t="str">
        <f t="shared" si="15500"/>
        <v>Irving</v>
      </c>
    </row>
    <row r="15503" spans="1:5">
      <c r="A15503" s="3" t="s">
        <v>27013</v>
      </c>
      <c r="B15503" s="110" t="s">
        <v>1373</v>
      </c>
      <c r="C15503" s="111" t="s">
        <v>27011</v>
      </c>
      <c r="D15503" s="111" t="str">
        <f t="shared" ref="D15503:E15503" si="15501">TRIM(B15503)</f>
        <v>Texas</v>
      </c>
      <c r="E15503" s="111" t="str">
        <f t="shared" si="15501"/>
        <v>Irving</v>
      </c>
    </row>
    <row r="15504" spans="1:5">
      <c r="A15504" s="110" t="s">
        <v>26947</v>
      </c>
      <c r="B15504" s="110" t="s">
        <v>1373</v>
      </c>
      <c r="C15504" s="111" t="s">
        <v>27011</v>
      </c>
      <c r="D15504" s="111" t="str">
        <f t="shared" ref="D15504:E15504" si="15502">TRIM(B15504)</f>
        <v>Texas</v>
      </c>
      <c r="E15504" s="111" t="str">
        <f t="shared" si="15502"/>
        <v>Irving</v>
      </c>
    </row>
    <row r="15505" spans="1:5">
      <c r="A15505" s="110" t="s">
        <v>27014</v>
      </c>
      <c r="B15505" s="110" t="s">
        <v>1373</v>
      </c>
      <c r="C15505" s="111" t="s">
        <v>27011</v>
      </c>
      <c r="D15505" s="111" t="str">
        <f t="shared" ref="D15505:E15505" si="15503">TRIM(B15505)</f>
        <v>Texas</v>
      </c>
      <c r="E15505" s="111" t="str">
        <f t="shared" si="15503"/>
        <v>Irving</v>
      </c>
    </row>
    <row r="15506" spans="1:5">
      <c r="A15506" s="110" t="s">
        <v>27015</v>
      </c>
      <c r="B15506" s="110" t="s">
        <v>1373</v>
      </c>
      <c r="C15506" s="111" t="s">
        <v>27016</v>
      </c>
      <c r="D15506" s="111" t="str">
        <f t="shared" ref="D15506:E15506" si="15504">TRIM(B15506)</f>
        <v>Texas</v>
      </c>
      <c r="E15506" s="111" t="str">
        <f t="shared" si="15504"/>
        <v>Italy</v>
      </c>
    </row>
    <row r="15507" spans="1:5">
      <c r="A15507" s="110" t="s">
        <v>27017</v>
      </c>
      <c r="B15507" s="110" t="s">
        <v>1373</v>
      </c>
      <c r="C15507" s="111" t="s">
        <v>27018</v>
      </c>
      <c r="D15507" s="111" t="str">
        <f t="shared" ref="D15507:E15507" si="15505">TRIM(B15507)</f>
        <v>Texas</v>
      </c>
      <c r="E15507" s="111" t="str">
        <f t="shared" si="15505"/>
        <v>Itasca</v>
      </c>
    </row>
    <row r="15508" spans="1:5">
      <c r="A15508" s="110" t="s">
        <v>27019</v>
      </c>
      <c r="B15508" s="110" t="s">
        <v>1373</v>
      </c>
      <c r="C15508" s="111" t="s">
        <v>27020</v>
      </c>
      <c r="D15508" s="111" t="str">
        <f t="shared" ref="D15508:E15508" si="15506">TRIM(B15508)</f>
        <v>Texas</v>
      </c>
      <c r="E15508" s="111" t="str">
        <f t="shared" si="15506"/>
        <v>Ivanhoe</v>
      </c>
    </row>
    <row r="15509" spans="1:5">
      <c r="A15509" s="110" t="s">
        <v>27021</v>
      </c>
      <c r="B15509" s="110" t="s">
        <v>1373</v>
      </c>
      <c r="C15509" s="111" t="s">
        <v>495</v>
      </c>
      <c r="D15509" s="111" t="str">
        <f t="shared" ref="D15509:E15509" si="15507">TRIM(B15509)</f>
        <v>Texas</v>
      </c>
      <c r="E15509" s="111" t="str">
        <f t="shared" si="15507"/>
        <v>Jacksboro</v>
      </c>
    </row>
    <row r="15510" spans="1:5">
      <c r="A15510" s="110" t="s">
        <v>27022</v>
      </c>
      <c r="B15510" s="110" t="s">
        <v>1373</v>
      </c>
      <c r="C15510" s="111" t="s">
        <v>1045</v>
      </c>
      <c r="D15510" s="111" t="str">
        <f t="shared" ref="D15510:E15510" si="15508">TRIM(B15510)</f>
        <v>Texas</v>
      </c>
      <c r="E15510" s="111" t="str">
        <f t="shared" si="15508"/>
        <v>Jacksonville</v>
      </c>
    </row>
    <row r="15511" spans="1:5">
      <c r="A15511" s="110" t="s">
        <v>27023</v>
      </c>
      <c r="B15511" s="110" t="s">
        <v>1373</v>
      </c>
      <c r="C15511" s="111" t="s">
        <v>27024</v>
      </c>
      <c r="D15511" s="111" t="str">
        <f t="shared" ref="D15511:E15511" si="15509">TRIM(B15511)</f>
        <v>Texas</v>
      </c>
      <c r="E15511" s="111" t="str">
        <f t="shared" si="15509"/>
        <v>Jarrell</v>
      </c>
    </row>
    <row r="15512" spans="1:5">
      <c r="A15512" s="110" t="s">
        <v>27025</v>
      </c>
      <c r="B15512" s="110" t="s">
        <v>1373</v>
      </c>
      <c r="C15512" s="111" t="s">
        <v>263</v>
      </c>
      <c r="D15512" s="111" t="str">
        <f t="shared" ref="D15512:E15512" si="15510">TRIM(B15512)</f>
        <v>Texas</v>
      </c>
      <c r="E15512" s="111" t="str">
        <f t="shared" si="15510"/>
        <v>Jasper</v>
      </c>
    </row>
    <row r="15513" spans="1:5">
      <c r="A15513" s="110" t="s">
        <v>26637</v>
      </c>
      <c r="B15513" s="110" t="s">
        <v>1373</v>
      </c>
      <c r="C15513" s="111" t="s">
        <v>7891</v>
      </c>
      <c r="D15513" s="111" t="str">
        <f t="shared" ref="D15513:E15513" si="15511">TRIM(B15513)</f>
        <v>Texas</v>
      </c>
      <c r="E15513" s="111" t="str">
        <f t="shared" si="15511"/>
        <v>Jefferson</v>
      </c>
    </row>
    <row r="15514" spans="1:5">
      <c r="A15514" s="110" t="s">
        <v>27026</v>
      </c>
      <c r="B15514" s="110" t="s">
        <v>1373</v>
      </c>
      <c r="C15514" s="111" t="s">
        <v>27027</v>
      </c>
      <c r="D15514" s="111" t="str">
        <f t="shared" ref="D15514:E15514" si="15512">TRIM(B15514)</f>
        <v>Texas</v>
      </c>
      <c r="E15514" s="111" t="str">
        <f t="shared" si="15512"/>
        <v>Jewett</v>
      </c>
    </row>
    <row r="15515" spans="1:5">
      <c r="A15515" s="110" t="s">
        <v>27028</v>
      </c>
      <c r="B15515" s="110" t="s">
        <v>1373</v>
      </c>
      <c r="C15515" s="111" t="s">
        <v>27029</v>
      </c>
      <c r="D15515" s="111" t="str">
        <f t="shared" ref="D15515:E15515" si="15513">TRIM(B15515)</f>
        <v>Texas</v>
      </c>
      <c r="E15515" s="111" t="str">
        <f t="shared" si="15513"/>
        <v>Joaquin</v>
      </c>
    </row>
    <row r="15516" spans="1:5">
      <c r="A15516" s="110" t="s">
        <v>27030</v>
      </c>
      <c r="B15516" s="110" t="s">
        <v>1373</v>
      </c>
      <c r="C15516" s="111" t="s">
        <v>6545</v>
      </c>
      <c r="D15516" s="111" t="str">
        <f t="shared" ref="D15516:E15516" si="15514">TRIM(B15516)</f>
        <v>Texas</v>
      </c>
      <c r="E15516" s="111" t="str">
        <f t="shared" si="15514"/>
        <v>Johnson City</v>
      </c>
    </row>
    <row r="15517" spans="1:5">
      <c r="A15517" s="110" t="s">
        <v>27031</v>
      </c>
      <c r="B15517" s="110" t="s">
        <v>1373</v>
      </c>
      <c r="C15517" s="112" t="s">
        <v>27032</v>
      </c>
      <c r="D15517" s="111" t="str">
        <f t="shared" ref="D15517:E15517" si="15515">TRIM(B15517)</f>
        <v>Texas</v>
      </c>
      <c r="E15517" s="111" t="str">
        <f t="shared" si="15515"/>
        <v>Joshua</v>
      </c>
    </row>
    <row r="15518" spans="1:5">
      <c r="A15518" s="110" t="s">
        <v>27033</v>
      </c>
      <c r="B15518" s="110" t="s">
        <v>1373</v>
      </c>
      <c r="C15518" s="111" t="s">
        <v>27034</v>
      </c>
      <c r="D15518" s="111" t="str">
        <f t="shared" ref="D15518:E15518" si="15516">TRIM(B15518)</f>
        <v>Texas</v>
      </c>
      <c r="E15518" s="111" t="str">
        <f t="shared" si="15516"/>
        <v>Jourdanton</v>
      </c>
    </row>
    <row r="15519" spans="1:5">
      <c r="A15519" s="110" t="s">
        <v>27035</v>
      </c>
      <c r="B15519" s="110" t="s">
        <v>1373</v>
      </c>
      <c r="C15519" s="111" t="s">
        <v>13133</v>
      </c>
      <c r="D15519" s="111" t="str">
        <f t="shared" ref="D15519:E15519" si="15517">TRIM(B15519)</f>
        <v>Texas</v>
      </c>
      <c r="E15519" s="111" t="str">
        <f t="shared" si="15517"/>
        <v>Junction</v>
      </c>
    </row>
    <row r="15520" spans="1:5">
      <c r="A15520" s="110" t="s">
        <v>27036</v>
      </c>
      <c r="B15520" s="110" t="s">
        <v>1373</v>
      </c>
      <c r="C15520" s="111" t="s">
        <v>27037</v>
      </c>
      <c r="D15520" s="111" t="str">
        <f t="shared" ref="D15520:E15520" si="15518">TRIM(B15520)</f>
        <v>Texas</v>
      </c>
      <c r="E15520" s="111" t="str">
        <f t="shared" si="15518"/>
        <v>Justin</v>
      </c>
    </row>
    <row r="15521" spans="1:5">
      <c r="A15521" s="110" t="s">
        <v>27038</v>
      </c>
      <c r="B15521" s="110" t="s">
        <v>1373</v>
      </c>
      <c r="C15521" s="111" t="s">
        <v>27039</v>
      </c>
      <c r="D15521" s="111" t="str">
        <f t="shared" ref="D15521:E15521" si="15519">TRIM(B15521)</f>
        <v>Texas</v>
      </c>
      <c r="E15521" s="111" t="str">
        <f t="shared" si="15519"/>
        <v>Karnes City</v>
      </c>
    </row>
    <row r="15522" spans="1:5">
      <c r="A15522" s="110" t="s">
        <v>27040</v>
      </c>
      <c r="B15522" s="110" t="s">
        <v>1373</v>
      </c>
      <c r="C15522" s="111" t="s">
        <v>1265</v>
      </c>
      <c r="D15522" s="111" t="str">
        <f t="shared" ref="D15522:E15522" si="15520">TRIM(B15522)</f>
        <v>Texas</v>
      </c>
      <c r="E15522" s="111" t="str">
        <f t="shared" si="15520"/>
        <v>Katy</v>
      </c>
    </row>
    <row r="15523" spans="1:5">
      <c r="A15523" s="110" t="s">
        <v>27041</v>
      </c>
      <c r="B15523" s="110" t="s">
        <v>1373</v>
      </c>
      <c r="C15523" s="111" t="s">
        <v>1265</v>
      </c>
      <c r="D15523" s="111" t="str">
        <f t="shared" ref="D15523:E15523" si="15521">TRIM(B15523)</f>
        <v>Texas</v>
      </c>
      <c r="E15523" s="111" t="str">
        <f t="shared" si="15521"/>
        <v>Katy</v>
      </c>
    </row>
    <row r="15524" spans="1:5">
      <c r="A15524" s="110" t="s">
        <v>27042</v>
      </c>
      <c r="B15524" s="110" t="s">
        <v>1373</v>
      </c>
      <c r="C15524" s="111" t="s">
        <v>1265</v>
      </c>
      <c r="D15524" s="111" t="str">
        <f t="shared" ref="D15524:E15524" si="15522">TRIM(B15524)</f>
        <v>Texas</v>
      </c>
      <c r="E15524" s="111" t="str">
        <f t="shared" si="15522"/>
        <v>Katy</v>
      </c>
    </row>
    <row r="15525" spans="1:5">
      <c r="A15525" s="110" t="s">
        <v>27043</v>
      </c>
      <c r="B15525" s="110" t="s">
        <v>1373</v>
      </c>
      <c r="C15525" s="111" t="s">
        <v>1265</v>
      </c>
      <c r="D15525" s="111" t="str">
        <f t="shared" ref="D15525:E15525" si="15523">TRIM(B15525)</f>
        <v>Texas</v>
      </c>
      <c r="E15525" s="111" t="str">
        <f t="shared" si="15523"/>
        <v>Katy</v>
      </c>
    </row>
    <row r="15526" spans="1:5">
      <c r="A15526" s="110" t="s">
        <v>27044</v>
      </c>
      <c r="B15526" s="110" t="s">
        <v>1373</v>
      </c>
      <c r="C15526" s="111" t="s">
        <v>1265</v>
      </c>
      <c r="D15526" s="111" t="str">
        <f t="shared" ref="D15526:E15526" si="15524">TRIM(B15526)</f>
        <v>Texas</v>
      </c>
      <c r="E15526" s="111" t="str">
        <f t="shared" si="15524"/>
        <v>Katy</v>
      </c>
    </row>
    <row r="15527" spans="1:5">
      <c r="A15527" s="110" t="s">
        <v>27045</v>
      </c>
      <c r="B15527" s="110" t="s">
        <v>1373</v>
      </c>
      <c r="C15527" s="111" t="s">
        <v>1265</v>
      </c>
      <c r="D15527" s="111" t="str">
        <f t="shared" ref="D15527:E15527" si="15525">TRIM(B15527)</f>
        <v>Texas</v>
      </c>
      <c r="E15527" s="111" t="str">
        <f t="shared" si="15525"/>
        <v>Katy</v>
      </c>
    </row>
    <row r="15528" spans="1:5">
      <c r="A15528" s="110" t="s">
        <v>27046</v>
      </c>
      <c r="B15528" s="110" t="s">
        <v>1373</v>
      </c>
      <c r="C15528" s="111" t="s">
        <v>1265</v>
      </c>
      <c r="D15528" s="111" t="str">
        <f t="shared" ref="D15528:E15528" si="15526">TRIM(B15528)</f>
        <v>Texas</v>
      </c>
      <c r="E15528" s="111" t="str">
        <f t="shared" si="15526"/>
        <v>Katy</v>
      </c>
    </row>
    <row r="15529" spans="1:5">
      <c r="A15529" s="110" t="s">
        <v>26960</v>
      </c>
      <c r="B15529" s="110" t="s">
        <v>1373</v>
      </c>
      <c r="C15529" s="111" t="s">
        <v>1265</v>
      </c>
      <c r="D15529" s="111" t="str">
        <f t="shared" ref="D15529:E15529" si="15527">TRIM(B15529)</f>
        <v>Texas</v>
      </c>
      <c r="E15529" s="111" t="str">
        <f t="shared" si="15527"/>
        <v>Katy</v>
      </c>
    </row>
    <row r="15530" spans="1:5">
      <c r="A15530" s="110" t="s">
        <v>27047</v>
      </c>
      <c r="B15530" s="110" t="s">
        <v>1373</v>
      </c>
      <c r="C15530" s="111" t="s">
        <v>1265</v>
      </c>
      <c r="D15530" s="111" t="str">
        <f t="shared" ref="D15530:E15530" si="15528">TRIM(B15530)</f>
        <v>Texas</v>
      </c>
      <c r="E15530" s="111" t="str">
        <f t="shared" si="15528"/>
        <v>Katy</v>
      </c>
    </row>
    <row r="15531" spans="1:5">
      <c r="A15531" s="110" t="s">
        <v>27048</v>
      </c>
      <c r="B15531" s="110" t="s">
        <v>1373</v>
      </c>
      <c r="C15531" s="111" t="s">
        <v>27049</v>
      </c>
      <c r="D15531" s="111" t="str">
        <f t="shared" ref="D15531:E15531" si="15529">TRIM(B15531)</f>
        <v>Texas</v>
      </c>
      <c r="E15531" s="111" t="str">
        <f t="shared" si="15529"/>
        <v>Kaufman</v>
      </c>
    </row>
    <row r="15532" spans="1:5">
      <c r="A15532" s="110" t="s">
        <v>27050</v>
      </c>
      <c r="B15532" s="110" t="s">
        <v>1373</v>
      </c>
      <c r="C15532" s="111" t="s">
        <v>11978</v>
      </c>
      <c r="D15532" s="111" t="str">
        <f t="shared" ref="D15532:E15532" si="15530">TRIM(B15532)</f>
        <v>Texas</v>
      </c>
      <c r="E15532" s="111" t="str">
        <f t="shared" si="15530"/>
        <v>Keene</v>
      </c>
    </row>
    <row r="15533" spans="1:5">
      <c r="A15533" s="110" t="s">
        <v>27051</v>
      </c>
      <c r="B15533" s="110" t="s">
        <v>1373</v>
      </c>
      <c r="C15533" s="111" t="s">
        <v>7307</v>
      </c>
      <c r="D15533" s="111" t="str">
        <f t="shared" ref="D15533:E15533" si="15531">TRIM(B15533)</f>
        <v>Texas</v>
      </c>
      <c r="E15533" s="111" t="str">
        <f t="shared" si="15531"/>
        <v>Keller</v>
      </c>
    </row>
    <row r="15534" spans="1:5">
      <c r="A15534" s="110" t="s">
        <v>27052</v>
      </c>
      <c r="B15534" s="110" t="s">
        <v>1373</v>
      </c>
      <c r="C15534" s="111" t="s">
        <v>7307</v>
      </c>
      <c r="D15534" s="111" t="str">
        <f t="shared" ref="D15534:E15534" si="15532">TRIM(B15534)</f>
        <v>Texas</v>
      </c>
      <c r="E15534" s="111" t="str">
        <f t="shared" si="15532"/>
        <v>Keller</v>
      </c>
    </row>
    <row r="15535" spans="1:5">
      <c r="A15535" s="110" t="s">
        <v>27053</v>
      </c>
      <c r="B15535" s="110" t="s">
        <v>1373</v>
      </c>
      <c r="C15535" s="111" t="s">
        <v>7307</v>
      </c>
      <c r="D15535" s="111" t="str">
        <f t="shared" ref="D15535:E15535" si="15533">TRIM(B15535)</f>
        <v>Texas</v>
      </c>
      <c r="E15535" s="111" t="str">
        <f t="shared" si="15533"/>
        <v>Keller</v>
      </c>
    </row>
    <row r="15536" spans="1:5">
      <c r="A15536" s="110" t="s">
        <v>27054</v>
      </c>
      <c r="B15536" s="110" t="s">
        <v>1373</v>
      </c>
      <c r="C15536" s="111" t="s">
        <v>27055</v>
      </c>
      <c r="D15536" s="111" t="str">
        <f t="shared" ref="D15536:E15536" si="15534">TRIM(B15536)</f>
        <v>Texas</v>
      </c>
      <c r="E15536" s="111" t="str">
        <f t="shared" si="15534"/>
        <v>Kemp</v>
      </c>
    </row>
    <row r="15537" spans="1:5">
      <c r="A15537" s="110" t="s">
        <v>27056</v>
      </c>
      <c r="B15537" s="110" t="s">
        <v>1373</v>
      </c>
      <c r="C15537" s="111" t="s">
        <v>27057</v>
      </c>
      <c r="D15537" s="111" t="str">
        <f t="shared" ref="D15537:E15537" si="15535">TRIM(B15537)</f>
        <v>Texas</v>
      </c>
      <c r="E15537" s="111" t="str">
        <f t="shared" si="15535"/>
        <v>Kenedy</v>
      </c>
    </row>
    <row r="15538" spans="1:5">
      <c r="A15538" s="110" t="s">
        <v>27058</v>
      </c>
      <c r="B15538" s="110" t="s">
        <v>1373</v>
      </c>
      <c r="C15538" s="111" t="s">
        <v>27059</v>
      </c>
      <c r="D15538" s="111" t="str">
        <f t="shared" ref="D15538:E15538" si="15536">TRIM(B15538)</f>
        <v>Texas</v>
      </c>
      <c r="E15538" s="111" t="str">
        <f t="shared" si="15536"/>
        <v>Kennard</v>
      </c>
    </row>
    <row r="15539" spans="1:5">
      <c r="A15539" s="110" t="s">
        <v>27060</v>
      </c>
      <c r="B15539" s="110" t="s">
        <v>1373</v>
      </c>
      <c r="C15539" s="111" t="s">
        <v>13639</v>
      </c>
      <c r="D15539" s="111" t="str">
        <f t="shared" ref="D15539:E15539" si="15537">TRIM(B15539)</f>
        <v>Texas</v>
      </c>
      <c r="E15539" s="111" t="str">
        <f t="shared" si="15537"/>
        <v>Kennedale</v>
      </c>
    </row>
    <row r="15540" spans="1:5">
      <c r="A15540" s="110" t="s">
        <v>27061</v>
      </c>
      <c r="B15540" s="110" t="s">
        <v>1373</v>
      </c>
      <c r="C15540" s="111" t="s">
        <v>27062</v>
      </c>
      <c r="D15540" s="111" t="str">
        <f t="shared" ref="D15540:E15540" si="15538">TRIM(B15540)</f>
        <v>Texas</v>
      </c>
      <c r="E15540" s="111" t="str">
        <f t="shared" si="15538"/>
        <v>Kermit</v>
      </c>
    </row>
    <row r="15541" spans="1:5">
      <c r="A15541" s="110" t="s">
        <v>27063</v>
      </c>
      <c r="B15541" s="110" t="s">
        <v>1373</v>
      </c>
      <c r="C15541" s="111" t="s">
        <v>27064</v>
      </c>
      <c r="D15541" s="111" t="str">
        <f t="shared" ref="D15541:E15541" si="15539">TRIM(B15541)</f>
        <v>Texas</v>
      </c>
      <c r="E15541" s="111" t="str">
        <f t="shared" si="15539"/>
        <v>Kerrville</v>
      </c>
    </row>
    <row r="15542" spans="1:5">
      <c r="A15542" s="110" t="s">
        <v>27065</v>
      </c>
      <c r="B15542" s="110" t="s">
        <v>1373</v>
      </c>
      <c r="C15542" s="111" t="s">
        <v>27066</v>
      </c>
      <c r="D15542" s="111" t="str">
        <f t="shared" ref="D15542:E15542" si="15540">TRIM(B15542)</f>
        <v>Texas</v>
      </c>
      <c r="E15542" s="111" t="str">
        <f t="shared" si="15540"/>
        <v>Kilgore</v>
      </c>
    </row>
    <row r="15543" spans="1:5">
      <c r="A15543" s="110" t="s">
        <v>27067</v>
      </c>
      <c r="B15543" s="110" t="s">
        <v>1373</v>
      </c>
      <c r="C15543" s="111" t="s">
        <v>410</v>
      </c>
      <c r="D15543" s="111" t="str">
        <f t="shared" ref="D15543:E15543" si="15541">TRIM(B15543)</f>
        <v>Texas</v>
      </c>
      <c r="E15543" s="111" t="str">
        <f t="shared" si="15541"/>
        <v>Killeen</v>
      </c>
    </row>
    <row r="15544" spans="1:5">
      <c r="A15544" s="110" t="s">
        <v>27068</v>
      </c>
      <c r="B15544" s="110" t="s">
        <v>1373</v>
      </c>
      <c r="C15544" s="111" t="s">
        <v>410</v>
      </c>
      <c r="D15544" s="111" t="str">
        <f t="shared" ref="D15544:E15544" si="15542">TRIM(B15544)</f>
        <v>Texas</v>
      </c>
      <c r="E15544" s="111" t="str">
        <f t="shared" si="15542"/>
        <v>Killeen</v>
      </c>
    </row>
    <row r="15545" spans="1:5">
      <c r="A15545" s="110" t="s">
        <v>27069</v>
      </c>
      <c r="B15545" s="110" t="s">
        <v>1373</v>
      </c>
      <c r="C15545" s="111" t="s">
        <v>410</v>
      </c>
      <c r="D15545" s="111" t="str">
        <f t="shared" ref="D15545:E15545" si="15543">TRIM(B15545)</f>
        <v>Texas</v>
      </c>
      <c r="E15545" s="111" t="str">
        <f t="shared" si="15543"/>
        <v>Killeen</v>
      </c>
    </row>
    <row r="15546" spans="1:5">
      <c r="A15546" s="110" t="s">
        <v>27070</v>
      </c>
      <c r="B15546" s="110" t="s">
        <v>1373</v>
      </c>
      <c r="C15546" s="111" t="s">
        <v>410</v>
      </c>
      <c r="D15546" s="111" t="str">
        <f t="shared" ref="D15546:E15546" si="15544">TRIM(B15546)</f>
        <v>Texas</v>
      </c>
      <c r="E15546" s="111" t="str">
        <f t="shared" si="15544"/>
        <v>Killeen</v>
      </c>
    </row>
    <row r="15547" spans="1:5">
      <c r="A15547" s="110" t="s">
        <v>27071</v>
      </c>
      <c r="B15547" s="110" t="s">
        <v>1373</v>
      </c>
      <c r="C15547" s="111" t="s">
        <v>18888</v>
      </c>
      <c r="D15547" s="111" t="str">
        <f t="shared" ref="D15547:E15547" si="15545">TRIM(B15547)</f>
        <v>Texas</v>
      </c>
      <c r="E15547" s="111" t="str">
        <f t="shared" si="15545"/>
        <v>Kingsville</v>
      </c>
    </row>
    <row r="15548" spans="1:5">
      <c r="A15548" s="3" t="s">
        <v>27072</v>
      </c>
      <c r="B15548" s="110" t="s">
        <v>1373</v>
      </c>
      <c r="C15548" s="111" t="s">
        <v>18888</v>
      </c>
      <c r="D15548" s="111" t="str">
        <f t="shared" ref="D15548:E15548" si="15546">TRIM(B15548)</f>
        <v>Texas</v>
      </c>
      <c r="E15548" s="111" t="str">
        <f t="shared" si="15546"/>
        <v>Kingsville</v>
      </c>
    </row>
    <row r="15549" spans="1:5">
      <c r="A15549" s="110" t="s">
        <v>27073</v>
      </c>
      <c r="B15549" s="110" t="s">
        <v>1373</v>
      </c>
      <c r="C15549" s="111" t="s">
        <v>27074</v>
      </c>
      <c r="D15549" s="111" t="str">
        <f t="shared" ref="D15549:E15549" si="15547">TRIM(B15549)</f>
        <v>Texas</v>
      </c>
      <c r="E15549" s="111" t="str">
        <f t="shared" si="15547"/>
        <v>Kingwood</v>
      </c>
    </row>
    <row r="15550" spans="1:5">
      <c r="A15550" s="110" t="s">
        <v>27075</v>
      </c>
      <c r="B15550" s="110" t="s">
        <v>1373</v>
      </c>
      <c r="C15550" s="111" t="s">
        <v>27074</v>
      </c>
      <c r="D15550" s="111" t="str">
        <f t="shared" ref="D15550:E15550" si="15548">TRIM(B15550)</f>
        <v>Texas</v>
      </c>
      <c r="E15550" s="111" t="str">
        <f t="shared" si="15548"/>
        <v>Kingwood</v>
      </c>
    </row>
    <row r="15551" spans="1:5">
      <c r="A15551" s="110" t="s">
        <v>27076</v>
      </c>
      <c r="B15551" s="110" t="s">
        <v>1373</v>
      </c>
      <c r="C15551" s="111" t="s">
        <v>27077</v>
      </c>
      <c r="D15551" s="111" t="str">
        <f t="shared" ref="D15551:E15551" si="15549">TRIM(B15551)</f>
        <v>Texas</v>
      </c>
      <c r="E15551" s="111" t="str">
        <f t="shared" si="15549"/>
        <v>Kirbyville</v>
      </c>
    </row>
    <row r="15552" spans="1:5">
      <c r="A15552" s="110" t="s">
        <v>27078</v>
      </c>
      <c r="B15552" s="110" t="s">
        <v>1373</v>
      </c>
      <c r="C15552" s="111" t="s">
        <v>27079</v>
      </c>
      <c r="D15552" s="111" t="str">
        <f t="shared" ref="D15552:E15552" si="15550">TRIM(B15552)</f>
        <v>Texas</v>
      </c>
      <c r="E15552" s="111" t="str">
        <f t="shared" si="15550"/>
        <v>Klein</v>
      </c>
    </row>
    <row r="15553" spans="1:5">
      <c r="A15553" s="110" t="s">
        <v>27080</v>
      </c>
      <c r="B15553" s="110" t="s">
        <v>1373</v>
      </c>
      <c r="C15553" s="111" t="s">
        <v>27081</v>
      </c>
      <c r="D15553" s="111" t="str">
        <f t="shared" ref="D15553:E15553" si="15551">TRIM(B15553)</f>
        <v>Texas</v>
      </c>
      <c r="E15553" s="111" t="str">
        <f t="shared" si="15551"/>
        <v>Knox City</v>
      </c>
    </row>
    <row r="15554" spans="1:5">
      <c r="A15554" s="110" t="s">
        <v>27082</v>
      </c>
      <c r="B15554" s="110" t="s">
        <v>1373</v>
      </c>
      <c r="C15554" s="111" t="s">
        <v>27083</v>
      </c>
      <c r="D15554" s="111" t="str">
        <f t="shared" ref="D15554:E15554" si="15552">TRIM(B15554)</f>
        <v>Texas</v>
      </c>
      <c r="E15554" s="111" t="str">
        <f t="shared" si="15552"/>
        <v>Kountze</v>
      </c>
    </row>
    <row r="15555" spans="1:5">
      <c r="A15555" s="110" t="s">
        <v>27084</v>
      </c>
      <c r="B15555" s="110" t="s">
        <v>1373</v>
      </c>
      <c r="C15555" s="111" t="s">
        <v>27085</v>
      </c>
      <c r="D15555" s="111" t="str">
        <f t="shared" ref="D15555:E15555" si="15553">TRIM(B15555)</f>
        <v>Texas</v>
      </c>
      <c r="E15555" s="111" t="str">
        <f t="shared" si="15553"/>
        <v>Kress</v>
      </c>
    </row>
    <row r="15556" spans="1:5">
      <c r="A15556" s="110" t="s">
        <v>27086</v>
      </c>
      <c r="B15556" s="110" t="s">
        <v>1373</v>
      </c>
      <c r="C15556" s="111" t="s">
        <v>27087</v>
      </c>
      <c r="D15556" s="111" t="str">
        <f t="shared" ref="D15556:E15556" si="15554">TRIM(B15556)</f>
        <v>Texas</v>
      </c>
      <c r="E15556" s="111" t="str">
        <f t="shared" si="15554"/>
        <v>Krum</v>
      </c>
    </row>
    <row r="15557" spans="1:5">
      <c r="A15557" s="110" t="s">
        <v>27088</v>
      </c>
      <c r="B15557" s="110" t="s">
        <v>1373</v>
      </c>
      <c r="C15557" s="111" t="s">
        <v>27089</v>
      </c>
      <c r="D15557" s="111" t="str">
        <f t="shared" ref="D15557:E15557" si="15555">TRIM(B15557)</f>
        <v>Texas</v>
      </c>
      <c r="E15557" s="111" t="str">
        <f t="shared" si="15555"/>
        <v>Kyle</v>
      </c>
    </row>
    <row r="15558" spans="1:5">
      <c r="A15558" s="110" t="s">
        <v>27090</v>
      </c>
      <c r="B15558" s="110" t="s">
        <v>1373</v>
      </c>
      <c r="C15558" s="111" t="s">
        <v>27091</v>
      </c>
      <c r="D15558" s="111" t="str">
        <f t="shared" ref="D15558:E15558" si="15556">TRIM(B15558)</f>
        <v>Texas</v>
      </c>
      <c r="E15558" s="111" t="str">
        <f t="shared" si="15556"/>
        <v>La Feria</v>
      </c>
    </row>
    <row r="15559" spans="1:5">
      <c r="A15559" s="110" t="s">
        <v>27092</v>
      </c>
      <c r="B15559" s="110" t="s">
        <v>1373</v>
      </c>
      <c r="C15559" s="112" t="s">
        <v>5386</v>
      </c>
      <c r="D15559" s="111" t="str">
        <f t="shared" ref="D15559:E15559" si="15557">TRIM(B15559)</f>
        <v>Texas</v>
      </c>
      <c r="E15559" s="111" t="str">
        <f t="shared" si="15557"/>
        <v>La Grange</v>
      </c>
    </row>
    <row r="15560" spans="1:5">
      <c r="A15560" s="110" t="s">
        <v>27093</v>
      </c>
      <c r="B15560" s="110" t="s">
        <v>1373</v>
      </c>
      <c r="C15560" s="111" t="s">
        <v>27094</v>
      </c>
      <c r="D15560" s="111" t="str">
        <f t="shared" ref="D15560:E15560" si="15558">TRIM(B15560)</f>
        <v>Texas</v>
      </c>
      <c r="E15560" s="111" t="str">
        <f t="shared" si="15558"/>
        <v>La Joya</v>
      </c>
    </row>
    <row r="15561" spans="1:5">
      <c r="A15561" s="110" t="s">
        <v>27095</v>
      </c>
      <c r="B15561" s="110" t="s">
        <v>1373</v>
      </c>
      <c r="C15561" s="111" t="s">
        <v>27094</v>
      </c>
      <c r="D15561" s="111" t="str">
        <f t="shared" ref="D15561:E15561" si="15559">TRIM(B15561)</f>
        <v>Texas</v>
      </c>
      <c r="E15561" s="111" t="str">
        <f t="shared" si="15559"/>
        <v>La Joya</v>
      </c>
    </row>
    <row r="15562" spans="1:5">
      <c r="A15562" s="110" t="s">
        <v>27096</v>
      </c>
      <c r="B15562" s="110" t="s">
        <v>1373</v>
      </c>
      <c r="C15562" s="111" t="s">
        <v>27094</v>
      </c>
      <c r="D15562" s="111" t="str">
        <f t="shared" ref="D15562:E15562" si="15560">TRIM(B15562)</f>
        <v>Texas</v>
      </c>
      <c r="E15562" s="111" t="str">
        <f t="shared" si="15560"/>
        <v>La Joya</v>
      </c>
    </row>
    <row r="15563" spans="1:5">
      <c r="A15563" s="110" t="s">
        <v>27097</v>
      </c>
      <c r="B15563" s="110" t="s">
        <v>1373</v>
      </c>
      <c r="C15563" s="111" t="s">
        <v>4435</v>
      </c>
      <c r="D15563" s="111" t="str">
        <f t="shared" ref="D15563:E15563" si="15561">TRIM(B15563)</f>
        <v>Texas</v>
      </c>
      <c r="E15563" s="111" t="str">
        <f t="shared" si="15561"/>
        <v>La Marque</v>
      </c>
    </row>
    <row r="15564" spans="1:5">
      <c r="A15564" s="110" t="s">
        <v>27098</v>
      </c>
      <c r="B15564" s="110" t="s">
        <v>1373</v>
      </c>
      <c r="C15564" s="111" t="s">
        <v>1150</v>
      </c>
      <c r="D15564" s="111" t="str">
        <f t="shared" ref="D15564:E15564" si="15562">TRIM(B15564)</f>
        <v>Texas</v>
      </c>
      <c r="E15564" s="111" t="str">
        <f t="shared" si="15562"/>
        <v>La Porte</v>
      </c>
    </row>
    <row r="15565" spans="1:5">
      <c r="A15565" s="110" t="s">
        <v>27099</v>
      </c>
      <c r="B15565" s="110" t="s">
        <v>1373</v>
      </c>
      <c r="C15565" s="111" t="s">
        <v>27100</v>
      </c>
      <c r="D15565" s="111" t="str">
        <f t="shared" ref="D15565:E15565" si="15563">TRIM(B15565)</f>
        <v>Texas</v>
      </c>
      <c r="E15565" s="111" t="str">
        <f t="shared" si="15563"/>
        <v>La Pryor</v>
      </c>
    </row>
    <row r="15566" spans="1:5">
      <c r="A15566" s="110" t="s">
        <v>27101</v>
      </c>
      <c r="B15566" s="110" t="s">
        <v>1373</v>
      </c>
      <c r="C15566" s="111" t="s">
        <v>27102</v>
      </c>
      <c r="D15566" s="111" t="str">
        <f t="shared" ref="D15566:E15566" si="15564">TRIM(B15566)</f>
        <v>Texas</v>
      </c>
      <c r="E15566" s="111" t="str">
        <f t="shared" si="15564"/>
        <v>La Vernia</v>
      </c>
    </row>
    <row r="15567" spans="1:5">
      <c r="A15567" s="110" t="s">
        <v>27103</v>
      </c>
      <c r="B15567" s="110" t="s">
        <v>1373</v>
      </c>
      <c r="C15567" s="111" t="s">
        <v>27104</v>
      </c>
      <c r="D15567" s="111" t="str">
        <f t="shared" ref="D15567:E15567" si="15565">TRIM(B15567)</f>
        <v>Texas</v>
      </c>
      <c r="E15567" s="111" t="str">
        <f t="shared" si="15565"/>
        <v>La Villa</v>
      </c>
    </row>
    <row r="15568" spans="1:5">
      <c r="A15568" s="110" t="s">
        <v>27105</v>
      </c>
      <c r="B15568" s="110" t="s">
        <v>1373</v>
      </c>
      <c r="C15568" s="111" t="s">
        <v>27106</v>
      </c>
      <c r="D15568" s="111" t="str">
        <f t="shared" ref="D15568:E15568" si="15566">TRIM(B15568)</f>
        <v>Texas</v>
      </c>
      <c r="E15568" s="111" t="str">
        <f t="shared" si="15566"/>
        <v>Ladonia</v>
      </c>
    </row>
    <row r="15569" spans="1:5">
      <c r="A15569" s="110" t="s">
        <v>27107</v>
      </c>
      <c r="B15569" s="110" t="s">
        <v>1373</v>
      </c>
      <c r="C15569" s="111" t="s">
        <v>27108</v>
      </c>
      <c r="D15569" s="111" t="str">
        <f t="shared" ref="D15569:E15569" si="15567">TRIM(B15569)</f>
        <v>Texas</v>
      </c>
      <c r="E15569" s="111" t="str">
        <f t="shared" si="15567"/>
        <v>Lago Vista</v>
      </c>
    </row>
    <row r="15570" spans="1:5">
      <c r="A15570" s="110" t="s">
        <v>27109</v>
      </c>
      <c r="B15570" s="110" t="s">
        <v>1373</v>
      </c>
      <c r="C15570" s="111" t="s">
        <v>27110</v>
      </c>
      <c r="D15570" s="111" t="str">
        <f t="shared" ref="D15570:E15570" si="15568">TRIM(B15570)</f>
        <v>Texas</v>
      </c>
      <c r="E15570" s="111" t="str">
        <f t="shared" si="15568"/>
        <v>Laird Hill</v>
      </c>
    </row>
    <row r="15571" spans="1:5">
      <c r="A15571" s="110" t="s">
        <v>27111</v>
      </c>
      <c r="B15571" s="110" t="s">
        <v>1373</v>
      </c>
      <c r="C15571" s="111" t="s">
        <v>27112</v>
      </c>
      <c r="D15571" s="111" t="str">
        <f t="shared" ref="D15571:E15571" si="15569">TRIM(B15571)</f>
        <v>Texas</v>
      </c>
      <c r="E15571" s="111" t="str">
        <f t="shared" si="15569"/>
        <v>Lake Dallas</v>
      </c>
    </row>
    <row r="15572" spans="1:5">
      <c r="A15572" s="110" t="s">
        <v>27113</v>
      </c>
      <c r="B15572" s="110" t="s">
        <v>1373</v>
      </c>
      <c r="C15572" s="111" t="s">
        <v>9500</v>
      </c>
      <c r="D15572" s="111" t="str">
        <f t="shared" ref="D15572:E15572" si="15570">TRIM(B15572)</f>
        <v>Texas</v>
      </c>
      <c r="E15572" s="111" t="str">
        <f t="shared" si="15570"/>
        <v>Lake Worth</v>
      </c>
    </row>
    <row r="15573" spans="1:5">
      <c r="A15573" s="110" t="s">
        <v>27114</v>
      </c>
      <c r="B15573" s="110" t="s">
        <v>1373</v>
      </c>
      <c r="C15573" s="111" t="s">
        <v>27115</v>
      </c>
      <c r="D15573" s="111" t="str">
        <f t="shared" ref="D15573:E15573" si="15571">TRIM(B15573)</f>
        <v>Texas</v>
      </c>
      <c r="E15573" s="111" t="str">
        <f t="shared" si="15571"/>
        <v>Lamesa</v>
      </c>
    </row>
    <row r="15574" spans="1:5">
      <c r="A15574" s="110" t="s">
        <v>27116</v>
      </c>
      <c r="B15574" s="110" t="s">
        <v>1373</v>
      </c>
      <c r="C15574" s="111" t="s">
        <v>27117</v>
      </c>
      <c r="D15574" s="111" t="str">
        <f t="shared" ref="D15574:E15574" si="15572">TRIM(B15574)</f>
        <v>Texas</v>
      </c>
      <c r="E15574" s="111" t="str">
        <f t="shared" si="15572"/>
        <v>Lampasas</v>
      </c>
    </row>
    <row r="15575" spans="1:5">
      <c r="A15575" s="110" t="s">
        <v>27118</v>
      </c>
      <c r="B15575" s="110" t="s">
        <v>1373</v>
      </c>
      <c r="C15575" s="111" t="s">
        <v>61</v>
      </c>
      <c r="D15575" s="111" t="str">
        <f t="shared" ref="D15575:E15575" si="15573">TRIM(B15575)</f>
        <v>Texas</v>
      </c>
      <c r="E15575" s="111" t="str">
        <f t="shared" si="15573"/>
        <v>Lancaster</v>
      </c>
    </row>
    <row r="15576" spans="1:5">
      <c r="A15576" s="110" t="s">
        <v>27119</v>
      </c>
      <c r="B15576" s="110" t="s">
        <v>1373</v>
      </c>
      <c r="C15576" s="111" t="s">
        <v>27120</v>
      </c>
      <c r="D15576" s="111" t="str">
        <f t="shared" ref="D15576:E15576" si="15574">TRIM(B15576)</f>
        <v>Texas</v>
      </c>
      <c r="E15576" s="111" t="str">
        <f t="shared" si="15574"/>
        <v>Laredo</v>
      </c>
    </row>
    <row r="15577" spans="1:5">
      <c r="A15577" s="110" t="s">
        <v>27121</v>
      </c>
      <c r="B15577" s="110" t="s">
        <v>1373</v>
      </c>
      <c r="C15577" s="111" t="s">
        <v>27120</v>
      </c>
      <c r="D15577" s="111" t="str">
        <f t="shared" ref="D15577:E15577" si="15575">TRIM(B15577)</f>
        <v>Texas</v>
      </c>
      <c r="E15577" s="111" t="str">
        <f t="shared" si="15575"/>
        <v>Laredo</v>
      </c>
    </row>
    <row r="15578" spans="1:5">
      <c r="A15578" s="110" t="s">
        <v>27122</v>
      </c>
      <c r="B15578" s="110" t="s">
        <v>1373</v>
      </c>
      <c r="C15578" s="111" t="s">
        <v>27120</v>
      </c>
      <c r="D15578" s="111" t="str">
        <f t="shared" ref="D15578:E15578" si="15576">TRIM(B15578)</f>
        <v>Texas</v>
      </c>
      <c r="E15578" s="111" t="str">
        <f t="shared" si="15576"/>
        <v>Laredo</v>
      </c>
    </row>
    <row r="15579" spans="1:5">
      <c r="A15579" s="110" t="s">
        <v>27123</v>
      </c>
      <c r="B15579" s="110" t="s">
        <v>1373</v>
      </c>
      <c r="C15579" s="111" t="s">
        <v>27120</v>
      </c>
      <c r="D15579" s="111" t="str">
        <f t="shared" ref="D15579:E15579" si="15577">TRIM(B15579)</f>
        <v>Texas</v>
      </c>
      <c r="E15579" s="111" t="str">
        <f t="shared" si="15577"/>
        <v>Laredo</v>
      </c>
    </row>
    <row r="15580" spans="1:5">
      <c r="A15580" s="110" t="s">
        <v>26196</v>
      </c>
      <c r="B15580" s="110" t="s">
        <v>1373</v>
      </c>
      <c r="C15580" s="111" t="s">
        <v>27120</v>
      </c>
      <c r="D15580" s="111" t="str">
        <f t="shared" ref="D15580:E15580" si="15578">TRIM(B15580)</f>
        <v>Texas</v>
      </c>
      <c r="E15580" s="111" t="str">
        <f t="shared" si="15578"/>
        <v>Laredo</v>
      </c>
    </row>
    <row r="15581" spans="1:5">
      <c r="A15581" s="110" t="s">
        <v>27124</v>
      </c>
      <c r="B15581" s="110" t="s">
        <v>1373</v>
      </c>
      <c r="C15581" s="111" t="s">
        <v>27120</v>
      </c>
      <c r="D15581" s="111" t="str">
        <f t="shared" ref="D15581:E15581" si="15579">TRIM(B15581)</f>
        <v>Texas</v>
      </c>
      <c r="E15581" s="111" t="str">
        <f t="shared" si="15579"/>
        <v>Laredo</v>
      </c>
    </row>
    <row r="15582" spans="1:5">
      <c r="A15582" s="110" t="s">
        <v>27125</v>
      </c>
      <c r="B15582" s="110" t="s">
        <v>1373</v>
      </c>
      <c r="C15582" s="111" t="s">
        <v>27120</v>
      </c>
      <c r="D15582" s="111" t="str">
        <f t="shared" ref="D15582:E15582" si="15580">TRIM(B15582)</f>
        <v>Texas</v>
      </c>
      <c r="E15582" s="111" t="str">
        <f t="shared" si="15580"/>
        <v>Laredo</v>
      </c>
    </row>
    <row r="15583" spans="1:5">
      <c r="A15583" s="110" t="s">
        <v>27126</v>
      </c>
      <c r="B15583" s="110" t="s">
        <v>1373</v>
      </c>
      <c r="C15583" s="111" t="s">
        <v>27120</v>
      </c>
      <c r="D15583" s="111" t="str">
        <f t="shared" ref="D15583:E15583" si="15581">TRIM(B15583)</f>
        <v>Texas</v>
      </c>
      <c r="E15583" s="111" t="str">
        <f t="shared" si="15581"/>
        <v>Laredo</v>
      </c>
    </row>
    <row r="15584" spans="1:5">
      <c r="A15584" s="110" t="s">
        <v>27127</v>
      </c>
      <c r="B15584" s="110" t="s">
        <v>1373</v>
      </c>
      <c r="C15584" s="111" t="s">
        <v>27128</v>
      </c>
      <c r="D15584" s="111" t="str">
        <f t="shared" ref="D15584:E15584" si="15582">TRIM(B15584)</f>
        <v>Texas</v>
      </c>
      <c r="E15584" s="111" t="str">
        <f t="shared" si="15582"/>
        <v>Larue</v>
      </c>
    </row>
    <row r="15585" spans="1:5">
      <c r="A15585" s="110" t="s">
        <v>27129</v>
      </c>
      <c r="B15585" s="110" t="s">
        <v>1373</v>
      </c>
      <c r="C15585" s="111" t="s">
        <v>27130</v>
      </c>
      <c r="D15585" s="111" t="str">
        <f t="shared" ref="D15585:E15585" si="15583">TRIM(B15585)</f>
        <v>Texas</v>
      </c>
      <c r="E15585" s="111" t="str">
        <f t="shared" si="15583"/>
        <v>Lasara</v>
      </c>
    </row>
    <row r="15586" spans="1:5">
      <c r="A15586" s="110" t="s">
        <v>27131</v>
      </c>
      <c r="B15586" s="110" t="s">
        <v>1373</v>
      </c>
      <c r="C15586" s="111" t="s">
        <v>27132</v>
      </c>
      <c r="D15586" s="111" t="str">
        <f t="shared" ref="D15586:E15586" si="15584">TRIM(B15586)</f>
        <v>Texas</v>
      </c>
      <c r="E15586" s="111" t="str">
        <f t="shared" si="15584"/>
        <v>Latexo</v>
      </c>
    </row>
    <row r="15587" spans="1:5">
      <c r="A15587" s="110" t="s">
        <v>27133</v>
      </c>
      <c r="B15587" s="110" t="s">
        <v>1373</v>
      </c>
      <c r="C15587" s="111" t="s">
        <v>27134</v>
      </c>
      <c r="D15587" s="111" t="str">
        <f t="shared" ref="D15587:E15587" si="15585">TRIM(B15587)</f>
        <v>Texas</v>
      </c>
      <c r="E15587" s="111" t="str">
        <f t="shared" si="15585"/>
        <v>League City</v>
      </c>
    </row>
    <row r="15588" spans="1:5">
      <c r="A15588" s="110" t="s">
        <v>27135</v>
      </c>
      <c r="B15588" s="110" t="s">
        <v>1373</v>
      </c>
      <c r="C15588" s="111" t="s">
        <v>27134</v>
      </c>
      <c r="D15588" s="111" t="str">
        <f t="shared" ref="D15588:E15588" si="15586">TRIM(B15588)</f>
        <v>Texas</v>
      </c>
      <c r="E15588" s="111" t="str">
        <f t="shared" si="15586"/>
        <v>League City</v>
      </c>
    </row>
    <row r="15589" spans="1:5">
      <c r="A15589" s="110" t="s">
        <v>27136</v>
      </c>
      <c r="B15589" s="110" t="s">
        <v>1373</v>
      </c>
      <c r="C15589" s="111" t="s">
        <v>27134</v>
      </c>
      <c r="D15589" s="111" t="str">
        <f t="shared" ref="D15589:E15589" si="15587">TRIM(B15589)</f>
        <v>Texas</v>
      </c>
      <c r="E15589" s="111" t="str">
        <f t="shared" si="15587"/>
        <v>League City</v>
      </c>
    </row>
    <row r="15590" spans="1:5">
      <c r="A15590" s="110" t="s">
        <v>27137</v>
      </c>
      <c r="B15590" s="110" t="s">
        <v>1373</v>
      </c>
      <c r="C15590" s="111" t="s">
        <v>27138</v>
      </c>
      <c r="D15590" s="111" t="str">
        <f t="shared" ref="D15590:E15590" si="15588">TRIM(B15590)</f>
        <v>Texas</v>
      </c>
      <c r="E15590" s="111" t="str">
        <f t="shared" si="15588"/>
        <v>Leander</v>
      </c>
    </row>
    <row r="15591" spans="1:5">
      <c r="A15591" s="110" t="s">
        <v>27139</v>
      </c>
      <c r="B15591" s="110" t="s">
        <v>1373</v>
      </c>
      <c r="C15591" s="111" t="s">
        <v>27138</v>
      </c>
      <c r="D15591" s="111" t="str">
        <f t="shared" ref="D15591:E15591" si="15589">TRIM(B15591)</f>
        <v>Texas</v>
      </c>
      <c r="E15591" s="111" t="str">
        <f t="shared" si="15589"/>
        <v>Leander</v>
      </c>
    </row>
    <row r="15592" spans="1:5">
      <c r="A15592" s="110" t="s">
        <v>27140</v>
      </c>
      <c r="B15592" s="110" t="s">
        <v>1373</v>
      </c>
      <c r="C15592" s="111" t="s">
        <v>27138</v>
      </c>
      <c r="D15592" s="111" t="str">
        <f t="shared" ref="D15592:E15592" si="15590">TRIM(B15592)</f>
        <v>Texas</v>
      </c>
      <c r="E15592" s="111" t="str">
        <f t="shared" si="15590"/>
        <v>Leander</v>
      </c>
    </row>
    <row r="15593" spans="1:5">
      <c r="A15593" s="110" t="s">
        <v>27141</v>
      </c>
      <c r="B15593" s="110" t="s">
        <v>1373</v>
      </c>
      <c r="C15593" s="111" t="s">
        <v>27138</v>
      </c>
      <c r="D15593" s="111" t="str">
        <f t="shared" ref="D15593:E15593" si="15591">TRIM(B15593)</f>
        <v>Texas</v>
      </c>
      <c r="E15593" s="111" t="str">
        <f t="shared" si="15591"/>
        <v>Leander</v>
      </c>
    </row>
    <row r="15594" spans="1:5">
      <c r="A15594" s="110" t="s">
        <v>27142</v>
      </c>
      <c r="B15594" s="110" t="s">
        <v>1373</v>
      </c>
      <c r="C15594" s="111" t="s">
        <v>5497</v>
      </c>
      <c r="D15594" s="111" t="str">
        <f t="shared" ref="D15594:E15594" si="15592">TRIM(B15594)</f>
        <v>Texas</v>
      </c>
      <c r="E15594" s="111" t="str">
        <f t="shared" si="15592"/>
        <v>Leggett</v>
      </c>
    </row>
    <row r="15595" spans="1:5">
      <c r="A15595" s="110" t="s">
        <v>27143</v>
      </c>
      <c r="B15595" s="110" t="s">
        <v>1373</v>
      </c>
      <c r="C15595" s="111" t="s">
        <v>27144</v>
      </c>
      <c r="D15595" s="111" t="str">
        <f t="shared" ref="D15595:E15595" si="15593">TRIM(B15595)</f>
        <v>Texas</v>
      </c>
      <c r="E15595" s="111" t="str">
        <f t="shared" si="15593"/>
        <v>Leonard</v>
      </c>
    </row>
    <row r="15596" spans="1:5">
      <c r="A15596" s="110" t="s">
        <v>27145</v>
      </c>
      <c r="B15596" s="110" t="s">
        <v>1373</v>
      </c>
      <c r="C15596" s="111" t="s">
        <v>27146</v>
      </c>
      <c r="D15596" s="111" t="str">
        <f t="shared" ref="D15596:E15596" si="15594">TRIM(B15596)</f>
        <v>Texas</v>
      </c>
      <c r="E15596" s="111" t="str">
        <f t="shared" si="15594"/>
        <v>Levelland</v>
      </c>
    </row>
    <row r="15597" spans="1:5">
      <c r="A15597" s="110" t="s">
        <v>27147</v>
      </c>
      <c r="B15597" s="110" t="s">
        <v>1373</v>
      </c>
      <c r="C15597" s="111" t="s">
        <v>2880</v>
      </c>
      <c r="D15597" s="111" t="str">
        <f t="shared" ref="D15597:E15597" si="15595">TRIM(B15597)</f>
        <v>Texas</v>
      </c>
      <c r="E15597" s="111" t="str">
        <f t="shared" si="15595"/>
        <v>Lewisville</v>
      </c>
    </row>
    <row r="15598" spans="1:5">
      <c r="A15598" s="3" t="s">
        <v>27148</v>
      </c>
      <c r="B15598" s="110" t="s">
        <v>1373</v>
      </c>
      <c r="C15598" s="111" t="s">
        <v>2880</v>
      </c>
      <c r="D15598" s="111" t="str">
        <f t="shared" ref="D15598:E15598" si="15596">TRIM(B15598)</f>
        <v>Texas</v>
      </c>
      <c r="E15598" s="111" t="str">
        <f t="shared" si="15596"/>
        <v>Lewisville</v>
      </c>
    </row>
    <row r="15599" spans="1:5">
      <c r="A15599" s="3" t="s">
        <v>27149</v>
      </c>
      <c r="B15599" s="110" t="s">
        <v>1373</v>
      </c>
      <c r="C15599" s="111" t="s">
        <v>2880</v>
      </c>
      <c r="D15599" s="111" t="str">
        <f t="shared" ref="D15599:E15599" si="15597">TRIM(B15599)</f>
        <v>Texas</v>
      </c>
      <c r="E15599" s="111" t="str">
        <f t="shared" si="15597"/>
        <v>Lewisville</v>
      </c>
    </row>
    <row r="15600" spans="1:5">
      <c r="A15600" s="3" t="s">
        <v>27150</v>
      </c>
      <c r="B15600" s="110" t="s">
        <v>1373</v>
      </c>
      <c r="C15600" s="111" t="s">
        <v>2880</v>
      </c>
      <c r="D15600" s="111" t="str">
        <f t="shared" ref="D15600:E15600" si="15598">TRIM(B15600)</f>
        <v>Texas</v>
      </c>
      <c r="E15600" s="111" t="str">
        <f t="shared" si="15598"/>
        <v>Lewisville</v>
      </c>
    </row>
    <row r="15601" spans="1:5">
      <c r="A15601" s="110" t="s">
        <v>27151</v>
      </c>
      <c r="B15601" s="110" t="s">
        <v>1373</v>
      </c>
      <c r="C15601" s="111" t="s">
        <v>2880</v>
      </c>
      <c r="D15601" s="111" t="str">
        <f t="shared" ref="D15601:E15601" si="15599">TRIM(B15601)</f>
        <v>Texas</v>
      </c>
      <c r="E15601" s="111" t="str">
        <f t="shared" si="15599"/>
        <v>Lewisville</v>
      </c>
    </row>
    <row r="15602" spans="1:5">
      <c r="A15602" s="3" t="s">
        <v>27152</v>
      </c>
      <c r="B15602" s="110" t="s">
        <v>1373</v>
      </c>
      <c r="C15602" s="111" t="s">
        <v>2880</v>
      </c>
      <c r="D15602" s="111" t="str">
        <f t="shared" ref="D15602:E15602" si="15600">TRIM(B15602)</f>
        <v>Texas</v>
      </c>
      <c r="E15602" s="111" t="str">
        <f t="shared" si="15600"/>
        <v>Lewisville</v>
      </c>
    </row>
    <row r="15603" spans="1:5">
      <c r="A15603" s="110" t="s">
        <v>27153</v>
      </c>
      <c r="B15603" s="110" t="s">
        <v>1373</v>
      </c>
      <c r="C15603" s="111" t="s">
        <v>506</v>
      </c>
      <c r="D15603" s="111" t="str">
        <f t="shared" ref="D15603:E15603" si="15601">TRIM(B15603)</f>
        <v>Texas</v>
      </c>
      <c r="E15603" s="111" t="str">
        <f t="shared" si="15601"/>
        <v>Lexington</v>
      </c>
    </row>
    <row r="15604" spans="1:5">
      <c r="A15604" s="110" t="s">
        <v>26748</v>
      </c>
      <c r="B15604" s="110" t="s">
        <v>1373</v>
      </c>
      <c r="C15604" s="111" t="s">
        <v>6684</v>
      </c>
      <c r="D15604" s="111" t="str">
        <f t="shared" ref="D15604:E15604" si="15602">TRIM(B15604)</f>
        <v>Texas</v>
      </c>
      <c r="E15604" s="111" t="str">
        <f t="shared" si="15602"/>
        <v>Liberty</v>
      </c>
    </row>
    <row r="15605" spans="1:5">
      <c r="A15605" s="110" t="s">
        <v>27154</v>
      </c>
      <c r="B15605" s="110" t="s">
        <v>1373</v>
      </c>
      <c r="C15605" s="111" t="s">
        <v>27155</v>
      </c>
      <c r="D15605" s="111" t="str">
        <f t="shared" ref="D15605:E15605" si="15603">TRIM(B15605)</f>
        <v>Texas</v>
      </c>
      <c r="E15605" s="111" t="str">
        <f t="shared" si="15603"/>
        <v>Liberty Hill</v>
      </c>
    </row>
    <row r="15606" spans="1:5">
      <c r="A15606" s="110" t="s">
        <v>27156</v>
      </c>
      <c r="B15606" s="110" t="s">
        <v>1373</v>
      </c>
      <c r="C15606" s="111" t="s">
        <v>10966</v>
      </c>
      <c r="D15606" s="111" t="str">
        <f t="shared" ref="D15606:E15606" si="15604">TRIM(B15606)</f>
        <v>Texas</v>
      </c>
      <c r="E15606" s="111" t="str">
        <f t="shared" si="15604"/>
        <v>Lindale</v>
      </c>
    </row>
    <row r="15607" spans="1:5">
      <c r="A15607" s="110" t="s">
        <v>27157</v>
      </c>
      <c r="B15607" s="110" t="s">
        <v>1373</v>
      </c>
      <c r="C15607" s="111" t="s">
        <v>298</v>
      </c>
      <c r="D15607" s="111" t="str">
        <f t="shared" ref="D15607:E15607" si="15605">TRIM(B15607)</f>
        <v>Texas</v>
      </c>
      <c r="E15607" s="111" t="str">
        <f t="shared" si="15605"/>
        <v>Linden</v>
      </c>
    </row>
    <row r="15608" spans="1:5">
      <c r="A15608" s="110" t="s">
        <v>27158</v>
      </c>
      <c r="B15608" s="110" t="s">
        <v>1373</v>
      </c>
      <c r="C15608" s="111" t="s">
        <v>5512</v>
      </c>
      <c r="D15608" s="111" t="str">
        <f t="shared" ref="D15608:E15608" si="15606">TRIM(B15608)</f>
        <v>Texas</v>
      </c>
      <c r="E15608" s="111" t="str">
        <f t="shared" si="15606"/>
        <v>Lindsay</v>
      </c>
    </row>
    <row r="15609" spans="1:5">
      <c r="A15609" s="110" t="s">
        <v>27159</v>
      </c>
      <c r="B15609" s="110" t="s">
        <v>1373</v>
      </c>
      <c r="C15609" s="111" t="s">
        <v>27160</v>
      </c>
      <c r="D15609" s="111" t="str">
        <f t="shared" ref="D15609:E15609" si="15607">TRIM(B15609)</f>
        <v>Texas</v>
      </c>
      <c r="E15609" s="111" t="str">
        <f t="shared" si="15607"/>
        <v>Lipan</v>
      </c>
    </row>
    <row r="15610" spans="1:5">
      <c r="A15610" s="110" t="s">
        <v>27161</v>
      </c>
      <c r="B15610" s="110" t="s">
        <v>1373</v>
      </c>
      <c r="C15610" s="111" t="s">
        <v>27162</v>
      </c>
      <c r="D15610" s="111" t="str">
        <f t="shared" ref="D15610:E15610" si="15608">TRIM(B15610)</f>
        <v>Texas</v>
      </c>
      <c r="E15610" s="111" t="str">
        <f t="shared" si="15608"/>
        <v>Little Elm</v>
      </c>
    </row>
    <row r="15611" spans="1:5">
      <c r="A15611" s="3" t="s">
        <v>27163</v>
      </c>
      <c r="B15611" s="110" t="s">
        <v>1373</v>
      </c>
      <c r="C15611" s="111" t="s">
        <v>15375</v>
      </c>
      <c r="D15611" s="111" t="str">
        <f t="shared" ref="D15611:E15611" si="15609">TRIM(B15611)</f>
        <v>Texas</v>
      </c>
      <c r="E15611" s="111" t="str">
        <f t="shared" si="15609"/>
        <v>Little River</v>
      </c>
    </row>
    <row r="15612" spans="1:5">
      <c r="A15612" s="110" t="s">
        <v>27164</v>
      </c>
      <c r="B15612" s="110" t="s">
        <v>1373</v>
      </c>
      <c r="C15612" s="111" t="s">
        <v>27165</v>
      </c>
      <c r="D15612" s="111" t="str">
        <f t="shared" ref="D15612:E15612" si="15610">TRIM(B15612)</f>
        <v>Texas</v>
      </c>
      <c r="E15612" s="111" t="str">
        <f t="shared" si="15610"/>
        <v>Littlefield</v>
      </c>
    </row>
    <row r="15613" spans="1:5">
      <c r="A15613" s="3" t="s">
        <v>27166</v>
      </c>
      <c r="B15613" s="110" t="s">
        <v>1373</v>
      </c>
      <c r="C15613" s="111" t="s">
        <v>5520</v>
      </c>
      <c r="D15613" s="111" t="str">
        <f t="shared" ref="D15613:E15613" si="15611">TRIM(B15613)</f>
        <v>Texas</v>
      </c>
      <c r="E15613" s="111" t="str">
        <f t="shared" si="15611"/>
        <v>Live Oak</v>
      </c>
    </row>
    <row r="15614" spans="1:5">
      <c r="A15614" s="110" t="s">
        <v>27167</v>
      </c>
      <c r="B15614" s="110" t="s">
        <v>1373</v>
      </c>
      <c r="C15614" s="111" t="s">
        <v>5527</v>
      </c>
      <c r="D15614" s="111" t="str">
        <f t="shared" ref="D15614:E15614" si="15612">TRIM(B15614)</f>
        <v>Texas</v>
      </c>
      <c r="E15614" s="111" t="str">
        <f t="shared" si="15612"/>
        <v>Livingston</v>
      </c>
    </row>
    <row r="15615" spans="1:5">
      <c r="A15615" s="110" t="s">
        <v>27168</v>
      </c>
      <c r="B15615" s="110" t="s">
        <v>1373</v>
      </c>
      <c r="C15615" s="111" t="s">
        <v>27169</v>
      </c>
      <c r="D15615" s="111" t="str">
        <f t="shared" ref="D15615:E15615" si="15613">TRIM(B15615)</f>
        <v>Texas</v>
      </c>
      <c r="E15615" s="111" t="str">
        <f t="shared" si="15613"/>
        <v>Llano</v>
      </c>
    </row>
    <row r="15616" spans="1:5">
      <c r="A15616" s="110" t="s">
        <v>27170</v>
      </c>
      <c r="B15616" s="110" t="s">
        <v>1373</v>
      </c>
      <c r="C15616" s="111" t="s">
        <v>27171</v>
      </c>
      <c r="D15616" s="111" t="str">
        <f t="shared" ref="D15616:E15616" si="15614">TRIM(B15616)</f>
        <v>Texas</v>
      </c>
      <c r="E15616" s="111" t="str">
        <f t="shared" si="15614"/>
        <v>Lockhart</v>
      </c>
    </row>
    <row r="15617" spans="1:5">
      <c r="A15617" s="110" t="s">
        <v>27172</v>
      </c>
      <c r="B15617" s="110" t="s">
        <v>1373</v>
      </c>
      <c r="C15617" s="111" t="s">
        <v>27173</v>
      </c>
      <c r="D15617" s="111" t="str">
        <f t="shared" ref="D15617:E15617" si="15615">TRIM(B15617)</f>
        <v>Texas</v>
      </c>
      <c r="E15617" s="111" t="str">
        <f t="shared" si="15615"/>
        <v>Lockney</v>
      </c>
    </row>
    <row r="15618" spans="1:5">
      <c r="A15618" s="110" t="s">
        <v>27174</v>
      </c>
      <c r="B15618" s="110" t="s">
        <v>1373</v>
      </c>
      <c r="C15618" s="111" t="s">
        <v>27175</v>
      </c>
      <c r="D15618" s="111" t="str">
        <f t="shared" ref="D15618:E15618" si="15616">TRIM(B15618)</f>
        <v>Texas</v>
      </c>
      <c r="E15618" s="111" t="str">
        <f t="shared" si="15616"/>
        <v>Lone Oak</v>
      </c>
    </row>
    <row r="15619" spans="1:5">
      <c r="A15619" s="110" t="s">
        <v>27176</v>
      </c>
      <c r="B15619" s="110" t="s">
        <v>1373</v>
      </c>
      <c r="C15619" s="111" t="s">
        <v>5797</v>
      </c>
      <c r="D15619" s="111" t="str">
        <f t="shared" ref="D15619:E15619" si="15617">TRIM(B15619)</f>
        <v>Texas</v>
      </c>
      <c r="E15619" s="111" t="str">
        <f t="shared" si="15617"/>
        <v>Longview</v>
      </c>
    </row>
    <row r="15620" spans="1:5">
      <c r="A15620" s="110" t="s">
        <v>27177</v>
      </c>
      <c r="B15620" s="110" t="s">
        <v>1373</v>
      </c>
      <c r="C15620" s="111" t="s">
        <v>5797</v>
      </c>
      <c r="D15620" s="111" t="str">
        <f t="shared" ref="D15620:E15620" si="15618">TRIM(B15620)</f>
        <v>Texas</v>
      </c>
      <c r="E15620" s="111" t="str">
        <f t="shared" si="15618"/>
        <v>Longview</v>
      </c>
    </row>
    <row r="15621" spans="1:5">
      <c r="A15621" s="110" t="s">
        <v>27178</v>
      </c>
      <c r="B15621" s="110" t="s">
        <v>1373</v>
      </c>
      <c r="C15621" s="111" t="s">
        <v>5797</v>
      </c>
      <c r="D15621" s="111" t="str">
        <f t="shared" ref="D15621:E15621" si="15619">TRIM(B15621)</f>
        <v>Texas</v>
      </c>
      <c r="E15621" s="111" t="str">
        <f t="shared" si="15619"/>
        <v>Longview</v>
      </c>
    </row>
    <row r="15622" spans="1:5">
      <c r="A15622" s="3" t="s">
        <v>27179</v>
      </c>
      <c r="B15622" s="110" t="s">
        <v>1373</v>
      </c>
      <c r="C15622" s="111" t="s">
        <v>27180</v>
      </c>
      <c r="D15622" s="111" t="str">
        <f t="shared" ref="D15622:E15622" si="15620">TRIM(B15622)</f>
        <v>Texas</v>
      </c>
      <c r="E15622" s="111" t="str">
        <f t="shared" si="15620"/>
        <v>Lorena</v>
      </c>
    </row>
    <row r="15623" spans="1:5">
      <c r="A15623" s="110" t="s">
        <v>27181</v>
      </c>
      <c r="B15623" s="110" t="s">
        <v>1373</v>
      </c>
      <c r="C15623" s="111" t="s">
        <v>27182</v>
      </c>
      <c r="D15623" s="111" t="str">
        <f t="shared" ref="D15623:E15623" si="15621">TRIM(B15623)</f>
        <v>Texas</v>
      </c>
      <c r="E15623" s="111" t="str">
        <f t="shared" si="15621"/>
        <v>Lorenzo</v>
      </c>
    </row>
    <row r="15624" spans="1:5">
      <c r="A15624" s="110" t="s">
        <v>27183</v>
      </c>
      <c r="B15624" s="110" t="s">
        <v>1373</v>
      </c>
      <c r="C15624" s="111" t="s">
        <v>6213</v>
      </c>
      <c r="D15624" s="111" t="str">
        <f t="shared" ref="D15624:E15624" si="15622">TRIM(B15624)</f>
        <v>Texas</v>
      </c>
      <c r="E15624" s="111" t="str">
        <f t="shared" si="15622"/>
        <v>Los Fresnos</v>
      </c>
    </row>
    <row r="15625" spans="1:5">
      <c r="A15625" s="110" t="s">
        <v>27184</v>
      </c>
      <c r="B15625" s="110" t="s">
        <v>1373</v>
      </c>
      <c r="C15625" s="111" t="s">
        <v>27185</v>
      </c>
      <c r="D15625" s="111" t="str">
        <f t="shared" ref="D15625:E15625" si="15623">TRIM(B15625)</f>
        <v>Texas</v>
      </c>
      <c r="E15625" s="111" t="str">
        <f t="shared" si="15623"/>
        <v>Louise</v>
      </c>
    </row>
    <row r="15626" spans="1:5">
      <c r="A15626" s="110" t="s">
        <v>27186</v>
      </c>
      <c r="B15626" s="110" t="s">
        <v>1373</v>
      </c>
      <c r="C15626" s="111" t="s">
        <v>27187</v>
      </c>
      <c r="D15626" s="111" t="str">
        <f t="shared" ref="D15626:E15626" si="15624">TRIM(B15626)</f>
        <v>Texas</v>
      </c>
      <c r="E15626" s="111" t="str">
        <f t="shared" si="15624"/>
        <v>Lovelady</v>
      </c>
    </row>
    <row r="15627" spans="1:5">
      <c r="A15627" s="110" t="s">
        <v>26626</v>
      </c>
      <c r="B15627" s="110" t="s">
        <v>1373</v>
      </c>
      <c r="C15627" s="111" t="s">
        <v>372</v>
      </c>
      <c r="D15627" s="111" t="str">
        <f t="shared" ref="D15627:E15627" si="15625">TRIM(B15627)</f>
        <v>Texas</v>
      </c>
      <c r="E15627" s="111" t="str">
        <f t="shared" si="15625"/>
        <v>Lubbock</v>
      </c>
    </row>
    <row r="15628" spans="1:5">
      <c r="A15628" s="3" t="s">
        <v>27188</v>
      </c>
      <c r="B15628" s="110" t="s">
        <v>1373</v>
      </c>
      <c r="C15628" s="111" t="s">
        <v>372</v>
      </c>
      <c r="D15628" s="111" t="str">
        <f t="shared" ref="D15628:E15628" si="15626">TRIM(B15628)</f>
        <v>Texas</v>
      </c>
      <c r="E15628" s="111" t="str">
        <f t="shared" si="15626"/>
        <v>Lubbock</v>
      </c>
    </row>
    <row r="15629" spans="1:5">
      <c r="A15629" s="110" t="s">
        <v>27189</v>
      </c>
      <c r="B15629" s="110" t="s">
        <v>1373</v>
      </c>
      <c r="C15629" s="111" t="s">
        <v>372</v>
      </c>
      <c r="D15629" s="111" t="str">
        <f t="shared" ref="D15629:E15629" si="15627">TRIM(B15629)</f>
        <v>Texas</v>
      </c>
      <c r="E15629" s="111" t="str">
        <f t="shared" si="15627"/>
        <v>Lubbock</v>
      </c>
    </row>
    <row r="15630" spans="1:5">
      <c r="A15630" s="3" t="s">
        <v>27190</v>
      </c>
      <c r="B15630" s="110" t="s">
        <v>1373</v>
      </c>
      <c r="C15630" s="111" t="s">
        <v>372</v>
      </c>
      <c r="D15630" s="111" t="str">
        <f t="shared" ref="D15630:E15630" si="15628">TRIM(B15630)</f>
        <v>Texas</v>
      </c>
      <c r="E15630" s="111" t="str">
        <f t="shared" si="15628"/>
        <v>Lubbock</v>
      </c>
    </row>
    <row r="15631" spans="1:5">
      <c r="A15631" s="110" t="s">
        <v>27191</v>
      </c>
      <c r="B15631" s="110" t="s">
        <v>1373</v>
      </c>
      <c r="C15631" s="111" t="s">
        <v>372</v>
      </c>
      <c r="D15631" s="111" t="str">
        <f t="shared" ref="D15631:E15631" si="15629">TRIM(B15631)</f>
        <v>Texas</v>
      </c>
      <c r="E15631" s="111" t="str">
        <f t="shared" si="15629"/>
        <v>Lubbock</v>
      </c>
    </row>
    <row r="15632" spans="1:5">
      <c r="A15632" s="110" t="s">
        <v>27192</v>
      </c>
      <c r="B15632" s="110" t="s">
        <v>1373</v>
      </c>
      <c r="C15632" s="111" t="s">
        <v>372</v>
      </c>
      <c r="D15632" s="111" t="str">
        <f t="shared" ref="D15632:E15632" si="15630">TRIM(B15632)</f>
        <v>Texas</v>
      </c>
      <c r="E15632" s="111" t="str">
        <f t="shared" si="15630"/>
        <v>Lubbock</v>
      </c>
    </row>
    <row r="15633" spans="1:5">
      <c r="A15633" s="110" t="s">
        <v>27193</v>
      </c>
      <c r="B15633" s="110" t="s">
        <v>1373</v>
      </c>
      <c r="C15633" s="111" t="s">
        <v>372</v>
      </c>
      <c r="D15633" s="111" t="str">
        <f t="shared" ref="D15633:E15633" si="15631">TRIM(B15633)</f>
        <v>Texas</v>
      </c>
      <c r="E15633" s="111" t="str">
        <f t="shared" si="15631"/>
        <v>Lubbock</v>
      </c>
    </row>
    <row r="15634" spans="1:5">
      <c r="A15634" s="110" t="s">
        <v>27194</v>
      </c>
      <c r="B15634" s="110" t="s">
        <v>1373</v>
      </c>
      <c r="C15634" s="111" t="s">
        <v>23211</v>
      </c>
      <c r="D15634" s="111" t="str">
        <f t="shared" ref="D15634:E15634" si="15632">TRIM(B15634)</f>
        <v>Texas</v>
      </c>
      <c r="E15634" s="111" t="str">
        <f t="shared" si="15632"/>
        <v>Lucas</v>
      </c>
    </row>
    <row r="15635" spans="1:5">
      <c r="A15635" s="110" t="s">
        <v>27195</v>
      </c>
      <c r="B15635" s="110" t="s">
        <v>1373</v>
      </c>
      <c r="C15635" s="112" t="s">
        <v>27196</v>
      </c>
      <c r="D15635" s="111" t="str">
        <f t="shared" ref="D15635:E15635" si="15633">TRIM(B15635)</f>
        <v>Texas</v>
      </c>
      <c r="E15635" s="111" t="str">
        <f t="shared" si="15633"/>
        <v>Lufkin</v>
      </c>
    </row>
    <row r="15636" spans="1:5">
      <c r="A15636" s="110" t="s">
        <v>27197</v>
      </c>
      <c r="B15636" s="110" t="s">
        <v>1373</v>
      </c>
      <c r="C15636" s="111" t="s">
        <v>27196</v>
      </c>
      <c r="D15636" s="111" t="str">
        <f t="shared" ref="D15636:E15636" si="15634">TRIM(B15636)</f>
        <v>Texas</v>
      </c>
      <c r="E15636" s="111" t="str">
        <f t="shared" si="15634"/>
        <v>Lufkin</v>
      </c>
    </row>
    <row r="15637" spans="1:5">
      <c r="A15637" s="3" t="s">
        <v>27198</v>
      </c>
      <c r="B15637" s="110" t="s">
        <v>1373</v>
      </c>
      <c r="C15637" s="111" t="s">
        <v>27196</v>
      </c>
      <c r="D15637" s="111" t="str">
        <f t="shared" ref="D15637:E15637" si="15635">TRIM(B15637)</f>
        <v>Texas</v>
      </c>
      <c r="E15637" s="111" t="str">
        <f t="shared" si="15635"/>
        <v>Lufkin</v>
      </c>
    </row>
    <row r="15638" spans="1:5">
      <c r="A15638" s="110" t="s">
        <v>27199</v>
      </c>
      <c r="B15638" s="110" t="s">
        <v>1373</v>
      </c>
      <c r="C15638" s="111" t="s">
        <v>27200</v>
      </c>
      <c r="D15638" s="111" t="str">
        <f t="shared" ref="D15638:E15638" si="15636">TRIM(B15638)</f>
        <v>Texas</v>
      </c>
      <c r="E15638" s="111" t="str">
        <f t="shared" si="15636"/>
        <v>Luling</v>
      </c>
    </row>
    <row r="15639" spans="1:5">
      <c r="A15639" s="110" t="s">
        <v>27201</v>
      </c>
      <c r="B15639" s="110" t="s">
        <v>1373</v>
      </c>
      <c r="C15639" s="111" t="s">
        <v>3247</v>
      </c>
      <c r="D15639" s="111" t="str">
        <f t="shared" ref="D15639:E15639" si="15637">TRIM(B15639)</f>
        <v>Texas</v>
      </c>
      <c r="E15639" s="111" t="str">
        <f t="shared" si="15637"/>
        <v>Lumberton</v>
      </c>
    </row>
    <row r="15640" spans="1:5">
      <c r="A15640" s="110" t="s">
        <v>27202</v>
      </c>
      <c r="B15640" s="110" t="s">
        <v>1373</v>
      </c>
      <c r="C15640" s="111" t="s">
        <v>27203</v>
      </c>
      <c r="D15640" s="111" t="str">
        <f t="shared" ref="D15640:E15640" si="15638">TRIM(B15640)</f>
        <v>Texas</v>
      </c>
      <c r="E15640" s="111" t="str">
        <f t="shared" si="15638"/>
        <v>Lyford</v>
      </c>
    </row>
    <row r="15641" spans="1:5">
      <c r="A15641" s="110" t="s">
        <v>27204</v>
      </c>
      <c r="B15641" s="110" t="s">
        <v>1373</v>
      </c>
      <c r="C15641" s="111" t="s">
        <v>27205</v>
      </c>
      <c r="D15641" s="111" t="str">
        <f t="shared" ref="D15641:E15641" si="15639">TRIM(B15641)</f>
        <v>Texas</v>
      </c>
      <c r="E15641" s="111" t="str">
        <f t="shared" si="15639"/>
        <v>Lytle</v>
      </c>
    </row>
    <row r="15642" spans="1:5">
      <c r="A15642" s="110" t="s">
        <v>27206</v>
      </c>
      <c r="B15642" s="110" t="s">
        <v>1373</v>
      </c>
      <c r="C15642" s="111" t="s">
        <v>27207</v>
      </c>
      <c r="D15642" s="111" t="str">
        <f t="shared" ref="D15642:E15642" si="15640">TRIM(B15642)</f>
        <v>Texas</v>
      </c>
      <c r="E15642" s="111" t="str">
        <f t="shared" si="15640"/>
        <v>Mabank</v>
      </c>
    </row>
    <row r="15643" spans="1:5">
      <c r="A15643" s="110" t="s">
        <v>27208</v>
      </c>
      <c r="B15643" s="110" t="s">
        <v>1373</v>
      </c>
      <c r="C15643" s="111" t="s">
        <v>15763</v>
      </c>
      <c r="D15643" s="111" t="str">
        <f t="shared" ref="D15643:E15643" si="15641">TRIM(B15643)</f>
        <v>Texas</v>
      </c>
      <c r="E15643" s="111" t="str">
        <f t="shared" si="15641"/>
        <v>Madisonville</v>
      </c>
    </row>
    <row r="15644" spans="1:5">
      <c r="A15644" s="110" t="s">
        <v>27209</v>
      </c>
      <c r="B15644" s="110" t="s">
        <v>1373</v>
      </c>
      <c r="C15644" s="111" t="s">
        <v>1146</v>
      </c>
      <c r="D15644" s="111" t="str">
        <f t="shared" ref="D15644:E15644" si="15642">TRIM(B15644)</f>
        <v>Texas</v>
      </c>
      <c r="E15644" s="111" t="str">
        <f t="shared" si="15642"/>
        <v>Magnolia</v>
      </c>
    </row>
    <row r="15645" spans="1:5">
      <c r="A15645" s="110" t="s">
        <v>27210</v>
      </c>
      <c r="B15645" s="110" t="s">
        <v>1373</v>
      </c>
      <c r="C15645" s="111" t="s">
        <v>1146</v>
      </c>
      <c r="D15645" s="111" t="str">
        <f t="shared" ref="D15645:E15645" si="15643">TRIM(B15645)</f>
        <v>Texas</v>
      </c>
      <c r="E15645" s="111" t="str">
        <f t="shared" si="15643"/>
        <v>Magnolia</v>
      </c>
    </row>
    <row r="15646" spans="1:5">
      <c r="A15646" s="110" t="s">
        <v>27211</v>
      </c>
      <c r="B15646" s="110" t="s">
        <v>1373</v>
      </c>
      <c r="C15646" s="111" t="s">
        <v>27212</v>
      </c>
      <c r="D15646" s="111" t="str">
        <f t="shared" ref="D15646:E15646" si="15644">TRIM(B15646)</f>
        <v>Texas</v>
      </c>
      <c r="E15646" s="111" t="str">
        <f t="shared" si="15644"/>
        <v>Malakoff</v>
      </c>
    </row>
    <row r="15647" spans="1:5">
      <c r="A15647" s="110" t="s">
        <v>27213</v>
      </c>
      <c r="B15647" s="110" t="s">
        <v>1373</v>
      </c>
      <c r="C15647" s="111" t="s">
        <v>27212</v>
      </c>
      <c r="D15647" s="111" t="str">
        <f t="shared" ref="D15647:E15647" si="15645">TRIM(B15647)</f>
        <v>Texas</v>
      </c>
      <c r="E15647" s="111" t="str">
        <f t="shared" si="15645"/>
        <v>Malakoff</v>
      </c>
    </row>
    <row r="15648" spans="1:5">
      <c r="A15648" s="110" t="s">
        <v>27214</v>
      </c>
      <c r="B15648" s="110" t="s">
        <v>1373</v>
      </c>
      <c r="C15648" s="111" t="s">
        <v>4635</v>
      </c>
      <c r="D15648" s="111" t="str">
        <f t="shared" ref="D15648:E15648" si="15646">TRIM(B15648)</f>
        <v>Texas</v>
      </c>
      <c r="E15648" s="111" t="str">
        <f t="shared" si="15646"/>
        <v>Manor</v>
      </c>
    </row>
    <row r="15649" spans="1:5">
      <c r="A15649" s="3" t="s">
        <v>27215</v>
      </c>
      <c r="B15649" s="110" t="s">
        <v>1373</v>
      </c>
      <c r="C15649" s="111" t="s">
        <v>4635</v>
      </c>
      <c r="D15649" s="111" t="str">
        <f t="shared" ref="D15649:E15649" si="15647">TRIM(B15649)</f>
        <v>Texas</v>
      </c>
      <c r="E15649" s="111" t="str">
        <f t="shared" si="15647"/>
        <v>Manor</v>
      </c>
    </row>
    <row r="15650" spans="1:5">
      <c r="A15650" s="110" t="s">
        <v>27216</v>
      </c>
      <c r="B15650" s="110" t="s">
        <v>1373</v>
      </c>
      <c r="C15650" s="111" t="s">
        <v>2997</v>
      </c>
      <c r="D15650" s="111" t="str">
        <f t="shared" ref="D15650:E15650" si="15648">TRIM(B15650)</f>
        <v>Texas</v>
      </c>
      <c r="E15650" s="111" t="str">
        <f t="shared" si="15648"/>
        <v>Mansfield</v>
      </c>
    </row>
    <row r="15651" spans="1:5">
      <c r="A15651" s="110" t="s">
        <v>27217</v>
      </c>
      <c r="B15651" s="110" t="s">
        <v>1373</v>
      </c>
      <c r="C15651" s="111" t="s">
        <v>2997</v>
      </c>
      <c r="D15651" s="111" t="str">
        <f t="shared" ref="D15651:E15651" si="15649">TRIM(B15651)</f>
        <v>Texas</v>
      </c>
      <c r="E15651" s="111" t="str">
        <f t="shared" si="15649"/>
        <v>Mansfield</v>
      </c>
    </row>
    <row r="15652" spans="1:5">
      <c r="A15652" s="110" t="s">
        <v>27218</v>
      </c>
      <c r="B15652" s="110" t="s">
        <v>1373</v>
      </c>
      <c r="C15652" s="111" t="s">
        <v>2997</v>
      </c>
      <c r="D15652" s="111" t="str">
        <f t="shared" ref="D15652:E15652" si="15650">TRIM(B15652)</f>
        <v>Texas</v>
      </c>
      <c r="E15652" s="111" t="str">
        <f t="shared" si="15650"/>
        <v>Mansfield</v>
      </c>
    </row>
    <row r="15653" spans="1:5">
      <c r="A15653" s="110" t="s">
        <v>27219</v>
      </c>
      <c r="B15653" s="110" t="s">
        <v>1373</v>
      </c>
      <c r="C15653" s="111" t="s">
        <v>2997</v>
      </c>
      <c r="D15653" s="111" t="str">
        <f t="shared" ref="D15653:E15653" si="15651">TRIM(B15653)</f>
        <v>Texas</v>
      </c>
      <c r="E15653" s="111" t="str">
        <f t="shared" si="15651"/>
        <v>Mansfield</v>
      </c>
    </row>
    <row r="15654" spans="1:5">
      <c r="A15654" s="110" t="s">
        <v>27220</v>
      </c>
      <c r="B15654" s="110" t="s">
        <v>1373</v>
      </c>
      <c r="C15654" s="111" t="s">
        <v>13706</v>
      </c>
      <c r="D15654" s="111" t="str">
        <f t="shared" ref="D15654:E15654" si="15652">TRIM(B15654)</f>
        <v>Texas</v>
      </c>
      <c r="E15654" s="111" t="str">
        <f t="shared" si="15652"/>
        <v>Marble Falls</v>
      </c>
    </row>
    <row r="15655" spans="1:5">
      <c r="A15655" s="110" t="s">
        <v>27221</v>
      </c>
      <c r="B15655" s="110" t="s">
        <v>1373</v>
      </c>
      <c r="C15655" s="111" t="s">
        <v>3995</v>
      </c>
      <c r="D15655" s="111" t="str">
        <f t="shared" ref="D15655:E15655" si="15653">TRIM(B15655)</f>
        <v>Texas</v>
      </c>
      <c r="E15655" s="111" t="str">
        <f t="shared" si="15653"/>
        <v>Marion</v>
      </c>
    </row>
    <row r="15656" spans="1:5">
      <c r="A15656" s="3" t="s">
        <v>27222</v>
      </c>
      <c r="B15656" s="110" t="s">
        <v>1373</v>
      </c>
      <c r="C15656" s="111" t="s">
        <v>14177</v>
      </c>
      <c r="D15656" s="111" t="str">
        <f t="shared" ref="D15656:E15656" si="15654">TRIM(B15656)</f>
        <v>Texas</v>
      </c>
      <c r="E15656" s="111" t="str">
        <f t="shared" si="15654"/>
        <v>Marlin</v>
      </c>
    </row>
    <row r="15657" spans="1:5">
      <c r="A15657" s="110" t="s">
        <v>27223</v>
      </c>
      <c r="B15657" s="110" t="s">
        <v>1373</v>
      </c>
      <c r="C15657" s="111" t="s">
        <v>1258</v>
      </c>
      <c r="D15657" s="111" t="str">
        <f t="shared" ref="D15657:E15657" si="15655">TRIM(B15657)</f>
        <v>Texas</v>
      </c>
      <c r="E15657" s="111" t="str">
        <f t="shared" si="15655"/>
        <v>Marshall</v>
      </c>
    </row>
    <row r="15658" spans="1:5">
      <c r="A15658" s="110" t="s">
        <v>27224</v>
      </c>
      <c r="B15658" s="110" t="s">
        <v>1373</v>
      </c>
      <c r="C15658" s="111" t="s">
        <v>1258</v>
      </c>
      <c r="D15658" s="111" t="str">
        <f t="shared" ref="D15658:E15658" si="15656">TRIM(B15658)</f>
        <v>Texas</v>
      </c>
      <c r="E15658" s="111" t="str">
        <f t="shared" si="15656"/>
        <v>Marshall</v>
      </c>
    </row>
    <row r="15659" spans="1:5">
      <c r="A15659" s="110" t="s">
        <v>27225</v>
      </c>
      <c r="B15659" s="110" t="s">
        <v>1373</v>
      </c>
      <c r="C15659" s="111" t="s">
        <v>27226</v>
      </c>
      <c r="D15659" s="111" t="str">
        <f t="shared" ref="D15659:E15659" si="15657">TRIM(B15659)</f>
        <v>Texas</v>
      </c>
      <c r="E15659" s="111" t="str">
        <f t="shared" si="15657"/>
        <v>Mart</v>
      </c>
    </row>
    <row r="15660" spans="1:5">
      <c r="A15660" s="110" t="s">
        <v>27227</v>
      </c>
      <c r="B15660" s="110" t="s">
        <v>1373</v>
      </c>
      <c r="C15660" s="111" t="s">
        <v>27226</v>
      </c>
      <c r="D15660" s="111" t="str">
        <f t="shared" ref="D15660:E15660" si="15658">TRIM(B15660)</f>
        <v>Texas</v>
      </c>
      <c r="E15660" s="111" t="str">
        <f t="shared" si="15658"/>
        <v>Mart</v>
      </c>
    </row>
    <row r="15661" spans="1:5">
      <c r="A15661" s="110" t="s">
        <v>27228</v>
      </c>
      <c r="B15661" s="110" t="s">
        <v>1373</v>
      </c>
      <c r="C15661" s="111" t="s">
        <v>27226</v>
      </c>
      <c r="D15661" s="111" t="str">
        <f t="shared" ref="D15661:E15661" si="15659">TRIM(B15661)</f>
        <v>Texas</v>
      </c>
      <c r="E15661" s="111" t="str">
        <f t="shared" si="15659"/>
        <v>Mart</v>
      </c>
    </row>
    <row r="15662" spans="1:5">
      <c r="A15662" s="110" t="s">
        <v>27229</v>
      </c>
      <c r="B15662" s="110" t="s">
        <v>1373</v>
      </c>
      <c r="C15662" s="111" t="s">
        <v>27230</v>
      </c>
      <c r="D15662" s="111" t="str">
        <f t="shared" ref="D15662:E15662" si="15660">TRIM(B15662)</f>
        <v>Texas</v>
      </c>
      <c r="E15662" s="111" t="str">
        <f t="shared" si="15660"/>
        <v>Martin'S Mill</v>
      </c>
    </row>
    <row r="15663" spans="1:5">
      <c r="A15663" s="110" t="s">
        <v>27231</v>
      </c>
      <c r="B15663" s="110" t="s">
        <v>1373</v>
      </c>
      <c r="C15663" s="111" t="s">
        <v>12792</v>
      </c>
      <c r="D15663" s="111" t="str">
        <f t="shared" ref="D15663:E15663" si="15661">TRIM(B15663)</f>
        <v>Texas</v>
      </c>
      <c r="E15663" s="111" t="str">
        <f t="shared" si="15661"/>
        <v>Mason</v>
      </c>
    </row>
    <row r="15664" spans="1:5">
      <c r="A15664" s="110" t="s">
        <v>27232</v>
      </c>
      <c r="B15664" s="110" t="s">
        <v>1373</v>
      </c>
      <c r="C15664" s="111" t="s">
        <v>27233</v>
      </c>
      <c r="D15664" s="111" t="str">
        <f t="shared" ref="D15664:E15664" si="15662">TRIM(B15664)</f>
        <v>Texas</v>
      </c>
      <c r="E15664" s="111" t="str">
        <f t="shared" si="15662"/>
        <v>Mathis</v>
      </c>
    </row>
    <row r="15665" spans="1:5">
      <c r="A15665" s="110" t="s">
        <v>27234</v>
      </c>
      <c r="B15665" s="110" t="s">
        <v>1373</v>
      </c>
      <c r="C15665" s="111" t="s">
        <v>27235</v>
      </c>
      <c r="D15665" s="111" t="str">
        <f t="shared" ref="D15665:E15665" si="15663">TRIM(B15665)</f>
        <v>Texas</v>
      </c>
      <c r="E15665" s="111" t="str">
        <f t="shared" si="15663"/>
        <v>May</v>
      </c>
    </row>
    <row r="15666" spans="1:5">
      <c r="A15666" s="110" t="s">
        <v>27236</v>
      </c>
      <c r="B15666" s="110" t="s">
        <v>1373</v>
      </c>
      <c r="C15666" s="111" t="s">
        <v>27237</v>
      </c>
      <c r="D15666" s="111" t="str">
        <f t="shared" ref="D15666:E15666" si="15664">TRIM(B15666)</f>
        <v>Texas</v>
      </c>
      <c r="E15666" s="111" t="str">
        <f t="shared" si="15664"/>
        <v>Maypearl</v>
      </c>
    </row>
    <row r="15667" spans="1:5">
      <c r="A15667" s="110" t="s">
        <v>27238</v>
      </c>
      <c r="B15667" s="110" t="s">
        <v>1373</v>
      </c>
      <c r="C15667" s="111" t="s">
        <v>27239</v>
      </c>
      <c r="D15667" s="111" t="str">
        <f t="shared" ref="D15667:E15667" si="15665">TRIM(B15667)</f>
        <v>Texas</v>
      </c>
      <c r="E15667" s="111" t="str">
        <f t="shared" si="15665"/>
        <v>Mc Allen</v>
      </c>
    </row>
    <row r="15668" spans="1:5">
      <c r="A15668" s="110" t="s">
        <v>27240</v>
      </c>
      <c r="B15668" s="110" t="s">
        <v>1373</v>
      </c>
      <c r="C15668" s="111" t="s">
        <v>27241</v>
      </c>
      <c r="D15668" s="111" t="str">
        <f t="shared" ref="D15668:E15668" si="15666">TRIM(B15668)</f>
        <v>Texas</v>
      </c>
      <c r="E15668" s="111" t="str">
        <f t="shared" si="15666"/>
        <v>Mcallen</v>
      </c>
    </row>
    <row r="15669" spans="1:5">
      <c r="A15669" s="110" t="s">
        <v>27242</v>
      </c>
      <c r="B15669" s="110" t="s">
        <v>1373</v>
      </c>
      <c r="C15669" s="111" t="s">
        <v>27241</v>
      </c>
      <c r="D15669" s="111" t="str">
        <f t="shared" ref="D15669:E15669" si="15667">TRIM(B15669)</f>
        <v>Texas</v>
      </c>
      <c r="E15669" s="111" t="str">
        <f t="shared" si="15667"/>
        <v>Mcallen</v>
      </c>
    </row>
    <row r="15670" spans="1:5">
      <c r="A15670" s="110" t="s">
        <v>27243</v>
      </c>
      <c r="B15670" s="110" t="s">
        <v>1373</v>
      </c>
      <c r="C15670" s="111" t="s">
        <v>27241</v>
      </c>
      <c r="D15670" s="111" t="str">
        <f t="shared" ref="D15670:E15670" si="15668">TRIM(B15670)</f>
        <v>Texas</v>
      </c>
      <c r="E15670" s="111" t="str">
        <f t="shared" si="15668"/>
        <v>Mcallen</v>
      </c>
    </row>
    <row r="15671" spans="1:5">
      <c r="A15671" s="110" t="s">
        <v>26944</v>
      </c>
      <c r="B15671" s="110" t="s">
        <v>1373</v>
      </c>
      <c r="C15671" s="111" t="s">
        <v>27241</v>
      </c>
      <c r="D15671" s="111" t="str">
        <f t="shared" ref="D15671:E15671" si="15669">TRIM(B15671)</f>
        <v>Texas</v>
      </c>
      <c r="E15671" s="111" t="str">
        <f t="shared" si="15669"/>
        <v>Mcallen</v>
      </c>
    </row>
    <row r="15672" spans="1:5">
      <c r="A15672" s="110" t="s">
        <v>27244</v>
      </c>
      <c r="B15672" s="110" t="s">
        <v>1373</v>
      </c>
      <c r="C15672" s="111" t="s">
        <v>27245</v>
      </c>
      <c r="D15672" s="111" t="str">
        <f t="shared" ref="D15672:E15672" si="15670">TRIM(B15672)</f>
        <v>Texas</v>
      </c>
      <c r="E15672" s="111" t="str">
        <f t="shared" si="15670"/>
        <v>Mccamey</v>
      </c>
    </row>
    <row r="15673" spans="1:5">
      <c r="A15673" s="110" t="s">
        <v>27246</v>
      </c>
      <c r="B15673" s="110" t="s">
        <v>1373</v>
      </c>
      <c r="C15673" s="111" t="s">
        <v>27247</v>
      </c>
      <c r="D15673" s="111" t="str">
        <f t="shared" ref="D15673:E15673" si="15671">TRIM(B15673)</f>
        <v>Texas</v>
      </c>
      <c r="E15673" s="111" t="str">
        <f t="shared" si="15671"/>
        <v>Mcdade</v>
      </c>
    </row>
    <row r="15674" spans="1:5">
      <c r="A15674" s="110" t="s">
        <v>27248</v>
      </c>
      <c r="B15674" s="110" t="s">
        <v>1373</v>
      </c>
      <c r="C15674" s="111" t="s">
        <v>18047</v>
      </c>
      <c r="D15674" s="111" t="str">
        <f t="shared" ref="D15674:E15674" si="15672">TRIM(B15674)</f>
        <v>Texas</v>
      </c>
      <c r="E15674" s="111" t="str">
        <f t="shared" si="15672"/>
        <v>Mcgregor</v>
      </c>
    </row>
    <row r="15675" spans="1:5">
      <c r="A15675" s="110" t="s">
        <v>27249</v>
      </c>
      <c r="B15675" s="110" t="s">
        <v>1373</v>
      </c>
      <c r="C15675" s="111" t="s">
        <v>27250</v>
      </c>
      <c r="D15675" s="111" t="str">
        <f t="shared" ref="D15675:E15675" si="15673">TRIM(B15675)</f>
        <v>Texas</v>
      </c>
      <c r="E15675" s="111" t="str">
        <f t="shared" si="15673"/>
        <v>Mckinney</v>
      </c>
    </row>
    <row r="15676" spans="1:5">
      <c r="A15676" s="110" t="s">
        <v>27251</v>
      </c>
      <c r="B15676" s="110" t="s">
        <v>1373</v>
      </c>
      <c r="C15676" s="111" t="s">
        <v>27250</v>
      </c>
      <c r="D15676" s="111" t="str">
        <f t="shared" ref="D15676:E15676" si="15674">TRIM(B15676)</f>
        <v>Texas</v>
      </c>
      <c r="E15676" s="111" t="str">
        <f t="shared" si="15674"/>
        <v>Mckinney</v>
      </c>
    </row>
    <row r="15677" spans="1:5">
      <c r="A15677" s="110" t="s">
        <v>27252</v>
      </c>
      <c r="B15677" s="110" t="s">
        <v>1373</v>
      </c>
      <c r="C15677" s="111" t="s">
        <v>27250</v>
      </c>
      <c r="D15677" s="111" t="str">
        <f t="shared" ref="D15677:E15677" si="15675">TRIM(B15677)</f>
        <v>Texas</v>
      </c>
      <c r="E15677" s="111" t="str">
        <f t="shared" si="15675"/>
        <v>Mckinney</v>
      </c>
    </row>
    <row r="15678" spans="1:5">
      <c r="A15678" s="110" t="s">
        <v>27253</v>
      </c>
      <c r="B15678" s="110" t="s">
        <v>1373</v>
      </c>
      <c r="C15678" s="111" t="s">
        <v>27254</v>
      </c>
      <c r="D15678" s="111" t="str">
        <f t="shared" ref="D15678:E15678" si="15676">TRIM(B15678)</f>
        <v>Texas</v>
      </c>
      <c r="E15678" s="111" t="str">
        <f t="shared" si="15676"/>
        <v>Mcleod</v>
      </c>
    </row>
    <row r="15679" spans="1:5">
      <c r="A15679" s="110" t="s">
        <v>27255</v>
      </c>
      <c r="B15679" s="110" t="s">
        <v>1373</v>
      </c>
      <c r="C15679" s="111" t="s">
        <v>27256</v>
      </c>
      <c r="D15679" s="111" t="str">
        <f t="shared" ref="D15679:E15679" si="15677">TRIM(B15679)</f>
        <v>Texas</v>
      </c>
      <c r="E15679" s="111" t="str">
        <f t="shared" si="15677"/>
        <v>Melissa</v>
      </c>
    </row>
    <row r="15680" spans="1:5">
      <c r="A15680" s="110" t="s">
        <v>27257</v>
      </c>
      <c r="B15680" s="110" t="s">
        <v>1373</v>
      </c>
      <c r="C15680" s="111" t="s">
        <v>257</v>
      </c>
      <c r="D15680" s="111" t="str">
        <f t="shared" ref="D15680:E15680" si="15678">TRIM(B15680)</f>
        <v>Texas</v>
      </c>
      <c r="E15680" s="111" t="str">
        <f t="shared" si="15678"/>
        <v>Memphis</v>
      </c>
    </row>
    <row r="15681" spans="1:5">
      <c r="A15681" s="110" t="s">
        <v>27258</v>
      </c>
      <c r="B15681" s="110" t="s">
        <v>1373</v>
      </c>
      <c r="C15681" s="111" t="s">
        <v>27259</v>
      </c>
      <c r="D15681" s="111" t="str">
        <f t="shared" ref="D15681:E15681" si="15679">TRIM(B15681)</f>
        <v>Texas</v>
      </c>
      <c r="E15681" s="111" t="str">
        <f t="shared" si="15679"/>
        <v>Menard</v>
      </c>
    </row>
    <row r="15682" spans="1:5">
      <c r="A15682" s="110" t="s">
        <v>27260</v>
      </c>
      <c r="B15682" s="110" t="s">
        <v>1373</v>
      </c>
      <c r="C15682" s="111" t="s">
        <v>366</v>
      </c>
      <c r="D15682" s="111" t="str">
        <f t="shared" ref="D15682:E15682" si="15680">TRIM(B15682)</f>
        <v>Texas</v>
      </c>
      <c r="E15682" s="111" t="str">
        <f t="shared" si="15680"/>
        <v>Mercedes</v>
      </c>
    </row>
    <row r="15683" spans="1:5">
      <c r="A15683" s="110" t="s">
        <v>27261</v>
      </c>
      <c r="B15683" s="110" t="s">
        <v>1373</v>
      </c>
      <c r="C15683" s="111" t="s">
        <v>366</v>
      </c>
      <c r="D15683" s="111" t="str">
        <f t="shared" ref="D15683:E15683" si="15681">TRIM(B15683)</f>
        <v>Texas</v>
      </c>
      <c r="E15683" s="111" t="str">
        <f t="shared" si="15681"/>
        <v>Mercedes</v>
      </c>
    </row>
    <row r="15684" spans="1:5">
      <c r="A15684" s="3" t="s">
        <v>27262</v>
      </c>
      <c r="B15684" s="110" t="s">
        <v>1373</v>
      </c>
      <c r="C15684" s="111" t="s">
        <v>366</v>
      </c>
      <c r="D15684" s="111" t="str">
        <f t="shared" ref="D15684:E15684" si="15682">TRIM(B15684)</f>
        <v>Texas</v>
      </c>
      <c r="E15684" s="111" t="str">
        <f t="shared" si="15682"/>
        <v>Mercedes</v>
      </c>
    </row>
    <row r="15685" spans="1:5">
      <c r="A15685" s="110" t="s">
        <v>27263</v>
      </c>
      <c r="B15685" s="110" t="s">
        <v>1373</v>
      </c>
      <c r="C15685" s="111" t="s">
        <v>2048</v>
      </c>
      <c r="D15685" s="111" t="str">
        <f t="shared" ref="D15685:E15685" si="15683">TRIM(B15685)</f>
        <v>Texas</v>
      </c>
      <c r="E15685" s="111" t="str">
        <f t="shared" si="15683"/>
        <v>Meridian</v>
      </c>
    </row>
    <row r="15686" spans="1:5">
      <c r="A15686" s="110" t="s">
        <v>27264</v>
      </c>
      <c r="B15686" s="110" t="s">
        <v>1373</v>
      </c>
      <c r="C15686" s="111" t="s">
        <v>27265</v>
      </c>
      <c r="D15686" s="111" t="str">
        <f t="shared" ref="D15686:E15686" si="15684">TRIM(B15686)</f>
        <v>Texas</v>
      </c>
      <c r="E15686" s="111" t="str">
        <f t="shared" si="15684"/>
        <v>Merit</v>
      </c>
    </row>
    <row r="15687" spans="1:5">
      <c r="A15687" s="110" t="s">
        <v>27266</v>
      </c>
      <c r="B15687" s="110" t="s">
        <v>1373</v>
      </c>
      <c r="C15687" s="111" t="s">
        <v>27267</v>
      </c>
      <c r="D15687" s="111" t="str">
        <f t="shared" ref="D15687:E15687" si="15685">TRIM(B15687)</f>
        <v>Texas</v>
      </c>
      <c r="E15687" s="111" t="str">
        <f t="shared" si="15685"/>
        <v>Merkel</v>
      </c>
    </row>
    <row r="15688" spans="1:5">
      <c r="A15688" s="110" t="s">
        <v>27268</v>
      </c>
      <c r="B15688" s="110" t="s">
        <v>1373</v>
      </c>
      <c r="C15688" s="111" t="s">
        <v>27269</v>
      </c>
      <c r="D15688" s="111" t="str">
        <f t="shared" ref="D15688:E15688" si="15686">TRIM(B15688)</f>
        <v>Texas</v>
      </c>
      <c r="E15688" s="111" t="str">
        <f t="shared" si="15686"/>
        <v>Mertzon</v>
      </c>
    </row>
    <row r="15689" spans="1:5">
      <c r="A15689" s="110" t="s">
        <v>27270</v>
      </c>
      <c r="B15689" s="110" t="s">
        <v>1373</v>
      </c>
      <c r="C15689" s="111" t="s">
        <v>19863</v>
      </c>
      <c r="D15689" s="111" t="str">
        <f t="shared" ref="D15689:E15689" si="15687">TRIM(B15689)</f>
        <v>Texas</v>
      </c>
      <c r="E15689" s="111" t="str">
        <f t="shared" si="15687"/>
        <v>Mesquite</v>
      </c>
    </row>
    <row r="15690" spans="1:5">
      <c r="A15690" s="110" t="s">
        <v>27271</v>
      </c>
      <c r="B15690" s="110" t="s">
        <v>1373</v>
      </c>
      <c r="C15690" s="111" t="s">
        <v>19863</v>
      </c>
      <c r="D15690" s="111" t="str">
        <f t="shared" ref="D15690:E15690" si="15688">TRIM(B15690)</f>
        <v>Texas</v>
      </c>
      <c r="E15690" s="111" t="str">
        <f t="shared" si="15688"/>
        <v>Mesquite</v>
      </c>
    </row>
    <row r="15691" spans="1:5">
      <c r="A15691" s="110" t="s">
        <v>27272</v>
      </c>
      <c r="B15691" s="110" t="s">
        <v>1373</v>
      </c>
      <c r="C15691" s="111" t="s">
        <v>19863</v>
      </c>
      <c r="D15691" s="111" t="str">
        <f t="shared" ref="D15691:E15691" si="15689">TRIM(B15691)</f>
        <v>Texas</v>
      </c>
      <c r="E15691" s="111" t="str">
        <f t="shared" si="15689"/>
        <v>Mesquite</v>
      </c>
    </row>
    <row r="15692" spans="1:5">
      <c r="A15692" s="110" t="s">
        <v>27273</v>
      </c>
      <c r="B15692" s="110" t="s">
        <v>1373</v>
      </c>
      <c r="C15692" s="111" t="s">
        <v>19863</v>
      </c>
      <c r="D15692" s="111" t="str">
        <f t="shared" ref="D15692:E15692" si="15690">TRIM(B15692)</f>
        <v>Texas</v>
      </c>
      <c r="E15692" s="111" t="str">
        <f t="shared" si="15690"/>
        <v>Mesquite</v>
      </c>
    </row>
    <row r="15693" spans="1:5">
      <c r="A15693" s="110" t="s">
        <v>27274</v>
      </c>
      <c r="B15693" s="110" t="s">
        <v>1373</v>
      </c>
      <c r="C15693" s="111" t="s">
        <v>19863</v>
      </c>
      <c r="D15693" s="111" t="str">
        <f t="shared" ref="D15693:E15693" si="15691">TRIM(B15693)</f>
        <v>Texas</v>
      </c>
      <c r="E15693" s="111" t="str">
        <f t="shared" si="15691"/>
        <v>Mesquite</v>
      </c>
    </row>
    <row r="15694" spans="1:5">
      <c r="A15694" s="110" t="s">
        <v>27275</v>
      </c>
      <c r="B15694" s="110" t="s">
        <v>1373</v>
      </c>
      <c r="C15694" s="111" t="s">
        <v>27276</v>
      </c>
      <c r="D15694" s="111" t="str">
        <f t="shared" ref="D15694:E15694" si="15692">TRIM(B15694)</f>
        <v>Texas</v>
      </c>
      <c r="E15694" s="111" t="str">
        <f t="shared" si="15692"/>
        <v>Mexia</v>
      </c>
    </row>
    <row r="15695" spans="1:5">
      <c r="A15695" s="110" t="s">
        <v>27277</v>
      </c>
      <c r="B15695" s="110" t="s">
        <v>1373</v>
      </c>
      <c r="C15695" s="111" t="s">
        <v>16041</v>
      </c>
      <c r="D15695" s="111" t="str">
        <f t="shared" ref="D15695:E15695" si="15693">TRIM(B15695)</f>
        <v>Texas</v>
      </c>
      <c r="E15695" s="111" t="str">
        <f t="shared" si="15693"/>
        <v>Midland</v>
      </c>
    </row>
    <row r="15696" spans="1:5">
      <c r="A15696" s="110" t="s">
        <v>27278</v>
      </c>
      <c r="B15696" s="110" t="s">
        <v>1373</v>
      </c>
      <c r="C15696" s="111" t="s">
        <v>16041</v>
      </c>
      <c r="D15696" s="111" t="str">
        <f t="shared" ref="D15696:E15696" si="15694">TRIM(B15696)</f>
        <v>Texas</v>
      </c>
      <c r="E15696" s="111" t="str">
        <f t="shared" si="15694"/>
        <v>Midland</v>
      </c>
    </row>
    <row r="15697" spans="1:5">
      <c r="A15697" s="110" t="s">
        <v>26255</v>
      </c>
      <c r="B15697" s="110" t="s">
        <v>1373</v>
      </c>
      <c r="C15697" s="111" t="s">
        <v>16041</v>
      </c>
      <c r="D15697" s="111" t="str">
        <f t="shared" ref="D15697:E15697" si="15695">TRIM(B15697)</f>
        <v>Texas</v>
      </c>
      <c r="E15697" s="111" t="str">
        <f t="shared" si="15695"/>
        <v>Midland</v>
      </c>
    </row>
    <row r="15698" spans="1:5">
      <c r="A15698" s="110" t="s">
        <v>27279</v>
      </c>
      <c r="B15698" s="110" t="s">
        <v>1373</v>
      </c>
      <c r="C15698" s="111" t="s">
        <v>16041</v>
      </c>
      <c r="D15698" s="111" t="str">
        <f t="shared" ref="D15698:E15698" si="15696">TRIM(B15698)</f>
        <v>Texas</v>
      </c>
      <c r="E15698" s="111" t="str">
        <f t="shared" si="15696"/>
        <v>Midland</v>
      </c>
    </row>
    <row r="15699" spans="1:5">
      <c r="A15699" s="110" t="s">
        <v>27280</v>
      </c>
      <c r="B15699" s="110" t="s">
        <v>1373</v>
      </c>
      <c r="C15699" s="111" t="s">
        <v>13329</v>
      </c>
      <c r="D15699" s="111" t="str">
        <f t="shared" ref="D15699:E15699" si="15697">TRIM(B15699)</f>
        <v>Texas</v>
      </c>
      <c r="E15699" s="111" t="str">
        <f t="shared" si="15697"/>
        <v>Midlothian</v>
      </c>
    </row>
    <row r="15700" spans="1:5">
      <c r="A15700" s="110" t="s">
        <v>27281</v>
      </c>
      <c r="B15700" s="110" t="s">
        <v>1373</v>
      </c>
      <c r="C15700" s="111" t="s">
        <v>13329</v>
      </c>
      <c r="D15700" s="111" t="str">
        <f t="shared" ref="D15700:E15700" si="15698">TRIM(B15700)</f>
        <v>Texas</v>
      </c>
      <c r="E15700" s="111" t="str">
        <f t="shared" si="15698"/>
        <v>Midlothian</v>
      </c>
    </row>
    <row r="15701" spans="1:5">
      <c r="A15701" s="110" t="s">
        <v>27282</v>
      </c>
      <c r="B15701" s="110" t="s">
        <v>1373</v>
      </c>
      <c r="C15701" s="111" t="s">
        <v>27283</v>
      </c>
      <c r="D15701" s="111" t="str">
        <f t="shared" ref="D15701:E15701" si="15699">TRIM(B15701)</f>
        <v>Texas</v>
      </c>
      <c r="E15701" s="111" t="str">
        <f t="shared" si="15699"/>
        <v>Milano</v>
      </c>
    </row>
    <row r="15702" spans="1:5">
      <c r="A15702" s="110" t="s">
        <v>27284</v>
      </c>
      <c r="B15702" s="110" t="s">
        <v>1373</v>
      </c>
      <c r="C15702" s="111" t="s">
        <v>27285</v>
      </c>
      <c r="D15702" s="111" t="str">
        <f t="shared" ref="D15702:E15702" si="15700">TRIM(B15702)</f>
        <v>Texas</v>
      </c>
      <c r="E15702" s="111" t="str">
        <f t="shared" si="15700"/>
        <v>Miles</v>
      </c>
    </row>
    <row r="15703" spans="1:5">
      <c r="A15703" s="110" t="s">
        <v>27286</v>
      </c>
      <c r="B15703" s="110" t="s">
        <v>1373</v>
      </c>
      <c r="C15703" s="111" t="s">
        <v>27287</v>
      </c>
      <c r="D15703" s="111" t="str">
        <f t="shared" ref="D15703:E15703" si="15701">TRIM(B15703)</f>
        <v>Texas</v>
      </c>
      <c r="E15703" s="111" t="str">
        <f t="shared" si="15701"/>
        <v>Millsap</v>
      </c>
    </row>
    <row r="15704" spans="1:5">
      <c r="A15704" s="110" t="s">
        <v>27288</v>
      </c>
      <c r="B15704" s="110" t="s">
        <v>1373</v>
      </c>
      <c r="C15704" s="111" t="s">
        <v>27289</v>
      </c>
      <c r="D15704" s="111" t="str">
        <f t="shared" ref="D15704:E15704" si="15702">TRIM(B15704)</f>
        <v>Texas</v>
      </c>
      <c r="E15704" s="111" t="str">
        <f t="shared" si="15702"/>
        <v>Mineola</v>
      </c>
    </row>
    <row r="15705" spans="1:5">
      <c r="A15705" s="110" t="s">
        <v>27290</v>
      </c>
      <c r="B15705" s="110" t="s">
        <v>1373</v>
      </c>
      <c r="C15705" s="111" t="s">
        <v>27291</v>
      </c>
      <c r="D15705" s="111" t="str">
        <f t="shared" ref="D15705:E15705" si="15703">TRIM(B15705)</f>
        <v>Texas</v>
      </c>
      <c r="E15705" s="111" t="str">
        <f t="shared" si="15703"/>
        <v>Mineral Wells</v>
      </c>
    </row>
    <row r="15706" spans="1:5">
      <c r="A15706" s="110" t="s">
        <v>27292</v>
      </c>
      <c r="B15706" s="110" t="s">
        <v>1373</v>
      </c>
      <c r="C15706" s="111" t="s">
        <v>13686</v>
      </c>
      <c r="D15706" s="111" t="str">
        <f t="shared" ref="D15706:E15706" si="15704">TRIM(B15706)</f>
        <v>Texas</v>
      </c>
      <c r="E15706" s="111" t="str">
        <f t="shared" si="15704"/>
        <v>Mission</v>
      </c>
    </row>
    <row r="15707" spans="1:5">
      <c r="A15707" s="110" t="s">
        <v>27293</v>
      </c>
      <c r="B15707" s="110" t="s">
        <v>1373</v>
      </c>
      <c r="C15707" s="111" t="s">
        <v>13686</v>
      </c>
      <c r="D15707" s="111" t="str">
        <f t="shared" ref="D15707:E15707" si="15705">TRIM(B15707)</f>
        <v>Texas</v>
      </c>
      <c r="E15707" s="111" t="str">
        <f t="shared" si="15705"/>
        <v>Mission</v>
      </c>
    </row>
    <row r="15708" spans="1:5">
      <c r="A15708" s="110" t="s">
        <v>27294</v>
      </c>
      <c r="B15708" s="110" t="s">
        <v>1373</v>
      </c>
      <c r="C15708" s="111" t="s">
        <v>13686</v>
      </c>
      <c r="D15708" s="111" t="str">
        <f t="shared" ref="D15708:E15708" si="15706">TRIM(B15708)</f>
        <v>Texas</v>
      </c>
      <c r="E15708" s="111" t="str">
        <f t="shared" si="15706"/>
        <v>Mission</v>
      </c>
    </row>
    <row r="15709" spans="1:5">
      <c r="A15709" s="110" t="s">
        <v>27295</v>
      </c>
      <c r="B15709" s="110" t="s">
        <v>1373</v>
      </c>
      <c r="C15709" s="111" t="s">
        <v>13686</v>
      </c>
      <c r="D15709" s="111" t="str">
        <f t="shared" ref="D15709:E15709" si="15707">TRIM(B15709)</f>
        <v>Texas</v>
      </c>
      <c r="E15709" s="111" t="str">
        <f t="shared" si="15707"/>
        <v>Mission</v>
      </c>
    </row>
    <row r="15710" spans="1:5">
      <c r="A15710" s="3" t="s">
        <v>27296</v>
      </c>
      <c r="B15710" s="110" t="s">
        <v>1373</v>
      </c>
      <c r="C15710" s="111" t="s">
        <v>13686</v>
      </c>
      <c r="D15710" s="111" t="str">
        <f t="shared" ref="D15710:E15710" si="15708">TRIM(B15710)</f>
        <v>Texas</v>
      </c>
      <c r="E15710" s="111" t="str">
        <f t="shared" si="15708"/>
        <v>Mission</v>
      </c>
    </row>
    <row r="15711" spans="1:5">
      <c r="A15711" s="110" t="s">
        <v>27297</v>
      </c>
      <c r="B15711" s="110" t="s">
        <v>1373</v>
      </c>
      <c r="C15711" s="111" t="s">
        <v>13686</v>
      </c>
      <c r="D15711" s="111" t="str">
        <f t="shared" ref="D15711:E15711" si="15709">TRIM(B15711)</f>
        <v>Texas</v>
      </c>
      <c r="E15711" s="111" t="str">
        <f t="shared" si="15709"/>
        <v>Mission</v>
      </c>
    </row>
    <row r="15712" spans="1:5">
      <c r="A15712" s="110" t="s">
        <v>27298</v>
      </c>
      <c r="B15712" s="110" t="s">
        <v>1373</v>
      </c>
      <c r="C15712" s="111" t="s">
        <v>13686</v>
      </c>
      <c r="D15712" s="111" t="str">
        <f t="shared" ref="D15712:E15712" si="15710">TRIM(B15712)</f>
        <v>Texas</v>
      </c>
      <c r="E15712" s="111" t="str">
        <f t="shared" si="15710"/>
        <v>Mission</v>
      </c>
    </row>
    <row r="15713" spans="1:5">
      <c r="A15713" s="110" t="s">
        <v>26460</v>
      </c>
      <c r="B15713" s="110" t="s">
        <v>1373</v>
      </c>
      <c r="C15713" s="111" t="s">
        <v>13686</v>
      </c>
      <c r="D15713" s="111" t="str">
        <f t="shared" ref="D15713:E15713" si="15711">TRIM(B15713)</f>
        <v>Texas</v>
      </c>
      <c r="E15713" s="111" t="str">
        <f t="shared" si="15711"/>
        <v>Mission</v>
      </c>
    </row>
    <row r="15714" spans="1:5">
      <c r="A15714" s="3" t="s">
        <v>27299</v>
      </c>
      <c r="B15714" s="110" t="s">
        <v>1373</v>
      </c>
      <c r="C15714" s="111" t="s">
        <v>890</v>
      </c>
      <c r="D15714" s="111" t="str">
        <f t="shared" ref="D15714:E15714" si="15712">TRIM(B15714)</f>
        <v>Texas</v>
      </c>
      <c r="E15714" s="111" t="str">
        <f t="shared" si="15712"/>
        <v>Missouri City</v>
      </c>
    </row>
    <row r="15715" spans="1:5">
      <c r="A15715" s="110" t="s">
        <v>27300</v>
      </c>
      <c r="B15715" s="110" t="s">
        <v>1373</v>
      </c>
      <c r="C15715" s="111" t="s">
        <v>890</v>
      </c>
      <c r="D15715" s="111" t="str">
        <f t="shared" ref="D15715:E15715" si="15713">TRIM(B15715)</f>
        <v>Texas</v>
      </c>
      <c r="E15715" s="111" t="str">
        <f t="shared" si="15713"/>
        <v>Missouri City</v>
      </c>
    </row>
    <row r="15716" spans="1:5">
      <c r="A15716" s="110" t="s">
        <v>27301</v>
      </c>
      <c r="B15716" s="110" t="s">
        <v>1373</v>
      </c>
      <c r="C15716" s="111" t="s">
        <v>890</v>
      </c>
      <c r="D15716" s="111" t="str">
        <f t="shared" ref="D15716:E15716" si="15714">TRIM(B15716)</f>
        <v>Texas</v>
      </c>
      <c r="E15716" s="111" t="str">
        <f t="shared" si="15714"/>
        <v>Missouri City</v>
      </c>
    </row>
    <row r="15717" spans="1:5">
      <c r="A15717" s="110" t="s">
        <v>27302</v>
      </c>
      <c r="B15717" s="110" t="s">
        <v>1373</v>
      </c>
      <c r="C15717" s="111" t="s">
        <v>890</v>
      </c>
      <c r="D15717" s="111" t="str">
        <f t="shared" ref="D15717:E15717" si="15715">TRIM(B15717)</f>
        <v>Texas</v>
      </c>
      <c r="E15717" s="111" t="str">
        <f t="shared" si="15715"/>
        <v>Missouri City</v>
      </c>
    </row>
    <row r="15718" spans="1:5">
      <c r="A15718" s="110" t="s">
        <v>27303</v>
      </c>
      <c r="B15718" s="110" t="s">
        <v>1373</v>
      </c>
      <c r="C15718" s="111" t="s">
        <v>27304</v>
      </c>
      <c r="D15718" s="111" t="str">
        <f t="shared" ref="D15718:E15718" si="15716">TRIM(B15718)</f>
        <v>Texas</v>
      </c>
      <c r="E15718" s="111" t="str">
        <f t="shared" si="15716"/>
        <v>Monahans</v>
      </c>
    </row>
    <row r="15719" spans="1:5">
      <c r="A15719" s="110" t="s">
        <v>27305</v>
      </c>
      <c r="B15719" s="110" t="s">
        <v>1373</v>
      </c>
      <c r="C15719" s="111" t="s">
        <v>27306</v>
      </c>
      <c r="D15719" s="111" t="str">
        <f t="shared" ref="D15719:E15719" si="15717">TRIM(B15719)</f>
        <v>Texas</v>
      </c>
      <c r="E15719" s="111" t="str">
        <f t="shared" si="15717"/>
        <v>Mont Belvieu</v>
      </c>
    </row>
    <row r="15720" spans="1:5">
      <c r="A15720" s="110" t="s">
        <v>27307</v>
      </c>
      <c r="B15720" s="110" t="s">
        <v>1373</v>
      </c>
      <c r="C15720" s="111" t="s">
        <v>27308</v>
      </c>
      <c r="D15720" s="111" t="str">
        <f t="shared" ref="D15720:E15720" si="15718">TRIM(B15720)</f>
        <v>Texas</v>
      </c>
      <c r="E15720" s="111" t="str">
        <f t="shared" si="15718"/>
        <v>Monte Alto</v>
      </c>
    </row>
    <row r="15721" spans="1:5">
      <c r="A15721" s="110" t="s">
        <v>27309</v>
      </c>
      <c r="B15721" s="110" t="s">
        <v>1373</v>
      </c>
      <c r="C15721" s="111" t="s">
        <v>439</v>
      </c>
      <c r="D15721" s="111" t="str">
        <f t="shared" ref="D15721:E15721" si="15719">TRIM(B15721)</f>
        <v>Texas</v>
      </c>
      <c r="E15721" s="111" t="str">
        <f t="shared" si="15719"/>
        <v>Montgomery</v>
      </c>
    </row>
    <row r="15722" spans="1:5">
      <c r="A15722" s="110" t="s">
        <v>27310</v>
      </c>
      <c r="B15722" s="110" t="s">
        <v>1373</v>
      </c>
      <c r="C15722" s="111" t="s">
        <v>439</v>
      </c>
      <c r="D15722" s="111" t="str">
        <f t="shared" ref="D15722:E15722" si="15720">TRIM(B15722)</f>
        <v>Texas</v>
      </c>
      <c r="E15722" s="111" t="str">
        <f t="shared" si="15720"/>
        <v>Montgomery</v>
      </c>
    </row>
    <row r="15723" spans="1:5">
      <c r="A15723" s="110" t="s">
        <v>26456</v>
      </c>
      <c r="B15723" s="110" t="s">
        <v>1373</v>
      </c>
      <c r="C15723" s="111" t="s">
        <v>1995</v>
      </c>
      <c r="D15723" s="111" t="str">
        <f t="shared" ref="D15723:E15723" si="15721">TRIM(B15723)</f>
        <v>Texas</v>
      </c>
      <c r="E15723" s="111" t="str">
        <f t="shared" si="15721"/>
        <v>Moody</v>
      </c>
    </row>
    <row r="15724" spans="1:5">
      <c r="A15724" s="110" t="s">
        <v>27311</v>
      </c>
      <c r="B15724" s="110" t="s">
        <v>1373</v>
      </c>
      <c r="C15724" s="111" t="s">
        <v>1999</v>
      </c>
      <c r="D15724" s="111" t="str">
        <f t="shared" ref="D15724:E15724" si="15722">TRIM(B15724)</f>
        <v>Texas</v>
      </c>
      <c r="E15724" s="111" t="str">
        <f t="shared" si="15722"/>
        <v>Moulton</v>
      </c>
    </row>
    <row r="15725" spans="1:5">
      <c r="A15725" s="110" t="s">
        <v>27312</v>
      </c>
      <c r="B15725" s="110" t="s">
        <v>1373</v>
      </c>
      <c r="C15725" s="111" t="s">
        <v>398</v>
      </c>
      <c r="D15725" s="111" t="str">
        <f t="shared" ref="D15725:E15725" si="15723">TRIM(B15725)</f>
        <v>Texas</v>
      </c>
      <c r="E15725" s="111" t="str">
        <f t="shared" si="15723"/>
        <v>Mount Pleasant</v>
      </c>
    </row>
    <row r="15726" spans="1:5">
      <c r="A15726" s="110" t="s">
        <v>27313</v>
      </c>
      <c r="B15726" s="110" t="s">
        <v>1373</v>
      </c>
      <c r="C15726" s="111" t="s">
        <v>398</v>
      </c>
      <c r="D15726" s="111" t="str">
        <f t="shared" ref="D15726:E15726" si="15724">TRIM(B15726)</f>
        <v>Texas</v>
      </c>
      <c r="E15726" s="111" t="str">
        <f t="shared" si="15724"/>
        <v>Mount Pleasant</v>
      </c>
    </row>
    <row r="15727" spans="1:5">
      <c r="A15727" s="110" t="s">
        <v>27314</v>
      </c>
      <c r="B15727" s="110" t="s">
        <v>1373</v>
      </c>
      <c r="C15727" s="111" t="s">
        <v>6798</v>
      </c>
      <c r="D15727" s="111" t="str">
        <f t="shared" ref="D15727:E15727" si="15725">TRIM(B15727)</f>
        <v>Texas</v>
      </c>
      <c r="E15727" s="111" t="str">
        <f t="shared" si="15725"/>
        <v>Mount Vernon</v>
      </c>
    </row>
    <row r="15728" spans="1:5">
      <c r="A15728" s="110" t="s">
        <v>27315</v>
      </c>
      <c r="B15728" s="110" t="s">
        <v>1373</v>
      </c>
      <c r="C15728" s="111" t="s">
        <v>27316</v>
      </c>
      <c r="D15728" s="111" t="str">
        <f t="shared" ref="D15728:E15728" si="15726">TRIM(B15728)</f>
        <v>Texas</v>
      </c>
      <c r="E15728" s="111" t="str">
        <f t="shared" si="15726"/>
        <v>Mt Enterprise</v>
      </c>
    </row>
    <row r="15729" spans="1:5">
      <c r="A15729" s="110" t="s">
        <v>27317</v>
      </c>
      <c r="B15729" s="110" t="s">
        <v>1373</v>
      </c>
      <c r="C15729" s="111" t="s">
        <v>27318</v>
      </c>
      <c r="D15729" s="111" t="str">
        <f t="shared" ref="D15729:E15729" si="15727">TRIM(B15729)</f>
        <v>Texas</v>
      </c>
      <c r="E15729" s="111" t="str">
        <f t="shared" si="15727"/>
        <v>Muenster</v>
      </c>
    </row>
    <row r="15730" spans="1:5">
      <c r="A15730" s="110" t="s">
        <v>27319</v>
      </c>
      <c r="B15730" s="110" t="s">
        <v>1373</v>
      </c>
      <c r="C15730" s="111" t="s">
        <v>27320</v>
      </c>
      <c r="D15730" s="111" t="str">
        <f t="shared" ref="D15730:E15730" si="15728">TRIM(B15730)</f>
        <v>Texas</v>
      </c>
      <c r="E15730" s="111" t="str">
        <f t="shared" si="15728"/>
        <v>Muleshoe</v>
      </c>
    </row>
    <row r="15731" spans="1:5">
      <c r="A15731" s="110" t="s">
        <v>27321</v>
      </c>
      <c r="B15731" s="110" t="s">
        <v>1373</v>
      </c>
      <c r="C15731" s="111" t="s">
        <v>27322</v>
      </c>
      <c r="D15731" s="111" t="str">
        <f t="shared" ref="D15731:E15731" si="15729">TRIM(B15731)</f>
        <v>Texas</v>
      </c>
      <c r="E15731" s="111" t="str">
        <f t="shared" si="15729"/>
        <v>Mullin</v>
      </c>
    </row>
    <row r="15732" spans="1:5">
      <c r="A15732" s="110" t="s">
        <v>27323</v>
      </c>
      <c r="B15732" s="110" t="s">
        <v>1373</v>
      </c>
      <c r="C15732" s="111" t="s">
        <v>27324</v>
      </c>
      <c r="D15732" s="111" t="str">
        <f t="shared" ref="D15732:E15732" si="15730">TRIM(B15732)</f>
        <v>Texas</v>
      </c>
      <c r="E15732" s="111" t="str">
        <f t="shared" si="15730"/>
        <v>Mumford</v>
      </c>
    </row>
    <row r="15733" spans="1:5">
      <c r="A15733" s="110" t="s">
        <v>27325</v>
      </c>
      <c r="B15733" s="110" t="s">
        <v>1373</v>
      </c>
      <c r="C15733" s="111" t="s">
        <v>27326</v>
      </c>
      <c r="D15733" s="111" t="str">
        <f t="shared" ref="D15733:E15733" si="15731">TRIM(B15733)</f>
        <v>Texas</v>
      </c>
      <c r="E15733" s="111" t="str">
        <f t="shared" si="15731"/>
        <v>Munday</v>
      </c>
    </row>
    <row r="15734" spans="1:5">
      <c r="A15734" s="110" t="s">
        <v>27327</v>
      </c>
      <c r="B15734" s="110" t="s">
        <v>1373</v>
      </c>
      <c r="C15734" s="111" t="s">
        <v>13735</v>
      </c>
      <c r="D15734" s="111" t="str">
        <f t="shared" ref="D15734:E15734" si="15732">TRIM(B15734)</f>
        <v>Texas</v>
      </c>
      <c r="E15734" s="111" t="str">
        <f t="shared" si="15732"/>
        <v>Nacogdoches</v>
      </c>
    </row>
    <row r="15735" spans="1:5">
      <c r="A15735" s="110" t="s">
        <v>27328</v>
      </c>
      <c r="B15735" s="110" t="s">
        <v>1373</v>
      </c>
      <c r="C15735" s="111" t="s">
        <v>13735</v>
      </c>
      <c r="D15735" s="111" t="str">
        <f t="shared" ref="D15735:E15735" si="15733">TRIM(B15735)</f>
        <v>Texas</v>
      </c>
      <c r="E15735" s="111" t="str">
        <f t="shared" si="15733"/>
        <v>Nacogdoches</v>
      </c>
    </row>
    <row r="15736" spans="1:5">
      <c r="A15736" s="110" t="s">
        <v>27329</v>
      </c>
      <c r="B15736" s="110" t="s">
        <v>1373</v>
      </c>
      <c r="C15736" s="111" t="s">
        <v>27330</v>
      </c>
      <c r="D15736" s="111" t="str">
        <f t="shared" ref="D15736:E15736" si="15734">TRIM(B15736)</f>
        <v>Texas</v>
      </c>
      <c r="E15736" s="111" t="str">
        <f t="shared" si="15734"/>
        <v>Natalia</v>
      </c>
    </row>
    <row r="15737" spans="1:5">
      <c r="A15737" s="110" t="s">
        <v>27331</v>
      </c>
      <c r="B15737" s="110" t="s">
        <v>1373</v>
      </c>
      <c r="C15737" s="111" t="s">
        <v>27332</v>
      </c>
      <c r="D15737" s="111" t="str">
        <f t="shared" ref="D15737:E15737" si="15735">TRIM(B15737)</f>
        <v>Texas</v>
      </c>
      <c r="E15737" s="111" t="str">
        <f t="shared" si="15735"/>
        <v>Navasota</v>
      </c>
    </row>
    <row r="15738" spans="1:5">
      <c r="A15738" s="110" t="s">
        <v>27333</v>
      </c>
      <c r="B15738" s="110" t="s">
        <v>1373</v>
      </c>
      <c r="C15738" s="111" t="s">
        <v>27334</v>
      </c>
      <c r="D15738" s="111" t="str">
        <f t="shared" ref="D15738:E15738" si="15736">TRIM(B15738)</f>
        <v>Texas</v>
      </c>
      <c r="E15738" s="111" t="str">
        <f t="shared" si="15736"/>
        <v>Neches</v>
      </c>
    </row>
    <row r="15739" spans="1:5">
      <c r="A15739" s="110" t="s">
        <v>27335</v>
      </c>
      <c r="B15739" s="110" t="s">
        <v>1373</v>
      </c>
      <c r="C15739" s="111" t="s">
        <v>8127</v>
      </c>
      <c r="D15739" s="111" t="str">
        <f t="shared" ref="D15739:E15739" si="15737">TRIM(B15739)</f>
        <v>Texas</v>
      </c>
      <c r="E15739" s="111" t="str">
        <f t="shared" si="15737"/>
        <v>Nederland</v>
      </c>
    </row>
    <row r="15740" spans="1:5">
      <c r="A15740" s="110" t="s">
        <v>27336</v>
      </c>
      <c r="B15740" s="110" t="s">
        <v>1373</v>
      </c>
      <c r="C15740" s="111" t="s">
        <v>27337</v>
      </c>
      <c r="D15740" s="111" t="str">
        <f t="shared" ref="D15740:E15740" si="15738">TRIM(B15740)</f>
        <v>Texas</v>
      </c>
      <c r="E15740" s="111" t="str">
        <f t="shared" si="15738"/>
        <v>Needville</v>
      </c>
    </row>
    <row r="15741" spans="1:5">
      <c r="A15741" s="110" t="s">
        <v>27338</v>
      </c>
      <c r="B15741" s="110" t="s">
        <v>1373</v>
      </c>
      <c r="C15741" s="112" t="s">
        <v>1352</v>
      </c>
      <c r="D15741" s="111" t="str">
        <f t="shared" ref="D15741:E15741" si="15739">TRIM(B15741)</f>
        <v>Texas</v>
      </c>
      <c r="E15741" s="111" t="str">
        <f t="shared" si="15739"/>
        <v>Nevada</v>
      </c>
    </row>
    <row r="15742" spans="1:5">
      <c r="A15742" s="110" t="s">
        <v>27339</v>
      </c>
      <c r="B15742" s="110" t="s">
        <v>1373</v>
      </c>
      <c r="C15742" s="111" t="s">
        <v>17455</v>
      </c>
      <c r="D15742" s="111" t="str">
        <f t="shared" ref="D15742:E15742" si="15740">TRIM(B15742)</f>
        <v>Texas</v>
      </c>
      <c r="E15742" s="111" t="str">
        <f t="shared" si="15740"/>
        <v>New Boston</v>
      </c>
    </row>
    <row r="15743" spans="1:5">
      <c r="A15743" s="110" t="s">
        <v>26367</v>
      </c>
      <c r="B15743" s="110" t="s">
        <v>1373</v>
      </c>
      <c r="C15743" s="111" t="s">
        <v>27340</v>
      </c>
      <c r="D15743" s="111" t="str">
        <f t="shared" ref="D15743:E15743" si="15741">TRIM(B15743)</f>
        <v>Texas</v>
      </c>
      <c r="E15743" s="111" t="str">
        <f t="shared" si="15741"/>
        <v>New Braunfels</v>
      </c>
    </row>
    <row r="15744" spans="1:5">
      <c r="A15744" s="110" t="s">
        <v>27341</v>
      </c>
      <c r="B15744" s="110" t="s">
        <v>1373</v>
      </c>
      <c r="C15744" s="111" t="s">
        <v>27340</v>
      </c>
      <c r="D15744" s="111" t="str">
        <f t="shared" ref="D15744:E15744" si="15742">TRIM(B15744)</f>
        <v>Texas</v>
      </c>
      <c r="E15744" s="111" t="str">
        <f t="shared" si="15742"/>
        <v>New Braunfels</v>
      </c>
    </row>
    <row r="15745" spans="1:5">
      <c r="A15745" s="110" t="s">
        <v>27342</v>
      </c>
      <c r="B15745" s="110" t="s">
        <v>1373</v>
      </c>
      <c r="C15745" s="111" t="s">
        <v>27340</v>
      </c>
      <c r="D15745" s="111" t="str">
        <f t="shared" ref="D15745:E15745" si="15743">TRIM(B15745)</f>
        <v>Texas</v>
      </c>
      <c r="E15745" s="111" t="str">
        <f t="shared" si="15743"/>
        <v>New Braunfels</v>
      </c>
    </row>
    <row r="15746" spans="1:5">
      <c r="A15746" s="110" t="s">
        <v>27343</v>
      </c>
      <c r="B15746" s="110" t="s">
        <v>1373</v>
      </c>
      <c r="C15746" s="111" t="s">
        <v>27340</v>
      </c>
      <c r="D15746" s="111" t="str">
        <f t="shared" ref="D15746:E15746" si="15744">TRIM(B15746)</f>
        <v>Texas</v>
      </c>
      <c r="E15746" s="111" t="str">
        <f t="shared" si="15744"/>
        <v>New Braunfels</v>
      </c>
    </row>
    <row r="15747" spans="1:5">
      <c r="A15747" s="3" t="s">
        <v>27344</v>
      </c>
      <c r="B15747" s="110" t="s">
        <v>1373</v>
      </c>
      <c r="C15747" s="111" t="s">
        <v>27340</v>
      </c>
      <c r="D15747" s="111" t="str">
        <f t="shared" ref="D15747:E15747" si="15745">TRIM(B15747)</f>
        <v>Texas</v>
      </c>
      <c r="E15747" s="111" t="str">
        <f t="shared" si="15745"/>
        <v>New Braunfels</v>
      </c>
    </row>
    <row r="15748" spans="1:5">
      <c r="A15748" s="110" t="s">
        <v>27345</v>
      </c>
      <c r="B15748" s="110" t="s">
        <v>1373</v>
      </c>
      <c r="C15748" s="111" t="s">
        <v>27346</v>
      </c>
      <c r="D15748" s="111" t="str">
        <f t="shared" ref="D15748:E15748" si="15746">TRIM(B15748)</f>
        <v>Texas</v>
      </c>
      <c r="E15748" s="111" t="str">
        <f t="shared" si="15746"/>
        <v>New Caney</v>
      </c>
    </row>
    <row r="15749" spans="1:5">
      <c r="A15749" s="110" t="s">
        <v>27347</v>
      </c>
      <c r="B15749" s="110" t="s">
        <v>1373</v>
      </c>
      <c r="C15749" s="111" t="s">
        <v>27348</v>
      </c>
      <c r="D15749" s="111" t="str">
        <f t="shared" ref="D15749:E15749" si="15747">TRIM(B15749)</f>
        <v>Texas</v>
      </c>
      <c r="E15749" s="111" t="str">
        <f t="shared" si="15747"/>
        <v>New Deal</v>
      </c>
    </row>
    <row r="15750" spans="1:5">
      <c r="A15750" s="110" t="s">
        <v>27349</v>
      </c>
      <c r="B15750" s="110" t="s">
        <v>1373</v>
      </c>
      <c r="C15750" s="111" t="s">
        <v>8596</v>
      </c>
      <c r="D15750" s="111" t="str">
        <f t="shared" ref="D15750:E15750" si="15748">TRIM(B15750)</f>
        <v>Texas</v>
      </c>
      <c r="E15750" s="111" t="str">
        <f t="shared" si="15748"/>
        <v>New London</v>
      </c>
    </row>
    <row r="15751" spans="1:5">
      <c r="A15751" s="110" t="s">
        <v>27350</v>
      </c>
      <c r="B15751" s="110" t="s">
        <v>1373</v>
      </c>
      <c r="C15751" s="111" t="s">
        <v>27351</v>
      </c>
      <c r="D15751" s="111" t="str">
        <f t="shared" ref="D15751:E15751" si="15749">TRIM(B15751)</f>
        <v>Texas</v>
      </c>
      <c r="E15751" s="111" t="str">
        <f t="shared" si="15749"/>
        <v>New Waverly</v>
      </c>
    </row>
    <row r="15752" spans="1:5">
      <c r="A15752" s="110" t="s">
        <v>27352</v>
      </c>
      <c r="B15752" s="110" t="s">
        <v>1373</v>
      </c>
      <c r="C15752" s="111" t="s">
        <v>11313</v>
      </c>
      <c r="D15752" s="111" t="str">
        <f t="shared" ref="D15752:E15752" si="15750">TRIM(B15752)</f>
        <v>Texas</v>
      </c>
      <c r="E15752" s="111" t="str">
        <f t="shared" si="15750"/>
        <v>Newton</v>
      </c>
    </row>
    <row r="15753" spans="1:5">
      <c r="A15753" s="110" t="s">
        <v>27353</v>
      </c>
      <c r="B15753" s="110" t="s">
        <v>1373</v>
      </c>
      <c r="C15753" s="111" t="s">
        <v>27354</v>
      </c>
      <c r="D15753" s="111" t="str">
        <f t="shared" ref="D15753:E15753" si="15751">TRIM(B15753)</f>
        <v>Texas</v>
      </c>
      <c r="E15753" s="111" t="str">
        <f t="shared" si="15751"/>
        <v>Nixon</v>
      </c>
    </row>
    <row r="15754" spans="1:5">
      <c r="A15754" s="110" t="s">
        <v>27355</v>
      </c>
      <c r="B15754" s="110" t="s">
        <v>1373</v>
      </c>
      <c r="C15754" s="111" t="s">
        <v>27356</v>
      </c>
      <c r="D15754" s="111" t="str">
        <f t="shared" ref="D15754:E15754" si="15752">TRIM(B15754)</f>
        <v>Texas</v>
      </c>
      <c r="E15754" s="111" t="str">
        <f t="shared" si="15752"/>
        <v>Nocona</v>
      </c>
    </row>
    <row r="15755" spans="1:5">
      <c r="A15755" s="110" t="s">
        <v>27357</v>
      </c>
      <c r="B15755" s="110" t="s">
        <v>1373</v>
      </c>
      <c r="C15755" s="111" t="s">
        <v>27356</v>
      </c>
      <c r="D15755" s="111" t="str">
        <f t="shared" ref="D15755:E15755" si="15753">TRIM(B15755)</f>
        <v>Texas</v>
      </c>
      <c r="E15755" s="111" t="str">
        <f t="shared" si="15753"/>
        <v>Nocona</v>
      </c>
    </row>
    <row r="15756" spans="1:5">
      <c r="A15756" s="110" t="s">
        <v>27358</v>
      </c>
      <c r="B15756" s="110" t="s">
        <v>1373</v>
      </c>
      <c r="C15756" s="111" t="s">
        <v>27359</v>
      </c>
      <c r="D15756" s="111" t="str">
        <f t="shared" ref="D15756:E15756" si="15754">TRIM(B15756)</f>
        <v>Texas</v>
      </c>
      <c r="E15756" s="111" t="str">
        <f t="shared" si="15754"/>
        <v>Normangee</v>
      </c>
    </row>
    <row r="15757" spans="1:5">
      <c r="A15757" s="110" t="s">
        <v>27360</v>
      </c>
      <c r="B15757" s="110" t="s">
        <v>1373</v>
      </c>
      <c r="C15757" s="113" t="s">
        <v>27361</v>
      </c>
      <c r="D15757" s="111" t="str">
        <f t="shared" ref="D15757:E15757" si="15755">TRIM(B15757)</f>
        <v>Texas</v>
      </c>
      <c r="E15757" s="111" t="str">
        <f t="shared" si="15755"/>
        <v>North Richland Hills</v>
      </c>
    </row>
    <row r="15758" spans="1:5">
      <c r="A15758" s="110" t="s">
        <v>27362</v>
      </c>
      <c r="B15758" s="110" t="s">
        <v>1373</v>
      </c>
      <c r="C15758" s="113" t="s">
        <v>27361</v>
      </c>
      <c r="D15758" s="111" t="str">
        <f t="shared" ref="D15758:E15758" si="15756">TRIM(B15758)</f>
        <v>Texas</v>
      </c>
      <c r="E15758" s="111" t="str">
        <f t="shared" si="15756"/>
        <v>North Richland Hills</v>
      </c>
    </row>
    <row r="15759" spans="1:5">
      <c r="A15759" s="110" t="s">
        <v>27363</v>
      </c>
      <c r="B15759" s="110" t="s">
        <v>1373</v>
      </c>
      <c r="C15759" s="111" t="s">
        <v>9473</v>
      </c>
      <c r="D15759" s="111" t="str">
        <f t="shared" ref="D15759:E15759" si="15757">TRIM(B15759)</f>
        <v>Texas</v>
      </c>
      <c r="E15759" s="111" t="str">
        <f t="shared" si="15757"/>
        <v>Oakwood</v>
      </c>
    </row>
    <row r="15760" spans="1:5">
      <c r="A15760" s="110" t="s">
        <v>27364</v>
      </c>
      <c r="B15760" s="110" t="s">
        <v>1373</v>
      </c>
      <c r="C15760" s="111" t="s">
        <v>27365</v>
      </c>
      <c r="D15760" s="111" t="str">
        <f t="shared" ref="D15760:E15760" si="15758">TRIM(B15760)</f>
        <v>Texas</v>
      </c>
      <c r="E15760" s="111" t="str">
        <f t="shared" si="15758"/>
        <v>Odem</v>
      </c>
    </row>
    <row r="15761" spans="1:5">
      <c r="A15761" s="110" t="s">
        <v>27366</v>
      </c>
      <c r="B15761" s="110" t="s">
        <v>1373</v>
      </c>
      <c r="C15761" s="111" t="s">
        <v>1073</v>
      </c>
      <c r="D15761" s="111" t="str">
        <f t="shared" ref="D15761:E15761" si="15759">TRIM(B15761)</f>
        <v>Texas</v>
      </c>
      <c r="E15761" s="111" t="str">
        <f t="shared" si="15759"/>
        <v>Odessa</v>
      </c>
    </row>
    <row r="15762" spans="1:5">
      <c r="A15762" s="110" t="s">
        <v>27367</v>
      </c>
      <c r="B15762" s="110" t="s">
        <v>1373</v>
      </c>
      <c r="C15762" s="111" t="s">
        <v>1073</v>
      </c>
      <c r="D15762" s="111" t="str">
        <f t="shared" ref="D15762:E15762" si="15760">TRIM(B15762)</f>
        <v>Texas</v>
      </c>
      <c r="E15762" s="111" t="str">
        <f t="shared" si="15760"/>
        <v>Odessa</v>
      </c>
    </row>
    <row r="15763" spans="1:5">
      <c r="A15763" s="110" t="s">
        <v>27368</v>
      </c>
      <c r="B15763" s="110" t="s">
        <v>1373</v>
      </c>
      <c r="C15763" s="111" t="s">
        <v>1073</v>
      </c>
      <c r="D15763" s="111" t="str">
        <f t="shared" ref="D15763:E15763" si="15761">TRIM(B15763)</f>
        <v>Texas</v>
      </c>
      <c r="E15763" s="111" t="str">
        <f t="shared" si="15761"/>
        <v>Odessa</v>
      </c>
    </row>
    <row r="15764" spans="1:5">
      <c r="A15764" s="110" t="s">
        <v>27369</v>
      </c>
      <c r="B15764" s="110" t="s">
        <v>1373</v>
      </c>
      <c r="C15764" s="111" t="s">
        <v>1073</v>
      </c>
      <c r="D15764" s="111" t="str">
        <f t="shared" ref="D15764:E15764" si="15762">TRIM(B15764)</f>
        <v>Texas</v>
      </c>
      <c r="E15764" s="111" t="str">
        <f t="shared" si="15762"/>
        <v>Odessa</v>
      </c>
    </row>
    <row r="15765" spans="1:5">
      <c r="A15765" s="110" t="s">
        <v>27370</v>
      </c>
      <c r="B15765" s="110" t="s">
        <v>1373</v>
      </c>
      <c r="C15765" s="111" t="s">
        <v>1073</v>
      </c>
      <c r="D15765" s="111" t="str">
        <f t="shared" ref="D15765:E15765" si="15763">TRIM(B15765)</f>
        <v>Texas</v>
      </c>
      <c r="E15765" s="111" t="str">
        <f t="shared" si="15763"/>
        <v>Odessa</v>
      </c>
    </row>
    <row r="15766" spans="1:5">
      <c r="A15766" s="3" t="s">
        <v>27371</v>
      </c>
      <c r="B15766" s="110" t="s">
        <v>1373</v>
      </c>
      <c r="C15766" s="111" t="s">
        <v>27372</v>
      </c>
      <c r="D15766" s="111" t="str">
        <f t="shared" ref="D15766:E15766" si="15764">TRIM(B15766)</f>
        <v>Texas</v>
      </c>
      <c r="E15766" s="111" t="str">
        <f t="shared" si="15764"/>
        <v>Olmito</v>
      </c>
    </row>
    <row r="15767" spans="1:5">
      <c r="A15767" s="110" t="s">
        <v>27373</v>
      </c>
      <c r="B15767" s="110" t="s">
        <v>1373</v>
      </c>
      <c r="C15767" s="111" t="s">
        <v>13505</v>
      </c>
      <c r="D15767" s="111" t="str">
        <f t="shared" ref="D15767:E15767" si="15765">TRIM(B15767)</f>
        <v>Texas</v>
      </c>
      <c r="E15767" s="111" t="str">
        <f t="shared" si="15765"/>
        <v>Olney</v>
      </c>
    </row>
    <row r="15768" spans="1:5">
      <c r="A15768" s="110" t="s">
        <v>27374</v>
      </c>
      <c r="B15768" s="110" t="s">
        <v>1373</v>
      </c>
      <c r="C15768" s="111" t="s">
        <v>27375</v>
      </c>
      <c r="D15768" s="111" t="str">
        <f t="shared" ref="D15768:E15768" si="15766">TRIM(B15768)</f>
        <v>Texas</v>
      </c>
      <c r="E15768" s="111" t="str">
        <f t="shared" si="15766"/>
        <v>Olton</v>
      </c>
    </row>
    <row r="15769" spans="1:5">
      <c r="A15769" s="110" t="s">
        <v>27376</v>
      </c>
      <c r="B15769" s="110" t="s">
        <v>1373</v>
      </c>
      <c r="C15769" s="111" t="s">
        <v>218</v>
      </c>
      <c r="D15769" s="111" t="str">
        <f t="shared" ref="D15769:E15769" si="15767">TRIM(B15769)</f>
        <v>Texas</v>
      </c>
      <c r="E15769" s="111" t="str">
        <f t="shared" si="15767"/>
        <v>Omaha</v>
      </c>
    </row>
    <row r="15770" spans="1:5">
      <c r="A15770" s="3" t="s">
        <v>27377</v>
      </c>
      <c r="B15770" s="110" t="s">
        <v>1373</v>
      </c>
      <c r="C15770" s="111" t="s">
        <v>1269</v>
      </c>
      <c r="D15770" s="111" t="str">
        <f t="shared" ref="D15770:E15770" si="15768">TRIM(B15770)</f>
        <v>Texas</v>
      </c>
      <c r="E15770" s="111" t="str">
        <f t="shared" si="15768"/>
        <v>Onalaska</v>
      </c>
    </row>
    <row r="15771" spans="1:5">
      <c r="A15771" s="110" t="s">
        <v>27378</v>
      </c>
      <c r="B15771" s="110" t="s">
        <v>1373</v>
      </c>
      <c r="C15771" s="111" t="s">
        <v>6230</v>
      </c>
      <c r="D15771" s="111" t="str">
        <f t="shared" ref="D15771:E15771" si="15769">TRIM(B15771)</f>
        <v>Texas</v>
      </c>
      <c r="E15771" s="111" t="str">
        <f t="shared" si="15769"/>
        <v>Orange</v>
      </c>
    </row>
    <row r="15772" spans="1:5">
      <c r="A15772" s="110" t="s">
        <v>27379</v>
      </c>
      <c r="B15772" s="110" t="s">
        <v>1373</v>
      </c>
      <c r="C15772" s="111" t="s">
        <v>6230</v>
      </c>
      <c r="D15772" s="111" t="str">
        <f t="shared" ref="D15772:E15772" si="15770">TRIM(B15772)</f>
        <v>Texas</v>
      </c>
      <c r="E15772" s="111" t="str">
        <f t="shared" si="15770"/>
        <v>Orange</v>
      </c>
    </row>
    <row r="15773" spans="1:5">
      <c r="A15773" s="110" t="s">
        <v>27380</v>
      </c>
      <c r="B15773" s="110" t="s">
        <v>1373</v>
      </c>
      <c r="C15773" s="111" t="s">
        <v>6230</v>
      </c>
      <c r="D15773" s="111" t="str">
        <f t="shared" ref="D15773:E15773" si="15771">TRIM(B15773)</f>
        <v>Texas</v>
      </c>
      <c r="E15773" s="111" t="str">
        <f t="shared" si="15771"/>
        <v>Orange</v>
      </c>
    </row>
    <row r="15774" spans="1:5">
      <c r="A15774" s="110" t="s">
        <v>27381</v>
      </c>
      <c r="B15774" s="110" t="s">
        <v>1373</v>
      </c>
      <c r="C15774" s="111" t="s">
        <v>27382</v>
      </c>
      <c r="D15774" s="111" t="str">
        <f t="shared" ref="D15774:E15774" si="15772">TRIM(B15774)</f>
        <v>Texas</v>
      </c>
      <c r="E15774" s="111" t="str">
        <f t="shared" si="15772"/>
        <v>Orange Grove</v>
      </c>
    </row>
    <row r="15775" spans="1:5">
      <c r="A15775" s="110" t="s">
        <v>27383</v>
      </c>
      <c r="B15775" s="110" t="s">
        <v>1373</v>
      </c>
      <c r="C15775" s="111" t="s">
        <v>27384</v>
      </c>
      <c r="D15775" s="111" t="str">
        <f t="shared" ref="D15775:E15775" si="15773">TRIM(B15775)</f>
        <v>Texas</v>
      </c>
      <c r="E15775" s="111" t="str">
        <f t="shared" si="15773"/>
        <v>Orangefield</v>
      </c>
    </row>
    <row r="15776" spans="1:5">
      <c r="A15776" s="110" t="s">
        <v>27385</v>
      </c>
      <c r="B15776" s="110" t="s">
        <v>1373</v>
      </c>
      <c r="C15776" s="111" t="s">
        <v>27386</v>
      </c>
      <c r="D15776" s="111" t="str">
        <f t="shared" ref="D15776:E15776" si="15774">TRIM(B15776)</f>
        <v>Texas</v>
      </c>
      <c r="E15776" s="111" t="str">
        <f t="shared" si="15774"/>
        <v>Ore City</v>
      </c>
    </row>
    <row r="15777" spans="1:5">
      <c r="A15777" s="110" t="s">
        <v>27387</v>
      </c>
      <c r="B15777" s="110" t="s">
        <v>1373</v>
      </c>
      <c r="C15777" s="111" t="s">
        <v>19692</v>
      </c>
      <c r="D15777" s="111" t="str">
        <f t="shared" ref="D15777:E15777" si="15775">TRIM(B15777)</f>
        <v>Texas</v>
      </c>
      <c r="E15777" s="111" t="str">
        <f t="shared" si="15775"/>
        <v>Overton</v>
      </c>
    </row>
    <row r="15778" spans="1:5">
      <c r="A15778" s="110" t="s">
        <v>27388</v>
      </c>
      <c r="B15778" s="110" t="s">
        <v>1373</v>
      </c>
      <c r="C15778" s="111" t="s">
        <v>27389</v>
      </c>
      <c r="D15778" s="111" t="str">
        <f t="shared" ref="D15778:E15778" si="15776">TRIM(B15778)</f>
        <v>Texas</v>
      </c>
      <c r="E15778" s="111" t="str">
        <f t="shared" si="15776"/>
        <v>Ozona</v>
      </c>
    </row>
    <row r="15779" spans="1:5">
      <c r="A15779" s="110" t="s">
        <v>27390</v>
      </c>
      <c r="B15779" s="110" t="s">
        <v>1373</v>
      </c>
      <c r="C15779" s="111" t="s">
        <v>27391</v>
      </c>
      <c r="D15779" s="111" t="str">
        <f t="shared" ref="D15779:E15779" si="15777">TRIM(B15779)</f>
        <v>Texas</v>
      </c>
      <c r="E15779" s="111" t="str">
        <f t="shared" si="15777"/>
        <v>Palacios</v>
      </c>
    </row>
    <row r="15780" spans="1:5">
      <c r="A15780" s="110" t="s">
        <v>27392</v>
      </c>
      <c r="B15780" s="110" t="s">
        <v>1373</v>
      </c>
      <c r="C15780" s="111" t="s">
        <v>4105</v>
      </c>
      <c r="D15780" s="111" t="str">
        <f t="shared" ref="D15780:E15780" si="15778">TRIM(B15780)</f>
        <v>Texas</v>
      </c>
      <c r="E15780" s="111" t="str">
        <f t="shared" si="15778"/>
        <v>Palestine</v>
      </c>
    </row>
    <row r="15781" spans="1:5">
      <c r="A15781" s="110" t="s">
        <v>26230</v>
      </c>
      <c r="B15781" s="110" t="s">
        <v>1373</v>
      </c>
      <c r="C15781" s="111" t="s">
        <v>4105</v>
      </c>
      <c r="D15781" s="111" t="str">
        <f t="shared" ref="D15781:E15781" si="15779">TRIM(B15781)</f>
        <v>Texas</v>
      </c>
      <c r="E15781" s="111" t="str">
        <f t="shared" si="15779"/>
        <v>Palestine</v>
      </c>
    </row>
    <row r="15782" spans="1:5">
      <c r="A15782" s="110" t="s">
        <v>27393</v>
      </c>
      <c r="B15782" s="110" t="s">
        <v>1373</v>
      </c>
      <c r="C15782" s="111" t="s">
        <v>2400</v>
      </c>
      <c r="D15782" s="111" t="str">
        <f t="shared" ref="D15782:E15782" si="15780">TRIM(B15782)</f>
        <v>Texas</v>
      </c>
      <c r="E15782" s="111" t="str">
        <f t="shared" si="15780"/>
        <v>Palmer</v>
      </c>
    </row>
    <row r="15783" spans="1:5">
      <c r="A15783" s="110" t="s">
        <v>27394</v>
      </c>
      <c r="B15783" s="110" t="s">
        <v>1373</v>
      </c>
      <c r="C15783" s="111" t="s">
        <v>5255</v>
      </c>
      <c r="D15783" s="111" t="str">
        <f t="shared" ref="D15783:E15783" si="15781">TRIM(B15783)</f>
        <v>Texas</v>
      </c>
      <c r="E15783" s="111" t="str">
        <f t="shared" si="15781"/>
        <v>Pampa</v>
      </c>
    </row>
    <row r="15784" spans="1:5">
      <c r="A15784" s="110" t="s">
        <v>27395</v>
      </c>
      <c r="B15784" s="110" t="s">
        <v>1373</v>
      </c>
      <c r="C15784" s="111" t="s">
        <v>27396</v>
      </c>
      <c r="D15784" s="111" t="str">
        <f t="shared" ref="D15784:E15784" si="15782">TRIM(B15784)</f>
        <v>Texas</v>
      </c>
      <c r="E15784" s="111" t="str">
        <f t="shared" si="15782"/>
        <v>Panhandle</v>
      </c>
    </row>
    <row r="15785" spans="1:5">
      <c r="A15785" s="110" t="s">
        <v>27397</v>
      </c>
      <c r="B15785" s="110" t="s">
        <v>1373</v>
      </c>
      <c r="C15785" s="111" t="s">
        <v>6305</v>
      </c>
      <c r="D15785" s="111" t="str">
        <f t="shared" ref="D15785:E15785" si="15783">TRIM(B15785)</f>
        <v>Texas</v>
      </c>
      <c r="E15785" s="111" t="str">
        <f t="shared" si="15783"/>
        <v>Paradise</v>
      </c>
    </row>
    <row r="15786" spans="1:5">
      <c r="A15786" s="110" t="s">
        <v>27398</v>
      </c>
      <c r="B15786" s="110" t="s">
        <v>1373</v>
      </c>
      <c r="C15786" s="111" t="s">
        <v>194</v>
      </c>
      <c r="D15786" s="111" t="str">
        <f t="shared" ref="D15786:E15786" si="15784">TRIM(B15786)</f>
        <v>Texas</v>
      </c>
      <c r="E15786" s="111" t="str">
        <f t="shared" si="15784"/>
        <v>Paris</v>
      </c>
    </row>
    <row r="15787" spans="1:5">
      <c r="A15787" s="110" t="s">
        <v>27399</v>
      </c>
      <c r="B15787" s="110" t="s">
        <v>1373</v>
      </c>
      <c r="C15787" s="111" t="s">
        <v>194</v>
      </c>
      <c r="D15787" s="111" t="str">
        <f t="shared" ref="D15787:E15787" si="15785">TRIM(B15787)</f>
        <v>Texas</v>
      </c>
      <c r="E15787" s="111" t="str">
        <f t="shared" si="15785"/>
        <v>Paris</v>
      </c>
    </row>
    <row r="15788" spans="1:5">
      <c r="A15788" s="110" t="s">
        <v>27400</v>
      </c>
      <c r="B15788" s="110" t="s">
        <v>1373</v>
      </c>
      <c r="C15788" s="111" t="s">
        <v>194</v>
      </c>
      <c r="D15788" s="111" t="str">
        <f t="shared" ref="D15788:E15788" si="15786">TRIM(B15788)</f>
        <v>Texas</v>
      </c>
      <c r="E15788" s="111" t="str">
        <f t="shared" si="15786"/>
        <v>Paris</v>
      </c>
    </row>
    <row r="15789" spans="1:5">
      <c r="A15789" s="3" t="s">
        <v>6342</v>
      </c>
      <c r="B15789" s="110" t="s">
        <v>1373</v>
      </c>
      <c r="C15789" s="111" t="s">
        <v>486</v>
      </c>
      <c r="D15789" s="111" t="str">
        <f t="shared" ref="D15789:E15789" si="15787">TRIM(B15789)</f>
        <v>Texas</v>
      </c>
      <c r="E15789" s="111" t="str">
        <f t="shared" si="15787"/>
        <v>Pasadena</v>
      </c>
    </row>
    <row r="15790" spans="1:5">
      <c r="A15790" s="110" t="s">
        <v>27401</v>
      </c>
      <c r="B15790" s="110" t="s">
        <v>1373</v>
      </c>
      <c r="C15790" s="111" t="s">
        <v>486</v>
      </c>
      <c r="D15790" s="111" t="str">
        <f t="shared" ref="D15790:E15790" si="15788">TRIM(B15790)</f>
        <v>Texas</v>
      </c>
      <c r="E15790" s="111" t="str">
        <f t="shared" si="15788"/>
        <v>Pasadena</v>
      </c>
    </row>
    <row r="15791" spans="1:5">
      <c r="A15791" s="110" t="s">
        <v>27402</v>
      </c>
      <c r="B15791" s="110" t="s">
        <v>1373</v>
      </c>
      <c r="C15791" s="111" t="s">
        <v>486</v>
      </c>
      <c r="D15791" s="111" t="str">
        <f t="shared" ref="D15791:E15791" si="15789">TRIM(B15791)</f>
        <v>Texas</v>
      </c>
      <c r="E15791" s="111" t="str">
        <f t="shared" si="15789"/>
        <v>Pasadena</v>
      </c>
    </row>
    <row r="15792" spans="1:5">
      <c r="A15792" s="110" t="s">
        <v>27403</v>
      </c>
      <c r="B15792" s="110" t="s">
        <v>1373</v>
      </c>
      <c r="C15792" s="111" t="s">
        <v>27404</v>
      </c>
      <c r="D15792" s="111" t="str">
        <f t="shared" ref="D15792:E15792" si="15790">TRIM(B15792)</f>
        <v>Texas</v>
      </c>
      <c r="E15792" s="111" t="str">
        <f t="shared" si="15790"/>
        <v>Pattison</v>
      </c>
    </row>
    <row r="15793" spans="1:5">
      <c r="A15793" s="110" t="s">
        <v>27405</v>
      </c>
      <c r="B15793" s="110" t="s">
        <v>1373</v>
      </c>
      <c r="C15793" s="111" t="s">
        <v>27406</v>
      </c>
      <c r="D15793" s="111" t="str">
        <f t="shared" ref="D15793:E15793" si="15791">TRIM(B15793)</f>
        <v>Texas</v>
      </c>
      <c r="E15793" s="111" t="str">
        <f t="shared" si="15791"/>
        <v>Pattonville</v>
      </c>
    </row>
    <row r="15794" spans="1:5">
      <c r="A15794" s="110" t="s">
        <v>27407</v>
      </c>
      <c r="B15794" s="110" t="s">
        <v>1373</v>
      </c>
      <c r="C15794" s="111" t="s">
        <v>998</v>
      </c>
      <c r="D15794" s="111" t="str">
        <f t="shared" ref="D15794:E15794" si="15792">TRIM(B15794)</f>
        <v>Texas</v>
      </c>
      <c r="E15794" s="111" t="str">
        <f t="shared" si="15792"/>
        <v>Pearland</v>
      </c>
    </row>
    <row r="15795" spans="1:5">
      <c r="A15795" s="110" t="s">
        <v>27408</v>
      </c>
      <c r="B15795" s="110" t="s">
        <v>1373</v>
      </c>
      <c r="C15795" s="111" t="s">
        <v>998</v>
      </c>
      <c r="D15795" s="111" t="str">
        <f t="shared" ref="D15795:E15795" si="15793">TRIM(B15795)</f>
        <v>Texas</v>
      </c>
      <c r="E15795" s="111" t="str">
        <f t="shared" si="15793"/>
        <v>Pearland</v>
      </c>
    </row>
    <row r="15796" spans="1:5">
      <c r="A15796" s="110" t="s">
        <v>27409</v>
      </c>
      <c r="B15796" s="110" t="s">
        <v>1373</v>
      </c>
      <c r="C15796" s="111" t="s">
        <v>998</v>
      </c>
      <c r="D15796" s="111" t="str">
        <f t="shared" ref="D15796:E15796" si="15794">TRIM(B15796)</f>
        <v>Texas</v>
      </c>
      <c r="E15796" s="111" t="str">
        <f t="shared" si="15794"/>
        <v>Pearland</v>
      </c>
    </row>
    <row r="15797" spans="1:5">
      <c r="A15797" s="110" t="s">
        <v>27410</v>
      </c>
      <c r="B15797" s="110" t="s">
        <v>1373</v>
      </c>
      <c r="C15797" s="111" t="s">
        <v>27411</v>
      </c>
      <c r="D15797" s="111" t="str">
        <f t="shared" ref="D15797:E15797" si="15795">TRIM(B15797)</f>
        <v>Texas</v>
      </c>
      <c r="E15797" s="111" t="str">
        <f t="shared" si="15795"/>
        <v>Pearsall</v>
      </c>
    </row>
    <row r="15798" spans="1:5">
      <c r="A15798" s="110" t="s">
        <v>27412</v>
      </c>
      <c r="B15798" s="110" t="s">
        <v>1373</v>
      </c>
      <c r="C15798" s="111" t="s">
        <v>4460</v>
      </c>
      <c r="D15798" s="111" t="str">
        <f t="shared" ref="D15798:E15798" si="15796">TRIM(B15798)</f>
        <v>Texas</v>
      </c>
      <c r="E15798" s="111" t="str">
        <f t="shared" si="15796"/>
        <v>Peaster</v>
      </c>
    </row>
    <row r="15799" spans="1:5">
      <c r="A15799" s="110" t="s">
        <v>27413</v>
      </c>
      <c r="B15799" s="110" t="s">
        <v>1373</v>
      </c>
      <c r="C15799" s="111" t="s">
        <v>4541</v>
      </c>
      <c r="D15799" s="111" t="str">
        <f t="shared" ref="D15799:E15799" si="15797">TRIM(B15799)</f>
        <v>Texas</v>
      </c>
      <c r="E15799" s="111" t="str">
        <f t="shared" si="15797"/>
        <v>Pecos</v>
      </c>
    </row>
    <row r="15800" spans="1:5">
      <c r="A15800" s="110" t="s">
        <v>27414</v>
      </c>
      <c r="B15800" s="110" t="s">
        <v>1373</v>
      </c>
      <c r="C15800" s="111" t="s">
        <v>27415</v>
      </c>
      <c r="D15800" s="111" t="str">
        <f t="shared" ref="D15800:E15800" si="15798">TRIM(B15800)</f>
        <v>Texas</v>
      </c>
      <c r="E15800" s="111" t="str">
        <f t="shared" si="15798"/>
        <v>Perrin</v>
      </c>
    </row>
    <row r="15801" spans="1:5">
      <c r="A15801" s="110" t="s">
        <v>27416</v>
      </c>
      <c r="B15801" s="110" t="s">
        <v>1373</v>
      </c>
      <c r="C15801" s="111" t="s">
        <v>27417</v>
      </c>
      <c r="D15801" s="111" t="str">
        <f t="shared" ref="D15801:E15801" si="15799">TRIM(B15801)</f>
        <v>Texas</v>
      </c>
      <c r="E15801" s="111" t="str">
        <f t="shared" si="15799"/>
        <v>Perryton</v>
      </c>
    </row>
    <row r="15802" spans="1:5">
      <c r="A15802" s="3" t="s">
        <v>27418</v>
      </c>
      <c r="B15802" s="110" t="s">
        <v>1373</v>
      </c>
      <c r="C15802" s="111" t="s">
        <v>6370</v>
      </c>
      <c r="D15802" s="111" t="str">
        <f t="shared" ref="D15802:E15802" si="15800">TRIM(B15802)</f>
        <v>Texas</v>
      </c>
      <c r="E15802" s="111" t="str">
        <f t="shared" si="15800"/>
        <v>Petrolia</v>
      </c>
    </row>
    <row r="15803" spans="1:5">
      <c r="A15803" s="110" t="s">
        <v>27419</v>
      </c>
      <c r="B15803" s="110" t="s">
        <v>1373</v>
      </c>
      <c r="C15803" s="111" t="s">
        <v>27420</v>
      </c>
      <c r="D15803" s="111" t="str">
        <f t="shared" ref="D15803:E15803" si="15801">TRIM(B15803)</f>
        <v>Texas</v>
      </c>
      <c r="E15803" s="111" t="str">
        <f t="shared" si="15801"/>
        <v>Pettus</v>
      </c>
    </row>
    <row r="15804" spans="1:5">
      <c r="A15804" s="3" t="s">
        <v>27421</v>
      </c>
      <c r="B15804" s="110" t="s">
        <v>1373</v>
      </c>
      <c r="C15804" s="111" t="s">
        <v>27422</v>
      </c>
      <c r="D15804" s="111" t="str">
        <f t="shared" ref="D15804:E15804" si="15802">TRIM(B15804)</f>
        <v>Texas</v>
      </c>
      <c r="E15804" s="111" t="str">
        <f t="shared" si="15802"/>
        <v>Pflugerville</v>
      </c>
    </row>
    <row r="15805" spans="1:5">
      <c r="A15805" s="110" t="s">
        <v>27423</v>
      </c>
      <c r="B15805" s="110" t="s">
        <v>1373</v>
      </c>
      <c r="C15805" s="111" t="s">
        <v>27422</v>
      </c>
      <c r="D15805" s="111" t="str">
        <f t="shared" ref="D15805:E15805" si="15803">TRIM(B15805)</f>
        <v>Texas</v>
      </c>
      <c r="E15805" s="111" t="str">
        <f t="shared" si="15803"/>
        <v>Pflugerville</v>
      </c>
    </row>
    <row r="15806" spans="1:5">
      <c r="A15806" s="110" t="s">
        <v>27424</v>
      </c>
      <c r="B15806" s="110" t="s">
        <v>1373</v>
      </c>
      <c r="C15806" s="111" t="s">
        <v>27422</v>
      </c>
      <c r="D15806" s="111" t="str">
        <f t="shared" ref="D15806:E15806" si="15804">TRIM(B15806)</f>
        <v>Texas</v>
      </c>
      <c r="E15806" s="111" t="str">
        <f t="shared" si="15804"/>
        <v>Pflugerville</v>
      </c>
    </row>
    <row r="15807" spans="1:5">
      <c r="A15807" s="110" t="s">
        <v>27425</v>
      </c>
      <c r="B15807" s="110" t="s">
        <v>1373</v>
      </c>
      <c r="C15807" s="111" t="s">
        <v>13726</v>
      </c>
      <c r="D15807" s="111" t="str">
        <f t="shared" ref="D15807:E15807" si="15805">TRIM(B15807)</f>
        <v>Texas</v>
      </c>
      <c r="E15807" s="111" t="str">
        <f t="shared" si="15805"/>
        <v>Pharr</v>
      </c>
    </row>
    <row r="15808" spans="1:5">
      <c r="A15808" s="110" t="s">
        <v>27426</v>
      </c>
      <c r="B15808" s="110" t="s">
        <v>1373</v>
      </c>
      <c r="C15808" s="111" t="s">
        <v>13726</v>
      </c>
      <c r="D15808" s="111" t="str">
        <f t="shared" ref="D15808:E15808" si="15806">TRIM(B15808)</f>
        <v>Texas</v>
      </c>
      <c r="E15808" s="111" t="str">
        <f t="shared" si="15806"/>
        <v>Pharr</v>
      </c>
    </row>
    <row r="15809" spans="1:5">
      <c r="A15809" s="110" t="s">
        <v>27427</v>
      </c>
      <c r="B15809" s="110" t="s">
        <v>1373</v>
      </c>
      <c r="C15809" s="111" t="s">
        <v>13726</v>
      </c>
      <c r="D15809" s="111" t="str">
        <f t="shared" ref="D15809:E15809" si="15807">TRIM(B15809)</f>
        <v>Texas</v>
      </c>
      <c r="E15809" s="111" t="str">
        <f t="shared" si="15807"/>
        <v>Pharr</v>
      </c>
    </row>
    <row r="15810" spans="1:5">
      <c r="A15810" s="110" t="s">
        <v>27428</v>
      </c>
      <c r="B15810" s="110" t="s">
        <v>1373</v>
      </c>
      <c r="C15810" s="111" t="s">
        <v>13726</v>
      </c>
      <c r="D15810" s="111" t="str">
        <f t="shared" ref="D15810:E15810" si="15808">TRIM(B15810)</f>
        <v>Texas</v>
      </c>
      <c r="E15810" s="111" t="str">
        <f t="shared" si="15808"/>
        <v>Pharr</v>
      </c>
    </row>
    <row r="15811" spans="1:5">
      <c r="A15811" s="110" t="s">
        <v>27429</v>
      </c>
      <c r="B15811" s="110" t="s">
        <v>1373</v>
      </c>
      <c r="C15811" s="111" t="s">
        <v>13726</v>
      </c>
      <c r="D15811" s="111" t="str">
        <f t="shared" ref="D15811:E15811" si="15809">TRIM(B15811)</f>
        <v>Texas</v>
      </c>
      <c r="E15811" s="111" t="str">
        <f t="shared" si="15809"/>
        <v>Pharr</v>
      </c>
    </row>
    <row r="15812" spans="1:5">
      <c r="A15812" s="110" t="s">
        <v>27430</v>
      </c>
      <c r="B15812" s="110" t="s">
        <v>1373</v>
      </c>
      <c r="C15812" s="111" t="s">
        <v>13726</v>
      </c>
      <c r="D15812" s="111" t="str">
        <f t="shared" ref="D15812:E15812" si="15810">TRIM(B15812)</f>
        <v>Texas</v>
      </c>
      <c r="E15812" s="111" t="str">
        <f t="shared" si="15810"/>
        <v>Pharr</v>
      </c>
    </row>
    <row r="15813" spans="1:5">
      <c r="A15813" s="110" t="s">
        <v>27431</v>
      </c>
      <c r="B15813" s="110" t="s">
        <v>1373</v>
      </c>
      <c r="C15813" s="111" t="s">
        <v>27432</v>
      </c>
      <c r="D15813" s="111" t="str">
        <f t="shared" ref="D15813:E15813" si="15811">TRIM(B15813)</f>
        <v>Texas</v>
      </c>
      <c r="E15813" s="111" t="str">
        <f t="shared" si="15811"/>
        <v>Pilot Point</v>
      </c>
    </row>
    <row r="15814" spans="1:5">
      <c r="A15814" s="110" t="s">
        <v>27433</v>
      </c>
      <c r="B15814" s="110" t="s">
        <v>1373</v>
      </c>
      <c r="C15814" s="111" t="s">
        <v>27434</v>
      </c>
      <c r="D15814" s="111" t="str">
        <f t="shared" ref="D15814:E15814" si="15812">TRIM(B15814)</f>
        <v>Texas</v>
      </c>
      <c r="E15814" s="111" t="str">
        <f t="shared" si="15812"/>
        <v>Pineland</v>
      </c>
    </row>
    <row r="15815" spans="1:5">
      <c r="A15815" s="110" t="s">
        <v>27435</v>
      </c>
      <c r="B15815" s="110" t="s">
        <v>1373</v>
      </c>
      <c r="C15815" s="111" t="s">
        <v>6388</v>
      </c>
      <c r="D15815" s="111" t="str">
        <f t="shared" ref="D15815:E15815" si="15813">TRIM(B15815)</f>
        <v>Texas</v>
      </c>
      <c r="E15815" s="111" t="str">
        <f t="shared" si="15813"/>
        <v>Pittsburg</v>
      </c>
    </row>
    <row r="15816" spans="1:5">
      <c r="A15816" s="110" t="s">
        <v>27436</v>
      </c>
      <c r="B15816" s="110" t="s">
        <v>1373</v>
      </c>
      <c r="C15816" s="111" t="s">
        <v>19396</v>
      </c>
      <c r="D15816" s="111" t="str">
        <f t="shared" ref="D15816:E15816" si="15814">TRIM(B15816)</f>
        <v>Texas</v>
      </c>
      <c r="E15816" s="111" t="str">
        <f t="shared" si="15814"/>
        <v>Plains</v>
      </c>
    </row>
    <row r="15817" spans="1:5">
      <c r="A15817" s="110" t="s">
        <v>27437</v>
      </c>
      <c r="B15817" s="110" t="s">
        <v>1373</v>
      </c>
      <c r="C15817" s="111" t="s">
        <v>18174</v>
      </c>
      <c r="D15817" s="111" t="str">
        <f t="shared" ref="D15817:E15817" si="15815">TRIM(B15817)</f>
        <v>Texas</v>
      </c>
      <c r="E15817" s="111" t="str">
        <f t="shared" si="15815"/>
        <v>Plainview</v>
      </c>
    </row>
    <row r="15818" spans="1:5">
      <c r="A15818" s="110" t="s">
        <v>27438</v>
      </c>
      <c r="B15818" s="110" t="s">
        <v>1373</v>
      </c>
      <c r="C15818" s="111" t="s">
        <v>709</v>
      </c>
      <c r="D15818" s="111" t="str">
        <f t="shared" ref="D15818:E15818" si="15816">TRIM(B15818)</f>
        <v>Texas</v>
      </c>
      <c r="E15818" s="111" t="str">
        <f t="shared" si="15816"/>
        <v>Plano</v>
      </c>
    </row>
    <row r="15819" spans="1:5">
      <c r="A15819" s="3" t="s">
        <v>27439</v>
      </c>
      <c r="B15819" s="110" t="s">
        <v>1373</v>
      </c>
      <c r="C15819" s="111" t="s">
        <v>709</v>
      </c>
      <c r="D15819" s="111" t="str">
        <f t="shared" ref="D15819:E15819" si="15817">TRIM(B15819)</f>
        <v>Texas</v>
      </c>
      <c r="E15819" s="111" t="str">
        <f t="shared" si="15817"/>
        <v>Plano</v>
      </c>
    </row>
    <row r="15820" spans="1:5">
      <c r="A15820" s="110" t="s">
        <v>27440</v>
      </c>
      <c r="B15820" s="110" t="s">
        <v>1373</v>
      </c>
      <c r="C15820" s="111" t="s">
        <v>709</v>
      </c>
      <c r="D15820" s="111" t="str">
        <f t="shared" ref="D15820:E15820" si="15818">TRIM(B15820)</f>
        <v>Texas</v>
      </c>
      <c r="E15820" s="111" t="str">
        <f t="shared" si="15818"/>
        <v>Plano</v>
      </c>
    </row>
    <row r="15821" spans="1:5">
      <c r="A15821" s="110" t="s">
        <v>27441</v>
      </c>
      <c r="B15821" s="110" t="s">
        <v>1373</v>
      </c>
      <c r="C15821" s="111" t="s">
        <v>709</v>
      </c>
      <c r="D15821" s="111" t="str">
        <f t="shared" ref="D15821:E15821" si="15819">TRIM(B15821)</f>
        <v>Texas</v>
      </c>
      <c r="E15821" s="111" t="str">
        <f t="shared" si="15819"/>
        <v>Plano</v>
      </c>
    </row>
    <row r="15822" spans="1:5">
      <c r="A15822" s="110" t="s">
        <v>27442</v>
      </c>
      <c r="B15822" s="110" t="s">
        <v>1373</v>
      </c>
      <c r="C15822" s="111" t="s">
        <v>6403</v>
      </c>
      <c r="D15822" s="111" t="str">
        <f t="shared" ref="D15822:E15822" si="15820">TRIM(B15822)</f>
        <v>Texas</v>
      </c>
      <c r="E15822" s="111" t="str">
        <f t="shared" si="15820"/>
        <v>Pleasanton</v>
      </c>
    </row>
    <row r="15823" spans="1:5">
      <c r="A15823" s="110" t="s">
        <v>27051</v>
      </c>
      <c r="B15823" s="110" t="s">
        <v>1373</v>
      </c>
      <c r="C15823" s="111" t="s">
        <v>27443</v>
      </c>
      <c r="D15823" s="111" t="str">
        <f t="shared" ref="D15823:E15823" si="15821">TRIM(B15823)</f>
        <v>Texas</v>
      </c>
      <c r="E15823" s="111" t="str">
        <f t="shared" si="15821"/>
        <v>Pollok</v>
      </c>
    </row>
    <row r="15824" spans="1:5">
      <c r="A15824" s="110" t="s">
        <v>27444</v>
      </c>
      <c r="B15824" s="110" t="s">
        <v>1373</v>
      </c>
      <c r="C15824" s="111" t="s">
        <v>27445</v>
      </c>
      <c r="D15824" s="111" t="str">
        <f t="shared" ref="D15824:E15824" si="15822">TRIM(B15824)</f>
        <v>Texas</v>
      </c>
      <c r="E15824" s="111" t="str">
        <f t="shared" si="15822"/>
        <v>Ponder</v>
      </c>
    </row>
    <row r="15825" spans="1:5">
      <c r="A15825" s="110" t="s">
        <v>27446</v>
      </c>
      <c r="B15825" s="110" t="s">
        <v>1373</v>
      </c>
      <c r="C15825" s="111" t="s">
        <v>27447</v>
      </c>
      <c r="D15825" s="111" t="str">
        <f t="shared" ref="D15825:E15825" si="15823">TRIM(B15825)</f>
        <v>Texas</v>
      </c>
      <c r="E15825" s="111" t="str">
        <f t="shared" si="15823"/>
        <v>Poolville</v>
      </c>
    </row>
    <row r="15826" spans="1:5">
      <c r="A15826" s="110" t="s">
        <v>27448</v>
      </c>
      <c r="B15826" s="110" t="s">
        <v>1373</v>
      </c>
      <c r="C15826" s="111" t="s">
        <v>27449</v>
      </c>
      <c r="D15826" s="111" t="str">
        <f t="shared" ref="D15826:E15826" si="15824">TRIM(B15826)</f>
        <v>Texas</v>
      </c>
      <c r="E15826" s="111" t="str">
        <f t="shared" si="15824"/>
        <v>Port Aransas</v>
      </c>
    </row>
    <row r="15827" spans="1:5">
      <c r="A15827" s="110" t="s">
        <v>27450</v>
      </c>
      <c r="B15827" s="110" t="s">
        <v>1373</v>
      </c>
      <c r="C15827" s="111" t="s">
        <v>27451</v>
      </c>
      <c r="D15827" s="111" t="str">
        <f t="shared" ref="D15827:E15827" si="15825">TRIM(B15827)</f>
        <v>Texas</v>
      </c>
      <c r="E15827" s="111" t="str">
        <f t="shared" si="15825"/>
        <v>Port Arthur</v>
      </c>
    </row>
    <row r="15828" spans="1:5">
      <c r="A15828" s="110" t="s">
        <v>26944</v>
      </c>
      <c r="B15828" s="110" t="s">
        <v>1373</v>
      </c>
      <c r="C15828" s="111" t="s">
        <v>27451</v>
      </c>
      <c r="D15828" s="111" t="str">
        <f t="shared" ref="D15828:E15828" si="15826">TRIM(B15828)</f>
        <v>Texas</v>
      </c>
      <c r="E15828" s="111" t="str">
        <f t="shared" si="15826"/>
        <v>Port Arthur</v>
      </c>
    </row>
    <row r="15829" spans="1:5">
      <c r="A15829" s="3" t="s">
        <v>27452</v>
      </c>
      <c r="B15829" s="110" t="s">
        <v>1373</v>
      </c>
      <c r="C15829" s="111" t="s">
        <v>27451</v>
      </c>
      <c r="D15829" s="111" t="str">
        <f t="shared" ref="D15829:E15829" si="15827">TRIM(B15829)</f>
        <v>Texas</v>
      </c>
      <c r="E15829" s="111" t="str">
        <f t="shared" si="15827"/>
        <v>Port Arthur</v>
      </c>
    </row>
    <row r="15830" spans="1:5">
      <c r="A15830" s="110" t="s">
        <v>27453</v>
      </c>
      <c r="B15830" s="110" t="s">
        <v>1373</v>
      </c>
      <c r="C15830" s="111" t="s">
        <v>27454</v>
      </c>
      <c r="D15830" s="111" t="str">
        <f t="shared" ref="D15830:E15830" si="15828">TRIM(B15830)</f>
        <v>Texas</v>
      </c>
      <c r="E15830" s="111" t="str">
        <f t="shared" si="15828"/>
        <v>Port Isabel</v>
      </c>
    </row>
    <row r="15831" spans="1:5">
      <c r="A15831" s="110" t="s">
        <v>27455</v>
      </c>
      <c r="B15831" s="110" t="s">
        <v>1373</v>
      </c>
      <c r="C15831" s="111" t="s">
        <v>27456</v>
      </c>
      <c r="D15831" s="111" t="str">
        <f t="shared" ref="D15831:E15831" si="15829">TRIM(B15831)</f>
        <v>Texas</v>
      </c>
      <c r="E15831" s="111" t="str">
        <f t="shared" si="15829"/>
        <v>Port Lavaca</v>
      </c>
    </row>
    <row r="15832" spans="1:5">
      <c r="A15832" s="110" t="s">
        <v>27457</v>
      </c>
      <c r="B15832" s="110" t="s">
        <v>1373</v>
      </c>
      <c r="C15832" s="111" t="s">
        <v>27458</v>
      </c>
      <c r="D15832" s="111" t="str">
        <f t="shared" ref="D15832:E15832" si="15830">TRIM(B15832)</f>
        <v>Texas</v>
      </c>
      <c r="E15832" s="111" t="str">
        <f t="shared" si="15830"/>
        <v>Port Neches</v>
      </c>
    </row>
    <row r="15833" spans="1:5">
      <c r="A15833" s="110" t="s">
        <v>27459</v>
      </c>
      <c r="B15833" s="110" t="s">
        <v>1373</v>
      </c>
      <c r="C15833" s="111" t="s">
        <v>24029</v>
      </c>
      <c r="D15833" s="111" t="str">
        <f t="shared" ref="D15833:E15833" si="15831">TRIM(B15833)</f>
        <v>Texas</v>
      </c>
      <c r="E15833" s="111" t="str">
        <f t="shared" si="15831"/>
        <v>Porter</v>
      </c>
    </row>
    <row r="15834" spans="1:5">
      <c r="A15834" s="110" t="s">
        <v>27460</v>
      </c>
      <c r="B15834" s="110" t="s">
        <v>1373</v>
      </c>
      <c r="C15834" s="111" t="s">
        <v>24029</v>
      </c>
      <c r="D15834" s="111" t="str">
        <f t="shared" ref="D15834:E15834" si="15832">TRIM(B15834)</f>
        <v>Texas</v>
      </c>
      <c r="E15834" s="111" t="str">
        <f t="shared" si="15832"/>
        <v>Porter</v>
      </c>
    </row>
    <row r="15835" spans="1:5">
      <c r="A15835" s="110" t="s">
        <v>27461</v>
      </c>
      <c r="B15835" s="110" t="s">
        <v>1373</v>
      </c>
      <c r="C15835" s="111" t="s">
        <v>8643</v>
      </c>
      <c r="D15835" s="111" t="str">
        <f t="shared" ref="D15835:E15835" si="15833">TRIM(B15835)</f>
        <v>Texas</v>
      </c>
      <c r="E15835" s="111" t="str">
        <f t="shared" si="15833"/>
        <v>Portland</v>
      </c>
    </row>
    <row r="15836" spans="1:5">
      <c r="A15836" s="110" t="s">
        <v>27462</v>
      </c>
      <c r="B15836" s="110" t="s">
        <v>1373</v>
      </c>
      <c r="C15836" s="111" t="s">
        <v>27463</v>
      </c>
      <c r="D15836" s="111" t="str">
        <f t="shared" ref="D15836:E15836" si="15834">TRIM(B15836)</f>
        <v>Texas</v>
      </c>
      <c r="E15836" s="111" t="str">
        <f t="shared" si="15834"/>
        <v>Post</v>
      </c>
    </row>
    <row r="15837" spans="1:5">
      <c r="A15837" s="110" t="s">
        <v>27273</v>
      </c>
      <c r="B15837" s="110" t="s">
        <v>1373</v>
      </c>
      <c r="C15837" s="111" t="s">
        <v>27464</v>
      </c>
      <c r="D15837" s="111" t="str">
        <f t="shared" ref="D15837:E15837" si="15835">TRIM(B15837)</f>
        <v>Texas</v>
      </c>
      <c r="E15837" s="111" t="str">
        <f t="shared" si="15835"/>
        <v>Poteet</v>
      </c>
    </row>
    <row r="15838" spans="1:5">
      <c r="A15838" s="110" t="s">
        <v>27465</v>
      </c>
      <c r="B15838" s="110" t="s">
        <v>1373</v>
      </c>
      <c r="C15838" s="111" t="s">
        <v>27466</v>
      </c>
      <c r="D15838" s="111" t="str">
        <f t="shared" ref="D15838:E15838" si="15836">TRIM(B15838)</f>
        <v>Texas</v>
      </c>
      <c r="E15838" s="111" t="str">
        <f t="shared" si="15836"/>
        <v>Poth</v>
      </c>
    </row>
    <row r="15839" spans="1:5">
      <c r="A15839" s="110" t="s">
        <v>27467</v>
      </c>
      <c r="B15839" s="110" t="s">
        <v>1373</v>
      </c>
      <c r="C15839" s="111" t="s">
        <v>27468</v>
      </c>
      <c r="D15839" s="111" t="str">
        <f t="shared" ref="D15839:E15839" si="15837">TRIM(B15839)</f>
        <v>Texas</v>
      </c>
      <c r="E15839" s="111" t="str">
        <f t="shared" si="15837"/>
        <v>Pottsboro</v>
      </c>
    </row>
    <row r="15840" spans="1:5">
      <c r="A15840" s="110" t="s">
        <v>27469</v>
      </c>
      <c r="B15840" s="110" t="s">
        <v>1373</v>
      </c>
      <c r="C15840" s="111" t="s">
        <v>27470</v>
      </c>
      <c r="D15840" s="111" t="str">
        <f t="shared" ref="D15840:E15840" si="15838">TRIM(B15840)</f>
        <v>Texas</v>
      </c>
      <c r="E15840" s="111" t="str">
        <f t="shared" si="15838"/>
        <v>Premont</v>
      </c>
    </row>
    <row r="15841" spans="1:5">
      <c r="A15841" s="110" t="s">
        <v>27471</v>
      </c>
      <c r="B15841" s="110" t="s">
        <v>1373</v>
      </c>
      <c r="C15841" s="111" t="s">
        <v>27472</v>
      </c>
      <c r="D15841" s="111" t="str">
        <f t="shared" ref="D15841:E15841" si="15839">TRIM(B15841)</f>
        <v>Texas</v>
      </c>
      <c r="E15841" s="111" t="str">
        <f t="shared" si="15839"/>
        <v>Presidio</v>
      </c>
    </row>
    <row r="15842" spans="1:5">
      <c r="A15842" s="110" t="s">
        <v>27473</v>
      </c>
      <c r="B15842" s="110" t="s">
        <v>1373</v>
      </c>
      <c r="C15842" s="111" t="s">
        <v>6448</v>
      </c>
      <c r="D15842" s="111" t="str">
        <f t="shared" ref="D15842:E15842" si="15840">TRIM(B15842)</f>
        <v>Texas</v>
      </c>
      <c r="E15842" s="111" t="str">
        <f t="shared" si="15840"/>
        <v>Princeton</v>
      </c>
    </row>
    <row r="15843" spans="1:5">
      <c r="A15843" s="110" t="s">
        <v>27474</v>
      </c>
      <c r="B15843" s="110" t="s">
        <v>1373</v>
      </c>
      <c r="C15843" s="111" t="s">
        <v>27475</v>
      </c>
      <c r="D15843" s="111" t="str">
        <f t="shared" ref="D15843:E15843" si="15841">TRIM(B15843)</f>
        <v>Texas</v>
      </c>
      <c r="E15843" s="111" t="str">
        <f t="shared" si="15841"/>
        <v>Progreso</v>
      </c>
    </row>
    <row r="15844" spans="1:5">
      <c r="A15844" s="110" t="s">
        <v>27476</v>
      </c>
      <c r="B15844" s="110" t="s">
        <v>1373</v>
      </c>
      <c r="C15844" s="111" t="s">
        <v>1990</v>
      </c>
      <c r="D15844" s="111" t="str">
        <f t="shared" ref="D15844:E15844" si="15842">TRIM(B15844)</f>
        <v>Texas</v>
      </c>
      <c r="E15844" s="111" t="str">
        <f t="shared" si="15842"/>
        <v>Prosper</v>
      </c>
    </row>
    <row r="15845" spans="1:5">
      <c r="A15845" s="110" t="s">
        <v>27477</v>
      </c>
      <c r="B15845" s="110" t="s">
        <v>1373</v>
      </c>
      <c r="C15845" s="111" t="s">
        <v>27478</v>
      </c>
      <c r="D15845" s="111" t="str">
        <f t="shared" ref="D15845:E15845" si="15843">TRIM(B15845)</f>
        <v>Texas</v>
      </c>
      <c r="E15845" s="111" t="str">
        <f t="shared" si="15843"/>
        <v>Quanah</v>
      </c>
    </row>
    <row r="15846" spans="1:5">
      <c r="A15846" s="110" t="s">
        <v>27479</v>
      </c>
      <c r="B15846" s="110" t="s">
        <v>1373</v>
      </c>
      <c r="C15846" s="111" t="s">
        <v>19051</v>
      </c>
      <c r="D15846" s="111" t="str">
        <f t="shared" ref="D15846:E15846" si="15844">TRIM(B15846)</f>
        <v>Texas</v>
      </c>
      <c r="E15846" s="111" t="str">
        <f t="shared" si="15844"/>
        <v>Queen City</v>
      </c>
    </row>
    <row r="15847" spans="1:5">
      <c r="A15847" s="110" t="s">
        <v>27480</v>
      </c>
      <c r="B15847" s="110" t="s">
        <v>1373</v>
      </c>
      <c r="C15847" s="111" t="s">
        <v>27481</v>
      </c>
      <c r="D15847" s="111" t="str">
        <f t="shared" ref="D15847:E15847" si="15845">TRIM(B15847)</f>
        <v>Texas</v>
      </c>
      <c r="E15847" s="111" t="str">
        <f t="shared" si="15845"/>
        <v>Quinlan</v>
      </c>
    </row>
    <row r="15848" spans="1:5">
      <c r="A15848" s="110" t="s">
        <v>27482</v>
      </c>
      <c r="B15848" s="110" t="s">
        <v>1373</v>
      </c>
      <c r="C15848" s="111" t="s">
        <v>27481</v>
      </c>
      <c r="D15848" s="111" t="str">
        <f t="shared" ref="D15848:E15848" si="15846">TRIM(B15848)</f>
        <v>Texas</v>
      </c>
      <c r="E15848" s="111" t="str">
        <f t="shared" si="15846"/>
        <v>Quinlan</v>
      </c>
    </row>
    <row r="15849" spans="1:5">
      <c r="A15849" s="110" t="s">
        <v>27483</v>
      </c>
      <c r="B15849" s="110" t="s">
        <v>1373</v>
      </c>
      <c r="C15849" s="111" t="s">
        <v>4155</v>
      </c>
      <c r="D15849" s="111" t="str">
        <f t="shared" ref="D15849:E15849" si="15847">TRIM(B15849)</f>
        <v>Texas</v>
      </c>
      <c r="E15849" s="111" t="str">
        <f t="shared" si="15847"/>
        <v>Quitman</v>
      </c>
    </row>
    <row r="15850" spans="1:5">
      <c r="A15850" s="110" t="s">
        <v>27484</v>
      </c>
      <c r="B15850" s="110" t="s">
        <v>1373</v>
      </c>
      <c r="C15850" s="111" t="s">
        <v>27485</v>
      </c>
      <c r="D15850" s="111" t="str">
        <f t="shared" ref="D15850:E15850" si="15848">TRIM(B15850)</f>
        <v>Texas</v>
      </c>
      <c r="E15850" s="111" t="str">
        <f t="shared" si="15848"/>
        <v>Ralls</v>
      </c>
    </row>
    <row r="15851" spans="1:5">
      <c r="A15851" s="110" t="s">
        <v>27486</v>
      </c>
      <c r="B15851" s="110" t="s">
        <v>1373</v>
      </c>
      <c r="C15851" s="111" t="s">
        <v>27487</v>
      </c>
      <c r="D15851" s="111" t="str">
        <f t="shared" ref="D15851:E15851" si="15849">TRIM(B15851)</f>
        <v>Texas</v>
      </c>
      <c r="E15851" s="111" t="str">
        <f t="shared" si="15849"/>
        <v>Ranger</v>
      </c>
    </row>
    <row r="15852" spans="1:5">
      <c r="A15852" s="110" t="s">
        <v>27488</v>
      </c>
      <c r="B15852" s="110" t="s">
        <v>1373</v>
      </c>
      <c r="C15852" s="111" t="s">
        <v>27489</v>
      </c>
      <c r="D15852" s="111" t="str">
        <f t="shared" ref="D15852:E15852" si="15850">TRIM(B15852)</f>
        <v>Texas</v>
      </c>
      <c r="E15852" s="111" t="str">
        <f t="shared" si="15850"/>
        <v>Rankin</v>
      </c>
    </row>
    <row r="15853" spans="1:5">
      <c r="A15853" s="110" t="s">
        <v>27490</v>
      </c>
      <c r="B15853" s="110" t="s">
        <v>1373</v>
      </c>
      <c r="C15853" s="111" t="s">
        <v>27491</v>
      </c>
      <c r="D15853" s="111" t="str">
        <f t="shared" ref="D15853:E15853" si="15851">TRIM(B15853)</f>
        <v>Texas</v>
      </c>
      <c r="E15853" s="111" t="str">
        <f t="shared" si="15851"/>
        <v>Raymondville</v>
      </c>
    </row>
    <row r="15854" spans="1:5">
      <c r="A15854" s="110" t="s">
        <v>27492</v>
      </c>
      <c r="B15854" s="110" t="s">
        <v>1373</v>
      </c>
      <c r="C15854" s="111" t="s">
        <v>8508</v>
      </c>
      <c r="D15854" s="111" t="str">
        <f t="shared" ref="D15854:E15854" si="15852">TRIM(B15854)</f>
        <v>Texas</v>
      </c>
      <c r="E15854" s="111" t="str">
        <f t="shared" si="15852"/>
        <v>Red Oak</v>
      </c>
    </row>
    <row r="15855" spans="1:5">
      <c r="A15855" s="110" t="s">
        <v>27493</v>
      </c>
      <c r="B15855" s="110" t="s">
        <v>1373</v>
      </c>
      <c r="C15855" s="111" t="s">
        <v>8508</v>
      </c>
      <c r="D15855" s="111" t="str">
        <f t="shared" ref="D15855:E15855" si="15853">TRIM(B15855)</f>
        <v>Texas</v>
      </c>
      <c r="E15855" s="111" t="str">
        <f t="shared" si="15853"/>
        <v>Red Oak</v>
      </c>
    </row>
    <row r="15856" spans="1:5">
      <c r="A15856" s="110" t="s">
        <v>27494</v>
      </c>
      <c r="B15856" s="110" t="s">
        <v>1373</v>
      </c>
      <c r="C15856" s="111" t="s">
        <v>27495</v>
      </c>
      <c r="D15856" s="111" t="str">
        <f t="shared" ref="D15856:E15856" si="15854">TRIM(B15856)</f>
        <v>Texas</v>
      </c>
      <c r="E15856" s="111" t="str">
        <f t="shared" si="15854"/>
        <v>Redwater</v>
      </c>
    </row>
    <row r="15857" spans="1:5">
      <c r="A15857" s="110" t="s">
        <v>27496</v>
      </c>
      <c r="B15857" s="110" t="s">
        <v>1373</v>
      </c>
      <c r="C15857" s="111" t="s">
        <v>27497</v>
      </c>
      <c r="D15857" s="111" t="str">
        <f t="shared" ref="D15857:E15857" si="15855">TRIM(B15857)</f>
        <v>Texas</v>
      </c>
      <c r="E15857" s="111" t="str">
        <f t="shared" si="15855"/>
        <v>Refugio</v>
      </c>
    </row>
    <row r="15858" spans="1:5">
      <c r="A15858" s="110" t="s">
        <v>26153</v>
      </c>
      <c r="B15858" s="110" t="s">
        <v>1373</v>
      </c>
      <c r="C15858" s="111" t="s">
        <v>27498</v>
      </c>
      <c r="D15858" s="111" t="str">
        <f t="shared" ref="D15858:E15858" si="15856">TRIM(B15858)</f>
        <v>Texas</v>
      </c>
      <c r="E15858" s="111" t="str">
        <f t="shared" si="15856"/>
        <v>Rice</v>
      </c>
    </row>
    <row r="15859" spans="1:5">
      <c r="A15859" s="110" t="s">
        <v>27499</v>
      </c>
      <c r="B15859" s="110" t="s">
        <v>1373</v>
      </c>
      <c r="C15859" s="111" t="s">
        <v>27500</v>
      </c>
      <c r="D15859" s="111" t="str">
        <f t="shared" ref="D15859:E15859" si="15857">TRIM(B15859)</f>
        <v>Texas</v>
      </c>
      <c r="E15859" s="111" t="str">
        <f t="shared" si="15857"/>
        <v>Richards</v>
      </c>
    </row>
    <row r="15860" spans="1:5">
      <c r="A15860" s="110" t="s">
        <v>27501</v>
      </c>
      <c r="B15860" s="110" t="s">
        <v>1373</v>
      </c>
      <c r="C15860" s="111" t="s">
        <v>87</v>
      </c>
      <c r="D15860" s="111" t="str">
        <f t="shared" ref="D15860:E15860" si="15858">TRIM(B15860)</f>
        <v>Texas</v>
      </c>
      <c r="E15860" s="111" t="str">
        <f t="shared" si="15858"/>
        <v>Richardson</v>
      </c>
    </row>
    <row r="15861" spans="1:5">
      <c r="A15861" s="110" t="s">
        <v>27502</v>
      </c>
      <c r="B15861" s="110" t="s">
        <v>1373</v>
      </c>
      <c r="C15861" s="111" t="s">
        <v>87</v>
      </c>
      <c r="D15861" s="111" t="str">
        <f t="shared" ref="D15861:E15861" si="15859">TRIM(B15861)</f>
        <v>Texas</v>
      </c>
      <c r="E15861" s="111" t="str">
        <f t="shared" si="15859"/>
        <v>Richardson</v>
      </c>
    </row>
    <row r="15862" spans="1:5">
      <c r="A15862" s="110" t="s">
        <v>27503</v>
      </c>
      <c r="B15862" s="110" t="s">
        <v>1373</v>
      </c>
      <c r="C15862" s="111" t="s">
        <v>87</v>
      </c>
      <c r="D15862" s="111" t="str">
        <f t="shared" ref="D15862:E15862" si="15860">TRIM(B15862)</f>
        <v>Texas</v>
      </c>
      <c r="E15862" s="111" t="str">
        <f t="shared" si="15860"/>
        <v>Richardson</v>
      </c>
    </row>
    <row r="15863" spans="1:5">
      <c r="A15863" s="110" t="s">
        <v>27504</v>
      </c>
      <c r="B15863" s="110" t="s">
        <v>1373</v>
      </c>
      <c r="C15863" s="111" t="s">
        <v>657</v>
      </c>
      <c r="D15863" s="111" t="str">
        <f t="shared" ref="D15863:E15863" si="15861">TRIM(B15863)</f>
        <v>Texas</v>
      </c>
      <c r="E15863" s="111" t="str">
        <f t="shared" si="15861"/>
        <v>Richmond</v>
      </c>
    </row>
    <row r="15864" spans="1:5">
      <c r="A15864" s="110" t="s">
        <v>27505</v>
      </c>
      <c r="B15864" s="110" t="s">
        <v>1373</v>
      </c>
      <c r="C15864" s="111" t="s">
        <v>657</v>
      </c>
      <c r="D15864" s="111" t="str">
        <f t="shared" ref="D15864:E15864" si="15862">TRIM(B15864)</f>
        <v>Texas</v>
      </c>
      <c r="E15864" s="111" t="str">
        <f t="shared" si="15862"/>
        <v>Richmond</v>
      </c>
    </row>
    <row r="15865" spans="1:5">
      <c r="A15865" s="110" t="s">
        <v>27506</v>
      </c>
      <c r="B15865" s="110" t="s">
        <v>1373</v>
      </c>
      <c r="C15865" s="111" t="s">
        <v>657</v>
      </c>
      <c r="D15865" s="111" t="str">
        <f t="shared" ref="D15865:E15865" si="15863">TRIM(B15865)</f>
        <v>Texas</v>
      </c>
      <c r="E15865" s="111" t="str">
        <f t="shared" si="15863"/>
        <v>Richmond</v>
      </c>
    </row>
    <row r="15866" spans="1:5">
      <c r="A15866" s="110" t="s">
        <v>27507</v>
      </c>
      <c r="B15866" s="110" t="s">
        <v>1373</v>
      </c>
      <c r="C15866" s="111" t="s">
        <v>657</v>
      </c>
      <c r="D15866" s="111" t="str">
        <f t="shared" ref="D15866:E15866" si="15864">TRIM(B15866)</f>
        <v>Texas</v>
      </c>
      <c r="E15866" s="111" t="str">
        <f t="shared" si="15864"/>
        <v>Richmond</v>
      </c>
    </row>
    <row r="15867" spans="1:5">
      <c r="A15867" s="110" t="s">
        <v>27508</v>
      </c>
      <c r="B15867" s="110" t="s">
        <v>1373</v>
      </c>
      <c r="C15867" s="111" t="s">
        <v>657</v>
      </c>
      <c r="D15867" s="111" t="str">
        <f t="shared" ref="D15867:E15867" si="15865">TRIM(B15867)</f>
        <v>Texas</v>
      </c>
      <c r="E15867" s="111" t="str">
        <f t="shared" si="15865"/>
        <v>Richmond</v>
      </c>
    </row>
    <row r="15868" spans="1:5">
      <c r="A15868" s="110" t="s">
        <v>27509</v>
      </c>
      <c r="B15868" s="110" t="s">
        <v>1373</v>
      </c>
      <c r="C15868" s="111" t="s">
        <v>27510</v>
      </c>
      <c r="D15868" s="111" t="str">
        <f t="shared" ref="D15868:E15868" si="15866">TRIM(B15868)</f>
        <v>Texas</v>
      </c>
      <c r="E15868" s="111" t="str">
        <f t="shared" si="15866"/>
        <v>Riesel</v>
      </c>
    </row>
    <row r="15869" spans="1:5">
      <c r="A15869" s="110" t="s">
        <v>27511</v>
      </c>
      <c r="B15869" s="110" t="s">
        <v>1373</v>
      </c>
      <c r="C15869" s="111" t="s">
        <v>27512</v>
      </c>
      <c r="D15869" s="111" t="str">
        <f t="shared" ref="D15869:E15869" si="15867">TRIM(B15869)</f>
        <v>Texas</v>
      </c>
      <c r="E15869" s="111" t="str">
        <f t="shared" si="15867"/>
        <v>Rio Grande City</v>
      </c>
    </row>
    <row r="15870" spans="1:5">
      <c r="A15870" s="110" t="s">
        <v>27513</v>
      </c>
      <c r="B15870" s="110" t="s">
        <v>1373</v>
      </c>
      <c r="C15870" s="111" t="s">
        <v>27512</v>
      </c>
      <c r="D15870" s="111" t="str">
        <f t="shared" ref="D15870:E15870" si="15868">TRIM(B15870)</f>
        <v>Texas</v>
      </c>
      <c r="E15870" s="111" t="str">
        <f t="shared" si="15868"/>
        <v>Rio Grande City</v>
      </c>
    </row>
    <row r="15871" spans="1:5">
      <c r="A15871" s="110" t="s">
        <v>27514</v>
      </c>
      <c r="B15871" s="110" t="s">
        <v>1373</v>
      </c>
      <c r="C15871" s="111" t="s">
        <v>27512</v>
      </c>
      <c r="D15871" s="111" t="str">
        <f t="shared" ref="D15871:E15871" si="15869">TRIM(B15871)</f>
        <v>Texas</v>
      </c>
      <c r="E15871" s="111" t="str">
        <f t="shared" si="15869"/>
        <v>Rio Grande City</v>
      </c>
    </row>
    <row r="15872" spans="1:5">
      <c r="A15872" s="110" t="s">
        <v>27515</v>
      </c>
      <c r="B15872" s="110" t="s">
        <v>1373</v>
      </c>
      <c r="C15872" s="111" t="s">
        <v>27516</v>
      </c>
      <c r="D15872" s="111" t="str">
        <f t="shared" ref="D15872:E15872" si="15870">TRIM(B15872)</f>
        <v>Texas</v>
      </c>
      <c r="E15872" s="111" t="str">
        <f t="shared" si="15870"/>
        <v>Rio Hondo</v>
      </c>
    </row>
    <row r="15873" spans="1:5">
      <c r="A15873" s="110" t="s">
        <v>27517</v>
      </c>
      <c r="B15873" s="110" t="s">
        <v>1373</v>
      </c>
      <c r="C15873" s="111" t="s">
        <v>6544</v>
      </c>
      <c r="D15873" s="111" t="str">
        <f t="shared" ref="D15873:E15873" si="15871">TRIM(B15873)</f>
        <v>Texas</v>
      </c>
      <c r="E15873" s="111" t="str">
        <f t="shared" si="15871"/>
        <v>Rio Vista</v>
      </c>
    </row>
    <row r="15874" spans="1:5">
      <c r="A15874" s="110" t="s">
        <v>27518</v>
      </c>
      <c r="B15874" s="110" t="s">
        <v>1373</v>
      </c>
      <c r="C15874" s="111" t="s">
        <v>27519</v>
      </c>
      <c r="D15874" s="111" t="str">
        <f t="shared" ref="D15874:E15874" si="15872">TRIM(B15874)</f>
        <v>Texas</v>
      </c>
      <c r="E15874" s="111" t="str">
        <f t="shared" si="15872"/>
        <v>Rising Star</v>
      </c>
    </row>
    <row r="15875" spans="1:5">
      <c r="A15875" s="110" t="s">
        <v>27520</v>
      </c>
      <c r="B15875" s="110" t="s">
        <v>1373</v>
      </c>
      <c r="C15875" s="111" t="s">
        <v>27521</v>
      </c>
      <c r="D15875" s="111" t="str">
        <f t="shared" ref="D15875:E15875" si="15873">TRIM(B15875)</f>
        <v>Texas</v>
      </c>
      <c r="E15875" s="111" t="str">
        <f t="shared" si="15873"/>
        <v>Riviera</v>
      </c>
    </row>
    <row r="15876" spans="1:5">
      <c r="A15876" s="110" t="s">
        <v>27522</v>
      </c>
      <c r="B15876" s="110" t="s">
        <v>1373</v>
      </c>
      <c r="C15876" s="111" t="s">
        <v>27523</v>
      </c>
      <c r="D15876" s="111" t="str">
        <f t="shared" ref="D15876:E15876" si="15874">TRIM(B15876)</f>
        <v>Texas</v>
      </c>
      <c r="E15876" s="111" t="str">
        <f t="shared" si="15874"/>
        <v>Robert Lee</v>
      </c>
    </row>
    <row r="15877" spans="1:5">
      <c r="A15877" s="110" t="s">
        <v>27524</v>
      </c>
      <c r="B15877" s="110" t="s">
        <v>1373</v>
      </c>
      <c r="C15877" s="111" t="s">
        <v>13703</v>
      </c>
      <c r="D15877" s="111" t="str">
        <f t="shared" ref="D15877:E15877" si="15875">TRIM(B15877)</f>
        <v>Texas</v>
      </c>
      <c r="E15877" s="111" t="str">
        <f t="shared" si="15875"/>
        <v>Robinson</v>
      </c>
    </row>
    <row r="15878" spans="1:5">
      <c r="A15878" s="110" t="s">
        <v>27525</v>
      </c>
      <c r="B15878" s="110" t="s">
        <v>1373</v>
      </c>
      <c r="C15878" s="111" t="s">
        <v>27526</v>
      </c>
      <c r="D15878" s="111" t="str">
        <f t="shared" ref="D15878:E15878" si="15876">TRIM(B15878)</f>
        <v>Texas</v>
      </c>
      <c r="E15878" s="111" t="str">
        <f t="shared" si="15876"/>
        <v>Robstown</v>
      </c>
    </row>
    <row r="15879" spans="1:5">
      <c r="A15879" s="110" t="s">
        <v>27527</v>
      </c>
      <c r="B15879" s="110" t="s">
        <v>1373</v>
      </c>
      <c r="C15879" s="111" t="s">
        <v>27528</v>
      </c>
      <c r="D15879" s="111" t="str">
        <f t="shared" ref="D15879:E15879" si="15877">TRIM(B15879)</f>
        <v>Texas</v>
      </c>
      <c r="E15879" s="111" t="str">
        <f t="shared" si="15877"/>
        <v>Roby</v>
      </c>
    </row>
    <row r="15880" spans="1:5">
      <c r="A15880" s="110" t="s">
        <v>27529</v>
      </c>
      <c r="B15880" s="110" t="s">
        <v>1373</v>
      </c>
      <c r="C15880" s="111" t="s">
        <v>27530</v>
      </c>
      <c r="D15880" s="111" t="str">
        <f t="shared" ref="D15880:E15880" si="15878">TRIM(B15880)</f>
        <v>Texas</v>
      </c>
      <c r="E15880" s="111" t="str">
        <f t="shared" si="15878"/>
        <v>Rockdale</v>
      </c>
    </row>
    <row r="15881" spans="1:5">
      <c r="A15881" s="110" t="s">
        <v>27531</v>
      </c>
      <c r="B15881" s="110" t="s">
        <v>1373</v>
      </c>
      <c r="C15881" s="111" t="s">
        <v>14577</v>
      </c>
      <c r="D15881" s="111" t="str">
        <f t="shared" ref="D15881:E15881" si="15879">TRIM(B15881)</f>
        <v>Texas</v>
      </c>
      <c r="E15881" s="111" t="str">
        <f t="shared" si="15879"/>
        <v>Rockport</v>
      </c>
    </row>
    <row r="15882" spans="1:5">
      <c r="A15882" s="3" t="s">
        <v>27532</v>
      </c>
      <c r="B15882" s="110" t="s">
        <v>1373</v>
      </c>
      <c r="C15882" s="111" t="s">
        <v>6047</v>
      </c>
      <c r="D15882" s="111" t="str">
        <f t="shared" ref="D15882:E15882" si="15880">TRIM(B15882)</f>
        <v>Texas</v>
      </c>
      <c r="E15882" s="111" t="str">
        <f t="shared" si="15880"/>
        <v>Rockwall</v>
      </c>
    </row>
    <row r="15883" spans="1:5">
      <c r="A15883" s="110" t="s">
        <v>27533</v>
      </c>
      <c r="B15883" s="110" t="s">
        <v>1373</v>
      </c>
      <c r="C15883" s="111" t="s">
        <v>6047</v>
      </c>
      <c r="D15883" s="111" t="str">
        <f t="shared" ref="D15883:E15883" si="15881">TRIM(B15883)</f>
        <v>Texas</v>
      </c>
      <c r="E15883" s="111" t="str">
        <f t="shared" si="15881"/>
        <v>Rockwall</v>
      </c>
    </row>
    <row r="15884" spans="1:5">
      <c r="A15884" s="110" t="s">
        <v>27534</v>
      </c>
      <c r="B15884" s="110" t="s">
        <v>1373</v>
      </c>
      <c r="C15884" s="111" t="s">
        <v>3136</v>
      </c>
      <c r="D15884" s="111" t="str">
        <f t="shared" ref="D15884:E15884" si="15882">TRIM(B15884)</f>
        <v>Texas</v>
      </c>
      <c r="E15884" s="111" t="str">
        <f t="shared" si="15882"/>
        <v>Rogers</v>
      </c>
    </row>
    <row r="15885" spans="1:5">
      <c r="A15885" s="110" t="s">
        <v>27535</v>
      </c>
      <c r="B15885" s="110" t="s">
        <v>1373</v>
      </c>
      <c r="C15885" s="111" t="s">
        <v>27536</v>
      </c>
      <c r="D15885" s="111" t="str">
        <f t="shared" ref="D15885:E15885" si="15883">TRIM(B15885)</f>
        <v>Texas</v>
      </c>
      <c r="E15885" s="111" t="str">
        <f t="shared" si="15883"/>
        <v>Roma</v>
      </c>
    </row>
    <row r="15886" spans="1:5">
      <c r="A15886" s="110" t="s">
        <v>27537</v>
      </c>
      <c r="B15886" s="110" t="s">
        <v>1373</v>
      </c>
      <c r="C15886" s="111" t="s">
        <v>25766</v>
      </c>
      <c r="D15886" s="111" t="str">
        <f t="shared" ref="D15886:E15886" si="15884">TRIM(B15886)</f>
        <v>Texas</v>
      </c>
      <c r="E15886" s="111" t="str">
        <f t="shared" si="15884"/>
        <v>Roscoe</v>
      </c>
    </row>
    <row r="15887" spans="1:5">
      <c r="A15887" s="110" t="s">
        <v>27538</v>
      </c>
      <c r="B15887" s="110" t="s">
        <v>1373</v>
      </c>
      <c r="C15887" s="112" t="s">
        <v>19422</v>
      </c>
      <c r="D15887" s="111" t="str">
        <f t="shared" ref="D15887:E15887" si="15885">TRIM(B15887)</f>
        <v>Texas</v>
      </c>
      <c r="E15887" s="111" t="str">
        <f t="shared" si="15885"/>
        <v>Rosebud</v>
      </c>
    </row>
    <row r="15888" spans="1:5">
      <c r="A15888" s="110" t="s">
        <v>27539</v>
      </c>
      <c r="B15888" s="110" t="s">
        <v>1373</v>
      </c>
      <c r="C15888" s="111" t="s">
        <v>27540</v>
      </c>
      <c r="D15888" s="111" t="str">
        <f t="shared" ref="D15888:E15888" si="15886">TRIM(B15888)</f>
        <v>Texas</v>
      </c>
      <c r="E15888" s="111" t="str">
        <f t="shared" si="15886"/>
        <v>Rosenberg</v>
      </c>
    </row>
    <row r="15889" spans="1:5">
      <c r="A15889" s="110" t="s">
        <v>27541</v>
      </c>
      <c r="B15889" s="110" t="s">
        <v>1373</v>
      </c>
      <c r="C15889" s="111" t="s">
        <v>27540</v>
      </c>
      <c r="D15889" s="111" t="str">
        <f t="shared" ref="D15889:E15889" si="15887">TRIM(B15889)</f>
        <v>Texas</v>
      </c>
      <c r="E15889" s="111" t="str">
        <f t="shared" si="15887"/>
        <v>Rosenberg</v>
      </c>
    </row>
    <row r="15890" spans="1:5">
      <c r="A15890" s="110" t="s">
        <v>27542</v>
      </c>
      <c r="B15890" s="110" t="s">
        <v>1373</v>
      </c>
      <c r="C15890" s="111" t="s">
        <v>27543</v>
      </c>
      <c r="D15890" s="111" t="str">
        <f t="shared" ref="D15890:E15890" si="15888">TRIM(B15890)</f>
        <v>Texas</v>
      </c>
      <c r="E15890" s="111" t="str">
        <f t="shared" si="15888"/>
        <v>Rotan</v>
      </c>
    </row>
    <row r="15891" spans="1:5">
      <c r="A15891" s="110" t="s">
        <v>27544</v>
      </c>
      <c r="B15891" s="110" t="s">
        <v>1373</v>
      </c>
      <c r="C15891" s="111" t="s">
        <v>13634</v>
      </c>
      <c r="D15891" s="111" t="str">
        <f t="shared" ref="D15891:E15891" si="15889">TRIM(B15891)</f>
        <v>Texas</v>
      </c>
      <c r="E15891" s="111" t="str">
        <f t="shared" si="15889"/>
        <v>Round Rock</v>
      </c>
    </row>
    <row r="15892" spans="1:5">
      <c r="A15892" s="110" t="s">
        <v>27545</v>
      </c>
      <c r="B15892" s="110" t="s">
        <v>1373</v>
      </c>
      <c r="C15892" s="111" t="s">
        <v>13634</v>
      </c>
      <c r="D15892" s="111" t="str">
        <f t="shared" ref="D15892:E15892" si="15890">TRIM(B15892)</f>
        <v>Texas</v>
      </c>
      <c r="E15892" s="111" t="str">
        <f t="shared" si="15890"/>
        <v>Round Rock</v>
      </c>
    </row>
    <row r="15893" spans="1:5">
      <c r="A15893" s="110" t="s">
        <v>27546</v>
      </c>
      <c r="B15893" s="110" t="s">
        <v>1373</v>
      </c>
      <c r="C15893" s="111" t="s">
        <v>13634</v>
      </c>
      <c r="D15893" s="111" t="str">
        <f t="shared" ref="D15893:E15893" si="15891">TRIM(B15893)</f>
        <v>Texas</v>
      </c>
      <c r="E15893" s="111" t="str">
        <f t="shared" si="15891"/>
        <v>Round Rock</v>
      </c>
    </row>
    <row r="15894" spans="1:5">
      <c r="A15894" s="110" t="s">
        <v>27547</v>
      </c>
      <c r="B15894" s="110" t="s">
        <v>1373</v>
      </c>
      <c r="C15894" s="111" t="s">
        <v>27548</v>
      </c>
      <c r="D15894" s="111" t="str">
        <f t="shared" ref="D15894:E15894" si="15892">TRIM(B15894)</f>
        <v>Texas</v>
      </c>
      <c r="E15894" s="111" t="str">
        <f t="shared" si="15892"/>
        <v>Rowlett</v>
      </c>
    </row>
    <row r="15895" spans="1:5">
      <c r="A15895" s="110" t="s">
        <v>27549</v>
      </c>
      <c r="B15895" s="110" t="s">
        <v>1373</v>
      </c>
      <c r="C15895" s="111" t="s">
        <v>27550</v>
      </c>
      <c r="D15895" s="111" t="str">
        <f t="shared" ref="D15895:E15895" si="15893">TRIM(B15895)</f>
        <v>Texas</v>
      </c>
      <c r="E15895" s="111" t="str">
        <f t="shared" si="15893"/>
        <v>Royse City</v>
      </c>
    </row>
    <row r="15896" spans="1:5">
      <c r="A15896" s="110" t="s">
        <v>27551</v>
      </c>
      <c r="B15896" s="110" t="s">
        <v>1373</v>
      </c>
      <c r="C15896" s="111" t="s">
        <v>27552</v>
      </c>
      <c r="D15896" s="111" t="str">
        <f t="shared" ref="D15896:E15896" si="15894">TRIM(B15896)</f>
        <v>Texas</v>
      </c>
      <c r="E15896" s="111" t="str">
        <f t="shared" si="15894"/>
        <v>Runge</v>
      </c>
    </row>
    <row r="15897" spans="1:5">
      <c r="A15897" s="110" t="s">
        <v>27553</v>
      </c>
      <c r="B15897" s="110" t="s">
        <v>1373</v>
      </c>
      <c r="C15897" s="111" t="s">
        <v>27554</v>
      </c>
      <c r="D15897" s="111" t="str">
        <f t="shared" ref="D15897:E15897" si="15895">TRIM(B15897)</f>
        <v>Texas</v>
      </c>
      <c r="E15897" s="111" t="str">
        <f t="shared" si="15895"/>
        <v>Rusk</v>
      </c>
    </row>
    <row r="15898" spans="1:5">
      <c r="A15898" s="110" t="s">
        <v>27555</v>
      </c>
      <c r="B15898" s="110" t="s">
        <v>1373</v>
      </c>
      <c r="C15898" s="111" t="s">
        <v>27556</v>
      </c>
      <c r="D15898" s="111" t="str">
        <f t="shared" ref="D15898:E15898" si="15896">TRIM(B15898)</f>
        <v>Texas</v>
      </c>
      <c r="E15898" s="111" t="str">
        <f t="shared" si="15896"/>
        <v>Sabinal</v>
      </c>
    </row>
    <row r="15899" spans="1:5">
      <c r="A15899" s="3" t="s">
        <v>27557</v>
      </c>
      <c r="B15899" s="110" t="s">
        <v>1373</v>
      </c>
      <c r="C15899" s="111" t="s">
        <v>27558</v>
      </c>
      <c r="D15899" s="111" t="str">
        <f t="shared" ref="D15899:E15899" si="15897">TRIM(B15899)</f>
        <v>Texas</v>
      </c>
      <c r="E15899" s="111" t="str">
        <f t="shared" si="15897"/>
        <v>Sachse</v>
      </c>
    </row>
    <row r="15900" spans="1:5">
      <c r="A15900" s="110" t="s">
        <v>27559</v>
      </c>
      <c r="B15900" s="110" t="s">
        <v>1373</v>
      </c>
      <c r="C15900" s="111" t="s">
        <v>27560</v>
      </c>
      <c r="D15900" s="111" t="str">
        <f t="shared" ref="D15900:E15900" si="15898">TRIM(B15900)</f>
        <v>Texas</v>
      </c>
      <c r="E15900" s="111" t="str">
        <f t="shared" si="15898"/>
        <v>Sadler</v>
      </c>
    </row>
    <row r="15901" spans="1:5">
      <c r="A15901" s="110" t="s">
        <v>27561</v>
      </c>
      <c r="B15901" s="110" t="s">
        <v>1373</v>
      </c>
      <c r="C15901" s="111" t="s">
        <v>383</v>
      </c>
      <c r="D15901" s="111" t="str">
        <f t="shared" ref="D15901:E15901" si="15899">TRIM(B15901)</f>
        <v>Texas</v>
      </c>
      <c r="E15901" s="111" t="str">
        <f t="shared" si="15899"/>
        <v>Saginaw</v>
      </c>
    </row>
    <row r="15902" spans="1:5">
      <c r="A15902" s="110" t="s">
        <v>27562</v>
      </c>
      <c r="B15902" s="110" t="s">
        <v>1373</v>
      </c>
      <c r="C15902" s="111" t="s">
        <v>27563</v>
      </c>
      <c r="D15902" s="111" t="str">
        <f t="shared" ref="D15902:E15902" si="15900">TRIM(B15902)</f>
        <v>Texas</v>
      </c>
      <c r="E15902" s="111" t="str">
        <f t="shared" si="15900"/>
        <v>Saint Jo</v>
      </c>
    </row>
    <row r="15903" spans="1:5">
      <c r="A15903" s="110" t="s">
        <v>27564</v>
      </c>
      <c r="B15903" s="110" t="s">
        <v>1373</v>
      </c>
      <c r="C15903" s="111" t="s">
        <v>27565</v>
      </c>
      <c r="D15903" s="111" t="str">
        <f t="shared" ref="D15903:E15903" si="15901">TRIM(B15903)</f>
        <v>Texas</v>
      </c>
      <c r="E15903" s="111" t="str">
        <f t="shared" si="15901"/>
        <v>Salado</v>
      </c>
    </row>
    <row r="15904" spans="1:5">
      <c r="A15904" s="110" t="s">
        <v>27051</v>
      </c>
      <c r="B15904" s="110" t="s">
        <v>1373</v>
      </c>
      <c r="C15904" s="111" t="s">
        <v>27566</v>
      </c>
      <c r="D15904" s="111" t="str">
        <f t="shared" ref="D15904:E15904" si="15902">TRIM(B15904)</f>
        <v>Texas</v>
      </c>
      <c r="E15904" s="111" t="str">
        <f t="shared" si="15902"/>
        <v>San Angelo</v>
      </c>
    </row>
    <row r="15905" spans="1:5">
      <c r="A15905" s="110" t="s">
        <v>27567</v>
      </c>
      <c r="B15905" s="110" t="s">
        <v>1373</v>
      </c>
      <c r="C15905" s="111" t="s">
        <v>27566</v>
      </c>
      <c r="D15905" s="111" t="str">
        <f t="shared" ref="D15905:E15905" si="15903">TRIM(B15905)</f>
        <v>Texas</v>
      </c>
      <c r="E15905" s="111" t="str">
        <f t="shared" si="15903"/>
        <v>San Angelo</v>
      </c>
    </row>
    <row r="15906" spans="1:5">
      <c r="A15906" s="110" t="s">
        <v>27568</v>
      </c>
      <c r="B15906" s="110" t="s">
        <v>1373</v>
      </c>
      <c r="C15906" s="111" t="s">
        <v>27566</v>
      </c>
      <c r="D15906" s="111" t="str">
        <f t="shared" ref="D15906:E15906" si="15904">TRIM(B15906)</f>
        <v>Texas</v>
      </c>
      <c r="E15906" s="111" t="str">
        <f t="shared" si="15904"/>
        <v>San Angelo</v>
      </c>
    </row>
    <row r="15907" spans="1:5">
      <c r="A15907" s="110" t="s">
        <v>27569</v>
      </c>
      <c r="B15907" s="110" t="s">
        <v>1373</v>
      </c>
      <c r="C15907" s="111" t="s">
        <v>251</v>
      </c>
      <c r="D15907" s="111" t="str">
        <f t="shared" ref="D15907:E15907" si="15905">TRIM(B15907)</f>
        <v>Texas</v>
      </c>
      <c r="E15907" s="111" t="str">
        <f t="shared" si="15905"/>
        <v>San Antonio</v>
      </c>
    </row>
    <row r="15908" spans="1:5">
      <c r="A15908" s="110" t="s">
        <v>27570</v>
      </c>
      <c r="B15908" s="110" t="s">
        <v>1373</v>
      </c>
      <c r="C15908" s="111" t="s">
        <v>251</v>
      </c>
      <c r="D15908" s="111" t="str">
        <f t="shared" ref="D15908:E15908" si="15906">TRIM(B15908)</f>
        <v>Texas</v>
      </c>
      <c r="E15908" s="111" t="str">
        <f t="shared" si="15906"/>
        <v>San Antonio</v>
      </c>
    </row>
    <row r="15909" spans="1:5">
      <c r="A15909" s="110" t="s">
        <v>27571</v>
      </c>
      <c r="B15909" s="110" t="s">
        <v>1373</v>
      </c>
      <c r="C15909" s="111" t="s">
        <v>251</v>
      </c>
      <c r="D15909" s="111" t="str">
        <f t="shared" ref="D15909:E15909" si="15907">TRIM(B15909)</f>
        <v>Texas</v>
      </c>
      <c r="E15909" s="111" t="str">
        <f t="shared" si="15907"/>
        <v>San Antonio</v>
      </c>
    </row>
    <row r="15910" spans="1:5">
      <c r="A15910" s="110" t="s">
        <v>27572</v>
      </c>
      <c r="B15910" s="110" t="s">
        <v>1373</v>
      </c>
      <c r="C15910" s="111" t="s">
        <v>251</v>
      </c>
      <c r="D15910" s="111" t="str">
        <f t="shared" ref="D15910:E15910" si="15908">TRIM(B15910)</f>
        <v>Texas</v>
      </c>
      <c r="E15910" s="111" t="str">
        <f t="shared" si="15908"/>
        <v>San Antonio</v>
      </c>
    </row>
    <row r="15911" spans="1:5">
      <c r="A15911" s="110" t="s">
        <v>27573</v>
      </c>
      <c r="B15911" s="110" t="s">
        <v>1373</v>
      </c>
      <c r="C15911" s="111" t="s">
        <v>251</v>
      </c>
      <c r="D15911" s="111" t="str">
        <f t="shared" ref="D15911:E15911" si="15909">TRIM(B15911)</f>
        <v>Texas</v>
      </c>
      <c r="E15911" s="111" t="str">
        <f t="shared" si="15909"/>
        <v>San Antonio</v>
      </c>
    </row>
    <row r="15912" spans="1:5">
      <c r="A15912" s="110" t="s">
        <v>27574</v>
      </c>
      <c r="B15912" s="110" t="s">
        <v>1373</v>
      </c>
      <c r="C15912" s="111" t="s">
        <v>251</v>
      </c>
      <c r="D15912" s="111" t="str">
        <f t="shared" ref="D15912:E15912" si="15910">TRIM(B15912)</f>
        <v>Texas</v>
      </c>
      <c r="E15912" s="111" t="str">
        <f t="shared" si="15910"/>
        <v>San Antonio</v>
      </c>
    </row>
    <row r="15913" spans="1:5">
      <c r="A15913" s="110" t="s">
        <v>27575</v>
      </c>
      <c r="B15913" s="110" t="s">
        <v>1373</v>
      </c>
      <c r="C15913" s="112" t="s">
        <v>251</v>
      </c>
      <c r="D15913" s="111" t="str">
        <f t="shared" ref="D15913:E15913" si="15911">TRIM(B15913)</f>
        <v>Texas</v>
      </c>
      <c r="E15913" s="111" t="str">
        <f t="shared" si="15911"/>
        <v>San Antonio</v>
      </c>
    </row>
    <row r="15914" spans="1:5">
      <c r="A15914" s="110" t="s">
        <v>27576</v>
      </c>
      <c r="B15914" s="110" t="s">
        <v>1373</v>
      </c>
      <c r="C15914" s="111" t="s">
        <v>251</v>
      </c>
      <c r="D15914" s="111" t="str">
        <f t="shared" ref="D15914:E15914" si="15912">TRIM(B15914)</f>
        <v>Texas</v>
      </c>
      <c r="E15914" s="111" t="str">
        <f t="shared" si="15912"/>
        <v>San Antonio</v>
      </c>
    </row>
    <row r="15915" spans="1:5">
      <c r="A15915" s="110" t="s">
        <v>27577</v>
      </c>
      <c r="B15915" s="110" t="s">
        <v>1373</v>
      </c>
      <c r="C15915" s="111" t="s">
        <v>251</v>
      </c>
      <c r="D15915" s="111" t="str">
        <f t="shared" ref="D15915:E15915" si="15913">TRIM(B15915)</f>
        <v>Texas</v>
      </c>
      <c r="E15915" s="111" t="str">
        <f t="shared" si="15913"/>
        <v>San Antonio</v>
      </c>
    </row>
    <row r="15916" spans="1:5">
      <c r="A15916" s="110" t="s">
        <v>27578</v>
      </c>
      <c r="B15916" s="110" t="s">
        <v>1373</v>
      </c>
      <c r="C15916" s="111" t="s">
        <v>251</v>
      </c>
      <c r="D15916" s="111" t="str">
        <f t="shared" ref="D15916:E15916" si="15914">TRIM(B15916)</f>
        <v>Texas</v>
      </c>
      <c r="E15916" s="111" t="str">
        <f t="shared" si="15914"/>
        <v>San Antonio</v>
      </c>
    </row>
    <row r="15917" spans="1:5">
      <c r="A15917" s="110" t="s">
        <v>27579</v>
      </c>
      <c r="B15917" s="110" t="s">
        <v>1373</v>
      </c>
      <c r="C15917" s="111" t="s">
        <v>251</v>
      </c>
      <c r="D15917" s="111" t="str">
        <f t="shared" ref="D15917:E15917" si="15915">TRIM(B15917)</f>
        <v>Texas</v>
      </c>
      <c r="E15917" s="111" t="str">
        <f t="shared" si="15915"/>
        <v>San Antonio</v>
      </c>
    </row>
    <row r="15918" spans="1:5">
      <c r="A15918" s="110" t="s">
        <v>27580</v>
      </c>
      <c r="B15918" s="110" t="s">
        <v>1373</v>
      </c>
      <c r="C15918" s="111" t="s">
        <v>251</v>
      </c>
      <c r="D15918" s="111" t="str">
        <f t="shared" ref="D15918:E15918" si="15916">TRIM(B15918)</f>
        <v>Texas</v>
      </c>
      <c r="E15918" s="111" t="str">
        <f t="shared" si="15916"/>
        <v>San Antonio</v>
      </c>
    </row>
    <row r="15919" spans="1:5">
      <c r="A15919" s="110" t="s">
        <v>27581</v>
      </c>
      <c r="B15919" s="110" t="s">
        <v>1373</v>
      </c>
      <c r="C15919" s="111" t="s">
        <v>251</v>
      </c>
      <c r="D15919" s="111" t="str">
        <f t="shared" ref="D15919:E15919" si="15917">TRIM(B15919)</f>
        <v>Texas</v>
      </c>
      <c r="E15919" s="111" t="str">
        <f t="shared" si="15917"/>
        <v>San Antonio</v>
      </c>
    </row>
    <row r="15920" spans="1:5">
      <c r="A15920" s="110" t="s">
        <v>27582</v>
      </c>
      <c r="B15920" s="110" t="s">
        <v>1373</v>
      </c>
      <c r="C15920" s="111" t="s">
        <v>251</v>
      </c>
      <c r="D15920" s="111" t="str">
        <f t="shared" ref="D15920:E15920" si="15918">TRIM(B15920)</f>
        <v>Texas</v>
      </c>
      <c r="E15920" s="111" t="str">
        <f t="shared" si="15918"/>
        <v>San Antonio</v>
      </c>
    </row>
    <row r="15921" spans="1:5">
      <c r="A15921" s="110" t="s">
        <v>27583</v>
      </c>
      <c r="B15921" s="110" t="s">
        <v>1373</v>
      </c>
      <c r="C15921" s="111" t="s">
        <v>251</v>
      </c>
      <c r="D15921" s="111" t="str">
        <f t="shared" ref="D15921:E15921" si="15919">TRIM(B15921)</f>
        <v>Texas</v>
      </c>
      <c r="E15921" s="111" t="str">
        <f t="shared" si="15919"/>
        <v>San Antonio</v>
      </c>
    </row>
    <row r="15922" spans="1:5">
      <c r="A15922" s="3" t="s">
        <v>27584</v>
      </c>
      <c r="B15922" s="110" t="s">
        <v>1373</v>
      </c>
      <c r="C15922" s="111" t="s">
        <v>251</v>
      </c>
      <c r="D15922" s="111" t="str">
        <f t="shared" ref="D15922:E15922" si="15920">TRIM(B15922)</f>
        <v>Texas</v>
      </c>
      <c r="E15922" s="111" t="str">
        <f t="shared" si="15920"/>
        <v>San Antonio</v>
      </c>
    </row>
    <row r="15923" spans="1:5">
      <c r="A15923" s="3" t="s">
        <v>27585</v>
      </c>
      <c r="B15923" s="110" t="s">
        <v>1373</v>
      </c>
      <c r="C15923" s="111" t="s">
        <v>251</v>
      </c>
      <c r="D15923" s="111" t="str">
        <f t="shared" ref="D15923:E15923" si="15921">TRIM(B15923)</f>
        <v>Texas</v>
      </c>
      <c r="E15923" s="111" t="str">
        <f t="shared" si="15921"/>
        <v>San Antonio</v>
      </c>
    </row>
    <row r="15924" spans="1:5">
      <c r="A15924" s="110" t="s">
        <v>27586</v>
      </c>
      <c r="B15924" s="110" t="s">
        <v>1373</v>
      </c>
      <c r="C15924" s="111" t="s">
        <v>251</v>
      </c>
      <c r="D15924" s="111" t="str">
        <f t="shared" ref="D15924:E15924" si="15922">TRIM(B15924)</f>
        <v>Texas</v>
      </c>
      <c r="E15924" s="111" t="str">
        <f t="shared" si="15922"/>
        <v>San Antonio</v>
      </c>
    </row>
    <row r="15925" spans="1:5">
      <c r="A15925" s="3" t="s">
        <v>27587</v>
      </c>
      <c r="B15925" s="110" t="s">
        <v>1373</v>
      </c>
      <c r="C15925" s="111" t="s">
        <v>251</v>
      </c>
      <c r="D15925" s="111" t="str">
        <f t="shared" ref="D15925:E15925" si="15923">TRIM(B15925)</f>
        <v>Texas</v>
      </c>
      <c r="E15925" s="111" t="str">
        <f t="shared" si="15923"/>
        <v>San Antonio</v>
      </c>
    </row>
    <row r="15926" spans="1:5">
      <c r="A15926" s="3" t="s">
        <v>27588</v>
      </c>
      <c r="B15926" s="110" t="s">
        <v>1373</v>
      </c>
      <c r="C15926" s="111" t="s">
        <v>251</v>
      </c>
      <c r="D15926" s="111" t="str">
        <f t="shared" ref="D15926:E15926" si="15924">TRIM(B15926)</f>
        <v>Texas</v>
      </c>
      <c r="E15926" s="111" t="str">
        <f t="shared" si="15924"/>
        <v>San Antonio</v>
      </c>
    </row>
    <row r="15927" spans="1:5">
      <c r="A15927" s="110" t="s">
        <v>27589</v>
      </c>
      <c r="B15927" s="110" t="s">
        <v>1373</v>
      </c>
      <c r="C15927" s="111" t="s">
        <v>251</v>
      </c>
      <c r="D15927" s="111" t="str">
        <f t="shared" ref="D15927:E15927" si="15925">TRIM(B15927)</f>
        <v>Texas</v>
      </c>
      <c r="E15927" s="111" t="str">
        <f t="shared" si="15925"/>
        <v>San Antonio</v>
      </c>
    </row>
    <row r="15928" spans="1:5">
      <c r="A15928" s="110" t="s">
        <v>27590</v>
      </c>
      <c r="B15928" s="110" t="s">
        <v>1373</v>
      </c>
      <c r="C15928" s="111" t="s">
        <v>251</v>
      </c>
      <c r="D15928" s="111" t="str">
        <f t="shared" ref="D15928:E15928" si="15926">TRIM(B15928)</f>
        <v>Texas</v>
      </c>
      <c r="E15928" s="111" t="str">
        <f t="shared" si="15926"/>
        <v>San Antonio</v>
      </c>
    </row>
    <row r="15929" spans="1:5">
      <c r="A15929" s="110" t="s">
        <v>27591</v>
      </c>
      <c r="B15929" s="110" t="s">
        <v>1373</v>
      </c>
      <c r="C15929" s="111" t="s">
        <v>251</v>
      </c>
      <c r="D15929" s="111" t="str">
        <f t="shared" ref="D15929:E15929" si="15927">TRIM(B15929)</f>
        <v>Texas</v>
      </c>
      <c r="E15929" s="111" t="str">
        <f t="shared" si="15927"/>
        <v>San Antonio</v>
      </c>
    </row>
    <row r="15930" spans="1:5">
      <c r="A15930" s="110" t="s">
        <v>27592</v>
      </c>
      <c r="B15930" s="110" t="s">
        <v>1373</v>
      </c>
      <c r="C15930" s="111" t="s">
        <v>251</v>
      </c>
      <c r="D15930" s="111" t="str">
        <f t="shared" ref="D15930:E15930" si="15928">TRIM(B15930)</f>
        <v>Texas</v>
      </c>
      <c r="E15930" s="111" t="str">
        <f t="shared" si="15928"/>
        <v>San Antonio</v>
      </c>
    </row>
    <row r="15931" spans="1:5">
      <c r="A15931" s="110" t="s">
        <v>27593</v>
      </c>
      <c r="B15931" s="110" t="s">
        <v>1373</v>
      </c>
      <c r="C15931" s="111" t="s">
        <v>251</v>
      </c>
      <c r="D15931" s="111" t="str">
        <f t="shared" ref="D15931:E15931" si="15929">TRIM(B15931)</f>
        <v>Texas</v>
      </c>
      <c r="E15931" s="111" t="str">
        <f t="shared" si="15929"/>
        <v>San Antonio</v>
      </c>
    </row>
    <row r="15932" spans="1:5">
      <c r="A15932" s="110" t="s">
        <v>26637</v>
      </c>
      <c r="B15932" s="110" t="s">
        <v>1373</v>
      </c>
      <c r="C15932" s="111" t="s">
        <v>251</v>
      </c>
      <c r="D15932" s="111" t="str">
        <f t="shared" ref="D15932:E15932" si="15930">TRIM(B15932)</f>
        <v>Texas</v>
      </c>
      <c r="E15932" s="111" t="str">
        <f t="shared" si="15930"/>
        <v>San Antonio</v>
      </c>
    </row>
    <row r="15933" spans="1:5">
      <c r="A15933" s="110" t="s">
        <v>27594</v>
      </c>
      <c r="B15933" s="110" t="s">
        <v>1373</v>
      </c>
      <c r="C15933" s="111" t="s">
        <v>251</v>
      </c>
      <c r="D15933" s="111" t="str">
        <f t="shared" ref="D15933:E15933" si="15931">TRIM(B15933)</f>
        <v>Texas</v>
      </c>
      <c r="E15933" s="111" t="str">
        <f t="shared" si="15931"/>
        <v>San Antonio</v>
      </c>
    </row>
    <row r="15934" spans="1:5">
      <c r="A15934" s="110" t="s">
        <v>27595</v>
      </c>
      <c r="B15934" s="110" t="s">
        <v>1373</v>
      </c>
      <c r="C15934" s="111" t="s">
        <v>251</v>
      </c>
      <c r="D15934" s="111" t="str">
        <f t="shared" ref="D15934:E15934" si="15932">TRIM(B15934)</f>
        <v>Texas</v>
      </c>
      <c r="E15934" s="111" t="str">
        <f t="shared" si="15932"/>
        <v>San Antonio</v>
      </c>
    </row>
    <row r="15935" spans="1:5">
      <c r="A15935" s="110" t="s">
        <v>27596</v>
      </c>
      <c r="B15935" s="110" t="s">
        <v>1373</v>
      </c>
      <c r="C15935" s="111" t="s">
        <v>251</v>
      </c>
      <c r="D15935" s="111" t="str">
        <f t="shared" ref="D15935:E15935" si="15933">TRIM(B15935)</f>
        <v>Texas</v>
      </c>
      <c r="E15935" s="111" t="str">
        <f t="shared" si="15933"/>
        <v>San Antonio</v>
      </c>
    </row>
    <row r="15936" spans="1:5">
      <c r="A15936" s="110" t="s">
        <v>27597</v>
      </c>
      <c r="B15936" s="110" t="s">
        <v>1373</v>
      </c>
      <c r="C15936" s="111" t="s">
        <v>251</v>
      </c>
      <c r="D15936" s="111" t="str">
        <f t="shared" ref="D15936:E15936" si="15934">TRIM(B15936)</f>
        <v>Texas</v>
      </c>
      <c r="E15936" s="111" t="str">
        <f t="shared" si="15934"/>
        <v>San Antonio</v>
      </c>
    </row>
    <row r="15937" spans="1:5">
      <c r="A15937" s="110" t="s">
        <v>26219</v>
      </c>
      <c r="B15937" s="110" t="s">
        <v>1373</v>
      </c>
      <c r="C15937" s="111" t="s">
        <v>251</v>
      </c>
      <c r="D15937" s="111" t="str">
        <f t="shared" ref="D15937:E15937" si="15935">TRIM(B15937)</f>
        <v>Texas</v>
      </c>
      <c r="E15937" s="111" t="str">
        <f t="shared" si="15935"/>
        <v>San Antonio</v>
      </c>
    </row>
    <row r="15938" spans="1:5">
      <c r="A15938" s="110" t="s">
        <v>27598</v>
      </c>
      <c r="B15938" s="110" t="s">
        <v>1373</v>
      </c>
      <c r="C15938" s="111" t="s">
        <v>251</v>
      </c>
      <c r="D15938" s="111" t="str">
        <f t="shared" ref="D15938:E15938" si="15936">TRIM(B15938)</f>
        <v>Texas</v>
      </c>
      <c r="E15938" s="111" t="str">
        <f t="shared" si="15936"/>
        <v>San Antonio</v>
      </c>
    </row>
    <row r="15939" spans="1:5">
      <c r="A15939" s="110" t="s">
        <v>26941</v>
      </c>
      <c r="B15939" s="110" t="s">
        <v>1373</v>
      </c>
      <c r="C15939" s="111" t="s">
        <v>251</v>
      </c>
      <c r="D15939" s="111" t="str">
        <f t="shared" ref="D15939:E15939" si="15937">TRIM(B15939)</f>
        <v>Texas</v>
      </c>
      <c r="E15939" s="111" t="str">
        <f t="shared" si="15937"/>
        <v>San Antonio</v>
      </c>
    </row>
    <row r="15940" spans="1:5">
      <c r="A15940" s="110" t="s">
        <v>26942</v>
      </c>
      <c r="B15940" s="110" t="s">
        <v>1373</v>
      </c>
      <c r="C15940" s="111" t="s">
        <v>251</v>
      </c>
      <c r="D15940" s="111" t="str">
        <f t="shared" ref="D15940:E15940" si="15938">TRIM(B15940)</f>
        <v>Texas</v>
      </c>
      <c r="E15940" s="111" t="str">
        <f t="shared" si="15938"/>
        <v>San Antonio</v>
      </c>
    </row>
    <row r="15941" spans="1:5">
      <c r="A15941" s="110" t="s">
        <v>27223</v>
      </c>
      <c r="B15941" s="110" t="s">
        <v>1373</v>
      </c>
      <c r="C15941" s="111" t="s">
        <v>251</v>
      </c>
      <c r="D15941" s="111" t="str">
        <f t="shared" ref="D15941:E15941" si="15939">TRIM(B15941)</f>
        <v>Texas</v>
      </c>
      <c r="E15941" s="111" t="str">
        <f t="shared" si="15939"/>
        <v>San Antonio</v>
      </c>
    </row>
    <row r="15942" spans="1:5">
      <c r="A15942" s="110" t="s">
        <v>27599</v>
      </c>
      <c r="B15942" s="110" t="s">
        <v>1373</v>
      </c>
      <c r="C15942" s="111" t="s">
        <v>251</v>
      </c>
      <c r="D15942" s="111" t="str">
        <f t="shared" ref="D15942:E15942" si="15940">TRIM(B15942)</f>
        <v>Texas</v>
      </c>
      <c r="E15942" s="111" t="str">
        <f t="shared" si="15940"/>
        <v>San Antonio</v>
      </c>
    </row>
    <row r="15943" spans="1:5">
      <c r="A15943" s="110" t="s">
        <v>26944</v>
      </c>
      <c r="B15943" s="110" t="s">
        <v>1373</v>
      </c>
      <c r="C15943" s="111" t="s">
        <v>251</v>
      </c>
      <c r="D15943" s="111" t="str">
        <f t="shared" ref="D15943:E15943" si="15941">TRIM(B15943)</f>
        <v>Texas</v>
      </c>
      <c r="E15943" s="111" t="str">
        <f t="shared" si="15941"/>
        <v>San Antonio</v>
      </c>
    </row>
    <row r="15944" spans="1:5">
      <c r="A15944" s="3" t="s">
        <v>27600</v>
      </c>
      <c r="B15944" s="110" t="s">
        <v>1373</v>
      </c>
      <c r="C15944" s="111" t="s">
        <v>251</v>
      </c>
      <c r="D15944" s="111" t="str">
        <f t="shared" ref="D15944:E15944" si="15942">TRIM(B15944)</f>
        <v>Texas</v>
      </c>
      <c r="E15944" s="111" t="str">
        <f t="shared" si="15942"/>
        <v>San Antonio</v>
      </c>
    </row>
    <row r="15945" spans="1:5">
      <c r="A15945" s="110" t="s">
        <v>26224</v>
      </c>
      <c r="B15945" s="110" t="s">
        <v>1373</v>
      </c>
      <c r="C15945" s="111" t="s">
        <v>251</v>
      </c>
      <c r="D15945" s="111" t="str">
        <f t="shared" ref="D15945:E15945" si="15943">TRIM(B15945)</f>
        <v>Texas</v>
      </c>
      <c r="E15945" s="111" t="str">
        <f t="shared" si="15943"/>
        <v>San Antonio</v>
      </c>
    </row>
    <row r="15946" spans="1:5">
      <c r="A15946" s="3" t="s">
        <v>27601</v>
      </c>
      <c r="B15946" s="110" t="s">
        <v>1373</v>
      </c>
      <c r="C15946" s="111" t="s">
        <v>251</v>
      </c>
      <c r="D15946" s="111" t="str">
        <f t="shared" ref="D15946:E15946" si="15944">TRIM(B15946)</f>
        <v>Texas</v>
      </c>
      <c r="E15946" s="111" t="str">
        <f t="shared" si="15944"/>
        <v>San Antonio</v>
      </c>
    </row>
    <row r="15947" spans="1:5">
      <c r="A15947" s="110" t="s">
        <v>27192</v>
      </c>
      <c r="B15947" s="110" t="s">
        <v>1373</v>
      </c>
      <c r="C15947" s="111" t="s">
        <v>251</v>
      </c>
      <c r="D15947" s="111" t="str">
        <f t="shared" ref="D15947:E15947" si="15945">TRIM(B15947)</f>
        <v>Texas</v>
      </c>
      <c r="E15947" s="111" t="str">
        <f t="shared" si="15945"/>
        <v>San Antonio</v>
      </c>
    </row>
    <row r="15948" spans="1:5">
      <c r="A15948" s="110" t="s">
        <v>27602</v>
      </c>
      <c r="B15948" s="110" t="s">
        <v>1373</v>
      </c>
      <c r="C15948" s="111" t="s">
        <v>251</v>
      </c>
      <c r="D15948" s="111" t="str">
        <f t="shared" ref="D15948:E15948" si="15946">TRIM(B15948)</f>
        <v>Texas</v>
      </c>
      <c r="E15948" s="111" t="str">
        <f t="shared" si="15946"/>
        <v>San Antonio</v>
      </c>
    </row>
    <row r="15949" spans="1:5">
      <c r="A15949" s="110" t="s">
        <v>27603</v>
      </c>
      <c r="B15949" s="110" t="s">
        <v>1373</v>
      </c>
      <c r="C15949" s="111" t="s">
        <v>251</v>
      </c>
      <c r="D15949" s="111" t="str">
        <f t="shared" ref="D15949:E15949" si="15947">TRIM(B15949)</f>
        <v>Texas</v>
      </c>
      <c r="E15949" s="111" t="str">
        <f t="shared" si="15947"/>
        <v>San Antonio</v>
      </c>
    </row>
    <row r="15950" spans="1:5">
      <c r="A15950" s="3" t="s">
        <v>27604</v>
      </c>
      <c r="B15950" s="110" t="s">
        <v>1373</v>
      </c>
      <c r="C15950" s="111" t="s">
        <v>251</v>
      </c>
      <c r="D15950" s="111" t="str">
        <f t="shared" ref="D15950:E15950" si="15948">TRIM(B15950)</f>
        <v>Texas</v>
      </c>
      <c r="E15950" s="111" t="str">
        <f t="shared" si="15948"/>
        <v>San Antonio</v>
      </c>
    </row>
    <row r="15951" spans="1:5">
      <c r="A15951" s="110" t="s">
        <v>26720</v>
      </c>
      <c r="B15951" s="110" t="s">
        <v>1373</v>
      </c>
      <c r="C15951" s="111" t="s">
        <v>251</v>
      </c>
      <c r="D15951" s="111" t="str">
        <f t="shared" ref="D15951:E15951" si="15949">TRIM(B15951)</f>
        <v>Texas</v>
      </c>
      <c r="E15951" s="111" t="str">
        <f t="shared" si="15949"/>
        <v>San Antonio</v>
      </c>
    </row>
    <row r="15952" spans="1:5">
      <c r="A15952" s="110" t="s">
        <v>27605</v>
      </c>
      <c r="B15952" s="110" t="s">
        <v>1373</v>
      </c>
      <c r="C15952" s="111" t="s">
        <v>251</v>
      </c>
      <c r="D15952" s="111" t="str">
        <f t="shared" ref="D15952:E15952" si="15950">TRIM(B15952)</f>
        <v>Texas</v>
      </c>
      <c r="E15952" s="111" t="str">
        <f t="shared" si="15950"/>
        <v>San Antonio</v>
      </c>
    </row>
    <row r="15953" spans="1:5">
      <c r="A15953" s="110" t="s">
        <v>27606</v>
      </c>
      <c r="B15953" s="110" t="s">
        <v>1373</v>
      </c>
      <c r="C15953" s="111" t="s">
        <v>251</v>
      </c>
      <c r="D15953" s="111" t="str">
        <f t="shared" ref="D15953:E15953" si="15951">TRIM(B15953)</f>
        <v>Texas</v>
      </c>
      <c r="E15953" s="111" t="str">
        <f t="shared" si="15951"/>
        <v>San Antonio</v>
      </c>
    </row>
    <row r="15954" spans="1:5">
      <c r="A15954" s="110" t="s">
        <v>27607</v>
      </c>
      <c r="B15954" s="110" t="s">
        <v>1373</v>
      </c>
      <c r="C15954" s="111" t="s">
        <v>251</v>
      </c>
      <c r="D15954" s="111" t="str">
        <f t="shared" ref="D15954:E15954" si="15952">TRIM(B15954)</f>
        <v>Texas</v>
      </c>
      <c r="E15954" s="111" t="str">
        <f t="shared" si="15952"/>
        <v>San Antonio</v>
      </c>
    </row>
    <row r="15955" spans="1:5">
      <c r="A15955" s="110" t="s">
        <v>27608</v>
      </c>
      <c r="B15955" s="110" t="s">
        <v>1373</v>
      </c>
      <c r="C15955" s="111" t="s">
        <v>251</v>
      </c>
      <c r="D15955" s="111" t="str">
        <f t="shared" ref="D15955:E15955" si="15953">TRIM(B15955)</f>
        <v>Texas</v>
      </c>
      <c r="E15955" s="111" t="str">
        <f t="shared" si="15953"/>
        <v>San Antonio</v>
      </c>
    </row>
    <row r="15956" spans="1:5">
      <c r="A15956" s="110" t="s">
        <v>27609</v>
      </c>
      <c r="B15956" s="110" t="s">
        <v>1373</v>
      </c>
      <c r="C15956" s="111" t="s">
        <v>251</v>
      </c>
      <c r="D15956" s="111" t="str">
        <f t="shared" ref="D15956:E15956" si="15954">TRIM(B15956)</f>
        <v>Texas</v>
      </c>
      <c r="E15956" s="111" t="str">
        <f t="shared" si="15954"/>
        <v>San Antonio</v>
      </c>
    </row>
    <row r="15957" spans="1:5">
      <c r="A15957" s="110" t="s">
        <v>26460</v>
      </c>
      <c r="B15957" s="110" t="s">
        <v>1373</v>
      </c>
      <c r="C15957" s="111" t="s">
        <v>251</v>
      </c>
      <c r="D15957" s="111" t="str">
        <f t="shared" ref="D15957:E15957" si="15955">TRIM(B15957)</f>
        <v>Texas</v>
      </c>
      <c r="E15957" s="111" t="str">
        <f t="shared" si="15955"/>
        <v>San Antonio</v>
      </c>
    </row>
    <row r="15958" spans="1:5">
      <c r="A15958" s="110" t="s">
        <v>27610</v>
      </c>
      <c r="B15958" s="110" t="s">
        <v>1373</v>
      </c>
      <c r="C15958" s="111" t="s">
        <v>251</v>
      </c>
      <c r="D15958" s="111" t="str">
        <f t="shared" ref="D15958:E15958" si="15956">TRIM(B15958)</f>
        <v>Texas</v>
      </c>
      <c r="E15958" s="111" t="str">
        <f t="shared" si="15956"/>
        <v>San Antonio</v>
      </c>
    </row>
    <row r="15959" spans="1:5">
      <c r="A15959" s="110" t="s">
        <v>27611</v>
      </c>
      <c r="B15959" s="110" t="s">
        <v>1373</v>
      </c>
      <c r="C15959" s="111" t="s">
        <v>251</v>
      </c>
      <c r="D15959" s="111" t="str">
        <f t="shared" ref="D15959:E15959" si="15957">TRIM(B15959)</f>
        <v>Texas</v>
      </c>
      <c r="E15959" s="111" t="str">
        <f t="shared" si="15957"/>
        <v>San Antonio</v>
      </c>
    </row>
    <row r="15960" spans="1:5">
      <c r="A15960" s="3" t="s">
        <v>26728</v>
      </c>
      <c r="B15960" s="110" t="s">
        <v>1373</v>
      </c>
      <c r="C15960" s="111" t="s">
        <v>251</v>
      </c>
      <c r="D15960" s="111" t="str">
        <f t="shared" ref="D15960:E15960" si="15958">TRIM(B15960)</f>
        <v>Texas</v>
      </c>
      <c r="E15960" s="111" t="str">
        <f t="shared" si="15958"/>
        <v>San Antonio</v>
      </c>
    </row>
    <row r="15961" spans="1:5">
      <c r="A15961" s="110" t="s">
        <v>27612</v>
      </c>
      <c r="B15961" s="110" t="s">
        <v>1373</v>
      </c>
      <c r="C15961" s="111" t="s">
        <v>27613</v>
      </c>
      <c r="D15961" s="111" t="str">
        <f t="shared" ref="D15961:E15961" si="15959">TRIM(B15961)</f>
        <v>Texas</v>
      </c>
      <c r="E15961" s="111" t="str">
        <f t="shared" si="15959"/>
        <v>San Augustine</v>
      </c>
    </row>
    <row r="15962" spans="1:5">
      <c r="A15962" s="110" t="s">
        <v>27614</v>
      </c>
      <c r="B15962" s="110" t="s">
        <v>1373</v>
      </c>
      <c r="C15962" s="111" t="s">
        <v>27615</v>
      </c>
      <c r="D15962" s="111" t="str">
        <f t="shared" ref="D15962:E15962" si="15960">TRIM(B15962)</f>
        <v>Texas</v>
      </c>
      <c r="E15962" s="111" t="str">
        <f t="shared" si="15960"/>
        <v>San Benito</v>
      </c>
    </row>
    <row r="15963" spans="1:5">
      <c r="A15963" s="110" t="s">
        <v>27616</v>
      </c>
      <c r="B15963" s="110" t="s">
        <v>1373</v>
      </c>
      <c r="C15963" s="111" t="s">
        <v>27615</v>
      </c>
      <c r="D15963" s="111" t="str">
        <f t="shared" ref="D15963:E15963" si="15961">TRIM(B15963)</f>
        <v>Texas</v>
      </c>
      <c r="E15963" s="111" t="str">
        <f t="shared" si="15961"/>
        <v>San Benito</v>
      </c>
    </row>
    <row r="15964" spans="1:5">
      <c r="A15964" s="110" t="s">
        <v>27617</v>
      </c>
      <c r="B15964" s="110" t="s">
        <v>1373</v>
      </c>
      <c r="C15964" s="111" t="s">
        <v>237</v>
      </c>
      <c r="D15964" s="111" t="str">
        <f t="shared" ref="D15964:E15964" si="15962">TRIM(B15964)</f>
        <v>Texas</v>
      </c>
      <c r="E15964" s="111" t="str">
        <f t="shared" si="15962"/>
        <v>San Diego</v>
      </c>
    </row>
    <row r="15965" spans="1:5">
      <c r="A15965" s="110" t="s">
        <v>27618</v>
      </c>
      <c r="B15965" s="110" t="s">
        <v>1373</v>
      </c>
      <c r="C15965" s="111" t="s">
        <v>27619</v>
      </c>
      <c r="D15965" s="111" t="str">
        <f t="shared" ref="D15965:E15965" si="15963">TRIM(B15965)</f>
        <v>Texas</v>
      </c>
      <c r="E15965" s="111" t="str">
        <f t="shared" si="15963"/>
        <v>San Elizario</v>
      </c>
    </row>
    <row r="15966" spans="1:5">
      <c r="A15966" s="110" t="s">
        <v>27620</v>
      </c>
      <c r="B15966" s="110" t="s">
        <v>1373</v>
      </c>
      <c r="C15966" s="111" t="s">
        <v>27621</v>
      </c>
      <c r="D15966" s="111" t="str">
        <f t="shared" ref="D15966:E15966" si="15964">TRIM(B15966)</f>
        <v>Texas</v>
      </c>
      <c r="E15966" s="111" t="str">
        <f t="shared" si="15964"/>
        <v>San Isidro</v>
      </c>
    </row>
    <row r="15967" spans="1:5">
      <c r="A15967" s="110" t="s">
        <v>27622</v>
      </c>
      <c r="B15967" s="110" t="s">
        <v>1373</v>
      </c>
      <c r="C15967" s="111" t="s">
        <v>27623</v>
      </c>
      <c r="D15967" s="111" t="str">
        <f t="shared" ref="D15967:E15967" si="15965">TRIM(B15967)</f>
        <v>Texas</v>
      </c>
      <c r="E15967" s="111" t="str">
        <f t="shared" si="15965"/>
        <v>San Juan</v>
      </c>
    </row>
    <row r="15968" spans="1:5">
      <c r="A15968" s="110" t="s">
        <v>27624</v>
      </c>
      <c r="B15968" s="110" t="s">
        <v>1373</v>
      </c>
      <c r="C15968" s="111" t="s">
        <v>27623</v>
      </c>
      <c r="D15968" s="111" t="str">
        <f t="shared" ref="D15968:E15968" si="15966">TRIM(B15968)</f>
        <v>Texas</v>
      </c>
      <c r="E15968" s="111" t="str">
        <f t="shared" si="15966"/>
        <v>San Juan</v>
      </c>
    </row>
    <row r="15969" spans="1:5">
      <c r="A15969" s="110" t="s">
        <v>27625</v>
      </c>
      <c r="B15969" s="110" t="s">
        <v>1373</v>
      </c>
      <c r="C15969" s="111" t="s">
        <v>6981</v>
      </c>
      <c r="D15969" s="111" t="str">
        <f t="shared" ref="D15969:E15969" si="15967">TRIM(B15969)</f>
        <v>Texas</v>
      </c>
      <c r="E15969" s="111" t="str">
        <f t="shared" si="15967"/>
        <v>San Marcos</v>
      </c>
    </row>
    <row r="15970" spans="1:5">
      <c r="A15970" s="110" t="s">
        <v>27626</v>
      </c>
      <c r="B15970" s="110" t="s">
        <v>1373</v>
      </c>
      <c r="C15970" s="111" t="s">
        <v>27627</v>
      </c>
      <c r="D15970" s="111" t="str">
        <f t="shared" ref="D15970:E15970" si="15968">TRIM(B15970)</f>
        <v>Texas</v>
      </c>
      <c r="E15970" s="111" t="str">
        <f t="shared" si="15968"/>
        <v>San Perlita</v>
      </c>
    </row>
    <row r="15971" spans="1:5">
      <c r="A15971" s="110" t="s">
        <v>27628</v>
      </c>
      <c r="B15971" s="110" t="s">
        <v>1373</v>
      </c>
      <c r="C15971" s="111" t="s">
        <v>27629</v>
      </c>
      <c r="D15971" s="111" t="str">
        <f t="shared" ref="D15971:E15971" si="15969">TRIM(B15971)</f>
        <v>Texas</v>
      </c>
      <c r="E15971" s="111" t="str">
        <f t="shared" si="15969"/>
        <v>San Saba</v>
      </c>
    </row>
    <row r="15972" spans="1:5">
      <c r="A15972" s="110" t="s">
        <v>27630</v>
      </c>
      <c r="B15972" s="110" t="s">
        <v>1373</v>
      </c>
      <c r="C15972" s="111" t="s">
        <v>7016</v>
      </c>
      <c r="D15972" s="111" t="str">
        <f t="shared" ref="D15972:E15972" si="15970">TRIM(B15972)</f>
        <v>Texas</v>
      </c>
      <c r="E15972" s="111" t="str">
        <f t="shared" si="15970"/>
        <v>Sanger</v>
      </c>
    </row>
    <row r="15973" spans="1:5">
      <c r="A15973" s="110" t="s">
        <v>27631</v>
      </c>
      <c r="B15973" s="110" t="s">
        <v>1373</v>
      </c>
      <c r="C15973" s="111" t="s">
        <v>27632</v>
      </c>
      <c r="D15973" s="111" t="str">
        <f t="shared" ref="D15973:E15973" si="15971">TRIM(B15973)</f>
        <v>Texas</v>
      </c>
      <c r="E15973" s="111" t="str">
        <f t="shared" si="15971"/>
        <v>Santa Anna</v>
      </c>
    </row>
    <row r="15974" spans="1:5">
      <c r="A15974" s="110" t="s">
        <v>27633</v>
      </c>
      <c r="B15974" s="110" t="s">
        <v>1373</v>
      </c>
      <c r="C15974" s="111" t="s">
        <v>2892</v>
      </c>
      <c r="D15974" s="111" t="str">
        <f t="shared" ref="D15974:E15974" si="15972">TRIM(B15974)</f>
        <v>Texas</v>
      </c>
      <c r="E15974" s="111" t="str">
        <f t="shared" si="15972"/>
        <v>Santa Fe</v>
      </c>
    </row>
    <row r="15975" spans="1:5">
      <c r="A15975" s="110" t="s">
        <v>27634</v>
      </c>
      <c r="B15975" s="110" t="s">
        <v>1373</v>
      </c>
      <c r="C15975" s="111" t="s">
        <v>7072</v>
      </c>
      <c r="D15975" s="111" t="str">
        <f t="shared" ref="D15975:E15975" si="15973">TRIM(B15975)</f>
        <v>Texas</v>
      </c>
      <c r="E15975" s="111" t="str">
        <f t="shared" si="15973"/>
        <v>Santa Maria</v>
      </c>
    </row>
    <row r="15976" spans="1:5">
      <c r="A15976" s="110" t="s">
        <v>27635</v>
      </c>
      <c r="B15976" s="110" t="s">
        <v>1373</v>
      </c>
      <c r="C15976" s="111" t="s">
        <v>7085</v>
      </c>
      <c r="D15976" s="111" t="str">
        <f t="shared" ref="D15976:E15976" si="15974">TRIM(B15976)</f>
        <v>Texas</v>
      </c>
      <c r="E15976" s="111" t="str">
        <f t="shared" si="15974"/>
        <v>Santa Rosa</v>
      </c>
    </row>
    <row r="15977" spans="1:5">
      <c r="A15977" s="110" t="s">
        <v>27636</v>
      </c>
      <c r="B15977" s="110" t="s">
        <v>1373</v>
      </c>
      <c r="C15977" s="111" t="s">
        <v>27637</v>
      </c>
      <c r="D15977" s="111" t="str">
        <f t="shared" ref="D15977:E15977" si="15975">TRIM(B15977)</f>
        <v>Texas</v>
      </c>
      <c r="E15977" s="111" t="str">
        <f t="shared" si="15975"/>
        <v>Santo</v>
      </c>
    </row>
    <row r="15978" spans="1:5">
      <c r="A15978" s="110" t="s">
        <v>27638</v>
      </c>
      <c r="B15978" s="110" t="s">
        <v>1373</v>
      </c>
      <c r="C15978" s="111" t="s">
        <v>7105</v>
      </c>
      <c r="D15978" s="111" t="str">
        <f t="shared" ref="D15978:E15978" si="15976">TRIM(B15978)</f>
        <v>Texas</v>
      </c>
      <c r="E15978" s="111" t="str">
        <f t="shared" si="15976"/>
        <v>Saratoga</v>
      </c>
    </row>
    <row r="15979" spans="1:5">
      <c r="A15979" s="110" t="s">
        <v>27639</v>
      </c>
      <c r="B15979" s="110" t="s">
        <v>1373</v>
      </c>
      <c r="C15979" s="111" t="s">
        <v>27640</v>
      </c>
      <c r="D15979" s="111" t="str">
        <f t="shared" ref="D15979:E15979" si="15977">TRIM(B15979)</f>
        <v>Texas</v>
      </c>
      <c r="E15979" s="111" t="str">
        <f t="shared" si="15977"/>
        <v>Savoy</v>
      </c>
    </row>
    <row r="15980" spans="1:5">
      <c r="A15980" s="110" t="s">
        <v>27641</v>
      </c>
      <c r="B15980" s="110" t="s">
        <v>1373</v>
      </c>
      <c r="C15980" s="111" t="s">
        <v>27642</v>
      </c>
      <c r="D15980" s="111" t="str">
        <f t="shared" ref="D15980:E15980" si="15978">TRIM(B15980)</f>
        <v>Texas</v>
      </c>
      <c r="E15980" s="111" t="str">
        <f t="shared" si="15978"/>
        <v>Schertz</v>
      </c>
    </row>
    <row r="15981" spans="1:5">
      <c r="A15981" s="110" t="s">
        <v>27643</v>
      </c>
      <c r="B15981" s="110" t="s">
        <v>1373</v>
      </c>
      <c r="C15981" s="111" t="s">
        <v>27642</v>
      </c>
      <c r="D15981" s="111" t="str">
        <f t="shared" ref="D15981:E15981" si="15979">TRIM(B15981)</f>
        <v>Texas</v>
      </c>
      <c r="E15981" s="111" t="str">
        <f t="shared" si="15979"/>
        <v>Schertz</v>
      </c>
    </row>
    <row r="15982" spans="1:5">
      <c r="A15982" s="110" t="s">
        <v>27644</v>
      </c>
      <c r="B15982" s="110" t="s">
        <v>1373</v>
      </c>
      <c r="C15982" s="111" t="s">
        <v>27645</v>
      </c>
      <c r="D15982" s="111" t="str">
        <f t="shared" ref="D15982:E15982" si="15980">TRIM(B15982)</f>
        <v>Texas</v>
      </c>
      <c r="E15982" s="111" t="str">
        <f t="shared" si="15980"/>
        <v>Schulenburg</v>
      </c>
    </row>
    <row r="15983" spans="1:5">
      <c r="A15983" s="110" t="s">
        <v>27646</v>
      </c>
      <c r="B15983" s="110" t="s">
        <v>1373</v>
      </c>
      <c r="C15983" s="111" t="s">
        <v>27647</v>
      </c>
      <c r="D15983" s="111" t="str">
        <f t="shared" ref="D15983:E15983" si="15981">TRIM(B15983)</f>
        <v>Texas</v>
      </c>
      <c r="E15983" s="111" t="str">
        <f t="shared" si="15981"/>
        <v>Scurry</v>
      </c>
    </row>
    <row r="15984" spans="1:5">
      <c r="A15984" s="110" t="s">
        <v>27648</v>
      </c>
      <c r="B15984" s="110" t="s">
        <v>1373</v>
      </c>
      <c r="C15984" s="111" t="s">
        <v>27649</v>
      </c>
      <c r="D15984" s="111" t="str">
        <f t="shared" ref="D15984:E15984" si="15982">TRIM(B15984)</f>
        <v>Texas</v>
      </c>
      <c r="E15984" s="111" t="str">
        <f t="shared" si="15982"/>
        <v>Sealy</v>
      </c>
    </row>
    <row r="15985" spans="1:5">
      <c r="A15985" s="110" t="s">
        <v>27650</v>
      </c>
      <c r="B15985" s="110" t="s">
        <v>1373</v>
      </c>
      <c r="C15985" s="111" t="s">
        <v>27651</v>
      </c>
      <c r="D15985" s="111" t="str">
        <f t="shared" ref="D15985:E15985" si="15983">TRIM(B15985)</f>
        <v>Texas</v>
      </c>
      <c r="E15985" s="111" t="str">
        <f t="shared" si="15983"/>
        <v>Seguin</v>
      </c>
    </row>
    <row r="15986" spans="1:5">
      <c r="A15986" s="110" t="s">
        <v>26198</v>
      </c>
      <c r="B15986" s="110" t="s">
        <v>1373</v>
      </c>
      <c r="C15986" s="111" t="s">
        <v>27651</v>
      </c>
      <c r="D15986" s="111" t="str">
        <f t="shared" ref="D15986:E15986" si="15984">TRIM(B15986)</f>
        <v>Texas</v>
      </c>
      <c r="E15986" s="111" t="str">
        <f t="shared" si="15984"/>
        <v>Seguin</v>
      </c>
    </row>
    <row r="15987" spans="1:5">
      <c r="A15987" s="110" t="s">
        <v>27652</v>
      </c>
      <c r="B15987" s="110" t="s">
        <v>1373</v>
      </c>
      <c r="C15987" s="111" t="s">
        <v>10084</v>
      </c>
      <c r="D15987" s="111" t="str">
        <f t="shared" ref="D15987:E15987" si="15985">TRIM(B15987)</f>
        <v>Texas</v>
      </c>
      <c r="E15987" s="111" t="str">
        <f t="shared" si="15985"/>
        <v>Seminole</v>
      </c>
    </row>
    <row r="15988" spans="1:5">
      <c r="A15988" s="110" t="s">
        <v>27653</v>
      </c>
      <c r="B15988" s="110" t="s">
        <v>1373</v>
      </c>
      <c r="C15988" s="111" t="s">
        <v>6650</v>
      </c>
      <c r="D15988" s="111" t="str">
        <f t="shared" ref="D15988:E15988" si="15986">TRIM(B15988)</f>
        <v>Texas</v>
      </c>
      <c r="E15988" s="111" t="str">
        <f t="shared" si="15986"/>
        <v>Seymour</v>
      </c>
    </row>
    <row r="15989" spans="1:5">
      <c r="A15989" s="110" t="s">
        <v>27654</v>
      </c>
      <c r="B15989" s="110" t="s">
        <v>1373</v>
      </c>
      <c r="C15989" s="111" t="s">
        <v>4447</v>
      </c>
      <c r="D15989" s="111" t="str">
        <f t="shared" ref="D15989:E15989" si="15987">TRIM(B15989)</f>
        <v>Texas</v>
      </c>
      <c r="E15989" s="111" t="str">
        <f t="shared" si="15987"/>
        <v>Shallowater</v>
      </c>
    </row>
    <row r="15990" spans="1:5">
      <c r="A15990" s="110" t="s">
        <v>27655</v>
      </c>
      <c r="B15990" s="110" t="s">
        <v>1373</v>
      </c>
      <c r="C15990" s="111" t="s">
        <v>27656</v>
      </c>
      <c r="D15990" s="111" t="str">
        <f t="shared" ref="D15990:E15990" si="15988">TRIM(B15990)</f>
        <v>Texas</v>
      </c>
      <c r="E15990" s="111" t="str">
        <f t="shared" si="15988"/>
        <v>Shamrock</v>
      </c>
    </row>
    <row r="15991" spans="1:5">
      <c r="A15991" s="110" t="s">
        <v>27657</v>
      </c>
      <c r="B15991" s="110" t="s">
        <v>1373</v>
      </c>
      <c r="C15991" s="111" t="s">
        <v>17596</v>
      </c>
      <c r="D15991" s="111" t="str">
        <f t="shared" ref="D15991:E15991" si="15989">TRIM(B15991)</f>
        <v>Texas</v>
      </c>
      <c r="E15991" s="111" t="str">
        <f t="shared" si="15989"/>
        <v>Shepherd</v>
      </c>
    </row>
    <row r="15992" spans="1:5">
      <c r="A15992" s="110" t="s">
        <v>27658</v>
      </c>
      <c r="B15992" s="110" t="s">
        <v>1373</v>
      </c>
      <c r="C15992" s="111" t="s">
        <v>21815</v>
      </c>
      <c r="D15992" s="111" t="str">
        <f t="shared" ref="D15992:E15992" si="15990">TRIM(B15992)</f>
        <v>Texas</v>
      </c>
      <c r="E15992" s="111" t="str">
        <f t="shared" si="15990"/>
        <v>Sherman</v>
      </c>
    </row>
    <row r="15993" spans="1:5">
      <c r="A15993" s="110" t="s">
        <v>27659</v>
      </c>
      <c r="B15993" s="110" t="s">
        <v>1373</v>
      </c>
      <c r="C15993" s="111" t="s">
        <v>27660</v>
      </c>
      <c r="D15993" s="111" t="str">
        <f t="shared" ref="D15993:E15993" si="15991">TRIM(B15993)</f>
        <v>Texas</v>
      </c>
      <c r="E15993" s="111" t="str">
        <f t="shared" si="15991"/>
        <v>Shiner</v>
      </c>
    </row>
    <row r="15994" spans="1:5">
      <c r="A15994" s="110" t="s">
        <v>27661</v>
      </c>
      <c r="B15994" s="110" t="s">
        <v>1373</v>
      </c>
      <c r="C15994" s="111" t="s">
        <v>27662</v>
      </c>
      <c r="D15994" s="111" t="str">
        <f t="shared" ref="D15994:E15994" si="15992">TRIM(B15994)</f>
        <v>Texas</v>
      </c>
      <c r="E15994" s="111" t="str">
        <f t="shared" si="15992"/>
        <v>Silsbee</v>
      </c>
    </row>
    <row r="15995" spans="1:5">
      <c r="A15995" s="110" t="s">
        <v>27663</v>
      </c>
      <c r="B15995" s="110" t="s">
        <v>1373</v>
      </c>
      <c r="C15995" s="111" t="s">
        <v>19437</v>
      </c>
      <c r="D15995" s="111" t="str">
        <f t="shared" ref="D15995:E15995" si="15993">TRIM(B15995)</f>
        <v>Texas</v>
      </c>
      <c r="E15995" s="111" t="str">
        <f t="shared" si="15993"/>
        <v>Simms</v>
      </c>
    </row>
    <row r="15996" spans="1:5">
      <c r="A15996" s="110" t="s">
        <v>27664</v>
      </c>
      <c r="B15996" s="110" t="s">
        <v>1373</v>
      </c>
      <c r="C15996" s="111" t="s">
        <v>27665</v>
      </c>
      <c r="D15996" s="111" t="str">
        <f t="shared" ref="D15996:E15996" si="15994">TRIM(B15996)</f>
        <v>Texas</v>
      </c>
      <c r="E15996" s="111" t="str">
        <f t="shared" si="15994"/>
        <v>Sinton</v>
      </c>
    </row>
    <row r="15997" spans="1:5">
      <c r="A15997" s="110" t="s">
        <v>27666</v>
      </c>
      <c r="B15997" s="110" t="s">
        <v>1373</v>
      </c>
      <c r="C15997" s="111" t="s">
        <v>27667</v>
      </c>
      <c r="D15997" s="111" t="str">
        <f t="shared" ref="D15997:E15997" si="15995">TRIM(B15997)</f>
        <v>Texas</v>
      </c>
      <c r="E15997" s="111" t="str">
        <f t="shared" si="15995"/>
        <v>Skidmore</v>
      </c>
    </row>
    <row r="15998" spans="1:5">
      <c r="A15998" s="110" t="s">
        <v>27668</v>
      </c>
      <c r="B15998" s="110" t="s">
        <v>1373</v>
      </c>
      <c r="C15998" s="111" t="s">
        <v>27669</v>
      </c>
      <c r="D15998" s="111" t="str">
        <f t="shared" ref="D15998:E15998" si="15996">TRIM(B15998)</f>
        <v>Texas</v>
      </c>
      <c r="E15998" s="111" t="str">
        <f t="shared" si="15996"/>
        <v>Slaton</v>
      </c>
    </row>
    <row r="15999" spans="1:5">
      <c r="A15999" s="110" t="s">
        <v>27670</v>
      </c>
      <c r="B15999" s="110" t="s">
        <v>1373</v>
      </c>
      <c r="C15999" s="111" t="s">
        <v>19096</v>
      </c>
      <c r="D15999" s="111" t="str">
        <f t="shared" ref="D15999:E15999" si="15997">TRIM(B15999)</f>
        <v>Texas</v>
      </c>
      <c r="E15999" s="111" t="str">
        <f t="shared" si="15997"/>
        <v>Smithville</v>
      </c>
    </row>
    <row r="16000" spans="1:5">
      <c r="A16000" s="110" t="s">
        <v>27671</v>
      </c>
      <c r="B16000" s="110" t="s">
        <v>1373</v>
      </c>
      <c r="C16000" s="111" t="s">
        <v>27672</v>
      </c>
      <c r="D16000" s="111" t="str">
        <f t="shared" ref="D16000:E16000" si="15998">TRIM(B16000)</f>
        <v>Texas</v>
      </c>
      <c r="E16000" s="111" t="str">
        <f t="shared" si="15998"/>
        <v>Smyer</v>
      </c>
    </row>
    <row r="16001" spans="1:5">
      <c r="A16001" s="110" t="s">
        <v>27673</v>
      </c>
      <c r="B16001" s="110" t="s">
        <v>1373</v>
      </c>
      <c r="C16001" s="111" t="s">
        <v>27674</v>
      </c>
      <c r="D16001" s="111" t="str">
        <f t="shared" ref="D16001:E16001" si="15999">TRIM(B16001)</f>
        <v>Texas</v>
      </c>
      <c r="E16001" s="111" t="str">
        <f t="shared" si="15999"/>
        <v>Snook</v>
      </c>
    </row>
    <row r="16002" spans="1:5">
      <c r="A16002" s="110" t="s">
        <v>27675</v>
      </c>
      <c r="B16002" s="110" t="s">
        <v>1373</v>
      </c>
      <c r="C16002" s="111" t="s">
        <v>532</v>
      </c>
      <c r="D16002" s="111" t="str">
        <f t="shared" ref="D16002:E16002" si="16000">TRIM(B16002)</f>
        <v>Texas</v>
      </c>
      <c r="E16002" s="111" t="str">
        <f t="shared" si="16000"/>
        <v>Snyder</v>
      </c>
    </row>
    <row r="16003" spans="1:5">
      <c r="A16003" s="3" t="s">
        <v>27676</v>
      </c>
      <c r="B16003" s="110" t="s">
        <v>1373</v>
      </c>
      <c r="C16003" s="111" t="s">
        <v>27677</v>
      </c>
      <c r="D16003" s="111" t="str">
        <f t="shared" ref="D16003:E16003" si="16001">TRIM(B16003)</f>
        <v>Texas</v>
      </c>
      <c r="E16003" s="111" t="str">
        <f t="shared" si="16001"/>
        <v>So Houston</v>
      </c>
    </row>
    <row r="16004" spans="1:5">
      <c r="A16004" s="3" t="s">
        <v>27678</v>
      </c>
      <c r="B16004" s="110" t="s">
        <v>1373</v>
      </c>
      <c r="C16004" s="111" t="s">
        <v>1068</v>
      </c>
      <c r="D16004" s="111" t="str">
        <f t="shared" ref="D16004:E16004" si="16002">TRIM(B16004)</f>
        <v>Texas</v>
      </c>
      <c r="E16004" s="111" t="str">
        <f t="shared" si="16002"/>
        <v>Somerset</v>
      </c>
    </row>
    <row r="16005" spans="1:5">
      <c r="A16005" s="110" t="s">
        <v>27679</v>
      </c>
      <c r="B16005" s="110" t="s">
        <v>1373</v>
      </c>
      <c r="C16005" s="111" t="s">
        <v>1068</v>
      </c>
      <c r="D16005" s="111" t="str">
        <f t="shared" ref="D16005:E16005" si="16003">TRIM(B16005)</f>
        <v>Texas</v>
      </c>
      <c r="E16005" s="111" t="str">
        <f t="shared" si="16003"/>
        <v>Somerset</v>
      </c>
    </row>
    <row r="16006" spans="1:5">
      <c r="A16006" s="110" t="s">
        <v>27680</v>
      </c>
      <c r="B16006" s="110" t="s">
        <v>1373</v>
      </c>
      <c r="C16006" s="111" t="s">
        <v>2178</v>
      </c>
      <c r="D16006" s="111" t="str">
        <f t="shared" ref="D16006:E16006" si="16004">TRIM(B16006)</f>
        <v>Texas</v>
      </c>
      <c r="E16006" s="111" t="str">
        <f t="shared" si="16004"/>
        <v>Somerville</v>
      </c>
    </row>
    <row r="16007" spans="1:5">
      <c r="A16007" s="110" t="s">
        <v>27681</v>
      </c>
      <c r="B16007" s="110" t="s">
        <v>1373</v>
      </c>
      <c r="C16007" s="111" t="s">
        <v>5970</v>
      </c>
      <c r="D16007" s="111" t="str">
        <f t="shared" ref="D16007:E16007" si="16005">TRIM(B16007)</f>
        <v>Texas</v>
      </c>
      <c r="E16007" s="111" t="str">
        <f t="shared" si="16005"/>
        <v>Sonora</v>
      </c>
    </row>
    <row r="16008" spans="1:5">
      <c r="A16008" s="110" t="s">
        <v>27682</v>
      </c>
      <c r="B16008" s="110" t="s">
        <v>1373</v>
      </c>
      <c r="C16008" s="111" t="s">
        <v>27683</v>
      </c>
      <c r="D16008" s="111" t="str">
        <f t="shared" ref="D16008:E16008" si="16006">TRIM(B16008)</f>
        <v>Texas</v>
      </c>
      <c r="E16008" s="111" t="str">
        <f t="shared" si="16006"/>
        <v>Sour Lake</v>
      </c>
    </row>
    <row r="16009" spans="1:5">
      <c r="A16009" s="110" t="s">
        <v>27684</v>
      </c>
      <c r="B16009" s="110" t="s">
        <v>1373</v>
      </c>
      <c r="C16009" s="111" t="s">
        <v>13817</v>
      </c>
      <c r="D16009" s="111" t="str">
        <f t="shared" ref="D16009:E16009" si="16007">TRIM(B16009)</f>
        <v>Texas</v>
      </c>
      <c r="E16009" s="111" t="str">
        <f t="shared" si="16007"/>
        <v>Southlake</v>
      </c>
    </row>
    <row r="16010" spans="1:5">
      <c r="A16010" s="110" t="s">
        <v>27685</v>
      </c>
      <c r="B16010" s="110" t="s">
        <v>1373</v>
      </c>
      <c r="C16010" s="111" t="s">
        <v>27686</v>
      </c>
      <c r="D16010" s="111" t="str">
        <f t="shared" ref="D16010:E16010" si="16008">TRIM(B16010)</f>
        <v>Texas</v>
      </c>
      <c r="E16010" s="111" t="str">
        <f t="shared" si="16008"/>
        <v>Spearman</v>
      </c>
    </row>
    <row r="16011" spans="1:5">
      <c r="A16011" s="110" t="s">
        <v>27687</v>
      </c>
      <c r="B16011" s="110" t="s">
        <v>1373</v>
      </c>
      <c r="C16011" s="111" t="s">
        <v>27688</v>
      </c>
      <c r="D16011" s="111" t="str">
        <f t="shared" ref="D16011:E16011" si="16009">TRIM(B16011)</f>
        <v>Texas</v>
      </c>
      <c r="E16011" s="111" t="str">
        <f t="shared" si="16009"/>
        <v>Splendora</v>
      </c>
    </row>
    <row r="16012" spans="1:5">
      <c r="A16012" s="110" t="s">
        <v>27689</v>
      </c>
      <c r="B16012" s="110" t="s">
        <v>1373</v>
      </c>
      <c r="C16012" s="111" t="s">
        <v>27690</v>
      </c>
      <c r="D16012" s="111" t="str">
        <f t="shared" ref="D16012:E16012" si="16010">TRIM(B16012)</f>
        <v>Texas</v>
      </c>
      <c r="E16012" s="111" t="str">
        <f t="shared" si="16010"/>
        <v>Spring</v>
      </c>
    </row>
    <row r="16013" spans="1:5">
      <c r="A16013" s="110" t="s">
        <v>27691</v>
      </c>
      <c r="B16013" s="110" t="s">
        <v>1373</v>
      </c>
      <c r="C16013" s="111" t="s">
        <v>27690</v>
      </c>
      <c r="D16013" s="111" t="str">
        <f t="shared" ref="D16013:E16013" si="16011">TRIM(B16013)</f>
        <v>Texas</v>
      </c>
      <c r="E16013" s="111" t="str">
        <f t="shared" si="16011"/>
        <v>Spring</v>
      </c>
    </row>
    <row r="16014" spans="1:5">
      <c r="A16014" s="110" t="s">
        <v>27692</v>
      </c>
      <c r="B16014" s="110" t="s">
        <v>1373</v>
      </c>
      <c r="C16014" s="111" t="s">
        <v>27690</v>
      </c>
      <c r="D16014" s="111" t="str">
        <f t="shared" ref="D16014:E16014" si="16012">TRIM(B16014)</f>
        <v>Texas</v>
      </c>
      <c r="E16014" s="111" t="str">
        <f t="shared" si="16012"/>
        <v>Spring</v>
      </c>
    </row>
    <row r="16015" spans="1:5">
      <c r="A16015" s="110" t="s">
        <v>27693</v>
      </c>
      <c r="B16015" s="110" t="s">
        <v>1373</v>
      </c>
      <c r="C16015" s="111" t="s">
        <v>27694</v>
      </c>
      <c r="D16015" s="111" t="str">
        <f t="shared" ref="D16015:E16015" si="16013">TRIM(B16015)</f>
        <v>Texas</v>
      </c>
      <c r="E16015" s="111" t="str">
        <f t="shared" si="16013"/>
        <v>Springtown</v>
      </c>
    </row>
    <row r="16016" spans="1:5">
      <c r="A16016" s="110" t="s">
        <v>27695</v>
      </c>
      <c r="B16016" s="110" t="s">
        <v>1373</v>
      </c>
      <c r="C16016" s="111" t="s">
        <v>27696</v>
      </c>
      <c r="D16016" s="111" t="str">
        <f t="shared" ref="D16016:E16016" si="16014">TRIM(B16016)</f>
        <v>Texas</v>
      </c>
      <c r="E16016" s="111" t="str">
        <f t="shared" si="16014"/>
        <v>Spurger</v>
      </c>
    </row>
    <row r="16017" spans="1:5">
      <c r="A16017" s="110" t="s">
        <v>27697</v>
      </c>
      <c r="B16017" s="110" t="s">
        <v>1373</v>
      </c>
      <c r="C16017" s="111" t="s">
        <v>13984</v>
      </c>
      <c r="D16017" s="111" t="str">
        <f t="shared" ref="D16017:E16017" si="16015">TRIM(B16017)</f>
        <v>Texas</v>
      </c>
      <c r="E16017" s="111" t="str">
        <f t="shared" si="16015"/>
        <v>Stafford</v>
      </c>
    </row>
    <row r="16018" spans="1:5">
      <c r="A16018" s="110" t="s">
        <v>27698</v>
      </c>
      <c r="B16018" s="110" t="s">
        <v>1373</v>
      </c>
      <c r="C16018" s="111" t="s">
        <v>8683</v>
      </c>
      <c r="D16018" s="111" t="str">
        <f t="shared" ref="D16018:E16018" si="16016">TRIM(B16018)</f>
        <v>Texas</v>
      </c>
      <c r="E16018" s="111" t="str">
        <f t="shared" si="16016"/>
        <v>Stamford</v>
      </c>
    </row>
    <row r="16019" spans="1:5">
      <c r="A16019" s="110" t="s">
        <v>27699</v>
      </c>
      <c r="B16019" s="110" t="s">
        <v>1373</v>
      </c>
      <c r="C16019" s="111" t="s">
        <v>15066</v>
      </c>
      <c r="D16019" s="111" t="str">
        <f t="shared" ref="D16019:E16019" si="16017">TRIM(B16019)</f>
        <v>Texas</v>
      </c>
      <c r="E16019" s="111" t="str">
        <f t="shared" si="16017"/>
        <v>Stanton</v>
      </c>
    </row>
    <row r="16020" spans="1:5">
      <c r="A16020" s="110" t="s">
        <v>27700</v>
      </c>
      <c r="B16020" s="110" t="s">
        <v>1373</v>
      </c>
      <c r="C16020" s="111" t="s">
        <v>27701</v>
      </c>
      <c r="D16020" s="111" t="str">
        <f t="shared" ref="D16020:E16020" si="16018">TRIM(B16020)</f>
        <v>Texas</v>
      </c>
      <c r="E16020" s="111" t="str">
        <f t="shared" si="16018"/>
        <v>Stephenville</v>
      </c>
    </row>
    <row r="16021" spans="1:5">
      <c r="A16021" s="110" t="s">
        <v>27702</v>
      </c>
      <c r="B16021" s="110" t="s">
        <v>1373</v>
      </c>
      <c r="C16021" s="111" t="s">
        <v>27703</v>
      </c>
      <c r="D16021" s="111" t="str">
        <f t="shared" ref="D16021:E16021" si="16019">TRIM(B16021)</f>
        <v>Texas</v>
      </c>
      <c r="E16021" s="111" t="str">
        <f t="shared" si="16019"/>
        <v>Stinnett</v>
      </c>
    </row>
    <row r="16022" spans="1:5">
      <c r="A16022" s="110" t="s">
        <v>27704</v>
      </c>
      <c r="B16022" s="110" t="s">
        <v>1373</v>
      </c>
      <c r="C16022" s="111" t="s">
        <v>27705</v>
      </c>
      <c r="D16022" s="111" t="str">
        <f t="shared" ref="D16022:E16022" si="16020">TRIM(B16022)</f>
        <v>Texas</v>
      </c>
      <c r="E16022" s="111" t="str">
        <f t="shared" si="16020"/>
        <v>Stockdale</v>
      </c>
    </row>
    <row r="16023" spans="1:5">
      <c r="A16023" s="110" t="s">
        <v>26958</v>
      </c>
      <c r="B16023" s="110" t="s">
        <v>1373</v>
      </c>
      <c r="C16023" s="111" t="s">
        <v>5209</v>
      </c>
      <c r="D16023" s="111" t="str">
        <f t="shared" ref="D16023:E16023" si="16021">TRIM(B16023)</f>
        <v>Texas</v>
      </c>
      <c r="E16023" s="111" t="str">
        <f t="shared" si="16021"/>
        <v>Stratford</v>
      </c>
    </row>
    <row r="16024" spans="1:5">
      <c r="A16024" s="110" t="s">
        <v>27706</v>
      </c>
      <c r="B16024" s="110" t="s">
        <v>1373</v>
      </c>
      <c r="C16024" s="111" t="s">
        <v>27707</v>
      </c>
      <c r="D16024" s="111" t="str">
        <f t="shared" ref="D16024:E16024" si="16022">TRIM(B16024)</f>
        <v>Texas</v>
      </c>
      <c r="E16024" s="111" t="str">
        <f t="shared" si="16022"/>
        <v>Sudan</v>
      </c>
    </row>
    <row r="16025" spans="1:5">
      <c r="A16025" s="110" t="s">
        <v>27708</v>
      </c>
      <c r="B16025" s="110" t="s">
        <v>1373</v>
      </c>
      <c r="C16025" s="111" t="s">
        <v>13647</v>
      </c>
      <c r="D16025" s="111" t="str">
        <f t="shared" ref="D16025:E16025" si="16023">TRIM(B16025)</f>
        <v>Texas</v>
      </c>
      <c r="E16025" s="111" t="str">
        <f t="shared" si="16023"/>
        <v>Sugar Land</v>
      </c>
    </row>
    <row r="16026" spans="1:5">
      <c r="A16026" s="110" t="s">
        <v>27709</v>
      </c>
      <c r="B16026" s="110" t="s">
        <v>1373</v>
      </c>
      <c r="C16026" s="111" t="s">
        <v>13647</v>
      </c>
      <c r="D16026" s="111" t="str">
        <f t="shared" ref="D16026:E16026" si="16024">TRIM(B16026)</f>
        <v>Texas</v>
      </c>
      <c r="E16026" s="111" t="str">
        <f t="shared" si="16024"/>
        <v>Sugar Land</v>
      </c>
    </row>
    <row r="16027" spans="1:5">
      <c r="A16027" s="110" t="s">
        <v>27710</v>
      </c>
      <c r="B16027" s="110" t="s">
        <v>1373</v>
      </c>
      <c r="C16027" s="111" t="s">
        <v>13647</v>
      </c>
      <c r="D16027" s="111" t="str">
        <f t="shared" ref="D16027:E16027" si="16025">TRIM(B16027)</f>
        <v>Texas</v>
      </c>
      <c r="E16027" s="111" t="str">
        <f t="shared" si="16025"/>
        <v>Sugar Land</v>
      </c>
    </row>
    <row r="16028" spans="1:5">
      <c r="A16028" s="110" t="s">
        <v>27711</v>
      </c>
      <c r="B16028" s="110" t="s">
        <v>1373</v>
      </c>
      <c r="C16028" s="111" t="s">
        <v>13647</v>
      </c>
      <c r="D16028" s="111" t="str">
        <f t="shared" ref="D16028:E16028" si="16026">TRIM(B16028)</f>
        <v>Texas</v>
      </c>
      <c r="E16028" s="111" t="str">
        <f t="shared" si="16026"/>
        <v>Sugar Land</v>
      </c>
    </row>
    <row r="16029" spans="1:5">
      <c r="A16029" s="110" t="s">
        <v>27712</v>
      </c>
      <c r="B16029" s="110" t="s">
        <v>1373</v>
      </c>
      <c r="C16029" s="111" t="s">
        <v>1171</v>
      </c>
      <c r="D16029" s="111" t="str">
        <f t="shared" ref="D16029:E16029" si="16027">TRIM(B16029)</f>
        <v>Texas</v>
      </c>
      <c r="E16029" s="111" t="str">
        <f t="shared" si="16027"/>
        <v>Sulphur Springs</v>
      </c>
    </row>
    <row r="16030" spans="1:5">
      <c r="A16030" s="110" t="s">
        <v>27713</v>
      </c>
      <c r="B16030" s="110" t="s">
        <v>1373</v>
      </c>
      <c r="C16030" s="111" t="s">
        <v>1171</v>
      </c>
      <c r="D16030" s="111" t="str">
        <f t="shared" ref="D16030:E16030" si="16028">TRIM(B16030)</f>
        <v>Texas</v>
      </c>
      <c r="E16030" s="111" t="str">
        <f t="shared" si="16028"/>
        <v>Sulphur Springs</v>
      </c>
    </row>
    <row r="16031" spans="1:5">
      <c r="A16031" s="110" t="s">
        <v>27714</v>
      </c>
      <c r="B16031" s="110" t="s">
        <v>1373</v>
      </c>
      <c r="C16031" s="111" t="s">
        <v>27715</v>
      </c>
      <c r="D16031" s="111" t="str">
        <f t="shared" ref="D16031:E16031" si="16029">TRIM(B16031)</f>
        <v>Texas</v>
      </c>
      <c r="E16031" s="111" t="str">
        <f t="shared" si="16029"/>
        <v>Sundown</v>
      </c>
    </row>
    <row r="16032" spans="1:5">
      <c r="A16032" s="110" t="s">
        <v>27716</v>
      </c>
      <c r="B16032" s="110" t="s">
        <v>1373</v>
      </c>
      <c r="C16032" s="111" t="s">
        <v>7217</v>
      </c>
      <c r="D16032" s="111" t="str">
        <f t="shared" ref="D16032:E16032" si="16030">TRIM(B16032)</f>
        <v>Texas</v>
      </c>
      <c r="E16032" s="111" t="str">
        <f t="shared" si="16030"/>
        <v>Sunnyvale</v>
      </c>
    </row>
    <row r="16033" spans="1:5">
      <c r="A16033" s="110" t="s">
        <v>27717</v>
      </c>
      <c r="B16033" s="110" t="s">
        <v>1373</v>
      </c>
      <c r="C16033" s="111" t="s">
        <v>27718</v>
      </c>
      <c r="D16033" s="111" t="str">
        <f t="shared" ref="D16033:E16033" si="16031">TRIM(B16033)</f>
        <v>Texas</v>
      </c>
      <c r="E16033" s="111" t="str">
        <f t="shared" si="16031"/>
        <v>Sunray</v>
      </c>
    </row>
    <row r="16034" spans="1:5">
      <c r="A16034" s="110" t="s">
        <v>27719</v>
      </c>
      <c r="B16034" s="110" t="s">
        <v>1373</v>
      </c>
      <c r="C16034" s="111" t="s">
        <v>27720</v>
      </c>
      <c r="D16034" s="111" t="str">
        <f t="shared" ref="D16034:E16034" si="16032">TRIM(B16034)</f>
        <v>Texas</v>
      </c>
      <c r="E16034" s="111" t="str">
        <f t="shared" si="16032"/>
        <v>Sweeny</v>
      </c>
    </row>
    <row r="16035" spans="1:5">
      <c r="A16035" s="110" t="s">
        <v>27721</v>
      </c>
      <c r="B16035" s="110" t="s">
        <v>1373</v>
      </c>
      <c r="C16035" s="111" t="s">
        <v>24109</v>
      </c>
      <c r="D16035" s="111" t="str">
        <f t="shared" ref="D16035:E16035" si="16033">TRIM(B16035)</f>
        <v>Texas</v>
      </c>
      <c r="E16035" s="111" t="str">
        <f t="shared" si="16033"/>
        <v>Sweetwater</v>
      </c>
    </row>
    <row r="16036" spans="1:5">
      <c r="A16036" s="110" t="s">
        <v>27608</v>
      </c>
      <c r="B16036" s="110" t="s">
        <v>1373</v>
      </c>
      <c r="C16036" s="111" t="s">
        <v>319</v>
      </c>
      <c r="D16036" s="111" t="str">
        <f t="shared" ref="D16036:E16036" si="16034">TRIM(B16036)</f>
        <v>Texas</v>
      </c>
      <c r="E16036" s="111" t="str">
        <f t="shared" si="16034"/>
        <v>Taft</v>
      </c>
    </row>
    <row r="16037" spans="1:5">
      <c r="A16037" s="110" t="s">
        <v>27722</v>
      </c>
      <c r="B16037" s="110" t="s">
        <v>1373</v>
      </c>
      <c r="C16037" s="111" t="s">
        <v>27723</v>
      </c>
      <c r="D16037" s="111" t="str">
        <f t="shared" ref="D16037:E16037" si="16035">TRIM(B16037)</f>
        <v>Texas</v>
      </c>
      <c r="E16037" s="111" t="str">
        <f t="shared" si="16035"/>
        <v>Tahoka</v>
      </c>
    </row>
    <row r="16038" spans="1:5">
      <c r="A16038" s="110" t="s">
        <v>27724</v>
      </c>
      <c r="B16038" s="110" t="s">
        <v>1373</v>
      </c>
      <c r="C16038" s="111" t="s">
        <v>20654</v>
      </c>
      <c r="D16038" s="111" t="str">
        <f t="shared" ref="D16038:E16038" si="16036">TRIM(B16038)</f>
        <v>Texas</v>
      </c>
      <c r="E16038" s="111" t="str">
        <f t="shared" si="16036"/>
        <v>Tatum</v>
      </c>
    </row>
    <row r="16039" spans="1:5">
      <c r="A16039" s="110" t="s">
        <v>27725</v>
      </c>
      <c r="B16039" s="110" t="s">
        <v>1373</v>
      </c>
      <c r="C16039" s="111" t="s">
        <v>3301</v>
      </c>
      <c r="D16039" s="111" t="str">
        <f t="shared" ref="D16039:E16039" si="16037">TRIM(B16039)</f>
        <v>Texas</v>
      </c>
      <c r="E16039" s="111" t="str">
        <f t="shared" si="16037"/>
        <v>Taylor</v>
      </c>
    </row>
    <row r="16040" spans="1:5">
      <c r="A16040" s="110" t="s">
        <v>26960</v>
      </c>
      <c r="B16040" s="110" t="s">
        <v>1373</v>
      </c>
      <c r="C16040" s="111" t="s">
        <v>3301</v>
      </c>
      <c r="D16040" s="111" t="str">
        <f t="shared" ref="D16040:E16040" si="16038">TRIM(B16040)</f>
        <v>Texas</v>
      </c>
      <c r="E16040" s="111" t="str">
        <f t="shared" si="16038"/>
        <v>Taylor</v>
      </c>
    </row>
    <row r="16041" spans="1:5">
      <c r="A16041" s="110" t="s">
        <v>27726</v>
      </c>
      <c r="B16041" s="110" t="s">
        <v>1373</v>
      </c>
      <c r="C16041" s="111" t="s">
        <v>27727</v>
      </c>
      <c r="D16041" s="111" t="str">
        <f t="shared" ref="D16041:E16041" si="16039">TRIM(B16041)</f>
        <v>Texas</v>
      </c>
      <c r="E16041" s="111" t="str">
        <f t="shared" si="16039"/>
        <v>Teague</v>
      </c>
    </row>
    <row r="16042" spans="1:5">
      <c r="A16042" s="110" t="s">
        <v>27728</v>
      </c>
      <c r="B16042" s="110" t="s">
        <v>1373</v>
      </c>
      <c r="C16042" s="111" t="s">
        <v>8080</v>
      </c>
      <c r="D16042" s="111" t="str">
        <f t="shared" ref="D16042:E16042" si="16040">TRIM(B16042)</f>
        <v>Texas</v>
      </c>
      <c r="E16042" s="111" t="str">
        <f t="shared" si="16040"/>
        <v>Temple</v>
      </c>
    </row>
    <row r="16043" spans="1:5">
      <c r="A16043" s="110" t="s">
        <v>27729</v>
      </c>
      <c r="B16043" s="110" t="s">
        <v>1373</v>
      </c>
      <c r="C16043" s="111" t="s">
        <v>27730</v>
      </c>
      <c r="D16043" s="111" t="str">
        <f t="shared" ref="D16043:E16043" si="16041">TRIM(B16043)</f>
        <v>Texas</v>
      </c>
      <c r="E16043" s="111" t="str">
        <f t="shared" si="16041"/>
        <v>Terrell</v>
      </c>
    </row>
    <row r="16044" spans="1:5">
      <c r="A16044" s="110" t="s">
        <v>27731</v>
      </c>
      <c r="B16044" s="110" t="s">
        <v>1373</v>
      </c>
      <c r="C16044" s="111" t="s">
        <v>4228</v>
      </c>
      <c r="D16044" s="111" t="str">
        <f t="shared" ref="D16044:E16044" si="16042">TRIM(B16044)</f>
        <v>Texas</v>
      </c>
      <c r="E16044" s="111" t="str">
        <f t="shared" si="16042"/>
        <v>Texarkana</v>
      </c>
    </row>
    <row r="16045" spans="1:5">
      <c r="A16045" s="110" t="s">
        <v>27732</v>
      </c>
      <c r="B16045" s="110" t="s">
        <v>1373</v>
      </c>
      <c r="C16045" s="111" t="s">
        <v>4228</v>
      </c>
      <c r="D16045" s="111" t="str">
        <f t="shared" ref="D16045:E16045" si="16043">TRIM(B16045)</f>
        <v>Texas</v>
      </c>
      <c r="E16045" s="111" t="str">
        <f t="shared" si="16043"/>
        <v>Texarkana</v>
      </c>
    </row>
    <row r="16046" spans="1:5">
      <c r="A16046" s="110" t="s">
        <v>27733</v>
      </c>
      <c r="B16046" s="110" t="s">
        <v>1373</v>
      </c>
      <c r="C16046" s="111" t="s">
        <v>4228</v>
      </c>
      <c r="D16046" s="111" t="str">
        <f t="shared" ref="D16046:E16046" si="16044">TRIM(B16046)</f>
        <v>Texas</v>
      </c>
      <c r="E16046" s="111" t="str">
        <f t="shared" si="16044"/>
        <v>Texarkana</v>
      </c>
    </row>
    <row r="16047" spans="1:5">
      <c r="A16047" s="110" t="s">
        <v>27734</v>
      </c>
      <c r="B16047" s="110" t="s">
        <v>1373</v>
      </c>
      <c r="C16047" s="111" t="s">
        <v>27735</v>
      </c>
      <c r="D16047" s="111" t="str">
        <f t="shared" ref="D16047:E16047" si="16045">TRIM(B16047)</f>
        <v>Texas</v>
      </c>
      <c r="E16047" s="111" t="str">
        <f t="shared" si="16045"/>
        <v>Texas City</v>
      </c>
    </row>
    <row r="16048" spans="1:5">
      <c r="A16048" s="110" t="s">
        <v>27736</v>
      </c>
      <c r="B16048" s="110" t="s">
        <v>1373</v>
      </c>
      <c r="C16048" s="111" t="s">
        <v>515</v>
      </c>
      <c r="D16048" s="111" t="str">
        <f t="shared" ref="D16048:E16048" si="16046">TRIM(B16048)</f>
        <v>Texas</v>
      </c>
      <c r="E16048" s="111" t="str">
        <f t="shared" si="16046"/>
        <v>The Colony</v>
      </c>
    </row>
    <row r="16049" spans="1:5">
      <c r="A16049" s="110" t="s">
        <v>27737</v>
      </c>
      <c r="B16049" s="110" t="s">
        <v>1373</v>
      </c>
      <c r="C16049" s="111" t="s">
        <v>27738</v>
      </c>
      <c r="D16049" s="111" t="str">
        <f t="shared" ref="D16049:E16049" si="16047">TRIM(B16049)</f>
        <v>Texas</v>
      </c>
      <c r="E16049" s="111" t="str">
        <f t="shared" si="16047"/>
        <v>The Woodlands</v>
      </c>
    </row>
    <row r="16050" spans="1:5">
      <c r="A16050" s="110" t="s">
        <v>27739</v>
      </c>
      <c r="B16050" s="110" t="s">
        <v>1373</v>
      </c>
      <c r="C16050" s="111" t="s">
        <v>27738</v>
      </c>
      <c r="D16050" s="111" t="str">
        <f t="shared" ref="D16050:E16050" si="16048">TRIM(B16050)</f>
        <v>Texas</v>
      </c>
      <c r="E16050" s="111" t="str">
        <f t="shared" si="16048"/>
        <v>The Woodlands</v>
      </c>
    </row>
    <row r="16051" spans="1:5">
      <c r="A16051" s="110" t="s">
        <v>27740</v>
      </c>
      <c r="B16051" s="110" t="s">
        <v>1373</v>
      </c>
      <c r="C16051" s="111" t="s">
        <v>27741</v>
      </c>
      <c r="D16051" s="111" t="str">
        <f t="shared" ref="D16051:E16051" si="16049">TRIM(B16051)</f>
        <v>Texas</v>
      </c>
      <c r="E16051" s="111" t="str">
        <f t="shared" si="16049"/>
        <v>Thorndale</v>
      </c>
    </row>
    <row r="16052" spans="1:5">
      <c r="A16052" s="110" t="s">
        <v>27742</v>
      </c>
      <c r="B16052" s="110" t="s">
        <v>1373</v>
      </c>
      <c r="C16052" s="111" t="s">
        <v>27743</v>
      </c>
      <c r="D16052" s="111" t="str">
        <f t="shared" ref="D16052:E16052" si="16050">TRIM(B16052)</f>
        <v>Texas</v>
      </c>
      <c r="E16052" s="111" t="str">
        <f t="shared" si="16050"/>
        <v>Thrall</v>
      </c>
    </row>
    <row r="16053" spans="1:5">
      <c r="A16053" s="110" t="s">
        <v>27744</v>
      </c>
      <c r="B16053" s="110" t="s">
        <v>1373</v>
      </c>
      <c r="C16053" s="111" t="s">
        <v>17633</v>
      </c>
      <c r="D16053" s="111" t="str">
        <f t="shared" ref="D16053:E16053" si="16051">TRIM(B16053)</f>
        <v>Texas</v>
      </c>
      <c r="E16053" s="111" t="str">
        <f t="shared" si="16051"/>
        <v>Three Rivers</v>
      </c>
    </row>
    <row r="16054" spans="1:5">
      <c r="A16054" s="110" t="s">
        <v>27745</v>
      </c>
      <c r="B16054" s="110" t="s">
        <v>1373</v>
      </c>
      <c r="C16054" s="111" t="s">
        <v>27746</v>
      </c>
      <c r="D16054" s="111" t="str">
        <f t="shared" ref="D16054:E16054" si="16052">TRIM(B16054)</f>
        <v>Texas</v>
      </c>
      <c r="E16054" s="111" t="str">
        <f t="shared" si="16052"/>
        <v>Tivoli</v>
      </c>
    </row>
    <row r="16055" spans="1:5">
      <c r="A16055" s="110" t="s">
        <v>27747</v>
      </c>
      <c r="B16055" s="110" t="s">
        <v>1373</v>
      </c>
      <c r="C16055" s="111" t="s">
        <v>27748</v>
      </c>
      <c r="D16055" s="111" t="str">
        <f t="shared" ref="D16055:E16055" si="16053">TRIM(B16055)</f>
        <v>Texas</v>
      </c>
      <c r="E16055" s="111" t="str">
        <f t="shared" si="16053"/>
        <v>Tolar</v>
      </c>
    </row>
    <row r="16056" spans="1:5">
      <c r="A16056" s="110" t="s">
        <v>27749</v>
      </c>
      <c r="B16056" s="110" t="s">
        <v>1373</v>
      </c>
      <c r="C16056" s="111" t="s">
        <v>27750</v>
      </c>
      <c r="D16056" s="111" t="str">
        <f t="shared" ref="D16056:E16056" si="16054">TRIM(B16056)</f>
        <v>Texas</v>
      </c>
      <c r="E16056" s="111" t="str">
        <f t="shared" si="16054"/>
        <v>Tom Bean</v>
      </c>
    </row>
    <row r="16057" spans="1:5">
      <c r="A16057" s="110" t="s">
        <v>27751</v>
      </c>
      <c r="B16057" s="110" t="s">
        <v>1373</v>
      </c>
      <c r="C16057" s="111" t="s">
        <v>13837</v>
      </c>
      <c r="D16057" s="111" t="str">
        <f t="shared" ref="D16057:E16057" si="16055">TRIM(B16057)</f>
        <v>Texas</v>
      </c>
      <c r="E16057" s="111" t="str">
        <f t="shared" si="16055"/>
        <v>Tomball</v>
      </c>
    </row>
    <row r="16058" spans="1:5">
      <c r="A16058" s="110" t="s">
        <v>27752</v>
      </c>
      <c r="B16058" s="110" t="s">
        <v>1373</v>
      </c>
      <c r="C16058" s="111" t="s">
        <v>13837</v>
      </c>
      <c r="D16058" s="111" t="str">
        <f t="shared" ref="D16058:E16058" si="16056">TRIM(B16058)</f>
        <v>Texas</v>
      </c>
      <c r="E16058" s="111" t="str">
        <f t="shared" si="16056"/>
        <v>Tomball</v>
      </c>
    </row>
    <row r="16059" spans="1:5">
      <c r="A16059" s="110" t="s">
        <v>27753</v>
      </c>
      <c r="B16059" s="110" t="s">
        <v>1373</v>
      </c>
      <c r="C16059" s="111" t="s">
        <v>27754</v>
      </c>
      <c r="D16059" s="111" t="str">
        <f t="shared" ref="D16059:E16059" si="16057">TRIM(B16059)</f>
        <v>Texas</v>
      </c>
      <c r="E16059" s="111" t="str">
        <f t="shared" si="16057"/>
        <v>Tornillo</v>
      </c>
    </row>
    <row r="16060" spans="1:5">
      <c r="A16060" s="110" t="s">
        <v>27755</v>
      </c>
      <c r="B16060" s="110" t="s">
        <v>1373</v>
      </c>
      <c r="C16060" s="111" t="s">
        <v>10194</v>
      </c>
      <c r="D16060" s="111" t="str">
        <f t="shared" ref="D16060:E16060" si="16058">TRIM(B16060)</f>
        <v>Texas</v>
      </c>
      <c r="E16060" s="111" t="str">
        <f t="shared" si="16058"/>
        <v>Trenton</v>
      </c>
    </row>
    <row r="16061" spans="1:5">
      <c r="A16061" s="110" t="s">
        <v>26662</v>
      </c>
      <c r="B16061" s="110" t="s">
        <v>1373</v>
      </c>
      <c r="C16061" s="111" t="s">
        <v>2224</v>
      </c>
      <c r="D16061" s="111" t="str">
        <f t="shared" ref="D16061:E16061" si="16059">TRIM(B16061)</f>
        <v>Texas</v>
      </c>
      <c r="E16061" s="111" t="str">
        <f t="shared" si="16059"/>
        <v>Trinity</v>
      </c>
    </row>
    <row r="16062" spans="1:5">
      <c r="A16062" s="110" t="s">
        <v>27756</v>
      </c>
      <c r="B16062" s="110" t="s">
        <v>1373</v>
      </c>
      <c r="C16062" s="111" t="s">
        <v>27757</v>
      </c>
      <c r="D16062" s="111" t="str">
        <f t="shared" ref="D16062:E16062" si="16060">TRIM(B16062)</f>
        <v>Texas</v>
      </c>
      <c r="E16062" s="111" t="str">
        <f t="shared" si="16060"/>
        <v>Trophy Club</v>
      </c>
    </row>
    <row r="16063" spans="1:5">
      <c r="A16063" s="110" t="s">
        <v>27758</v>
      </c>
      <c r="B16063" s="110" t="s">
        <v>1373</v>
      </c>
      <c r="C16063" s="111" t="s">
        <v>27759</v>
      </c>
      <c r="D16063" s="111" t="str">
        <f t="shared" ref="D16063:E16063" si="16061">TRIM(B16063)</f>
        <v>Texas</v>
      </c>
      <c r="E16063" s="111" t="str">
        <f t="shared" si="16061"/>
        <v>Troup</v>
      </c>
    </row>
    <row r="16064" spans="1:5">
      <c r="A16064" s="110" t="s">
        <v>27760</v>
      </c>
      <c r="B16064" s="110" t="s">
        <v>1373</v>
      </c>
      <c r="C16064" s="111" t="s">
        <v>2228</v>
      </c>
      <c r="D16064" s="111" t="str">
        <f t="shared" ref="D16064:E16064" si="16062">TRIM(B16064)</f>
        <v>Texas</v>
      </c>
      <c r="E16064" s="111" t="str">
        <f t="shared" si="16062"/>
        <v>Troy</v>
      </c>
    </row>
    <row r="16065" spans="1:5">
      <c r="A16065" s="110" t="s">
        <v>27761</v>
      </c>
      <c r="B16065" s="110" t="s">
        <v>1373</v>
      </c>
      <c r="C16065" s="111" t="s">
        <v>27762</v>
      </c>
      <c r="D16065" s="111" t="str">
        <f t="shared" ref="D16065:E16065" si="16063">TRIM(B16065)</f>
        <v>Texas</v>
      </c>
      <c r="E16065" s="111" t="str">
        <f t="shared" si="16063"/>
        <v>Tulia</v>
      </c>
    </row>
    <row r="16066" spans="1:5">
      <c r="A16066" s="110" t="s">
        <v>27763</v>
      </c>
      <c r="B16066" s="110" t="s">
        <v>1373</v>
      </c>
      <c r="C16066" s="111" t="s">
        <v>13928</v>
      </c>
      <c r="D16066" s="111" t="str">
        <f t="shared" ref="D16066:E16066" si="16064">TRIM(B16066)</f>
        <v>Texas</v>
      </c>
      <c r="E16066" s="111" t="str">
        <f t="shared" si="16064"/>
        <v>Tuscola</v>
      </c>
    </row>
    <row r="16067" spans="1:5">
      <c r="A16067" s="110" t="s">
        <v>27312</v>
      </c>
      <c r="B16067" s="110" t="s">
        <v>1373</v>
      </c>
      <c r="C16067" s="111" t="s">
        <v>13655</v>
      </c>
      <c r="D16067" s="111" t="str">
        <f t="shared" ref="D16067:E16067" si="16065">TRIM(B16067)</f>
        <v>Texas</v>
      </c>
      <c r="E16067" s="111" t="str">
        <f t="shared" si="16065"/>
        <v>Tyler</v>
      </c>
    </row>
    <row r="16068" spans="1:5">
      <c r="A16068" s="110" t="s">
        <v>27764</v>
      </c>
      <c r="B16068" s="110" t="s">
        <v>1373</v>
      </c>
      <c r="C16068" s="111" t="s">
        <v>13655</v>
      </c>
      <c r="D16068" s="111" t="str">
        <f t="shared" ref="D16068:E16068" si="16066">TRIM(B16068)</f>
        <v>Texas</v>
      </c>
      <c r="E16068" s="111" t="str">
        <f t="shared" si="16066"/>
        <v>Tyler</v>
      </c>
    </row>
    <row r="16069" spans="1:5">
      <c r="A16069" s="110" t="s">
        <v>27765</v>
      </c>
      <c r="B16069" s="110" t="s">
        <v>1373</v>
      </c>
      <c r="C16069" s="111" t="s">
        <v>13655</v>
      </c>
      <c r="D16069" s="111" t="str">
        <f t="shared" ref="D16069:E16069" si="16067">TRIM(B16069)</f>
        <v>Texas</v>
      </c>
      <c r="E16069" s="111" t="str">
        <f t="shared" si="16067"/>
        <v>Tyler</v>
      </c>
    </row>
    <row r="16070" spans="1:5">
      <c r="A16070" s="110" t="s">
        <v>27766</v>
      </c>
      <c r="B16070" s="110" t="s">
        <v>1373</v>
      </c>
      <c r="C16070" s="111" t="s">
        <v>13655</v>
      </c>
      <c r="D16070" s="111" t="str">
        <f t="shared" ref="D16070:E16070" si="16068">TRIM(B16070)</f>
        <v>Texas</v>
      </c>
      <c r="E16070" s="111" t="str">
        <f t="shared" si="16068"/>
        <v>Tyler</v>
      </c>
    </row>
    <row r="16071" spans="1:5">
      <c r="A16071" s="110" t="s">
        <v>27767</v>
      </c>
      <c r="B16071" s="110" t="s">
        <v>1373</v>
      </c>
      <c r="C16071" s="111" t="s">
        <v>13655</v>
      </c>
      <c r="D16071" s="111" t="str">
        <f t="shared" ref="D16071:E16071" si="16069">TRIM(B16071)</f>
        <v>Texas</v>
      </c>
      <c r="E16071" s="111" t="str">
        <f t="shared" si="16069"/>
        <v>Tyler</v>
      </c>
    </row>
    <row r="16072" spans="1:5">
      <c r="A16072" s="110" t="s">
        <v>27768</v>
      </c>
      <c r="B16072" s="110" t="s">
        <v>1373</v>
      </c>
      <c r="C16072" s="111" t="s">
        <v>27769</v>
      </c>
      <c r="D16072" s="111" t="str">
        <f t="shared" ref="D16072:E16072" si="16070">TRIM(B16072)</f>
        <v>Texas</v>
      </c>
      <c r="E16072" s="111" t="str">
        <f t="shared" si="16070"/>
        <v>Universal City</v>
      </c>
    </row>
    <row r="16073" spans="1:5">
      <c r="A16073" s="110" t="s">
        <v>27770</v>
      </c>
      <c r="B16073" s="110" t="s">
        <v>1373</v>
      </c>
      <c r="C16073" s="111" t="s">
        <v>27771</v>
      </c>
      <c r="D16073" s="111" t="str">
        <f t="shared" ref="D16073:E16073" si="16071">TRIM(B16073)</f>
        <v>Texas</v>
      </c>
      <c r="E16073" s="111" t="str">
        <f t="shared" si="16071"/>
        <v>Uvalde</v>
      </c>
    </row>
    <row r="16074" spans="1:5">
      <c r="A16074" s="110" t="s">
        <v>27772</v>
      </c>
      <c r="B16074" s="110" t="s">
        <v>1373</v>
      </c>
      <c r="C16074" s="111" t="s">
        <v>27773</v>
      </c>
      <c r="D16074" s="111" t="str">
        <f t="shared" ref="D16074:E16074" si="16072">TRIM(B16074)</f>
        <v>Texas</v>
      </c>
      <c r="E16074" s="111" t="str">
        <f t="shared" si="16072"/>
        <v>Valley Mills</v>
      </c>
    </row>
    <row r="16075" spans="1:5">
      <c r="A16075" s="110" t="s">
        <v>27430</v>
      </c>
      <c r="B16075" s="110" t="s">
        <v>1373</v>
      </c>
      <c r="C16075" s="111" t="s">
        <v>27774</v>
      </c>
      <c r="D16075" s="111" t="str">
        <f t="shared" ref="D16075:E16075" si="16073">TRIM(B16075)</f>
        <v>Texas</v>
      </c>
      <c r="E16075" s="111" t="str">
        <f t="shared" si="16073"/>
        <v>Valley View</v>
      </c>
    </row>
    <row r="16076" spans="1:5">
      <c r="A16076" s="110" t="s">
        <v>27775</v>
      </c>
      <c r="B16076" s="110" t="s">
        <v>1373</v>
      </c>
      <c r="C16076" s="111" t="s">
        <v>27776</v>
      </c>
      <c r="D16076" s="111" t="str">
        <f t="shared" ref="D16076:E16076" si="16074">TRIM(B16076)</f>
        <v>Texas</v>
      </c>
      <c r="E16076" s="111" t="str">
        <f t="shared" si="16074"/>
        <v>Van</v>
      </c>
    </row>
    <row r="16077" spans="1:5">
      <c r="A16077" s="110" t="s">
        <v>27777</v>
      </c>
      <c r="B16077" s="110" t="s">
        <v>1373</v>
      </c>
      <c r="C16077" s="111" t="s">
        <v>27778</v>
      </c>
      <c r="D16077" s="111" t="str">
        <f t="shared" ref="D16077:E16077" si="16075">TRIM(B16077)</f>
        <v>Texas</v>
      </c>
      <c r="E16077" s="111" t="str">
        <f t="shared" si="16075"/>
        <v>Van Alstyne</v>
      </c>
    </row>
    <row r="16078" spans="1:5">
      <c r="A16078" s="110" t="s">
        <v>27779</v>
      </c>
      <c r="B16078" s="110" t="s">
        <v>1373</v>
      </c>
      <c r="C16078" s="111" t="s">
        <v>27780</v>
      </c>
      <c r="D16078" s="111" t="str">
        <f t="shared" ref="D16078:E16078" si="16076">TRIM(B16078)</f>
        <v>Texas</v>
      </c>
      <c r="E16078" s="111" t="str">
        <f t="shared" si="16076"/>
        <v>Van Vleck</v>
      </c>
    </row>
    <row r="16079" spans="1:5">
      <c r="A16079" s="110" t="s">
        <v>27781</v>
      </c>
      <c r="B16079" s="110" t="s">
        <v>1373</v>
      </c>
      <c r="C16079" s="111" t="s">
        <v>27782</v>
      </c>
      <c r="D16079" s="111" t="str">
        <f t="shared" ref="D16079:E16079" si="16077">TRIM(B16079)</f>
        <v>Texas</v>
      </c>
      <c r="E16079" s="111" t="str">
        <f t="shared" si="16077"/>
        <v>Vanderbilt</v>
      </c>
    </row>
    <row r="16080" spans="1:5">
      <c r="A16080" s="110" t="s">
        <v>27783</v>
      </c>
      <c r="B16080" s="110" t="s">
        <v>1373</v>
      </c>
      <c r="C16080" s="111" t="s">
        <v>27784</v>
      </c>
      <c r="D16080" s="111" t="str">
        <f t="shared" ref="D16080:E16080" si="16078">TRIM(B16080)</f>
        <v>Texas</v>
      </c>
      <c r="E16080" s="111" t="str">
        <f t="shared" si="16078"/>
        <v>Vega</v>
      </c>
    </row>
    <row r="16081" spans="1:5">
      <c r="A16081" s="110" t="s">
        <v>27785</v>
      </c>
      <c r="B16081" s="110" t="s">
        <v>1373</v>
      </c>
      <c r="C16081" s="111" t="s">
        <v>27786</v>
      </c>
      <c r="D16081" s="111" t="str">
        <f t="shared" ref="D16081:E16081" si="16079">TRIM(B16081)</f>
        <v>Texas</v>
      </c>
      <c r="E16081" s="111" t="str">
        <f t="shared" si="16079"/>
        <v>Venus</v>
      </c>
    </row>
    <row r="16082" spans="1:5">
      <c r="A16082" s="110" t="s">
        <v>27787</v>
      </c>
      <c r="B16082" s="110" t="s">
        <v>1373</v>
      </c>
      <c r="C16082" s="111" t="s">
        <v>27788</v>
      </c>
      <c r="D16082" s="111" t="str">
        <f t="shared" ref="D16082:E16082" si="16080">TRIM(B16082)</f>
        <v>Texas</v>
      </c>
      <c r="E16082" s="111" t="str">
        <f t="shared" si="16080"/>
        <v>Veribest</v>
      </c>
    </row>
    <row r="16083" spans="1:5">
      <c r="A16083" s="110" t="s">
        <v>27789</v>
      </c>
      <c r="B16083" s="110" t="s">
        <v>1373</v>
      </c>
      <c r="C16083" s="111" t="s">
        <v>8714</v>
      </c>
      <c r="D16083" s="111" t="str">
        <f t="shared" ref="D16083:E16083" si="16081">TRIM(B16083)</f>
        <v>Texas</v>
      </c>
      <c r="E16083" s="111" t="str">
        <f t="shared" si="16081"/>
        <v>Vernon</v>
      </c>
    </row>
    <row r="16084" spans="1:5">
      <c r="A16084" s="110" t="s">
        <v>27790</v>
      </c>
      <c r="B16084" s="110" t="s">
        <v>1373</v>
      </c>
      <c r="C16084" s="111" t="s">
        <v>13780</v>
      </c>
      <c r="D16084" s="111" t="str">
        <f t="shared" ref="D16084:E16084" si="16082">TRIM(B16084)</f>
        <v>Texas</v>
      </c>
      <c r="E16084" s="111" t="str">
        <f t="shared" si="16082"/>
        <v>Victoria</v>
      </c>
    </row>
    <row r="16085" spans="1:5">
      <c r="A16085" s="110" t="s">
        <v>27791</v>
      </c>
      <c r="B16085" s="110" t="s">
        <v>1373</v>
      </c>
      <c r="C16085" s="111" t="s">
        <v>13780</v>
      </c>
      <c r="D16085" s="111" t="str">
        <f t="shared" ref="D16085:E16085" si="16083">TRIM(B16085)</f>
        <v>Texas</v>
      </c>
      <c r="E16085" s="111" t="str">
        <f t="shared" si="16083"/>
        <v>Victoria</v>
      </c>
    </row>
    <row r="16086" spans="1:5">
      <c r="A16086" s="110" t="s">
        <v>27792</v>
      </c>
      <c r="B16086" s="110" t="s">
        <v>1373</v>
      </c>
      <c r="C16086" s="111" t="s">
        <v>27793</v>
      </c>
      <c r="D16086" s="111" t="str">
        <f t="shared" ref="D16086:E16086" si="16084">TRIM(B16086)</f>
        <v>Texas</v>
      </c>
      <c r="E16086" s="111" t="str">
        <f t="shared" si="16084"/>
        <v>Vidor</v>
      </c>
    </row>
    <row r="16087" spans="1:5">
      <c r="A16087" s="110" t="s">
        <v>27794</v>
      </c>
      <c r="B16087" s="110" t="s">
        <v>1373</v>
      </c>
      <c r="C16087" s="111" t="s">
        <v>13699</v>
      </c>
      <c r="D16087" s="111" t="str">
        <f t="shared" ref="D16087:E16087" si="16085">TRIM(B16087)</f>
        <v>Texas</v>
      </c>
      <c r="E16087" s="111" t="str">
        <f t="shared" si="16085"/>
        <v>Waco</v>
      </c>
    </row>
    <row r="16088" spans="1:5">
      <c r="A16088" s="3" t="s">
        <v>27795</v>
      </c>
      <c r="B16088" s="110" t="s">
        <v>1373</v>
      </c>
      <c r="C16088" s="111" t="s">
        <v>13699</v>
      </c>
      <c r="D16088" s="111" t="str">
        <f t="shared" ref="D16088:E16088" si="16086">TRIM(B16088)</f>
        <v>Texas</v>
      </c>
      <c r="E16088" s="111" t="str">
        <f t="shared" si="16086"/>
        <v>Waco</v>
      </c>
    </row>
    <row r="16089" spans="1:5">
      <c r="A16089" s="110" t="s">
        <v>27796</v>
      </c>
      <c r="B16089" s="110" t="s">
        <v>1373</v>
      </c>
      <c r="C16089" s="111" t="s">
        <v>13699</v>
      </c>
      <c r="D16089" s="111" t="str">
        <f t="shared" ref="D16089:E16089" si="16087">TRIM(B16089)</f>
        <v>Texas</v>
      </c>
      <c r="E16089" s="111" t="str">
        <f t="shared" si="16087"/>
        <v>Waco</v>
      </c>
    </row>
    <row r="16090" spans="1:5">
      <c r="A16090" s="110" t="s">
        <v>27797</v>
      </c>
      <c r="B16090" s="110" t="s">
        <v>1373</v>
      </c>
      <c r="C16090" s="111" t="s">
        <v>13699</v>
      </c>
      <c r="D16090" s="111" t="str">
        <f t="shared" ref="D16090:E16090" si="16088">TRIM(B16090)</f>
        <v>Texas</v>
      </c>
      <c r="E16090" s="111" t="str">
        <f t="shared" si="16088"/>
        <v>Waco</v>
      </c>
    </row>
    <row r="16091" spans="1:5">
      <c r="A16091" s="110" t="s">
        <v>27798</v>
      </c>
      <c r="B16091" s="110" t="s">
        <v>1373</v>
      </c>
      <c r="C16091" s="111" t="s">
        <v>13699</v>
      </c>
      <c r="D16091" s="111" t="str">
        <f t="shared" ref="D16091:E16091" si="16089">TRIM(B16091)</f>
        <v>Texas</v>
      </c>
      <c r="E16091" s="111" t="str">
        <f t="shared" si="16089"/>
        <v>Waco</v>
      </c>
    </row>
    <row r="16092" spans="1:5">
      <c r="A16092" s="110" t="s">
        <v>27799</v>
      </c>
      <c r="B16092" s="110" t="s">
        <v>1373</v>
      </c>
      <c r="C16092" s="111" t="s">
        <v>13699</v>
      </c>
      <c r="D16092" s="111" t="str">
        <f t="shared" ref="D16092:E16092" si="16090">TRIM(B16092)</f>
        <v>Texas</v>
      </c>
      <c r="E16092" s="111" t="str">
        <f t="shared" si="16090"/>
        <v>Waco</v>
      </c>
    </row>
    <row r="16093" spans="1:5">
      <c r="A16093" s="110" t="s">
        <v>27800</v>
      </c>
      <c r="B16093" s="110" t="s">
        <v>1373</v>
      </c>
      <c r="C16093" s="111" t="s">
        <v>13699</v>
      </c>
      <c r="D16093" s="111" t="str">
        <f t="shared" ref="D16093:E16093" si="16091">TRIM(B16093)</f>
        <v>Texas</v>
      </c>
      <c r="E16093" s="111" t="str">
        <f t="shared" si="16091"/>
        <v>Waco</v>
      </c>
    </row>
    <row r="16094" spans="1:5">
      <c r="A16094" s="110" t="s">
        <v>27801</v>
      </c>
      <c r="B16094" s="110" t="s">
        <v>1373</v>
      </c>
      <c r="C16094" s="111" t="s">
        <v>20432</v>
      </c>
      <c r="D16094" s="111" t="str">
        <f t="shared" ref="D16094:E16094" si="16092">TRIM(B16094)</f>
        <v>Texas</v>
      </c>
      <c r="E16094" s="111" t="str">
        <f t="shared" si="16092"/>
        <v>Wall</v>
      </c>
    </row>
    <row r="16095" spans="1:5">
      <c r="A16095" s="110" t="s">
        <v>27802</v>
      </c>
      <c r="B16095" s="110" t="s">
        <v>1373</v>
      </c>
      <c r="C16095" s="111" t="s">
        <v>27803</v>
      </c>
      <c r="D16095" s="111" t="str">
        <f t="shared" ref="D16095:E16095" si="16093">TRIM(B16095)</f>
        <v>Texas</v>
      </c>
      <c r="E16095" s="111" t="str">
        <f t="shared" si="16093"/>
        <v>Wallis</v>
      </c>
    </row>
    <row r="16096" spans="1:5">
      <c r="A16096" s="110" t="s">
        <v>27611</v>
      </c>
      <c r="B16096" s="110" t="s">
        <v>1373</v>
      </c>
      <c r="C16096" s="111" t="s">
        <v>4265</v>
      </c>
      <c r="D16096" s="111" t="str">
        <f t="shared" ref="D16096:E16096" si="16094">TRIM(B16096)</f>
        <v>Texas</v>
      </c>
      <c r="E16096" s="111" t="str">
        <f t="shared" si="16094"/>
        <v>Warren</v>
      </c>
    </row>
    <row r="16097" spans="1:5">
      <c r="A16097" s="110" t="s">
        <v>27804</v>
      </c>
      <c r="B16097" s="110" t="s">
        <v>1373</v>
      </c>
      <c r="C16097" s="111" t="s">
        <v>27805</v>
      </c>
      <c r="D16097" s="111" t="str">
        <f t="shared" ref="D16097:E16097" si="16095">TRIM(B16097)</f>
        <v>Texas</v>
      </c>
      <c r="E16097" s="111" t="str">
        <f t="shared" si="16095"/>
        <v>Waskom</v>
      </c>
    </row>
    <row r="16098" spans="1:5">
      <c r="A16098" s="110" t="s">
        <v>27806</v>
      </c>
      <c r="B16098" s="110" t="s">
        <v>1373</v>
      </c>
      <c r="C16098" s="111" t="s">
        <v>18588</v>
      </c>
      <c r="D16098" s="111" t="str">
        <f t="shared" ref="D16098:E16098" si="16096">TRIM(B16098)</f>
        <v>Texas</v>
      </c>
      <c r="E16098" s="111" t="str">
        <f t="shared" si="16096"/>
        <v>Water Valley</v>
      </c>
    </row>
    <row r="16099" spans="1:5">
      <c r="A16099" s="110" t="s">
        <v>27807</v>
      </c>
      <c r="B16099" s="110" t="s">
        <v>1373</v>
      </c>
      <c r="C16099" s="111" t="s">
        <v>18588</v>
      </c>
      <c r="D16099" s="111" t="str">
        <f t="shared" ref="D16099:E16099" si="16097">TRIM(B16099)</f>
        <v>Texas</v>
      </c>
      <c r="E16099" s="111" t="str">
        <f t="shared" si="16097"/>
        <v>Water Valley</v>
      </c>
    </row>
    <row r="16100" spans="1:5">
      <c r="A16100" s="110" t="s">
        <v>27808</v>
      </c>
      <c r="B16100" s="110" t="s">
        <v>1373</v>
      </c>
      <c r="C16100" s="111" t="s">
        <v>104</v>
      </c>
      <c r="D16100" s="111" t="str">
        <f t="shared" ref="D16100:E16100" si="16098">TRIM(B16100)</f>
        <v>Texas</v>
      </c>
      <c r="E16100" s="111" t="str">
        <f t="shared" si="16098"/>
        <v>Waxahachie</v>
      </c>
    </row>
    <row r="16101" spans="1:5">
      <c r="A16101" s="110" t="s">
        <v>27809</v>
      </c>
      <c r="B16101" s="110" t="s">
        <v>1373</v>
      </c>
      <c r="C16101" s="111" t="s">
        <v>104</v>
      </c>
      <c r="D16101" s="111" t="str">
        <f t="shared" ref="D16101:E16101" si="16099">TRIM(B16101)</f>
        <v>Texas</v>
      </c>
      <c r="E16101" s="111" t="str">
        <f t="shared" si="16099"/>
        <v>Waxahachie</v>
      </c>
    </row>
    <row r="16102" spans="1:5">
      <c r="A16102" s="110" t="s">
        <v>27810</v>
      </c>
      <c r="B16102" s="110" t="s">
        <v>1373</v>
      </c>
      <c r="C16102" s="111" t="s">
        <v>24176</v>
      </c>
      <c r="D16102" s="111" t="str">
        <f t="shared" ref="D16102:E16102" si="16100">TRIM(B16102)</f>
        <v>Texas</v>
      </c>
      <c r="E16102" s="111" t="str">
        <f t="shared" si="16100"/>
        <v>Weatherford</v>
      </c>
    </row>
    <row r="16103" spans="1:5">
      <c r="A16103" s="110" t="s">
        <v>27811</v>
      </c>
      <c r="B16103" s="110" t="s">
        <v>1373</v>
      </c>
      <c r="C16103" s="111" t="s">
        <v>12392</v>
      </c>
      <c r="D16103" s="111" t="str">
        <f t="shared" ref="D16103:E16103" si="16101">TRIM(B16103)</f>
        <v>Texas</v>
      </c>
      <c r="E16103" s="111" t="str">
        <f t="shared" si="16101"/>
        <v>Webster</v>
      </c>
    </row>
    <row r="16104" spans="1:5">
      <c r="A16104" s="110" t="s">
        <v>27812</v>
      </c>
      <c r="B16104" s="110" t="s">
        <v>1373</v>
      </c>
      <c r="C16104" s="111" t="s">
        <v>27813</v>
      </c>
      <c r="D16104" s="111" t="str">
        <f t="shared" ref="D16104:E16104" si="16102">TRIM(B16104)</f>
        <v>Texas</v>
      </c>
      <c r="E16104" s="111" t="str">
        <f t="shared" si="16102"/>
        <v>Weimar</v>
      </c>
    </row>
    <row r="16105" spans="1:5">
      <c r="A16105" s="110" t="s">
        <v>27814</v>
      </c>
      <c r="B16105" s="110" t="s">
        <v>1373</v>
      </c>
      <c r="C16105" s="111" t="s">
        <v>8522</v>
      </c>
      <c r="D16105" s="111" t="str">
        <f t="shared" ref="D16105:E16105" si="16103">TRIM(B16105)</f>
        <v>Texas</v>
      </c>
      <c r="E16105" s="111" t="str">
        <f t="shared" si="16103"/>
        <v>Wellington</v>
      </c>
    </row>
    <row r="16106" spans="1:5">
      <c r="A16106" s="110" t="s">
        <v>27815</v>
      </c>
      <c r="B16106" s="110" t="s">
        <v>1373</v>
      </c>
      <c r="C16106" s="111" t="s">
        <v>16313</v>
      </c>
      <c r="D16106" s="111" t="str">
        <f t="shared" ref="D16106:E16106" si="16104">TRIM(B16106)</f>
        <v>Texas</v>
      </c>
      <c r="E16106" s="111" t="str">
        <f t="shared" si="16104"/>
        <v>Wells</v>
      </c>
    </row>
    <row r="16107" spans="1:5">
      <c r="A16107" s="110" t="s">
        <v>27816</v>
      </c>
      <c r="B16107" s="110" t="s">
        <v>1373</v>
      </c>
      <c r="C16107" s="111" t="s">
        <v>27817</v>
      </c>
      <c r="D16107" s="111" t="str">
        <f t="shared" ref="D16107:E16107" si="16105">TRIM(B16107)</f>
        <v>Texas</v>
      </c>
      <c r="E16107" s="111" t="str">
        <f t="shared" si="16105"/>
        <v>Weslaco</v>
      </c>
    </row>
    <row r="16108" spans="1:5">
      <c r="A16108" s="110" t="s">
        <v>27818</v>
      </c>
      <c r="B16108" s="110" t="s">
        <v>1373</v>
      </c>
      <c r="C16108" s="111" t="s">
        <v>27817</v>
      </c>
      <c r="D16108" s="111" t="str">
        <f t="shared" ref="D16108:E16108" si="16106">TRIM(B16108)</f>
        <v>Texas</v>
      </c>
      <c r="E16108" s="111" t="str">
        <f t="shared" si="16106"/>
        <v>Weslaco</v>
      </c>
    </row>
    <row r="16109" spans="1:5">
      <c r="A16109" s="110" t="s">
        <v>27819</v>
      </c>
      <c r="B16109" s="110" t="s">
        <v>1373</v>
      </c>
      <c r="C16109" s="111" t="s">
        <v>27817</v>
      </c>
      <c r="D16109" s="111" t="str">
        <f t="shared" ref="D16109:E16109" si="16107">TRIM(B16109)</f>
        <v>Texas</v>
      </c>
      <c r="E16109" s="111" t="str">
        <f t="shared" si="16107"/>
        <v>Weslaco</v>
      </c>
    </row>
    <row r="16110" spans="1:5">
      <c r="A16110" s="110" t="s">
        <v>27820</v>
      </c>
      <c r="B16110" s="110" t="s">
        <v>1373</v>
      </c>
      <c r="C16110" s="111" t="s">
        <v>27817</v>
      </c>
      <c r="D16110" s="111" t="str">
        <f t="shared" ref="D16110:E16110" si="16108">TRIM(B16110)</f>
        <v>Texas</v>
      </c>
      <c r="E16110" s="111" t="str">
        <f t="shared" si="16108"/>
        <v>Weslaco</v>
      </c>
    </row>
    <row r="16111" spans="1:5">
      <c r="A16111" s="110" t="s">
        <v>27821</v>
      </c>
      <c r="B16111" s="110" t="s">
        <v>1373</v>
      </c>
      <c r="C16111" s="111" t="s">
        <v>27822</v>
      </c>
      <c r="D16111" s="111" t="str">
        <f t="shared" ref="D16111:E16111" si="16109">TRIM(B16111)</f>
        <v>Texas</v>
      </c>
      <c r="E16111" s="111" t="str">
        <f t="shared" si="16109"/>
        <v>West</v>
      </c>
    </row>
    <row r="16112" spans="1:5">
      <c r="A16112" s="110" t="s">
        <v>27823</v>
      </c>
      <c r="B16112" s="110" t="s">
        <v>1373</v>
      </c>
      <c r="C16112" s="111" t="s">
        <v>25576</v>
      </c>
      <c r="D16112" s="111" t="str">
        <f t="shared" ref="D16112:E16112" si="16110">TRIM(B16112)</f>
        <v>Texas</v>
      </c>
      <c r="E16112" s="111" t="str">
        <f t="shared" si="16110"/>
        <v>West Columbia</v>
      </c>
    </row>
    <row r="16113" spans="1:5">
      <c r="A16113" s="110" t="s">
        <v>27824</v>
      </c>
      <c r="B16113" s="110" t="s">
        <v>1373</v>
      </c>
      <c r="C16113" s="111" t="s">
        <v>27825</v>
      </c>
      <c r="D16113" s="111" t="str">
        <f t="shared" ref="D16113:E16113" si="16111">TRIM(B16113)</f>
        <v>Texas</v>
      </c>
      <c r="E16113" s="111" t="str">
        <f t="shared" si="16111"/>
        <v>Wharton</v>
      </c>
    </row>
    <row r="16114" spans="1:5">
      <c r="A16114" s="110" t="s">
        <v>27826</v>
      </c>
      <c r="B16114" s="110" t="s">
        <v>1373</v>
      </c>
      <c r="C16114" s="111" t="s">
        <v>27827</v>
      </c>
      <c r="D16114" s="111" t="str">
        <f t="shared" ref="D16114:E16114" si="16112">TRIM(B16114)</f>
        <v>Texas</v>
      </c>
      <c r="E16114" s="111" t="str">
        <f t="shared" si="16112"/>
        <v>White Deer</v>
      </c>
    </row>
    <row r="16115" spans="1:5">
      <c r="A16115" s="110" t="s">
        <v>27828</v>
      </c>
      <c r="B16115" s="110" t="s">
        <v>1373</v>
      </c>
      <c r="C16115" s="111" t="s">
        <v>27829</v>
      </c>
      <c r="D16115" s="111" t="str">
        <f t="shared" ref="D16115:E16115" si="16113">TRIM(B16115)</f>
        <v>Texas</v>
      </c>
      <c r="E16115" s="111" t="str">
        <f t="shared" si="16113"/>
        <v>White Oak</v>
      </c>
    </row>
    <row r="16116" spans="1:5">
      <c r="A16116" s="110" t="s">
        <v>27830</v>
      </c>
      <c r="B16116" s="110" t="s">
        <v>1373</v>
      </c>
      <c r="C16116" s="111" t="s">
        <v>23575</v>
      </c>
      <c r="D16116" s="111" t="str">
        <f t="shared" ref="D16116:E16116" si="16114">TRIM(B16116)</f>
        <v>Texas</v>
      </c>
      <c r="E16116" s="111" t="str">
        <f t="shared" si="16114"/>
        <v>Whitehouse</v>
      </c>
    </row>
    <row r="16117" spans="1:5">
      <c r="A16117" s="110" t="s">
        <v>27831</v>
      </c>
      <c r="B16117" s="110" t="s">
        <v>1373</v>
      </c>
      <c r="C16117" s="111" t="s">
        <v>24188</v>
      </c>
      <c r="D16117" s="111" t="str">
        <f t="shared" ref="D16117:E16117" si="16115">TRIM(B16117)</f>
        <v>Texas</v>
      </c>
      <c r="E16117" s="111" t="str">
        <f t="shared" si="16115"/>
        <v>Whitesboro</v>
      </c>
    </row>
    <row r="16118" spans="1:5">
      <c r="A16118" s="110" t="s">
        <v>27832</v>
      </c>
      <c r="B16118" s="110" t="s">
        <v>1373</v>
      </c>
      <c r="C16118" s="111" t="s">
        <v>27833</v>
      </c>
      <c r="D16118" s="111" t="str">
        <f t="shared" ref="D16118:E16118" si="16116">TRIM(B16118)</f>
        <v>Texas</v>
      </c>
      <c r="E16118" s="111" t="str">
        <f t="shared" si="16116"/>
        <v>Whitewright</v>
      </c>
    </row>
    <row r="16119" spans="1:5">
      <c r="A16119" s="110" t="s">
        <v>27834</v>
      </c>
      <c r="B16119" s="110" t="s">
        <v>1373</v>
      </c>
      <c r="C16119" s="111" t="s">
        <v>27835</v>
      </c>
      <c r="D16119" s="111" t="str">
        <f t="shared" ref="D16119:E16119" si="16117">TRIM(B16119)</f>
        <v>Texas</v>
      </c>
      <c r="E16119" s="111" t="str">
        <f t="shared" si="16117"/>
        <v>Whitney</v>
      </c>
    </row>
    <row r="16120" spans="1:5">
      <c r="A16120" s="3" t="s">
        <v>27836</v>
      </c>
      <c r="B16120" s="110" t="s">
        <v>1373</v>
      </c>
      <c r="C16120" s="111" t="s">
        <v>27837</v>
      </c>
      <c r="D16120" s="111" t="str">
        <f t="shared" ref="D16120:E16120" si="16118">TRIM(B16120)</f>
        <v>Texas</v>
      </c>
      <c r="E16120" s="111" t="str">
        <f t="shared" si="16118"/>
        <v>Wichita Falls</v>
      </c>
    </row>
    <row r="16121" spans="1:5">
      <c r="A16121" s="110" t="s">
        <v>27838</v>
      </c>
      <c r="B16121" s="110" t="s">
        <v>1373</v>
      </c>
      <c r="C16121" s="111" t="s">
        <v>27837</v>
      </c>
      <c r="D16121" s="111" t="str">
        <f t="shared" ref="D16121:E16121" si="16119">TRIM(B16121)</f>
        <v>Texas</v>
      </c>
      <c r="E16121" s="111" t="str">
        <f t="shared" si="16119"/>
        <v>Wichita Falls</v>
      </c>
    </row>
    <row r="16122" spans="1:5">
      <c r="A16122" s="110" t="s">
        <v>27839</v>
      </c>
      <c r="B16122" s="110" t="s">
        <v>1373</v>
      </c>
      <c r="C16122" s="111" t="s">
        <v>27837</v>
      </c>
      <c r="D16122" s="111" t="str">
        <f t="shared" ref="D16122:E16122" si="16120">TRIM(B16122)</f>
        <v>Texas</v>
      </c>
      <c r="E16122" s="111" t="str">
        <f t="shared" si="16120"/>
        <v>Wichita Falls</v>
      </c>
    </row>
    <row r="16123" spans="1:5">
      <c r="A16123" s="110" t="s">
        <v>27840</v>
      </c>
      <c r="B16123" s="110" t="s">
        <v>1373</v>
      </c>
      <c r="C16123" s="111" t="s">
        <v>27837</v>
      </c>
      <c r="D16123" s="111" t="str">
        <f t="shared" ref="D16123:E16123" si="16121">TRIM(B16123)</f>
        <v>Texas</v>
      </c>
      <c r="E16123" s="111" t="str">
        <f t="shared" si="16121"/>
        <v>Wichita Falls</v>
      </c>
    </row>
    <row r="16124" spans="1:5">
      <c r="A16124" s="110" t="s">
        <v>27841</v>
      </c>
      <c r="B16124" s="110" t="s">
        <v>1373</v>
      </c>
      <c r="C16124" s="111" t="s">
        <v>27842</v>
      </c>
      <c r="D16124" s="111" t="str">
        <f t="shared" ref="D16124:E16124" si="16122">TRIM(B16124)</f>
        <v>Texas</v>
      </c>
      <c r="E16124" s="111" t="str">
        <f t="shared" si="16122"/>
        <v>Willis</v>
      </c>
    </row>
    <row r="16125" spans="1:5">
      <c r="A16125" s="110" t="s">
        <v>27843</v>
      </c>
      <c r="B16125" s="110" t="s">
        <v>1373</v>
      </c>
      <c r="C16125" s="111" t="s">
        <v>27844</v>
      </c>
      <c r="D16125" s="111" t="str">
        <f t="shared" ref="D16125:E16125" si="16123">TRIM(B16125)</f>
        <v>Texas</v>
      </c>
      <c r="E16125" s="111" t="str">
        <f t="shared" si="16123"/>
        <v>Wills Point</v>
      </c>
    </row>
    <row r="16126" spans="1:5">
      <c r="A16126" s="110" t="s">
        <v>27845</v>
      </c>
      <c r="B16126" s="110" t="s">
        <v>1373</v>
      </c>
      <c r="C16126" s="111" t="s">
        <v>27846</v>
      </c>
      <c r="D16126" s="111" t="str">
        <f t="shared" ref="D16126:E16126" si="16124">TRIM(B16126)</f>
        <v>Texas</v>
      </c>
      <c r="E16126" s="111" t="str">
        <f t="shared" si="16124"/>
        <v>Wimberley</v>
      </c>
    </row>
    <row r="16127" spans="1:5">
      <c r="A16127" s="110" t="s">
        <v>27847</v>
      </c>
      <c r="B16127" s="110" t="s">
        <v>1373</v>
      </c>
      <c r="C16127" s="111" t="s">
        <v>27848</v>
      </c>
      <c r="D16127" s="111" t="str">
        <f t="shared" ref="D16127:E16127" si="16125">TRIM(B16127)</f>
        <v>Texas</v>
      </c>
      <c r="E16127" s="111" t="str">
        <f t="shared" si="16125"/>
        <v>Windthorst</v>
      </c>
    </row>
    <row r="16128" spans="1:5">
      <c r="A16128" s="110" t="s">
        <v>27849</v>
      </c>
      <c r="B16128" s="110" t="s">
        <v>1373</v>
      </c>
      <c r="C16128" s="111" t="s">
        <v>27850</v>
      </c>
      <c r="D16128" s="111" t="str">
        <f t="shared" ref="D16128:E16128" si="16126">TRIM(B16128)</f>
        <v>Texas</v>
      </c>
      <c r="E16128" s="111" t="str">
        <f t="shared" si="16126"/>
        <v>Wink</v>
      </c>
    </row>
    <row r="16129" spans="1:5">
      <c r="A16129" s="110" t="s">
        <v>27851</v>
      </c>
      <c r="B16129" s="110" t="s">
        <v>1373</v>
      </c>
      <c r="C16129" s="111" t="s">
        <v>27852</v>
      </c>
      <c r="D16129" s="111" t="str">
        <f t="shared" ref="D16129:E16129" si="16127">TRIM(B16129)</f>
        <v>Texas</v>
      </c>
      <c r="E16129" s="111" t="str">
        <f t="shared" si="16127"/>
        <v>Winnie</v>
      </c>
    </row>
    <row r="16130" spans="1:5">
      <c r="A16130" s="110" t="s">
        <v>27853</v>
      </c>
      <c r="B16130" s="110" t="s">
        <v>1373</v>
      </c>
      <c r="C16130" s="111" t="s">
        <v>10896</v>
      </c>
      <c r="D16130" s="111" t="str">
        <f t="shared" ref="D16130:E16130" si="16128">TRIM(B16130)</f>
        <v>Texas</v>
      </c>
      <c r="E16130" s="111" t="str">
        <f t="shared" si="16128"/>
        <v>Winnsboro</v>
      </c>
    </row>
    <row r="16131" spans="1:5">
      <c r="A16131" s="110" t="s">
        <v>27854</v>
      </c>
      <c r="B16131" s="110" t="s">
        <v>1373</v>
      </c>
      <c r="C16131" s="111" t="s">
        <v>11533</v>
      </c>
      <c r="D16131" s="111" t="str">
        <f t="shared" ref="D16131:E16131" si="16129">TRIM(B16131)</f>
        <v>Texas</v>
      </c>
      <c r="E16131" s="111" t="str">
        <f t="shared" si="16129"/>
        <v>Winona</v>
      </c>
    </row>
    <row r="16132" spans="1:5">
      <c r="A16132" s="110" t="s">
        <v>27855</v>
      </c>
      <c r="B16132" s="110" t="s">
        <v>1373</v>
      </c>
      <c r="C16132" s="111" t="s">
        <v>7531</v>
      </c>
      <c r="D16132" s="111" t="str">
        <f t="shared" ref="D16132:E16132" si="16130">TRIM(B16132)</f>
        <v>Texas</v>
      </c>
      <c r="E16132" s="111" t="str">
        <f t="shared" si="16130"/>
        <v>Winters</v>
      </c>
    </row>
    <row r="16133" spans="1:5">
      <c r="A16133" s="110" t="s">
        <v>27856</v>
      </c>
      <c r="B16133" s="110" t="s">
        <v>1373</v>
      </c>
      <c r="C16133" s="111" t="s">
        <v>27857</v>
      </c>
      <c r="D16133" s="111" t="str">
        <f t="shared" ref="D16133:E16133" si="16131">TRIM(B16133)</f>
        <v>Texas</v>
      </c>
      <c r="E16133" s="111" t="str">
        <f t="shared" si="16131"/>
        <v>Woden</v>
      </c>
    </row>
    <row r="16134" spans="1:5">
      <c r="A16134" s="110" t="s">
        <v>27858</v>
      </c>
      <c r="B16134" s="110" t="s">
        <v>1373</v>
      </c>
      <c r="C16134" s="111" t="s">
        <v>27859</v>
      </c>
      <c r="D16134" s="111" t="str">
        <f t="shared" ref="D16134:E16134" si="16132">TRIM(B16134)</f>
        <v>Texas</v>
      </c>
      <c r="E16134" s="111" t="str">
        <f t="shared" si="16132"/>
        <v>Wolfe City</v>
      </c>
    </row>
    <row r="16135" spans="1:5">
      <c r="A16135" s="110" t="s">
        <v>27860</v>
      </c>
      <c r="B16135" s="110" t="s">
        <v>1373</v>
      </c>
      <c r="C16135" s="111" t="s">
        <v>27861</v>
      </c>
      <c r="D16135" s="111" t="str">
        <f t="shared" ref="D16135:E16135" si="16133">TRIM(B16135)</f>
        <v>Texas</v>
      </c>
      <c r="E16135" s="111" t="str">
        <f t="shared" si="16133"/>
        <v>Wolfforth</v>
      </c>
    </row>
    <row r="16136" spans="1:5">
      <c r="A16136" s="110" t="s">
        <v>27862</v>
      </c>
      <c r="B16136" s="110" t="s">
        <v>1373</v>
      </c>
      <c r="C16136" s="111" t="s">
        <v>27863</v>
      </c>
      <c r="D16136" s="111" t="str">
        <f t="shared" ref="D16136:E16136" si="16134">TRIM(B16136)</f>
        <v>Texas</v>
      </c>
      <c r="E16136" s="111" t="str">
        <f t="shared" si="16134"/>
        <v>Woodsboro</v>
      </c>
    </row>
    <row r="16137" spans="1:5">
      <c r="A16137" s="110" t="s">
        <v>27864</v>
      </c>
      <c r="B16137" s="110" t="s">
        <v>1373</v>
      </c>
      <c r="C16137" s="111" t="s">
        <v>18593</v>
      </c>
      <c r="D16137" s="111" t="str">
        <f t="shared" ref="D16137:E16137" si="16135">TRIM(B16137)</f>
        <v>Texas</v>
      </c>
      <c r="E16137" s="111" t="str">
        <f t="shared" si="16135"/>
        <v>Woodville</v>
      </c>
    </row>
    <row r="16138" spans="1:5">
      <c r="A16138" s="110" t="s">
        <v>27865</v>
      </c>
      <c r="B16138" s="110" t="s">
        <v>1373</v>
      </c>
      <c r="C16138" s="111" t="s">
        <v>27866</v>
      </c>
      <c r="D16138" s="111" t="str">
        <f t="shared" ref="D16138:E16138" si="16136">TRIM(B16138)</f>
        <v>Texas</v>
      </c>
      <c r="E16138" s="111" t="str">
        <f t="shared" si="16136"/>
        <v>Wortham</v>
      </c>
    </row>
    <row r="16139" spans="1:5">
      <c r="A16139" s="110" t="s">
        <v>27867</v>
      </c>
      <c r="B16139" s="110" t="s">
        <v>1373</v>
      </c>
      <c r="C16139" s="111" t="s">
        <v>1043</v>
      </c>
      <c r="D16139" s="111" t="str">
        <f t="shared" ref="D16139:E16139" si="16137">TRIM(B16139)</f>
        <v>Texas</v>
      </c>
      <c r="E16139" s="111" t="str">
        <f t="shared" si="16137"/>
        <v>Wylie</v>
      </c>
    </row>
    <row r="16140" spans="1:5">
      <c r="A16140" s="110" t="s">
        <v>26140</v>
      </c>
      <c r="B16140" s="110" t="s">
        <v>1373</v>
      </c>
      <c r="C16140" s="111" t="s">
        <v>1043</v>
      </c>
      <c r="D16140" s="111" t="str">
        <f t="shared" ref="D16140:E16140" si="16138">TRIM(B16140)</f>
        <v>Texas</v>
      </c>
      <c r="E16140" s="111" t="str">
        <f t="shared" si="16138"/>
        <v>Wylie</v>
      </c>
    </row>
    <row r="16141" spans="1:5">
      <c r="A16141" s="110" t="s">
        <v>27868</v>
      </c>
      <c r="B16141" s="110" t="s">
        <v>1373</v>
      </c>
      <c r="C16141" s="111" t="s">
        <v>27869</v>
      </c>
      <c r="D16141" s="111" t="str">
        <f t="shared" ref="D16141:E16141" si="16139">TRIM(B16141)</f>
        <v>Texas</v>
      </c>
      <c r="E16141" s="111" t="str">
        <f t="shared" si="16139"/>
        <v>Yantis</v>
      </c>
    </row>
    <row r="16142" spans="1:5">
      <c r="A16142" s="110" t="s">
        <v>27870</v>
      </c>
      <c r="B16142" s="110" t="s">
        <v>1373</v>
      </c>
      <c r="C16142" s="111" t="s">
        <v>27871</v>
      </c>
      <c r="D16142" s="111" t="str">
        <f t="shared" ref="D16142:E16142" si="16140">TRIM(B16142)</f>
        <v>Texas</v>
      </c>
      <c r="E16142" s="111" t="str">
        <f t="shared" si="16140"/>
        <v>Yoakum</v>
      </c>
    </row>
    <row r="16143" spans="1:5">
      <c r="A16143" s="110" t="s">
        <v>27872</v>
      </c>
      <c r="B16143" s="110" t="s">
        <v>1373</v>
      </c>
      <c r="C16143" s="111" t="s">
        <v>14677</v>
      </c>
      <c r="D16143" s="111" t="str">
        <f t="shared" ref="D16143:E16143" si="16141">TRIM(B16143)</f>
        <v>Texas</v>
      </c>
      <c r="E16143" s="111" t="str">
        <f t="shared" si="16141"/>
        <v>Yorktown</v>
      </c>
    </row>
    <row r="16144" spans="1:5">
      <c r="A16144" s="110" t="s">
        <v>27873</v>
      </c>
      <c r="B16144" s="110" t="s">
        <v>1373</v>
      </c>
      <c r="C16144" s="111" t="s">
        <v>27874</v>
      </c>
      <c r="D16144" s="111" t="str">
        <f t="shared" ref="D16144:E16144" si="16142">TRIM(B16144)</f>
        <v>Texas</v>
      </c>
      <c r="E16144" s="111" t="str">
        <f t="shared" si="16142"/>
        <v>Zapata</v>
      </c>
    </row>
    <row r="16145" spans="1:5">
      <c r="A16145" s="110" t="s">
        <v>27875</v>
      </c>
      <c r="B16145" s="110" t="s">
        <v>1373</v>
      </c>
      <c r="C16145" s="111" t="s">
        <v>27876</v>
      </c>
      <c r="D16145" s="111" t="str">
        <f t="shared" ref="D16145:E16145" si="16143">TRIM(B16145)</f>
        <v>Texas</v>
      </c>
      <c r="E16145" s="111" t="str">
        <f t="shared" si="16143"/>
        <v>Zavalla</v>
      </c>
    </row>
    <row r="16146" spans="1:5">
      <c r="A16146" s="3" t="s">
        <v>11958</v>
      </c>
      <c r="B16146" s="110" t="s">
        <v>1374</v>
      </c>
      <c r="C16146" s="111" t="s">
        <v>11959</v>
      </c>
      <c r="D16146" s="111" t="str">
        <f t="shared" ref="D16146:E16146" si="16144">TRIM(B16146)</f>
        <v>Utah</v>
      </c>
      <c r="E16146" s="111" t="str">
        <f t="shared" si="16144"/>
        <v>Altamont</v>
      </c>
    </row>
    <row r="16147" spans="1:5">
      <c r="A16147" s="3" t="s">
        <v>27877</v>
      </c>
      <c r="B16147" s="110" t="s">
        <v>1374</v>
      </c>
      <c r="C16147" s="111" t="s">
        <v>13873</v>
      </c>
      <c r="D16147" s="111" t="str">
        <f t="shared" ref="D16147:E16147" si="16145">TRIM(B16147)</f>
        <v>Utah</v>
      </c>
      <c r="E16147" s="111" t="str">
        <f t="shared" si="16145"/>
        <v>American Fork</v>
      </c>
    </row>
    <row r="16148" spans="1:5">
      <c r="A16148" s="3" t="s">
        <v>23657</v>
      </c>
      <c r="B16148" s="110" t="s">
        <v>1374</v>
      </c>
      <c r="C16148" s="111" t="s">
        <v>22816</v>
      </c>
      <c r="D16148" s="111" t="str">
        <f t="shared" ref="D16148:E16148" si="16146">TRIM(B16148)</f>
        <v>Utah</v>
      </c>
      <c r="E16148" s="111" t="str">
        <f t="shared" si="16146"/>
        <v>Beaver</v>
      </c>
    </row>
    <row r="16149" spans="1:5">
      <c r="A16149" s="3" t="s">
        <v>14335</v>
      </c>
      <c r="B16149" s="110" t="s">
        <v>1374</v>
      </c>
      <c r="C16149" s="111" t="s">
        <v>14129</v>
      </c>
      <c r="D16149" s="111" t="str">
        <f t="shared" ref="D16149:E16149" si="16147">TRIM(B16149)</f>
        <v>Utah</v>
      </c>
      <c r="E16149" s="111" t="str">
        <f t="shared" si="16147"/>
        <v>Bicknell</v>
      </c>
    </row>
    <row r="16150" spans="1:5">
      <c r="A16150" s="3" t="s">
        <v>27878</v>
      </c>
      <c r="B16150" s="110" t="s">
        <v>1374</v>
      </c>
      <c r="C16150" s="111" t="s">
        <v>27879</v>
      </c>
      <c r="D16150" s="111" t="str">
        <f t="shared" ref="D16150:E16150" si="16148">TRIM(B16150)</f>
        <v>Utah</v>
      </c>
      <c r="E16150" s="111" t="str">
        <f t="shared" si="16148"/>
        <v>Big Water</v>
      </c>
    </row>
    <row r="16151" spans="1:5">
      <c r="A16151" s="3" t="s">
        <v>4685</v>
      </c>
      <c r="B16151" s="110" t="s">
        <v>1374</v>
      </c>
      <c r="C16151" s="111" t="s">
        <v>27880</v>
      </c>
      <c r="D16151" s="111" t="str">
        <f t="shared" ref="D16151:E16151" si="16149">TRIM(B16151)</f>
        <v>Utah</v>
      </c>
      <c r="E16151" s="111" t="str">
        <f t="shared" si="16149"/>
        <v>Blanding</v>
      </c>
    </row>
    <row r="16152" spans="1:5">
      <c r="A16152" s="3" t="s">
        <v>27881</v>
      </c>
      <c r="B16152" s="110" t="s">
        <v>1374</v>
      </c>
      <c r="C16152" s="111" t="s">
        <v>27882</v>
      </c>
      <c r="D16152" s="111" t="str">
        <f t="shared" ref="D16152:E16152" si="16150">TRIM(B16152)</f>
        <v>Utah</v>
      </c>
      <c r="E16152" s="111" t="str">
        <f t="shared" si="16150"/>
        <v>Bluffdale</v>
      </c>
    </row>
    <row r="16153" spans="1:5">
      <c r="A16153" s="3" t="s">
        <v>27883</v>
      </c>
      <c r="B16153" s="110" t="s">
        <v>1374</v>
      </c>
      <c r="C16153" s="111" t="s">
        <v>8574</v>
      </c>
      <c r="D16153" s="111" t="str">
        <f t="shared" ref="D16153:E16153" si="16151">TRIM(B16153)</f>
        <v>Utah</v>
      </c>
      <c r="E16153" s="111" t="str">
        <f t="shared" si="16151"/>
        <v>Bountiful</v>
      </c>
    </row>
    <row r="16154" spans="1:5">
      <c r="A16154" s="3" t="s">
        <v>27884</v>
      </c>
      <c r="B16154" s="110" t="s">
        <v>1374</v>
      </c>
      <c r="C16154" s="111" t="s">
        <v>8574</v>
      </c>
      <c r="D16154" s="111" t="str">
        <f t="shared" ref="D16154:E16154" si="16152">TRIM(B16154)</f>
        <v>Utah</v>
      </c>
      <c r="E16154" s="111" t="str">
        <f t="shared" si="16152"/>
        <v>Bountiful</v>
      </c>
    </row>
    <row r="16155" spans="1:5">
      <c r="A16155" s="3" t="s">
        <v>19265</v>
      </c>
      <c r="B16155" s="110" t="s">
        <v>1374</v>
      </c>
      <c r="C16155" s="111" t="s">
        <v>27885</v>
      </c>
      <c r="D16155" s="111" t="str">
        <f t="shared" ref="D16155:E16155" si="16153">TRIM(B16155)</f>
        <v>Utah</v>
      </c>
      <c r="E16155" s="111" t="str">
        <f t="shared" si="16153"/>
        <v>Brigham City</v>
      </c>
    </row>
    <row r="16156" spans="1:5">
      <c r="A16156" s="3" t="s">
        <v>27886</v>
      </c>
      <c r="B16156" s="110" t="s">
        <v>1374</v>
      </c>
      <c r="C16156" s="111" t="s">
        <v>27887</v>
      </c>
      <c r="D16156" s="111" t="str">
        <f t="shared" ref="D16156:E16156" si="16154">TRIM(B16156)</f>
        <v>Utah</v>
      </c>
      <c r="E16156" s="111" t="str">
        <f t="shared" si="16154"/>
        <v>Castle Dale</v>
      </c>
    </row>
    <row r="16157" spans="1:5">
      <c r="A16157" s="3" t="s">
        <v>3503</v>
      </c>
      <c r="B16157" s="110" t="s">
        <v>1374</v>
      </c>
      <c r="C16157" s="111" t="s">
        <v>13885</v>
      </c>
      <c r="D16157" s="111" t="str">
        <f t="shared" ref="D16157:E16157" si="16155">TRIM(B16157)</f>
        <v>Utah</v>
      </c>
      <c r="E16157" s="111" t="str">
        <f t="shared" si="16155"/>
        <v>Cedar City</v>
      </c>
    </row>
    <row r="16158" spans="1:5">
      <c r="A16158" s="3" t="s">
        <v>27888</v>
      </c>
      <c r="B16158" s="110" t="s">
        <v>1374</v>
      </c>
      <c r="C16158" s="111" t="s">
        <v>13885</v>
      </c>
      <c r="D16158" s="111" t="str">
        <f t="shared" ref="D16158:E16158" si="16156">TRIM(B16158)</f>
        <v>Utah</v>
      </c>
      <c r="E16158" s="111" t="str">
        <f t="shared" si="16156"/>
        <v>Cedar City</v>
      </c>
    </row>
    <row r="16159" spans="1:5">
      <c r="A16159" s="110" t="s">
        <v>27889</v>
      </c>
      <c r="B16159" s="110" t="s">
        <v>1374</v>
      </c>
      <c r="C16159" s="111" t="s">
        <v>13885</v>
      </c>
      <c r="D16159" s="111" t="str">
        <f t="shared" ref="D16159:E16159" si="16157">TRIM(B16159)</f>
        <v>Utah</v>
      </c>
      <c r="E16159" s="111" t="str">
        <f t="shared" si="16157"/>
        <v>Cedar City</v>
      </c>
    </row>
    <row r="16160" spans="1:5">
      <c r="A16160" s="3" t="s">
        <v>27890</v>
      </c>
      <c r="B16160" s="110" t="s">
        <v>1374</v>
      </c>
      <c r="C16160" s="111" t="s">
        <v>24575</v>
      </c>
      <c r="D16160" s="111" t="str">
        <f t="shared" ref="D16160:E16160" si="16158">TRIM(B16160)</f>
        <v>Utah</v>
      </c>
      <c r="E16160" s="111" t="str">
        <f t="shared" si="16158"/>
        <v>Clearfield</v>
      </c>
    </row>
    <row r="16161" spans="1:5">
      <c r="A16161" s="3" t="s">
        <v>27891</v>
      </c>
      <c r="B16161" s="110" t="s">
        <v>1374</v>
      </c>
      <c r="C16161" s="111" t="s">
        <v>24575</v>
      </c>
      <c r="D16161" s="111" t="str">
        <f t="shared" ref="D16161:E16161" si="16159">TRIM(B16161)</f>
        <v>Utah</v>
      </c>
      <c r="E16161" s="111" t="str">
        <f t="shared" si="16159"/>
        <v>Clearfield</v>
      </c>
    </row>
    <row r="16162" spans="1:5">
      <c r="A16162" s="3" t="s">
        <v>27892</v>
      </c>
      <c r="B16162" s="110" t="s">
        <v>1374</v>
      </c>
      <c r="C16162" s="111" t="s">
        <v>27893</v>
      </c>
      <c r="D16162" s="111" t="str">
        <f t="shared" ref="D16162:E16162" si="16160">TRIM(B16162)</f>
        <v>Utah</v>
      </c>
      <c r="E16162" s="111" t="str">
        <f t="shared" si="16160"/>
        <v>Coalville</v>
      </c>
    </row>
    <row r="16163" spans="1:5">
      <c r="A16163" s="3" t="s">
        <v>4696</v>
      </c>
      <c r="B16163" s="110" t="s">
        <v>1374</v>
      </c>
      <c r="C16163" s="111" t="s">
        <v>7778</v>
      </c>
      <c r="D16163" s="111" t="str">
        <f t="shared" ref="D16163:E16163" si="16161">TRIM(B16163)</f>
        <v>Utah</v>
      </c>
      <c r="E16163" s="111" t="str">
        <f t="shared" si="16161"/>
        <v>Delta</v>
      </c>
    </row>
    <row r="16164" spans="1:5">
      <c r="A16164" s="3" t="s">
        <v>27894</v>
      </c>
      <c r="B16164" s="110" t="s">
        <v>1374</v>
      </c>
      <c r="C16164" s="111" t="s">
        <v>27895</v>
      </c>
      <c r="D16164" s="111" t="str">
        <f t="shared" ref="D16164:E16164" si="16162">TRIM(B16164)</f>
        <v>Utah</v>
      </c>
      <c r="E16164" s="111" t="str">
        <f t="shared" si="16162"/>
        <v>Draper</v>
      </c>
    </row>
    <row r="16165" spans="1:5">
      <c r="A16165" s="3" t="s">
        <v>27896</v>
      </c>
      <c r="B16165" s="110" t="s">
        <v>1374</v>
      </c>
      <c r="C16165" s="112" t="s">
        <v>27895</v>
      </c>
      <c r="D16165" s="111" t="str">
        <f t="shared" ref="D16165:E16165" si="16163">TRIM(B16165)</f>
        <v>Utah</v>
      </c>
      <c r="E16165" s="111" t="str">
        <f t="shared" si="16163"/>
        <v>Draper</v>
      </c>
    </row>
    <row r="16166" spans="1:5">
      <c r="A16166" s="3" t="s">
        <v>11782</v>
      </c>
      <c r="B16166" s="110" t="s">
        <v>1374</v>
      </c>
      <c r="C16166" s="111" t="s">
        <v>27897</v>
      </c>
      <c r="D16166" s="111" t="str">
        <f t="shared" ref="D16166:E16166" si="16164">TRIM(B16166)</f>
        <v>Utah</v>
      </c>
      <c r="E16166" s="111" t="str">
        <f t="shared" si="16164"/>
        <v>Duchesne</v>
      </c>
    </row>
    <row r="16167" spans="1:5">
      <c r="A16167" s="3" t="s">
        <v>27898</v>
      </c>
      <c r="B16167" s="110" t="s">
        <v>1374</v>
      </c>
      <c r="C16167" s="111" t="s">
        <v>27899</v>
      </c>
      <c r="D16167" s="111" t="str">
        <f t="shared" ref="D16167:E16167" si="16165">TRIM(B16167)</f>
        <v>Utah</v>
      </c>
      <c r="E16167" s="111" t="str">
        <f t="shared" si="16165"/>
        <v>Eagle Mountain</v>
      </c>
    </row>
    <row r="16168" spans="1:5">
      <c r="A16168" s="3" t="s">
        <v>1727</v>
      </c>
      <c r="B16168" s="110" t="s">
        <v>1374</v>
      </c>
      <c r="C16168" s="111" t="s">
        <v>1728</v>
      </c>
      <c r="D16168" s="111" t="str">
        <f t="shared" ref="D16168:E16168" si="16166">TRIM(B16168)</f>
        <v>Utah</v>
      </c>
      <c r="E16168" s="111" t="str">
        <f t="shared" si="16166"/>
        <v>Enterprise</v>
      </c>
    </row>
    <row r="16169" spans="1:5">
      <c r="A16169" s="3" t="s">
        <v>27900</v>
      </c>
      <c r="B16169" s="110" t="s">
        <v>1374</v>
      </c>
      <c r="C16169" s="111" t="s">
        <v>27901</v>
      </c>
      <c r="D16169" s="111" t="str">
        <f t="shared" ref="D16169:E16169" si="16167">TRIM(B16169)</f>
        <v>Utah</v>
      </c>
      <c r="E16169" s="111" t="str">
        <f t="shared" si="16167"/>
        <v>Escalante</v>
      </c>
    </row>
    <row r="16170" spans="1:5">
      <c r="A16170" s="3" t="s">
        <v>27902</v>
      </c>
      <c r="B16170" s="110" t="s">
        <v>1374</v>
      </c>
      <c r="C16170" s="111" t="s">
        <v>27903</v>
      </c>
      <c r="D16170" s="111" t="str">
        <f t="shared" ref="D16170:E16170" si="16168">TRIM(B16170)</f>
        <v>Utah</v>
      </c>
      <c r="E16170" s="111" t="str">
        <f t="shared" si="16168"/>
        <v>Eskdale</v>
      </c>
    </row>
    <row r="16171" spans="1:5">
      <c r="A16171" s="3" t="s">
        <v>27904</v>
      </c>
      <c r="B16171" s="110" t="s">
        <v>1374</v>
      </c>
      <c r="C16171" s="111" t="s">
        <v>4989</v>
      </c>
      <c r="D16171" s="111" t="str">
        <f t="shared" ref="D16171:E16171" si="16169">TRIM(B16171)</f>
        <v>Utah</v>
      </c>
      <c r="E16171" s="111" t="str">
        <f t="shared" si="16169"/>
        <v>Eureka</v>
      </c>
    </row>
    <row r="16172" spans="1:5">
      <c r="A16172" s="3" t="s">
        <v>27905</v>
      </c>
      <c r="B16172" s="110" t="s">
        <v>1374</v>
      </c>
      <c r="C16172" s="111" t="s">
        <v>5025</v>
      </c>
      <c r="D16172" s="111" t="str">
        <f t="shared" ref="D16172:E16172" si="16170">TRIM(B16172)</f>
        <v>Utah</v>
      </c>
      <c r="E16172" s="111" t="str">
        <f t="shared" si="16170"/>
        <v>Fillmore</v>
      </c>
    </row>
    <row r="16173" spans="1:5">
      <c r="A16173" s="3" t="s">
        <v>5177</v>
      </c>
      <c r="B16173" s="110" t="s">
        <v>1374</v>
      </c>
      <c r="C16173" s="111" t="s">
        <v>13619</v>
      </c>
      <c r="D16173" s="111" t="str">
        <f t="shared" ref="D16173:E16173" si="16171">TRIM(B16173)</f>
        <v>Utah</v>
      </c>
      <c r="E16173" s="111" t="str">
        <f t="shared" si="16171"/>
        <v>Garland</v>
      </c>
    </row>
    <row r="16174" spans="1:5">
      <c r="A16174" s="3" t="s">
        <v>27906</v>
      </c>
      <c r="B16174" s="110" t="s">
        <v>1374</v>
      </c>
      <c r="C16174" s="111" t="s">
        <v>27907</v>
      </c>
      <c r="D16174" s="111" t="str">
        <f t="shared" ref="D16174:E16174" si="16172">TRIM(B16174)</f>
        <v>Utah</v>
      </c>
      <c r="E16174" s="111" t="str">
        <f t="shared" si="16172"/>
        <v>Grantsville</v>
      </c>
    </row>
    <row r="16175" spans="1:5">
      <c r="A16175" s="3" t="s">
        <v>27908</v>
      </c>
      <c r="B16175" s="110" t="s">
        <v>1374</v>
      </c>
      <c r="C16175" s="111" t="s">
        <v>27909</v>
      </c>
      <c r="D16175" s="111" t="str">
        <f t="shared" ref="D16175:E16175" si="16173">TRIM(B16175)</f>
        <v>Utah</v>
      </c>
      <c r="E16175" s="111" t="str">
        <f t="shared" si="16173"/>
        <v>Green River</v>
      </c>
    </row>
    <row r="16176" spans="1:5">
      <c r="A16176" s="3" t="s">
        <v>27910</v>
      </c>
      <c r="B16176" s="110" t="s">
        <v>1374</v>
      </c>
      <c r="C16176" s="111" t="s">
        <v>7959</v>
      </c>
      <c r="D16176" s="111" t="str">
        <f t="shared" ref="D16176:E16176" si="16174">TRIM(B16176)</f>
        <v>Utah</v>
      </c>
      <c r="E16176" s="111" t="str">
        <f t="shared" si="16174"/>
        <v>Gunnison</v>
      </c>
    </row>
    <row r="16177" spans="1:5">
      <c r="A16177" s="3" t="s">
        <v>27911</v>
      </c>
      <c r="B16177" s="110" t="s">
        <v>1374</v>
      </c>
      <c r="C16177" s="111" t="s">
        <v>27912</v>
      </c>
      <c r="D16177" s="111" t="str">
        <f t="shared" ref="D16177:E16177" si="16175">TRIM(B16177)</f>
        <v>Utah</v>
      </c>
      <c r="E16177" s="111" t="str">
        <f t="shared" si="16175"/>
        <v>Heber City</v>
      </c>
    </row>
    <row r="16178" spans="1:5">
      <c r="A16178" s="3" t="s">
        <v>27913</v>
      </c>
      <c r="B16178" s="110" t="s">
        <v>1374</v>
      </c>
      <c r="C16178" s="111" t="s">
        <v>27914</v>
      </c>
      <c r="D16178" s="111" t="str">
        <f t="shared" ref="D16178:E16178" si="16176">TRIM(B16178)</f>
        <v>Utah</v>
      </c>
      <c r="E16178" s="111" t="str">
        <f t="shared" si="16176"/>
        <v>Herriman</v>
      </c>
    </row>
    <row r="16179" spans="1:5">
      <c r="A16179" s="3" t="s">
        <v>27915</v>
      </c>
      <c r="B16179" s="110" t="s">
        <v>1374</v>
      </c>
      <c r="C16179" s="111" t="s">
        <v>27914</v>
      </c>
      <c r="D16179" s="111" t="str">
        <f t="shared" ref="D16179:E16179" si="16177">TRIM(B16179)</f>
        <v>Utah</v>
      </c>
      <c r="E16179" s="111" t="str">
        <f t="shared" si="16177"/>
        <v>Herriman</v>
      </c>
    </row>
    <row r="16180" spans="1:5">
      <c r="A16180" s="3" t="s">
        <v>19258</v>
      </c>
      <c r="B16180" s="110" t="s">
        <v>1374</v>
      </c>
      <c r="C16180" s="111" t="s">
        <v>234</v>
      </c>
      <c r="D16180" s="111" t="str">
        <f t="shared" ref="D16180:E16180" si="16178">TRIM(B16180)</f>
        <v>Utah</v>
      </c>
      <c r="E16180" s="111" t="str">
        <f t="shared" si="16178"/>
        <v>Highland</v>
      </c>
    </row>
    <row r="16181" spans="1:5">
      <c r="A16181" s="3" t="s">
        <v>27916</v>
      </c>
      <c r="B16181" s="110" t="s">
        <v>1374</v>
      </c>
      <c r="C16181" s="111" t="s">
        <v>27917</v>
      </c>
      <c r="D16181" s="111" t="str">
        <f t="shared" ref="D16181:E16181" si="16179">TRIM(B16181)</f>
        <v>Utah</v>
      </c>
      <c r="E16181" s="111" t="str">
        <f t="shared" si="16179"/>
        <v>Hildale</v>
      </c>
    </row>
    <row r="16182" spans="1:5">
      <c r="A16182" s="3" t="s">
        <v>27918</v>
      </c>
      <c r="B16182" s="110" t="s">
        <v>1374</v>
      </c>
      <c r="C16182" s="111" t="s">
        <v>27919</v>
      </c>
      <c r="D16182" s="111" t="str">
        <f t="shared" ref="D16182:E16182" si="16180">TRIM(B16182)</f>
        <v>Utah</v>
      </c>
      <c r="E16182" s="111" t="str">
        <f t="shared" si="16180"/>
        <v>Hurricane</v>
      </c>
    </row>
    <row r="16183" spans="1:5">
      <c r="A16183" s="3" t="s">
        <v>27920</v>
      </c>
      <c r="B16183" s="110" t="s">
        <v>1374</v>
      </c>
      <c r="C16183" s="111" t="s">
        <v>27921</v>
      </c>
      <c r="D16183" s="111" t="str">
        <f t="shared" ref="D16183:E16183" si="16181">TRIM(B16183)</f>
        <v>Utah</v>
      </c>
      <c r="E16183" s="111" t="str">
        <f t="shared" si="16181"/>
        <v>Hyrum</v>
      </c>
    </row>
    <row r="16184" spans="1:5">
      <c r="A16184" s="3" t="s">
        <v>27922</v>
      </c>
      <c r="B16184" s="110" t="s">
        <v>1374</v>
      </c>
      <c r="C16184" s="111" t="s">
        <v>27923</v>
      </c>
      <c r="D16184" s="111" t="str">
        <f t="shared" ref="D16184:E16184" si="16182">TRIM(B16184)</f>
        <v>Utah</v>
      </c>
      <c r="E16184" s="111" t="str">
        <f t="shared" si="16182"/>
        <v>Ivins</v>
      </c>
    </row>
    <row r="16185" spans="1:5">
      <c r="A16185" s="3" t="s">
        <v>27924</v>
      </c>
      <c r="B16185" s="110" t="s">
        <v>1374</v>
      </c>
      <c r="C16185" s="111" t="s">
        <v>13133</v>
      </c>
      <c r="D16185" s="111" t="str">
        <f t="shared" ref="D16185:E16185" si="16183">TRIM(B16185)</f>
        <v>Utah</v>
      </c>
      <c r="E16185" s="111" t="str">
        <f t="shared" si="16183"/>
        <v>Junction</v>
      </c>
    </row>
    <row r="16186" spans="1:5">
      <c r="A16186" s="3" t="s">
        <v>27925</v>
      </c>
      <c r="B16186" s="110" t="s">
        <v>1374</v>
      </c>
      <c r="C16186" s="111" t="s">
        <v>27926</v>
      </c>
      <c r="D16186" s="111" t="str">
        <f t="shared" ref="D16186:E16186" si="16184">TRIM(B16186)</f>
        <v>Utah</v>
      </c>
      <c r="E16186" s="111" t="str">
        <f t="shared" si="16184"/>
        <v>Kamas</v>
      </c>
    </row>
    <row r="16187" spans="1:5">
      <c r="A16187" s="3" t="s">
        <v>27927</v>
      </c>
      <c r="B16187" s="110" t="s">
        <v>1374</v>
      </c>
      <c r="C16187" s="111" t="s">
        <v>27926</v>
      </c>
      <c r="D16187" s="111" t="str">
        <f t="shared" ref="D16187:E16187" si="16185">TRIM(B16187)</f>
        <v>Utah</v>
      </c>
      <c r="E16187" s="111" t="str">
        <f t="shared" si="16185"/>
        <v>Kamas</v>
      </c>
    </row>
    <row r="16188" spans="1:5">
      <c r="A16188" s="3" t="s">
        <v>27928</v>
      </c>
      <c r="B16188" s="110" t="s">
        <v>1374</v>
      </c>
      <c r="C16188" s="111" t="s">
        <v>27929</v>
      </c>
      <c r="D16188" s="111" t="str">
        <f t="shared" ref="D16188:E16188" si="16186">TRIM(B16188)</f>
        <v>Utah</v>
      </c>
      <c r="E16188" s="111" t="str">
        <f t="shared" si="16186"/>
        <v>Kanab</v>
      </c>
    </row>
    <row r="16189" spans="1:5">
      <c r="A16189" s="3" t="s">
        <v>23756</v>
      </c>
      <c r="B16189" s="110" t="s">
        <v>1374</v>
      </c>
      <c r="C16189" s="111" t="s">
        <v>27930</v>
      </c>
      <c r="D16189" s="111" t="str">
        <f t="shared" ref="D16189:E16189" si="16187">TRIM(B16189)</f>
        <v>Utah</v>
      </c>
      <c r="E16189" s="111" t="str">
        <f t="shared" si="16187"/>
        <v>Kaysville</v>
      </c>
    </row>
    <row r="16190" spans="1:5">
      <c r="A16190" s="3" t="s">
        <v>27931</v>
      </c>
      <c r="B16190" s="110" t="s">
        <v>1374</v>
      </c>
      <c r="C16190" s="111" t="s">
        <v>27930</v>
      </c>
      <c r="D16190" s="111" t="str">
        <f t="shared" ref="D16190:E16190" si="16188">TRIM(B16190)</f>
        <v>Utah</v>
      </c>
      <c r="E16190" s="111" t="str">
        <f t="shared" si="16188"/>
        <v>Kaysville</v>
      </c>
    </row>
    <row r="16191" spans="1:5">
      <c r="A16191" s="3" t="s">
        <v>27932</v>
      </c>
      <c r="B16191" s="110" t="s">
        <v>1374</v>
      </c>
      <c r="C16191" s="111" t="s">
        <v>27933</v>
      </c>
      <c r="D16191" s="111" t="str">
        <f t="shared" ref="D16191:E16191" si="16189">TRIM(B16191)</f>
        <v>Utah</v>
      </c>
      <c r="E16191" s="111" t="str">
        <f t="shared" si="16189"/>
        <v>Kearns</v>
      </c>
    </row>
    <row r="16192" spans="1:5">
      <c r="A16192" s="3" t="s">
        <v>27934</v>
      </c>
      <c r="B16192" s="110" t="s">
        <v>1374</v>
      </c>
      <c r="C16192" s="111" t="s">
        <v>27935</v>
      </c>
      <c r="D16192" s="111" t="str">
        <f t="shared" ref="D16192:E16192" si="16190">TRIM(B16192)</f>
        <v>Utah</v>
      </c>
      <c r="E16192" s="111" t="str">
        <f t="shared" si="16190"/>
        <v>Lake Powell</v>
      </c>
    </row>
    <row r="16193" spans="1:5">
      <c r="A16193" s="3" t="s">
        <v>27936</v>
      </c>
      <c r="B16193" s="110" t="s">
        <v>1374</v>
      </c>
      <c r="C16193" s="111" t="s">
        <v>1613</v>
      </c>
      <c r="D16193" s="111" t="str">
        <f t="shared" ref="D16193:E16193" si="16191">TRIM(B16193)</f>
        <v>Utah</v>
      </c>
      <c r="E16193" s="111" t="str">
        <f t="shared" si="16191"/>
        <v>Layton</v>
      </c>
    </row>
    <row r="16194" spans="1:5">
      <c r="A16194" s="3" t="s">
        <v>27937</v>
      </c>
      <c r="B16194" s="110" t="s">
        <v>1374</v>
      </c>
      <c r="C16194" s="111" t="s">
        <v>1613</v>
      </c>
      <c r="D16194" s="111" t="str">
        <f t="shared" ref="D16194:E16194" si="16192">TRIM(B16194)</f>
        <v>Utah</v>
      </c>
      <c r="E16194" s="111" t="str">
        <f t="shared" si="16192"/>
        <v>Layton</v>
      </c>
    </row>
    <row r="16195" spans="1:5">
      <c r="A16195" s="3" t="s">
        <v>2240</v>
      </c>
      <c r="B16195" s="110" t="s">
        <v>1374</v>
      </c>
      <c r="C16195" s="111" t="s">
        <v>1613</v>
      </c>
      <c r="D16195" s="111" t="str">
        <f t="shared" ref="D16195:E16195" si="16193">TRIM(B16195)</f>
        <v>Utah</v>
      </c>
      <c r="E16195" s="111" t="str">
        <f t="shared" si="16193"/>
        <v>Layton</v>
      </c>
    </row>
    <row r="16196" spans="1:5">
      <c r="A16196" s="3" t="s">
        <v>27938</v>
      </c>
      <c r="B16196" s="110" t="s">
        <v>1374</v>
      </c>
      <c r="C16196" s="111" t="s">
        <v>13864</v>
      </c>
      <c r="D16196" s="111" t="str">
        <f t="shared" ref="D16196:E16196" si="16194">TRIM(B16196)</f>
        <v>Utah</v>
      </c>
      <c r="E16196" s="111" t="str">
        <f t="shared" si="16194"/>
        <v>Lehi</v>
      </c>
    </row>
    <row r="16197" spans="1:5">
      <c r="A16197" s="3" t="s">
        <v>27939</v>
      </c>
      <c r="B16197" s="110" t="s">
        <v>1374</v>
      </c>
      <c r="C16197" s="111" t="s">
        <v>13864</v>
      </c>
      <c r="D16197" s="111" t="str">
        <f t="shared" ref="D16197:E16197" si="16195">TRIM(B16197)</f>
        <v>Utah</v>
      </c>
      <c r="E16197" s="111" t="str">
        <f t="shared" si="16195"/>
        <v>Lehi</v>
      </c>
    </row>
    <row r="16198" spans="1:5">
      <c r="A16198" s="3" t="s">
        <v>27940</v>
      </c>
      <c r="B16198" s="110" t="s">
        <v>1374</v>
      </c>
      <c r="C16198" s="111" t="s">
        <v>13864</v>
      </c>
      <c r="D16198" s="111" t="str">
        <f t="shared" ref="D16198:E16198" si="16196">TRIM(B16198)</f>
        <v>Utah</v>
      </c>
      <c r="E16198" s="111" t="str">
        <f t="shared" si="16196"/>
        <v>Lehi</v>
      </c>
    </row>
    <row r="16199" spans="1:5">
      <c r="A16199" s="3" t="s">
        <v>27941</v>
      </c>
      <c r="B16199" s="110" t="s">
        <v>1374</v>
      </c>
      <c r="C16199" s="111" t="s">
        <v>27942</v>
      </c>
      <c r="D16199" s="111" t="str">
        <f t="shared" ref="D16199:E16199" si="16197">TRIM(B16199)</f>
        <v>Utah</v>
      </c>
      <c r="E16199" s="111" t="str">
        <f t="shared" si="16197"/>
        <v>Lindon</v>
      </c>
    </row>
    <row r="16200" spans="1:5">
      <c r="A16200" s="3" t="s">
        <v>15376</v>
      </c>
      <c r="B16200" s="110" t="s">
        <v>1374</v>
      </c>
      <c r="C16200" s="111" t="s">
        <v>14936</v>
      </c>
      <c r="D16200" s="111" t="str">
        <f t="shared" ref="D16200:E16200" si="16198">TRIM(B16200)</f>
        <v>Utah</v>
      </c>
      <c r="E16200" s="111" t="str">
        <f t="shared" si="16198"/>
        <v>Logan</v>
      </c>
    </row>
    <row r="16201" spans="1:5">
      <c r="A16201" s="3" t="s">
        <v>27943</v>
      </c>
      <c r="B16201" s="110" t="s">
        <v>1374</v>
      </c>
      <c r="C16201" s="111" t="s">
        <v>27944</v>
      </c>
      <c r="D16201" s="111" t="str">
        <f t="shared" ref="D16201:E16201" si="16199">TRIM(B16201)</f>
        <v>Utah</v>
      </c>
      <c r="E16201" s="111" t="str">
        <f t="shared" si="16199"/>
        <v>Magna</v>
      </c>
    </row>
    <row r="16202" spans="1:5">
      <c r="A16202" s="3" t="s">
        <v>3987</v>
      </c>
      <c r="B16202" s="110" t="s">
        <v>1374</v>
      </c>
      <c r="C16202" s="111" t="s">
        <v>3988</v>
      </c>
      <c r="D16202" s="111" t="str">
        <f t="shared" ref="D16202:E16202" si="16200">TRIM(B16202)</f>
        <v>Utah</v>
      </c>
      <c r="E16202" s="111" t="str">
        <f t="shared" si="16200"/>
        <v>Manila</v>
      </c>
    </row>
    <row r="16203" spans="1:5">
      <c r="A16203" s="3" t="s">
        <v>27945</v>
      </c>
      <c r="B16203" s="110" t="s">
        <v>1374</v>
      </c>
      <c r="C16203" s="111" t="s">
        <v>5585</v>
      </c>
      <c r="D16203" s="111" t="str">
        <f t="shared" ref="D16203:E16203" si="16201">TRIM(B16203)</f>
        <v>Utah</v>
      </c>
      <c r="E16203" s="111" t="str">
        <f t="shared" si="16201"/>
        <v>Manti</v>
      </c>
    </row>
    <row r="16204" spans="1:5">
      <c r="A16204" s="3" t="s">
        <v>1736</v>
      </c>
      <c r="B16204" s="110" t="s">
        <v>1374</v>
      </c>
      <c r="C16204" s="111" t="s">
        <v>580</v>
      </c>
      <c r="D16204" s="111" t="str">
        <f t="shared" ref="D16204:E16204" si="16202">TRIM(B16204)</f>
        <v>Utah</v>
      </c>
      <c r="E16204" s="111" t="str">
        <f t="shared" si="16202"/>
        <v>Midvale</v>
      </c>
    </row>
    <row r="16205" spans="1:5">
      <c r="A16205" s="3" t="s">
        <v>16743</v>
      </c>
      <c r="B16205" s="110" t="s">
        <v>1374</v>
      </c>
      <c r="C16205" s="111" t="s">
        <v>8552</v>
      </c>
      <c r="D16205" s="111" t="str">
        <f t="shared" ref="D16205:E16205" si="16203">TRIM(B16205)</f>
        <v>Utah</v>
      </c>
      <c r="E16205" s="111" t="str">
        <f t="shared" si="16203"/>
        <v>Milford</v>
      </c>
    </row>
    <row r="16206" spans="1:5">
      <c r="A16206" s="3" t="s">
        <v>27946</v>
      </c>
      <c r="B16206" s="110" t="s">
        <v>1374</v>
      </c>
      <c r="C16206" s="111" t="s">
        <v>20263</v>
      </c>
      <c r="D16206" s="111" t="str">
        <f t="shared" ref="D16206:E16206" si="16204">TRIM(B16206)</f>
        <v>Utah</v>
      </c>
      <c r="E16206" s="111" t="str">
        <f t="shared" si="16204"/>
        <v>Millville</v>
      </c>
    </row>
    <row r="16207" spans="1:5">
      <c r="A16207" s="3" t="s">
        <v>27947</v>
      </c>
      <c r="B16207" s="110" t="s">
        <v>1374</v>
      </c>
      <c r="C16207" s="111" t="s">
        <v>27948</v>
      </c>
      <c r="D16207" s="111" t="str">
        <f t="shared" ref="D16207:E16207" si="16205">TRIM(B16207)</f>
        <v>Utah</v>
      </c>
      <c r="E16207" s="111" t="str">
        <f t="shared" si="16205"/>
        <v>Moab</v>
      </c>
    </row>
    <row r="16208" spans="1:5">
      <c r="A16208" s="3" t="s">
        <v>27949</v>
      </c>
      <c r="B16208" s="110" t="s">
        <v>1374</v>
      </c>
      <c r="C16208" s="111" t="s">
        <v>380</v>
      </c>
      <c r="D16208" s="111" t="str">
        <f t="shared" ref="D16208:E16208" si="16206">TRIM(B16208)</f>
        <v>Utah</v>
      </c>
      <c r="E16208" s="111" t="str">
        <f t="shared" si="16206"/>
        <v>Monroe</v>
      </c>
    </row>
    <row r="16209" spans="1:5">
      <c r="A16209" s="3" t="s">
        <v>27950</v>
      </c>
      <c r="B16209" s="110" t="s">
        <v>1374</v>
      </c>
      <c r="C16209" s="113" t="s">
        <v>27951</v>
      </c>
      <c r="D16209" s="111" t="str">
        <f t="shared" ref="D16209:E16209" si="16207">TRIM(B16209)</f>
        <v>Utah</v>
      </c>
      <c r="E16209" s="111" t="str">
        <f t="shared" si="16207"/>
        <v>Montezuma Creek</v>
      </c>
    </row>
    <row r="16210" spans="1:5">
      <c r="A16210" s="3" t="s">
        <v>4042</v>
      </c>
      <c r="B16210" s="110" t="s">
        <v>1374</v>
      </c>
      <c r="C16210" s="111" t="s">
        <v>4040</v>
      </c>
      <c r="D16210" s="111" t="str">
        <f t="shared" ref="D16210:E16210" si="16208">TRIM(B16210)</f>
        <v>Utah</v>
      </c>
      <c r="E16210" s="111" t="str">
        <f t="shared" si="16208"/>
        <v>Monticello</v>
      </c>
    </row>
    <row r="16211" spans="1:5">
      <c r="A16211" s="3" t="s">
        <v>2768</v>
      </c>
      <c r="B16211" s="110" t="s">
        <v>1374</v>
      </c>
      <c r="C16211" s="113" t="s">
        <v>27952</v>
      </c>
      <c r="D16211" s="111" t="str">
        <f t="shared" ref="D16211:E16211" si="16209">TRIM(B16211)</f>
        <v>Utah</v>
      </c>
      <c r="E16211" s="111" t="str">
        <f t="shared" si="16209"/>
        <v>Monument Valley</v>
      </c>
    </row>
    <row r="16212" spans="1:5">
      <c r="A16212" s="3" t="s">
        <v>23235</v>
      </c>
      <c r="B16212" s="110" t="s">
        <v>1374</v>
      </c>
      <c r="C16212" s="111" t="s">
        <v>13930</v>
      </c>
      <c r="D16212" s="111" t="str">
        <f t="shared" ref="D16212:E16212" si="16210">TRIM(B16212)</f>
        <v>Utah</v>
      </c>
      <c r="E16212" s="111" t="str">
        <f t="shared" si="16210"/>
        <v>Morgan</v>
      </c>
    </row>
    <row r="16213" spans="1:5">
      <c r="A16213" s="3" t="s">
        <v>27953</v>
      </c>
      <c r="B16213" s="110" t="s">
        <v>1374</v>
      </c>
      <c r="C16213" s="111" t="s">
        <v>775</v>
      </c>
      <c r="D16213" s="111" t="str">
        <f t="shared" ref="D16213:E16213" si="16211">TRIM(B16213)</f>
        <v>Utah</v>
      </c>
      <c r="E16213" s="111" t="str">
        <f t="shared" si="16211"/>
        <v>Mt Pleasant</v>
      </c>
    </row>
    <row r="16214" spans="1:5">
      <c r="A16214" s="3" t="s">
        <v>15785</v>
      </c>
      <c r="B16214" s="110" t="s">
        <v>1374</v>
      </c>
      <c r="C16214" s="111" t="s">
        <v>13882</v>
      </c>
      <c r="D16214" s="111" t="str">
        <f t="shared" ref="D16214:E16214" si="16212">TRIM(B16214)</f>
        <v>Utah</v>
      </c>
      <c r="E16214" s="111" t="str">
        <f t="shared" si="16212"/>
        <v>Murray</v>
      </c>
    </row>
    <row r="16215" spans="1:5">
      <c r="A16215" s="3" t="s">
        <v>27954</v>
      </c>
      <c r="B16215" s="110" t="s">
        <v>1374</v>
      </c>
      <c r="C16215" s="111" t="s">
        <v>27955</v>
      </c>
      <c r="D16215" s="111" t="str">
        <f t="shared" ref="D16215:E16215" si="16213">TRIM(B16215)</f>
        <v>Utah</v>
      </c>
      <c r="E16215" s="111" t="str">
        <f t="shared" si="16213"/>
        <v>Nephi</v>
      </c>
    </row>
    <row r="16216" spans="1:5">
      <c r="A16216" s="3" t="s">
        <v>27956</v>
      </c>
      <c r="B16216" s="110" t="s">
        <v>1374</v>
      </c>
      <c r="C16216" s="111" t="s">
        <v>27957</v>
      </c>
      <c r="D16216" s="111" t="str">
        <f t="shared" ref="D16216:E16216" si="16214">TRIM(B16216)</f>
        <v>Utah</v>
      </c>
      <c r="E16216" s="111" t="str">
        <f t="shared" si="16214"/>
        <v>North Logan</v>
      </c>
    </row>
    <row r="16217" spans="1:5">
      <c r="A16217" s="3" t="s">
        <v>27958</v>
      </c>
      <c r="B16217" s="110" t="s">
        <v>1374</v>
      </c>
      <c r="C16217" s="111" t="s">
        <v>27957</v>
      </c>
      <c r="D16217" s="111" t="str">
        <f t="shared" ref="D16217:E16217" si="16215">TRIM(B16217)</f>
        <v>Utah</v>
      </c>
      <c r="E16217" s="111" t="str">
        <f t="shared" si="16215"/>
        <v>North Logan</v>
      </c>
    </row>
    <row r="16218" spans="1:5">
      <c r="A16218" s="3" t="s">
        <v>27959</v>
      </c>
      <c r="B16218" s="110" t="s">
        <v>1374</v>
      </c>
      <c r="C16218" s="111" t="s">
        <v>317</v>
      </c>
      <c r="D16218" s="111" t="str">
        <f t="shared" ref="D16218:E16218" si="16216">TRIM(B16218)</f>
        <v>Utah</v>
      </c>
      <c r="E16218" s="111" t="str">
        <f t="shared" si="16216"/>
        <v>Ogden</v>
      </c>
    </row>
    <row r="16219" spans="1:5">
      <c r="A16219" s="3" t="s">
        <v>11735</v>
      </c>
      <c r="B16219" s="110" t="s">
        <v>1374</v>
      </c>
      <c r="C16219" s="111" t="s">
        <v>317</v>
      </c>
      <c r="D16219" s="111" t="str">
        <f t="shared" ref="D16219:E16219" si="16217">TRIM(B16219)</f>
        <v>Utah</v>
      </c>
      <c r="E16219" s="111" t="str">
        <f t="shared" si="16217"/>
        <v>Ogden</v>
      </c>
    </row>
    <row r="16220" spans="1:5">
      <c r="A16220" s="3" t="s">
        <v>27960</v>
      </c>
      <c r="B16220" s="110" t="s">
        <v>1374</v>
      </c>
      <c r="C16220" s="111" t="s">
        <v>317</v>
      </c>
      <c r="D16220" s="111" t="str">
        <f t="shared" ref="D16220:E16220" si="16218">TRIM(B16220)</f>
        <v>Utah</v>
      </c>
      <c r="E16220" s="111" t="str">
        <f t="shared" si="16218"/>
        <v>Ogden</v>
      </c>
    </row>
    <row r="16221" spans="1:5">
      <c r="A16221" s="3" t="s">
        <v>15005</v>
      </c>
      <c r="B16221" s="110" t="s">
        <v>1374</v>
      </c>
      <c r="C16221" s="111" t="s">
        <v>317</v>
      </c>
      <c r="D16221" s="111" t="str">
        <f t="shared" ref="D16221:E16221" si="16219">TRIM(B16221)</f>
        <v>Utah</v>
      </c>
      <c r="E16221" s="111" t="str">
        <f t="shared" si="16219"/>
        <v>Ogden</v>
      </c>
    </row>
    <row r="16222" spans="1:5">
      <c r="A16222" s="3" t="s">
        <v>27961</v>
      </c>
      <c r="B16222" s="110" t="s">
        <v>1374</v>
      </c>
      <c r="C16222" s="111" t="s">
        <v>317</v>
      </c>
      <c r="D16222" s="111" t="str">
        <f t="shared" ref="D16222:E16222" si="16220">TRIM(B16222)</f>
        <v>Utah</v>
      </c>
      <c r="E16222" s="111" t="str">
        <f t="shared" si="16220"/>
        <v>Ogden</v>
      </c>
    </row>
    <row r="16223" spans="1:5">
      <c r="A16223" s="3" t="s">
        <v>27962</v>
      </c>
      <c r="B16223" s="110" t="s">
        <v>1374</v>
      </c>
      <c r="C16223" s="111" t="s">
        <v>317</v>
      </c>
      <c r="D16223" s="111" t="str">
        <f t="shared" ref="D16223:E16223" si="16221">TRIM(B16223)</f>
        <v>Utah</v>
      </c>
      <c r="E16223" s="111" t="str">
        <f t="shared" si="16221"/>
        <v>Ogden</v>
      </c>
    </row>
    <row r="16224" spans="1:5">
      <c r="A16224" s="3" t="s">
        <v>2256</v>
      </c>
      <c r="B16224" s="110" t="s">
        <v>1374</v>
      </c>
      <c r="C16224" s="111" t="s">
        <v>27963</v>
      </c>
      <c r="D16224" s="111" t="str">
        <f t="shared" ref="D16224:E16224" si="16222">TRIM(B16224)</f>
        <v>Utah</v>
      </c>
      <c r="E16224" s="111" t="str">
        <f t="shared" si="16222"/>
        <v>Orderville</v>
      </c>
    </row>
    <row r="16225" spans="1:5">
      <c r="A16225" s="110" t="s">
        <v>27964</v>
      </c>
      <c r="B16225" s="110" t="s">
        <v>1374</v>
      </c>
      <c r="C16225" s="111" t="s">
        <v>8435</v>
      </c>
      <c r="D16225" s="111" t="str">
        <f t="shared" ref="D16225:E16225" si="16223">TRIM(B16225)</f>
        <v>Utah</v>
      </c>
      <c r="E16225" s="111" t="str">
        <f t="shared" si="16223"/>
        <v>Orem</v>
      </c>
    </row>
    <row r="16226" spans="1:5">
      <c r="A16226" s="3" t="s">
        <v>2842</v>
      </c>
      <c r="B16226" s="110" t="s">
        <v>1374</v>
      </c>
      <c r="C16226" s="111" t="s">
        <v>8435</v>
      </c>
      <c r="D16226" s="111" t="str">
        <f t="shared" ref="D16226:E16226" si="16224">TRIM(B16226)</f>
        <v>Utah</v>
      </c>
      <c r="E16226" s="111" t="str">
        <f t="shared" si="16224"/>
        <v>Orem</v>
      </c>
    </row>
    <row r="16227" spans="1:5">
      <c r="A16227" s="3" t="s">
        <v>27965</v>
      </c>
      <c r="B16227" s="110" t="s">
        <v>1374</v>
      </c>
      <c r="C16227" s="111" t="s">
        <v>8435</v>
      </c>
      <c r="D16227" s="111" t="str">
        <f t="shared" ref="D16227:E16227" si="16225">TRIM(B16227)</f>
        <v>Utah</v>
      </c>
      <c r="E16227" s="111" t="str">
        <f t="shared" si="16225"/>
        <v>Orem</v>
      </c>
    </row>
    <row r="16228" spans="1:5">
      <c r="A16228" s="3" t="s">
        <v>27966</v>
      </c>
      <c r="B16228" s="110" t="s">
        <v>1374</v>
      </c>
      <c r="C16228" s="112" t="s">
        <v>8435</v>
      </c>
      <c r="D16228" s="111" t="str">
        <f t="shared" ref="D16228:E16228" si="16226">TRIM(B16228)</f>
        <v>Utah</v>
      </c>
      <c r="E16228" s="111" t="str">
        <f t="shared" si="16226"/>
        <v>Orem</v>
      </c>
    </row>
    <row r="16229" spans="1:5">
      <c r="A16229" s="3" t="s">
        <v>27967</v>
      </c>
      <c r="B16229" s="110" t="s">
        <v>1374</v>
      </c>
      <c r="C16229" s="111" t="s">
        <v>8435</v>
      </c>
      <c r="D16229" s="111" t="str">
        <f t="shared" ref="D16229:E16229" si="16227">TRIM(B16229)</f>
        <v>Utah</v>
      </c>
      <c r="E16229" s="111" t="str">
        <f t="shared" si="16227"/>
        <v>Orem</v>
      </c>
    </row>
    <row r="16230" spans="1:5">
      <c r="A16230" s="3" t="s">
        <v>27968</v>
      </c>
      <c r="B16230" s="110" t="s">
        <v>1374</v>
      </c>
      <c r="C16230" s="111" t="s">
        <v>27969</v>
      </c>
      <c r="D16230" s="111" t="str">
        <f t="shared" ref="D16230:E16230" si="16228">TRIM(B16230)</f>
        <v>Utah</v>
      </c>
      <c r="E16230" s="111" t="str">
        <f t="shared" si="16228"/>
        <v>Panguitch</v>
      </c>
    </row>
    <row r="16231" spans="1:5">
      <c r="A16231" s="3" t="s">
        <v>19391</v>
      </c>
      <c r="B16231" s="110" t="s">
        <v>1374</v>
      </c>
      <c r="C16231" s="111" t="s">
        <v>19392</v>
      </c>
      <c r="D16231" s="111" t="str">
        <f t="shared" ref="D16231:E16231" si="16229">TRIM(B16231)</f>
        <v>Utah</v>
      </c>
      <c r="E16231" s="111" t="str">
        <f t="shared" si="16229"/>
        <v>Park City</v>
      </c>
    </row>
    <row r="16232" spans="1:5">
      <c r="A16232" s="110" t="s">
        <v>27970</v>
      </c>
      <c r="B16232" s="110" t="s">
        <v>1374</v>
      </c>
      <c r="C16232" s="111" t="s">
        <v>19392</v>
      </c>
      <c r="D16232" s="111" t="str">
        <f t="shared" ref="D16232:E16232" si="16230">TRIM(B16232)</f>
        <v>Utah</v>
      </c>
      <c r="E16232" s="111" t="str">
        <f t="shared" si="16230"/>
        <v>Park City</v>
      </c>
    </row>
    <row r="16233" spans="1:5">
      <c r="A16233" s="3" t="s">
        <v>27971</v>
      </c>
      <c r="B16233" s="110" t="s">
        <v>1374</v>
      </c>
      <c r="C16233" s="111" t="s">
        <v>27972</v>
      </c>
      <c r="D16233" s="111" t="str">
        <f t="shared" ref="D16233:E16233" si="16231">TRIM(B16233)</f>
        <v>Utah</v>
      </c>
      <c r="E16233" s="111" t="str">
        <f t="shared" si="16231"/>
        <v>Parowan</v>
      </c>
    </row>
    <row r="16234" spans="1:5">
      <c r="A16234" s="3" t="s">
        <v>2902</v>
      </c>
      <c r="B16234" s="110" t="s">
        <v>1374</v>
      </c>
      <c r="C16234" s="111" t="s">
        <v>2897</v>
      </c>
      <c r="D16234" s="111" t="str">
        <f t="shared" ref="D16234:E16234" si="16232">TRIM(B16234)</f>
        <v>Utah</v>
      </c>
      <c r="E16234" s="111" t="str">
        <f t="shared" si="16232"/>
        <v>Payson</v>
      </c>
    </row>
    <row r="16235" spans="1:5">
      <c r="A16235" s="3" t="s">
        <v>6162</v>
      </c>
      <c r="B16235" s="110" t="s">
        <v>1374</v>
      </c>
      <c r="C16235" s="111" t="s">
        <v>937</v>
      </c>
      <c r="D16235" s="111" t="str">
        <f t="shared" ref="D16235:E16235" si="16233">TRIM(B16235)</f>
        <v>Utah</v>
      </c>
      <c r="E16235" s="111" t="str">
        <f t="shared" si="16233"/>
        <v>Plain City</v>
      </c>
    </row>
    <row r="16236" spans="1:5">
      <c r="A16236" s="3" t="s">
        <v>2107</v>
      </c>
      <c r="B16236" s="110" t="s">
        <v>1374</v>
      </c>
      <c r="C16236" s="111" t="s">
        <v>458</v>
      </c>
      <c r="D16236" s="111" t="str">
        <f t="shared" ref="D16236:E16236" si="16234">TRIM(B16236)</f>
        <v>Utah</v>
      </c>
      <c r="E16236" s="111" t="str">
        <f t="shared" si="16234"/>
        <v>Pleasant Grove</v>
      </c>
    </row>
    <row r="16237" spans="1:5">
      <c r="A16237" s="3" t="s">
        <v>27973</v>
      </c>
      <c r="B16237" s="110" t="s">
        <v>1374</v>
      </c>
      <c r="C16237" s="111" t="s">
        <v>26075</v>
      </c>
      <c r="D16237" s="111" t="str">
        <f t="shared" ref="D16237:E16237" si="16235">TRIM(B16237)</f>
        <v>Utah</v>
      </c>
      <c r="E16237" s="111" t="str">
        <f t="shared" si="16235"/>
        <v>Pleasant View</v>
      </c>
    </row>
    <row r="16238" spans="1:5">
      <c r="A16238" s="3" t="s">
        <v>27974</v>
      </c>
      <c r="B16238" s="110" t="s">
        <v>1374</v>
      </c>
      <c r="C16238" s="111" t="s">
        <v>24743</v>
      </c>
      <c r="D16238" s="111" t="str">
        <f t="shared" ref="D16238:E16238" si="16236">TRIM(B16238)</f>
        <v>Utah</v>
      </c>
      <c r="E16238" s="111" t="str">
        <f t="shared" si="16236"/>
        <v>Price</v>
      </c>
    </row>
    <row r="16239" spans="1:5">
      <c r="A16239" s="3" t="s">
        <v>27975</v>
      </c>
      <c r="B16239" s="110" t="s">
        <v>1374</v>
      </c>
      <c r="C16239" s="111" t="s">
        <v>328</v>
      </c>
      <c r="D16239" s="111" t="str">
        <f t="shared" ref="D16239:E16239" si="16237">TRIM(B16239)</f>
        <v>Utah</v>
      </c>
      <c r="E16239" s="111" t="str">
        <f t="shared" si="16237"/>
        <v>Provo</v>
      </c>
    </row>
    <row r="16240" spans="1:5">
      <c r="A16240" s="3" t="s">
        <v>27976</v>
      </c>
      <c r="B16240" s="110" t="s">
        <v>1374</v>
      </c>
      <c r="C16240" s="111" t="s">
        <v>328</v>
      </c>
      <c r="D16240" s="111" t="str">
        <f t="shared" ref="D16240:E16240" si="16238">TRIM(B16240)</f>
        <v>Utah</v>
      </c>
      <c r="E16240" s="111" t="str">
        <f t="shared" si="16238"/>
        <v>Provo</v>
      </c>
    </row>
    <row r="16241" spans="1:5">
      <c r="A16241" s="3" t="s">
        <v>27977</v>
      </c>
      <c r="B16241" s="110" t="s">
        <v>1374</v>
      </c>
      <c r="C16241" s="111" t="s">
        <v>15476</v>
      </c>
      <c r="D16241" s="111" t="str">
        <f t="shared" ref="D16241:E16241" si="16239">TRIM(B16241)</f>
        <v>Utah</v>
      </c>
      <c r="E16241" s="111" t="str">
        <f t="shared" si="16239"/>
        <v>Randolph</v>
      </c>
    </row>
    <row r="16242" spans="1:5">
      <c r="A16242" s="3" t="s">
        <v>27978</v>
      </c>
      <c r="B16242" s="110" t="s">
        <v>1374</v>
      </c>
      <c r="C16242" s="111" t="s">
        <v>12859</v>
      </c>
      <c r="D16242" s="111" t="str">
        <f t="shared" ref="D16242:E16242" si="16240">TRIM(B16242)</f>
        <v>Utah</v>
      </c>
      <c r="E16242" s="111" t="str">
        <f t="shared" si="16240"/>
        <v>Richfield</v>
      </c>
    </row>
    <row r="16243" spans="1:5">
      <c r="A16243" s="3" t="s">
        <v>27979</v>
      </c>
      <c r="B16243" s="110" t="s">
        <v>1374</v>
      </c>
      <c r="C16243" s="111" t="s">
        <v>6553</v>
      </c>
      <c r="D16243" s="111" t="str">
        <f t="shared" ref="D16243:E16243" si="16241">TRIM(B16243)</f>
        <v>Utah</v>
      </c>
      <c r="E16243" s="111" t="str">
        <f t="shared" si="16241"/>
        <v>Riverdale</v>
      </c>
    </row>
    <row r="16244" spans="1:5">
      <c r="A16244" s="3" t="s">
        <v>13694</v>
      </c>
      <c r="B16244" s="110" t="s">
        <v>1374</v>
      </c>
      <c r="C16244" s="111" t="s">
        <v>13695</v>
      </c>
      <c r="D16244" s="111" t="str">
        <f t="shared" ref="D16244:E16244" si="16242">TRIM(B16244)</f>
        <v>Utah</v>
      </c>
      <c r="E16244" s="111" t="str">
        <f t="shared" si="16242"/>
        <v>Riverton</v>
      </c>
    </row>
    <row r="16245" spans="1:5">
      <c r="A16245" s="3" t="s">
        <v>14909</v>
      </c>
      <c r="B16245" s="110" t="s">
        <v>1374</v>
      </c>
      <c r="C16245" s="111" t="s">
        <v>21767</v>
      </c>
      <c r="D16245" s="111" t="str">
        <f t="shared" ref="D16245:E16245" si="16243">TRIM(B16245)</f>
        <v>Utah</v>
      </c>
      <c r="E16245" s="111" t="str">
        <f t="shared" si="16243"/>
        <v>Roosevelt</v>
      </c>
    </row>
    <row r="16246" spans="1:5">
      <c r="A16246" s="3" t="s">
        <v>19425</v>
      </c>
      <c r="B16246" s="110" t="s">
        <v>1374</v>
      </c>
      <c r="C16246" s="111" t="s">
        <v>19426</v>
      </c>
      <c r="D16246" s="111" t="str">
        <f t="shared" ref="D16246:E16246" si="16244">TRIM(B16246)</f>
        <v>Utah</v>
      </c>
      <c r="E16246" s="111" t="str">
        <f t="shared" si="16244"/>
        <v>Roy</v>
      </c>
    </row>
    <row r="16247" spans="1:5">
      <c r="A16247" s="3" t="s">
        <v>2652</v>
      </c>
      <c r="B16247" s="110" t="s">
        <v>1374</v>
      </c>
      <c r="C16247" s="111" t="s">
        <v>13333</v>
      </c>
      <c r="D16247" s="111" t="str">
        <f t="shared" ref="D16247:E16247" si="16245">TRIM(B16247)</f>
        <v>Utah</v>
      </c>
      <c r="E16247" s="111" t="str">
        <f t="shared" si="16245"/>
        <v>Saint George</v>
      </c>
    </row>
    <row r="16248" spans="1:5">
      <c r="A16248" s="3" t="s">
        <v>27980</v>
      </c>
      <c r="B16248" s="110" t="s">
        <v>1374</v>
      </c>
      <c r="C16248" s="111" t="s">
        <v>13333</v>
      </c>
      <c r="D16248" s="111" t="str">
        <f t="shared" ref="D16248:E16248" si="16246">TRIM(B16248)</f>
        <v>Utah</v>
      </c>
      <c r="E16248" s="111" t="str">
        <f t="shared" si="16246"/>
        <v>Saint George</v>
      </c>
    </row>
    <row r="16249" spans="1:5">
      <c r="A16249" s="110" t="s">
        <v>27981</v>
      </c>
      <c r="B16249" s="110" t="s">
        <v>1374</v>
      </c>
      <c r="C16249" s="111" t="s">
        <v>13333</v>
      </c>
      <c r="D16249" s="111" t="str">
        <f t="shared" ref="D16249:E16249" si="16247">TRIM(B16249)</f>
        <v>Utah</v>
      </c>
      <c r="E16249" s="111" t="str">
        <f t="shared" si="16247"/>
        <v>Saint George</v>
      </c>
    </row>
    <row r="16250" spans="1:5">
      <c r="A16250" s="3" t="s">
        <v>27982</v>
      </c>
      <c r="B16250" s="110" t="s">
        <v>1374</v>
      </c>
      <c r="C16250" s="111" t="s">
        <v>451</v>
      </c>
      <c r="D16250" s="111" t="str">
        <f t="shared" ref="D16250:E16250" si="16248">TRIM(B16250)</f>
        <v>Utah</v>
      </c>
      <c r="E16250" s="111" t="str">
        <f t="shared" si="16248"/>
        <v>Salem</v>
      </c>
    </row>
    <row r="16251" spans="1:5">
      <c r="A16251" s="3" t="s">
        <v>27983</v>
      </c>
      <c r="B16251" s="110" t="s">
        <v>1374</v>
      </c>
      <c r="C16251" s="111" t="s">
        <v>10793</v>
      </c>
      <c r="D16251" s="111" t="str">
        <f t="shared" ref="D16251:E16251" si="16249">TRIM(B16251)</f>
        <v>Utah</v>
      </c>
      <c r="E16251" s="111" t="str">
        <f t="shared" si="16249"/>
        <v>Salina</v>
      </c>
    </row>
    <row r="16252" spans="1:5">
      <c r="A16252" s="3" t="s">
        <v>27984</v>
      </c>
      <c r="B16252" s="110" t="s">
        <v>1374</v>
      </c>
      <c r="C16252" s="111" t="s">
        <v>13891</v>
      </c>
      <c r="D16252" s="111" t="str">
        <f t="shared" ref="D16252:E16252" si="16250">TRIM(B16252)</f>
        <v>Utah</v>
      </c>
      <c r="E16252" s="111" t="str">
        <f t="shared" si="16250"/>
        <v>Salt Lake City</v>
      </c>
    </row>
    <row r="16253" spans="1:5">
      <c r="A16253" s="3" t="s">
        <v>7648</v>
      </c>
      <c r="B16253" s="110" t="s">
        <v>1374</v>
      </c>
      <c r="C16253" s="111" t="s">
        <v>13891</v>
      </c>
      <c r="D16253" s="111" t="str">
        <f t="shared" ref="D16253:E16253" si="16251">TRIM(B16253)</f>
        <v>Utah</v>
      </c>
      <c r="E16253" s="111" t="str">
        <f t="shared" si="16251"/>
        <v>Salt Lake City</v>
      </c>
    </row>
    <row r="16254" spans="1:5">
      <c r="A16254" s="3" t="s">
        <v>18232</v>
      </c>
      <c r="B16254" s="110" t="s">
        <v>1374</v>
      </c>
      <c r="C16254" s="111" t="s">
        <v>13891</v>
      </c>
      <c r="D16254" s="111" t="str">
        <f t="shared" ref="D16254:E16254" si="16252">TRIM(B16254)</f>
        <v>Utah</v>
      </c>
      <c r="E16254" s="111" t="str">
        <f t="shared" si="16252"/>
        <v>Salt Lake City</v>
      </c>
    </row>
    <row r="16255" spans="1:5">
      <c r="A16255" s="3" t="s">
        <v>27985</v>
      </c>
      <c r="B16255" s="110" t="s">
        <v>1374</v>
      </c>
      <c r="C16255" s="111" t="s">
        <v>13891</v>
      </c>
      <c r="D16255" s="111" t="str">
        <f t="shared" ref="D16255:E16255" si="16253">TRIM(B16255)</f>
        <v>Utah</v>
      </c>
      <c r="E16255" s="111" t="str">
        <f t="shared" si="16253"/>
        <v>Salt Lake City</v>
      </c>
    </row>
    <row r="16256" spans="1:5">
      <c r="A16256" s="3" t="s">
        <v>2294</v>
      </c>
      <c r="B16256" s="110" t="s">
        <v>1374</v>
      </c>
      <c r="C16256" s="111" t="s">
        <v>13891</v>
      </c>
      <c r="D16256" s="111" t="str">
        <f t="shared" ref="D16256:E16256" si="16254">TRIM(B16256)</f>
        <v>Utah</v>
      </c>
      <c r="E16256" s="111" t="str">
        <f t="shared" si="16254"/>
        <v>Salt Lake City</v>
      </c>
    </row>
    <row r="16257" spans="1:5">
      <c r="A16257" s="3" t="s">
        <v>2665</v>
      </c>
      <c r="B16257" s="110" t="s">
        <v>1374</v>
      </c>
      <c r="C16257" s="111" t="s">
        <v>13891</v>
      </c>
      <c r="D16257" s="111" t="str">
        <f t="shared" ref="D16257:E16257" si="16255">TRIM(B16257)</f>
        <v>Utah</v>
      </c>
      <c r="E16257" s="111" t="str">
        <f t="shared" si="16255"/>
        <v>Salt Lake City</v>
      </c>
    </row>
    <row r="16258" spans="1:5">
      <c r="A16258" s="3" t="s">
        <v>27986</v>
      </c>
      <c r="B16258" s="110" t="s">
        <v>1374</v>
      </c>
      <c r="C16258" s="111" t="s">
        <v>13891</v>
      </c>
      <c r="D16258" s="111" t="str">
        <f t="shared" ref="D16258:E16258" si="16256">TRIM(B16258)</f>
        <v>Utah</v>
      </c>
      <c r="E16258" s="111" t="str">
        <f t="shared" si="16256"/>
        <v>Salt Lake City</v>
      </c>
    </row>
    <row r="16259" spans="1:5">
      <c r="A16259" s="3" t="s">
        <v>27987</v>
      </c>
      <c r="B16259" s="110" t="s">
        <v>1374</v>
      </c>
      <c r="C16259" s="111" t="s">
        <v>13891</v>
      </c>
      <c r="D16259" s="111" t="str">
        <f t="shared" ref="D16259:E16259" si="16257">TRIM(B16259)</f>
        <v>Utah</v>
      </c>
      <c r="E16259" s="111" t="str">
        <f t="shared" si="16257"/>
        <v>Salt Lake City</v>
      </c>
    </row>
    <row r="16260" spans="1:5">
      <c r="A16260" s="110" t="s">
        <v>27988</v>
      </c>
      <c r="B16260" s="110" t="s">
        <v>1374</v>
      </c>
      <c r="C16260" s="111" t="s">
        <v>13891</v>
      </c>
      <c r="D16260" s="111" t="str">
        <f t="shared" ref="D16260:E16260" si="16258">TRIM(B16260)</f>
        <v>Utah</v>
      </c>
      <c r="E16260" s="111" t="str">
        <f t="shared" si="16258"/>
        <v>Salt Lake City</v>
      </c>
    </row>
    <row r="16261" spans="1:5">
      <c r="A16261" s="110" t="s">
        <v>27989</v>
      </c>
      <c r="B16261" s="110" t="s">
        <v>1374</v>
      </c>
      <c r="C16261" s="111" t="s">
        <v>13891</v>
      </c>
      <c r="D16261" s="111" t="str">
        <f t="shared" ref="D16261:E16261" si="16259">TRIM(B16261)</f>
        <v>Utah</v>
      </c>
      <c r="E16261" s="111" t="str">
        <f t="shared" si="16259"/>
        <v>Salt Lake City</v>
      </c>
    </row>
    <row r="16262" spans="1:5">
      <c r="A16262" s="3" t="s">
        <v>2853</v>
      </c>
      <c r="B16262" s="110" t="s">
        <v>1374</v>
      </c>
      <c r="C16262" s="111" t="s">
        <v>13891</v>
      </c>
      <c r="D16262" s="111" t="str">
        <f t="shared" ref="D16262:E16262" si="16260">TRIM(B16262)</f>
        <v>Utah</v>
      </c>
      <c r="E16262" s="111" t="str">
        <f t="shared" si="16260"/>
        <v>Salt Lake City</v>
      </c>
    </row>
    <row r="16263" spans="1:5">
      <c r="A16263" s="3" t="s">
        <v>2304</v>
      </c>
      <c r="B16263" s="110" t="s">
        <v>1374</v>
      </c>
      <c r="C16263" s="111" t="s">
        <v>13891</v>
      </c>
      <c r="D16263" s="111" t="str">
        <f t="shared" ref="D16263:E16263" si="16261">TRIM(B16263)</f>
        <v>Utah</v>
      </c>
      <c r="E16263" s="111" t="str">
        <f t="shared" si="16261"/>
        <v>Salt Lake City</v>
      </c>
    </row>
    <row r="16264" spans="1:5">
      <c r="A16264" s="3" t="s">
        <v>27990</v>
      </c>
      <c r="B16264" s="110" t="s">
        <v>1374</v>
      </c>
      <c r="C16264" s="111" t="s">
        <v>13895</v>
      </c>
      <c r="D16264" s="111" t="str">
        <f t="shared" ref="D16264:E16264" si="16262">TRIM(B16264)</f>
        <v>Utah</v>
      </c>
      <c r="E16264" s="111" t="str">
        <f t="shared" si="16262"/>
        <v>Sandy</v>
      </c>
    </row>
    <row r="16265" spans="1:5">
      <c r="A16265" s="3" t="s">
        <v>27991</v>
      </c>
      <c r="B16265" s="110" t="s">
        <v>1374</v>
      </c>
      <c r="C16265" s="111" t="s">
        <v>13895</v>
      </c>
      <c r="D16265" s="111" t="str">
        <f t="shared" ref="D16265:E16265" si="16263">TRIM(B16265)</f>
        <v>Utah</v>
      </c>
      <c r="E16265" s="111" t="str">
        <f t="shared" si="16263"/>
        <v>Sandy</v>
      </c>
    </row>
    <row r="16266" spans="1:5">
      <c r="A16266" s="3" t="s">
        <v>5555</v>
      </c>
      <c r="B16266" s="110" t="s">
        <v>1374</v>
      </c>
      <c r="C16266" s="111" t="s">
        <v>13895</v>
      </c>
      <c r="D16266" s="111" t="str">
        <f t="shared" ref="D16266:E16266" si="16264">TRIM(B16266)</f>
        <v>Utah</v>
      </c>
      <c r="E16266" s="111" t="str">
        <f t="shared" si="16264"/>
        <v>Sandy</v>
      </c>
    </row>
    <row r="16267" spans="1:5">
      <c r="A16267" s="3" t="s">
        <v>7477</v>
      </c>
      <c r="B16267" s="110" t="s">
        <v>1374</v>
      </c>
      <c r="C16267" s="113" t="s">
        <v>21787</v>
      </c>
      <c r="D16267" s="111" t="str">
        <f t="shared" ref="D16267:E16267" si="16265">TRIM(B16267)</f>
        <v>Utah</v>
      </c>
      <c r="E16267" s="111" t="str">
        <f t="shared" si="16265"/>
        <v>Saratoga Springs</v>
      </c>
    </row>
    <row r="16268" spans="1:5">
      <c r="A16268" s="3" t="s">
        <v>27992</v>
      </c>
      <c r="B16268" s="110" t="s">
        <v>1374</v>
      </c>
      <c r="C16268" s="111" t="s">
        <v>22440</v>
      </c>
      <c r="D16268" s="111" t="str">
        <f t="shared" ref="D16268:E16268" si="16266">TRIM(B16268)</f>
        <v>Utah</v>
      </c>
      <c r="E16268" s="111" t="str">
        <f t="shared" si="16266"/>
        <v>Smithfield</v>
      </c>
    </row>
    <row r="16269" spans="1:5">
      <c r="A16269" s="3" t="s">
        <v>27993</v>
      </c>
      <c r="B16269" s="110" t="s">
        <v>1374</v>
      </c>
      <c r="C16269" s="111" t="s">
        <v>13868</v>
      </c>
      <c r="D16269" s="111" t="str">
        <f t="shared" ref="D16269:E16269" si="16267">TRIM(B16269)</f>
        <v>Utah</v>
      </c>
      <c r="E16269" s="111" t="str">
        <f t="shared" si="16267"/>
        <v>South Jordan</v>
      </c>
    </row>
    <row r="16270" spans="1:5">
      <c r="A16270" s="3" t="s">
        <v>27994</v>
      </c>
      <c r="B16270" s="110" t="s">
        <v>1374</v>
      </c>
      <c r="C16270" s="111" t="s">
        <v>13868</v>
      </c>
      <c r="D16270" s="111" t="str">
        <f t="shared" ref="D16270:E16270" si="16268">TRIM(B16270)</f>
        <v>Utah</v>
      </c>
      <c r="E16270" s="111" t="str">
        <f t="shared" si="16268"/>
        <v>South Jordan</v>
      </c>
    </row>
    <row r="16271" spans="1:5">
      <c r="A16271" s="3" t="s">
        <v>27995</v>
      </c>
      <c r="B16271" s="110" t="s">
        <v>1374</v>
      </c>
      <c r="C16271" s="111" t="s">
        <v>13868</v>
      </c>
      <c r="D16271" s="111" t="str">
        <f t="shared" ref="D16271:E16271" si="16269">TRIM(B16271)</f>
        <v>Utah</v>
      </c>
      <c r="E16271" s="111" t="str">
        <f t="shared" si="16269"/>
        <v>South Jordan</v>
      </c>
    </row>
    <row r="16272" spans="1:5">
      <c r="A16272" s="110" t="s">
        <v>27996</v>
      </c>
      <c r="B16272" s="110" t="s">
        <v>1374</v>
      </c>
      <c r="C16272" s="111" t="s">
        <v>27997</v>
      </c>
      <c r="D16272" s="111" t="str">
        <f t="shared" ref="D16272:E16272" si="16270">TRIM(B16272)</f>
        <v>Utah</v>
      </c>
      <c r="E16272" s="111" t="str">
        <f t="shared" si="16270"/>
        <v>South Salt Lake</v>
      </c>
    </row>
    <row r="16273" spans="1:5">
      <c r="A16273" s="3" t="s">
        <v>27998</v>
      </c>
      <c r="B16273" s="110" t="s">
        <v>1374</v>
      </c>
      <c r="C16273" s="111" t="s">
        <v>537</v>
      </c>
      <c r="D16273" s="111" t="str">
        <f t="shared" ref="D16273:E16273" si="16271">TRIM(B16273)</f>
        <v>Utah</v>
      </c>
      <c r="E16273" s="111" t="str">
        <f t="shared" si="16271"/>
        <v>Spanish Fork</v>
      </c>
    </row>
    <row r="16274" spans="1:5">
      <c r="A16274" s="3" t="s">
        <v>27999</v>
      </c>
      <c r="B16274" s="110" t="s">
        <v>1374</v>
      </c>
      <c r="C16274" s="111" t="s">
        <v>537</v>
      </c>
      <c r="D16274" s="111" t="str">
        <f t="shared" ref="D16274:E16274" si="16272">TRIM(B16274)</f>
        <v>Utah</v>
      </c>
      <c r="E16274" s="111" t="str">
        <f t="shared" si="16272"/>
        <v>Spanish Fork</v>
      </c>
    </row>
    <row r="16275" spans="1:5">
      <c r="A16275" s="3" t="s">
        <v>28000</v>
      </c>
      <c r="B16275" s="110" t="s">
        <v>1374</v>
      </c>
      <c r="C16275" s="111" t="s">
        <v>411</v>
      </c>
      <c r="D16275" s="111" t="str">
        <f t="shared" ref="D16275:E16275" si="16273">TRIM(B16275)</f>
        <v>Utah</v>
      </c>
      <c r="E16275" s="111" t="str">
        <f t="shared" si="16273"/>
        <v>Springville</v>
      </c>
    </row>
    <row r="16276" spans="1:5">
      <c r="A16276" s="3" t="s">
        <v>2187</v>
      </c>
      <c r="B16276" s="110" t="s">
        <v>1374</v>
      </c>
      <c r="C16276" s="111" t="s">
        <v>411</v>
      </c>
      <c r="D16276" s="111" t="str">
        <f t="shared" ref="D16276:E16276" si="16274">TRIM(B16276)</f>
        <v>Utah</v>
      </c>
      <c r="E16276" s="111" t="str">
        <f t="shared" si="16274"/>
        <v>Springville</v>
      </c>
    </row>
    <row r="16277" spans="1:5">
      <c r="A16277" s="3" t="s">
        <v>23294</v>
      </c>
      <c r="B16277" s="110" t="s">
        <v>1374</v>
      </c>
      <c r="C16277" s="111" t="s">
        <v>13905</v>
      </c>
      <c r="D16277" s="111" t="str">
        <f t="shared" ref="D16277:E16277" si="16275">TRIM(B16277)</f>
        <v>Utah</v>
      </c>
      <c r="E16277" s="111" t="str">
        <f t="shared" si="16275"/>
        <v>St George</v>
      </c>
    </row>
    <row r="16278" spans="1:5">
      <c r="A16278" s="3" t="s">
        <v>28001</v>
      </c>
      <c r="B16278" s="110" t="s">
        <v>1374</v>
      </c>
      <c r="C16278" s="111" t="s">
        <v>13905</v>
      </c>
      <c r="D16278" s="111" t="str">
        <f t="shared" ref="D16278:E16278" si="16276">TRIM(B16278)</f>
        <v>Utah</v>
      </c>
      <c r="E16278" s="111" t="str">
        <f t="shared" si="16276"/>
        <v>St George</v>
      </c>
    </row>
    <row r="16279" spans="1:5">
      <c r="A16279" s="3" t="s">
        <v>28002</v>
      </c>
      <c r="B16279" s="110" t="s">
        <v>1374</v>
      </c>
      <c r="C16279" s="111" t="s">
        <v>13905</v>
      </c>
      <c r="D16279" s="111" t="str">
        <f t="shared" ref="D16279:E16279" si="16277">TRIM(B16279)</f>
        <v>Utah</v>
      </c>
      <c r="E16279" s="111" t="str">
        <f t="shared" si="16277"/>
        <v>St George</v>
      </c>
    </row>
    <row r="16280" spans="1:5">
      <c r="A16280" s="110" t="s">
        <v>28003</v>
      </c>
      <c r="B16280" s="110" t="s">
        <v>1374</v>
      </c>
      <c r="C16280" s="111" t="s">
        <v>13905</v>
      </c>
      <c r="D16280" s="111" t="str">
        <f t="shared" ref="D16280:E16280" si="16278">TRIM(B16280)</f>
        <v>Utah</v>
      </c>
      <c r="E16280" s="111" t="str">
        <f t="shared" si="16278"/>
        <v>St George</v>
      </c>
    </row>
    <row r="16281" spans="1:5">
      <c r="A16281" s="3" t="s">
        <v>28004</v>
      </c>
      <c r="B16281" s="110" t="s">
        <v>1374</v>
      </c>
      <c r="C16281" s="111" t="s">
        <v>28005</v>
      </c>
      <c r="D16281" s="111" t="str">
        <f t="shared" ref="D16281:E16281" si="16279">TRIM(B16281)</f>
        <v>Utah</v>
      </c>
      <c r="E16281" s="111" t="str">
        <f t="shared" si="16279"/>
        <v>Stansbury Park</v>
      </c>
    </row>
    <row r="16282" spans="1:5">
      <c r="A16282" s="3" t="s">
        <v>15539</v>
      </c>
      <c r="B16282" s="110" t="s">
        <v>1374</v>
      </c>
      <c r="C16282" s="111" t="s">
        <v>12293</v>
      </c>
      <c r="D16282" s="111" t="str">
        <f t="shared" ref="D16282:E16282" si="16280">TRIM(B16282)</f>
        <v>Utah</v>
      </c>
      <c r="E16282" s="111" t="str">
        <f t="shared" si="16280"/>
        <v>Syracuse</v>
      </c>
    </row>
    <row r="16283" spans="1:5">
      <c r="A16283" s="3" t="s">
        <v>28006</v>
      </c>
      <c r="B16283" s="110" t="s">
        <v>1374</v>
      </c>
      <c r="C16283" s="111" t="s">
        <v>28007</v>
      </c>
      <c r="D16283" s="111" t="str">
        <f t="shared" ref="D16283:E16283" si="16281">TRIM(B16283)</f>
        <v>Utah</v>
      </c>
      <c r="E16283" s="111" t="str">
        <f t="shared" si="16281"/>
        <v>Tabiona</v>
      </c>
    </row>
    <row r="16284" spans="1:5">
      <c r="A16284" s="3" t="s">
        <v>28008</v>
      </c>
      <c r="B16284" s="110" t="s">
        <v>1374</v>
      </c>
      <c r="C16284" s="111" t="s">
        <v>15845</v>
      </c>
      <c r="D16284" s="111" t="str">
        <f t="shared" ref="D16284:E16284" si="16282">TRIM(B16284)</f>
        <v>Utah</v>
      </c>
      <c r="E16284" s="111" t="str">
        <f t="shared" si="16282"/>
        <v>Taylorsville</v>
      </c>
    </row>
    <row r="16285" spans="1:5">
      <c r="A16285" s="3" t="s">
        <v>28009</v>
      </c>
      <c r="B16285" s="110" t="s">
        <v>1374</v>
      </c>
      <c r="C16285" s="111" t="s">
        <v>28010</v>
      </c>
      <c r="D16285" s="111" t="str">
        <f t="shared" ref="D16285:E16285" si="16283">TRIM(B16285)</f>
        <v>Utah</v>
      </c>
      <c r="E16285" s="111" t="str">
        <f t="shared" si="16283"/>
        <v>Tonalea</v>
      </c>
    </row>
    <row r="16286" spans="1:5">
      <c r="A16286" s="110" t="s">
        <v>28011</v>
      </c>
      <c r="B16286" s="110" t="s">
        <v>1374</v>
      </c>
      <c r="C16286" s="111" t="s">
        <v>28012</v>
      </c>
      <c r="D16286" s="111" t="str">
        <f t="shared" ref="D16286:E16286" si="16284">TRIM(B16286)</f>
        <v>Utah</v>
      </c>
      <c r="E16286" s="111" t="str">
        <f t="shared" si="16284"/>
        <v>Tooele</v>
      </c>
    </row>
    <row r="16287" spans="1:5">
      <c r="A16287" s="3" t="s">
        <v>28013</v>
      </c>
      <c r="B16287" s="110" t="s">
        <v>1374</v>
      </c>
      <c r="C16287" s="111" t="s">
        <v>28012</v>
      </c>
      <c r="D16287" s="111" t="str">
        <f t="shared" ref="D16287:E16287" si="16285">TRIM(B16287)</f>
        <v>Utah</v>
      </c>
      <c r="E16287" s="111" t="str">
        <f t="shared" si="16285"/>
        <v>Tooele</v>
      </c>
    </row>
    <row r="16288" spans="1:5">
      <c r="A16288" s="3" t="s">
        <v>28014</v>
      </c>
      <c r="B16288" s="110" t="s">
        <v>1374</v>
      </c>
      <c r="C16288" s="111" t="s">
        <v>28015</v>
      </c>
      <c r="D16288" s="111" t="str">
        <f t="shared" ref="D16288:E16288" si="16286">TRIM(B16288)</f>
        <v>Utah</v>
      </c>
      <c r="E16288" s="111" t="str">
        <f t="shared" si="16286"/>
        <v>Tropic</v>
      </c>
    </row>
    <row r="16289" spans="1:5">
      <c r="A16289" s="3" t="s">
        <v>28016</v>
      </c>
      <c r="B16289" s="110" t="s">
        <v>1374</v>
      </c>
      <c r="C16289" s="111" t="s">
        <v>28017</v>
      </c>
      <c r="D16289" s="111" t="str">
        <f t="shared" ref="D16289:E16289" si="16287">TRIM(B16289)</f>
        <v>Utah</v>
      </c>
      <c r="E16289" s="111" t="str">
        <f t="shared" si="16287"/>
        <v>Trout Creek</v>
      </c>
    </row>
    <row r="16290" spans="1:5">
      <c r="A16290" s="3" t="s">
        <v>28018</v>
      </c>
      <c r="B16290" s="110" t="s">
        <v>1374</v>
      </c>
      <c r="C16290" s="111" t="s">
        <v>563</v>
      </c>
      <c r="D16290" s="111" t="str">
        <f t="shared" ref="D16290:E16290" si="16288">TRIM(B16290)</f>
        <v>Utah</v>
      </c>
      <c r="E16290" s="111" t="str">
        <f t="shared" si="16288"/>
        <v>Vernal</v>
      </c>
    </row>
    <row r="16291" spans="1:5">
      <c r="A16291" s="3" t="s">
        <v>28019</v>
      </c>
      <c r="B16291" s="110" t="s">
        <v>1374</v>
      </c>
      <c r="C16291" s="111" t="s">
        <v>19905</v>
      </c>
      <c r="D16291" s="111" t="str">
        <f t="shared" ref="D16291:E16291" si="16289">TRIM(B16291)</f>
        <v>Utah</v>
      </c>
      <c r="E16291" s="111" t="str">
        <f t="shared" si="16289"/>
        <v>Wendover</v>
      </c>
    </row>
    <row r="16292" spans="1:5">
      <c r="A16292" s="3" t="s">
        <v>28020</v>
      </c>
      <c r="B16292" s="110" t="s">
        <v>1374</v>
      </c>
      <c r="C16292" s="111" t="s">
        <v>28021</v>
      </c>
      <c r="D16292" s="111" t="str">
        <f t="shared" ref="D16292:E16292" si="16290">TRIM(B16292)</f>
        <v>Utah</v>
      </c>
      <c r="E16292" s="111" t="str">
        <f t="shared" si="16290"/>
        <v>West Jordan</v>
      </c>
    </row>
    <row r="16293" spans="1:5">
      <c r="A16293" s="3" t="s">
        <v>28022</v>
      </c>
      <c r="B16293" s="110" t="s">
        <v>1374</v>
      </c>
      <c r="C16293" s="111" t="s">
        <v>28021</v>
      </c>
      <c r="D16293" s="111" t="str">
        <f t="shared" ref="D16293:E16293" si="16291">TRIM(B16293)</f>
        <v>Utah</v>
      </c>
      <c r="E16293" s="111" t="str">
        <f t="shared" si="16291"/>
        <v>West Jordan</v>
      </c>
    </row>
    <row r="16294" spans="1:5">
      <c r="A16294" s="3" t="s">
        <v>28023</v>
      </c>
      <c r="B16294" s="110" t="s">
        <v>1374</v>
      </c>
      <c r="C16294" s="111" t="s">
        <v>28021</v>
      </c>
      <c r="D16294" s="111" t="str">
        <f t="shared" ref="D16294:E16294" si="16292">TRIM(B16294)</f>
        <v>Utah</v>
      </c>
      <c r="E16294" s="111" t="str">
        <f t="shared" si="16292"/>
        <v>West Jordan</v>
      </c>
    </row>
    <row r="16295" spans="1:5">
      <c r="A16295" s="3" t="s">
        <v>28024</v>
      </c>
      <c r="B16295" s="110" t="s">
        <v>1374</v>
      </c>
      <c r="C16295" s="111" t="s">
        <v>28021</v>
      </c>
      <c r="D16295" s="111" t="str">
        <f t="shared" ref="D16295:E16295" si="16293">TRIM(B16295)</f>
        <v>Utah</v>
      </c>
      <c r="E16295" s="111" t="str">
        <f t="shared" si="16293"/>
        <v>West Jordan</v>
      </c>
    </row>
    <row r="16296" spans="1:5">
      <c r="A16296" s="3" t="s">
        <v>28025</v>
      </c>
      <c r="B16296" s="110" t="s">
        <v>1374</v>
      </c>
      <c r="C16296" s="111" t="s">
        <v>28026</v>
      </c>
      <c r="D16296" s="111" t="str">
        <f t="shared" ref="D16296:E16296" si="16294">TRIM(B16296)</f>
        <v>Utah</v>
      </c>
      <c r="E16296" s="111" t="str">
        <f t="shared" si="16294"/>
        <v>West Valley City</v>
      </c>
    </row>
    <row r="16297" spans="1:5">
      <c r="A16297" s="3" t="s">
        <v>28027</v>
      </c>
      <c r="B16297" s="110" t="s">
        <v>1374</v>
      </c>
      <c r="C16297" s="111" t="s">
        <v>28026</v>
      </c>
      <c r="D16297" s="111" t="str">
        <f t="shared" ref="D16297:E16297" si="16295">TRIM(B16297)</f>
        <v>Utah</v>
      </c>
      <c r="E16297" s="111" t="str">
        <f t="shared" si="16295"/>
        <v>West Valley City</v>
      </c>
    </row>
    <row r="16298" spans="1:5">
      <c r="A16298" s="3" t="s">
        <v>28028</v>
      </c>
      <c r="B16298" s="110" t="s">
        <v>1374</v>
      </c>
      <c r="C16298" s="111" t="s">
        <v>28026</v>
      </c>
      <c r="D16298" s="111" t="str">
        <f t="shared" ref="D16298:E16298" si="16296">TRIM(B16298)</f>
        <v>Utah</v>
      </c>
      <c r="E16298" s="111" t="str">
        <f t="shared" si="16296"/>
        <v>West Valley City</v>
      </c>
    </row>
    <row r="16299" spans="1:5">
      <c r="A16299" s="3" t="s">
        <v>28029</v>
      </c>
      <c r="B16299" s="110" t="s">
        <v>1374</v>
      </c>
      <c r="C16299" s="111" t="s">
        <v>28026</v>
      </c>
      <c r="D16299" s="111" t="str">
        <f t="shared" ref="D16299:E16299" si="16297">TRIM(B16299)</f>
        <v>Utah</v>
      </c>
      <c r="E16299" s="111" t="str">
        <f t="shared" si="16297"/>
        <v>West Valley City</v>
      </c>
    </row>
    <row r="16300" spans="1:5">
      <c r="A16300" s="3" t="s">
        <v>28030</v>
      </c>
      <c r="B16300" s="110" t="s">
        <v>1374</v>
      </c>
      <c r="C16300" s="111" t="s">
        <v>28026</v>
      </c>
      <c r="D16300" s="111" t="str">
        <f t="shared" ref="D16300:E16300" si="16298">TRIM(B16300)</f>
        <v>Utah</v>
      </c>
      <c r="E16300" s="111" t="str">
        <f t="shared" si="16298"/>
        <v>West Valley City</v>
      </c>
    </row>
    <row r="16301" spans="1:5">
      <c r="A16301" s="3" t="s">
        <v>28031</v>
      </c>
      <c r="B16301" s="110" t="s">
        <v>1374</v>
      </c>
      <c r="C16301" s="111" t="s">
        <v>4232</v>
      </c>
      <c r="D16301" s="111" t="str">
        <f t="shared" ref="D16301:E16301" si="16299">TRIM(B16301)</f>
        <v>Utah</v>
      </c>
      <c r="E16301" s="111" t="str">
        <f t="shared" si="16299"/>
        <v>Woods Cross</v>
      </c>
    </row>
    <row r="16302" spans="1:5">
      <c r="A16302" s="110" t="s">
        <v>28032</v>
      </c>
      <c r="B16302" s="110" t="s">
        <v>1375</v>
      </c>
      <c r="C16302" s="111" t="s">
        <v>1048</v>
      </c>
      <c r="D16302" s="111" t="str">
        <f t="shared" ref="D16302:E16302" si="16300">TRIM(B16302)</f>
        <v>Vermont</v>
      </c>
      <c r="E16302" s="111" t="str">
        <f t="shared" si="16300"/>
        <v>Arlington</v>
      </c>
    </row>
    <row r="16303" spans="1:5">
      <c r="A16303" s="3" t="s">
        <v>28033</v>
      </c>
      <c r="B16303" s="110" t="s">
        <v>1375</v>
      </c>
      <c r="C16303" s="111" t="s">
        <v>16559</v>
      </c>
      <c r="D16303" s="111" t="str">
        <f t="shared" ref="D16303:E16303" si="16301">TRIM(B16303)</f>
        <v>Vermont</v>
      </c>
      <c r="E16303" s="111" t="str">
        <f t="shared" si="16301"/>
        <v>Barre</v>
      </c>
    </row>
    <row r="16304" spans="1:5">
      <c r="A16304" s="3" t="s">
        <v>28034</v>
      </c>
      <c r="B16304" s="110" t="s">
        <v>1375</v>
      </c>
      <c r="C16304" s="111" t="s">
        <v>28035</v>
      </c>
      <c r="D16304" s="111" t="str">
        <f t="shared" ref="D16304:E16304" si="16302">TRIM(B16304)</f>
        <v>Vermont</v>
      </c>
      <c r="E16304" s="111" t="str">
        <f t="shared" si="16302"/>
        <v>Bellows Falls</v>
      </c>
    </row>
    <row r="16305" spans="1:5">
      <c r="A16305" s="3" t="s">
        <v>28036</v>
      </c>
      <c r="B16305" s="110" t="s">
        <v>1375</v>
      </c>
      <c r="C16305" s="111" t="s">
        <v>521</v>
      </c>
      <c r="D16305" s="111" t="str">
        <f t="shared" ref="D16305:E16305" si="16303">TRIM(B16305)</f>
        <v>Vermont</v>
      </c>
      <c r="E16305" s="111" t="str">
        <f t="shared" si="16303"/>
        <v>Bennington</v>
      </c>
    </row>
    <row r="16306" spans="1:5">
      <c r="A16306" s="3" t="s">
        <v>28037</v>
      </c>
      <c r="B16306" s="110" t="s">
        <v>1375</v>
      </c>
      <c r="C16306" s="111" t="s">
        <v>3641</v>
      </c>
      <c r="D16306" s="111" t="str">
        <f t="shared" ref="D16306:E16306" si="16304">TRIM(B16306)</f>
        <v>Vermont</v>
      </c>
      <c r="E16306" s="111" t="str">
        <f t="shared" si="16304"/>
        <v>Bradford</v>
      </c>
    </row>
    <row r="16307" spans="1:5">
      <c r="A16307" s="3" t="s">
        <v>28038</v>
      </c>
      <c r="B16307" s="110" t="s">
        <v>1375</v>
      </c>
      <c r="C16307" s="111" t="s">
        <v>9005</v>
      </c>
      <c r="D16307" s="111" t="str">
        <f t="shared" ref="D16307:E16307" si="16305">TRIM(B16307)</f>
        <v>Vermont</v>
      </c>
      <c r="E16307" s="111" t="str">
        <f t="shared" si="16305"/>
        <v>Brandon</v>
      </c>
    </row>
    <row r="16308" spans="1:5">
      <c r="A16308" s="3" t="s">
        <v>28039</v>
      </c>
      <c r="B16308" s="110" t="s">
        <v>1375</v>
      </c>
      <c r="C16308" s="111" t="s">
        <v>28040</v>
      </c>
      <c r="D16308" s="111" t="str">
        <f t="shared" ref="D16308:E16308" si="16306">TRIM(B16308)</f>
        <v>Vermont</v>
      </c>
      <c r="E16308" s="111" t="str">
        <f t="shared" si="16306"/>
        <v>Brattleboro</v>
      </c>
    </row>
    <row r="16309" spans="1:5">
      <c r="A16309" s="3" t="s">
        <v>28041</v>
      </c>
      <c r="B16309" s="110" t="s">
        <v>1375</v>
      </c>
      <c r="C16309" s="111" t="s">
        <v>561</v>
      </c>
      <c r="D16309" s="111" t="str">
        <f t="shared" ref="D16309:E16309" si="16307">TRIM(B16309)</f>
        <v>Vermont</v>
      </c>
      <c r="E16309" s="111" t="str">
        <f t="shared" si="16307"/>
        <v>Bristol</v>
      </c>
    </row>
    <row r="16310" spans="1:5">
      <c r="A16310" s="3" t="s">
        <v>28042</v>
      </c>
      <c r="B16310" s="110" t="s">
        <v>1375</v>
      </c>
      <c r="C16310" s="111" t="s">
        <v>7667</v>
      </c>
      <c r="D16310" s="111" t="str">
        <f t="shared" ref="D16310:E16310" si="16308">TRIM(B16310)</f>
        <v>Vermont</v>
      </c>
      <c r="E16310" s="111" t="str">
        <f t="shared" si="16308"/>
        <v>Burlington</v>
      </c>
    </row>
    <row r="16311" spans="1:5">
      <c r="A16311" s="3" t="s">
        <v>28043</v>
      </c>
      <c r="B16311" s="110" t="s">
        <v>1375</v>
      </c>
      <c r="C16311" s="111" t="s">
        <v>2262</v>
      </c>
      <c r="D16311" s="111" t="str">
        <f t="shared" ref="D16311:E16311" si="16309">TRIM(B16311)</f>
        <v>Vermont</v>
      </c>
      <c r="E16311" s="111" t="str">
        <f t="shared" si="16309"/>
        <v>Chester</v>
      </c>
    </row>
    <row r="16312" spans="1:5">
      <c r="A16312" s="3" t="s">
        <v>28044</v>
      </c>
      <c r="B16312" s="110" t="s">
        <v>1375</v>
      </c>
      <c r="C16312" s="111" t="s">
        <v>8393</v>
      </c>
      <c r="D16312" s="111" t="str">
        <f t="shared" ref="D16312:E16312" si="16310">TRIM(B16312)</f>
        <v>Vermont</v>
      </c>
      <c r="E16312" s="111" t="str">
        <f t="shared" si="16310"/>
        <v>Colchester</v>
      </c>
    </row>
    <row r="16313" spans="1:5">
      <c r="A16313" s="3" t="s">
        <v>28045</v>
      </c>
      <c r="B16313" s="110" t="s">
        <v>1375</v>
      </c>
      <c r="C16313" s="111" t="s">
        <v>28046</v>
      </c>
      <c r="D16313" s="111" t="str">
        <f t="shared" ref="D16313:E16313" si="16311">TRIM(B16313)</f>
        <v>Vermont</v>
      </c>
      <c r="E16313" s="111" t="str">
        <f t="shared" si="16311"/>
        <v>Enosburg Falls</v>
      </c>
    </row>
    <row r="16314" spans="1:5">
      <c r="A16314" s="3" t="s">
        <v>28047</v>
      </c>
      <c r="B16314" s="110" t="s">
        <v>1375</v>
      </c>
      <c r="C16314" s="111" t="s">
        <v>28048</v>
      </c>
      <c r="D16314" s="111" t="str">
        <f t="shared" ref="D16314:E16314" si="16312">TRIM(B16314)</f>
        <v>Vermont</v>
      </c>
      <c r="E16314" s="111" t="str">
        <f t="shared" si="16312"/>
        <v>Essex Junction</v>
      </c>
    </row>
    <row r="16315" spans="1:5">
      <c r="A16315" s="3" t="s">
        <v>28049</v>
      </c>
      <c r="B16315" s="110" t="s">
        <v>1375</v>
      </c>
      <c r="C16315" s="111" t="s">
        <v>8108</v>
      </c>
      <c r="D16315" s="111" t="str">
        <f t="shared" ref="D16315:E16315" si="16313">TRIM(B16315)</f>
        <v>Vermont</v>
      </c>
      <c r="E16315" s="111" t="str">
        <f t="shared" si="16313"/>
        <v>Fair Haven</v>
      </c>
    </row>
    <row r="16316" spans="1:5">
      <c r="A16316" s="3" t="s">
        <v>28050</v>
      </c>
      <c r="B16316" s="110" t="s">
        <v>1375</v>
      </c>
      <c r="C16316" s="111" t="s">
        <v>603</v>
      </c>
      <c r="D16316" s="111" t="str">
        <f t="shared" ref="D16316:E16316" si="16314">TRIM(B16316)</f>
        <v>Vermont</v>
      </c>
      <c r="E16316" s="111" t="str">
        <f t="shared" si="16314"/>
        <v>Fairfax</v>
      </c>
    </row>
    <row r="16317" spans="1:5">
      <c r="A16317" s="3" t="s">
        <v>28051</v>
      </c>
      <c r="B16317" s="110" t="s">
        <v>1375</v>
      </c>
      <c r="C16317" s="111" t="s">
        <v>28052</v>
      </c>
      <c r="D16317" s="111" t="str">
        <f t="shared" ref="D16317:E16317" si="16315">TRIM(B16317)</f>
        <v>Vermont</v>
      </c>
      <c r="E16317" s="111" t="str">
        <f t="shared" si="16315"/>
        <v>Hardwick</v>
      </c>
    </row>
    <row r="16318" spans="1:5">
      <c r="A16318" s="3" t="s">
        <v>28053</v>
      </c>
      <c r="B16318" s="110" t="s">
        <v>1375</v>
      </c>
      <c r="C16318" s="111" t="s">
        <v>28054</v>
      </c>
      <c r="D16318" s="111" t="str">
        <f t="shared" ref="D16318:E16318" si="16316">TRIM(B16318)</f>
        <v>Vermont</v>
      </c>
      <c r="E16318" s="111" t="str">
        <f t="shared" si="16316"/>
        <v>Hinesburg</v>
      </c>
    </row>
    <row r="16319" spans="1:5">
      <c r="A16319" s="3" t="s">
        <v>28055</v>
      </c>
      <c r="B16319" s="110" t="s">
        <v>1375</v>
      </c>
      <c r="C16319" s="111" t="s">
        <v>16688</v>
      </c>
      <c r="D16319" s="111" t="str">
        <f t="shared" ref="D16319:E16319" si="16317">TRIM(B16319)</f>
        <v>Vermont</v>
      </c>
      <c r="E16319" s="111" t="str">
        <f t="shared" si="16317"/>
        <v>Hyde Park</v>
      </c>
    </row>
    <row r="16320" spans="1:5">
      <c r="A16320" s="3" t="s">
        <v>28056</v>
      </c>
      <c r="B16320" s="110" t="s">
        <v>1375</v>
      </c>
      <c r="C16320" s="111" t="s">
        <v>21365</v>
      </c>
      <c r="D16320" s="111" t="str">
        <f t="shared" ref="D16320:E16320" si="16318">TRIM(B16320)</f>
        <v>Vermont</v>
      </c>
      <c r="E16320" s="111" t="str">
        <f t="shared" si="16318"/>
        <v>Jericho</v>
      </c>
    </row>
    <row r="16321" spans="1:5">
      <c r="A16321" s="3" t="s">
        <v>23476</v>
      </c>
      <c r="B16321" s="110" t="s">
        <v>1375</v>
      </c>
      <c r="C16321" s="111" t="s">
        <v>15761</v>
      </c>
      <c r="D16321" s="111" t="str">
        <f t="shared" ref="D16321:E16321" si="16319">TRIM(B16321)</f>
        <v>Vermont</v>
      </c>
      <c r="E16321" s="111" t="str">
        <f t="shared" si="16319"/>
        <v>Ludlow</v>
      </c>
    </row>
    <row r="16322" spans="1:5">
      <c r="A16322" s="3" t="s">
        <v>28057</v>
      </c>
      <c r="B16322" s="110" t="s">
        <v>1375</v>
      </c>
      <c r="C16322" s="111" t="s">
        <v>9837</v>
      </c>
      <c r="D16322" s="111" t="str">
        <f t="shared" ref="D16322:E16322" si="16320">TRIM(B16322)</f>
        <v>Vermont</v>
      </c>
      <c r="E16322" s="111" t="str">
        <f t="shared" si="16320"/>
        <v>Middlebury</v>
      </c>
    </row>
    <row r="16323" spans="1:5">
      <c r="A16323" s="3" t="s">
        <v>28058</v>
      </c>
      <c r="B16323" s="110" t="s">
        <v>1375</v>
      </c>
      <c r="C16323" s="111" t="s">
        <v>503</v>
      </c>
      <c r="D16323" s="111" t="str">
        <f t="shared" ref="D16323:E16323" si="16321">TRIM(B16323)</f>
        <v>Vermont</v>
      </c>
      <c r="E16323" s="111" t="str">
        <f t="shared" si="16321"/>
        <v>Milton</v>
      </c>
    </row>
    <row r="16324" spans="1:5">
      <c r="A16324" s="3" t="s">
        <v>22681</v>
      </c>
      <c r="B16324" s="110" t="s">
        <v>1375</v>
      </c>
      <c r="C16324" s="111" t="s">
        <v>6441</v>
      </c>
      <c r="D16324" s="111" t="str">
        <f t="shared" ref="D16324:E16324" si="16322">TRIM(B16324)</f>
        <v>Vermont</v>
      </c>
      <c r="E16324" s="111" t="str">
        <f t="shared" si="16322"/>
        <v>Montpelier</v>
      </c>
    </row>
    <row r="16325" spans="1:5">
      <c r="A16325" s="3" t="s">
        <v>28059</v>
      </c>
      <c r="B16325" s="110" t="s">
        <v>1375</v>
      </c>
      <c r="C16325" s="111" t="s">
        <v>6441</v>
      </c>
      <c r="D16325" s="111" t="str">
        <f t="shared" ref="D16325:E16325" si="16323">TRIM(B16325)</f>
        <v>Vermont</v>
      </c>
      <c r="E16325" s="111" t="str">
        <f t="shared" si="16323"/>
        <v>Montpelier</v>
      </c>
    </row>
    <row r="16326" spans="1:5">
      <c r="A16326" s="3" t="s">
        <v>28060</v>
      </c>
      <c r="B16326" s="110" t="s">
        <v>1375</v>
      </c>
      <c r="C16326" s="111" t="s">
        <v>28061</v>
      </c>
      <c r="D16326" s="111" t="str">
        <f t="shared" ref="D16326:E16326" si="16324">TRIM(B16326)</f>
        <v>Vermont</v>
      </c>
      <c r="E16326" s="111" t="str">
        <f t="shared" si="16324"/>
        <v>Moretown</v>
      </c>
    </row>
    <row r="16327" spans="1:5">
      <c r="A16327" s="3" t="s">
        <v>28062</v>
      </c>
      <c r="B16327" s="110" t="s">
        <v>1375</v>
      </c>
      <c r="C16327" s="111" t="s">
        <v>440</v>
      </c>
      <c r="D16327" s="111" t="str">
        <f t="shared" ref="D16327:E16327" si="16325">TRIM(B16327)</f>
        <v>Vermont</v>
      </c>
      <c r="E16327" s="111" t="str">
        <f t="shared" si="16325"/>
        <v>Morrisville</v>
      </c>
    </row>
    <row r="16328" spans="1:5">
      <c r="A16328" s="3" t="s">
        <v>28063</v>
      </c>
      <c r="B16328" s="110" t="s">
        <v>1375</v>
      </c>
      <c r="C16328" s="111" t="s">
        <v>4078</v>
      </c>
      <c r="D16328" s="111" t="str">
        <f t="shared" ref="D16328:E16328" si="16326">TRIM(B16328)</f>
        <v>Vermont</v>
      </c>
      <c r="E16328" s="111" t="str">
        <f t="shared" si="16326"/>
        <v>Newport</v>
      </c>
    </row>
    <row r="16329" spans="1:5">
      <c r="A16329" s="3" t="s">
        <v>28064</v>
      </c>
      <c r="B16329" s="110" t="s">
        <v>1375</v>
      </c>
      <c r="C16329" s="111" t="s">
        <v>28065</v>
      </c>
      <c r="D16329" s="111" t="str">
        <f t="shared" ref="D16329:E16329" si="16327">TRIM(B16329)</f>
        <v>Vermont</v>
      </c>
      <c r="E16329" s="111" t="str">
        <f t="shared" si="16327"/>
        <v>North Clarendon</v>
      </c>
    </row>
    <row r="16330" spans="1:5">
      <c r="A16330" s="3" t="s">
        <v>28066</v>
      </c>
      <c r="B16330" s="110" t="s">
        <v>1375</v>
      </c>
      <c r="C16330" s="111" t="s">
        <v>296</v>
      </c>
      <c r="D16330" s="111" t="str">
        <f t="shared" ref="D16330:E16330" si="16328">TRIM(B16330)</f>
        <v>Vermont</v>
      </c>
      <c r="E16330" s="111" t="str">
        <f t="shared" si="16328"/>
        <v>Northfield</v>
      </c>
    </row>
    <row r="16331" spans="1:5">
      <c r="A16331" s="3" t="s">
        <v>28067</v>
      </c>
      <c r="B16331" s="110" t="s">
        <v>1375</v>
      </c>
      <c r="C16331" s="111" t="s">
        <v>28068</v>
      </c>
      <c r="D16331" s="111" t="str">
        <f t="shared" ref="D16331:E16331" si="16329">TRIM(B16331)</f>
        <v>Vermont</v>
      </c>
      <c r="E16331" s="111" t="str">
        <f t="shared" si="16329"/>
        <v>Orford</v>
      </c>
    </row>
    <row r="16332" spans="1:5">
      <c r="A16332" s="3" t="s">
        <v>28069</v>
      </c>
      <c r="B16332" s="110" t="s">
        <v>1375</v>
      </c>
      <c r="C16332" s="111" t="s">
        <v>14543</v>
      </c>
      <c r="D16332" s="111" t="str">
        <f t="shared" ref="D16332:E16332" si="16330">TRIM(B16332)</f>
        <v>Vermont</v>
      </c>
      <c r="E16332" s="111" t="str">
        <f t="shared" si="16330"/>
        <v>Orleans</v>
      </c>
    </row>
    <row r="16333" spans="1:5">
      <c r="A16333" s="3" t="s">
        <v>28070</v>
      </c>
      <c r="B16333" s="110" t="s">
        <v>1375</v>
      </c>
      <c r="C16333" s="111" t="s">
        <v>28071</v>
      </c>
      <c r="D16333" s="111" t="str">
        <f t="shared" ref="D16333:E16333" si="16331">TRIM(B16333)</f>
        <v>Vermont</v>
      </c>
      <c r="E16333" s="111" t="str">
        <f t="shared" si="16331"/>
        <v>Poultney</v>
      </c>
    </row>
    <row r="16334" spans="1:5">
      <c r="A16334" s="3" t="s">
        <v>28072</v>
      </c>
      <c r="B16334" s="110" t="s">
        <v>1375</v>
      </c>
      <c r="C16334" s="111" t="s">
        <v>18181</v>
      </c>
      <c r="D16334" s="111" t="str">
        <f t="shared" ref="D16334:E16334" si="16332">TRIM(B16334)</f>
        <v>Vermont</v>
      </c>
      <c r="E16334" s="111" t="str">
        <f t="shared" si="16332"/>
        <v>Proctor</v>
      </c>
    </row>
    <row r="16335" spans="1:5">
      <c r="A16335" s="3" t="s">
        <v>28073</v>
      </c>
      <c r="B16335" s="110" t="s">
        <v>1375</v>
      </c>
      <c r="C16335" s="111" t="s">
        <v>15476</v>
      </c>
      <c r="D16335" s="111" t="str">
        <f t="shared" ref="D16335:E16335" si="16333">TRIM(B16335)</f>
        <v>Vermont</v>
      </c>
      <c r="E16335" s="111" t="str">
        <f t="shared" si="16333"/>
        <v>Randolph</v>
      </c>
    </row>
    <row r="16336" spans="1:5">
      <c r="A16336" s="3" t="s">
        <v>28074</v>
      </c>
      <c r="B16336" s="110" t="s">
        <v>1375</v>
      </c>
      <c r="C16336" s="111" t="s">
        <v>28075</v>
      </c>
      <c r="D16336" s="111" t="str">
        <f t="shared" ref="D16336:E16336" si="16334">TRIM(B16336)</f>
        <v>Vermont</v>
      </c>
      <c r="E16336" s="111" t="str">
        <f t="shared" si="16334"/>
        <v>Richford</v>
      </c>
    </row>
    <row r="16337" spans="1:5">
      <c r="A16337" s="3" t="s">
        <v>28076</v>
      </c>
      <c r="B16337" s="110" t="s">
        <v>1375</v>
      </c>
      <c r="C16337" s="111" t="s">
        <v>13922</v>
      </c>
      <c r="D16337" s="111" t="str">
        <f t="shared" ref="D16337:E16337" si="16335">TRIM(B16337)</f>
        <v>Vermont</v>
      </c>
      <c r="E16337" s="111" t="str">
        <f t="shared" si="16335"/>
        <v>Rutland</v>
      </c>
    </row>
    <row r="16338" spans="1:5">
      <c r="A16338" s="3" t="s">
        <v>28077</v>
      </c>
      <c r="B16338" s="110" t="s">
        <v>1375</v>
      </c>
      <c r="C16338" s="111" t="s">
        <v>21776</v>
      </c>
      <c r="D16338" s="111" t="str">
        <f t="shared" ref="D16338:E16338" si="16336">TRIM(B16338)</f>
        <v>Vermont</v>
      </c>
      <c r="E16338" s="111" t="str">
        <f t="shared" si="16336"/>
        <v>Saint Albans</v>
      </c>
    </row>
    <row r="16339" spans="1:5">
      <c r="A16339" s="3" t="s">
        <v>28078</v>
      </c>
      <c r="B16339" s="110" t="s">
        <v>1375</v>
      </c>
      <c r="C16339" s="111" t="s">
        <v>1211</v>
      </c>
      <c r="D16339" s="111" t="str">
        <f t="shared" ref="D16339:E16339" si="16337">TRIM(B16339)</f>
        <v>Vermont</v>
      </c>
      <c r="E16339" s="111" t="str">
        <f t="shared" si="16337"/>
        <v>South Burlington</v>
      </c>
    </row>
    <row r="16340" spans="1:5">
      <c r="A16340" s="3" t="s">
        <v>14612</v>
      </c>
      <c r="B16340" s="110" t="s">
        <v>1375</v>
      </c>
      <c r="C16340" s="111" t="s">
        <v>28079</v>
      </c>
      <c r="D16340" s="111" t="str">
        <f t="shared" ref="D16340:E16340" si="16338">TRIM(B16340)</f>
        <v>Vermont</v>
      </c>
      <c r="E16340" s="111" t="str">
        <f t="shared" si="16338"/>
        <v>South Royalton</v>
      </c>
    </row>
    <row r="16341" spans="1:5">
      <c r="A16341" s="3" t="s">
        <v>13829</v>
      </c>
      <c r="B16341" s="110" t="s">
        <v>1375</v>
      </c>
      <c r="C16341" s="111" t="s">
        <v>416</v>
      </c>
      <c r="D16341" s="111" t="str">
        <f t="shared" ref="D16341:E16341" si="16339">TRIM(B16341)</f>
        <v>Vermont</v>
      </c>
      <c r="E16341" s="111" t="str">
        <f t="shared" si="16339"/>
        <v>Springfield</v>
      </c>
    </row>
    <row r="16342" spans="1:5">
      <c r="A16342" s="3" t="s">
        <v>28080</v>
      </c>
      <c r="B16342" s="110" t="s">
        <v>1375</v>
      </c>
      <c r="C16342" s="111" t="s">
        <v>28081</v>
      </c>
      <c r="D16342" s="111" t="str">
        <f t="shared" ref="D16342:E16342" si="16340">TRIM(B16342)</f>
        <v>Vermont</v>
      </c>
      <c r="E16342" s="111" t="str">
        <f t="shared" si="16340"/>
        <v>Stowe</v>
      </c>
    </row>
    <row r="16343" spans="1:5">
      <c r="A16343" s="3" t="s">
        <v>28082</v>
      </c>
      <c r="B16343" s="110" t="s">
        <v>1375</v>
      </c>
      <c r="C16343" s="111" t="s">
        <v>23480</v>
      </c>
      <c r="D16343" s="111" t="str">
        <f t="shared" ref="D16343:E16343" si="16341">TRIM(B16343)</f>
        <v>Vermont</v>
      </c>
      <c r="E16343" s="111" t="str">
        <f t="shared" si="16341"/>
        <v>Swanton</v>
      </c>
    </row>
    <row r="16344" spans="1:5">
      <c r="A16344" s="3" t="s">
        <v>28083</v>
      </c>
      <c r="B16344" s="110" t="s">
        <v>1375</v>
      </c>
      <c r="C16344" s="111" t="s">
        <v>28084</v>
      </c>
      <c r="D16344" s="111" t="str">
        <f t="shared" ref="D16344:E16344" si="16342">TRIM(B16344)</f>
        <v>Vermont</v>
      </c>
      <c r="E16344" s="111" t="str">
        <f t="shared" si="16342"/>
        <v>Townshend</v>
      </c>
    </row>
    <row r="16345" spans="1:5">
      <c r="A16345" s="3" t="s">
        <v>28085</v>
      </c>
      <c r="B16345" s="110" t="s">
        <v>1375</v>
      </c>
      <c r="C16345" s="111" t="s">
        <v>28086</v>
      </c>
      <c r="D16345" s="111" t="str">
        <f t="shared" ref="D16345:E16345" si="16343">TRIM(B16345)</f>
        <v>Vermont</v>
      </c>
      <c r="E16345" s="111" t="str">
        <f t="shared" si="16343"/>
        <v>Vergennes</v>
      </c>
    </row>
    <row r="16346" spans="1:5">
      <c r="A16346" s="3" t="s">
        <v>17285</v>
      </c>
      <c r="B16346" s="110" t="s">
        <v>1375</v>
      </c>
      <c r="C16346" s="113" t="s">
        <v>28087</v>
      </c>
      <c r="D16346" s="111" t="str">
        <f t="shared" ref="D16346:E16346" si="16344">TRIM(B16346)</f>
        <v>Vermont</v>
      </c>
      <c r="E16346" s="111" t="str">
        <f t="shared" si="16344"/>
        <v>White River Junction</v>
      </c>
    </row>
    <row r="16347" spans="1:5">
      <c r="A16347" s="3" t="s">
        <v>28088</v>
      </c>
      <c r="B16347" s="110" t="s">
        <v>1375</v>
      </c>
      <c r="C16347" s="111" t="s">
        <v>28089</v>
      </c>
      <c r="D16347" s="111" t="str">
        <f t="shared" ref="D16347:E16347" si="16345">TRIM(B16347)</f>
        <v>Vermont</v>
      </c>
      <c r="E16347" s="111" t="str">
        <f t="shared" si="16345"/>
        <v>Whitingham</v>
      </c>
    </row>
    <row r="16348" spans="1:5">
      <c r="A16348" s="3" t="s">
        <v>28090</v>
      </c>
      <c r="B16348" s="110" t="s">
        <v>1375</v>
      </c>
      <c r="C16348" s="111" t="s">
        <v>11263</v>
      </c>
      <c r="D16348" s="111" t="str">
        <f t="shared" ref="D16348:E16348" si="16346">TRIM(B16348)</f>
        <v>Vermont</v>
      </c>
      <c r="E16348" s="111" t="str">
        <f t="shared" si="16346"/>
        <v>Williamstown</v>
      </c>
    </row>
    <row r="16349" spans="1:5">
      <c r="A16349" s="3" t="s">
        <v>28091</v>
      </c>
      <c r="B16349" s="110" t="s">
        <v>1375</v>
      </c>
      <c r="C16349" s="111" t="s">
        <v>28092</v>
      </c>
      <c r="D16349" s="111" t="str">
        <f t="shared" ref="D16349:E16349" si="16347">TRIM(B16349)</f>
        <v>Vermont</v>
      </c>
      <c r="E16349" s="111" t="str">
        <f t="shared" si="16347"/>
        <v>Winooski</v>
      </c>
    </row>
    <row r="16350" spans="1:5">
      <c r="A16350" s="3" t="s">
        <v>28093</v>
      </c>
      <c r="B16350" s="110" t="s">
        <v>1375</v>
      </c>
      <c r="C16350" s="112" t="s">
        <v>8792</v>
      </c>
      <c r="D16350" s="111" t="str">
        <f t="shared" ref="D16350:E16350" si="16348">TRIM(B16350)</f>
        <v>Vermont</v>
      </c>
      <c r="E16350" s="111" t="str">
        <f t="shared" si="16348"/>
        <v>Woodstock</v>
      </c>
    </row>
    <row r="16351" spans="1:5">
      <c r="A16351" s="3" t="s">
        <v>28094</v>
      </c>
      <c r="B16351" s="110" t="s">
        <v>1376</v>
      </c>
      <c r="C16351" s="111" t="s">
        <v>11945</v>
      </c>
      <c r="D16351" s="111" t="str">
        <f t="shared" ref="D16351:E16351" si="16349">TRIM(B16351)</f>
        <v>Virginia</v>
      </c>
      <c r="E16351" s="111" t="str">
        <f t="shared" si="16349"/>
        <v>Abingdon</v>
      </c>
    </row>
    <row r="16352" spans="1:5">
      <c r="A16352" s="3" t="s">
        <v>28095</v>
      </c>
      <c r="B16352" s="110" t="s">
        <v>1376</v>
      </c>
      <c r="C16352" s="111" t="s">
        <v>28096</v>
      </c>
      <c r="D16352" s="111" t="str">
        <f t="shared" ref="D16352:E16352" si="16350">TRIM(B16352)</f>
        <v>Virginia</v>
      </c>
      <c r="E16352" s="111" t="str">
        <f t="shared" si="16350"/>
        <v>Aldie</v>
      </c>
    </row>
    <row r="16353" spans="1:5">
      <c r="A16353" s="3" t="s">
        <v>5088</v>
      </c>
      <c r="B16353" s="110" t="s">
        <v>1376</v>
      </c>
      <c r="C16353" s="111" t="s">
        <v>831</v>
      </c>
      <c r="D16353" s="111" t="str">
        <f t="shared" ref="D16353:E16353" si="16351">TRIM(B16353)</f>
        <v>Virginia</v>
      </c>
      <c r="E16353" s="111" t="str">
        <f t="shared" si="16351"/>
        <v>Alexandria</v>
      </c>
    </row>
    <row r="16354" spans="1:5">
      <c r="A16354" s="110" t="s">
        <v>17937</v>
      </c>
      <c r="B16354" s="110" t="s">
        <v>1376</v>
      </c>
      <c r="C16354" s="111" t="s">
        <v>831</v>
      </c>
      <c r="D16354" s="111" t="str">
        <f t="shared" ref="D16354:E16354" si="16352">TRIM(B16354)</f>
        <v>Virginia</v>
      </c>
      <c r="E16354" s="111" t="str">
        <f t="shared" si="16352"/>
        <v>Alexandria</v>
      </c>
    </row>
    <row r="16355" spans="1:5">
      <c r="A16355" s="3" t="s">
        <v>13395</v>
      </c>
      <c r="B16355" s="110" t="s">
        <v>1376</v>
      </c>
      <c r="C16355" s="111" t="s">
        <v>831</v>
      </c>
      <c r="D16355" s="111" t="str">
        <f t="shared" ref="D16355:E16355" si="16353">TRIM(B16355)</f>
        <v>Virginia</v>
      </c>
      <c r="E16355" s="111" t="str">
        <f t="shared" si="16353"/>
        <v>Alexandria</v>
      </c>
    </row>
    <row r="16356" spans="1:5">
      <c r="A16356" s="3" t="s">
        <v>28097</v>
      </c>
      <c r="B16356" s="110" t="s">
        <v>1376</v>
      </c>
      <c r="C16356" s="111" t="s">
        <v>831</v>
      </c>
      <c r="D16356" s="111" t="str">
        <f t="shared" ref="D16356:E16356" si="16354">TRIM(B16356)</f>
        <v>Virginia</v>
      </c>
      <c r="E16356" s="111" t="str">
        <f t="shared" si="16354"/>
        <v>Alexandria</v>
      </c>
    </row>
    <row r="16357" spans="1:5">
      <c r="A16357" s="3" t="s">
        <v>7844</v>
      </c>
      <c r="B16357" s="110" t="s">
        <v>1376</v>
      </c>
      <c r="C16357" s="111" t="s">
        <v>831</v>
      </c>
      <c r="D16357" s="111" t="str">
        <f t="shared" ref="D16357:E16357" si="16355">TRIM(B16357)</f>
        <v>Virginia</v>
      </c>
      <c r="E16357" s="111" t="str">
        <f t="shared" si="16355"/>
        <v>Alexandria</v>
      </c>
    </row>
    <row r="16358" spans="1:5">
      <c r="A16358" s="3" t="s">
        <v>28098</v>
      </c>
      <c r="B16358" s="110" t="s">
        <v>1376</v>
      </c>
      <c r="C16358" s="111" t="s">
        <v>831</v>
      </c>
      <c r="D16358" s="111" t="str">
        <f t="shared" ref="D16358:E16358" si="16356">TRIM(B16358)</f>
        <v>Virginia</v>
      </c>
      <c r="E16358" s="111" t="str">
        <f t="shared" si="16356"/>
        <v>Alexandria</v>
      </c>
    </row>
    <row r="16359" spans="1:5">
      <c r="A16359" s="3" t="s">
        <v>28099</v>
      </c>
      <c r="B16359" s="110" t="s">
        <v>1376</v>
      </c>
      <c r="C16359" s="111" t="s">
        <v>28100</v>
      </c>
      <c r="D16359" s="111" t="str">
        <f t="shared" ref="D16359:E16359" si="16357">TRIM(B16359)</f>
        <v>Virginia</v>
      </c>
      <c r="E16359" s="111" t="str">
        <f t="shared" si="16357"/>
        <v>Altavista</v>
      </c>
    </row>
    <row r="16360" spans="1:5">
      <c r="A16360" s="3" t="s">
        <v>28101</v>
      </c>
      <c r="B16360" s="110" t="s">
        <v>1376</v>
      </c>
      <c r="C16360" s="113" t="s">
        <v>13934</v>
      </c>
      <c r="D16360" s="111" t="str">
        <f t="shared" ref="D16360:E16360" si="16358">TRIM(B16360)</f>
        <v>Virginia</v>
      </c>
      <c r="E16360" s="111" t="str">
        <f t="shared" si="16358"/>
        <v>Amelia Court House</v>
      </c>
    </row>
    <row r="16361" spans="1:5">
      <c r="A16361" s="3" t="s">
        <v>28102</v>
      </c>
      <c r="B16361" s="110" t="s">
        <v>1376</v>
      </c>
      <c r="C16361" s="111" t="s">
        <v>16546</v>
      </c>
      <c r="D16361" s="111" t="str">
        <f t="shared" ref="D16361:E16361" si="16359">TRIM(B16361)</f>
        <v>Virginia</v>
      </c>
      <c r="E16361" s="111" t="str">
        <f t="shared" si="16359"/>
        <v>Amherst</v>
      </c>
    </row>
    <row r="16362" spans="1:5">
      <c r="A16362" s="3" t="s">
        <v>28103</v>
      </c>
      <c r="B16362" s="110" t="s">
        <v>1376</v>
      </c>
      <c r="C16362" s="111" t="s">
        <v>17709</v>
      </c>
      <c r="D16362" s="111" t="str">
        <f t="shared" ref="D16362:E16362" si="16360">TRIM(B16362)</f>
        <v>Virginia</v>
      </c>
      <c r="E16362" s="111" t="str">
        <f t="shared" si="16360"/>
        <v>Annandale</v>
      </c>
    </row>
    <row r="16363" spans="1:5">
      <c r="A16363" s="3" t="s">
        <v>28104</v>
      </c>
      <c r="B16363" s="110" t="s">
        <v>1376</v>
      </c>
      <c r="C16363" s="111" t="s">
        <v>28105</v>
      </c>
      <c r="D16363" s="111" t="str">
        <f t="shared" ref="D16363:E16363" si="16361">TRIM(B16363)</f>
        <v>Virginia</v>
      </c>
      <c r="E16363" s="111" t="str">
        <f t="shared" si="16361"/>
        <v>Appomattox</v>
      </c>
    </row>
    <row r="16364" spans="1:5">
      <c r="A16364" s="3" t="s">
        <v>28106</v>
      </c>
      <c r="B16364" s="110" t="s">
        <v>1376</v>
      </c>
      <c r="C16364" s="111" t="s">
        <v>1048</v>
      </c>
      <c r="D16364" s="111" t="str">
        <f t="shared" ref="D16364:E16364" si="16362">TRIM(B16364)</f>
        <v>Virginia</v>
      </c>
      <c r="E16364" s="111" t="str">
        <f t="shared" si="16362"/>
        <v>Arlington</v>
      </c>
    </row>
    <row r="16365" spans="1:5">
      <c r="A16365" s="3" t="s">
        <v>15571</v>
      </c>
      <c r="B16365" s="110" t="s">
        <v>1376</v>
      </c>
      <c r="C16365" s="111" t="s">
        <v>1048</v>
      </c>
      <c r="D16365" s="111" t="str">
        <f t="shared" ref="D16365:E16365" si="16363">TRIM(B16365)</f>
        <v>Virginia</v>
      </c>
      <c r="E16365" s="111" t="str">
        <f t="shared" si="16363"/>
        <v>Arlington</v>
      </c>
    </row>
    <row r="16366" spans="1:5">
      <c r="A16366" s="3" t="s">
        <v>28107</v>
      </c>
      <c r="B16366" s="110" t="s">
        <v>1376</v>
      </c>
      <c r="C16366" s="111" t="s">
        <v>1048</v>
      </c>
      <c r="D16366" s="111" t="str">
        <f t="shared" ref="D16366:E16366" si="16364">TRIM(B16366)</f>
        <v>Virginia</v>
      </c>
      <c r="E16366" s="111" t="str">
        <f t="shared" si="16364"/>
        <v>Arlington</v>
      </c>
    </row>
    <row r="16367" spans="1:5">
      <c r="A16367" s="3" t="s">
        <v>14676</v>
      </c>
      <c r="B16367" s="110" t="s">
        <v>1376</v>
      </c>
      <c r="C16367" s="111" t="s">
        <v>1048</v>
      </c>
      <c r="D16367" s="111" t="str">
        <f t="shared" ref="D16367:E16367" si="16365">TRIM(B16367)</f>
        <v>Virginia</v>
      </c>
      <c r="E16367" s="111" t="str">
        <f t="shared" si="16365"/>
        <v>Arlington</v>
      </c>
    </row>
    <row r="16368" spans="1:5">
      <c r="A16368" s="3" t="s">
        <v>28108</v>
      </c>
      <c r="B16368" s="110" t="s">
        <v>1376</v>
      </c>
      <c r="C16368" s="111" t="s">
        <v>10324</v>
      </c>
      <c r="D16368" s="111" t="str">
        <f t="shared" ref="D16368:E16368" si="16366">TRIM(B16368)</f>
        <v>Virginia</v>
      </c>
      <c r="E16368" s="111" t="str">
        <f t="shared" si="16366"/>
        <v>Ashburn</v>
      </c>
    </row>
    <row r="16369" spans="1:5">
      <c r="A16369" s="3" t="s">
        <v>28109</v>
      </c>
      <c r="B16369" s="110" t="s">
        <v>1376</v>
      </c>
      <c r="C16369" s="111" t="s">
        <v>10324</v>
      </c>
      <c r="D16369" s="111" t="str">
        <f t="shared" ref="D16369:E16369" si="16367">TRIM(B16369)</f>
        <v>Virginia</v>
      </c>
      <c r="E16369" s="111" t="str">
        <f t="shared" si="16367"/>
        <v>Ashburn</v>
      </c>
    </row>
    <row r="16370" spans="1:5">
      <c r="A16370" s="3" t="s">
        <v>28110</v>
      </c>
      <c r="B16370" s="110" t="s">
        <v>1376</v>
      </c>
      <c r="C16370" s="111" t="s">
        <v>10324</v>
      </c>
      <c r="D16370" s="111" t="str">
        <f t="shared" ref="D16370:E16370" si="16368">TRIM(B16370)</f>
        <v>Virginia</v>
      </c>
      <c r="E16370" s="111" t="str">
        <f t="shared" si="16368"/>
        <v>Ashburn</v>
      </c>
    </row>
    <row r="16371" spans="1:5">
      <c r="A16371" s="3" t="s">
        <v>23134</v>
      </c>
      <c r="B16371" s="110" t="s">
        <v>1376</v>
      </c>
      <c r="C16371" s="111" t="s">
        <v>10817</v>
      </c>
      <c r="D16371" s="111" t="str">
        <f t="shared" ref="D16371:E16371" si="16369">TRIM(B16371)</f>
        <v>Virginia</v>
      </c>
      <c r="E16371" s="111" t="str">
        <f t="shared" si="16369"/>
        <v>Ashland</v>
      </c>
    </row>
    <row r="16372" spans="1:5">
      <c r="A16372" s="3" t="s">
        <v>28111</v>
      </c>
      <c r="B16372" s="110" t="s">
        <v>1376</v>
      </c>
      <c r="C16372" s="111" t="s">
        <v>19496</v>
      </c>
      <c r="D16372" s="111" t="str">
        <f t="shared" ref="D16372:E16372" si="16370">TRIM(B16372)</f>
        <v>Virginia</v>
      </c>
      <c r="E16372" s="111" t="str">
        <f t="shared" si="16370"/>
        <v>Bassett</v>
      </c>
    </row>
    <row r="16373" spans="1:5">
      <c r="A16373" s="3" t="s">
        <v>2745</v>
      </c>
      <c r="B16373" s="110" t="s">
        <v>1376</v>
      </c>
      <c r="C16373" s="111" t="s">
        <v>28112</v>
      </c>
      <c r="D16373" s="111" t="str">
        <f t="shared" ref="D16373:E16373" si="16371">TRIM(B16373)</f>
        <v>Virginia</v>
      </c>
      <c r="E16373" s="111" t="str">
        <f t="shared" si="16371"/>
        <v>Bealeton</v>
      </c>
    </row>
    <row r="16374" spans="1:5">
      <c r="A16374" s="3" t="s">
        <v>2745</v>
      </c>
      <c r="B16374" s="110" t="s">
        <v>1376</v>
      </c>
      <c r="C16374" s="111" t="s">
        <v>14119</v>
      </c>
      <c r="D16374" s="111" t="str">
        <f t="shared" ref="D16374:E16374" si="16372">TRIM(B16374)</f>
        <v>Virginia</v>
      </c>
      <c r="E16374" s="111" t="str">
        <f t="shared" si="16372"/>
        <v>Bedford</v>
      </c>
    </row>
    <row r="16375" spans="1:5">
      <c r="A16375" s="3" t="s">
        <v>1805</v>
      </c>
      <c r="B16375" s="110" t="s">
        <v>1376</v>
      </c>
      <c r="C16375" s="111" t="s">
        <v>3620</v>
      </c>
      <c r="D16375" s="111" t="str">
        <f t="shared" ref="D16375:E16375" si="16373">TRIM(B16375)</f>
        <v>Virginia</v>
      </c>
      <c r="E16375" s="111" t="str">
        <f t="shared" si="16373"/>
        <v>Berryville</v>
      </c>
    </row>
    <row r="16376" spans="1:5">
      <c r="A16376" s="3" t="s">
        <v>14909</v>
      </c>
      <c r="B16376" s="110" t="s">
        <v>1376</v>
      </c>
      <c r="C16376" s="111" t="s">
        <v>28113</v>
      </c>
      <c r="D16376" s="111" t="str">
        <f t="shared" ref="D16376:E16376" si="16374">TRIM(B16376)</f>
        <v>Virginia</v>
      </c>
      <c r="E16376" s="111" t="str">
        <f t="shared" si="16374"/>
        <v>Big Stone Gap</v>
      </c>
    </row>
    <row r="16377" spans="1:5">
      <c r="A16377" s="3" t="s">
        <v>25365</v>
      </c>
      <c r="B16377" s="110" t="s">
        <v>1376</v>
      </c>
      <c r="C16377" s="111" t="s">
        <v>25366</v>
      </c>
      <c r="D16377" s="111" t="str">
        <f t="shared" ref="D16377:E16377" si="16375">TRIM(B16377)</f>
        <v>Virginia</v>
      </c>
      <c r="E16377" s="111" t="str">
        <f t="shared" si="16375"/>
        <v>Blacksburg</v>
      </c>
    </row>
    <row r="16378" spans="1:5">
      <c r="A16378" s="3" t="s">
        <v>22185</v>
      </c>
      <c r="B16378" s="110" t="s">
        <v>1376</v>
      </c>
      <c r="C16378" s="111" t="s">
        <v>4904</v>
      </c>
      <c r="D16378" s="111" t="str">
        <f t="shared" ref="D16378:E16378" si="16376">TRIM(B16378)</f>
        <v>Virginia</v>
      </c>
      <c r="E16378" s="111" t="str">
        <f t="shared" si="16376"/>
        <v>Bluefield</v>
      </c>
    </row>
    <row r="16379" spans="1:5">
      <c r="A16379" s="3" t="s">
        <v>28114</v>
      </c>
      <c r="B16379" s="110" t="s">
        <v>1376</v>
      </c>
      <c r="C16379" s="111" t="s">
        <v>16584</v>
      </c>
      <c r="D16379" s="111" t="str">
        <f t="shared" ref="D16379:E16379" si="16377">TRIM(B16379)</f>
        <v>Virginia</v>
      </c>
      <c r="E16379" s="111" t="str">
        <f t="shared" si="16377"/>
        <v>Bridgewater</v>
      </c>
    </row>
    <row r="16380" spans="1:5">
      <c r="A16380" s="3" t="s">
        <v>28115</v>
      </c>
      <c r="B16380" s="110" t="s">
        <v>1376</v>
      </c>
      <c r="C16380" s="111" t="s">
        <v>561</v>
      </c>
      <c r="D16380" s="111" t="str">
        <f t="shared" ref="D16380:E16380" si="16378">TRIM(B16380)</f>
        <v>Virginia</v>
      </c>
      <c r="E16380" s="111" t="str">
        <f t="shared" si="16378"/>
        <v>Bristol</v>
      </c>
    </row>
    <row r="16381" spans="1:5">
      <c r="A16381" s="3" t="s">
        <v>28116</v>
      </c>
      <c r="B16381" s="110" t="s">
        <v>1376</v>
      </c>
      <c r="C16381" s="111" t="s">
        <v>561</v>
      </c>
      <c r="D16381" s="111" t="str">
        <f t="shared" ref="D16381:E16381" si="16379">TRIM(B16381)</f>
        <v>Virginia</v>
      </c>
      <c r="E16381" s="111" t="str">
        <f t="shared" si="16379"/>
        <v>Bristol</v>
      </c>
    </row>
    <row r="16382" spans="1:5">
      <c r="A16382" s="3" t="s">
        <v>28117</v>
      </c>
      <c r="B16382" s="110" t="s">
        <v>1376</v>
      </c>
      <c r="C16382" s="111" t="s">
        <v>28118</v>
      </c>
      <c r="D16382" s="111" t="str">
        <f t="shared" ref="D16382:E16382" si="16380">TRIM(B16382)</f>
        <v>Virginia</v>
      </c>
      <c r="E16382" s="111" t="str">
        <f t="shared" si="16380"/>
        <v>Broadway</v>
      </c>
    </row>
    <row r="16383" spans="1:5">
      <c r="A16383" s="3" t="s">
        <v>28119</v>
      </c>
      <c r="B16383" s="110" t="s">
        <v>1376</v>
      </c>
      <c r="C16383" s="111" t="s">
        <v>17012</v>
      </c>
      <c r="D16383" s="111" t="str">
        <f t="shared" ref="D16383:E16383" si="16381">TRIM(B16383)</f>
        <v>Virginia</v>
      </c>
      <c r="E16383" s="111" t="str">
        <f t="shared" si="16381"/>
        <v>Buchanan</v>
      </c>
    </row>
    <row r="16384" spans="1:5">
      <c r="A16384" s="3" t="s">
        <v>28120</v>
      </c>
      <c r="B16384" s="110" t="s">
        <v>1376</v>
      </c>
      <c r="C16384" s="111" t="s">
        <v>28121</v>
      </c>
      <c r="D16384" s="111" t="str">
        <f t="shared" ref="D16384:E16384" si="16382">TRIM(B16384)</f>
        <v>Virginia</v>
      </c>
      <c r="E16384" s="111" t="str">
        <f t="shared" si="16382"/>
        <v>Buckingham</v>
      </c>
    </row>
    <row r="16385" spans="1:5">
      <c r="A16385" s="3" t="s">
        <v>28122</v>
      </c>
      <c r="B16385" s="110" t="s">
        <v>1376</v>
      </c>
      <c r="C16385" s="111" t="s">
        <v>7663</v>
      </c>
      <c r="D16385" s="111" t="str">
        <f t="shared" ref="D16385:E16385" si="16383">TRIM(B16385)</f>
        <v>Virginia</v>
      </c>
      <c r="E16385" s="111" t="str">
        <f t="shared" si="16383"/>
        <v>Buena Vista</v>
      </c>
    </row>
    <row r="16386" spans="1:5">
      <c r="A16386" s="110" t="s">
        <v>28123</v>
      </c>
      <c r="B16386" s="110" t="s">
        <v>1376</v>
      </c>
      <c r="C16386" s="111" t="s">
        <v>25613</v>
      </c>
      <c r="D16386" s="111" t="str">
        <f t="shared" ref="D16386:E16386" si="16384">TRIM(B16386)</f>
        <v>Virginia</v>
      </c>
      <c r="E16386" s="111" t="str">
        <f t="shared" si="16384"/>
        <v>Burke</v>
      </c>
    </row>
    <row r="16387" spans="1:5">
      <c r="A16387" s="3" t="s">
        <v>28124</v>
      </c>
      <c r="B16387" s="110" t="s">
        <v>1376</v>
      </c>
      <c r="C16387" s="111" t="s">
        <v>25619</v>
      </c>
      <c r="D16387" s="111" t="str">
        <f t="shared" ref="D16387:E16387" si="16385">TRIM(B16387)</f>
        <v>Virginia</v>
      </c>
      <c r="E16387" s="111" t="str">
        <f t="shared" si="16385"/>
        <v>Castlewood</v>
      </c>
    </row>
    <row r="16388" spans="1:5">
      <c r="A16388" s="3" t="s">
        <v>28125</v>
      </c>
      <c r="B16388" s="110" t="s">
        <v>1376</v>
      </c>
      <c r="C16388" s="111" t="s">
        <v>28126</v>
      </c>
      <c r="D16388" s="111" t="str">
        <f t="shared" ref="D16388:E16388" si="16386">TRIM(B16388)</f>
        <v>Virginia</v>
      </c>
      <c r="E16388" s="111" t="str">
        <f t="shared" si="16386"/>
        <v>Chantilly</v>
      </c>
    </row>
    <row r="16389" spans="1:5">
      <c r="A16389" s="3" t="s">
        <v>14662</v>
      </c>
      <c r="B16389" s="110" t="s">
        <v>1376</v>
      </c>
      <c r="C16389" s="111" t="s">
        <v>28126</v>
      </c>
      <c r="D16389" s="111" t="str">
        <f t="shared" ref="D16389:E16389" si="16387">TRIM(B16389)</f>
        <v>Virginia</v>
      </c>
      <c r="E16389" s="111" t="str">
        <f t="shared" si="16387"/>
        <v>Chantilly</v>
      </c>
    </row>
    <row r="16390" spans="1:5">
      <c r="A16390" s="3" t="s">
        <v>28127</v>
      </c>
      <c r="B16390" s="110" t="s">
        <v>1376</v>
      </c>
      <c r="C16390" s="111" t="s">
        <v>14747</v>
      </c>
      <c r="D16390" s="111" t="str">
        <f t="shared" ref="D16390:E16390" si="16388">TRIM(B16390)</f>
        <v>Virginia</v>
      </c>
      <c r="E16390" s="111" t="str">
        <f t="shared" si="16388"/>
        <v>Charles City</v>
      </c>
    </row>
    <row r="16391" spans="1:5">
      <c r="A16391" s="3" t="s">
        <v>28128</v>
      </c>
      <c r="B16391" s="110" t="s">
        <v>1376</v>
      </c>
      <c r="C16391" s="111" t="s">
        <v>28129</v>
      </c>
      <c r="D16391" s="111" t="str">
        <f t="shared" ref="D16391:E16391" si="16389">TRIM(B16391)</f>
        <v>Virginia</v>
      </c>
      <c r="E16391" s="111" t="str">
        <f t="shared" si="16389"/>
        <v>Charlotte C H</v>
      </c>
    </row>
    <row r="16392" spans="1:5">
      <c r="A16392" s="3" t="s">
        <v>21984</v>
      </c>
      <c r="B16392" s="110" t="s">
        <v>1376</v>
      </c>
      <c r="C16392" s="111" t="s">
        <v>14017</v>
      </c>
      <c r="D16392" s="111" t="str">
        <f t="shared" ref="D16392:E16392" si="16390">TRIM(B16392)</f>
        <v>Virginia</v>
      </c>
      <c r="E16392" s="111" t="str">
        <f t="shared" si="16390"/>
        <v>Charlottesville</v>
      </c>
    </row>
    <row r="16393" spans="1:5">
      <c r="A16393" s="3" t="s">
        <v>28130</v>
      </c>
      <c r="B16393" s="110" t="s">
        <v>1376</v>
      </c>
      <c r="C16393" s="111" t="s">
        <v>14017</v>
      </c>
      <c r="D16393" s="111" t="str">
        <f t="shared" ref="D16393:E16393" si="16391">TRIM(B16393)</f>
        <v>Virginia</v>
      </c>
      <c r="E16393" s="111" t="str">
        <f t="shared" si="16391"/>
        <v>Charlottesville</v>
      </c>
    </row>
    <row r="16394" spans="1:5">
      <c r="A16394" s="3" t="s">
        <v>4042</v>
      </c>
      <c r="B16394" s="110" t="s">
        <v>1376</v>
      </c>
      <c r="C16394" s="111" t="s">
        <v>14017</v>
      </c>
      <c r="D16394" s="111" t="str">
        <f t="shared" ref="D16394:E16394" si="16392">TRIM(B16394)</f>
        <v>Virginia</v>
      </c>
      <c r="E16394" s="111" t="str">
        <f t="shared" si="16392"/>
        <v>Charlottesville</v>
      </c>
    </row>
    <row r="16395" spans="1:5">
      <c r="A16395" s="3" t="s">
        <v>15785</v>
      </c>
      <c r="B16395" s="110" t="s">
        <v>1376</v>
      </c>
      <c r="C16395" s="111" t="s">
        <v>14017</v>
      </c>
      <c r="D16395" s="111" t="str">
        <f t="shared" ref="D16395:E16395" si="16393">TRIM(B16395)</f>
        <v>Virginia</v>
      </c>
      <c r="E16395" s="111" t="str">
        <f t="shared" si="16393"/>
        <v>Charlottesville</v>
      </c>
    </row>
    <row r="16396" spans="1:5">
      <c r="A16396" s="3" t="s">
        <v>20079</v>
      </c>
      <c r="B16396" s="110" t="s">
        <v>1376</v>
      </c>
      <c r="C16396" s="111" t="s">
        <v>12220</v>
      </c>
      <c r="D16396" s="111" t="str">
        <f t="shared" ref="D16396:E16396" si="16394">TRIM(B16396)</f>
        <v>Virginia</v>
      </c>
      <c r="E16396" s="111" t="str">
        <f t="shared" si="16394"/>
        <v>Chatham</v>
      </c>
    </row>
    <row r="16397" spans="1:5">
      <c r="A16397" s="3" t="s">
        <v>28131</v>
      </c>
      <c r="B16397" s="110" t="s">
        <v>1376</v>
      </c>
      <c r="C16397" s="111" t="s">
        <v>14080</v>
      </c>
      <c r="D16397" s="111" t="str">
        <f t="shared" ref="D16397:E16397" si="16395">TRIM(B16397)</f>
        <v>Virginia</v>
      </c>
      <c r="E16397" s="111" t="str">
        <f t="shared" si="16395"/>
        <v>Chesapeake</v>
      </c>
    </row>
    <row r="16398" spans="1:5">
      <c r="A16398" s="3" t="s">
        <v>28132</v>
      </c>
      <c r="B16398" s="110" t="s">
        <v>1376</v>
      </c>
      <c r="C16398" s="111" t="s">
        <v>14080</v>
      </c>
      <c r="D16398" s="111" t="str">
        <f t="shared" ref="D16398:E16398" si="16396">TRIM(B16398)</f>
        <v>Virginia</v>
      </c>
      <c r="E16398" s="111" t="str">
        <f t="shared" si="16396"/>
        <v>Chesapeake</v>
      </c>
    </row>
    <row r="16399" spans="1:5">
      <c r="A16399" s="3" t="s">
        <v>28133</v>
      </c>
      <c r="B16399" s="110" t="s">
        <v>1376</v>
      </c>
      <c r="C16399" s="111" t="s">
        <v>14080</v>
      </c>
      <c r="D16399" s="111" t="str">
        <f t="shared" ref="D16399:E16399" si="16397">TRIM(B16399)</f>
        <v>Virginia</v>
      </c>
      <c r="E16399" s="111" t="str">
        <f t="shared" si="16397"/>
        <v>Chesapeake</v>
      </c>
    </row>
    <row r="16400" spans="1:5">
      <c r="A16400" s="3" t="s">
        <v>22227</v>
      </c>
      <c r="B16400" s="110" t="s">
        <v>1376</v>
      </c>
      <c r="C16400" s="111" t="s">
        <v>14080</v>
      </c>
      <c r="D16400" s="111" t="str">
        <f t="shared" ref="D16400:E16400" si="16398">TRIM(B16400)</f>
        <v>Virginia</v>
      </c>
      <c r="E16400" s="111" t="str">
        <f t="shared" si="16398"/>
        <v>Chesapeake</v>
      </c>
    </row>
    <row r="16401" spans="1:5">
      <c r="A16401" s="3" t="s">
        <v>8804</v>
      </c>
      <c r="B16401" s="110" t="s">
        <v>1376</v>
      </c>
      <c r="C16401" s="111" t="s">
        <v>14080</v>
      </c>
      <c r="D16401" s="111" t="str">
        <f t="shared" ref="D16401:E16401" si="16399">TRIM(B16401)</f>
        <v>Virginia</v>
      </c>
      <c r="E16401" s="111" t="str">
        <f t="shared" si="16399"/>
        <v>Chesapeake</v>
      </c>
    </row>
    <row r="16402" spans="1:5">
      <c r="A16402" s="3" t="s">
        <v>28134</v>
      </c>
      <c r="B16402" s="110" t="s">
        <v>1376</v>
      </c>
      <c r="C16402" s="111" t="s">
        <v>14080</v>
      </c>
      <c r="D16402" s="111" t="str">
        <f t="shared" ref="D16402:E16402" si="16400">TRIM(B16402)</f>
        <v>Virginia</v>
      </c>
      <c r="E16402" s="111" t="str">
        <f t="shared" si="16400"/>
        <v>Chesapeake</v>
      </c>
    </row>
    <row r="16403" spans="1:5">
      <c r="A16403" s="3" t="s">
        <v>28135</v>
      </c>
      <c r="B16403" s="110" t="s">
        <v>1376</v>
      </c>
      <c r="C16403" s="111" t="s">
        <v>14080</v>
      </c>
      <c r="D16403" s="111" t="str">
        <f t="shared" ref="D16403:E16403" si="16401">TRIM(B16403)</f>
        <v>Virginia</v>
      </c>
      <c r="E16403" s="111" t="str">
        <f t="shared" si="16401"/>
        <v>Chesapeake</v>
      </c>
    </row>
    <row r="16404" spans="1:5">
      <c r="A16404" s="3" t="s">
        <v>28136</v>
      </c>
      <c r="B16404" s="110" t="s">
        <v>1376</v>
      </c>
      <c r="C16404" s="111" t="s">
        <v>2262</v>
      </c>
      <c r="D16404" s="111" t="str">
        <f t="shared" ref="D16404:E16404" si="16402">TRIM(B16404)</f>
        <v>Virginia</v>
      </c>
      <c r="E16404" s="111" t="str">
        <f t="shared" si="16402"/>
        <v>Chester</v>
      </c>
    </row>
    <row r="16405" spans="1:5">
      <c r="A16405" s="3" t="s">
        <v>28137</v>
      </c>
      <c r="B16405" s="110" t="s">
        <v>1376</v>
      </c>
      <c r="C16405" s="111" t="s">
        <v>11768</v>
      </c>
      <c r="D16405" s="111" t="str">
        <f t="shared" ref="D16405:E16405" si="16403">TRIM(B16405)</f>
        <v>Virginia</v>
      </c>
      <c r="E16405" s="111" t="str">
        <f t="shared" si="16403"/>
        <v>Chesterfield</v>
      </c>
    </row>
    <row r="16406" spans="1:5">
      <c r="A16406" s="3" t="s">
        <v>28138</v>
      </c>
      <c r="B16406" s="110" t="s">
        <v>1376</v>
      </c>
      <c r="C16406" s="111" t="s">
        <v>11768</v>
      </c>
      <c r="D16406" s="111" t="str">
        <f t="shared" ref="D16406:E16406" si="16404">TRIM(B16406)</f>
        <v>Virginia</v>
      </c>
      <c r="E16406" s="111" t="str">
        <f t="shared" si="16404"/>
        <v>Chesterfield</v>
      </c>
    </row>
    <row r="16407" spans="1:5">
      <c r="A16407" s="3" t="s">
        <v>28139</v>
      </c>
      <c r="B16407" s="110" t="s">
        <v>1376</v>
      </c>
      <c r="C16407" s="111" t="s">
        <v>28140</v>
      </c>
      <c r="D16407" s="111" t="str">
        <f t="shared" ref="D16407:E16407" si="16405">TRIM(B16407)</f>
        <v>Virginia</v>
      </c>
      <c r="E16407" s="111" t="str">
        <f t="shared" si="16405"/>
        <v>Chilhowie</v>
      </c>
    </row>
    <row r="16408" spans="1:5">
      <c r="A16408" s="3" t="s">
        <v>28141</v>
      </c>
      <c r="B16408" s="110" t="s">
        <v>1376</v>
      </c>
      <c r="C16408" s="111" t="s">
        <v>28142</v>
      </c>
      <c r="D16408" s="111" t="str">
        <f t="shared" ref="D16408:E16408" si="16406">TRIM(B16408)</f>
        <v>Virginia</v>
      </c>
      <c r="E16408" s="111" t="str">
        <f t="shared" si="16406"/>
        <v>Chincoteague</v>
      </c>
    </row>
    <row r="16409" spans="1:5">
      <c r="A16409" s="3" t="s">
        <v>28143</v>
      </c>
      <c r="B16409" s="110" t="s">
        <v>1376</v>
      </c>
      <c r="C16409" s="111" t="s">
        <v>28144</v>
      </c>
      <c r="D16409" s="111" t="str">
        <f t="shared" ref="D16409:E16409" si="16407">TRIM(B16409)</f>
        <v>Virginia</v>
      </c>
      <c r="E16409" s="111" t="str">
        <f t="shared" si="16407"/>
        <v>Christiansburg</v>
      </c>
    </row>
    <row r="16410" spans="1:5">
      <c r="A16410" s="3" t="s">
        <v>28145</v>
      </c>
      <c r="B16410" s="110" t="s">
        <v>1376</v>
      </c>
      <c r="C16410" s="111" t="s">
        <v>12666</v>
      </c>
      <c r="D16410" s="111" t="str">
        <f t="shared" ref="D16410:E16410" si="16408">TRIM(B16410)</f>
        <v>Virginia</v>
      </c>
      <c r="E16410" s="111" t="str">
        <f t="shared" si="16408"/>
        <v>Clifton</v>
      </c>
    </row>
    <row r="16411" spans="1:5">
      <c r="A16411" s="3" t="s">
        <v>4436</v>
      </c>
      <c r="B16411" s="110" t="s">
        <v>1376</v>
      </c>
      <c r="C16411" s="111" t="s">
        <v>28146</v>
      </c>
      <c r="D16411" s="111" t="str">
        <f t="shared" ref="D16411:E16411" si="16409">TRIM(B16411)</f>
        <v>Virginia</v>
      </c>
      <c r="E16411" s="111" t="str">
        <f t="shared" si="16409"/>
        <v>Clintwood</v>
      </c>
    </row>
    <row r="16412" spans="1:5">
      <c r="A16412" s="3" t="s">
        <v>5459</v>
      </c>
      <c r="B16412" s="110" t="s">
        <v>1376</v>
      </c>
      <c r="C16412" s="111" t="s">
        <v>28147</v>
      </c>
      <c r="D16412" s="111" t="str">
        <f t="shared" ref="D16412:E16412" si="16410">TRIM(B16412)</f>
        <v>Virginia</v>
      </c>
      <c r="E16412" s="111" t="str">
        <f t="shared" si="16410"/>
        <v>Coeburn</v>
      </c>
    </row>
    <row r="16413" spans="1:5">
      <c r="A16413" s="3" t="s">
        <v>28148</v>
      </c>
      <c r="B16413" s="110" t="s">
        <v>1376</v>
      </c>
      <c r="C16413" s="111" t="s">
        <v>28149</v>
      </c>
      <c r="D16413" s="111" t="str">
        <f t="shared" ref="D16413:E16413" si="16411">TRIM(B16413)</f>
        <v>Virginia</v>
      </c>
      <c r="E16413" s="111" t="str">
        <f t="shared" si="16411"/>
        <v>Colonial Beach</v>
      </c>
    </row>
    <row r="16414" spans="1:5">
      <c r="A16414" s="3" t="s">
        <v>28150</v>
      </c>
      <c r="B16414" s="110" t="s">
        <v>1376</v>
      </c>
      <c r="C16414" s="111" t="s">
        <v>28151</v>
      </c>
      <c r="D16414" s="111" t="str">
        <f t="shared" ref="D16414:E16414" si="16412">TRIM(B16414)</f>
        <v>Virginia</v>
      </c>
      <c r="E16414" s="111" t="str">
        <f t="shared" si="16412"/>
        <v>Colonial Heights</v>
      </c>
    </row>
    <row r="16415" spans="1:5">
      <c r="A16415" s="3" t="s">
        <v>21842</v>
      </c>
      <c r="B16415" s="110" t="s">
        <v>1376</v>
      </c>
      <c r="C16415" s="111" t="s">
        <v>1655</v>
      </c>
      <c r="D16415" s="111" t="str">
        <f t="shared" ref="D16415:E16415" si="16413">TRIM(B16415)</f>
        <v>Virginia</v>
      </c>
      <c r="E16415" s="111" t="str">
        <f t="shared" si="16413"/>
        <v>Courtland</v>
      </c>
    </row>
    <row r="16416" spans="1:5">
      <c r="A16416" s="3" t="s">
        <v>22446</v>
      </c>
      <c r="B16416" s="110" t="s">
        <v>1376</v>
      </c>
      <c r="C16416" s="111" t="s">
        <v>10597</v>
      </c>
      <c r="D16416" s="111" t="str">
        <f t="shared" ref="D16416:E16416" si="16414">TRIM(B16416)</f>
        <v>Virginia</v>
      </c>
      <c r="E16416" s="111" t="str">
        <f t="shared" si="16414"/>
        <v>Covington</v>
      </c>
    </row>
    <row r="16417" spans="1:5">
      <c r="A16417" s="3" t="s">
        <v>15917</v>
      </c>
      <c r="B16417" s="110" t="s">
        <v>1376</v>
      </c>
      <c r="C16417" s="111" t="s">
        <v>10597</v>
      </c>
      <c r="D16417" s="111" t="str">
        <f t="shared" ref="D16417:E16417" si="16415">TRIM(B16417)</f>
        <v>Virginia</v>
      </c>
      <c r="E16417" s="111" t="str">
        <f t="shared" si="16415"/>
        <v>Covington</v>
      </c>
    </row>
    <row r="16418" spans="1:5">
      <c r="A16418" s="3" t="s">
        <v>28152</v>
      </c>
      <c r="B16418" s="110" t="s">
        <v>1376</v>
      </c>
      <c r="C16418" s="111" t="s">
        <v>28153</v>
      </c>
      <c r="D16418" s="111" t="str">
        <f t="shared" ref="D16418:E16418" si="16416">TRIM(B16418)</f>
        <v>Virginia</v>
      </c>
      <c r="E16418" s="111" t="str">
        <f t="shared" si="16416"/>
        <v>Crewe</v>
      </c>
    </row>
    <row r="16419" spans="1:5">
      <c r="A16419" s="3" t="s">
        <v>28154</v>
      </c>
      <c r="B16419" s="110" t="s">
        <v>1376</v>
      </c>
      <c r="C16419" s="111" t="s">
        <v>28155</v>
      </c>
      <c r="D16419" s="111" t="str">
        <f t="shared" ref="D16419:E16419" si="16417">TRIM(B16419)</f>
        <v>Virginia</v>
      </c>
      <c r="E16419" s="111" t="str">
        <f t="shared" si="16417"/>
        <v>Crozet</v>
      </c>
    </row>
    <row r="16420" spans="1:5">
      <c r="A16420" s="3" t="s">
        <v>28156</v>
      </c>
      <c r="B16420" s="110" t="s">
        <v>1376</v>
      </c>
      <c r="C16420" s="111" t="s">
        <v>28157</v>
      </c>
      <c r="D16420" s="111" t="str">
        <f t="shared" ref="D16420:E16420" si="16418">TRIM(B16420)</f>
        <v>Virginia</v>
      </c>
      <c r="E16420" s="111" t="str">
        <f t="shared" si="16418"/>
        <v>Culpeper</v>
      </c>
    </row>
    <row r="16421" spans="1:5">
      <c r="A16421" s="3" t="s">
        <v>28158</v>
      </c>
      <c r="B16421" s="110" t="s">
        <v>1376</v>
      </c>
      <c r="C16421" s="111" t="s">
        <v>28157</v>
      </c>
      <c r="D16421" s="111" t="str">
        <f t="shared" ref="D16421:E16421" si="16419">TRIM(B16421)</f>
        <v>Virginia</v>
      </c>
      <c r="E16421" s="111" t="str">
        <f t="shared" si="16419"/>
        <v>Culpeper</v>
      </c>
    </row>
    <row r="16422" spans="1:5">
      <c r="A16422" s="3" t="s">
        <v>13909</v>
      </c>
      <c r="B16422" s="110" t="s">
        <v>1376</v>
      </c>
      <c r="C16422" s="111" t="s">
        <v>11058</v>
      </c>
      <c r="D16422" s="111" t="str">
        <f t="shared" ref="D16422:E16422" si="16420">TRIM(B16422)</f>
        <v>Virginia</v>
      </c>
      <c r="E16422" s="111" t="str">
        <f t="shared" si="16420"/>
        <v>Cumberland</v>
      </c>
    </row>
    <row r="16423" spans="1:5">
      <c r="A16423" s="3" t="s">
        <v>28159</v>
      </c>
      <c r="B16423" s="110" t="s">
        <v>1376</v>
      </c>
      <c r="C16423" s="111" t="s">
        <v>1675</v>
      </c>
      <c r="D16423" s="111" t="str">
        <f t="shared" ref="D16423:E16423" si="16421">TRIM(B16423)</f>
        <v>Virginia</v>
      </c>
      <c r="E16423" s="111" t="str">
        <f t="shared" si="16421"/>
        <v>Daleville</v>
      </c>
    </row>
    <row r="16424" spans="1:5">
      <c r="A16424" s="3" t="s">
        <v>28160</v>
      </c>
      <c r="B16424" s="110" t="s">
        <v>1376</v>
      </c>
      <c r="C16424" s="111" t="s">
        <v>10386</v>
      </c>
      <c r="D16424" s="111" t="str">
        <f t="shared" ref="D16424:E16424" si="16422">TRIM(B16424)</f>
        <v>Virginia</v>
      </c>
      <c r="E16424" s="111" t="str">
        <f t="shared" si="16422"/>
        <v>Damascus</v>
      </c>
    </row>
    <row r="16425" spans="1:5">
      <c r="A16425" s="3" t="s">
        <v>28161</v>
      </c>
      <c r="B16425" s="110" t="s">
        <v>1376</v>
      </c>
      <c r="C16425" s="111" t="s">
        <v>529</v>
      </c>
      <c r="D16425" s="111" t="str">
        <f t="shared" ref="D16425:E16425" si="16423">TRIM(B16425)</f>
        <v>Virginia</v>
      </c>
      <c r="E16425" s="111" t="str">
        <f t="shared" si="16423"/>
        <v>Danville</v>
      </c>
    </row>
    <row r="16426" spans="1:5">
      <c r="A16426" s="3" t="s">
        <v>7817</v>
      </c>
      <c r="B16426" s="110" t="s">
        <v>1376</v>
      </c>
      <c r="C16426" s="111" t="s">
        <v>529</v>
      </c>
      <c r="D16426" s="111" t="str">
        <f t="shared" ref="D16426:E16426" si="16424">TRIM(B16426)</f>
        <v>Virginia</v>
      </c>
      <c r="E16426" s="111" t="str">
        <f t="shared" si="16424"/>
        <v>Danville</v>
      </c>
    </row>
    <row r="16427" spans="1:5">
      <c r="A16427" s="3" t="s">
        <v>28162</v>
      </c>
      <c r="B16427" s="110" t="s">
        <v>1376</v>
      </c>
      <c r="C16427" s="111" t="s">
        <v>28163</v>
      </c>
      <c r="D16427" s="111" t="str">
        <f t="shared" ref="D16427:E16427" si="16425">TRIM(B16427)</f>
        <v>Virginia</v>
      </c>
      <c r="E16427" s="111" t="str">
        <f t="shared" si="16425"/>
        <v>Dendron</v>
      </c>
    </row>
    <row r="16428" spans="1:5">
      <c r="A16428" s="3" t="s">
        <v>28164</v>
      </c>
      <c r="B16428" s="110" t="s">
        <v>1376</v>
      </c>
      <c r="C16428" s="111" t="s">
        <v>28165</v>
      </c>
      <c r="D16428" s="111" t="str">
        <f t="shared" ref="D16428:E16428" si="16426">TRIM(B16428)</f>
        <v>Virginia</v>
      </c>
      <c r="E16428" s="111" t="str">
        <f t="shared" si="16426"/>
        <v>Dinwiddie</v>
      </c>
    </row>
    <row r="16429" spans="1:5">
      <c r="A16429" s="3" t="s">
        <v>28166</v>
      </c>
      <c r="B16429" s="110" t="s">
        <v>1376</v>
      </c>
      <c r="C16429" s="111" t="s">
        <v>28167</v>
      </c>
      <c r="D16429" s="111" t="str">
        <f t="shared" ref="D16429:E16429" si="16427">TRIM(B16429)</f>
        <v>Virginia</v>
      </c>
      <c r="E16429" s="111" t="str">
        <f t="shared" si="16427"/>
        <v>Dry Fork</v>
      </c>
    </row>
    <row r="16430" spans="1:5">
      <c r="A16430" s="3" t="s">
        <v>28168</v>
      </c>
      <c r="B16430" s="110" t="s">
        <v>1376</v>
      </c>
      <c r="C16430" s="111" t="s">
        <v>850</v>
      </c>
      <c r="D16430" s="111" t="str">
        <f t="shared" ref="D16430:E16430" si="16428">TRIM(B16430)</f>
        <v>Virginia</v>
      </c>
      <c r="E16430" s="111" t="str">
        <f t="shared" si="16428"/>
        <v>Dublin</v>
      </c>
    </row>
    <row r="16431" spans="1:5">
      <c r="A16431" s="3" t="s">
        <v>28169</v>
      </c>
      <c r="B16431" s="110" t="s">
        <v>1376</v>
      </c>
      <c r="C16431" s="111" t="s">
        <v>28170</v>
      </c>
      <c r="D16431" s="111" t="str">
        <f t="shared" ref="D16431:E16431" si="16429">TRIM(B16431)</f>
        <v>Virginia</v>
      </c>
      <c r="E16431" s="111" t="str">
        <f t="shared" si="16429"/>
        <v>Duffield</v>
      </c>
    </row>
    <row r="16432" spans="1:5">
      <c r="A16432" s="3" t="s">
        <v>16467</v>
      </c>
      <c r="B16432" s="110" t="s">
        <v>1376</v>
      </c>
      <c r="C16432" s="111" t="s">
        <v>28171</v>
      </c>
      <c r="D16432" s="111" t="str">
        <f t="shared" ref="D16432:E16432" si="16430">TRIM(B16432)</f>
        <v>Virginia</v>
      </c>
      <c r="E16432" s="111" t="str">
        <f t="shared" si="16430"/>
        <v>Dumfries</v>
      </c>
    </row>
    <row r="16433" spans="1:5">
      <c r="A16433" s="3" t="s">
        <v>16785</v>
      </c>
      <c r="B16433" s="110" t="s">
        <v>1376</v>
      </c>
      <c r="C16433" s="111" t="s">
        <v>28172</v>
      </c>
      <c r="D16433" s="111" t="str">
        <f t="shared" ref="D16433:E16433" si="16431">TRIM(B16433)</f>
        <v>Virginia</v>
      </c>
      <c r="E16433" s="111" t="str">
        <f t="shared" si="16431"/>
        <v>Eastville</v>
      </c>
    </row>
    <row r="16434" spans="1:5">
      <c r="A16434" s="3" t="s">
        <v>28173</v>
      </c>
      <c r="B16434" s="110" t="s">
        <v>1376</v>
      </c>
      <c r="C16434" s="111" t="s">
        <v>15674</v>
      </c>
      <c r="D16434" s="111" t="str">
        <f t="shared" ref="D16434:E16434" si="16432">TRIM(B16434)</f>
        <v>Virginia</v>
      </c>
      <c r="E16434" s="111" t="str">
        <f t="shared" si="16432"/>
        <v>Elkton</v>
      </c>
    </row>
    <row r="16435" spans="1:5">
      <c r="A16435" s="3" t="s">
        <v>28174</v>
      </c>
      <c r="B16435" s="110" t="s">
        <v>1376</v>
      </c>
      <c r="C16435" s="111" t="s">
        <v>28175</v>
      </c>
      <c r="D16435" s="111" t="str">
        <f t="shared" ref="D16435:E16435" si="16433">TRIM(B16435)</f>
        <v>Virginia</v>
      </c>
      <c r="E16435" s="111" t="str">
        <f t="shared" si="16433"/>
        <v>Elliston</v>
      </c>
    </row>
    <row r="16436" spans="1:5">
      <c r="A16436" s="3" t="s">
        <v>28176</v>
      </c>
      <c r="B16436" s="110" t="s">
        <v>1376</v>
      </c>
      <c r="C16436" s="111" t="s">
        <v>478</v>
      </c>
      <c r="D16436" s="111" t="str">
        <f t="shared" ref="D16436:E16436" si="16434">TRIM(B16436)</f>
        <v>Virginia</v>
      </c>
      <c r="E16436" s="111" t="str">
        <f t="shared" si="16434"/>
        <v>Emporia</v>
      </c>
    </row>
    <row r="16437" spans="1:5">
      <c r="A16437" s="3" t="s">
        <v>28177</v>
      </c>
      <c r="B16437" s="110" t="s">
        <v>1376</v>
      </c>
      <c r="C16437" s="111" t="s">
        <v>12210</v>
      </c>
      <c r="D16437" s="111" t="str">
        <f t="shared" ref="D16437:E16437" si="16435">TRIM(B16437)</f>
        <v>Virginia</v>
      </c>
      <c r="E16437" s="111" t="str">
        <f t="shared" si="16435"/>
        <v>Ewing</v>
      </c>
    </row>
    <row r="16438" spans="1:5">
      <c r="A16438" s="3" t="s">
        <v>18763</v>
      </c>
      <c r="B16438" s="110" t="s">
        <v>1376</v>
      </c>
      <c r="C16438" s="112" t="s">
        <v>603</v>
      </c>
      <c r="D16438" s="111" t="str">
        <f t="shared" ref="D16438:E16438" si="16436">TRIM(B16438)</f>
        <v>Virginia</v>
      </c>
      <c r="E16438" s="111" t="str">
        <f t="shared" si="16436"/>
        <v>Fairfax</v>
      </c>
    </row>
    <row r="16439" spans="1:5">
      <c r="A16439" s="110" t="s">
        <v>28178</v>
      </c>
      <c r="B16439" s="110" t="s">
        <v>1376</v>
      </c>
      <c r="C16439" s="111" t="s">
        <v>603</v>
      </c>
      <c r="D16439" s="111" t="str">
        <f t="shared" ref="D16439:E16439" si="16437">TRIM(B16439)</f>
        <v>Virginia</v>
      </c>
      <c r="E16439" s="111" t="str">
        <f t="shared" si="16437"/>
        <v>Fairfax</v>
      </c>
    </row>
    <row r="16440" spans="1:5">
      <c r="A16440" s="3" t="s">
        <v>28179</v>
      </c>
      <c r="B16440" s="110" t="s">
        <v>1376</v>
      </c>
      <c r="C16440" s="112" t="s">
        <v>603</v>
      </c>
      <c r="D16440" s="111" t="str">
        <f t="shared" ref="D16440:E16440" si="16438">TRIM(B16440)</f>
        <v>Virginia</v>
      </c>
      <c r="E16440" s="111" t="str">
        <f t="shared" si="16438"/>
        <v>Fairfax</v>
      </c>
    </row>
    <row r="16441" spans="1:5">
      <c r="A16441" s="3" t="s">
        <v>28180</v>
      </c>
      <c r="B16441" s="110" t="s">
        <v>1376</v>
      </c>
      <c r="C16441" s="111" t="s">
        <v>28181</v>
      </c>
      <c r="D16441" s="111" t="str">
        <f t="shared" ref="D16441:E16441" si="16439">TRIM(B16441)</f>
        <v>Virginia</v>
      </c>
      <c r="E16441" s="111" t="str">
        <f t="shared" si="16439"/>
        <v>Falls Church</v>
      </c>
    </row>
    <row r="16442" spans="1:5">
      <c r="A16442" s="3" t="s">
        <v>28182</v>
      </c>
      <c r="B16442" s="110" t="s">
        <v>1376</v>
      </c>
      <c r="C16442" s="111" t="s">
        <v>28181</v>
      </c>
      <c r="D16442" s="111" t="str">
        <f t="shared" ref="D16442:E16442" si="16440">TRIM(B16442)</f>
        <v>Virginia</v>
      </c>
      <c r="E16442" s="111" t="str">
        <f t="shared" si="16440"/>
        <v>Falls Church</v>
      </c>
    </row>
    <row r="16443" spans="1:5">
      <c r="A16443" s="3" t="s">
        <v>28183</v>
      </c>
      <c r="B16443" s="110" t="s">
        <v>1376</v>
      </c>
      <c r="C16443" s="111" t="s">
        <v>28181</v>
      </c>
      <c r="D16443" s="111" t="str">
        <f t="shared" ref="D16443:E16443" si="16441">TRIM(B16443)</f>
        <v>Virginia</v>
      </c>
      <c r="E16443" s="111" t="str">
        <f t="shared" si="16441"/>
        <v>Falls Church</v>
      </c>
    </row>
    <row r="16444" spans="1:5">
      <c r="A16444" s="3" t="s">
        <v>4004</v>
      </c>
      <c r="B16444" s="110" t="s">
        <v>1376</v>
      </c>
      <c r="C16444" s="111" t="s">
        <v>28181</v>
      </c>
      <c r="D16444" s="111" t="str">
        <f t="shared" ref="D16444:E16444" si="16442">TRIM(B16444)</f>
        <v>Virginia</v>
      </c>
      <c r="E16444" s="111" t="str">
        <f t="shared" si="16442"/>
        <v>Falls Church</v>
      </c>
    </row>
    <row r="16445" spans="1:5">
      <c r="A16445" s="3" t="s">
        <v>28184</v>
      </c>
      <c r="B16445" s="110" t="s">
        <v>1376</v>
      </c>
      <c r="C16445" s="111" t="s">
        <v>13977</v>
      </c>
      <c r="D16445" s="111" t="str">
        <f t="shared" ref="D16445:E16445" si="16443">TRIM(B16445)</f>
        <v>Virginia</v>
      </c>
      <c r="E16445" s="111" t="str">
        <f t="shared" si="16443"/>
        <v>Farmville</v>
      </c>
    </row>
    <row r="16446" spans="1:5">
      <c r="A16446" s="3" t="s">
        <v>28185</v>
      </c>
      <c r="B16446" s="110" t="s">
        <v>1376</v>
      </c>
      <c r="C16446" s="112" t="s">
        <v>28186</v>
      </c>
      <c r="D16446" s="111" t="str">
        <f t="shared" ref="D16446:E16446" si="16444">TRIM(B16446)</f>
        <v>Virginia</v>
      </c>
      <c r="E16446" s="111" t="str">
        <f t="shared" si="16444"/>
        <v>Fishersville</v>
      </c>
    </row>
    <row r="16447" spans="1:5">
      <c r="A16447" s="3" t="s">
        <v>28187</v>
      </c>
      <c r="B16447" s="110" t="s">
        <v>1376</v>
      </c>
      <c r="C16447" s="111" t="s">
        <v>20547</v>
      </c>
      <c r="D16447" s="111" t="str">
        <f t="shared" ref="D16447:E16447" si="16445">TRIM(B16447)</f>
        <v>Virginia</v>
      </c>
      <c r="E16447" s="111" t="str">
        <f t="shared" si="16445"/>
        <v>Floyd</v>
      </c>
    </row>
    <row r="16448" spans="1:5">
      <c r="A16448" s="3" t="s">
        <v>28188</v>
      </c>
      <c r="B16448" s="110" t="s">
        <v>1376</v>
      </c>
      <c r="C16448" s="111" t="s">
        <v>18423</v>
      </c>
      <c r="D16448" s="111" t="str">
        <f t="shared" ref="D16448:E16448" si="16446">TRIM(B16448)</f>
        <v>Virginia</v>
      </c>
      <c r="E16448" s="111" t="str">
        <f t="shared" si="16446"/>
        <v>Forest</v>
      </c>
    </row>
    <row r="16449" spans="1:5">
      <c r="A16449" s="3" t="s">
        <v>28189</v>
      </c>
      <c r="B16449" s="110" t="s">
        <v>1376</v>
      </c>
      <c r="C16449" s="111" t="s">
        <v>2624</v>
      </c>
      <c r="D16449" s="111" t="str">
        <f t="shared" ref="D16449:E16449" si="16447">TRIM(B16449)</f>
        <v>Virginia</v>
      </c>
      <c r="E16449" s="111" t="str">
        <f t="shared" si="16447"/>
        <v>Fort Defiance</v>
      </c>
    </row>
    <row r="16450" spans="1:5">
      <c r="A16450" s="3" t="s">
        <v>4937</v>
      </c>
      <c r="B16450" s="110" t="s">
        <v>1376</v>
      </c>
      <c r="C16450" s="111" t="s">
        <v>525</v>
      </c>
      <c r="D16450" s="111" t="str">
        <f t="shared" ref="D16450:E16450" si="16448">TRIM(B16450)</f>
        <v>Virginia</v>
      </c>
      <c r="E16450" s="111" t="str">
        <f t="shared" si="16448"/>
        <v>Franklin</v>
      </c>
    </row>
    <row r="16451" spans="1:5">
      <c r="A16451" s="3" t="s">
        <v>28190</v>
      </c>
      <c r="B16451" s="110" t="s">
        <v>1376</v>
      </c>
      <c r="C16451" s="111" t="s">
        <v>13612</v>
      </c>
      <c r="D16451" s="111" t="str">
        <f t="shared" ref="D16451:E16451" si="16449">TRIM(B16451)</f>
        <v>Virginia</v>
      </c>
      <c r="E16451" s="111" t="str">
        <f t="shared" si="16449"/>
        <v>Fredericksburg</v>
      </c>
    </row>
    <row r="16452" spans="1:5">
      <c r="A16452" s="3" t="s">
        <v>6081</v>
      </c>
      <c r="B16452" s="110" t="s">
        <v>1376</v>
      </c>
      <c r="C16452" s="111" t="s">
        <v>13612</v>
      </c>
      <c r="D16452" s="111" t="str">
        <f t="shared" ref="D16452:E16452" si="16450">TRIM(B16452)</f>
        <v>Virginia</v>
      </c>
      <c r="E16452" s="111" t="str">
        <f t="shared" si="16450"/>
        <v>Fredericksburg</v>
      </c>
    </row>
    <row r="16453" spans="1:5">
      <c r="A16453" s="3" t="s">
        <v>28191</v>
      </c>
      <c r="B16453" s="110" t="s">
        <v>1376</v>
      </c>
      <c r="C16453" s="111" t="s">
        <v>13612</v>
      </c>
      <c r="D16453" s="111" t="str">
        <f t="shared" ref="D16453:E16453" si="16451">TRIM(B16453)</f>
        <v>Virginia</v>
      </c>
      <c r="E16453" s="111" t="str">
        <f t="shared" si="16451"/>
        <v>Fredericksburg</v>
      </c>
    </row>
    <row r="16454" spans="1:5">
      <c r="A16454" s="3" t="s">
        <v>24318</v>
      </c>
      <c r="B16454" s="110" t="s">
        <v>1376</v>
      </c>
      <c r="C16454" s="111" t="s">
        <v>13612</v>
      </c>
      <c r="D16454" s="111" t="str">
        <f t="shared" ref="D16454:E16454" si="16452">TRIM(B16454)</f>
        <v>Virginia</v>
      </c>
      <c r="E16454" s="111" t="str">
        <f t="shared" si="16452"/>
        <v>Fredericksburg</v>
      </c>
    </row>
    <row r="16455" spans="1:5">
      <c r="A16455" s="3" t="s">
        <v>28192</v>
      </c>
      <c r="B16455" s="110" t="s">
        <v>1376</v>
      </c>
      <c r="C16455" s="111" t="s">
        <v>13612</v>
      </c>
      <c r="D16455" s="111" t="str">
        <f t="shared" ref="D16455:E16455" si="16453">TRIM(B16455)</f>
        <v>Virginia</v>
      </c>
      <c r="E16455" s="111" t="str">
        <f t="shared" si="16453"/>
        <v>Fredericksburg</v>
      </c>
    </row>
    <row r="16456" spans="1:5">
      <c r="A16456" s="3" t="s">
        <v>2853</v>
      </c>
      <c r="B16456" s="110" t="s">
        <v>1376</v>
      </c>
      <c r="C16456" s="111" t="s">
        <v>28193</v>
      </c>
      <c r="D16456" s="111" t="str">
        <f t="shared" ref="D16456:E16456" si="16454">TRIM(B16456)</f>
        <v>Virginia</v>
      </c>
      <c r="E16456" s="111" t="str">
        <f t="shared" si="16454"/>
        <v>Front Royal</v>
      </c>
    </row>
    <row r="16457" spans="1:5">
      <c r="A16457" s="3" t="s">
        <v>11416</v>
      </c>
      <c r="B16457" s="110" t="s">
        <v>1376</v>
      </c>
      <c r="C16457" s="112" t="s">
        <v>28193</v>
      </c>
      <c r="D16457" s="111" t="str">
        <f t="shared" ref="D16457:E16457" si="16455">TRIM(B16457)</f>
        <v>Virginia</v>
      </c>
      <c r="E16457" s="111" t="str">
        <f t="shared" si="16455"/>
        <v>Front Royal</v>
      </c>
    </row>
    <row r="16458" spans="1:5">
      <c r="A16458" s="3" t="s">
        <v>28194</v>
      </c>
      <c r="B16458" s="110" t="s">
        <v>1376</v>
      </c>
      <c r="C16458" s="111" t="s">
        <v>28195</v>
      </c>
      <c r="D16458" s="111" t="str">
        <f t="shared" ref="D16458:E16458" si="16456">TRIM(B16458)</f>
        <v>Virginia</v>
      </c>
      <c r="E16458" s="111" t="str">
        <f t="shared" si="16456"/>
        <v>Galax</v>
      </c>
    </row>
    <row r="16459" spans="1:5">
      <c r="A16459" s="3" t="s">
        <v>28196</v>
      </c>
      <c r="B16459" s="110" t="s">
        <v>1376</v>
      </c>
      <c r="C16459" s="111" t="s">
        <v>4971</v>
      </c>
      <c r="D16459" s="111" t="str">
        <f t="shared" ref="D16459:E16459" si="16457">TRIM(B16459)</f>
        <v>Virginia</v>
      </c>
      <c r="E16459" s="111" t="str">
        <f t="shared" si="16457"/>
        <v>Gate City</v>
      </c>
    </row>
    <row r="16460" spans="1:5">
      <c r="A16460" s="3" t="s">
        <v>23134</v>
      </c>
      <c r="B16460" s="110" t="s">
        <v>1376</v>
      </c>
      <c r="C16460" s="111" t="s">
        <v>28197</v>
      </c>
      <c r="D16460" s="111" t="str">
        <f t="shared" ref="D16460:E16460" si="16458">TRIM(B16460)</f>
        <v>Virginia</v>
      </c>
      <c r="E16460" s="111" t="str">
        <f t="shared" si="16458"/>
        <v>Glade Spring</v>
      </c>
    </row>
    <row r="16461" spans="1:5">
      <c r="A16461" s="3" t="s">
        <v>28198</v>
      </c>
      <c r="B16461" s="110" t="s">
        <v>1376</v>
      </c>
      <c r="C16461" s="111" t="s">
        <v>28199</v>
      </c>
      <c r="D16461" s="111" t="str">
        <f t="shared" ref="D16461:E16461" si="16459">TRIM(B16461)</f>
        <v>Virginia</v>
      </c>
      <c r="E16461" s="111" t="str">
        <f t="shared" si="16459"/>
        <v>Glen Allen</v>
      </c>
    </row>
    <row r="16462" spans="1:5">
      <c r="A16462" s="3" t="s">
        <v>28200</v>
      </c>
      <c r="B16462" s="110" t="s">
        <v>1376</v>
      </c>
      <c r="C16462" s="111" t="s">
        <v>28199</v>
      </c>
      <c r="D16462" s="111" t="str">
        <f t="shared" ref="D16462:E16462" si="16460">TRIM(B16462)</f>
        <v>Virginia</v>
      </c>
      <c r="E16462" s="111" t="str">
        <f t="shared" si="16460"/>
        <v>Glen Allen</v>
      </c>
    </row>
    <row r="16463" spans="1:5">
      <c r="A16463" s="3" t="s">
        <v>16652</v>
      </c>
      <c r="B16463" s="110" t="s">
        <v>1376</v>
      </c>
      <c r="C16463" s="111" t="s">
        <v>16653</v>
      </c>
      <c r="D16463" s="111" t="str">
        <f t="shared" ref="D16463:E16463" si="16461">TRIM(B16463)</f>
        <v>Virginia</v>
      </c>
      <c r="E16463" s="111" t="str">
        <f t="shared" si="16461"/>
        <v>Gloucester</v>
      </c>
    </row>
    <row r="16464" spans="1:5">
      <c r="A16464" s="3" t="s">
        <v>28201</v>
      </c>
      <c r="B16464" s="110" t="s">
        <v>1376</v>
      </c>
      <c r="C16464" s="111" t="s">
        <v>28202</v>
      </c>
      <c r="D16464" s="111" t="str">
        <f t="shared" ref="D16464:E16464" si="16462">TRIM(B16464)</f>
        <v>Virginia</v>
      </c>
      <c r="E16464" s="111" t="str">
        <f t="shared" si="16462"/>
        <v>Goochland</v>
      </c>
    </row>
    <row r="16465" spans="1:5">
      <c r="A16465" s="3" t="s">
        <v>19590</v>
      </c>
      <c r="B16465" s="110" t="s">
        <v>1376</v>
      </c>
      <c r="C16465" s="111" t="s">
        <v>10855</v>
      </c>
      <c r="D16465" s="111" t="str">
        <f t="shared" ref="D16465:E16465" si="16463">TRIM(B16465)</f>
        <v>Virginia</v>
      </c>
      <c r="E16465" s="111" t="str">
        <f t="shared" si="16463"/>
        <v>Gretna</v>
      </c>
    </row>
    <row r="16466" spans="1:5">
      <c r="A16466" s="3" t="s">
        <v>28203</v>
      </c>
      <c r="B16466" s="110" t="s">
        <v>1376</v>
      </c>
      <c r="C16466" s="111" t="s">
        <v>14023</v>
      </c>
      <c r="D16466" s="111" t="str">
        <f t="shared" ref="D16466:E16466" si="16464">TRIM(B16466)</f>
        <v>Virginia</v>
      </c>
      <c r="E16466" s="111" t="str">
        <f t="shared" si="16464"/>
        <v>Grundy</v>
      </c>
    </row>
    <row r="16467" spans="1:5">
      <c r="A16467" s="3" t="s">
        <v>8339</v>
      </c>
      <c r="B16467" s="110" t="s">
        <v>1376</v>
      </c>
      <c r="C16467" s="111" t="s">
        <v>3841</v>
      </c>
      <c r="D16467" s="111" t="str">
        <f t="shared" ref="D16467:E16467" si="16465">TRIM(B16467)</f>
        <v>Virginia</v>
      </c>
      <c r="E16467" s="111" t="str">
        <f t="shared" si="16465"/>
        <v>Hampton</v>
      </c>
    </row>
    <row r="16468" spans="1:5">
      <c r="A16468" s="3" t="s">
        <v>3839</v>
      </c>
      <c r="B16468" s="110" t="s">
        <v>1376</v>
      </c>
      <c r="C16468" s="112" t="s">
        <v>3841</v>
      </c>
      <c r="D16468" s="111" t="str">
        <f t="shared" ref="D16468:E16468" si="16466">TRIM(B16468)</f>
        <v>Virginia</v>
      </c>
      <c r="E16468" s="111" t="str">
        <f t="shared" si="16466"/>
        <v>Hampton</v>
      </c>
    </row>
    <row r="16469" spans="1:5">
      <c r="A16469" s="3" t="s">
        <v>28204</v>
      </c>
      <c r="B16469" s="110" t="s">
        <v>1376</v>
      </c>
      <c r="C16469" s="112" t="s">
        <v>3841</v>
      </c>
      <c r="D16469" s="111" t="str">
        <f t="shared" ref="D16469:E16469" si="16467">TRIM(B16469)</f>
        <v>Virginia</v>
      </c>
      <c r="E16469" s="111" t="str">
        <f t="shared" si="16467"/>
        <v>Hampton</v>
      </c>
    </row>
    <row r="16470" spans="1:5">
      <c r="A16470" s="3" t="s">
        <v>28205</v>
      </c>
      <c r="B16470" s="110" t="s">
        <v>1376</v>
      </c>
      <c r="C16470" s="111" t="s">
        <v>3841</v>
      </c>
      <c r="D16470" s="111" t="str">
        <f t="shared" ref="D16470:E16470" si="16468">TRIM(B16470)</f>
        <v>Virginia</v>
      </c>
      <c r="E16470" s="111" t="str">
        <f t="shared" si="16468"/>
        <v>Hampton</v>
      </c>
    </row>
    <row r="16471" spans="1:5">
      <c r="A16471" s="3" t="s">
        <v>28206</v>
      </c>
      <c r="B16471" s="110" t="s">
        <v>1376</v>
      </c>
      <c r="C16471" s="111" t="s">
        <v>13968</v>
      </c>
      <c r="D16471" s="111" t="str">
        <f t="shared" ref="D16471:E16471" si="16469">TRIM(B16471)</f>
        <v>Virginia</v>
      </c>
      <c r="E16471" s="111" t="str">
        <f t="shared" si="16469"/>
        <v>Harrisonburg</v>
      </c>
    </row>
    <row r="16472" spans="1:5">
      <c r="A16472" s="3" t="s">
        <v>28207</v>
      </c>
      <c r="B16472" s="110" t="s">
        <v>1376</v>
      </c>
      <c r="C16472" s="111" t="s">
        <v>28208</v>
      </c>
      <c r="D16472" s="111" t="str">
        <f t="shared" ref="D16472:E16472" si="16470">TRIM(B16472)</f>
        <v>Virginia</v>
      </c>
      <c r="E16472" s="111" t="str">
        <f t="shared" si="16470"/>
        <v>Haymarket</v>
      </c>
    </row>
    <row r="16473" spans="1:5">
      <c r="A16473" s="3" t="s">
        <v>28209</v>
      </c>
      <c r="B16473" s="110" t="s">
        <v>1376</v>
      </c>
      <c r="C16473" s="111" t="s">
        <v>28210</v>
      </c>
      <c r="D16473" s="111" t="str">
        <f t="shared" ref="D16473:E16473" si="16471">TRIM(B16473)</f>
        <v>Virginia</v>
      </c>
      <c r="E16473" s="111" t="str">
        <f t="shared" si="16471"/>
        <v>Heathsville</v>
      </c>
    </row>
    <row r="16474" spans="1:5">
      <c r="A16474" s="3" t="s">
        <v>28211</v>
      </c>
      <c r="B16474" s="110" t="s">
        <v>1376</v>
      </c>
      <c r="C16474" s="76" t="s">
        <v>966</v>
      </c>
      <c r="D16474" s="111" t="str">
        <f t="shared" ref="D16474:E16474" si="16472">TRIM(B16474)</f>
        <v>Virginia</v>
      </c>
      <c r="E16474" s="111" t="str">
        <f t="shared" si="16472"/>
        <v>Henrico</v>
      </c>
    </row>
    <row r="16475" spans="1:5">
      <c r="A16475" s="3" t="s">
        <v>28212</v>
      </c>
      <c r="B16475" s="110" t="s">
        <v>1376</v>
      </c>
      <c r="C16475" s="111" t="s">
        <v>14001</v>
      </c>
      <c r="D16475" s="111" t="str">
        <f t="shared" ref="D16475:E16475" si="16473">TRIM(B16475)</f>
        <v>Virginia</v>
      </c>
      <c r="E16475" s="111" t="str">
        <f t="shared" si="16473"/>
        <v>Herndon</v>
      </c>
    </row>
    <row r="16476" spans="1:5">
      <c r="A16476" s="3" t="s">
        <v>28213</v>
      </c>
      <c r="B16476" s="110" t="s">
        <v>1376</v>
      </c>
      <c r="C16476" s="113" t="s">
        <v>28214</v>
      </c>
      <c r="D16476" s="111" t="str">
        <f t="shared" ref="D16476:E16476" si="16474">TRIM(B16476)</f>
        <v>Virginia</v>
      </c>
      <c r="E16476" s="111" t="str">
        <f t="shared" si="16474"/>
        <v>Highland Springs</v>
      </c>
    </row>
    <row r="16477" spans="1:5">
      <c r="A16477" s="3" t="s">
        <v>15646</v>
      </c>
      <c r="B16477" s="110" t="s">
        <v>1376</v>
      </c>
      <c r="C16477" s="111" t="s">
        <v>28215</v>
      </c>
      <c r="D16477" s="111" t="str">
        <f t="shared" ref="D16477:E16477" si="16475">TRIM(B16477)</f>
        <v>Virginia</v>
      </c>
      <c r="E16477" s="111" t="str">
        <f t="shared" si="16475"/>
        <v>Hillsville</v>
      </c>
    </row>
    <row r="16478" spans="1:5">
      <c r="A16478" s="3" t="s">
        <v>28216</v>
      </c>
      <c r="B16478" s="110" t="s">
        <v>1376</v>
      </c>
      <c r="C16478" s="111" t="s">
        <v>28217</v>
      </c>
      <c r="D16478" s="111" t="str">
        <f t="shared" ref="D16478:E16478" si="16476">TRIM(B16478)</f>
        <v>Virginia</v>
      </c>
      <c r="E16478" s="111" t="str">
        <f t="shared" si="16476"/>
        <v>Honaker</v>
      </c>
    </row>
    <row r="16479" spans="1:5">
      <c r="A16479" s="3" t="s">
        <v>28218</v>
      </c>
      <c r="B16479" s="110" t="s">
        <v>1376</v>
      </c>
      <c r="C16479" s="111" t="s">
        <v>28217</v>
      </c>
      <c r="D16479" s="111" t="str">
        <f t="shared" ref="D16479:E16479" si="16477">TRIM(B16479)</f>
        <v>Virginia</v>
      </c>
      <c r="E16479" s="111" t="str">
        <f t="shared" si="16477"/>
        <v>Honaker</v>
      </c>
    </row>
    <row r="16480" spans="1:5">
      <c r="A16480" s="3" t="s">
        <v>22243</v>
      </c>
      <c r="B16480" s="110" t="s">
        <v>1376</v>
      </c>
      <c r="C16480" s="111" t="s">
        <v>28219</v>
      </c>
      <c r="D16480" s="111" t="str">
        <f t="shared" ref="D16480:E16480" si="16478">TRIM(B16480)</f>
        <v>Virginia</v>
      </c>
      <c r="E16480" s="111" t="str">
        <f t="shared" si="16478"/>
        <v>Hopewell</v>
      </c>
    </row>
    <row r="16481" spans="1:5">
      <c r="A16481" s="3" t="s">
        <v>15796</v>
      </c>
      <c r="B16481" s="110" t="s">
        <v>1376</v>
      </c>
      <c r="C16481" s="111" t="s">
        <v>2699</v>
      </c>
      <c r="D16481" s="111" t="str">
        <f t="shared" ref="D16481:E16481" si="16479">TRIM(B16481)</f>
        <v>Virginia</v>
      </c>
      <c r="E16481" s="111" t="str">
        <f t="shared" si="16479"/>
        <v>Hot Springs</v>
      </c>
    </row>
    <row r="16482" spans="1:5">
      <c r="A16482" s="3" t="s">
        <v>18839</v>
      </c>
      <c r="B16482" s="110" t="s">
        <v>1376</v>
      </c>
      <c r="C16482" s="111" t="s">
        <v>18449</v>
      </c>
      <c r="D16482" s="111" t="str">
        <f t="shared" ref="D16482:E16482" si="16480">TRIM(B16482)</f>
        <v>Virginia</v>
      </c>
      <c r="E16482" s="111" t="str">
        <f t="shared" si="16480"/>
        <v>Hurley</v>
      </c>
    </row>
    <row r="16483" spans="1:5">
      <c r="A16483" s="3" t="s">
        <v>15730</v>
      </c>
      <c r="B16483" s="110" t="s">
        <v>1376</v>
      </c>
      <c r="C16483" s="111" t="s">
        <v>5323</v>
      </c>
      <c r="D16483" s="111" t="str">
        <f t="shared" ref="D16483:E16483" si="16481">TRIM(B16483)</f>
        <v>Virginia</v>
      </c>
      <c r="E16483" s="111" t="str">
        <f t="shared" si="16481"/>
        <v>Independence</v>
      </c>
    </row>
    <row r="16484" spans="1:5">
      <c r="A16484" s="3" t="s">
        <v>1878</v>
      </c>
      <c r="B16484" s="110" t="s">
        <v>1376</v>
      </c>
      <c r="C16484" s="111" t="s">
        <v>15983</v>
      </c>
      <c r="D16484" s="111" t="str">
        <f t="shared" ref="D16484:E16484" si="16482">TRIM(B16484)</f>
        <v>Virginia</v>
      </c>
      <c r="E16484" s="111" t="str">
        <f t="shared" si="16482"/>
        <v>Jonesville</v>
      </c>
    </row>
    <row r="16485" spans="1:5">
      <c r="A16485" s="3" t="s">
        <v>1843</v>
      </c>
      <c r="B16485" s="110" t="s">
        <v>1376</v>
      </c>
      <c r="C16485" s="113" t="s">
        <v>28220</v>
      </c>
      <c r="D16485" s="111" t="str">
        <f t="shared" ref="D16485:E16485" si="16483">TRIM(B16485)</f>
        <v>Virginia</v>
      </c>
      <c r="E16485" s="111" t="str">
        <f t="shared" si="16483"/>
        <v>King And Queen C H</v>
      </c>
    </row>
    <row r="16486" spans="1:5">
      <c r="A16486" s="3" t="s">
        <v>28221</v>
      </c>
      <c r="B16486" s="110" t="s">
        <v>1376</v>
      </c>
      <c r="C16486" s="111" t="s">
        <v>28222</v>
      </c>
      <c r="D16486" s="111" t="str">
        <f t="shared" ref="D16486:E16486" si="16484">TRIM(B16486)</f>
        <v>Virginia</v>
      </c>
      <c r="E16486" s="111" t="str">
        <f t="shared" si="16484"/>
        <v>King George</v>
      </c>
    </row>
    <row r="16487" spans="1:5">
      <c r="A16487" s="3" t="s">
        <v>28223</v>
      </c>
      <c r="B16487" s="110" t="s">
        <v>1376</v>
      </c>
      <c r="C16487" s="111" t="s">
        <v>28224</v>
      </c>
      <c r="D16487" s="111" t="str">
        <f t="shared" ref="D16487:E16487" si="16485">TRIM(B16487)</f>
        <v>Virginia</v>
      </c>
      <c r="E16487" s="111" t="str">
        <f t="shared" si="16485"/>
        <v>King William</v>
      </c>
    </row>
    <row r="16488" spans="1:5">
      <c r="A16488" s="3" t="s">
        <v>5460</v>
      </c>
      <c r="B16488" s="110" t="s">
        <v>1376</v>
      </c>
      <c r="C16488" s="111" t="s">
        <v>61</v>
      </c>
      <c r="D16488" s="111" t="str">
        <f t="shared" ref="D16488:E16488" si="16486">TRIM(B16488)</f>
        <v>Virginia</v>
      </c>
      <c r="E16488" s="111" t="str">
        <f t="shared" si="16486"/>
        <v>Lancaster</v>
      </c>
    </row>
    <row r="16489" spans="1:5">
      <c r="A16489" s="3" t="s">
        <v>10466</v>
      </c>
      <c r="B16489" s="110" t="s">
        <v>1376</v>
      </c>
      <c r="C16489" s="111" t="s">
        <v>421</v>
      </c>
      <c r="D16489" s="111" t="str">
        <f t="shared" ref="D16489:E16489" si="16487">TRIM(B16489)</f>
        <v>Virginia</v>
      </c>
      <c r="E16489" s="111" t="str">
        <f t="shared" si="16487"/>
        <v>Lawrenceville</v>
      </c>
    </row>
    <row r="16490" spans="1:5">
      <c r="A16490" s="3" t="s">
        <v>13191</v>
      </c>
      <c r="B16490" s="110" t="s">
        <v>1376</v>
      </c>
      <c r="C16490" s="111" t="s">
        <v>8525</v>
      </c>
      <c r="D16490" s="111" t="str">
        <f t="shared" ref="D16490:E16490" si="16488">TRIM(B16490)</f>
        <v>Virginia</v>
      </c>
      <c r="E16490" s="111" t="str">
        <f t="shared" si="16488"/>
        <v>Lebanon</v>
      </c>
    </row>
    <row r="16491" spans="1:5">
      <c r="A16491" s="3" t="s">
        <v>28225</v>
      </c>
      <c r="B16491" s="110" t="s">
        <v>1376</v>
      </c>
      <c r="C16491" s="111" t="s">
        <v>9550</v>
      </c>
      <c r="D16491" s="111" t="str">
        <f t="shared" ref="D16491:E16491" si="16489">TRIM(B16491)</f>
        <v>Virginia</v>
      </c>
      <c r="E16491" s="111" t="str">
        <f t="shared" si="16489"/>
        <v>Leesburg</v>
      </c>
    </row>
    <row r="16492" spans="1:5">
      <c r="A16492" s="3" t="s">
        <v>3921</v>
      </c>
      <c r="B16492" s="110" t="s">
        <v>1376</v>
      </c>
      <c r="C16492" s="111" t="s">
        <v>9550</v>
      </c>
      <c r="D16492" s="111" t="str">
        <f t="shared" ref="D16492:E16492" si="16490">TRIM(B16492)</f>
        <v>Virginia</v>
      </c>
      <c r="E16492" s="111" t="str">
        <f t="shared" si="16490"/>
        <v>Leesburg</v>
      </c>
    </row>
    <row r="16493" spans="1:5">
      <c r="A16493" s="3" t="s">
        <v>28226</v>
      </c>
      <c r="B16493" s="110" t="s">
        <v>1376</v>
      </c>
      <c r="C16493" s="111" t="s">
        <v>506</v>
      </c>
      <c r="D16493" s="111" t="str">
        <f t="shared" ref="D16493:E16493" si="16491">TRIM(B16493)</f>
        <v>Virginia</v>
      </c>
      <c r="E16493" s="111" t="str">
        <f t="shared" si="16491"/>
        <v>Lexington</v>
      </c>
    </row>
    <row r="16494" spans="1:5">
      <c r="A16494" s="3" t="s">
        <v>28227</v>
      </c>
      <c r="B16494" s="110" t="s">
        <v>1376</v>
      </c>
      <c r="C16494" s="111" t="s">
        <v>28228</v>
      </c>
      <c r="D16494" s="111" t="str">
        <f t="shared" ref="D16494:E16494" si="16492">TRIM(B16494)</f>
        <v>Virginia</v>
      </c>
      <c r="E16494" s="111" t="str">
        <f t="shared" si="16492"/>
        <v>Lorton</v>
      </c>
    </row>
    <row r="16495" spans="1:5">
      <c r="A16495" s="3" t="s">
        <v>15607</v>
      </c>
      <c r="B16495" s="110" t="s">
        <v>1376</v>
      </c>
      <c r="C16495" s="111" t="s">
        <v>28229</v>
      </c>
      <c r="D16495" s="111" t="str">
        <f t="shared" ref="D16495:E16495" si="16493">TRIM(B16495)</f>
        <v>Virginia</v>
      </c>
      <c r="E16495" s="111" t="str">
        <f t="shared" si="16493"/>
        <v>Lovingston</v>
      </c>
    </row>
    <row r="16496" spans="1:5">
      <c r="A16496" s="3" t="s">
        <v>28230</v>
      </c>
      <c r="B16496" s="110" t="s">
        <v>1376</v>
      </c>
      <c r="C16496" s="111" t="s">
        <v>28231</v>
      </c>
      <c r="D16496" s="111" t="str">
        <f t="shared" ref="D16496:E16496" si="16494">TRIM(B16496)</f>
        <v>Virginia</v>
      </c>
      <c r="E16496" s="111" t="str">
        <f t="shared" si="16494"/>
        <v>Luray</v>
      </c>
    </row>
    <row r="16497" spans="1:5">
      <c r="A16497" s="3" t="s">
        <v>22851</v>
      </c>
      <c r="B16497" s="110" t="s">
        <v>1376</v>
      </c>
      <c r="C16497" s="111" t="s">
        <v>14005</v>
      </c>
      <c r="D16497" s="111" t="str">
        <f t="shared" ref="D16497:E16497" si="16495">TRIM(B16497)</f>
        <v>Virginia</v>
      </c>
      <c r="E16497" s="111" t="str">
        <f t="shared" si="16495"/>
        <v>Lynchburg</v>
      </c>
    </row>
    <row r="16498" spans="1:5">
      <c r="A16498" s="3" t="s">
        <v>28232</v>
      </c>
      <c r="B16498" s="110" t="s">
        <v>1376</v>
      </c>
      <c r="C16498" s="111" t="s">
        <v>14005</v>
      </c>
      <c r="D16498" s="111" t="str">
        <f t="shared" ref="D16498:E16498" si="16496">TRIM(B16498)</f>
        <v>Virginia</v>
      </c>
      <c r="E16498" s="111" t="str">
        <f t="shared" si="16496"/>
        <v>Lynchburg</v>
      </c>
    </row>
    <row r="16499" spans="1:5">
      <c r="A16499" s="3" t="s">
        <v>4519</v>
      </c>
      <c r="B16499" s="110" t="s">
        <v>1376</v>
      </c>
      <c r="C16499" s="111" t="s">
        <v>14005</v>
      </c>
      <c r="D16499" s="111" t="str">
        <f t="shared" ref="D16499:E16499" si="16497">TRIM(B16499)</f>
        <v>Virginia</v>
      </c>
      <c r="E16499" s="111" t="str">
        <f t="shared" si="16497"/>
        <v>Lynchburg</v>
      </c>
    </row>
    <row r="16500" spans="1:5">
      <c r="A16500" s="3" t="s">
        <v>1818</v>
      </c>
      <c r="B16500" s="110" t="s">
        <v>1376</v>
      </c>
      <c r="C16500" s="111" t="s">
        <v>488</v>
      </c>
      <c r="D16500" s="111" t="str">
        <f t="shared" ref="D16500:E16500" si="16498">TRIM(B16500)</f>
        <v>Virginia</v>
      </c>
      <c r="E16500" s="111" t="str">
        <f t="shared" si="16498"/>
        <v>Madison</v>
      </c>
    </row>
    <row r="16501" spans="1:5">
      <c r="A16501" s="3" t="s">
        <v>28233</v>
      </c>
      <c r="B16501" s="110" t="s">
        <v>1376</v>
      </c>
      <c r="C16501" s="111" t="s">
        <v>14057</v>
      </c>
      <c r="D16501" s="111" t="str">
        <f t="shared" ref="D16501:E16501" si="16499">TRIM(B16501)</f>
        <v>Virginia</v>
      </c>
      <c r="E16501" s="111" t="str">
        <f t="shared" si="16499"/>
        <v>Manassas</v>
      </c>
    </row>
    <row r="16502" spans="1:5">
      <c r="A16502" s="3" t="s">
        <v>28234</v>
      </c>
      <c r="B16502" s="110" t="s">
        <v>1376</v>
      </c>
      <c r="C16502" s="111" t="s">
        <v>14057</v>
      </c>
      <c r="D16502" s="111" t="str">
        <f t="shared" ref="D16502:E16502" si="16500">TRIM(B16502)</f>
        <v>Virginia</v>
      </c>
      <c r="E16502" s="111" t="str">
        <f t="shared" si="16500"/>
        <v>Manassas</v>
      </c>
    </row>
    <row r="16503" spans="1:5">
      <c r="A16503" s="3" t="s">
        <v>28235</v>
      </c>
      <c r="B16503" s="110" t="s">
        <v>1376</v>
      </c>
      <c r="C16503" s="111" t="s">
        <v>14057</v>
      </c>
      <c r="D16503" s="111" t="str">
        <f t="shared" ref="D16503:E16503" si="16501">TRIM(B16503)</f>
        <v>Virginia</v>
      </c>
      <c r="E16503" s="111" t="str">
        <f t="shared" si="16501"/>
        <v>Manassas</v>
      </c>
    </row>
    <row r="16504" spans="1:5">
      <c r="A16504" s="3" t="s">
        <v>28236</v>
      </c>
      <c r="B16504" s="110" t="s">
        <v>1376</v>
      </c>
      <c r="C16504" s="111" t="s">
        <v>14057</v>
      </c>
      <c r="D16504" s="111" t="str">
        <f t="shared" ref="D16504:E16504" si="16502">TRIM(B16504)</f>
        <v>Virginia</v>
      </c>
      <c r="E16504" s="111" t="str">
        <f t="shared" si="16502"/>
        <v>Manassas</v>
      </c>
    </row>
    <row r="16505" spans="1:5">
      <c r="A16505" s="3" t="s">
        <v>28237</v>
      </c>
      <c r="B16505" s="110" t="s">
        <v>1376</v>
      </c>
      <c r="C16505" s="111" t="s">
        <v>28238</v>
      </c>
      <c r="D16505" s="111" t="str">
        <f t="shared" ref="D16505:E16505" si="16503">TRIM(B16505)</f>
        <v>Virginia</v>
      </c>
      <c r="E16505" s="111" t="str">
        <f t="shared" si="16503"/>
        <v>Manassas Park</v>
      </c>
    </row>
    <row r="16506" spans="1:5">
      <c r="A16506" s="3" t="s">
        <v>28239</v>
      </c>
      <c r="B16506" s="110" t="s">
        <v>1376</v>
      </c>
      <c r="C16506" s="111" t="s">
        <v>3995</v>
      </c>
      <c r="D16506" s="111" t="str">
        <f t="shared" ref="D16506:E16506" si="16504">TRIM(B16506)</f>
        <v>Virginia</v>
      </c>
      <c r="E16506" s="111" t="str">
        <f t="shared" si="16504"/>
        <v>Marion</v>
      </c>
    </row>
    <row r="16507" spans="1:5">
      <c r="A16507" s="3" t="s">
        <v>14482</v>
      </c>
      <c r="B16507" s="110" t="s">
        <v>1376</v>
      </c>
      <c r="C16507" s="111" t="s">
        <v>477</v>
      </c>
      <c r="D16507" s="111" t="str">
        <f t="shared" ref="D16507:E16507" si="16505">TRIM(B16507)</f>
        <v>Virginia</v>
      </c>
      <c r="E16507" s="111" t="str">
        <f t="shared" si="16505"/>
        <v>Martinsville</v>
      </c>
    </row>
    <row r="16508" spans="1:5">
      <c r="A16508" s="3" t="s">
        <v>23528</v>
      </c>
      <c r="B16508" s="110" t="s">
        <v>1376</v>
      </c>
      <c r="C16508" s="111" t="s">
        <v>22304</v>
      </c>
      <c r="D16508" s="111" t="str">
        <f t="shared" ref="D16508:E16508" si="16506">TRIM(B16508)</f>
        <v>Virginia</v>
      </c>
      <c r="E16508" s="111" t="str">
        <f t="shared" si="16506"/>
        <v>Mathews</v>
      </c>
    </row>
    <row r="16509" spans="1:5">
      <c r="A16509" s="3" t="s">
        <v>28240</v>
      </c>
      <c r="B16509" s="110" t="s">
        <v>1376</v>
      </c>
      <c r="C16509" s="111" t="s">
        <v>28241</v>
      </c>
      <c r="D16509" s="111" t="str">
        <f t="shared" ref="D16509:E16509" si="16507">TRIM(B16509)</f>
        <v>Virginia</v>
      </c>
      <c r="E16509" s="111" t="str">
        <f t="shared" si="16507"/>
        <v>Max Meadows</v>
      </c>
    </row>
    <row r="16510" spans="1:5">
      <c r="A16510" s="3" t="s">
        <v>28242</v>
      </c>
      <c r="B16510" s="110" t="s">
        <v>1376</v>
      </c>
      <c r="C16510" s="111" t="s">
        <v>14090</v>
      </c>
      <c r="D16510" s="111" t="str">
        <f t="shared" ref="D16510:E16510" si="16508">TRIM(B16510)</f>
        <v>Virginia</v>
      </c>
      <c r="E16510" s="111" t="str">
        <f t="shared" si="16508"/>
        <v>Mclean</v>
      </c>
    </row>
    <row r="16511" spans="1:5">
      <c r="A16511" s="3" t="s">
        <v>28243</v>
      </c>
      <c r="B16511" s="110" t="s">
        <v>1376</v>
      </c>
      <c r="C16511" s="111" t="s">
        <v>14090</v>
      </c>
      <c r="D16511" s="111" t="str">
        <f t="shared" ref="D16511:E16511" si="16509">TRIM(B16511)</f>
        <v>Virginia</v>
      </c>
      <c r="E16511" s="111" t="str">
        <f t="shared" si="16509"/>
        <v>Mclean</v>
      </c>
    </row>
    <row r="16512" spans="1:5">
      <c r="A16512" s="3" t="s">
        <v>28244</v>
      </c>
      <c r="B16512" s="110" t="s">
        <v>1376</v>
      </c>
      <c r="C16512" s="111" t="s">
        <v>28245</v>
      </c>
      <c r="D16512" s="111" t="str">
        <f t="shared" ref="D16512:E16512" si="16510">TRIM(B16512)</f>
        <v>Virginia</v>
      </c>
      <c r="E16512" s="111" t="str">
        <f t="shared" si="16510"/>
        <v>Mechanicsville</v>
      </c>
    </row>
    <row r="16513" spans="1:5">
      <c r="A16513" s="3" t="s">
        <v>15296</v>
      </c>
      <c r="B16513" s="110" t="s">
        <v>1376</v>
      </c>
      <c r="C16513" s="111" t="s">
        <v>28245</v>
      </c>
      <c r="D16513" s="111" t="str">
        <f t="shared" ref="D16513:E16513" si="16511">TRIM(B16513)</f>
        <v>Virginia</v>
      </c>
      <c r="E16513" s="111" t="str">
        <f t="shared" si="16511"/>
        <v>Mechanicsville</v>
      </c>
    </row>
    <row r="16514" spans="1:5">
      <c r="A16514" s="3" t="s">
        <v>28246</v>
      </c>
      <c r="B16514" s="110" t="s">
        <v>1376</v>
      </c>
      <c r="C16514" s="111" t="s">
        <v>28245</v>
      </c>
      <c r="D16514" s="111" t="str">
        <f t="shared" ref="D16514:E16514" si="16512">TRIM(B16514)</f>
        <v>Virginia</v>
      </c>
      <c r="E16514" s="111" t="str">
        <f t="shared" si="16512"/>
        <v>Mechanicsville</v>
      </c>
    </row>
    <row r="16515" spans="1:5">
      <c r="A16515" s="3" t="s">
        <v>28247</v>
      </c>
      <c r="B16515" s="110" t="s">
        <v>1376</v>
      </c>
      <c r="C16515" s="111" t="s">
        <v>13329</v>
      </c>
      <c r="D16515" s="111" t="str">
        <f t="shared" ref="D16515:E16515" si="16513">TRIM(B16515)</f>
        <v>Virginia</v>
      </c>
      <c r="E16515" s="111" t="str">
        <f t="shared" si="16513"/>
        <v>Midlothian</v>
      </c>
    </row>
    <row r="16516" spans="1:5">
      <c r="A16516" s="3" t="s">
        <v>25889</v>
      </c>
      <c r="B16516" s="110" t="s">
        <v>1376</v>
      </c>
      <c r="C16516" s="111" t="s">
        <v>13329</v>
      </c>
      <c r="D16516" s="111" t="str">
        <f t="shared" ref="D16516:E16516" si="16514">TRIM(B16516)</f>
        <v>Virginia</v>
      </c>
      <c r="E16516" s="111" t="str">
        <f t="shared" si="16514"/>
        <v>Midlothian</v>
      </c>
    </row>
    <row r="16517" spans="1:5">
      <c r="A16517" s="3" t="s">
        <v>28119</v>
      </c>
      <c r="B16517" s="110" t="s">
        <v>1376</v>
      </c>
      <c r="C16517" s="111" t="s">
        <v>13329</v>
      </c>
      <c r="D16517" s="111" t="str">
        <f t="shared" ref="D16517:E16517" si="16515">TRIM(B16517)</f>
        <v>Virginia</v>
      </c>
      <c r="E16517" s="111" t="str">
        <f t="shared" si="16515"/>
        <v>Midlothian</v>
      </c>
    </row>
    <row r="16518" spans="1:5">
      <c r="A16518" s="3" t="s">
        <v>8541</v>
      </c>
      <c r="B16518" s="110" t="s">
        <v>1376</v>
      </c>
      <c r="C16518" s="111" t="s">
        <v>13329</v>
      </c>
      <c r="D16518" s="111" t="str">
        <f t="shared" ref="D16518:E16518" si="16516">TRIM(B16518)</f>
        <v>Virginia</v>
      </c>
      <c r="E16518" s="111" t="str">
        <f t="shared" si="16516"/>
        <v>Midlothian</v>
      </c>
    </row>
    <row r="16519" spans="1:5">
      <c r="A16519" s="3" t="s">
        <v>28248</v>
      </c>
      <c r="B16519" s="110" t="s">
        <v>1376</v>
      </c>
      <c r="C16519" s="111" t="s">
        <v>13329</v>
      </c>
      <c r="D16519" s="111" t="str">
        <f t="shared" ref="D16519:E16519" si="16517">TRIM(B16519)</f>
        <v>Virginia</v>
      </c>
      <c r="E16519" s="111" t="str">
        <f t="shared" si="16517"/>
        <v>Midlothian</v>
      </c>
    </row>
    <row r="16520" spans="1:5">
      <c r="A16520" s="3" t="s">
        <v>28249</v>
      </c>
      <c r="B16520" s="110" t="s">
        <v>1376</v>
      </c>
      <c r="C16520" s="111" t="s">
        <v>8552</v>
      </c>
      <c r="D16520" s="111" t="str">
        <f t="shared" ref="D16520:E16520" si="16518">TRIM(B16520)</f>
        <v>Virginia</v>
      </c>
      <c r="E16520" s="111" t="str">
        <f t="shared" si="16518"/>
        <v>Milford</v>
      </c>
    </row>
    <row r="16521" spans="1:5">
      <c r="A16521" s="3" t="s">
        <v>28250</v>
      </c>
      <c r="B16521" s="110" t="s">
        <v>1376</v>
      </c>
      <c r="C16521" s="111" t="s">
        <v>28251</v>
      </c>
      <c r="D16521" s="111" t="str">
        <f t="shared" ref="D16521:E16521" si="16519">TRIM(B16521)</f>
        <v>Virginia</v>
      </c>
      <c r="E16521" s="111" t="str">
        <f t="shared" si="16519"/>
        <v>Mineral</v>
      </c>
    </row>
    <row r="16522" spans="1:5">
      <c r="A16522" s="3" t="s">
        <v>28252</v>
      </c>
      <c r="B16522" s="110" t="s">
        <v>1376</v>
      </c>
      <c r="C16522" s="111" t="s">
        <v>28253</v>
      </c>
      <c r="D16522" s="111" t="str">
        <f t="shared" ref="D16522:E16522" si="16520">TRIM(B16522)</f>
        <v>Virginia</v>
      </c>
      <c r="E16522" s="111" t="str">
        <f t="shared" si="16520"/>
        <v>Moneta</v>
      </c>
    </row>
    <row r="16523" spans="1:5">
      <c r="A16523" s="3" t="s">
        <v>2665</v>
      </c>
      <c r="B16523" s="110" t="s">
        <v>1376</v>
      </c>
      <c r="C16523" s="111" t="s">
        <v>5995</v>
      </c>
      <c r="D16523" s="111" t="str">
        <f t="shared" ref="D16523:E16523" si="16521">TRIM(B16523)</f>
        <v>Virginia</v>
      </c>
      <c r="E16523" s="111" t="str">
        <f t="shared" si="16521"/>
        <v>Monterey</v>
      </c>
    </row>
    <row r="16524" spans="1:5">
      <c r="A16524" s="3" t="s">
        <v>28254</v>
      </c>
      <c r="B16524" s="110" t="s">
        <v>1376</v>
      </c>
      <c r="C16524" s="111" t="s">
        <v>28255</v>
      </c>
      <c r="D16524" s="111" t="str">
        <f t="shared" ref="D16524:E16524" si="16522">TRIM(B16524)</f>
        <v>Virginia</v>
      </c>
      <c r="E16524" s="111" t="str">
        <f t="shared" si="16522"/>
        <v>Montross</v>
      </c>
    </row>
    <row r="16525" spans="1:5">
      <c r="A16525" s="3" t="s">
        <v>28256</v>
      </c>
      <c r="B16525" s="110" t="s">
        <v>1376</v>
      </c>
      <c r="C16525" s="112" t="s">
        <v>28257</v>
      </c>
      <c r="D16525" s="111" t="str">
        <f t="shared" ref="D16525:E16525" si="16523">TRIM(B16525)</f>
        <v>Virginia</v>
      </c>
      <c r="E16525" s="111" t="str">
        <f t="shared" si="16523"/>
        <v>Narrows</v>
      </c>
    </row>
    <row r="16526" spans="1:5">
      <c r="A16526" s="3" t="s">
        <v>28258</v>
      </c>
      <c r="B16526" s="110" t="s">
        <v>1376</v>
      </c>
      <c r="C16526" s="111" t="s">
        <v>28259</v>
      </c>
      <c r="D16526" s="111" t="str">
        <f t="shared" ref="D16526:E16526" si="16524">TRIM(B16526)</f>
        <v>Virginia</v>
      </c>
      <c r="E16526" s="111" t="str">
        <f t="shared" si="16524"/>
        <v>Naruna</v>
      </c>
    </row>
    <row r="16527" spans="1:5">
      <c r="A16527" s="3" t="s">
        <v>28260</v>
      </c>
      <c r="B16527" s="110" t="s">
        <v>1376</v>
      </c>
      <c r="C16527" s="111" t="s">
        <v>8130</v>
      </c>
      <c r="D16527" s="111" t="str">
        <f t="shared" ref="D16527:E16527" si="16525">TRIM(B16527)</f>
        <v>Virginia</v>
      </c>
      <c r="E16527" s="111" t="str">
        <f t="shared" si="16525"/>
        <v>New Castle</v>
      </c>
    </row>
    <row r="16528" spans="1:5">
      <c r="A16528" s="3" t="s">
        <v>28261</v>
      </c>
      <c r="B16528" s="110" t="s">
        <v>1376</v>
      </c>
      <c r="C16528" s="111" t="s">
        <v>28262</v>
      </c>
      <c r="D16528" s="111" t="str">
        <f t="shared" ref="D16528:E16528" si="16526">TRIM(B16528)</f>
        <v>Virginia</v>
      </c>
      <c r="E16528" s="111" t="str">
        <f t="shared" si="16526"/>
        <v>New Kent</v>
      </c>
    </row>
    <row r="16529" spans="1:5">
      <c r="A16529" s="3" t="s">
        <v>28263</v>
      </c>
      <c r="B16529" s="110" t="s">
        <v>1376</v>
      </c>
      <c r="C16529" s="111" t="s">
        <v>13989</v>
      </c>
      <c r="D16529" s="111" t="str">
        <f t="shared" ref="D16529:E16529" si="16527">TRIM(B16529)</f>
        <v>Virginia</v>
      </c>
      <c r="E16529" s="111" t="str">
        <f t="shared" si="16527"/>
        <v>Newport News</v>
      </c>
    </row>
    <row r="16530" spans="1:5">
      <c r="A16530" s="3" t="s">
        <v>28264</v>
      </c>
      <c r="B16530" s="110" t="s">
        <v>1376</v>
      </c>
      <c r="C16530" s="111" t="s">
        <v>13989</v>
      </c>
      <c r="D16530" s="111" t="str">
        <f t="shared" ref="D16530:E16530" si="16528">TRIM(B16530)</f>
        <v>Virginia</v>
      </c>
      <c r="E16530" s="111" t="str">
        <f t="shared" si="16528"/>
        <v>Newport News</v>
      </c>
    </row>
    <row r="16531" spans="1:5">
      <c r="A16531" s="3" t="s">
        <v>4519</v>
      </c>
      <c r="B16531" s="110" t="s">
        <v>1376</v>
      </c>
      <c r="C16531" s="111" t="s">
        <v>13989</v>
      </c>
      <c r="D16531" s="111" t="str">
        <f t="shared" ref="D16531:E16531" si="16529">TRIM(B16531)</f>
        <v>Virginia</v>
      </c>
      <c r="E16531" s="111" t="str">
        <f t="shared" si="16529"/>
        <v>Newport News</v>
      </c>
    </row>
    <row r="16532" spans="1:5">
      <c r="A16532" s="3" t="s">
        <v>28265</v>
      </c>
      <c r="B16532" s="110" t="s">
        <v>1376</v>
      </c>
      <c r="C16532" s="111" t="s">
        <v>13989</v>
      </c>
      <c r="D16532" s="111" t="str">
        <f t="shared" ref="D16532:E16532" si="16530">TRIM(B16532)</f>
        <v>Virginia</v>
      </c>
      <c r="E16532" s="111" t="str">
        <f t="shared" si="16530"/>
        <v>Newport News</v>
      </c>
    </row>
    <row r="16533" spans="1:5">
      <c r="A16533" s="3" t="s">
        <v>22749</v>
      </c>
      <c r="B16533" s="110" t="s">
        <v>1376</v>
      </c>
      <c r="C16533" s="111" t="s">
        <v>13989</v>
      </c>
      <c r="D16533" s="111" t="str">
        <f t="shared" ref="D16533:E16533" si="16531">TRIM(B16533)</f>
        <v>Virginia</v>
      </c>
      <c r="E16533" s="111" t="str">
        <f t="shared" si="16531"/>
        <v>Newport News</v>
      </c>
    </row>
    <row r="16534" spans="1:5">
      <c r="A16534" s="3" t="s">
        <v>7545</v>
      </c>
      <c r="B16534" s="110" t="s">
        <v>1376</v>
      </c>
      <c r="C16534" s="111" t="s">
        <v>13989</v>
      </c>
      <c r="D16534" s="111" t="str">
        <f t="shared" ref="D16534:E16534" si="16532">TRIM(B16534)</f>
        <v>Virginia</v>
      </c>
      <c r="E16534" s="111" t="str">
        <f t="shared" si="16532"/>
        <v>Newport News</v>
      </c>
    </row>
    <row r="16535" spans="1:5">
      <c r="A16535" s="3" t="s">
        <v>28266</v>
      </c>
      <c r="B16535" s="110" t="s">
        <v>1376</v>
      </c>
      <c r="C16535" s="111" t="s">
        <v>28267</v>
      </c>
      <c r="D16535" s="111" t="str">
        <f t="shared" ref="D16535:E16535" si="16533">TRIM(B16535)</f>
        <v>Virginia</v>
      </c>
      <c r="E16535" s="111" t="str">
        <f t="shared" si="16533"/>
        <v>Nickelsville</v>
      </c>
    </row>
    <row r="16536" spans="1:5">
      <c r="A16536" s="3" t="s">
        <v>28268</v>
      </c>
      <c r="B16536" s="110" t="s">
        <v>1376</v>
      </c>
      <c r="C16536" s="111" t="s">
        <v>28269</v>
      </c>
      <c r="D16536" s="111" t="str">
        <f t="shared" ref="D16536:E16536" si="16534">TRIM(B16536)</f>
        <v>Virginia</v>
      </c>
      <c r="E16536" s="111" t="str">
        <f t="shared" si="16534"/>
        <v>Nokesville</v>
      </c>
    </row>
    <row r="16537" spans="1:5">
      <c r="A16537" s="3" t="s">
        <v>28270</v>
      </c>
      <c r="B16537" s="110" t="s">
        <v>1376</v>
      </c>
      <c r="C16537" s="111" t="s">
        <v>28269</v>
      </c>
      <c r="D16537" s="111" t="str">
        <f t="shared" ref="D16537:E16537" si="16535">TRIM(B16537)</f>
        <v>Virginia</v>
      </c>
      <c r="E16537" s="111" t="str">
        <f t="shared" si="16535"/>
        <v>Nokesville</v>
      </c>
    </row>
    <row r="16538" spans="1:5">
      <c r="A16538" s="3" t="s">
        <v>5357</v>
      </c>
      <c r="B16538" s="110" t="s">
        <v>1376</v>
      </c>
      <c r="C16538" s="111" t="s">
        <v>28269</v>
      </c>
      <c r="D16538" s="111" t="str">
        <f t="shared" ref="D16538:E16538" si="16536">TRIM(B16538)</f>
        <v>Virginia</v>
      </c>
      <c r="E16538" s="111" t="str">
        <f t="shared" si="16536"/>
        <v>Nokesville</v>
      </c>
    </row>
    <row r="16539" spans="1:5">
      <c r="A16539" s="3" t="s">
        <v>10338</v>
      </c>
      <c r="B16539" s="110" t="s">
        <v>1376</v>
      </c>
      <c r="C16539" s="111" t="s">
        <v>281</v>
      </c>
      <c r="D16539" s="111" t="str">
        <f t="shared" ref="D16539:E16539" si="16537">TRIM(B16539)</f>
        <v>Virginia</v>
      </c>
      <c r="E16539" s="111" t="str">
        <f t="shared" si="16537"/>
        <v>Norfolk</v>
      </c>
    </row>
    <row r="16540" spans="1:5">
      <c r="A16540" s="3" t="s">
        <v>28271</v>
      </c>
      <c r="B16540" s="110" t="s">
        <v>1376</v>
      </c>
      <c r="C16540" s="111" t="s">
        <v>281</v>
      </c>
      <c r="D16540" s="111" t="str">
        <f t="shared" ref="D16540:E16540" si="16538">TRIM(B16540)</f>
        <v>Virginia</v>
      </c>
      <c r="E16540" s="111" t="str">
        <f t="shared" si="16538"/>
        <v>Norfolk</v>
      </c>
    </row>
    <row r="16541" spans="1:5">
      <c r="A16541" s="3" t="s">
        <v>28272</v>
      </c>
      <c r="B16541" s="110" t="s">
        <v>1376</v>
      </c>
      <c r="C16541" s="111" t="s">
        <v>281</v>
      </c>
      <c r="D16541" s="111" t="str">
        <f t="shared" ref="D16541:E16541" si="16539">TRIM(B16541)</f>
        <v>Virginia</v>
      </c>
      <c r="E16541" s="111" t="str">
        <f t="shared" si="16539"/>
        <v>Norfolk</v>
      </c>
    </row>
    <row r="16542" spans="1:5">
      <c r="A16542" s="3" t="s">
        <v>28273</v>
      </c>
      <c r="B16542" s="110" t="s">
        <v>1376</v>
      </c>
      <c r="C16542" s="111" t="s">
        <v>281</v>
      </c>
      <c r="D16542" s="111" t="str">
        <f t="shared" ref="D16542:E16542" si="16540">TRIM(B16542)</f>
        <v>Virginia</v>
      </c>
      <c r="E16542" s="111" t="str">
        <f t="shared" si="16540"/>
        <v>Norfolk</v>
      </c>
    </row>
    <row r="16543" spans="1:5">
      <c r="A16543" s="3" t="s">
        <v>28274</v>
      </c>
      <c r="B16543" s="110" t="s">
        <v>1376</v>
      </c>
      <c r="C16543" s="111" t="s">
        <v>281</v>
      </c>
      <c r="D16543" s="111" t="str">
        <f t="shared" ref="D16543:E16543" si="16541">TRIM(B16543)</f>
        <v>Virginia</v>
      </c>
      <c r="E16543" s="111" t="str">
        <f t="shared" si="16541"/>
        <v>Norfolk</v>
      </c>
    </row>
    <row r="16544" spans="1:5">
      <c r="A16544" s="3" t="s">
        <v>22857</v>
      </c>
      <c r="B16544" s="110" t="s">
        <v>1376</v>
      </c>
      <c r="C16544" s="113" t="s">
        <v>28275</v>
      </c>
      <c r="D16544" s="111" t="str">
        <f t="shared" ref="D16544:E16544" si="16542">TRIM(B16544)</f>
        <v>Virginia</v>
      </c>
      <c r="E16544" s="111" t="str">
        <f t="shared" si="16542"/>
        <v>North Chesterfield</v>
      </c>
    </row>
    <row r="16545" spans="1:5">
      <c r="A16545" s="3" t="s">
        <v>1843</v>
      </c>
      <c r="B16545" s="110" t="s">
        <v>1376</v>
      </c>
      <c r="C16545" s="111" t="s">
        <v>15427</v>
      </c>
      <c r="D16545" s="111" t="str">
        <f t="shared" ref="D16545:E16545" si="16543">TRIM(B16545)</f>
        <v>Virginia</v>
      </c>
      <c r="E16545" s="111" t="str">
        <f t="shared" si="16543"/>
        <v>Norton</v>
      </c>
    </row>
    <row r="16546" spans="1:5">
      <c r="A16546" s="3" t="s">
        <v>28276</v>
      </c>
      <c r="B16546" s="110" t="s">
        <v>1376</v>
      </c>
      <c r="C16546" s="111" t="s">
        <v>15427</v>
      </c>
      <c r="D16546" s="111" t="str">
        <f t="shared" ref="D16546:E16546" si="16544">TRIM(B16546)</f>
        <v>Virginia</v>
      </c>
      <c r="E16546" s="111" t="str">
        <f t="shared" si="16544"/>
        <v>Norton</v>
      </c>
    </row>
    <row r="16547" spans="1:5">
      <c r="A16547" s="3" t="s">
        <v>2934</v>
      </c>
      <c r="B16547" s="110" t="s">
        <v>1376</v>
      </c>
      <c r="C16547" s="111" t="s">
        <v>28277</v>
      </c>
      <c r="D16547" s="111" t="str">
        <f t="shared" ref="D16547:E16547" si="16545">TRIM(B16547)</f>
        <v>Virginia</v>
      </c>
      <c r="E16547" s="111" t="str">
        <f t="shared" si="16545"/>
        <v>Oak Hall</v>
      </c>
    </row>
    <row r="16548" spans="1:5">
      <c r="A16548" s="3" t="s">
        <v>28278</v>
      </c>
      <c r="B16548" s="110" t="s">
        <v>1376</v>
      </c>
      <c r="C16548" s="111" t="s">
        <v>28279</v>
      </c>
      <c r="D16548" s="111" t="str">
        <f t="shared" ref="D16548:E16548" si="16546">TRIM(B16548)</f>
        <v>Virginia</v>
      </c>
      <c r="E16548" s="111" t="str">
        <f t="shared" si="16546"/>
        <v>Onley</v>
      </c>
    </row>
    <row r="16549" spans="1:5">
      <c r="A16549" s="3" t="s">
        <v>28280</v>
      </c>
      <c r="B16549" s="110" t="s">
        <v>1376</v>
      </c>
      <c r="C16549" s="111" t="s">
        <v>6230</v>
      </c>
      <c r="D16549" s="111" t="str">
        <f t="shared" ref="D16549:E16549" si="16547">TRIM(B16549)</f>
        <v>Virginia</v>
      </c>
      <c r="E16549" s="111" t="str">
        <f t="shared" si="16547"/>
        <v>Orange</v>
      </c>
    </row>
    <row r="16550" spans="1:5">
      <c r="A16550" s="3" t="s">
        <v>28281</v>
      </c>
      <c r="B16550" s="110" t="s">
        <v>1376</v>
      </c>
      <c r="C16550" s="111" t="s">
        <v>13547</v>
      </c>
      <c r="D16550" s="111" t="str">
        <f t="shared" ref="D16550:E16550" si="16548">TRIM(B16550)</f>
        <v>Virginia</v>
      </c>
      <c r="E16550" s="111" t="str">
        <f t="shared" si="16548"/>
        <v>Palmyra</v>
      </c>
    </row>
    <row r="16551" spans="1:5">
      <c r="A16551" s="3" t="s">
        <v>28282</v>
      </c>
      <c r="B16551" s="110" t="s">
        <v>1376</v>
      </c>
      <c r="C16551" s="111" t="s">
        <v>28283</v>
      </c>
      <c r="D16551" s="111" t="str">
        <f t="shared" ref="D16551:E16551" si="16549">TRIM(B16551)</f>
        <v>Virginia</v>
      </c>
      <c r="E16551" s="111" t="str">
        <f t="shared" si="16549"/>
        <v>Pearisburg</v>
      </c>
    </row>
    <row r="16552" spans="1:5">
      <c r="A16552" s="3" t="s">
        <v>20403</v>
      </c>
      <c r="B16552" s="110" t="s">
        <v>1376</v>
      </c>
      <c r="C16552" s="111" t="s">
        <v>28284</v>
      </c>
      <c r="D16552" s="111" t="str">
        <f t="shared" ref="D16552:E16552" si="16550">TRIM(B16552)</f>
        <v>Virginia</v>
      </c>
      <c r="E16552" s="111" t="str">
        <f t="shared" si="16550"/>
        <v>Penn Laird</v>
      </c>
    </row>
    <row r="16553" spans="1:5">
      <c r="A16553" s="3" t="s">
        <v>2408</v>
      </c>
      <c r="B16553" s="110" t="s">
        <v>1376</v>
      </c>
      <c r="C16553" s="111" t="s">
        <v>2409</v>
      </c>
      <c r="D16553" s="111" t="str">
        <f t="shared" ref="D16553:E16553" si="16551">TRIM(B16553)</f>
        <v>Virginia</v>
      </c>
      <c r="E16553" s="111" t="str">
        <f t="shared" si="16551"/>
        <v>Petersburg</v>
      </c>
    </row>
    <row r="16554" spans="1:5">
      <c r="A16554" s="3" t="s">
        <v>24640</v>
      </c>
      <c r="B16554" s="110" t="s">
        <v>1376</v>
      </c>
      <c r="C16554" s="111" t="s">
        <v>28285</v>
      </c>
      <c r="D16554" s="111" t="str">
        <f t="shared" ref="D16554:E16554" si="16552">TRIM(B16554)</f>
        <v>Virginia</v>
      </c>
      <c r="E16554" s="111" t="str">
        <f t="shared" si="16552"/>
        <v>Pilgrim Knob</v>
      </c>
    </row>
    <row r="16555" spans="1:5">
      <c r="A16555" s="3" t="s">
        <v>28286</v>
      </c>
      <c r="B16555" s="110" t="s">
        <v>1376</v>
      </c>
      <c r="C16555" s="111" t="s">
        <v>28287</v>
      </c>
      <c r="D16555" s="111" t="str">
        <f t="shared" ref="D16555:E16555" si="16553">TRIM(B16555)</f>
        <v>Virginia</v>
      </c>
      <c r="E16555" s="111" t="str">
        <f t="shared" si="16553"/>
        <v>Poquoson</v>
      </c>
    </row>
    <row r="16556" spans="1:5">
      <c r="A16556" s="3" t="s">
        <v>28288</v>
      </c>
      <c r="B16556" s="110" t="s">
        <v>1376</v>
      </c>
      <c r="C16556" s="111" t="s">
        <v>12806</v>
      </c>
      <c r="D16556" s="111" t="str">
        <f t="shared" ref="D16556:E16556" si="16554">TRIM(B16556)</f>
        <v>Virginia</v>
      </c>
      <c r="E16556" s="111" t="str">
        <f t="shared" si="16554"/>
        <v>Portsmouth</v>
      </c>
    </row>
    <row r="16557" spans="1:5">
      <c r="A16557" s="3" t="s">
        <v>28289</v>
      </c>
      <c r="B16557" s="110" t="s">
        <v>1376</v>
      </c>
      <c r="C16557" s="111" t="s">
        <v>12806</v>
      </c>
      <c r="D16557" s="111" t="str">
        <f t="shared" ref="D16557:E16557" si="16555">TRIM(B16557)</f>
        <v>Virginia</v>
      </c>
      <c r="E16557" s="111" t="str">
        <f t="shared" si="16555"/>
        <v>Portsmouth</v>
      </c>
    </row>
    <row r="16558" spans="1:5">
      <c r="A16558" s="3" t="s">
        <v>8935</v>
      </c>
      <c r="B16558" s="110" t="s">
        <v>1376</v>
      </c>
      <c r="C16558" s="111" t="s">
        <v>12806</v>
      </c>
      <c r="D16558" s="111" t="str">
        <f t="shared" ref="D16558:E16558" si="16556">TRIM(B16558)</f>
        <v>Virginia</v>
      </c>
      <c r="E16558" s="111" t="str">
        <f t="shared" si="16556"/>
        <v>Portsmouth</v>
      </c>
    </row>
    <row r="16559" spans="1:5">
      <c r="A16559" s="3" t="s">
        <v>28290</v>
      </c>
      <c r="B16559" s="110" t="s">
        <v>1376</v>
      </c>
      <c r="C16559" s="111" t="s">
        <v>28291</v>
      </c>
      <c r="D16559" s="111" t="str">
        <f t="shared" ref="D16559:E16559" si="16557">TRIM(B16559)</f>
        <v>Virginia</v>
      </c>
      <c r="E16559" s="111" t="str">
        <f t="shared" si="16557"/>
        <v>Potomac Falls</v>
      </c>
    </row>
    <row r="16560" spans="1:5">
      <c r="A16560" s="3" t="s">
        <v>28292</v>
      </c>
      <c r="B16560" s="110" t="s">
        <v>1376</v>
      </c>
      <c r="C16560" s="111" t="s">
        <v>28293</v>
      </c>
      <c r="D16560" s="111" t="str">
        <f t="shared" ref="D16560:E16560" si="16558">TRIM(B16560)</f>
        <v>Virginia</v>
      </c>
      <c r="E16560" s="111" t="str">
        <f t="shared" si="16558"/>
        <v>Powhatan</v>
      </c>
    </row>
    <row r="16561" spans="1:5">
      <c r="A16561" s="3" t="s">
        <v>28294</v>
      </c>
      <c r="B16561" s="110" t="s">
        <v>1376</v>
      </c>
      <c r="C16561" s="111" t="s">
        <v>28295</v>
      </c>
      <c r="D16561" s="111" t="str">
        <f t="shared" ref="D16561:E16561" si="16559">TRIM(B16561)</f>
        <v>Virginia</v>
      </c>
      <c r="E16561" s="111" t="str">
        <f t="shared" si="16559"/>
        <v>Prince George</v>
      </c>
    </row>
    <row r="16562" spans="1:5">
      <c r="A16562" s="3" t="s">
        <v>28296</v>
      </c>
      <c r="B16562" s="110" t="s">
        <v>1376</v>
      </c>
      <c r="C16562" s="111" t="s">
        <v>28297</v>
      </c>
      <c r="D16562" s="111" t="str">
        <f t="shared" ref="D16562:E16562" si="16560">TRIM(B16562)</f>
        <v>Virginia</v>
      </c>
      <c r="E16562" s="111" t="str">
        <f t="shared" si="16560"/>
        <v>Purcellville</v>
      </c>
    </row>
    <row r="16563" spans="1:5">
      <c r="A16563" s="3" t="s">
        <v>28236</v>
      </c>
      <c r="B16563" s="110" t="s">
        <v>1376</v>
      </c>
      <c r="C16563" s="111" t="s">
        <v>28298</v>
      </c>
      <c r="D16563" s="111" t="str">
        <f t="shared" ref="D16563:E16563" si="16561">TRIM(B16563)</f>
        <v>Virginia</v>
      </c>
      <c r="E16563" s="111" t="str">
        <f t="shared" si="16561"/>
        <v>Quicksburg</v>
      </c>
    </row>
    <row r="16564" spans="1:5">
      <c r="A16564" s="3" t="s">
        <v>28299</v>
      </c>
      <c r="B16564" s="110" t="s">
        <v>1376</v>
      </c>
      <c r="C16564" s="111" t="s">
        <v>28300</v>
      </c>
      <c r="D16564" s="111" t="str">
        <f t="shared" ref="D16564:E16564" si="16562">TRIM(B16564)</f>
        <v>Virginia</v>
      </c>
      <c r="E16564" s="111" t="str">
        <f t="shared" si="16562"/>
        <v>Radford</v>
      </c>
    </row>
    <row r="16565" spans="1:5">
      <c r="A16565" s="3" t="s">
        <v>28301</v>
      </c>
      <c r="B16565" s="110" t="s">
        <v>1376</v>
      </c>
      <c r="C16565" s="111" t="s">
        <v>28302</v>
      </c>
      <c r="D16565" s="111" t="str">
        <f t="shared" ref="D16565:E16565" si="16563">TRIM(B16565)</f>
        <v>Virginia</v>
      </c>
      <c r="E16565" s="111" t="str">
        <f t="shared" si="16563"/>
        <v>Reston</v>
      </c>
    </row>
    <row r="16566" spans="1:5">
      <c r="A16566" s="3" t="s">
        <v>22398</v>
      </c>
      <c r="B16566" s="110" t="s">
        <v>1376</v>
      </c>
      <c r="C16566" s="111" t="s">
        <v>22399</v>
      </c>
      <c r="D16566" s="111" t="str">
        <f t="shared" ref="D16566:E16566" si="16564">TRIM(B16566)</f>
        <v>Virginia</v>
      </c>
      <c r="E16566" s="111" t="str">
        <f t="shared" si="16564"/>
        <v>Richlands</v>
      </c>
    </row>
    <row r="16567" spans="1:5">
      <c r="A16567" s="3" t="s">
        <v>11995</v>
      </c>
      <c r="B16567" s="110" t="s">
        <v>1376</v>
      </c>
      <c r="C16567" s="111" t="s">
        <v>657</v>
      </c>
      <c r="D16567" s="111" t="str">
        <f t="shared" ref="D16567:E16567" si="16565">TRIM(B16567)</f>
        <v>Virginia</v>
      </c>
      <c r="E16567" s="111" t="str">
        <f t="shared" si="16565"/>
        <v>Richmond</v>
      </c>
    </row>
    <row r="16568" spans="1:5">
      <c r="A16568" s="3" t="s">
        <v>28303</v>
      </c>
      <c r="B16568" s="110" t="s">
        <v>1376</v>
      </c>
      <c r="C16568" s="112" t="s">
        <v>657</v>
      </c>
      <c r="D16568" s="111" t="str">
        <f t="shared" ref="D16568:E16568" si="16566">TRIM(B16568)</f>
        <v>Virginia</v>
      </c>
      <c r="E16568" s="111" t="str">
        <f t="shared" si="16566"/>
        <v>Richmond</v>
      </c>
    </row>
    <row r="16569" spans="1:5">
      <c r="A16569" s="3" t="s">
        <v>19475</v>
      </c>
      <c r="B16569" s="110" t="s">
        <v>1376</v>
      </c>
      <c r="C16569" s="111" t="s">
        <v>657</v>
      </c>
      <c r="D16569" s="111" t="str">
        <f t="shared" ref="D16569:E16569" si="16567">TRIM(B16569)</f>
        <v>Virginia</v>
      </c>
      <c r="E16569" s="111" t="str">
        <f t="shared" si="16567"/>
        <v>Richmond</v>
      </c>
    </row>
    <row r="16570" spans="1:5">
      <c r="A16570" s="3" t="s">
        <v>28304</v>
      </c>
      <c r="B16570" s="110" t="s">
        <v>1376</v>
      </c>
      <c r="C16570" s="111" t="s">
        <v>657</v>
      </c>
      <c r="D16570" s="111" t="str">
        <f t="shared" ref="D16570:E16570" si="16568">TRIM(B16570)</f>
        <v>Virginia</v>
      </c>
      <c r="E16570" s="111" t="str">
        <f t="shared" si="16568"/>
        <v>Richmond</v>
      </c>
    </row>
    <row r="16571" spans="1:5">
      <c r="A16571" s="3" t="s">
        <v>28305</v>
      </c>
      <c r="B16571" s="110" t="s">
        <v>1376</v>
      </c>
      <c r="C16571" s="111" t="s">
        <v>657</v>
      </c>
      <c r="D16571" s="111" t="str">
        <f t="shared" ref="D16571:E16571" si="16569">TRIM(B16571)</f>
        <v>Virginia</v>
      </c>
      <c r="E16571" s="111" t="str">
        <f t="shared" si="16569"/>
        <v>Richmond</v>
      </c>
    </row>
    <row r="16572" spans="1:5">
      <c r="A16572" s="3" t="s">
        <v>28306</v>
      </c>
      <c r="B16572" s="110" t="s">
        <v>1376</v>
      </c>
      <c r="C16572" s="111" t="s">
        <v>657</v>
      </c>
      <c r="D16572" s="111" t="str">
        <f t="shared" ref="D16572:E16572" si="16570">TRIM(B16572)</f>
        <v>Virginia</v>
      </c>
      <c r="E16572" s="111" t="str">
        <f t="shared" si="16570"/>
        <v>Richmond</v>
      </c>
    </row>
    <row r="16573" spans="1:5">
      <c r="A16573" s="3" t="s">
        <v>3869</v>
      </c>
      <c r="B16573" s="110" t="s">
        <v>1376</v>
      </c>
      <c r="C16573" s="111" t="s">
        <v>657</v>
      </c>
      <c r="D16573" s="111" t="str">
        <f t="shared" ref="D16573:E16573" si="16571">TRIM(B16573)</f>
        <v>Virginia</v>
      </c>
      <c r="E16573" s="111" t="str">
        <f t="shared" si="16571"/>
        <v>Richmond</v>
      </c>
    </row>
    <row r="16574" spans="1:5">
      <c r="A16574" s="3" t="s">
        <v>28307</v>
      </c>
      <c r="B16574" s="110" t="s">
        <v>1376</v>
      </c>
      <c r="C16574" s="111" t="s">
        <v>657</v>
      </c>
      <c r="D16574" s="111" t="str">
        <f t="shared" ref="D16574:E16574" si="16572">TRIM(B16574)</f>
        <v>Virginia</v>
      </c>
      <c r="E16574" s="111" t="str">
        <f t="shared" si="16572"/>
        <v>Richmond</v>
      </c>
    </row>
    <row r="16575" spans="1:5">
      <c r="A16575" s="3" t="s">
        <v>23984</v>
      </c>
      <c r="B16575" s="110" t="s">
        <v>1376</v>
      </c>
      <c r="C16575" s="111" t="s">
        <v>657</v>
      </c>
      <c r="D16575" s="111" t="str">
        <f t="shared" ref="D16575:E16575" si="16573">TRIM(B16575)</f>
        <v>Virginia</v>
      </c>
      <c r="E16575" s="111" t="str">
        <f t="shared" si="16573"/>
        <v>Richmond</v>
      </c>
    </row>
    <row r="16576" spans="1:5">
      <c r="A16576" s="3" t="s">
        <v>28308</v>
      </c>
      <c r="B16576" s="110" t="s">
        <v>1376</v>
      </c>
      <c r="C16576" s="111" t="s">
        <v>657</v>
      </c>
      <c r="D16576" s="111" t="str">
        <f t="shared" ref="D16576:E16576" si="16574">TRIM(B16576)</f>
        <v>Virginia</v>
      </c>
      <c r="E16576" s="111" t="str">
        <f t="shared" si="16574"/>
        <v>Richmond</v>
      </c>
    </row>
    <row r="16577" spans="1:5">
      <c r="A16577" s="3" t="s">
        <v>28309</v>
      </c>
      <c r="B16577" s="110" t="s">
        <v>1376</v>
      </c>
      <c r="C16577" s="112" t="s">
        <v>657</v>
      </c>
      <c r="D16577" s="111" t="str">
        <f t="shared" ref="D16577:E16577" si="16575">TRIM(B16577)</f>
        <v>Virginia</v>
      </c>
      <c r="E16577" s="111" t="str">
        <f t="shared" si="16575"/>
        <v>Richmond</v>
      </c>
    </row>
    <row r="16578" spans="1:5">
      <c r="A16578" s="110" t="s">
        <v>28310</v>
      </c>
      <c r="B16578" s="110" t="s">
        <v>1376</v>
      </c>
      <c r="C16578" s="111" t="s">
        <v>657</v>
      </c>
      <c r="D16578" s="111" t="str">
        <f t="shared" ref="D16578:E16578" si="16576">TRIM(B16578)</f>
        <v>Virginia</v>
      </c>
      <c r="E16578" s="111" t="str">
        <f t="shared" si="16576"/>
        <v>Richmond</v>
      </c>
    </row>
    <row r="16579" spans="1:5">
      <c r="A16579" s="3" t="s">
        <v>17541</v>
      </c>
      <c r="B16579" s="110" t="s">
        <v>1376</v>
      </c>
      <c r="C16579" s="111" t="s">
        <v>657</v>
      </c>
      <c r="D16579" s="111" t="str">
        <f t="shared" ref="D16579:E16579" si="16577">TRIM(B16579)</f>
        <v>Virginia</v>
      </c>
      <c r="E16579" s="111" t="str">
        <f t="shared" si="16577"/>
        <v>Richmond</v>
      </c>
    </row>
    <row r="16580" spans="1:5">
      <c r="A16580" s="3" t="s">
        <v>7844</v>
      </c>
      <c r="B16580" s="110" t="s">
        <v>1376</v>
      </c>
      <c r="C16580" s="112" t="s">
        <v>657</v>
      </c>
      <c r="D16580" s="111" t="str">
        <f t="shared" ref="D16580:E16580" si="16578">TRIM(B16580)</f>
        <v>Virginia</v>
      </c>
      <c r="E16580" s="111" t="str">
        <f t="shared" si="16578"/>
        <v>Richmond</v>
      </c>
    </row>
    <row r="16581" spans="1:5">
      <c r="A16581" s="3" t="s">
        <v>11375</v>
      </c>
      <c r="B16581" s="110" t="s">
        <v>1376</v>
      </c>
      <c r="C16581" s="112" t="s">
        <v>657</v>
      </c>
      <c r="D16581" s="111" t="str">
        <f t="shared" ref="D16581:E16581" si="16579">TRIM(B16581)</f>
        <v>Virginia</v>
      </c>
      <c r="E16581" s="111" t="str">
        <f t="shared" si="16579"/>
        <v>Richmond</v>
      </c>
    </row>
    <row r="16582" spans="1:5">
      <c r="A16582" s="3" t="s">
        <v>28311</v>
      </c>
      <c r="B16582" s="110" t="s">
        <v>1376</v>
      </c>
      <c r="C16582" s="111" t="s">
        <v>657</v>
      </c>
      <c r="D16582" s="111" t="str">
        <f t="shared" ref="D16582:E16582" si="16580">TRIM(B16582)</f>
        <v>Virginia</v>
      </c>
      <c r="E16582" s="111" t="str">
        <f t="shared" si="16580"/>
        <v>Richmond</v>
      </c>
    </row>
    <row r="16583" spans="1:5">
      <c r="A16583" s="3" t="s">
        <v>28312</v>
      </c>
      <c r="B16583" s="110" t="s">
        <v>1376</v>
      </c>
      <c r="C16583" s="111" t="s">
        <v>19063</v>
      </c>
      <c r="D16583" s="111" t="str">
        <f t="shared" ref="D16583:E16583" si="16581">TRIM(B16583)</f>
        <v>Virginia</v>
      </c>
      <c r="E16583" s="111" t="str">
        <f t="shared" si="16581"/>
        <v>Ridgeway</v>
      </c>
    </row>
    <row r="16584" spans="1:5">
      <c r="A16584" s="3" t="s">
        <v>1532</v>
      </c>
      <c r="B16584" s="110" t="s">
        <v>1376</v>
      </c>
      <c r="C16584" s="111" t="s">
        <v>28313</v>
      </c>
      <c r="D16584" s="111" t="str">
        <f t="shared" ref="D16584:E16584" si="16582">TRIM(B16584)</f>
        <v>Virginia</v>
      </c>
      <c r="E16584" s="111" t="str">
        <f t="shared" si="16582"/>
        <v>Riner</v>
      </c>
    </row>
    <row r="16585" spans="1:5">
      <c r="A16585" s="3" t="s">
        <v>28314</v>
      </c>
      <c r="B16585" s="110" t="s">
        <v>1376</v>
      </c>
      <c r="C16585" s="111" t="s">
        <v>11189</v>
      </c>
      <c r="D16585" s="111" t="str">
        <f t="shared" ref="D16585:E16585" si="16583">TRIM(B16585)</f>
        <v>Virginia</v>
      </c>
      <c r="E16585" s="111" t="str">
        <f t="shared" si="16583"/>
        <v>Ringgold</v>
      </c>
    </row>
    <row r="16586" spans="1:5">
      <c r="A16586" s="3" t="s">
        <v>28315</v>
      </c>
      <c r="B16586" s="110" t="s">
        <v>1376</v>
      </c>
      <c r="C16586" s="111" t="s">
        <v>2129</v>
      </c>
      <c r="D16586" s="111" t="str">
        <f t="shared" ref="D16586:E16586" si="16584">TRIM(B16586)</f>
        <v>Virginia</v>
      </c>
      <c r="E16586" s="111" t="str">
        <f t="shared" si="16584"/>
        <v>Roanoke</v>
      </c>
    </row>
    <row r="16587" spans="1:5">
      <c r="A16587" s="3" t="s">
        <v>24288</v>
      </c>
      <c r="B16587" s="110" t="s">
        <v>1376</v>
      </c>
      <c r="C16587" s="111" t="s">
        <v>2129</v>
      </c>
      <c r="D16587" s="111" t="str">
        <f t="shared" ref="D16587:E16587" si="16585">TRIM(B16587)</f>
        <v>Virginia</v>
      </c>
      <c r="E16587" s="111" t="str">
        <f t="shared" si="16585"/>
        <v>Roanoke</v>
      </c>
    </row>
    <row r="16588" spans="1:5">
      <c r="A16588" s="3" t="s">
        <v>2026</v>
      </c>
      <c r="B16588" s="110" t="s">
        <v>1376</v>
      </c>
      <c r="C16588" s="111" t="s">
        <v>2129</v>
      </c>
      <c r="D16588" s="111" t="str">
        <f t="shared" ref="D16588:E16588" si="16586">TRIM(B16588)</f>
        <v>Virginia</v>
      </c>
      <c r="E16588" s="111" t="str">
        <f t="shared" si="16586"/>
        <v>Roanoke</v>
      </c>
    </row>
    <row r="16589" spans="1:5">
      <c r="A16589" s="3" t="s">
        <v>23134</v>
      </c>
      <c r="B16589" s="110" t="s">
        <v>1376</v>
      </c>
      <c r="C16589" s="111" t="s">
        <v>2129</v>
      </c>
      <c r="D16589" s="111" t="str">
        <f t="shared" ref="D16589:E16589" si="16587">TRIM(B16589)</f>
        <v>Virginia</v>
      </c>
      <c r="E16589" s="111" t="str">
        <f t="shared" si="16587"/>
        <v>Roanoke</v>
      </c>
    </row>
    <row r="16590" spans="1:5">
      <c r="A16590" s="3" t="s">
        <v>28316</v>
      </c>
      <c r="B16590" s="110" t="s">
        <v>1376</v>
      </c>
      <c r="C16590" s="111" t="s">
        <v>2129</v>
      </c>
      <c r="D16590" s="111" t="str">
        <f t="shared" ref="D16590:E16590" si="16588">TRIM(B16590)</f>
        <v>Virginia</v>
      </c>
      <c r="E16590" s="111" t="str">
        <f t="shared" si="16588"/>
        <v>Roanoke</v>
      </c>
    </row>
    <row r="16591" spans="1:5">
      <c r="A16591" s="3" t="s">
        <v>28317</v>
      </c>
      <c r="B16591" s="110" t="s">
        <v>1376</v>
      </c>
      <c r="C16591" s="111" t="s">
        <v>28318</v>
      </c>
      <c r="D16591" s="111" t="str">
        <f t="shared" ref="D16591:E16591" si="16589">TRIM(B16591)</f>
        <v>Virginia</v>
      </c>
      <c r="E16591" s="111" t="str">
        <f t="shared" si="16589"/>
        <v>Rocky Gap</v>
      </c>
    </row>
    <row r="16592" spans="1:5">
      <c r="A16592" s="3" t="s">
        <v>10501</v>
      </c>
      <c r="B16592" s="110" t="s">
        <v>1376</v>
      </c>
      <c r="C16592" s="111" t="s">
        <v>12676</v>
      </c>
      <c r="D16592" s="111" t="str">
        <f t="shared" ref="D16592:E16592" si="16590">TRIM(B16592)</f>
        <v>Virginia</v>
      </c>
      <c r="E16592" s="111" t="str">
        <f t="shared" si="16590"/>
        <v>Rocky Mount</v>
      </c>
    </row>
    <row r="16593" spans="1:5">
      <c r="A16593" s="3" t="s">
        <v>28319</v>
      </c>
      <c r="B16593" s="110" t="s">
        <v>1376</v>
      </c>
      <c r="C16593" s="111" t="s">
        <v>28320</v>
      </c>
      <c r="D16593" s="111" t="str">
        <f t="shared" ref="D16593:E16593" si="16591">TRIM(B16593)</f>
        <v>Virginia</v>
      </c>
      <c r="E16593" s="111" t="str">
        <f t="shared" si="16591"/>
        <v>Rural Retreat</v>
      </c>
    </row>
    <row r="16594" spans="1:5">
      <c r="A16594" s="3" t="s">
        <v>28321</v>
      </c>
      <c r="B16594" s="110" t="s">
        <v>1376</v>
      </c>
      <c r="C16594" s="111" t="s">
        <v>28322</v>
      </c>
      <c r="D16594" s="111" t="str">
        <f t="shared" ref="D16594:E16594" si="16592">TRIM(B16594)</f>
        <v>Virginia</v>
      </c>
      <c r="E16594" s="111" t="str">
        <f t="shared" si="16592"/>
        <v>Rustburg</v>
      </c>
    </row>
    <row r="16595" spans="1:5">
      <c r="A16595" s="3" t="s">
        <v>28323</v>
      </c>
      <c r="B16595" s="110" t="s">
        <v>1376</v>
      </c>
      <c r="C16595" s="111" t="s">
        <v>451</v>
      </c>
      <c r="D16595" s="111" t="str">
        <f t="shared" ref="D16595:E16595" si="16593">TRIM(B16595)</f>
        <v>Virginia</v>
      </c>
      <c r="E16595" s="111" t="str">
        <f t="shared" si="16593"/>
        <v>Salem</v>
      </c>
    </row>
    <row r="16596" spans="1:5">
      <c r="A16596" s="3" t="s">
        <v>4178</v>
      </c>
      <c r="B16596" s="110" t="s">
        <v>1376</v>
      </c>
      <c r="C16596" s="111" t="s">
        <v>451</v>
      </c>
      <c r="D16596" s="111" t="str">
        <f t="shared" ref="D16596:E16596" si="16594">TRIM(B16596)</f>
        <v>Virginia</v>
      </c>
      <c r="E16596" s="111" t="str">
        <f t="shared" si="16594"/>
        <v>Salem</v>
      </c>
    </row>
    <row r="16597" spans="1:5">
      <c r="A16597" s="3" t="s">
        <v>5341</v>
      </c>
      <c r="B16597" s="110" t="s">
        <v>1376</v>
      </c>
      <c r="C16597" s="111" t="s">
        <v>28324</v>
      </c>
      <c r="D16597" s="111" t="str">
        <f t="shared" ref="D16597:E16597" si="16595">TRIM(B16597)</f>
        <v>Virginia</v>
      </c>
      <c r="E16597" s="111" t="str">
        <f t="shared" si="16595"/>
        <v>Saltville</v>
      </c>
    </row>
    <row r="16598" spans="1:5">
      <c r="A16598" s="3" t="s">
        <v>20255</v>
      </c>
      <c r="B16598" s="110" t="s">
        <v>1376</v>
      </c>
      <c r="C16598" s="111" t="s">
        <v>25546</v>
      </c>
      <c r="D16598" s="111" t="str">
        <f t="shared" ref="D16598:E16598" si="16596">TRIM(B16598)</f>
        <v>Virginia</v>
      </c>
      <c r="E16598" s="111" t="str">
        <f t="shared" si="16596"/>
        <v>Saluda</v>
      </c>
    </row>
    <row r="16599" spans="1:5">
      <c r="A16599" s="3" t="s">
        <v>28325</v>
      </c>
      <c r="B16599" s="110" t="s">
        <v>1376</v>
      </c>
      <c r="C16599" s="111" t="s">
        <v>15047</v>
      </c>
      <c r="D16599" s="111" t="str">
        <f t="shared" ref="D16599:E16599" si="16597">TRIM(B16599)</f>
        <v>Virginia</v>
      </c>
      <c r="E16599" s="111" t="str">
        <f t="shared" si="16597"/>
        <v>Shenandoah</v>
      </c>
    </row>
    <row r="16600" spans="1:5">
      <c r="A16600" s="3" t="s">
        <v>28326</v>
      </c>
      <c r="B16600" s="110" t="s">
        <v>1376</v>
      </c>
      <c r="C16600" s="111" t="s">
        <v>28327</v>
      </c>
      <c r="D16600" s="111" t="str">
        <f t="shared" ref="D16600:E16600" si="16598">TRIM(B16600)</f>
        <v>Virginia</v>
      </c>
      <c r="E16600" s="111" t="str">
        <f t="shared" si="16598"/>
        <v>Skipwith</v>
      </c>
    </row>
    <row r="16601" spans="1:5">
      <c r="A16601" s="3" t="s">
        <v>25326</v>
      </c>
      <c r="B16601" s="110" t="s">
        <v>1376</v>
      </c>
      <c r="C16601" s="111" t="s">
        <v>22440</v>
      </c>
      <c r="D16601" s="111" t="str">
        <f t="shared" ref="D16601:E16601" si="16599">TRIM(B16601)</f>
        <v>Virginia</v>
      </c>
      <c r="E16601" s="111" t="str">
        <f t="shared" si="16599"/>
        <v>Smithfield</v>
      </c>
    </row>
    <row r="16602" spans="1:5">
      <c r="A16602" s="3" t="s">
        <v>28328</v>
      </c>
      <c r="B16602" s="110" t="s">
        <v>1376</v>
      </c>
      <c r="C16602" s="111" t="s">
        <v>16833</v>
      </c>
      <c r="D16602" s="111" t="str">
        <f t="shared" ref="D16602:E16602" si="16600">TRIM(B16602)</f>
        <v>Virginia</v>
      </c>
      <c r="E16602" s="111" t="str">
        <f t="shared" si="16600"/>
        <v>South Boston</v>
      </c>
    </row>
    <row r="16603" spans="1:5">
      <c r="A16603" s="3" t="s">
        <v>28329</v>
      </c>
      <c r="B16603" s="110" t="s">
        <v>1376</v>
      </c>
      <c r="C16603" s="111" t="s">
        <v>28330</v>
      </c>
      <c r="D16603" s="111" t="str">
        <f t="shared" ref="D16603:E16603" si="16601">TRIM(B16603)</f>
        <v>Virginia</v>
      </c>
      <c r="E16603" s="111" t="str">
        <f t="shared" si="16601"/>
        <v>South Hill</v>
      </c>
    </row>
    <row r="16604" spans="1:5">
      <c r="A16604" s="3" t="s">
        <v>6200</v>
      </c>
      <c r="B16604" s="110" t="s">
        <v>1376</v>
      </c>
      <c r="C16604" s="111" t="s">
        <v>28331</v>
      </c>
      <c r="D16604" s="111" t="str">
        <f t="shared" ref="D16604:E16604" si="16602">TRIM(B16604)</f>
        <v>Virginia</v>
      </c>
      <c r="E16604" s="111" t="str">
        <f t="shared" si="16602"/>
        <v>South Riding</v>
      </c>
    </row>
    <row r="16605" spans="1:5">
      <c r="A16605" s="3" t="s">
        <v>28332</v>
      </c>
      <c r="B16605" s="110" t="s">
        <v>1376</v>
      </c>
      <c r="C16605" s="111" t="s">
        <v>28333</v>
      </c>
      <c r="D16605" s="111" t="str">
        <f t="shared" ref="D16605:E16605" si="16603">TRIM(B16605)</f>
        <v>Virginia</v>
      </c>
      <c r="E16605" s="111" t="str">
        <f t="shared" si="16603"/>
        <v>Spotsylvania</v>
      </c>
    </row>
    <row r="16606" spans="1:5">
      <c r="A16606" s="3" t="s">
        <v>28334</v>
      </c>
      <c r="B16606" s="110" t="s">
        <v>1376</v>
      </c>
      <c r="C16606" s="111" t="s">
        <v>28333</v>
      </c>
      <c r="D16606" s="111" t="str">
        <f t="shared" ref="D16606:E16606" si="16604">TRIM(B16606)</f>
        <v>Virginia</v>
      </c>
      <c r="E16606" s="111" t="str">
        <f t="shared" si="16604"/>
        <v>Spotsylvania</v>
      </c>
    </row>
    <row r="16607" spans="1:5">
      <c r="A16607" s="3" t="s">
        <v>1878</v>
      </c>
      <c r="B16607" s="110" t="s">
        <v>1376</v>
      </c>
      <c r="C16607" s="111" t="s">
        <v>416</v>
      </c>
      <c r="D16607" s="111" t="str">
        <f t="shared" ref="D16607:E16607" si="16605">TRIM(B16607)</f>
        <v>Virginia</v>
      </c>
      <c r="E16607" s="111" t="str">
        <f t="shared" si="16605"/>
        <v>Springfield</v>
      </c>
    </row>
    <row r="16608" spans="1:5">
      <c r="A16608" s="3" t="s">
        <v>16900</v>
      </c>
      <c r="B16608" s="110" t="s">
        <v>1376</v>
      </c>
      <c r="C16608" s="111" t="s">
        <v>416</v>
      </c>
      <c r="D16608" s="111" t="str">
        <f t="shared" ref="D16608:E16608" si="16606">TRIM(B16608)</f>
        <v>Virginia</v>
      </c>
      <c r="E16608" s="111" t="str">
        <f t="shared" si="16606"/>
        <v>Springfield</v>
      </c>
    </row>
    <row r="16609" spans="1:5">
      <c r="A16609" s="3" t="s">
        <v>28335</v>
      </c>
      <c r="B16609" s="110" t="s">
        <v>1376</v>
      </c>
      <c r="C16609" s="111" t="s">
        <v>13984</v>
      </c>
      <c r="D16609" s="111" t="str">
        <f t="shared" ref="D16609:E16609" si="16607">TRIM(B16609)</f>
        <v>Virginia</v>
      </c>
      <c r="E16609" s="111" t="str">
        <f t="shared" si="16607"/>
        <v>Stafford</v>
      </c>
    </row>
    <row r="16610" spans="1:5">
      <c r="A16610" s="3" t="s">
        <v>28336</v>
      </c>
      <c r="B16610" s="110" t="s">
        <v>1376</v>
      </c>
      <c r="C16610" s="111" t="s">
        <v>13984</v>
      </c>
      <c r="D16610" s="111" t="str">
        <f t="shared" ref="D16610:E16610" si="16608">TRIM(B16610)</f>
        <v>Virginia</v>
      </c>
      <c r="E16610" s="111" t="str">
        <f t="shared" si="16608"/>
        <v>Stafford</v>
      </c>
    </row>
    <row r="16611" spans="1:5">
      <c r="A16611" s="3" t="s">
        <v>2842</v>
      </c>
      <c r="B16611" s="110" t="s">
        <v>1376</v>
      </c>
      <c r="C16611" s="111" t="s">
        <v>13984</v>
      </c>
      <c r="D16611" s="111" t="str">
        <f t="shared" ref="D16611:E16611" si="16609">TRIM(B16611)</f>
        <v>Virginia</v>
      </c>
      <c r="E16611" s="111" t="str">
        <f t="shared" si="16609"/>
        <v>Stafford</v>
      </c>
    </row>
    <row r="16612" spans="1:5">
      <c r="A16612" s="3" t="s">
        <v>28337</v>
      </c>
      <c r="B16612" s="110" t="s">
        <v>1376</v>
      </c>
      <c r="C16612" s="111" t="s">
        <v>13984</v>
      </c>
      <c r="D16612" s="111" t="str">
        <f t="shared" ref="D16612:E16612" si="16610">TRIM(B16612)</f>
        <v>Virginia</v>
      </c>
      <c r="E16612" s="111" t="str">
        <f t="shared" si="16610"/>
        <v>Stafford</v>
      </c>
    </row>
    <row r="16613" spans="1:5">
      <c r="A16613" s="3" t="s">
        <v>28338</v>
      </c>
      <c r="B16613" s="110" t="s">
        <v>1376</v>
      </c>
      <c r="C16613" s="111" t="s">
        <v>28339</v>
      </c>
      <c r="D16613" s="111" t="str">
        <f t="shared" ref="D16613:E16613" si="16611">TRIM(B16613)</f>
        <v>Virginia</v>
      </c>
      <c r="E16613" s="111" t="str">
        <f t="shared" si="16611"/>
        <v>Stanardsville</v>
      </c>
    </row>
    <row r="16614" spans="1:5">
      <c r="A16614" s="3" t="s">
        <v>28340</v>
      </c>
      <c r="B16614" s="110" t="s">
        <v>1376</v>
      </c>
      <c r="C16614" s="111" t="s">
        <v>13845</v>
      </c>
      <c r="D16614" s="111" t="str">
        <f t="shared" ref="D16614:E16614" si="16612">TRIM(B16614)</f>
        <v>Virginia</v>
      </c>
      <c r="E16614" s="111" t="str">
        <f t="shared" si="16612"/>
        <v>Staunton</v>
      </c>
    </row>
    <row r="16615" spans="1:5">
      <c r="A16615" s="3" t="s">
        <v>9417</v>
      </c>
      <c r="B16615" s="110" t="s">
        <v>1376</v>
      </c>
      <c r="C16615" s="111" t="s">
        <v>13845</v>
      </c>
      <c r="D16615" s="111" t="str">
        <f t="shared" ref="D16615:E16615" si="16613">TRIM(B16615)</f>
        <v>Virginia</v>
      </c>
      <c r="E16615" s="111" t="str">
        <f t="shared" si="16613"/>
        <v>Staunton</v>
      </c>
    </row>
    <row r="16616" spans="1:5">
      <c r="A16616" s="3" t="s">
        <v>28341</v>
      </c>
      <c r="B16616" s="110" t="s">
        <v>1376</v>
      </c>
      <c r="C16616" s="111" t="s">
        <v>28342</v>
      </c>
      <c r="D16616" s="111" t="str">
        <f t="shared" ref="D16616:E16616" si="16614">TRIM(B16616)</f>
        <v>Virginia</v>
      </c>
      <c r="E16616" s="111" t="str">
        <f t="shared" si="16614"/>
        <v>Stephens City</v>
      </c>
    </row>
    <row r="16617" spans="1:5">
      <c r="A16617" s="3" t="s">
        <v>28329</v>
      </c>
      <c r="B16617" s="110" t="s">
        <v>1376</v>
      </c>
      <c r="C16617" s="111" t="s">
        <v>5504</v>
      </c>
      <c r="D16617" s="111" t="str">
        <f t="shared" ref="D16617:E16617" si="16615">TRIM(B16617)</f>
        <v>Virginia</v>
      </c>
      <c r="E16617" s="111" t="str">
        <f t="shared" si="16615"/>
        <v>Sterling</v>
      </c>
    </row>
    <row r="16618" spans="1:5">
      <c r="A16618" s="3" t="s">
        <v>8820</v>
      </c>
      <c r="B16618" s="110" t="s">
        <v>1376</v>
      </c>
      <c r="C16618" s="111" t="s">
        <v>28343</v>
      </c>
      <c r="D16618" s="111" t="str">
        <f t="shared" ref="D16618:E16618" si="16616">TRIM(B16618)</f>
        <v>Virginia</v>
      </c>
      <c r="E16618" s="111" t="str">
        <f t="shared" si="16616"/>
        <v>Stony Creek</v>
      </c>
    </row>
    <row r="16619" spans="1:5">
      <c r="A16619" s="3" t="s">
        <v>8250</v>
      </c>
      <c r="B16619" s="110" t="s">
        <v>1376</v>
      </c>
      <c r="C16619" s="111" t="s">
        <v>8251</v>
      </c>
      <c r="D16619" s="111" t="str">
        <f t="shared" ref="D16619:E16619" si="16617">TRIM(B16619)</f>
        <v>Virginia</v>
      </c>
      <c r="E16619" s="111" t="str">
        <f t="shared" si="16617"/>
        <v>Strasburg</v>
      </c>
    </row>
    <row r="16620" spans="1:5">
      <c r="A16620" s="3" t="s">
        <v>28344</v>
      </c>
      <c r="B16620" s="110" t="s">
        <v>1376</v>
      </c>
      <c r="C16620" s="111" t="s">
        <v>10120</v>
      </c>
      <c r="D16620" s="111" t="str">
        <f t="shared" ref="D16620:E16620" si="16618">TRIM(B16620)</f>
        <v>Virginia</v>
      </c>
      <c r="E16620" s="111" t="str">
        <f t="shared" si="16618"/>
        <v>Stuart</v>
      </c>
    </row>
    <row r="16621" spans="1:5">
      <c r="A16621" s="3" t="s">
        <v>28345</v>
      </c>
      <c r="B16621" s="110" t="s">
        <v>1376</v>
      </c>
      <c r="C16621" s="111" t="s">
        <v>28346</v>
      </c>
      <c r="D16621" s="111" t="str">
        <f t="shared" ref="D16621:E16621" si="16619">TRIM(B16621)</f>
        <v>Virginia</v>
      </c>
      <c r="E16621" s="111" t="str">
        <f t="shared" si="16619"/>
        <v>Stuarts Draft</v>
      </c>
    </row>
    <row r="16622" spans="1:5">
      <c r="A16622" s="3" t="s">
        <v>28347</v>
      </c>
      <c r="B16622" s="110" t="s">
        <v>1376</v>
      </c>
      <c r="C16622" s="111" t="s">
        <v>1255</v>
      </c>
      <c r="D16622" s="111" t="str">
        <f t="shared" ref="D16622:E16622" si="16620">TRIM(B16622)</f>
        <v>Virginia</v>
      </c>
      <c r="E16622" s="111" t="str">
        <f t="shared" si="16620"/>
        <v>Suffolk</v>
      </c>
    </row>
    <row r="16623" spans="1:5">
      <c r="A16623" s="3" t="s">
        <v>14445</v>
      </c>
      <c r="B16623" s="110" t="s">
        <v>1376</v>
      </c>
      <c r="C16623" s="111" t="s">
        <v>1255</v>
      </c>
      <c r="D16623" s="111" t="str">
        <f t="shared" ref="D16623:E16623" si="16621">TRIM(B16623)</f>
        <v>Virginia</v>
      </c>
      <c r="E16623" s="111" t="str">
        <f t="shared" si="16621"/>
        <v>Suffolk</v>
      </c>
    </row>
    <row r="16624" spans="1:5">
      <c r="A16624" s="3" t="s">
        <v>28348</v>
      </c>
      <c r="B16624" s="110" t="s">
        <v>1376</v>
      </c>
      <c r="C16624" s="111" t="s">
        <v>1255</v>
      </c>
      <c r="D16624" s="111" t="str">
        <f t="shared" ref="D16624:E16624" si="16622">TRIM(B16624)</f>
        <v>Virginia</v>
      </c>
      <c r="E16624" s="111" t="str">
        <f t="shared" si="16622"/>
        <v>Suffolk</v>
      </c>
    </row>
    <row r="16625" spans="1:5">
      <c r="A16625" s="3" t="s">
        <v>28349</v>
      </c>
      <c r="B16625" s="110" t="s">
        <v>1376</v>
      </c>
      <c r="C16625" s="111" t="s">
        <v>28350</v>
      </c>
      <c r="D16625" s="111" t="str">
        <f t="shared" ref="D16625:E16625" si="16623">TRIM(B16625)</f>
        <v>Virginia</v>
      </c>
      <c r="E16625" s="111" t="str">
        <f t="shared" si="16623"/>
        <v>Swoope</v>
      </c>
    </row>
    <row r="16626" spans="1:5">
      <c r="A16626" s="3" t="s">
        <v>28047</v>
      </c>
      <c r="B16626" s="110" t="s">
        <v>1376</v>
      </c>
      <c r="C16626" s="111" t="s">
        <v>14074</v>
      </c>
      <c r="D16626" s="111" t="str">
        <f t="shared" ref="D16626:E16626" si="16624">TRIM(B16626)</f>
        <v>Virginia</v>
      </c>
      <c r="E16626" s="111" t="str">
        <f t="shared" si="16624"/>
        <v>Tappahannock</v>
      </c>
    </row>
    <row r="16627" spans="1:5">
      <c r="A16627" s="3" t="s">
        <v>28351</v>
      </c>
      <c r="B16627" s="110" t="s">
        <v>1376</v>
      </c>
      <c r="C16627" s="111" t="s">
        <v>28352</v>
      </c>
      <c r="D16627" s="111" t="str">
        <f t="shared" ref="D16627:E16627" si="16625">TRIM(B16627)</f>
        <v>Virginia</v>
      </c>
      <c r="E16627" s="111" t="str">
        <f t="shared" si="16625"/>
        <v>Tazewell</v>
      </c>
    </row>
    <row r="16628" spans="1:5">
      <c r="A16628" s="3" t="s">
        <v>1843</v>
      </c>
      <c r="B16628" s="110" t="s">
        <v>1376</v>
      </c>
      <c r="C16628" s="111" t="s">
        <v>13780</v>
      </c>
      <c r="D16628" s="111" t="str">
        <f t="shared" ref="D16628:E16628" si="16626">TRIM(B16628)</f>
        <v>Virginia</v>
      </c>
      <c r="E16628" s="111" t="str">
        <f t="shared" si="16626"/>
        <v>Victoria</v>
      </c>
    </row>
    <row r="16629" spans="1:5">
      <c r="A16629" s="3" t="s">
        <v>6772</v>
      </c>
      <c r="B16629" s="110" t="s">
        <v>1376</v>
      </c>
      <c r="C16629" s="111" t="s">
        <v>11397</v>
      </c>
      <c r="D16629" s="111" t="str">
        <f t="shared" ref="D16629:E16629" si="16627">TRIM(B16629)</f>
        <v>Virginia</v>
      </c>
      <c r="E16629" s="111" t="str">
        <f t="shared" si="16627"/>
        <v>Vienna</v>
      </c>
    </row>
    <row r="16630" spans="1:5">
      <c r="A16630" s="3" t="s">
        <v>28353</v>
      </c>
      <c r="B16630" s="110" t="s">
        <v>1376</v>
      </c>
      <c r="C16630" s="111" t="s">
        <v>11397</v>
      </c>
      <c r="D16630" s="111" t="str">
        <f t="shared" ref="D16630:E16630" si="16628">TRIM(B16630)</f>
        <v>Virginia</v>
      </c>
      <c r="E16630" s="111" t="str">
        <f t="shared" si="16628"/>
        <v>Vienna</v>
      </c>
    </row>
    <row r="16631" spans="1:5">
      <c r="A16631" s="3" t="s">
        <v>28354</v>
      </c>
      <c r="B16631" s="110" t="s">
        <v>1376</v>
      </c>
      <c r="C16631" s="111" t="s">
        <v>15106</v>
      </c>
      <c r="D16631" s="111" t="str">
        <f t="shared" ref="D16631:E16631" si="16629">TRIM(B16631)</f>
        <v>Virginia</v>
      </c>
      <c r="E16631" s="111" t="str">
        <f t="shared" si="16629"/>
        <v>Vinton</v>
      </c>
    </row>
    <row r="16632" spans="1:5">
      <c r="A16632" s="3" t="s">
        <v>9890</v>
      </c>
      <c r="B16632" s="110" t="s">
        <v>1376</v>
      </c>
      <c r="C16632" s="111" t="s">
        <v>267</v>
      </c>
      <c r="D16632" s="111" t="str">
        <f t="shared" ref="D16632:E16632" si="16630">TRIM(B16632)</f>
        <v>Virginia</v>
      </c>
      <c r="E16632" s="111" t="str">
        <f t="shared" si="16630"/>
        <v>Virginia Beach</v>
      </c>
    </row>
    <row r="16633" spans="1:5">
      <c r="A16633" s="3" t="s">
        <v>28355</v>
      </c>
      <c r="B16633" s="110" t="s">
        <v>1376</v>
      </c>
      <c r="C16633" s="111" t="s">
        <v>267</v>
      </c>
      <c r="D16633" s="111" t="str">
        <f t="shared" ref="D16633:E16633" si="16631">TRIM(B16633)</f>
        <v>Virginia</v>
      </c>
      <c r="E16633" s="111" t="str">
        <f t="shared" si="16631"/>
        <v>Virginia Beach</v>
      </c>
    </row>
    <row r="16634" spans="1:5">
      <c r="A16634" s="3" t="s">
        <v>28356</v>
      </c>
      <c r="B16634" s="110" t="s">
        <v>1376</v>
      </c>
      <c r="C16634" s="111" t="s">
        <v>267</v>
      </c>
      <c r="D16634" s="111" t="str">
        <f t="shared" ref="D16634:E16634" si="16632">TRIM(B16634)</f>
        <v>Virginia</v>
      </c>
      <c r="E16634" s="111" t="str">
        <f t="shared" si="16632"/>
        <v>Virginia Beach</v>
      </c>
    </row>
    <row r="16635" spans="1:5">
      <c r="A16635" s="3" t="s">
        <v>28357</v>
      </c>
      <c r="B16635" s="110" t="s">
        <v>1376</v>
      </c>
      <c r="C16635" s="111" t="s">
        <v>267</v>
      </c>
      <c r="D16635" s="111" t="str">
        <f t="shared" ref="D16635:E16635" si="16633">TRIM(B16635)</f>
        <v>Virginia</v>
      </c>
      <c r="E16635" s="111" t="str">
        <f t="shared" si="16633"/>
        <v>Virginia Beach</v>
      </c>
    </row>
    <row r="16636" spans="1:5">
      <c r="A16636" s="110" t="s">
        <v>28358</v>
      </c>
      <c r="B16636" s="110" t="s">
        <v>1376</v>
      </c>
      <c r="C16636" s="111" t="s">
        <v>267</v>
      </c>
      <c r="D16636" s="111" t="str">
        <f t="shared" ref="D16636:E16636" si="16634">TRIM(B16636)</f>
        <v>Virginia</v>
      </c>
      <c r="E16636" s="111" t="str">
        <f t="shared" si="16634"/>
        <v>Virginia Beach</v>
      </c>
    </row>
    <row r="16637" spans="1:5">
      <c r="A16637" s="3" t="s">
        <v>28359</v>
      </c>
      <c r="B16637" s="110" t="s">
        <v>1376</v>
      </c>
      <c r="C16637" s="111" t="s">
        <v>267</v>
      </c>
      <c r="D16637" s="111" t="str">
        <f t="shared" ref="D16637:E16637" si="16635">TRIM(B16637)</f>
        <v>Virginia</v>
      </c>
      <c r="E16637" s="111" t="str">
        <f t="shared" si="16635"/>
        <v>Virginia Beach</v>
      </c>
    </row>
    <row r="16638" spans="1:5">
      <c r="A16638" s="3" t="s">
        <v>28360</v>
      </c>
      <c r="B16638" s="110" t="s">
        <v>1376</v>
      </c>
      <c r="C16638" s="111" t="s">
        <v>267</v>
      </c>
      <c r="D16638" s="111" t="str">
        <f t="shared" ref="D16638:E16638" si="16636">TRIM(B16638)</f>
        <v>Virginia</v>
      </c>
      <c r="E16638" s="111" t="str">
        <f t="shared" si="16636"/>
        <v>Virginia Beach</v>
      </c>
    </row>
    <row r="16639" spans="1:5">
      <c r="A16639" s="3" t="s">
        <v>28361</v>
      </c>
      <c r="B16639" s="110" t="s">
        <v>1376</v>
      </c>
      <c r="C16639" s="111" t="s">
        <v>267</v>
      </c>
      <c r="D16639" s="111" t="str">
        <f t="shared" ref="D16639:E16639" si="16637">TRIM(B16639)</f>
        <v>Virginia</v>
      </c>
      <c r="E16639" s="111" t="str">
        <f t="shared" si="16637"/>
        <v>Virginia Beach</v>
      </c>
    </row>
    <row r="16640" spans="1:5">
      <c r="A16640" s="3" t="s">
        <v>28362</v>
      </c>
      <c r="B16640" s="110" t="s">
        <v>1376</v>
      </c>
      <c r="C16640" s="111" t="s">
        <v>267</v>
      </c>
      <c r="D16640" s="111" t="str">
        <f t="shared" ref="D16640:E16640" si="16638">TRIM(B16640)</f>
        <v>Virginia</v>
      </c>
      <c r="E16640" s="111" t="str">
        <f t="shared" si="16638"/>
        <v>Virginia Beach</v>
      </c>
    </row>
    <row r="16641" spans="1:5">
      <c r="A16641" s="3" t="s">
        <v>28363</v>
      </c>
      <c r="B16641" s="110" t="s">
        <v>1376</v>
      </c>
      <c r="C16641" s="111" t="s">
        <v>267</v>
      </c>
      <c r="D16641" s="111" t="str">
        <f t="shared" ref="D16641:E16641" si="16639">TRIM(B16641)</f>
        <v>Virginia</v>
      </c>
      <c r="E16641" s="111" t="str">
        <f t="shared" si="16639"/>
        <v>Virginia Beach</v>
      </c>
    </row>
    <row r="16642" spans="1:5">
      <c r="A16642" s="3" t="s">
        <v>4178</v>
      </c>
      <c r="B16642" s="110" t="s">
        <v>1376</v>
      </c>
      <c r="C16642" s="111" t="s">
        <v>267</v>
      </c>
      <c r="D16642" s="111" t="str">
        <f t="shared" ref="D16642:E16642" si="16640">TRIM(B16642)</f>
        <v>Virginia</v>
      </c>
      <c r="E16642" s="111" t="str">
        <f t="shared" si="16640"/>
        <v>Virginia Beach</v>
      </c>
    </row>
    <row r="16643" spans="1:5">
      <c r="A16643" s="3" t="s">
        <v>28364</v>
      </c>
      <c r="B16643" s="110" t="s">
        <v>1376</v>
      </c>
      <c r="C16643" s="111" t="s">
        <v>267</v>
      </c>
      <c r="D16643" s="111" t="str">
        <f t="shared" ref="D16643:E16643" si="16641">TRIM(B16643)</f>
        <v>Virginia</v>
      </c>
      <c r="E16643" s="111" t="str">
        <f t="shared" si="16641"/>
        <v>Virginia Beach</v>
      </c>
    </row>
    <row r="16644" spans="1:5">
      <c r="A16644" s="3" t="s">
        <v>28365</v>
      </c>
      <c r="B16644" s="110" t="s">
        <v>1376</v>
      </c>
      <c r="C16644" s="111" t="s">
        <v>10280</v>
      </c>
      <c r="D16644" s="111" t="str">
        <f t="shared" ref="D16644:E16644" si="16642">TRIM(B16644)</f>
        <v>Virginia</v>
      </c>
      <c r="E16644" s="111" t="str">
        <f t="shared" si="16642"/>
        <v>Warrenton</v>
      </c>
    </row>
    <row r="16645" spans="1:5">
      <c r="A16645" s="3" t="s">
        <v>28366</v>
      </c>
      <c r="B16645" s="110" t="s">
        <v>1376</v>
      </c>
      <c r="C16645" s="111" t="s">
        <v>13979</v>
      </c>
      <c r="D16645" s="111" t="str">
        <f t="shared" ref="D16645:E16645" si="16643">TRIM(B16645)</f>
        <v>Virginia</v>
      </c>
      <c r="E16645" s="111" t="str">
        <f t="shared" si="16643"/>
        <v>Warsaw</v>
      </c>
    </row>
    <row r="16646" spans="1:5">
      <c r="A16646" s="3" t="s">
        <v>28367</v>
      </c>
      <c r="B16646" s="110" t="s">
        <v>1376</v>
      </c>
      <c r="C16646" s="111" t="s">
        <v>276</v>
      </c>
      <c r="D16646" s="111" t="str">
        <f t="shared" ref="D16646:E16646" si="16644">TRIM(B16646)</f>
        <v>Virginia</v>
      </c>
      <c r="E16646" s="111" t="str">
        <f t="shared" si="16644"/>
        <v>Washington</v>
      </c>
    </row>
    <row r="16647" spans="1:5">
      <c r="A16647" s="3" t="s">
        <v>28368</v>
      </c>
      <c r="B16647" s="110" t="s">
        <v>1376</v>
      </c>
      <c r="C16647" s="111" t="s">
        <v>10314</v>
      </c>
      <c r="D16647" s="111" t="str">
        <f t="shared" ref="D16647:E16647" si="16645">TRIM(B16647)</f>
        <v>Virginia</v>
      </c>
      <c r="E16647" s="111" t="str">
        <f t="shared" si="16645"/>
        <v>Waynesboro</v>
      </c>
    </row>
    <row r="16648" spans="1:5">
      <c r="A16648" s="3" t="s">
        <v>1668</v>
      </c>
      <c r="B16648" s="110" t="s">
        <v>1376</v>
      </c>
      <c r="C16648" s="111" t="s">
        <v>11723</v>
      </c>
      <c r="D16648" s="111" t="str">
        <f t="shared" ref="D16648:E16648" si="16646">TRIM(B16648)</f>
        <v>Virginia</v>
      </c>
      <c r="E16648" s="111" t="str">
        <f t="shared" si="16646"/>
        <v>West Point</v>
      </c>
    </row>
    <row r="16649" spans="1:5">
      <c r="A16649" s="3" t="s">
        <v>28369</v>
      </c>
      <c r="B16649" s="110" t="s">
        <v>1376</v>
      </c>
      <c r="C16649" s="111" t="s">
        <v>558</v>
      </c>
      <c r="D16649" s="111" t="str">
        <f t="shared" ref="D16649:E16649" si="16647">TRIM(B16649)</f>
        <v>Virginia</v>
      </c>
      <c r="E16649" s="111" t="str">
        <f t="shared" si="16647"/>
        <v>Williamsburg</v>
      </c>
    </row>
    <row r="16650" spans="1:5">
      <c r="A16650" s="3" t="s">
        <v>21361</v>
      </c>
      <c r="B16650" s="110" t="s">
        <v>1376</v>
      </c>
      <c r="C16650" s="111" t="s">
        <v>558</v>
      </c>
      <c r="D16650" s="111" t="str">
        <f t="shared" ref="D16650:E16650" si="16648">TRIM(B16650)</f>
        <v>Virginia</v>
      </c>
      <c r="E16650" s="111" t="str">
        <f t="shared" si="16648"/>
        <v>Williamsburg</v>
      </c>
    </row>
    <row r="16651" spans="1:5">
      <c r="A16651" s="3" t="s">
        <v>1907</v>
      </c>
      <c r="B16651" s="110" t="s">
        <v>1376</v>
      </c>
      <c r="C16651" s="111" t="s">
        <v>558</v>
      </c>
      <c r="D16651" s="111" t="str">
        <f t="shared" ref="D16651:E16651" si="16649">TRIM(B16651)</f>
        <v>Virginia</v>
      </c>
      <c r="E16651" s="111" t="str">
        <f t="shared" si="16649"/>
        <v>Williamsburg</v>
      </c>
    </row>
    <row r="16652" spans="1:5">
      <c r="A16652" s="3" t="s">
        <v>28370</v>
      </c>
      <c r="B16652" s="110" t="s">
        <v>1376</v>
      </c>
      <c r="C16652" s="111" t="s">
        <v>558</v>
      </c>
      <c r="D16652" s="111" t="str">
        <f t="shared" ref="D16652:E16652" si="16650">TRIM(B16652)</f>
        <v>Virginia</v>
      </c>
      <c r="E16652" s="111" t="str">
        <f t="shared" si="16650"/>
        <v>Williamsburg</v>
      </c>
    </row>
    <row r="16653" spans="1:5">
      <c r="A16653" s="3" t="s">
        <v>28371</v>
      </c>
      <c r="B16653" s="110" t="s">
        <v>1376</v>
      </c>
      <c r="C16653" s="111" t="s">
        <v>14042</v>
      </c>
      <c r="D16653" s="111" t="str">
        <f t="shared" ref="D16653:E16653" si="16651">TRIM(B16653)</f>
        <v>Virginia</v>
      </c>
      <c r="E16653" s="111" t="str">
        <f t="shared" si="16651"/>
        <v>Winchester</v>
      </c>
    </row>
    <row r="16654" spans="1:5">
      <c r="A16654" s="3" t="s">
        <v>28372</v>
      </c>
      <c r="B16654" s="110" t="s">
        <v>1376</v>
      </c>
      <c r="C16654" s="111" t="s">
        <v>14042</v>
      </c>
      <c r="D16654" s="111" t="str">
        <f t="shared" ref="D16654:E16654" si="16652">TRIM(B16654)</f>
        <v>Virginia</v>
      </c>
      <c r="E16654" s="111" t="str">
        <f t="shared" si="16652"/>
        <v>Winchester</v>
      </c>
    </row>
    <row r="16655" spans="1:5">
      <c r="A16655" s="3" t="s">
        <v>21474</v>
      </c>
      <c r="B16655" s="110" t="s">
        <v>1376</v>
      </c>
      <c r="C16655" s="111" t="s">
        <v>14042</v>
      </c>
      <c r="D16655" s="111" t="str">
        <f t="shared" ref="D16655:E16655" si="16653">TRIM(B16655)</f>
        <v>Virginia</v>
      </c>
      <c r="E16655" s="111" t="str">
        <f t="shared" si="16653"/>
        <v>Winchester</v>
      </c>
    </row>
    <row r="16656" spans="1:5">
      <c r="A16656" s="3" t="s">
        <v>7523</v>
      </c>
      <c r="B16656" s="110" t="s">
        <v>1376</v>
      </c>
      <c r="C16656" s="111" t="s">
        <v>7524</v>
      </c>
      <c r="D16656" s="111" t="str">
        <f t="shared" ref="D16656:E16656" si="16654">TRIM(B16656)</f>
        <v>Virginia</v>
      </c>
      <c r="E16656" s="111" t="str">
        <f t="shared" si="16654"/>
        <v>Windsor</v>
      </c>
    </row>
    <row r="16657" spans="1:5">
      <c r="A16657" s="3" t="s">
        <v>28373</v>
      </c>
      <c r="B16657" s="110" t="s">
        <v>1376</v>
      </c>
      <c r="C16657" s="111" t="s">
        <v>8785</v>
      </c>
      <c r="D16657" s="111" t="str">
        <f t="shared" ref="D16657:E16657" si="16655">TRIM(B16657)</f>
        <v>Virginia</v>
      </c>
      <c r="E16657" s="111" t="str">
        <f t="shared" si="16655"/>
        <v>Woodbridge</v>
      </c>
    </row>
    <row r="16658" spans="1:5">
      <c r="A16658" s="3" t="s">
        <v>10782</v>
      </c>
      <c r="B16658" s="110" t="s">
        <v>1376</v>
      </c>
      <c r="C16658" s="111" t="s">
        <v>8785</v>
      </c>
      <c r="D16658" s="111" t="str">
        <f t="shared" ref="D16658:E16658" si="16656">TRIM(B16658)</f>
        <v>Virginia</v>
      </c>
      <c r="E16658" s="111" t="str">
        <f t="shared" si="16656"/>
        <v>Woodbridge</v>
      </c>
    </row>
    <row r="16659" spans="1:5">
      <c r="A16659" s="3" t="s">
        <v>6200</v>
      </c>
      <c r="B16659" s="110" t="s">
        <v>1376</v>
      </c>
      <c r="C16659" s="111" t="s">
        <v>8785</v>
      </c>
      <c r="D16659" s="111" t="str">
        <f t="shared" ref="D16659:E16659" si="16657">TRIM(B16659)</f>
        <v>Virginia</v>
      </c>
      <c r="E16659" s="111" t="str">
        <f t="shared" si="16657"/>
        <v>Woodbridge</v>
      </c>
    </row>
    <row r="16660" spans="1:5">
      <c r="A16660" s="3" t="s">
        <v>28374</v>
      </c>
      <c r="B16660" s="110" t="s">
        <v>1376</v>
      </c>
      <c r="C16660" s="111" t="s">
        <v>8785</v>
      </c>
      <c r="D16660" s="111" t="str">
        <f t="shared" ref="D16660:E16660" si="16658">TRIM(B16660)</f>
        <v>Virginia</v>
      </c>
      <c r="E16660" s="111" t="str">
        <f t="shared" si="16658"/>
        <v>Woodbridge</v>
      </c>
    </row>
    <row r="16661" spans="1:5">
      <c r="A16661" s="3" t="s">
        <v>5346</v>
      </c>
      <c r="B16661" s="110" t="s">
        <v>1376</v>
      </c>
      <c r="C16661" s="111" t="s">
        <v>8785</v>
      </c>
      <c r="D16661" s="111" t="str">
        <f t="shared" ref="D16661:E16661" si="16659">TRIM(B16661)</f>
        <v>Virginia</v>
      </c>
      <c r="E16661" s="111" t="str">
        <f t="shared" si="16659"/>
        <v>Woodbridge</v>
      </c>
    </row>
    <row r="16662" spans="1:5">
      <c r="A16662" s="3" t="s">
        <v>1843</v>
      </c>
      <c r="B16662" s="110" t="s">
        <v>1376</v>
      </c>
      <c r="C16662" s="111" t="s">
        <v>8792</v>
      </c>
      <c r="D16662" s="111" t="str">
        <f t="shared" ref="D16662:E16662" si="16660">TRIM(B16662)</f>
        <v>Virginia</v>
      </c>
      <c r="E16662" s="111" t="str">
        <f t="shared" si="16660"/>
        <v>Woodstock</v>
      </c>
    </row>
    <row r="16663" spans="1:5">
      <c r="A16663" s="3" t="s">
        <v>28304</v>
      </c>
      <c r="B16663" s="110" t="s">
        <v>1376</v>
      </c>
      <c r="C16663" s="111" t="s">
        <v>28375</v>
      </c>
      <c r="D16663" s="111" t="str">
        <f t="shared" ref="D16663:E16663" si="16661">TRIM(B16663)</f>
        <v>Virginia</v>
      </c>
      <c r="E16663" s="111" t="str">
        <f t="shared" si="16661"/>
        <v>Wytheville</v>
      </c>
    </row>
    <row r="16664" spans="1:5">
      <c r="A16664" s="3" t="s">
        <v>16654</v>
      </c>
      <c r="B16664" s="110" t="s">
        <v>1376</v>
      </c>
      <c r="C16664" s="111" t="s">
        <v>14677</v>
      </c>
      <c r="D16664" s="111" t="str">
        <f t="shared" ref="D16664:E16664" si="16662">TRIM(B16664)</f>
        <v>Virginia</v>
      </c>
      <c r="E16664" s="111" t="str">
        <f t="shared" si="16662"/>
        <v>Yorktown</v>
      </c>
    </row>
    <row r="16665" spans="1:5">
      <c r="A16665" s="3" t="s">
        <v>28376</v>
      </c>
      <c r="B16665" s="110" t="s">
        <v>1376</v>
      </c>
      <c r="C16665" s="111" t="s">
        <v>14677</v>
      </c>
      <c r="D16665" s="111" t="str">
        <f t="shared" ref="D16665:E16665" si="16663">TRIM(B16665)</f>
        <v>Virginia</v>
      </c>
      <c r="E16665" s="111" t="str">
        <f t="shared" si="16663"/>
        <v>Yorktown</v>
      </c>
    </row>
    <row r="16666" spans="1:5">
      <c r="A16666" s="3" t="s">
        <v>16319</v>
      </c>
      <c r="B16666" s="110" t="s">
        <v>1376</v>
      </c>
      <c r="C16666" s="111" t="s">
        <v>14677</v>
      </c>
      <c r="D16666" s="111" t="str">
        <f t="shared" ref="D16666:E16666" si="16664">TRIM(B16666)</f>
        <v>Virginia</v>
      </c>
      <c r="E16666" s="111" t="str">
        <f t="shared" si="16664"/>
        <v>Yorktown</v>
      </c>
    </row>
    <row r="16667" spans="1:5">
      <c r="A16667" s="3" t="s">
        <v>28377</v>
      </c>
      <c r="B16667" s="110" t="s">
        <v>1376</v>
      </c>
      <c r="C16667" s="111" t="s">
        <v>14677</v>
      </c>
      <c r="D16667" s="111" t="str">
        <f t="shared" ref="D16667:E16667" si="16665">TRIM(B16667)</f>
        <v>Virginia</v>
      </c>
      <c r="E16667" s="111" t="str">
        <f t="shared" si="16665"/>
        <v>Yorktown</v>
      </c>
    </row>
    <row r="16668" spans="1:5">
      <c r="A16668" s="3" t="s">
        <v>7061</v>
      </c>
      <c r="B16668" s="110" t="s">
        <v>276</v>
      </c>
      <c r="C16668" s="111" t="s">
        <v>11582</v>
      </c>
      <c r="D16668" s="111" t="str">
        <f t="shared" ref="D16668:E16668" si="16666">TRIM(B16668)</f>
        <v>Washington</v>
      </c>
      <c r="E16668" s="111" t="str">
        <f t="shared" si="16666"/>
        <v>Aberdeen</v>
      </c>
    </row>
    <row r="16669" spans="1:5">
      <c r="A16669" s="3" t="s">
        <v>28378</v>
      </c>
      <c r="B16669" s="110" t="s">
        <v>276</v>
      </c>
      <c r="C16669" s="111" t="s">
        <v>11582</v>
      </c>
      <c r="D16669" s="111" t="str">
        <f t="shared" ref="D16669:E16669" si="16667">TRIM(B16669)</f>
        <v>Washington</v>
      </c>
      <c r="E16669" s="111" t="str">
        <f t="shared" si="16667"/>
        <v>Aberdeen</v>
      </c>
    </row>
    <row r="16670" spans="1:5">
      <c r="A16670" s="3" t="s">
        <v>28379</v>
      </c>
      <c r="B16670" s="110" t="s">
        <v>276</v>
      </c>
      <c r="C16670" s="111" t="s">
        <v>28380</v>
      </c>
      <c r="D16670" s="111" t="str">
        <f t="shared" ref="D16670:E16670" si="16668">TRIM(B16670)</f>
        <v>Washington</v>
      </c>
      <c r="E16670" s="111" t="str">
        <f t="shared" si="16668"/>
        <v>Adna</v>
      </c>
    </row>
    <row r="16671" spans="1:5">
      <c r="A16671" s="3" t="s">
        <v>28381</v>
      </c>
      <c r="B16671" s="110" t="s">
        <v>276</v>
      </c>
      <c r="C16671" s="111" t="s">
        <v>28382</v>
      </c>
      <c r="D16671" s="111" t="str">
        <f t="shared" ref="D16671:E16671" si="16669">TRIM(B16671)</f>
        <v>Washington</v>
      </c>
      <c r="E16671" s="111" t="str">
        <f t="shared" si="16669"/>
        <v>Anacortes</v>
      </c>
    </row>
    <row r="16672" spans="1:5">
      <c r="A16672" s="3" t="s">
        <v>6555</v>
      </c>
      <c r="B16672" s="110" t="s">
        <v>276</v>
      </c>
      <c r="C16672" s="111" t="s">
        <v>1048</v>
      </c>
      <c r="D16672" s="111" t="str">
        <f t="shared" ref="D16672:E16672" si="16670">TRIM(B16672)</f>
        <v>Washington</v>
      </c>
      <c r="E16672" s="111" t="str">
        <f t="shared" si="16670"/>
        <v>Arlington</v>
      </c>
    </row>
    <row r="16673" spans="1:5">
      <c r="A16673" s="3" t="s">
        <v>28383</v>
      </c>
      <c r="B16673" s="110" t="s">
        <v>276</v>
      </c>
      <c r="C16673" s="111" t="s">
        <v>28384</v>
      </c>
      <c r="D16673" s="111" t="str">
        <f t="shared" ref="D16673:E16673" si="16671">TRIM(B16673)</f>
        <v>Washington</v>
      </c>
      <c r="E16673" s="111" t="str">
        <f t="shared" si="16671"/>
        <v>Asotin</v>
      </c>
    </row>
    <row r="16674" spans="1:5">
      <c r="A16674" s="3" t="s">
        <v>28385</v>
      </c>
      <c r="B16674" s="110" t="s">
        <v>276</v>
      </c>
      <c r="C16674" s="111" t="s">
        <v>211</v>
      </c>
      <c r="D16674" s="111" t="str">
        <f t="shared" ref="D16674:E16674" si="16672">TRIM(B16674)</f>
        <v>Washington</v>
      </c>
      <c r="E16674" s="111" t="str">
        <f t="shared" si="16672"/>
        <v>Auburn</v>
      </c>
    </row>
    <row r="16675" spans="1:5">
      <c r="A16675" s="3" t="s">
        <v>28386</v>
      </c>
      <c r="B16675" s="110" t="s">
        <v>276</v>
      </c>
      <c r="C16675" s="111" t="s">
        <v>211</v>
      </c>
      <c r="D16675" s="111" t="str">
        <f t="shared" ref="D16675:E16675" si="16673">TRIM(B16675)</f>
        <v>Washington</v>
      </c>
      <c r="E16675" s="111" t="str">
        <f t="shared" si="16673"/>
        <v>Auburn</v>
      </c>
    </row>
    <row r="16676" spans="1:5">
      <c r="A16676" s="3" t="s">
        <v>16552</v>
      </c>
      <c r="B16676" s="110" t="s">
        <v>276</v>
      </c>
      <c r="C16676" s="111" t="s">
        <v>211</v>
      </c>
      <c r="D16676" s="111" t="str">
        <f t="shared" ref="D16676:E16676" si="16674">TRIM(B16676)</f>
        <v>Washington</v>
      </c>
      <c r="E16676" s="111" t="str">
        <f t="shared" si="16674"/>
        <v>Auburn</v>
      </c>
    </row>
    <row r="16677" spans="1:5">
      <c r="A16677" s="3" t="s">
        <v>7844</v>
      </c>
      <c r="B16677" s="110" t="s">
        <v>276</v>
      </c>
      <c r="C16677" s="111" t="s">
        <v>211</v>
      </c>
      <c r="D16677" s="111" t="str">
        <f t="shared" ref="D16677:E16677" si="16675">TRIM(B16677)</f>
        <v>Washington</v>
      </c>
      <c r="E16677" s="111" t="str">
        <f t="shared" si="16675"/>
        <v>Auburn</v>
      </c>
    </row>
    <row r="16678" spans="1:5">
      <c r="A16678" s="3" t="s">
        <v>10419</v>
      </c>
      <c r="B16678" s="110" t="s">
        <v>276</v>
      </c>
      <c r="C16678" s="113" t="s">
        <v>28387</v>
      </c>
      <c r="D16678" s="111" t="str">
        <f t="shared" ref="D16678:E16678" si="16676">TRIM(B16678)</f>
        <v>Washington</v>
      </c>
      <c r="E16678" s="111" t="str">
        <f t="shared" si="16676"/>
        <v>Bainbridge Island</v>
      </c>
    </row>
    <row r="16679" spans="1:5">
      <c r="A16679" s="3" t="s">
        <v>28388</v>
      </c>
      <c r="B16679" s="110" t="s">
        <v>276</v>
      </c>
      <c r="C16679" s="111" t="s">
        <v>28389</v>
      </c>
      <c r="D16679" s="111" t="str">
        <f t="shared" ref="D16679:E16679" si="16677">TRIM(B16679)</f>
        <v>Washington</v>
      </c>
      <c r="E16679" s="111" t="str">
        <f t="shared" si="16677"/>
        <v>Battle Ground</v>
      </c>
    </row>
    <row r="16680" spans="1:5">
      <c r="A16680" s="3" t="s">
        <v>14739</v>
      </c>
      <c r="B16680" s="110" t="s">
        <v>276</v>
      </c>
      <c r="C16680" s="111" t="s">
        <v>28389</v>
      </c>
      <c r="D16680" s="111" t="str">
        <f t="shared" ref="D16680:E16680" si="16678">TRIM(B16680)</f>
        <v>Washington</v>
      </c>
      <c r="E16680" s="111" t="str">
        <f t="shared" si="16678"/>
        <v>Battle Ground</v>
      </c>
    </row>
    <row r="16681" spans="1:5">
      <c r="A16681" s="3" t="s">
        <v>28390</v>
      </c>
      <c r="B16681" s="110" t="s">
        <v>276</v>
      </c>
      <c r="C16681" s="111" t="s">
        <v>28391</v>
      </c>
      <c r="D16681" s="111" t="str">
        <f t="shared" ref="D16681:E16681" si="16679">TRIM(B16681)</f>
        <v>Washington</v>
      </c>
      <c r="E16681" s="111" t="str">
        <f t="shared" si="16679"/>
        <v>Belfair</v>
      </c>
    </row>
    <row r="16682" spans="1:5">
      <c r="A16682" s="3" t="s">
        <v>14715</v>
      </c>
      <c r="B16682" s="110" t="s">
        <v>276</v>
      </c>
      <c r="C16682" s="111" t="s">
        <v>14159</v>
      </c>
      <c r="D16682" s="111" t="str">
        <f t="shared" ref="D16682:E16682" si="16680">TRIM(B16682)</f>
        <v>Washington</v>
      </c>
      <c r="E16682" s="111" t="str">
        <f t="shared" si="16680"/>
        <v>Bellevue</v>
      </c>
    </row>
    <row r="16683" spans="1:5">
      <c r="A16683" s="3" t="s">
        <v>28392</v>
      </c>
      <c r="B16683" s="110" t="s">
        <v>276</v>
      </c>
      <c r="C16683" s="111" t="s">
        <v>14159</v>
      </c>
      <c r="D16683" s="111" t="str">
        <f t="shared" ref="D16683:E16683" si="16681">TRIM(B16683)</f>
        <v>Washington</v>
      </c>
      <c r="E16683" s="111" t="str">
        <f t="shared" si="16681"/>
        <v>Bellevue</v>
      </c>
    </row>
    <row r="16684" spans="1:5">
      <c r="A16684" s="3" t="s">
        <v>28393</v>
      </c>
      <c r="B16684" s="110" t="s">
        <v>276</v>
      </c>
      <c r="C16684" s="111" t="s">
        <v>14159</v>
      </c>
      <c r="D16684" s="111" t="str">
        <f t="shared" ref="D16684:E16684" si="16682">TRIM(B16684)</f>
        <v>Washington</v>
      </c>
      <c r="E16684" s="111" t="str">
        <f t="shared" si="16682"/>
        <v>Bellevue</v>
      </c>
    </row>
    <row r="16685" spans="1:5">
      <c r="A16685" s="3" t="s">
        <v>28394</v>
      </c>
      <c r="B16685" s="110" t="s">
        <v>276</v>
      </c>
      <c r="C16685" s="111" t="s">
        <v>14159</v>
      </c>
      <c r="D16685" s="111" t="str">
        <f t="shared" ref="D16685:E16685" si="16683">TRIM(B16685)</f>
        <v>Washington</v>
      </c>
      <c r="E16685" s="111" t="str">
        <f t="shared" si="16683"/>
        <v>Bellevue</v>
      </c>
    </row>
    <row r="16686" spans="1:5">
      <c r="A16686" s="3" t="s">
        <v>16562</v>
      </c>
      <c r="B16686" s="110" t="s">
        <v>276</v>
      </c>
      <c r="C16686" s="111" t="s">
        <v>14153</v>
      </c>
      <c r="D16686" s="111" t="str">
        <f t="shared" ref="D16686:E16686" si="16684">TRIM(B16686)</f>
        <v>Washington</v>
      </c>
      <c r="E16686" s="111" t="str">
        <f t="shared" si="16684"/>
        <v>Bellingham</v>
      </c>
    </row>
    <row r="16687" spans="1:5">
      <c r="A16687" s="3" t="s">
        <v>11805</v>
      </c>
      <c r="B16687" s="110" t="s">
        <v>276</v>
      </c>
      <c r="C16687" s="111" t="s">
        <v>14153</v>
      </c>
      <c r="D16687" s="111" t="str">
        <f t="shared" ref="D16687:E16687" si="16685">TRIM(B16687)</f>
        <v>Washington</v>
      </c>
      <c r="E16687" s="111" t="str">
        <f t="shared" si="16685"/>
        <v>Bellingham</v>
      </c>
    </row>
    <row r="16688" spans="1:5">
      <c r="A16688" s="3" t="s">
        <v>28395</v>
      </c>
      <c r="B16688" s="110" t="s">
        <v>276</v>
      </c>
      <c r="C16688" s="111" t="s">
        <v>14153</v>
      </c>
      <c r="D16688" s="111" t="str">
        <f t="shared" ref="D16688:E16688" si="16686">TRIM(B16688)</f>
        <v>Washington</v>
      </c>
      <c r="E16688" s="111" t="str">
        <f t="shared" si="16686"/>
        <v>Bellingham</v>
      </c>
    </row>
    <row r="16689" spans="1:5">
      <c r="A16689" s="3" t="s">
        <v>28396</v>
      </c>
      <c r="B16689" s="110" t="s">
        <v>276</v>
      </c>
      <c r="C16689" s="111" t="s">
        <v>14153</v>
      </c>
      <c r="D16689" s="111" t="str">
        <f t="shared" ref="D16689:E16689" si="16687">TRIM(B16689)</f>
        <v>Washington</v>
      </c>
      <c r="E16689" s="111" t="str">
        <f t="shared" si="16687"/>
        <v>Bellingham</v>
      </c>
    </row>
    <row r="16690" spans="1:5">
      <c r="A16690" s="110" t="s">
        <v>28397</v>
      </c>
      <c r="B16690" s="110" t="s">
        <v>276</v>
      </c>
      <c r="C16690" s="111" t="s">
        <v>14153</v>
      </c>
      <c r="D16690" s="111" t="str">
        <f t="shared" ref="D16690:E16690" si="16688">TRIM(B16690)</f>
        <v>Washington</v>
      </c>
      <c r="E16690" s="111" t="str">
        <f t="shared" si="16688"/>
        <v>Bellingham</v>
      </c>
    </row>
    <row r="16691" spans="1:5">
      <c r="A16691" s="3" t="s">
        <v>28398</v>
      </c>
      <c r="B16691" s="110" t="s">
        <v>276</v>
      </c>
      <c r="C16691" s="111" t="s">
        <v>28399</v>
      </c>
      <c r="D16691" s="111" t="str">
        <f t="shared" ref="D16691:E16691" si="16689">TRIM(B16691)</f>
        <v>Washington</v>
      </c>
      <c r="E16691" s="111" t="str">
        <f t="shared" si="16689"/>
        <v>Benton City</v>
      </c>
    </row>
    <row r="16692" spans="1:5">
      <c r="A16692" s="3" t="s">
        <v>17758</v>
      </c>
      <c r="B16692" s="110" t="s">
        <v>276</v>
      </c>
      <c r="C16692" s="111" t="s">
        <v>17759</v>
      </c>
      <c r="D16692" s="111" t="str">
        <f t="shared" ref="D16692:E16692" si="16690">TRIM(B16692)</f>
        <v>Washington</v>
      </c>
      <c r="E16692" s="111" t="str">
        <f t="shared" si="16690"/>
        <v>Blaine</v>
      </c>
    </row>
    <row r="16693" spans="1:5">
      <c r="A16693" s="3" t="s">
        <v>28400</v>
      </c>
      <c r="B16693" s="110" t="s">
        <v>276</v>
      </c>
      <c r="C16693" s="111" t="s">
        <v>28401</v>
      </c>
      <c r="D16693" s="111" t="str">
        <f t="shared" ref="D16693:E16693" si="16691">TRIM(B16693)</f>
        <v>Washington</v>
      </c>
      <c r="E16693" s="111" t="str">
        <f t="shared" si="16691"/>
        <v>Bonney Lake</v>
      </c>
    </row>
    <row r="16694" spans="1:5">
      <c r="A16694" s="3" t="s">
        <v>28402</v>
      </c>
      <c r="B16694" s="110" t="s">
        <v>276</v>
      </c>
      <c r="C16694" s="111" t="s">
        <v>28403</v>
      </c>
      <c r="D16694" s="111" t="str">
        <f t="shared" ref="D16694:E16694" si="16692">TRIM(B16694)</f>
        <v>Washington</v>
      </c>
      <c r="E16694" s="111" t="str">
        <f t="shared" si="16692"/>
        <v>Bothell</v>
      </c>
    </row>
    <row r="16695" spans="1:5">
      <c r="A16695" s="3" t="s">
        <v>28404</v>
      </c>
      <c r="B16695" s="110" t="s">
        <v>276</v>
      </c>
      <c r="C16695" s="111" t="s">
        <v>28403</v>
      </c>
      <c r="D16695" s="111" t="str">
        <f t="shared" ref="D16695:E16695" si="16693">TRIM(B16695)</f>
        <v>Washington</v>
      </c>
      <c r="E16695" s="111" t="str">
        <f t="shared" si="16693"/>
        <v>Bothell</v>
      </c>
    </row>
    <row r="16696" spans="1:5">
      <c r="A16696" s="3" t="s">
        <v>28405</v>
      </c>
      <c r="B16696" s="110" t="s">
        <v>276</v>
      </c>
      <c r="C16696" s="111" t="s">
        <v>28403</v>
      </c>
      <c r="D16696" s="111" t="str">
        <f t="shared" ref="D16696:E16696" si="16694">TRIM(B16696)</f>
        <v>Washington</v>
      </c>
      <c r="E16696" s="111" t="str">
        <f t="shared" si="16694"/>
        <v>Bothell</v>
      </c>
    </row>
    <row r="16697" spans="1:5">
      <c r="A16697" s="110" t="s">
        <v>28406</v>
      </c>
      <c r="B16697" s="110" t="s">
        <v>276</v>
      </c>
      <c r="C16697" s="111" t="s">
        <v>28403</v>
      </c>
      <c r="D16697" s="111" t="str">
        <f t="shared" ref="D16697:E16697" si="16695">TRIM(B16697)</f>
        <v>Washington</v>
      </c>
      <c r="E16697" s="111" t="str">
        <f t="shared" si="16695"/>
        <v>Bothell</v>
      </c>
    </row>
    <row r="16698" spans="1:5">
      <c r="A16698" s="3" t="s">
        <v>28407</v>
      </c>
      <c r="B16698" s="110" t="s">
        <v>276</v>
      </c>
      <c r="C16698" s="111" t="s">
        <v>14134</v>
      </c>
      <c r="D16698" s="111" t="str">
        <f t="shared" ref="D16698:E16698" si="16696">TRIM(B16698)</f>
        <v>Washington</v>
      </c>
      <c r="E16698" s="111" t="str">
        <f t="shared" si="16696"/>
        <v>Bremerton</v>
      </c>
    </row>
    <row r="16699" spans="1:5">
      <c r="A16699" s="3" t="s">
        <v>28408</v>
      </c>
      <c r="B16699" s="110" t="s">
        <v>276</v>
      </c>
      <c r="C16699" s="111" t="s">
        <v>14134</v>
      </c>
      <c r="D16699" s="111" t="str">
        <f t="shared" ref="D16699:E16699" si="16697">TRIM(B16699)</f>
        <v>Washington</v>
      </c>
      <c r="E16699" s="111" t="str">
        <f t="shared" si="16697"/>
        <v>Bremerton</v>
      </c>
    </row>
    <row r="16700" spans="1:5">
      <c r="A16700" s="110" t="s">
        <v>28409</v>
      </c>
      <c r="B16700" s="110" t="s">
        <v>276</v>
      </c>
      <c r="C16700" s="111" t="s">
        <v>14134</v>
      </c>
      <c r="D16700" s="111" t="str">
        <f t="shared" ref="D16700:E16700" si="16698">TRIM(B16700)</f>
        <v>Washington</v>
      </c>
      <c r="E16700" s="111" t="str">
        <f t="shared" si="16698"/>
        <v>Bremerton</v>
      </c>
    </row>
    <row r="16701" spans="1:5">
      <c r="A16701" s="3" t="s">
        <v>22080</v>
      </c>
      <c r="B16701" s="110" t="s">
        <v>276</v>
      </c>
      <c r="C16701" s="111" t="s">
        <v>14134</v>
      </c>
      <c r="D16701" s="111" t="str">
        <f t="shared" ref="D16701:E16701" si="16699">TRIM(B16701)</f>
        <v>Washington</v>
      </c>
      <c r="E16701" s="111" t="str">
        <f t="shared" si="16699"/>
        <v>Bremerton</v>
      </c>
    </row>
    <row r="16702" spans="1:5">
      <c r="A16702" s="3" t="s">
        <v>28410</v>
      </c>
      <c r="B16702" s="110" t="s">
        <v>276</v>
      </c>
      <c r="C16702" s="111" t="s">
        <v>14134</v>
      </c>
      <c r="D16702" s="111" t="str">
        <f t="shared" ref="D16702:E16702" si="16700">TRIM(B16702)</f>
        <v>Washington</v>
      </c>
      <c r="E16702" s="111" t="str">
        <f t="shared" si="16700"/>
        <v>Bremerton</v>
      </c>
    </row>
    <row r="16703" spans="1:5">
      <c r="A16703" s="3" t="s">
        <v>15187</v>
      </c>
      <c r="B16703" s="110" t="s">
        <v>276</v>
      </c>
      <c r="C16703" s="111" t="s">
        <v>7198</v>
      </c>
      <c r="D16703" s="111" t="str">
        <f t="shared" ref="D16703:E16703" si="16701">TRIM(B16703)</f>
        <v>Washington</v>
      </c>
      <c r="E16703" s="111" t="str">
        <f t="shared" si="16701"/>
        <v>Brewster</v>
      </c>
    </row>
    <row r="16704" spans="1:5">
      <c r="A16704" s="3" t="s">
        <v>17003</v>
      </c>
      <c r="B16704" s="110" t="s">
        <v>276</v>
      </c>
      <c r="C16704" s="111" t="s">
        <v>3478</v>
      </c>
      <c r="D16704" s="111" t="str">
        <f t="shared" ref="D16704:E16704" si="16702">TRIM(B16704)</f>
        <v>Washington</v>
      </c>
      <c r="E16704" s="111" t="str">
        <f t="shared" si="16702"/>
        <v>Bridgeport</v>
      </c>
    </row>
    <row r="16705" spans="1:5">
      <c r="A16705" s="110" t="s">
        <v>28411</v>
      </c>
      <c r="B16705" s="110" t="s">
        <v>276</v>
      </c>
      <c r="C16705" s="111" t="s">
        <v>28412</v>
      </c>
      <c r="D16705" s="111" t="str">
        <f t="shared" ref="D16705:E16705" si="16703">TRIM(B16705)</f>
        <v>Washington</v>
      </c>
      <c r="E16705" s="111" t="str">
        <f t="shared" si="16703"/>
        <v>Brush Prairie</v>
      </c>
    </row>
    <row r="16706" spans="1:5">
      <c r="A16706" s="3" t="s">
        <v>28413</v>
      </c>
      <c r="B16706" s="110" t="s">
        <v>276</v>
      </c>
      <c r="C16706" s="111" t="s">
        <v>28412</v>
      </c>
      <c r="D16706" s="111" t="str">
        <f t="shared" ref="D16706:E16706" si="16704">TRIM(B16706)</f>
        <v>Washington</v>
      </c>
      <c r="E16706" s="111" t="str">
        <f t="shared" si="16704"/>
        <v>Brush Prairie</v>
      </c>
    </row>
    <row r="16707" spans="1:5">
      <c r="A16707" s="3" t="s">
        <v>28414</v>
      </c>
      <c r="B16707" s="110" t="s">
        <v>276</v>
      </c>
      <c r="C16707" s="111" t="s">
        <v>28415</v>
      </c>
      <c r="D16707" s="111" t="str">
        <f t="shared" ref="D16707:E16707" si="16705">TRIM(B16707)</f>
        <v>Washington</v>
      </c>
      <c r="E16707" s="111" t="str">
        <f t="shared" si="16705"/>
        <v>Buckley</v>
      </c>
    </row>
    <row r="16708" spans="1:5">
      <c r="A16708" s="3" t="s">
        <v>1870</v>
      </c>
      <c r="B16708" s="110" t="s">
        <v>276</v>
      </c>
      <c r="C16708" s="111" t="s">
        <v>4526</v>
      </c>
      <c r="D16708" s="111" t="str">
        <f t="shared" ref="D16708:E16708" si="16706">TRIM(B16708)</f>
        <v>Washington</v>
      </c>
      <c r="E16708" s="111" t="str">
        <f t="shared" si="16706"/>
        <v>Burbank</v>
      </c>
    </row>
    <row r="16709" spans="1:5">
      <c r="A16709" s="3" t="s">
        <v>28416</v>
      </c>
      <c r="B16709" s="110" t="s">
        <v>276</v>
      </c>
      <c r="C16709" s="111" t="s">
        <v>28417</v>
      </c>
      <c r="D16709" s="111" t="str">
        <f t="shared" ref="D16709:E16709" si="16707">TRIM(B16709)</f>
        <v>Washington</v>
      </c>
      <c r="E16709" s="111" t="str">
        <f t="shared" si="16707"/>
        <v>Burien</v>
      </c>
    </row>
    <row r="16710" spans="1:5">
      <c r="A16710" s="3" t="s">
        <v>28418</v>
      </c>
      <c r="B16710" s="110" t="s">
        <v>276</v>
      </c>
      <c r="C16710" s="111" t="s">
        <v>7667</v>
      </c>
      <c r="D16710" s="111" t="str">
        <f t="shared" ref="D16710:E16710" si="16708">TRIM(B16710)</f>
        <v>Washington</v>
      </c>
      <c r="E16710" s="111" t="str">
        <f t="shared" si="16708"/>
        <v>Burlington</v>
      </c>
    </row>
    <row r="16711" spans="1:5">
      <c r="A16711" s="3" t="s">
        <v>28419</v>
      </c>
      <c r="B16711" s="110" t="s">
        <v>276</v>
      </c>
      <c r="C16711" s="111" t="s">
        <v>789</v>
      </c>
      <c r="D16711" s="111" t="str">
        <f t="shared" ref="D16711:E16711" si="16709">TRIM(B16711)</f>
        <v>Washington</v>
      </c>
      <c r="E16711" s="111" t="str">
        <f t="shared" si="16709"/>
        <v>Camas</v>
      </c>
    </row>
    <row r="16712" spans="1:5">
      <c r="A16712" s="3" t="s">
        <v>9482</v>
      </c>
      <c r="B16712" s="110" t="s">
        <v>276</v>
      </c>
      <c r="C16712" s="111" t="s">
        <v>789</v>
      </c>
      <c r="D16712" s="111" t="str">
        <f t="shared" ref="D16712:E16712" si="16710">TRIM(B16712)</f>
        <v>Washington</v>
      </c>
      <c r="E16712" s="111" t="str">
        <f t="shared" si="16710"/>
        <v>Camas</v>
      </c>
    </row>
    <row r="16713" spans="1:5">
      <c r="A16713" s="3" t="s">
        <v>28420</v>
      </c>
      <c r="B16713" s="110" t="s">
        <v>276</v>
      </c>
      <c r="C16713" s="111" t="s">
        <v>789</v>
      </c>
      <c r="D16713" s="111" t="str">
        <f t="shared" ref="D16713:E16713" si="16711">TRIM(B16713)</f>
        <v>Washington</v>
      </c>
      <c r="E16713" s="111" t="str">
        <f t="shared" si="16711"/>
        <v>Camas</v>
      </c>
    </row>
    <row r="16714" spans="1:5">
      <c r="A16714" s="3" t="s">
        <v>14909</v>
      </c>
      <c r="B16714" s="110" t="s">
        <v>276</v>
      </c>
      <c r="C16714" s="111" t="s">
        <v>789</v>
      </c>
      <c r="D16714" s="111" t="str">
        <f t="shared" ref="D16714:E16714" si="16712">TRIM(B16714)</f>
        <v>Washington</v>
      </c>
      <c r="E16714" s="111" t="str">
        <f t="shared" si="16712"/>
        <v>Camas</v>
      </c>
    </row>
    <row r="16715" spans="1:5">
      <c r="A16715" s="3" t="s">
        <v>28421</v>
      </c>
      <c r="B16715" s="110" t="s">
        <v>276</v>
      </c>
      <c r="C16715" s="111" t="s">
        <v>5652</v>
      </c>
      <c r="D16715" s="111" t="str">
        <f t="shared" ref="D16715:E16715" si="16713">TRIM(B16715)</f>
        <v>Washington</v>
      </c>
      <c r="E16715" s="111" t="str">
        <f t="shared" si="16713"/>
        <v>Cashmere</v>
      </c>
    </row>
    <row r="16716" spans="1:5">
      <c r="A16716" s="3" t="s">
        <v>28422</v>
      </c>
      <c r="B16716" s="110" t="s">
        <v>276</v>
      </c>
      <c r="C16716" s="111" t="s">
        <v>7685</v>
      </c>
      <c r="D16716" s="111" t="str">
        <f t="shared" ref="D16716:E16716" si="16714">TRIM(B16716)</f>
        <v>Washington</v>
      </c>
      <c r="E16716" s="111" t="str">
        <f t="shared" si="16714"/>
        <v>Castle Rock</v>
      </c>
    </row>
    <row r="16717" spans="1:5">
      <c r="A16717" s="3" t="s">
        <v>28423</v>
      </c>
      <c r="B16717" s="110" t="s">
        <v>276</v>
      </c>
      <c r="C16717" s="111" t="s">
        <v>28424</v>
      </c>
      <c r="D16717" s="111" t="str">
        <f t="shared" ref="D16717:E16717" si="16715">TRIM(B16717)</f>
        <v>Washington</v>
      </c>
      <c r="E16717" s="111" t="str">
        <f t="shared" si="16715"/>
        <v>Cathlamet</v>
      </c>
    </row>
    <row r="16718" spans="1:5">
      <c r="A16718" s="3" t="s">
        <v>12204</v>
      </c>
      <c r="B16718" s="110" t="s">
        <v>276</v>
      </c>
      <c r="C16718" s="111" t="s">
        <v>12205</v>
      </c>
      <c r="D16718" s="111" t="str">
        <f t="shared" ref="D16718:E16718" si="16716">TRIM(B16718)</f>
        <v>Washington</v>
      </c>
      <c r="E16718" s="111" t="str">
        <f t="shared" si="16716"/>
        <v>Centralia</v>
      </c>
    </row>
    <row r="16719" spans="1:5">
      <c r="A16719" s="3" t="s">
        <v>3921</v>
      </c>
      <c r="B16719" s="110" t="s">
        <v>276</v>
      </c>
      <c r="C16719" s="111" t="s">
        <v>28425</v>
      </c>
      <c r="D16719" s="111" t="str">
        <f t="shared" ref="D16719:E16719" si="16717">TRIM(B16719)</f>
        <v>Washington</v>
      </c>
      <c r="E16719" s="111" t="str">
        <f t="shared" si="16717"/>
        <v>Chattaroy</v>
      </c>
    </row>
    <row r="16720" spans="1:5">
      <c r="A16720" s="3" t="s">
        <v>28426</v>
      </c>
      <c r="B16720" s="110" t="s">
        <v>276</v>
      </c>
      <c r="C16720" s="111" t="s">
        <v>28427</v>
      </c>
      <c r="D16720" s="111" t="str">
        <f t="shared" ref="D16720:E16720" si="16718">TRIM(B16720)</f>
        <v>Washington</v>
      </c>
      <c r="E16720" s="111" t="str">
        <f t="shared" si="16718"/>
        <v>Chehalis</v>
      </c>
    </row>
    <row r="16721" spans="1:5">
      <c r="A16721" s="3" t="s">
        <v>28428</v>
      </c>
      <c r="B16721" s="110" t="s">
        <v>276</v>
      </c>
      <c r="C16721" s="111" t="s">
        <v>28427</v>
      </c>
      <c r="D16721" s="111" t="str">
        <f t="shared" ref="D16721:E16721" si="16719">TRIM(B16721)</f>
        <v>Washington</v>
      </c>
      <c r="E16721" s="111" t="str">
        <f t="shared" si="16719"/>
        <v>Chehalis</v>
      </c>
    </row>
    <row r="16722" spans="1:5">
      <c r="A16722" s="3" t="s">
        <v>28429</v>
      </c>
      <c r="B16722" s="110" t="s">
        <v>276</v>
      </c>
      <c r="C16722" s="111" t="s">
        <v>28430</v>
      </c>
      <c r="D16722" s="111" t="str">
        <f t="shared" ref="D16722:E16722" si="16720">TRIM(B16722)</f>
        <v>Washington</v>
      </c>
      <c r="E16722" s="111" t="str">
        <f t="shared" si="16720"/>
        <v>Chelan</v>
      </c>
    </row>
    <row r="16723" spans="1:5">
      <c r="A16723" s="3" t="s">
        <v>15213</v>
      </c>
      <c r="B16723" s="110" t="s">
        <v>276</v>
      </c>
      <c r="C16723" s="111" t="s">
        <v>15214</v>
      </c>
      <c r="D16723" s="111" t="str">
        <f t="shared" ref="D16723:E16723" si="16721">TRIM(B16723)</f>
        <v>Washington</v>
      </c>
      <c r="E16723" s="111" t="str">
        <f t="shared" si="16721"/>
        <v>Cheney</v>
      </c>
    </row>
    <row r="16724" spans="1:5">
      <c r="A16724" s="3" t="s">
        <v>28431</v>
      </c>
      <c r="B16724" s="110" t="s">
        <v>276</v>
      </c>
      <c r="C16724" s="111" t="s">
        <v>389</v>
      </c>
      <c r="D16724" s="111" t="str">
        <f t="shared" ref="D16724:E16724" si="16722">TRIM(B16724)</f>
        <v>Washington</v>
      </c>
      <c r="E16724" s="111" t="str">
        <f t="shared" si="16722"/>
        <v>Chewelah</v>
      </c>
    </row>
    <row r="16725" spans="1:5">
      <c r="A16725" s="3" t="s">
        <v>28432</v>
      </c>
      <c r="B16725" s="110" t="s">
        <v>276</v>
      </c>
      <c r="C16725" s="111" t="s">
        <v>28433</v>
      </c>
      <c r="D16725" s="111" t="str">
        <f t="shared" ref="D16725:E16725" si="16723">TRIM(B16725)</f>
        <v>Washington</v>
      </c>
      <c r="E16725" s="111" t="str">
        <f t="shared" si="16723"/>
        <v>Chimacum</v>
      </c>
    </row>
    <row r="16726" spans="1:5">
      <c r="A16726" s="3" t="s">
        <v>28434</v>
      </c>
      <c r="B16726" s="110" t="s">
        <v>276</v>
      </c>
      <c r="C16726" s="111" t="s">
        <v>1285</v>
      </c>
      <c r="D16726" s="111" t="str">
        <f t="shared" ref="D16726:E16726" si="16724">TRIM(B16726)</f>
        <v>Washington</v>
      </c>
      <c r="E16726" s="111" t="str">
        <f t="shared" si="16724"/>
        <v>Clarkston</v>
      </c>
    </row>
    <row r="16727" spans="1:5">
      <c r="A16727" s="3" t="s">
        <v>28435</v>
      </c>
      <c r="B16727" s="110" t="s">
        <v>276</v>
      </c>
      <c r="C16727" s="111" t="s">
        <v>28436</v>
      </c>
      <c r="D16727" s="111" t="str">
        <f t="shared" ref="D16727:E16727" si="16725">TRIM(B16727)</f>
        <v>Washington</v>
      </c>
      <c r="E16727" s="111" t="str">
        <f t="shared" si="16725"/>
        <v>Cle Eum</v>
      </c>
    </row>
    <row r="16728" spans="1:5">
      <c r="A16728" s="3" t="s">
        <v>4717</v>
      </c>
      <c r="B16728" s="110" t="s">
        <v>276</v>
      </c>
      <c r="C16728" s="111" t="s">
        <v>4718</v>
      </c>
      <c r="D16728" s="111" t="str">
        <f t="shared" ref="D16728:E16728" si="16726">TRIM(B16728)</f>
        <v>Washington</v>
      </c>
      <c r="E16728" s="111" t="str">
        <f t="shared" si="16726"/>
        <v>Colfax</v>
      </c>
    </row>
    <row r="16729" spans="1:5">
      <c r="A16729" s="3" t="s">
        <v>28437</v>
      </c>
      <c r="B16729" s="110" t="s">
        <v>276</v>
      </c>
      <c r="C16729" s="111" t="s">
        <v>14224</v>
      </c>
      <c r="D16729" s="111" t="str">
        <f t="shared" ref="D16729:E16729" si="16727">TRIM(B16729)</f>
        <v>Washington</v>
      </c>
      <c r="E16729" s="111" t="str">
        <f t="shared" si="16727"/>
        <v>College Place</v>
      </c>
    </row>
    <row r="16730" spans="1:5">
      <c r="A16730" s="3" t="s">
        <v>28438</v>
      </c>
      <c r="B16730" s="110" t="s">
        <v>276</v>
      </c>
      <c r="C16730" s="111" t="s">
        <v>28439</v>
      </c>
      <c r="D16730" s="111" t="str">
        <f t="shared" ref="D16730:E16730" si="16728">TRIM(B16730)</f>
        <v>Washington</v>
      </c>
      <c r="E16730" s="111" t="str">
        <f t="shared" si="16728"/>
        <v>Colville</v>
      </c>
    </row>
    <row r="16731" spans="1:5">
      <c r="A16731" s="3" t="s">
        <v>28440</v>
      </c>
      <c r="B16731" s="110" t="s">
        <v>276</v>
      </c>
      <c r="C16731" s="111" t="s">
        <v>28441</v>
      </c>
      <c r="D16731" s="111" t="str">
        <f t="shared" ref="D16731:E16731" si="16729">TRIM(B16731)</f>
        <v>Washington</v>
      </c>
      <c r="E16731" s="111" t="str">
        <f t="shared" si="16729"/>
        <v>Concrete</v>
      </c>
    </row>
    <row r="16732" spans="1:5">
      <c r="A16732" s="3" t="s">
        <v>28442</v>
      </c>
      <c r="B16732" s="110" t="s">
        <v>276</v>
      </c>
      <c r="C16732" s="111" t="s">
        <v>28443</v>
      </c>
      <c r="D16732" s="111" t="str">
        <f t="shared" ref="D16732:E16732" si="16730">TRIM(B16732)</f>
        <v>Washington</v>
      </c>
      <c r="E16732" s="111" t="str">
        <f t="shared" si="16730"/>
        <v>Connell</v>
      </c>
    </row>
    <row r="16733" spans="1:5">
      <c r="A16733" s="3" t="s">
        <v>28444</v>
      </c>
      <c r="B16733" s="110" t="s">
        <v>276</v>
      </c>
      <c r="C16733" s="111" t="s">
        <v>17830</v>
      </c>
      <c r="D16733" s="111" t="str">
        <f t="shared" ref="D16733:E16733" si="16731">TRIM(B16733)</f>
        <v>Washington</v>
      </c>
      <c r="E16733" s="111" t="str">
        <f t="shared" si="16731"/>
        <v>Cook</v>
      </c>
    </row>
    <row r="16734" spans="1:5">
      <c r="A16734" s="3" t="s">
        <v>28445</v>
      </c>
      <c r="B16734" s="110" t="s">
        <v>276</v>
      </c>
      <c r="C16734" s="111" t="s">
        <v>28446</v>
      </c>
      <c r="D16734" s="111" t="str">
        <f t="shared" ref="D16734:E16734" si="16732">TRIM(B16734)</f>
        <v>Washington</v>
      </c>
      <c r="E16734" s="111" t="str">
        <f t="shared" si="16732"/>
        <v>Coulee City</v>
      </c>
    </row>
    <row r="16735" spans="1:5">
      <c r="A16735" s="3" t="s">
        <v>28447</v>
      </c>
      <c r="B16735" s="110" t="s">
        <v>276</v>
      </c>
      <c r="C16735" s="111" t="s">
        <v>28448</v>
      </c>
      <c r="D16735" s="111" t="str">
        <f t="shared" ref="D16735:E16735" si="16733">TRIM(B16735)</f>
        <v>Washington</v>
      </c>
      <c r="E16735" s="111" t="str">
        <f t="shared" si="16733"/>
        <v>Coulee Dam</v>
      </c>
    </row>
    <row r="16736" spans="1:5">
      <c r="A16736" s="3" t="s">
        <v>28449</v>
      </c>
      <c r="B16736" s="110" t="s">
        <v>276</v>
      </c>
      <c r="C16736" s="111" t="s">
        <v>28450</v>
      </c>
      <c r="D16736" s="111" t="str">
        <f t="shared" ref="D16736:E16736" si="16734">TRIM(B16736)</f>
        <v>Washington</v>
      </c>
      <c r="E16736" s="111" t="str">
        <f t="shared" si="16734"/>
        <v>Coupeville</v>
      </c>
    </row>
    <row r="16737" spans="1:5">
      <c r="A16737" s="110" t="s">
        <v>28451</v>
      </c>
      <c r="B16737" s="110" t="s">
        <v>276</v>
      </c>
      <c r="C16737" s="111" t="s">
        <v>28450</v>
      </c>
      <c r="D16737" s="111" t="str">
        <f t="shared" ref="D16737:E16737" si="16735">TRIM(B16737)</f>
        <v>Washington</v>
      </c>
      <c r="E16737" s="111" t="str">
        <f t="shared" si="16735"/>
        <v>Coupeville</v>
      </c>
    </row>
    <row r="16738" spans="1:5">
      <c r="A16738" s="3" t="s">
        <v>28452</v>
      </c>
      <c r="B16738" s="110" t="s">
        <v>276</v>
      </c>
      <c r="C16738" s="111" t="s">
        <v>10597</v>
      </c>
      <c r="D16738" s="111" t="str">
        <f t="shared" ref="D16738:E16738" si="16736">TRIM(B16738)</f>
        <v>Washington</v>
      </c>
      <c r="E16738" s="111" t="str">
        <f t="shared" si="16736"/>
        <v>Covington</v>
      </c>
    </row>
    <row r="16739" spans="1:5">
      <c r="A16739" s="3" t="s">
        <v>2665</v>
      </c>
      <c r="B16739" s="110" t="s">
        <v>276</v>
      </c>
      <c r="C16739" s="111" t="s">
        <v>28453</v>
      </c>
      <c r="D16739" s="111" t="str">
        <f t="shared" ref="D16739:E16739" si="16737">TRIM(B16739)</f>
        <v>Washington</v>
      </c>
      <c r="E16739" s="111" t="str">
        <f t="shared" si="16737"/>
        <v>Cowiche</v>
      </c>
    </row>
    <row r="16740" spans="1:5">
      <c r="A16740" s="3" t="s">
        <v>28454</v>
      </c>
      <c r="B16740" s="110" t="s">
        <v>276</v>
      </c>
      <c r="C16740" s="111" t="s">
        <v>14774</v>
      </c>
      <c r="D16740" s="111" t="str">
        <f t="shared" ref="D16740:E16740" si="16738">TRIM(B16740)</f>
        <v>Washington</v>
      </c>
      <c r="E16740" s="111" t="str">
        <f t="shared" si="16738"/>
        <v>Creston</v>
      </c>
    </row>
    <row r="16741" spans="1:5">
      <c r="A16741" s="3" t="s">
        <v>28455</v>
      </c>
      <c r="B16741" s="110" t="s">
        <v>276</v>
      </c>
      <c r="C16741" s="111" t="s">
        <v>28456</v>
      </c>
      <c r="D16741" s="111" t="str">
        <f t="shared" ref="D16741:E16741" si="16739">TRIM(B16741)</f>
        <v>Washington</v>
      </c>
      <c r="E16741" s="111" t="str">
        <f t="shared" si="16739"/>
        <v>Cusick</v>
      </c>
    </row>
    <row r="16742" spans="1:5">
      <c r="A16742" s="3" t="s">
        <v>28457</v>
      </c>
      <c r="B16742" s="110" t="s">
        <v>276</v>
      </c>
      <c r="C16742" s="111" t="s">
        <v>28458</v>
      </c>
      <c r="D16742" s="111" t="str">
        <f t="shared" ref="D16742:E16742" si="16740">TRIM(B16742)</f>
        <v>Washington</v>
      </c>
      <c r="E16742" s="111" t="str">
        <f t="shared" si="16740"/>
        <v>Darrington</v>
      </c>
    </row>
    <row r="16743" spans="1:5">
      <c r="A16743" s="3" t="s">
        <v>28459</v>
      </c>
      <c r="B16743" s="110" t="s">
        <v>276</v>
      </c>
      <c r="C16743" s="111" t="s">
        <v>9128</v>
      </c>
      <c r="D16743" s="111" t="str">
        <f t="shared" ref="D16743:E16743" si="16741">TRIM(B16743)</f>
        <v>Washington</v>
      </c>
      <c r="E16743" s="111" t="str">
        <f t="shared" si="16741"/>
        <v>Davenport</v>
      </c>
    </row>
    <row r="16744" spans="1:5">
      <c r="A16744" s="3" t="s">
        <v>15664</v>
      </c>
      <c r="B16744" s="110" t="s">
        <v>276</v>
      </c>
      <c r="C16744" s="111" t="s">
        <v>568</v>
      </c>
      <c r="D16744" s="111" t="str">
        <f t="shared" ref="D16744:E16744" si="16742">TRIM(B16744)</f>
        <v>Washington</v>
      </c>
      <c r="E16744" s="111" t="str">
        <f t="shared" si="16742"/>
        <v>Dayton</v>
      </c>
    </row>
    <row r="16745" spans="1:5">
      <c r="A16745" s="3" t="s">
        <v>21135</v>
      </c>
      <c r="B16745" s="110" t="s">
        <v>276</v>
      </c>
      <c r="C16745" s="111" t="s">
        <v>21136</v>
      </c>
      <c r="D16745" s="111" t="str">
        <f t="shared" ref="D16745:E16745" si="16743">TRIM(B16745)</f>
        <v>Washington</v>
      </c>
      <c r="E16745" s="111" t="str">
        <f t="shared" si="16743"/>
        <v>Deer Park</v>
      </c>
    </row>
    <row r="16746" spans="1:5">
      <c r="A16746" s="3" t="s">
        <v>28460</v>
      </c>
      <c r="B16746" s="110" t="s">
        <v>276</v>
      </c>
      <c r="C16746" s="111" t="s">
        <v>20533</v>
      </c>
      <c r="D16746" s="111" t="str">
        <f t="shared" ref="D16746:E16746" si="16744">TRIM(B16746)</f>
        <v>Washington</v>
      </c>
      <c r="E16746" s="111" t="str">
        <f t="shared" si="16744"/>
        <v>Deming</v>
      </c>
    </row>
    <row r="16747" spans="1:5">
      <c r="A16747" s="3" t="s">
        <v>28461</v>
      </c>
      <c r="B16747" s="110" t="s">
        <v>276</v>
      </c>
      <c r="C16747" s="111" t="s">
        <v>14784</v>
      </c>
      <c r="D16747" s="111" t="str">
        <f t="shared" ref="D16747:E16747" si="16745">TRIM(B16747)</f>
        <v>Washington</v>
      </c>
      <c r="E16747" s="111" t="str">
        <f t="shared" si="16745"/>
        <v>Des Moines</v>
      </c>
    </row>
    <row r="16748" spans="1:5">
      <c r="A16748" s="3" t="s">
        <v>28462</v>
      </c>
      <c r="B16748" s="110" t="s">
        <v>276</v>
      </c>
      <c r="C16748" s="111" t="s">
        <v>28463</v>
      </c>
      <c r="D16748" s="111" t="str">
        <f t="shared" ref="D16748:E16748" si="16746">TRIM(B16748)</f>
        <v>Washington</v>
      </c>
      <c r="E16748" s="111" t="str">
        <f t="shared" si="16746"/>
        <v>Duvall</v>
      </c>
    </row>
    <row r="16749" spans="1:5">
      <c r="A16749" s="110" t="s">
        <v>28464</v>
      </c>
      <c r="B16749" s="110" t="s">
        <v>276</v>
      </c>
      <c r="C16749" s="111" t="s">
        <v>28465</v>
      </c>
      <c r="D16749" s="111" t="str">
        <f t="shared" ref="D16749:E16749" si="16747">TRIM(B16749)</f>
        <v>Washington</v>
      </c>
      <c r="E16749" s="111" t="str">
        <f t="shared" si="16747"/>
        <v>East Wenatchee</v>
      </c>
    </row>
    <row r="16750" spans="1:5">
      <c r="A16750" s="3" t="s">
        <v>28466</v>
      </c>
      <c r="B16750" s="110" t="s">
        <v>276</v>
      </c>
      <c r="C16750" s="111" t="s">
        <v>28465</v>
      </c>
      <c r="D16750" s="111" t="str">
        <f t="shared" ref="D16750:E16750" si="16748">TRIM(B16750)</f>
        <v>Washington</v>
      </c>
      <c r="E16750" s="111" t="str">
        <f t="shared" si="16748"/>
        <v>East Wenatchee</v>
      </c>
    </row>
    <row r="16751" spans="1:5">
      <c r="A16751" s="110" t="s">
        <v>28467</v>
      </c>
      <c r="B16751" s="110" t="s">
        <v>276</v>
      </c>
      <c r="C16751" s="111" t="s">
        <v>9761</v>
      </c>
      <c r="D16751" s="111" t="str">
        <f t="shared" ref="D16751:E16751" si="16749">TRIM(B16751)</f>
        <v>Washington</v>
      </c>
      <c r="E16751" s="111" t="str">
        <f t="shared" si="16749"/>
        <v>Easton</v>
      </c>
    </row>
    <row r="16752" spans="1:5">
      <c r="A16752" s="3" t="s">
        <v>28468</v>
      </c>
      <c r="B16752" s="110" t="s">
        <v>276</v>
      </c>
      <c r="C16752" s="111" t="s">
        <v>28469</v>
      </c>
      <c r="D16752" s="111" t="str">
        <f t="shared" ref="D16752:E16752" si="16750">TRIM(B16752)</f>
        <v>Washington</v>
      </c>
      <c r="E16752" s="111" t="str">
        <f t="shared" si="16750"/>
        <v>Eastsound</v>
      </c>
    </row>
    <row r="16753" spans="1:5">
      <c r="A16753" s="3" t="s">
        <v>28470</v>
      </c>
      <c r="B16753" s="110" t="s">
        <v>276</v>
      </c>
      <c r="C16753" s="111" t="s">
        <v>10191</v>
      </c>
      <c r="D16753" s="111" t="str">
        <f t="shared" ref="D16753:E16753" si="16751">TRIM(B16753)</f>
        <v>Washington</v>
      </c>
      <c r="E16753" s="111" t="str">
        <f t="shared" si="16751"/>
        <v>Eatonville</v>
      </c>
    </row>
    <row r="16754" spans="1:5">
      <c r="A16754" s="3" t="s">
        <v>28471</v>
      </c>
      <c r="B16754" s="110" t="s">
        <v>276</v>
      </c>
      <c r="C16754" s="111" t="s">
        <v>391</v>
      </c>
      <c r="D16754" s="111" t="str">
        <f t="shared" ref="D16754:E16754" si="16752">TRIM(B16754)</f>
        <v>Washington</v>
      </c>
      <c r="E16754" s="111" t="str">
        <f t="shared" si="16752"/>
        <v>Edmonds</v>
      </c>
    </row>
    <row r="16755" spans="1:5">
      <c r="A16755" s="3" t="s">
        <v>28472</v>
      </c>
      <c r="B16755" s="110" t="s">
        <v>276</v>
      </c>
      <c r="C16755" s="111" t="s">
        <v>28473</v>
      </c>
      <c r="D16755" s="111" t="str">
        <f t="shared" ref="D16755:E16755" si="16753">TRIM(B16755)</f>
        <v>Washington</v>
      </c>
      <c r="E16755" s="111" t="str">
        <f t="shared" si="16753"/>
        <v>Ellensburg</v>
      </c>
    </row>
    <row r="16756" spans="1:5">
      <c r="A16756" s="110" t="s">
        <v>28474</v>
      </c>
      <c r="B16756" s="110" t="s">
        <v>276</v>
      </c>
      <c r="C16756" s="111" t="s">
        <v>28473</v>
      </c>
      <c r="D16756" s="111" t="str">
        <f t="shared" ref="D16756:E16756" si="16754">TRIM(B16756)</f>
        <v>Washington</v>
      </c>
      <c r="E16756" s="111" t="str">
        <f t="shared" si="16754"/>
        <v>Ellensburg</v>
      </c>
    </row>
    <row r="16757" spans="1:5">
      <c r="A16757" s="3" t="s">
        <v>28475</v>
      </c>
      <c r="B16757" s="110" t="s">
        <v>276</v>
      </c>
      <c r="C16757" s="111" t="s">
        <v>21186</v>
      </c>
      <c r="D16757" s="111" t="str">
        <f t="shared" ref="D16757:E16757" si="16755">TRIM(B16757)</f>
        <v>Washington</v>
      </c>
      <c r="E16757" s="111" t="str">
        <f t="shared" si="16755"/>
        <v>Elma</v>
      </c>
    </row>
    <row r="16758" spans="1:5">
      <c r="A16758" s="3" t="s">
        <v>28476</v>
      </c>
      <c r="B16758" s="110" t="s">
        <v>276</v>
      </c>
      <c r="C16758" s="111" t="s">
        <v>28477</v>
      </c>
      <c r="D16758" s="111" t="str">
        <f t="shared" ref="D16758:E16758" si="16756">TRIM(B16758)</f>
        <v>Washington</v>
      </c>
      <c r="E16758" s="111" t="str">
        <f t="shared" si="16756"/>
        <v>Entiat</v>
      </c>
    </row>
    <row r="16759" spans="1:5">
      <c r="A16759" s="3" t="s">
        <v>28478</v>
      </c>
      <c r="B16759" s="110" t="s">
        <v>276</v>
      </c>
      <c r="C16759" s="111" t="s">
        <v>28479</v>
      </c>
      <c r="D16759" s="111" t="str">
        <f t="shared" ref="D16759:E16759" si="16757">TRIM(B16759)</f>
        <v>Washington</v>
      </c>
      <c r="E16759" s="111" t="str">
        <f t="shared" si="16757"/>
        <v>Enumclaw</v>
      </c>
    </row>
    <row r="16760" spans="1:5">
      <c r="A16760" s="3" t="s">
        <v>28480</v>
      </c>
      <c r="B16760" s="110" t="s">
        <v>276</v>
      </c>
      <c r="C16760" s="111" t="s">
        <v>13044</v>
      </c>
      <c r="D16760" s="111" t="str">
        <f t="shared" ref="D16760:E16760" si="16758">TRIM(B16760)</f>
        <v>Washington</v>
      </c>
      <c r="E16760" s="111" t="str">
        <f t="shared" si="16758"/>
        <v>Ephrata</v>
      </c>
    </row>
    <row r="16761" spans="1:5">
      <c r="A16761" s="3" t="s">
        <v>19278</v>
      </c>
      <c r="B16761" s="110" t="s">
        <v>276</v>
      </c>
      <c r="C16761" s="111" t="s">
        <v>11340</v>
      </c>
      <c r="D16761" s="111" t="str">
        <f t="shared" ref="D16761:E16761" si="16759">TRIM(B16761)</f>
        <v>Washington</v>
      </c>
      <c r="E16761" s="111" t="str">
        <f t="shared" si="16759"/>
        <v>Everett</v>
      </c>
    </row>
    <row r="16762" spans="1:5">
      <c r="A16762" s="3" t="s">
        <v>16636</v>
      </c>
      <c r="B16762" s="110" t="s">
        <v>276</v>
      </c>
      <c r="C16762" s="111" t="s">
        <v>11340</v>
      </c>
      <c r="D16762" s="111" t="str">
        <f t="shared" ref="D16762:E16762" si="16760">TRIM(B16762)</f>
        <v>Washington</v>
      </c>
      <c r="E16762" s="111" t="str">
        <f t="shared" si="16760"/>
        <v>Everett</v>
      </c>
    </row>
    <row r="16763" spans="1:5">
      <c r="A16763" s="3" t="s">
        <v>9038</v>
      </c>
      <c r="B16763" s="110" t="s">
        <v>276</v>
      </c>
      <c r="C16763" s="111" t="s">
        <v>11340</v>
      </c>
      <c r="D16763" s="111" t="str">
        <f t="shared" ref="D16763:E16763" si="16761">TRIM(B16763)</f>
        <v>Washington</v>
      </c>
      <c r="E16763" s="111" t="str">
        <f t="shared" si="16761"/>
        <v>Everett</v>
      </c>
    </row>
    <row r="16764" spans="1:5">
      <c r="A16764" s="110" t="s">
        <v>28481</v>
      </c>
      <c r="B16764" s="110" t="s">
        <v>276</v>
      </c>
      <c r="C16764" s="111" t="s">
        <v>11340</v>
      </c>
      <c r="D16764" s="111" t="str">
        <f t="shared" ref="D16764:E16764" si="16762">TRIM(B16764)</f>
        <v>Washington</v>
      </c>
      <c r="E16764" s="111" t="str">
        <f t="shared" si="16762"/>
        <v>Everett</v>
      </c>
    </row>
    <row r="16765" spans="1:5">
      <c r="A16765" s="3" t="s">
        <v>28482</v>
      </c>
      <c r="B16765" s="110" t="s">
        <v>276</v>
      </c>
      <c r="C16765" s="111" t="s">
        <v>28483</v>
      </c>
      <c r="D16765" s="111" t="str">
        <f t="shared" ref="D16765:E16765" si="16763">TRIM(B16765)</f>
        <v>Washington</v>
      </c>
      <c r="E16765" s="111" t="str">
        <f t="shared" si="16763"/>
        <v>Everson</v>
      </c>
    </row>
    <row r="16766" spans="1:5">
      <c r="A16766" s="3" t="s">
        <v>1688</v>
      </c>
      <c r="B16766" s="110" t="s">
        <v>276</v>
      </c>
      <c r="C16766" s="111" t="s">
        <v>28484</v>
      </c>
      <c r="D16766" s="111" t="str">
        <f t="shared" ref="D16766:E16766" si="16764">TRIM(B16766)</f>
        <v>Washington</v>
      </c>
      <c r="E16766" s="111" t="str">
        <f t="shared" si="16764"/>
        <v>Federal Way</v>
      </c>
    </row>
    <row r="16767" spans="1:5">
      <c r="A16767" s="3" t="s">
        <v>28485</v>
      </c>
      <c r="B16767" s="110" t="s">
        <v>276</v>
      </c>
      <c r="C16767" s="111" t="s">
        <v>28484</v>
      </c>
      <c r="D16767" s="111" t="str">
        <f t="shared" ref="D16767:E16767" si="16765">TRIM(B16767)</f>
        <v>Washington</v>
      </c>
      <c r="E16767" s="111" t="str">
        <f t="shared" si="16765"/>
        <v>Federal Way</v>
      </c>
    </row>
    <row r="16768" spans="1:5">
      <c r="A16768" s="110" t="s">
        <v>28486</v>
      </c>
      <c r="B16768" s="110" t="s">
        <v>276</v>
      </c>
      <c r="C16768" s="111" t="s">
        <v>28484</v>
      </c>
      <c r="D16768" s="111" t="str">
        <f t="shared" ref="D16768:E16768" si="16766">TRIM(B16768)</f>
        <v>Washington</v>
      </c>
      <c r="E16768" s="111" t="str">
        <f t="shared" si="16766"/>
        <v>Federal Way</v>
      </c>
    </row>
    <row r="16769" spans="1:5">
      <c r="A16769" s="110" t="s">
        <v>15339</v>
      </c>
      <c r="B16769" s="110" t="s">
        <v>276</v>
      </c>
      <c r="C16769" s="111" t="s">
        <v>28484</v>
      </c>
      <c r="D16769" s="111" t="str">
        <f t="shared" ref="D16769:E16769" si="16767">TRIM(B16769)</f>
        <v>Washington</v>
      </c>
      <c r="E16769" s="111" t="str">
        <f t="shared" si="16767"/>
        <v>Federal Way</v>
      </c>
    </row>
    <row r="16770" spans="1:5">
      <c r="A16770" s="110" t="s">
        <v>28487</v>
      </c>
      <c r="B16770" s="110" t="s">
        <v>276</v>
      </c>
      <c r="C16770" s="111" t="s">
        <v>28484</v>
      </c>
      <c r="D16770" s="111" t="str">
        <f t="shared" ref="D16770:E16770" si="16768">TRIM(B16770)</f>
        <v>Washington</v>
      </c>
      <c r="E16770" s="111" t="str">
        <f t="shared" si="16768"/>
        <v>Federal Way</v>
      </c>
    </row>
    <row r="16771" spans="1:5">
      <c r="A16771" s="3" t="s">
        <v>28488</v>
      </c>
      <c r="B16771" s="110" t="s">
        <v>276</v>
      </c>
      <c r="C16771" s="111" t="s">
        <v>28484</v>
      </c>
      <c r="D16771" s="111" t="str">
        <f t="shared" ref="D16771:E16771" si="16769">TRIM(B16771)</f>
        <v>Washington</v>
      </c>
      <c r="E16771" s="111" t="str">
        <f t="shared" si="16769"/>
        <v>Federal Way</v>
      </c>
    </row>
    <row r="16772" spans="1:5">
      <c r="A16772" s="3" t="s">
        <v>5020</v>
      </c>
      <c r="B16772" s="110" t="s">
        <v>276</v>
      </c>
      <c r="C16772" s="111" t="s">
        <v>5021</v>
      </c>
      <c r="D16772" s="111" t="str">
        <f t="shared" ref="D16772:E16772" si="16770">TRIM(B16772)</f>
        <v>Washington</v>
      </c>
      <c r="E16772" s="111" t="str">
        <f t="shared" si="16770"/>
        <v>Ferndale</v>
      </c>
    </row>
    <row r="16773" spans="1:5">
      <c r="A16773" s="3" t="s">
        <v>28489</v>
      </c>
      <c r="B16773" s="110" t="s">
        <v>276</v>
      </c>
      <c r="C16773" s="111" t="s">
        <v>5021</v>
      </c>
      <c r="D16773" s="111" t="str">
        <f t="shared" ref="D16773:E16773" si="16771">TRIM(B16773)</f>
        <v>Washington</v>
      </c>
      <c r="E16773" s="111" t="str">
        <f t="shared" si="16771"/>
        <v>Ferndale</v>
      </c>
    </row>
    <row r="16774" spans="1:5">
      <c r="A16774" s="3" t="s">
        <v>28490</v>
      </c>
      <c r="B16774" s="110" t="s">
        <v>276</v>
      </c>
      <c r="C16774" s="111" t="s">
        <v>28491</v>
      </c>
      <c r="D16774" s="111" t="str">
        <f t="shared" ref="D16774:E16774" si="16772">TRIM(B16774)</f>
        <v>Washington</v>
      </c>
      <c r="E16774" s="111" t="str">
        <f t="shared" si="16772"/>
        <v>Forks</v>
      </c>
    </row>
    <row r="16775" spans="1:5">
      <c r="A16775" s="3" t="s">
        <v>28492</v>
      </c>
      <c r="B16775" s="110" t="s">
        <v>276</v>
      </c>
      <c r="C16775" s="111" t="s">
        <v>28493</v>
      </c>
      <c r="D16775" s="111" t="str">
        <f t="shared" ref="D16775:E16775" si="16773">TRIM(B16775)</f>
        <v>Washington</v>
      </c>
      <c r="E16775" s="111" t="str">
        <f t="shared" si="16773"/>
        <v>Friday Harbor</v>
      </c>
    </row>
    <row r="16776" spans="1:5">
      <c r="A16776" s="3" t="s">
        <v>28494</v>
      </c>
      <c r="B16776" s="110" t="s">
        <v>276</v>
      </c>
      <c r="C16776" s="111" t="s">
        <v>28495</v>
      </c>
      <c r="D16776" s="111" t="str">
        <f t="shared" ref="D16776:E16776" si="16774">TRIM(B16776)</f>
        <v>Washington</v>
      </c>
      <c r="E16776" s="111" t="str">
        <f t="shared" si="16774"/>
        <v>Gig Harbor</v>
      </c>
    </row>
    <row r="16777" spans="1:5">
      <c r="A16777" s="3" t="s">
        <v>28496</v>
      </c>
      <c r="B16777" s="110" t="s">
        <v>276</v>
      </c>
      <c r="C16777" s="111" t="s">
        <v>28495</v>
      </c>
      <c r="D16777" s="111" t="str">
        <f t="shared" ref="D16777:E16777" si="16775">TRIM(B16777)</f>
        <v>Washington</v>
      </c>
      <c r="E16777" s="111" t="str">
        <f t="shared" si="16775"/>
        <v>Gig Harbor</v>
      </c>
    </row>
    <row r="16778" spans="1:5">
      <c r="A16778" s="110" t="s">
        <v>28497</v>
      </c>
      <c r="B16778" s="110" t="s">
        <v>276</v>
      </c>
      <c r="C16778" s="111" t="s">
        <v>14840</v>
      </c>
      <c r="D16778" s="111" t="str">
        <f t="shared" ref="D16778:E16778" si="16776">TRIM(B16778)</f>
        <v>Washington</v>
      </c>
      <c r="E16778" s="111" t="str">
        <f t="shared" si="16776"/>
        <v>Glenwood</v>
      </c>
    </row>
    <row r="16779" spans="1:5">
      <c r="A16779" s="3" t="s">
        <v>28498</v>
      </c>
      <c r="B16779" s="110" t="s">
        <v>276</v>
      </c>
      <c r="C16779" s="111" t="s">
        <v>28499</v>
      </c>
      <c r="D16779" s="111" t="str">
        <f t="shared" ref="D16779:E16779" si="16777">TRIM(B16779)</f>
        <v>Washington</v>
      </c>
      <c r="E16779" s="111" t="str">
        <f t="shared" si="16777"/>
        <v>Goldendale</v>
      </c>
    </row>
    <row r="16780" spans="1:5">
      <c r="A16780" s="3" t="s">
        <v>28500</v>
      </c>
      <c r="B16780" s="110" t="s">
        <v>276</v>
      </c>
      <c r="C16780" s="111" t="s">
        <v>18797</v>
      </c>
      <c r="D16780" s="111" t="str">
        <f t="shared" ref="D16780:E16780" si="16778">TRIM(B16780)</f>
        <v>Washington</v>
      </c>
      <c r="E16780" s="111" t="str">
        <f t="shared" si="16778"/>
        <v>Graham</v>
      </c>
    </row>
    <row r="16781" spans="1:5">
      <c r="A16781" s="3" t="s">
        <v>7607</v>
      </c>
      <c r="B16781" s="110" t="s">
        <v>276</v>
      </c>
      <c r="C16781" s="111" t="s">
        <v>5622</v>
      </c>
      <c r="D16781" s="111" t="str">
        <f t="shared" ref="D16781:E16781" si="16779">TRIM(B16781)</f>
        <v>Washington</v>
      </c>
      <c r="E16781" s="111" t="str">
        <f t="shared" si="16779"/>
        <v>Grandview</v>
      </c>
    </row>
    <row r="16782" spans="1:5">
      <c r="A16782" s="3" t="s">
        <v>28027</v>
      </c>
      <c r="B16782" s="110" t="s">
        <v>276</v>
      </c>
      <c r="C16782" s="112" t="s">
        <v>28501</v>
      </c>
      <c r="D16782" s="111" t="str">
        <f t="shared" ref="D16782:E16782" si="16780">TRIM(B16782)</f>
        <v>Washington</v>
      </c>
      <c r="E16782" s="111" t="str">
        <f t="shared" si="16780"/>
        <v>Granger</v>
      </c>
    </row>
    <row r="16783" spans="1:5">
      <c r="A16783" s="3" t="s">
        <v>28502</v>
      </c>
      <c r="B16783" s="110" t="s">
        <v>276</v>
      </c>
      <c r="C16783" s="111" t="s">
        <v>17924</v>
      </c>
      <c r="D16783" s="111" t="str">
        <f t="shared" ref="D16783:E16783" si="16781">TRIM(B16783)</f>
        <v>Washington</v>
      </c>
      <c r="E16783" s="111" t="str">
        <f t="shared" si="16781"/>
        <v>Granite Falls</v>
      </c>
    </row>
    <row r="16784" spans="1:5">
      <c r="A16784" s="3" t="s">
        <v>28503</v>
      </c>
      <c r="B16784" s="110" t="s">
        <v>276</v>
      </c>
      <c r="C16784" s="111" t="s">
        <v>16217</v>
      </c>
      <c r="D16784" s="111" t="str">
        <f t="shared" ref="D16784:E16784" si="16782">TRIM(B16784)</f>
        <v>Washington</v>
      </c>
      <c r="E16784" s="111" t="str">
        <f t="shared" si="16782"/>
        <v>Harrington</v>
      </c>
    </row>
    <row r="16785" spans="1:5">
      <c r="A16785" s="3" t="s">
        <v>28504</v>
      </c>
      <c r="B16785" s="110" t="s">
        <v>276</v>
      </c>
      <c r="C16785" s="111" t="s">
        <v>28505</v>
      </c>
      <c r="D16785" s="111" t="str">
        <f t="shared" ref="D16785:E16785" si="16783">TRIM(B16785)</f>
        <v>Washington</v>
      </c>
      <c r="E16785" s="111" t="str">
        <f t="shared" si="16783"/>
        <v>Hoquiam</v>
      </c>
    </row>
    <row r="16786" spans="1:5">
      <c r="A16786" s="3" t="s">
        <v>28506</v>
      </c>
      <c r="B16786" s="110" t="s">
        <v>276</v>
      </c>
      <c r="C16786" s="111" t="s">
        <v>28507</v>
      </c>
      <c r="D16786" s="111" t="str">
        <f t="shared" ref="D16786:E16786" si="16784">TRIM(B16786)</f>
        <v>Washington</v>
      </c>
      <c r="E16786" s="111" t="str">
        <f t="shared" si="16784"/>
        <v>Ilwaco</v>
      </c>
    </row>
    <row r="16787" spans="1:5">
      <c r="A16787" s="3" t="s">
        <v>28508</v>
      </c>
      <c r="B16787" s="110" t="s">
        <v>276</v>
      </c>
      <c r="C16787" s="111" t="s">
        <v>28509</v>
      </c>
      <c r="D16787" s="111" t="str">
        <f t="shared" ref="D16787:E16787" si="16785">TRIM(B16787)</f>
        <v>Washington</v>
      </c>
      <c r="E16787" s="111" t="str">
        <f t="shared" si="16785"/>
        <v>Inchelium</v>
      </c>
    </row>
    <row r="16788" spans="1:5">
      <c r="A16788" s="3" t="s">
        <v>28510</v>
      </c>
      <c r="B16788" s="110" t="s">
        <v>276</v>
      </c>
      <c r="C16788" s="111" t="s">
        <v>28511</v>
      </c>
      <c r="D16788" s="111" t="str">
        <f t="shared" ref="D16788:E16788" si="16786">TRIM(B16788)</f>
        <v>Washington</v>
      </c>
      <c r="E16788" s="111" t="str">
        <f t="shared" si="16786"/>
        <v>Ione</v>
      </c>
    </row>
    <row r="16789" spans="1:5">
      <c r="A16789" s="3" t="s">
        <v>28512</v>
      </c>
      <c r="B16789" s="110" t="s">
        <v>276</v>
      </c>
      <c r="C16789" s="111" t="s">
        <v>14131</v>
      </c>
      <c r="D16789" s="111" t="str">
        <f t="shared" ref="D16789:E16789" si="16787">TRIM(B16789)</f>
        <v>Washington</v>
      </c>
      <c r="E16789" s="111" t="str">
        <f t="shared" si="16787"/>
        <v>Issaquah</v>
      </c>
    </row>
    <row r="16790" spans="1:5">
      <c r="A16790" s="3" t="s">
        <v>28513</v>
      </c>
      <c r="B16790" s="110" t="s">
        <v>276</v>
      </c>
      <c r="C16790" s="111" t="s">
        <v>14131</v>
      </c>
      <c r="D16790" s="111" t="str">
        <f t="shared" ref="D16790:E16790" si="16788">TRIM(B16790)</f>
        <v>Washington</v>
      </c>
      <c r="E16790" s="111" t="str">
        <f t="shared" si="16788"/>
        <v>Issaquah</v>
      </c>
    </row>
    <row r="16791" spans="1:5">
      <c r="A16791" s="3" t="s">
        <v>28514</v>
      </c>
      <c r="B16791" s="110" t="s">
        <v>276</v>
      </c>
      <c r="C16791" s="111" t="s">
        <v>28515</v>
      </c>
      <c r="D16791" s="111" t="str">
        <f t="shared" ref="D16791:E16791" si="16789">TRIM(B16791)</f>
        <v>Washington</v>
      </c>
      <c r="E16791" s="111" t="str">
        <f t="shared" si="16789"/>
        <v>Kalama</v>
      </c>
    </row>
    <row r="16792" spans="1:5">
      <c r="A16792" s="3" t="s">
        <v>28516</v>
      </c>
      <c r="B16792" s="110" t="s">
        <v>276</v>
      </c>
      <c r="C16792" s="111" t="s">
        <v>28517</v>
      </c>
      <c r="D16792" s="111" t="str">
        <f t="shared" ref="D16792:E16792" si="16790">TRIM(B16792)</f>
        <v>Washington</v>
      </c>
      <c r="E16792" s="111" t="str">
        <f t="shared" si="16790"/>
        <v>Kelso</v>
      </c>
    </row>
    <row r="16793" spans="1:5">
      <c r="A16793" s="3" t="s">
        <v>28518</v>
      </c>
      <c r="B16793" s="110" t="s">
        <v>276</v>
      </c>
      <c r="C16793" s="111" t="s">
        <v>28519</v>
      </c>
      <c r="D16793" s="111" t="str">
        <f t="shared" ref="D16793:E16793" si="16791">TRIM(B16793)</f>
        <v>Washington</v>
      </c>
      <c r="E16793" s="111" t="str">
        <f t="shared" si="16791"/>
        <v>Kenmore</v>
      </c>
    </row>
    <row r="16794" spans="1:5">
      <c r="A16794" s="3" t="s">
        <v>28520</v>
      </c>
      <c r="B16794" s="110" t="s">
        <v>276</v>
      </c>
      <c r="C16794" s="111" t="s">
        <v>28521</v>
      </c>
      <c r="D16794" s="111" t="str">
        <f t="shared" ref="D16794:E16794" si="16792">TRIM(B16794)</f>
        <v>Washington</v>
      </c>
      <c r="E16794" s="111" t="str">
        <f t="shared" si="16792"/>
        <v>Kennewick</v>
      </c>
    </row>
    <row r="16795" spans="1:5">
      <c r="A16795" s="3" t="s">
        <v>28522</v>
      </c>
      <c r="B16795" s="110" t="s">
        <v>276</v>
      </c>
      <c r="C16795" s="111" t="s">
        <v>28521</v>
      </c>
      <c r="D16795" s="111" t="str">
        <f t="shared" ref="D16795:E16795" si="16793">TRIM(B16795)</f>
        <v>Washington</v>
      </c>
      <c r="E16795" s="111" t="str">
        <f t="shared" si="16793"/>
        <v>Kennewick</v>
      </c>
    </row>
    <row r="16796" spans="1:5">
      <c r="A16796" s="3" t="s">
        <v>23542</v>
      </c>
      <c r="B16796" s="110" t="s">
        <v>276</v>
      </c>
      <c r="C16796" s="111" t="s">
        <v>28521</v>
      </c>
      <c r="D16796" s="111" t="str">
        <f t="shared" ref="D16796:E16796" si="16794">TRIM(B16796)</f>
        <v>Washington</v>
      </c>
      <c r="E16796" s="111" t="str">
        <f t="shared" si="16794"/>
        <v>Kennewick</v>
      </c>
    </row>
    <row r="16797" spans="1:5">
      <c r="A16797" s="3" t="s">
        <v>14396</v>
      </c>
      <c r="B16797" s="110" t="s">
        <v>276</v>
      </c>
      <c r="C16797" s="111" t="s">
        <v>28521</v>
      </c>
      <c r="D16797" s="111" t="str">
        <f t="shared" ref="D16797:E16797" si="16795">TRIM(B16797)</f>
        <v>Washington</v>
      </c>
      <c r="E16797" s="111" t="str">
        <f t="shared" si="16795"/>
        <v>Kennewick</v>
      </c>
    </row>
    <row r="16798" spans="1:5">
      <c r="A16798" s="3" t="s">
        <v>28523</v>
      </c>
      <c r="B16798" s="110" t="s">
        <v>276</v>
      </c>
      <c r="C16798" s="112" t="s">
        <v>246</v>
      </c>
      <c r="D16798" s="111" t="str">
        <f t="shared" ref="D16798:E16798" si="16796">TRIM(B16798)</f>
        <v>Washington</v>
      </c>
      <c r="E16798" s="111" t="str">
        <f t="shared" si="16796"/>
        <v>Kent</v>
      </c>
    </row>
    <row r="16799" spans="1:5">
      <c r="A16799" s="3" t="s">
        <v>28524</v>
      </c>
      <c r="B16799" s="110" t="s">
        <v>276</v>
      </c>
      <c r="C16799" s="111" t="s">
        <v>246</v>
      </c>
      <c r="D16799" s="111" t="str">
        <f t="shared" ref="D16799:E16799" si="16797">TRIM(B16799)</f>
        <v>Washington</v>
      </c>
      <c r="E16799" s="111" t="str">
        <f t="shared" si="16797"/>
        <v>Kent</v>
      </c>
    </row>
    <row r="16800" spans="1:5">
      <c r="A16800" s="3" t="s">
        <v>28525</v>
      </c>
      <c r="B16800" s="110" t="s">
        <v>276</v>
      </c>
      <c r="C16800" s="111" t="s">
        <v>246</v>
      </c>
      <c r="D16800" s="111" t="str">
        <f t="shared" ref="D16800:E16800" si="16798">TRIM(B16800)</f>
        <v>Washington</v>
      </c>
      <c r="E16800" s="111" t="str">
        <f t="shared" si="16798"/>
        <v>Kent</v>
      </c>
    </row>
    <row r="16801" spans="1:5">
      <c r="A16801" s="3" t="s">
        <v>28526</v>
      </c>
      <c r="B16801" s="110" t="s">
        <v>276</v>
      </c>
      <c r="C16801" s="111" t="s">
        <v>28527</v>
      </c>
      <c r="D16801" s="111" t="str">
        <f t="shared" ref="D16801:E16801" si="16799">TRIM(B16801)</f>
        <v>Washington</v>
      </c>
      <c r="E16801" s="111" t="str">
        <f t="shared" si="16799"/>
        <v>Kettle Falls</v>
      </c>
    </row>
    <row r="16802" spans="1:5">
      <c r="A16802" s="3" t="s">
        <v>3916</v>
      </c>
      <c r="B16802" s="110" t="s">
        <v>276</v>
      </c>
      <c r="C16802" s="111" t="s">
        <v>3917</v>
      </c>
      <c r="D16802" s="111" t="str">
        <f t="shared" ref="D16802:E16802" si="16800">TRIM(B16802)</f>
        <v>Washington</v>
      </c>
      <c r="E16802" s="111" t="str">
        <f t="shared" si="16800"/>
        <v>Kingston</v>
      </c>
    </row>
    <row r="16803" spans="1:5">
      <c r="A16803" s="3" t="s">
        <v>28528</v>
      </c>
      <c r="B16803" s="110" t="s">
        <v>276</v>
      </c>
      <c r="C16803" s="111" t="s">
        <v>13151</v>
      </c>
      <c r="D16803" s="111" t="str">
        <f t="shared" ref="D16803:E16803" si="16801">TRIM(B16803)</f>
        <v>Washington</v>
      </c>
      <c r="E16803" s="111" t="str">
        <f t="shared" si="16801"/>
        <v>Kirkland</v>
      </c>
    </row>
    <row r="16804" spans="1:5">
      <c r="A16804" s="3" t="s">
        <v>28529</v>
      </c>
      <c r="B16804" s="110" t="s">
        <v>276</v>
      </c>
      <c r="C16804" s="111" t="s">
        <v>13151</v>
      </c>
      <c r="D16804" s="111" t="str">
        <f t="shared" ref="D16804:E16804" si="16802">TRIM(B16804)</f>
        <v>Washington</v>
      </c>
      <c r="E16804" s="111" t="str">
        <f t="shared" si="16802"/>
        <v>Kirkland</v>
      </c>
    </row>
    <row r="16805" spans="1:5">
      <c r="A16805" s="3" t="s">
        <v>28530</v>
      </c>
      <c r="B16805" s="110" t="s">
        <v>276</v>
      </c>
      <c r="C16805" s="111" t="s">
        <v>13151</v>
      </c>
      <c r="D16805" s="111" t="str">
        <f t="shared" ref="D16805:E16805" si="16803">TRIM(B16805)</f>
        <v>Washington</v>
      </c>
      <c r="E16805" s="111" t="str">
        <f t="shared" si="16803"/>
        <v>Kirkland</v>
      </c>
    </row>
    <row r="16806" spans="1:5">
      <c r="A16806" s="3" t="s">
        <v>28531</v>
      </c>
      <c r="B16806" s="110" t="s">
        <v>276</v>
      </c>
      <c r="C16806" s="111" t="s">
        <v>28532</v>
      </c>
      <c r="D16806" s="111" t="str">
        <f t="shared" ref="D16806:E16806" si="16804">TRIM(B16806)</f>
        <v>Washington</v>
      </c>
      <c r="E16806" s="111" t="str">
        <f t="shared" si="16804"/>
        <v>Kittitas</v>
      </c>
    </row>
    <row r="16807" spans="1:5">
      <c r="A16807" s="3" t="s">
        <v>28533</v>
      </c>
      <c r="B16807" s="110" t="s">
        <v>276</v>
      </c>
      <c r="C16807" s="111" t="s">
        <v>28534</v>
      </c>
      <c r="D16807" s="111" t="str">
        <f t="shared" ref="D16807:E16807" si="16805">TRIM(B16807)</f>
        <v>Washington</v>
      </c>
      <c r="E16807" s="111" t="str">
        <f t="shared" si="16805"/>
        <v>La Center</v>
      </c>
    </row>
    <row r="16808" spans="1:5">
      <c r="A16808" s="3" t="s">
        <v>28535</v>
      </c>
      <c r="B16808" s="110" t="s">
        <v>276</v>
      </c>
      <c r="C16808" s="111" t="s">
        <v>28536</v>
      </c>
      <c r="D16808" s="111" t="str">
        <f t="shared" ref="D16808:E16808" si="16806">TRIM(B16808)</f>
        <v>Washington</v>
      </c>
      <c r="E16808" s="111" t="str">
        <f t="shared" si="16806"/>
        <v>La Conner</v>
      </c>
    </row>
    <row r="16809" spans="1:5">
      <c r="A16809" s="3" t="s">
        <v>28537</v>
      </c>
      <c r="B16809" s="110" t="s">
        <v>276</v>
      </c>
      <c r="C16809" s="111" t="s">
        <v>14182</v>
      </c>
      <c r="D16809" s="111" t="str">
        <f t="shared" ref="D16809:E16809" si="16807">TRIM(B16809)</f>
        <v>Washington</v>
      </c>
      <c r="E16809" s="111" t="str">
        <f t="shared" si="16807"/>
        <v>Lacey</v>
      </c>
    </row>
    <row r="16810" spans="1:5">
      <c r="A16810" s="3" t="s">
        <v>9764</v>
      </c>
      <c r="B16810" s="110" t="s">
        <v>276</v>
      </c>
      <c r="C16810" s="111" t="s">
        <v>14182</v>
      </c>
      <c r="D16810" s="111" t="str">
        <f t="shared" ref="D16810:E16810" si="16808">TRIM(B16810)</f>
        <v>Washington</v>
      </c>
      <c r="E16810" s="111" t="str">
        <f t="shared" si="16808"/>
        <v>Lacey</v>
      </c>
    </row>
    <row r="16811" spans="1:5">
      <c r="A16811" s="3" t="s">
        <v>11619</v>
      </c>
      <c r="B16811" s="110" t="s">
        <v>276</v>
      </c>
      <c r="C16811" s="111" t="s">
        <v>14182</v>
      </c>
      <c r="D16811" s="111" t="str">
        <f t="shared" ref="D16811:E16811" si="16809">TRIM(B16811)</f>
        <v>Washington</v>
      </c>
      <c r="E16811" s="111" t="str">
        <f t="shared" si="16809"/>
        <v>Lacey</v>
      </c>
    </row>
    <row r="16812" spans="1:5">
      <c r="A16812" s="3" t="s">
        <v>28538</v>
      </c>
      <c r="B16812" s="110" t="s">
        <v>276</v>
      </c>
      <c r="C16812" s="111" t="s">
        <v>14443</v>
      </c>
      <c r="D16812" s="111" t="str">
        <f t="shared" ref="D16812:E16812" si="16810">TRIM(B16812)</f>
        <v>Washington</v>
      </c>
      <c r="E16812" s="111" t="str">
        <f t="shared" si="16810"/>
        <v>Lacrosse</v>
      </c>
    </row>
    <row r="16813" spans="1:5">
      <c r="A16813" s="3" t="s">
        <v>28539</v>
      </c>
      <c r="B16813" s="110" t="s">
        <v>276</v>
      </c>
      <c r="C16813" s="111" t="s">
        <v>516</v>
      </c>
      <c r="D16813" s="111" t="str">
        <f t="shared" ref="D16813:E16813" si="16811">TRIM(B16813)</f>
        <v>Washington</v>
      </c>
      <c r="E16813" s="111" t="str">
        <f t="shared" si="16811"/>
        <v>Lake Stevens</v>
      </c>
    </row>
    <row r="16814" spans="1:5">
      <c r="A16814" s="3" t="s">
        <v>28540</v>
      </c>
      <c r="B16814" s="110" t="s">
        <v>276</v>
      </c>
      <c r="C16814" s="111" t="s">
        <v>609</v>
      </c>
      <c r="D16814" s="111" t="str">
        <f t="shared" ref="D16814:E16814" si="16812">TRIM(B16814)</f>
        <v>Washington</v>
      </c>
      <c r="E16814" s="111" t="str">
        <f t="shared" si="16812"/>
        <v>Lakewood</v>
      </c>
    </row>
    <row r="16815" spans="1:5">
      <c r="A16815" s="110" t="s">
        <v>28541</v>
      </c>
      <c r="B16815" s="110" t="s">
        <v>276</v>
      </c>
      <c r="C16815" s="111" t="s">
        <v>609</v>
      </c>
      <c r="D16815" s="111" t="str">
        <f t="shared" ref="D16815:E16815" si="16813">TRIM(B16815)</f>
        <v>Washington</v>
      </c>
      <c r="E16815" s="111" t="str">
        <f t="shared" si="16813"/>
        <v>Lakewood</v>
      </c>
    </row>
    <row r="16816" spans="1:5">
      <c r="A16816" s="3" t="s">
        <v>28542</v>
      </c>
      <c r="B16816" s="110" t="s">
        <v>276</v>
      </c>
      <c r="C16816" s="111" t="s">
        <v>609</v>
      </c>
      <c r="D16816" s="111" t="str">
        <f t="shared" ref="D16816:E16816" si="16814">TRIM(B16816)</f>
        <v>Washington</v>
      </c>
      <c r="E16816" s="111" t="str">
        <f t="shared" si="16814"/>
        <v>Lakewood</v>
      </c>
    </row>
    <row r="16817" spans="1:5">
      <c r="A16817" s="110" t="s">
        <v>28543</v>
      </c>
      <c r="B16817" s="110" t="s">
        <v>276</v>
      </c>
      <c r="C16817" s="111" t="s">
        <v>609</v>
      </c>
      <c r="D16817" s="111" t="str">
        <f t="shared" ref="D16817:E16817" si="16815">TRIM(B16817)</f>
        <v>Washington</v>
      </c>
      <c r="E16817" s="111" t="str">
        <f t="shared" si="16815"/>
        <v>Lakewood</v>
      </c>
    </row>
    <row r="16818" spans="1:5">
      <c r="A16818" s="110" t="s">
        <v>28544</v>
      </c>
      <c r="B16818" s="110" t="s">
        <v>276</v>
      </c>
      <c r="C16818" s="111" t="s">
        <v>609</v>
      </c>
      <c r="D16818" s="111" t="str">
        <f t="shared" ref="D16818:E16818" si="16816">TRIM(B16818)</f>
        <v>Washington</v>
      </c>
      <c r="E16818" s="111" t="str">
        <f t="shared" si="16816"/>
        <v>Lakewood</v>
      </c>
    </row>
    <row r="16819" spans="1:5">
      <c r="A16819" s="3" t="s">
        <v>28545</v>
      </c>
      <c r="B16819" s="110" t="s">
        <v>276</v>
      </c>
      <c r="C16819" s="111" t="s">
        <v>28546</v>
      </c>
      <c r="D16819" s="111" t="str">
        <f t="shared" ref="D16819:E16819" si="16817">TRIM(B16819)</f>
        <v>Washington</v>
      </c>
      <c r="E16819" s="111" t="str">
        <f t="shared" si="16817"/>
        <v>Langley</v>
      </c>
    </row>
    <row r="16820" spans="1:5">
      <c r="A16820" s="3" t="s">
        <v>19278</v>
      </c>
      <c r="B16820" s="110" t="s">
        <v>276</v>
      </c>
      <c r="C16820" s="111" t="s">
        <v>15359</v>
      </c>
      <c r="D16820" s="111" t="str">
        <f t="shared" ref="D16820:E16820" si="16818">TRIM(B16820)</f>
        <v>Washington</v>
      </c>
      <c r="E16820" s="111" t="str">
        <f t="shared" si="16818"/>
        <v>Leavenworth</v>
      </c>
    </row>
    <row r="16821" spans="1:5">
      <c r="A16821" s="110" t="s">
        <v>28547</v>
      </c>
      <c r="B16821" s="110" t="s">
        <v>276</v>
      </c>
      <c r="C16821" s="111" t="s">
        <v>5797</v>
      </c>
      <c r="D16821" s="111" t="str">
        <f t="shared" ref="D16821:E16821" si="16819">TRIM(B16821)</f>
        <v>Washington</v>
      </c>
      <c r="E16821" s="111" t="str">
        <f t="shared" si="16819"/>
        <v>Longview</v>
      </c>
    </row>
    <row r="16822" spans="1:5">
      <c r="A16822" s="3" t="s">
        <v>28548</v>
      </c>
      <c r="B16822" s="110" t="s">
        <v>276</v>
      </c>
      <c r="C16822" s="111" t="s">
        <v>5797</v>
      </c>
      <c r="D16822" s="111" t="str">
        <f t="shared" ref="D16822:E16822" si="16820">TRIM(B16822)</f>
        <v>Washington</v>
      </c>
      <c r="E16822" s="111" t="str">
        <f t="shared" si="16820"/>
        <v>Longview</v>
      </c>
    </row>
    <row r="16823" spans="1:5">
      <c r="A16823" s="3" t="s">
        <v>28549</v>
      </c>
      <c r="B16823" s="110" t="s">
        <v>276</v>
      </c>
      <c r="C16823" s="111" t="s">
        <v>5797</v>
      </c>
      <c r="D16823" s="111" t="str">
        <f t="shared" ref="D16823:E16823" si="16821">TRIM(B16823)</f>
        <v>Washington</v>
      </c>
      <c r="E16823" s="111" t="str">
        <f t="shared" si="16821"/>
        <v>Longview</v>
      </c>
    </row>
    <row r="16824" spans="1:5">
      <c r="A16824" s="3" t="s">
        <v>28550</v>
      </c>
      <c r="B16824" s="110" t="s">
        <v>276</v>
      </c>
      <c r="C16824" s="111" t="s">
        <v>28551</v>
      </c>
      <c r="D16824" s="111" t="str">
        <f t="shared" ref="D16824:E16824" si="16822">TRIM(B16824)</f>
        <v>Washington</v>
      </c>
      <c r="E16824" s="111" t="str">
        <f t="shared" si="16822"/>
        <v>Lopez Island</v>
      </c>
    </row>
    <row r="16825" spans="1:5">
      <c r="A16825" s="3" t="s">
        <v>28552</v>
      </c>
      <c r="B16825" s="110" t="s">
        <v>276</v>
      </c>
      <c r="C16825" s="111" t="s">
        <v>18026</v>
      </c>
      <c r="D16825" s="111" t="str">
        <f t="shared" ref="D16825:E16825" si="16823">TRIM(B16825)</f>
        <v>Washington</v>
      </c>
      <c r="E16825" s="111" t="str">
        <f t="shared" si="16823"/>
        <v>Lyle</v>
      </c>
    </row>
    <row r="16826" spans="1:5">
      <c r="A16826" s="3" t="s">
        <v>28553</v>
      </c>
      <c r="B16826" s="110" t="s">
        <v>276</v>
      </c>
      <c r="C16826" s="111" t="s">
        <v>3755</v>
      </c>
      <c r="D16826" s="111" t="str">
        <f t="shared" ref="D16826:E16826" si="16824">TRIM(B16826)</f>
        <v>Washington</v>
      </c>
      <c r="E16826" s="111" t="str">
        <f t="shared" si="16824"/>
        <v>Lynden</v>
      </c>
    </row>
    <row r="16827" spans="1:5">
      <c r="A16827" s="3" t="s">
        <v>23036</v>
      </c>
      <c r="B16827" s="110" t="s">
        <v>276</v>
      </c>
      <c r="C16827" s="111" t="s">
        <v>390</v>
      </c>
      <c r="D16827" s="111" t="str">
        <f t="shared" ref="D16827:E16827" si="16825">TRIM(B16827)</f>
        <v>Washington</v>
      </c>
      <c r="E16827" s="111" t="str">
        <f t="shared" si="16825"/>
        <v>Lynnwood</v>
      </c>
    </row>
    <row r="16828" spans="1:5">
      <c r="A16828" s="3" t="s">
        <v>28554</v>
      </c>
      <c r="B16828" s="110" t="s">
        <v>276</v>
      </c>
      <c r="C16828" s="111" t="s">
        <v>28555</v>
      </c>
      <c r="D16828" s="111" t="str">
        <f t="shared" ref="D16828:E16828" si="16826">TRIM(B16828)</f>
        <v>Washington</v>
      </c>
      <c r="E16828" s="111" t="str">
        <f t="shared" si="16826"/>
        <v>Mabton</v>
      </c>
    </row>
    <row r="16829" spans="1:5">
      <c r="A16829" s="3" t="s">
        <v>28556</v>
      </c>
      <c r="B16829" s="110" t="s">
        <v>276</v>
      </c>
      <c r="C16829" s="111" t="s">
        <v>14946</v>
      </c>
      <c r="D16829" s="111" t="str">
        <f t="shared" ref="D16829:E16829" si="16827">TRIM(B16829)</f>
        <v>Washington</v>
      </c>
      <c r="E16829" s="111" t="str">
        <f t="shared" si="16827"/>
        <v>Manson</v>
      </c>
    </row>
    <row r="16830" spans="1:5">
      <c r="A16830" s="3" t="s">
        <v>28557</v>
      </c>
      <c r="B16830" s="110" t="s">
        <v>276</v>
      </c>
      <c r="C16830" s="111" t="s">
        <v>28558</v>
      </c>
      <c r="D16830" s="111" t="str">
        <f t="shared" ref="D16830:E16830" si="16828">TRIM(B16830)</f>
        <v>Washington</v>
      </c>
      <c r="E16830" s="111" t="str">
        <f t="shared" si="16828"/>
        <v>Maple Valley</v>
      </c>
    </row>
    <row r="16831" spans="1:5">
      <c r="A16831" s="110" t="s">
        <v>13664</v>
      </c>
      <c r="B16831" s="110" t="s">
        <v>276</v>
      </c>
      <c r="C16831" s="111" t="s">
        <v>305</v>
      </c>
      <c r="D16831" s="111" t="str">
        <f t="shared" ref="D16831:E16831" si="16829">TRIM(B16831)</f>
        <v>Washington</v>
      </c>
      <c r="E16831" s="111" t="str">
        <f t="shared" si="16829"/>
        <v>Marysville</v>
      </c>
    </row>
    <row r="16832" spans="1:5">
      <c r="A16832" s="3" t="s">
        <v>28559</v>
      </c>
      <c r="B16832" s="110" t="s">
        <v>276</v>
      </c>
      <c r="C16832" s="111" t="s">
        <v>305</v>
      </c>
      <c r="D16832" s="111" t="str">
        <f t="shared" ref="D16832:E16832" si="16830">TRIM(B16832)</f>
        <v>Washington</v>
      </c>
      <c r="E16832" s="111" t="str">
        <f t="shared" si="16830"/>
        <v>Marysville</v>
      </c>
    </row>
    <row r="16833" spans="1:5">
      <c r="A16833" s="3" t="s">
        <v>28560</v>
      </c>
      <c r="B16833" s="110" t="s">
        <v>276</v>
      </c>
      <c r="C16833" s="111" t="s">
        <v>305</v>
      </c>
      <c r="D16833" s="111" t="str">
        <f t="shared" ref="D16833:E16833" si="16831">TRIM(B16833)</f>
        <v>Washington</v>
      </c>
      <c r="E16833" s="111" t="str">
        <f t="shared" si="16831"/>
        <v>Marysville</v>
      </c>
    </row>
    <row r="16834" spans="1:5">
      <c r="A16834" s="3" t="s">
        <v>28561</v>
      </c>
      <c r="B16834" s="110" t="s">
        <v>276</v>
      </c>
      <c r="C16834" s="111" t="s">
        <v>305</v>
      </c>
      <c r="D16834" s="111" t="str">
        <f t="shared" ref="D16834:E16834" si="16832">TRIM(B16834)</f>
        <v>Washington</v>
      </c>
      <c r="E16834" s="111" t="str">
        <f t="shared" si="16832"/>
        <v>Marysville</v>
      </c>
    </row>
    <row r="16835" spans="1:5">
      <c r="A16835" s="3" t="s">
        <v>28562</v>
      </c>
      <c r="B16835" s="110" t="s">
        <v>276</v>
      </c>
      <c r="C16835" s="111" t="s">
        <v>28563</v>
      </c>
      <c r="D16835" s="111" t="str">
        <f t="shared" ref="D16835:E16835" si="16833">TRIM(B16835)</f>
        <v>Washington</v>
      </c>
      <c r="E16835" s="111" t="str">
        <f t="shared" si="16833"/>
        <v>Mattawa</v>
      </c>
    </row>
    <row r="16836" spans="1:5">
      <c r="A16836" s="3" t="s">
        <v>28564</v>
      </c>
      <c r="B16836" s="110" t="s">
        <v>276</v>
      </c>
      <c r="C16836" s="111" t="s">
        <v>19641</v>
      </c>
      <c r="D16836" s="111" t="str">
        <f t="shared" ref="D16836:E16836" si="16834">TRIM(B16836)</f>
        <v>Washington</v>
      </c>
      <c r="E16836" s="111" t="str">
        <f t="shared" si="16834"/>
        <v>Mead</v>
      </c>
    </row>
    <row r="16837" spans="1:5">
      <c r="A16837" s="110" t="s">
        <v>28565</v>
      </c>
      <c r="B16837" s="110" t="s">
        <v>276</v>
      </c>
      <c r="C16837" s="111" t="s">
        <v>28566</v>
      </c>
      <c r="D16837" s="111" t="str">
        <f t="shared" ref="D16837:E16837" si="16835">TRIM(B16837)</f>
        <v>Washington</v>
      </c>
      <c r="E16837" s="111" t="str">
        <f t="shared" si="16835"/>
        <v>Medical Lake</v>
      </c>
    </row>
    <row r="16838" spans="1:5">
      <c r="A16838" s="3" t="s">
        <v>28567</v>
      </c>
      <c r="B16838" s="110" t="s">
        <v>276</v>
      </c>
      <c r="C16838" s="111" t="s">
        <v>28566</v>
      </c>
      <c r="D16838" s="111" t="str">
        <f t="shared" ref="D16838:E16838" si="16836">TRIM(B16838)</f>
        <v>Washington</v>
      </c>
      <c r="E16838" s="111" t="str">
        <f t="shared" si="16836"/>
        <v>Medical Lake</v>
      </c>
    </row>
    <row r="16839" spans="1:5">
      <c r="A16839" s="3" t="s">
        <v>28568</v>
      </c>
      <c r="B16839" s="110" t="s">
        <v>276</v>
      </c>
      <c r="C16839" s="111" t="s">
        <v>28569</v>
      </c>
      <c r="D16839" s="111" t="str">
        <f t="shared" ref="D16839:E16839" si="16837">TRIM(B16839)</f>
        <v>Washington</v>
      </c>
      <c r="E16839" s="111" t="str">
        <f t="shared" si="16837"/>
        <v>Menlo</v>
      </c>
    </row>
    <row r="16840" spans="1:5">
      <c r="A16840" s="3" t="s">
        <v>28570</v>
      </c>
      <c r="B16840" s="110" t="s">
        <v>276</v>
      </c>
      <c r="C16840" s="111" t="s">
        <v>28571</v>
      </c>
      <c r="D16840" s="111" t="str">
        <f t="shared" ref="D16840:E16840" si="16838">TRIM(B16840)</f>
        <v>Washington</v>
      </c>
      <c r="E16840" s="111" t="str">
        <f t="shared" si="16838"/>
        <v>Mercer Island</v>
      </c>
    </row>
    <row r="16841" spans="1:5">
      <c r="A16841" s="3" t="s">
        <v>28572</v>
      </c>
      <c r="B16841" s="110" t="s">
        <v>276</v>
      </c>
      <c r="C16841" s="111" t="s">
        <v>23928</v>
      </c>
      <c r="D16841" s="111" t="str">
        <f t="shared" ref="D16841:E16841" si="16839">TRIM(B16841)</f>
        <v>Washington</v>
      </c>
      <c r="E16841" s="111" t="str">
        <f t="shared" si="16839"/>
        <v>Mill Creek</v>
      </c>
    </row>
    <row r="16842" spans="1:5">
      <c r="A16842" s="3" t="s">
        <v>10298</v>
      </c>
      <c r="B16842" s="110" t="s">
        <v>276</v>
      </c>
      <c r="C16842" s="111" t="s">
        <v>380</v>
      </c>
      <c r="D16842" s="111" t="str">
        <f t="shared" ref="D16842:E16842" si="16840">TRIM(B16842)</f>
        <v>Washington</v>
      </c>
      <c r="E16842" s="111" t="str">
        <f t="shared" si="16840"/>
        <v>Monroe</v>
      </c>
    </row>
    <row r="16843" spans="1:5">
      <c r="A16843" s="3" t="s">
        <v>28573</v>
      </c>
      <c r="B16843" s="110" t="s">
        <v>276</v>
      </c>
      <c r="C16843" s="111" t="s">
        <v>28574</v>
      </c>
      <c r="D16843" s="111" t="str">
        <f t="shared" ref="D16843:E16843" si="16841">TRIM(B16843)</f>
        <v>Washington</v>
      </c>
      <c r="E16843" s="111" t="str">
        <f t="shared" si="16841"/>
        <v>Montesano</v>
      </c>
    </row>
    <row r="16844" spans="1:5">
      <c r="A16844" s="3" t="s">
        <v>28575</v>
      </c>
      <c r="B16844" s="110" t="s">
        <v>276</v>
      </c>
      <c r="C16844" s="111" t="s">
        <v>13378</v>
      </c>
      <c r="D16844" s="111" t="str">
        <f t="shared" ref="D16844:E16844" si="16842">TRIM(B16844)</f>
        <v>Washington</v>
      </c>
      <c r="E16844" s="111" t="str">
        <f t="shared" si="16842"/>
        <v>Morton</v>
      </c>
    </row>
    <row r="16845" spans="1:5">
      <c r="A16845" s="3" t="s">
        <v>28576</v>
      </c>
      <c r="B16845" s="110" t="s">
        <v>276</v>
      </c>
      <c r="C16845" s="111" t="s">
        <v>560</v>
      </c>
      <c r="D16845" s="111" t="str">
        <f t="shared" ref="D16845:E16845" si="16843">TRIM(B16845)</f>
        <v>Washington</v>
      </c>
      <c r="E16845" s="111" t="str">
        <f t="shared" si="16843"/>
        <v>Moses Lake</v>
      </c>
    </row>
    <row r="16846" spans="1:5">
      <c r="A16846" s="3" t="s">
        <v>28577</v>
      </c>
      <c r="B16846" s="110" t="s">
        <v>276</v>
      </c>
      <c r="C16846" s="111" t="s">
        <v>28578</v>
      </c>
      <c r="D16846" s="111" t="str">
        <f t="shared" ref="D16846:E16846" si="16844">TRIM(B16846)</f>
        <v>Washington</v>
      </c>
      <c r="E16846" s="111" t="str">
        <f t="shared" si="16844"/>
        <v>Mossyrock</v>
      </c>
    </row>
    <row r="16847" spans="1:5">
      <c r="A16847" s="3" t="s">
        <v>13395</v>
      </c>
      <c r="B16847" s="110" t="s">
        <v>276</v>
      </c>
      <c r="C16847" s="111" t="s">
        <v>6798</v>
      </c>
      <c r="D16847" s="111" t="str">
        <f t="shared" ref="D16847:E16847" si="16845">TRIM(B16847)</f>
        <v>Washington</v>
      </c>
      <c r="E16847" s="111" t="str">
        <f t="shared" si="16845"/>
        <v>Mount Vernon</v>
      </c>
    </row>
    <row r="16848" spans="1:5">
      <c r="A16848" s="110" t="s">
        <v>28579</v>
      </c>
      <c r="B16848" s="110" t="s">
        <v>276</v>
      </c>
      <c r="C16848" s="111" t="s">
        <v>6798</v>
      </c>
      <c r="D16848" s="111" t="str">
        <f t="shared" ref="D16848:E16848" si="16846">TRIM(B16848)</f>
        <v>Washington</v>
      </c>
      <c r="E16848" s="111" t="str">
        <f t="shared" si="16846"/>
        <v>Mount Vernon</v>
      </c>
    </row>
    <row r="16849" spans="1:5">
      <c r="A16849" s="3" t="s">
        <v>28580</v>
      </c>
      <c r="B16849" s="110" t="s">
        <v>276</v>
      </c>
      <c r="C16849" s="111" t="s">
        <v>28581</v>
      </c>
      <c r="D16849" s="111" t="str">
        <f t="shared" ref="D16849:E16849" si="16847">TRIM(B16849)</f>
        <v>Washington</v>
      </c>
      <c r="E16849" s="111" t="str">
        <f t="shared" si="16847"/>
        <v>Mtlk Terrace</v>
      </c>
    </row>
    <row r="16850" spans="1:5">
      <c r="A16850" s="3" t="s">
        <v>28582</v>
      </c>
      <c r="B16850" s="110" t="s">
        <v>276</v>
      </c>
      <c r="C16850" s="111" t="s">
        <v>28583</v>
      </c>
      <c r="D16850" s="111" t="str">
        <f t="shared" ref="D16850:E16850" si="16848">TRIM(B16850)</f>
        <v>Washington</v>
      </c>
      <c r="E16850" s="111" t="str">
        <f t="shared" si="16848"/>
        <v>Mukilteo</v>
      </c>
    </row>
    <row r="16851" spans="1:5">
      <c r="A16851" s="3" t="s">
        <v>5451</v>
      </c>
      <c r="B16851" s="110" t="s">
        <v>276</v>
      </c>
      <c r="C16851" s="111" t="s">
        <v>28584</v>
      </c>
      <c r="D16851" s="111" t="str">
        <f t="shared" ref="D16851:E16851" si="16849">TRIM(B16851)</f>
        <v>Washington</v>
      </c>
      <c r="E16851" s="111" t="str">
        <f t="shared" si="16849"/>
        <v>N Lakewood</v>
      </c>
    </row>
    <row r="16852" spans="1:5">
      <c r="A16852" s="3" t="s">
        <v>28585</v>
      </c>
      <c r="B16852" s="110" t="s">
        <v>276</v>
      </c>
      <c r="C16852" s="111" t="s">
        <v>28586</v>
      </c>
      <c r="D16852" s="111" t="str">
        <f t="shared" ref="D16852:E16852" si="16850">TRIM(B16852)</f>
        <v>Washington</v>
      </c>
      <c r="E16852" s="111" t="str">
        <f t="shared" si="16850"/>
        <v>Naches</v>
      </c>
    </row>
    <row r="16853" spans="1:5">
      <c r="A16853" s="3" t="s">
        <v>28587</v>
      </c>
      <c r="B16853" s="110" t="s">
        <v>276</v>
      </c>
      <c r="C16853" s="111" t="s">
        <v>28588</v>
      </c>
      <c r="D16853" s="111" t="str">
        <f t="shared" ref="D16853:E16853" si="16851">TRIM(B16853)</f>
        <v>Washington</v>
      </c>
      <c r="E16853" s="111" t="str">
        <f t="shared" si="16851"/>
        <v>Napavine</v>
      </c>
    </row>
    <row r="16854" spans="1:5">
      <c r="A16854" s="3" t="s">
        <v>28589</v>
      </c>
      <c r="B16854" s="110" t="s">
        <v>276</v>
      </c>
      <c r="C16854" s="111" t="s">
        <v>28590</v>
      </c>
      <c r="D16854" s="111" t="str">
        <f t="shared" ref="D16854:E16854" si="16852">TRIM(B16854)</f>
        <v>Washington</v>
      </c>
      <c r="E16854" s="111" t="str">
        <f t="shared" si="16852"/>
        <v>Naselle</v>
      </c>
    </row>
    <row r="16855" spans="1:5">
      <c r="A16855" s="110" t="s">
        <v>28591</v>
      </c>
      <c r="B16855" s="110" t="s">
        <v>276</v>
      </c>
      <c r="C16855" s="111" t="s">
        <v>28590</v>
      </c>
      <c r="D16855" s="111" t="str">
        <f t="shared" ref="D16855:E16855" si="16853">TRIM(B16855)</f>
        <v>Washington</v>
      </c>
      <c r="E16855" s="111" t="str">
        <f t="shared" si="16853"/>
        <v>Naselle</v>
      </c>
    </row>
    <row r="16856" spans="1:5">
      <c r="A16856" s="3" t="s">
        <v>28592</v>
      </c>
      <c r="B16856" s="110" t="s">
        <v>276</v>
      </c>
      <c r="C16856" s="111" t="s">
        <v>28593</v>
      </c>
      <c r="D16856" s="111" t="str">
        <f t="shared" ref="D16856:E16856" si="16854">TRIM(B16856)</f>
        <v>Washington</v>
      </c>
      <c r="E16856" s="111" t="str">
        <f t="shared" si="16854"/>
        <v>Neah Bay</v>
      </c>
    </row>
    <row r="16857" spans="1:5">
      <c r="A16857" s="3" t="s">
        <v>4077</v>
      </c>
      <c r="B16857" s="110" t="s">
        <v>276</v>
      </c>
      <c r="C16857" s="111" t="s">
        <v>4078</v>
      </c>
      <c r="D16857" s="111" t="str">
        <f t="shared" ref="D16857:E16857" si="16855">TRIM(B16857)</f>
        <v>Washington</v>
      </c>
      <c r="E16857" s="111" t="str">
        <f t="shared" si="16855"/>
        <v>Newport</v>
      </c>
    </row>
    <row r="16858" spans="1:5">
      <c r="A16858" s="3" t="s">
        <v>3886</v>
      </c>
      <c r="B16858" s="110" t="s">
        <v>276</v>
      </c>
      <c r="C16858" s="112" t="s">
        <v>28594</v>
      </c>
      <c r="D16858" s="111" t="str">
        <f t="shared" ref="D16858:E16858" si="16856">TRIM(B16858)</f>
        <v>Washington</v>
      </c>
      <c r="E16858" s="111" t="str">
        <f t="shared" si="16856"/>
        <v>Nine Mile Falls</v>
      </c>
    </row>
    <row r="16859" spans="1:5">
      <c r="A16859" s="3" t="s">
        <v>28595</v>
      </c>
      <c r="B16859" s="110" t="s">
        <v>276</v>
      </c>
      <c r="C16859" s="111" t="s">
        <v>2027</v>
      </c>
      <c r="D16859" s="111" t="str">
        <f t="shared" ref="D16859:E16859" si="16857">TRIM(B16859)</f>
        <v>Washington</v>
      </c>
      <c r="E16859" s="111" t="str">
        <f t="shared" si="16857"/>
        <v>Northport</v>
      </c>
    </row>
    <row r="16860" spans="1:5">
      <c r="A16860" s="3" t="s">
        <v>23331</v>
      </c>
      <c r="B16860" s="110" t="s">
        <v>276</v>
      </c>
      <c r="C16860" s="111" t="s">
        <v>23332</v>
      </c>
      <c r="D16860" s="111" t="str">
        <f t="shared" ref="D16860:E16860" si="16858">TRIM(B16860)</f>
        <v>Washington</v>
      </c>
      <c r="E16860" s="111" t="str">
        <f t="shared" si="16858"/>
        <v>Oak Harbor</v>
      </c>
    </row>
    <row r="16861" spans="1:5">
      <c r="A16861" s="3" t="s">
        <v>28596</v>
      </c>
      <c r="B16861" s="110" t="s">
        <v>276</v>
      </c>
      <c r="C16861" s="111" t="s">
        <v>28597</v>
      </c>
      <c r="D16861" s="111" t="str">
        <f t="shared" ref="D16861:E16861" si="16859">TRIM(B16861)</f>
        <v>Washington</v>
      </c>
      <c r="E16861" s="111" t="str">
        <f t="shared" si="16859"/>
        <v>Oakesdale</v>
      </c>
    </row>
    <row r="16862" spans="1:5">
      <c r="A16862" s="3" t="s">
        <v>28598</v>
      </c>
      <c r="B16862" s="110" t="s">
        <v>276</v>
      </c>
      <c r="C16862" s="111" t="s">
        <v>28599</v>
      </c>
      <c r="D16862" s="111" t="str">
        <f t="shared" ref="D16862:E16862" si="16860">TRIM(B16862)</f>
        <v>Washington</v>
      </c>
      <c r="E16862" s="111" t="str">
        <f t="shared" si="16860"/>
        <v>Oakville</v>
      </c>
    </row>
    <row r="16863" spans="1:5">
      <c r="A16863" s="3" t="s">
        <v>28600</v>
      </c>
      <c r="B16863" s="110" t="s">
        <v>276</v>
      </c>
      <c r="C16863" s="111" t="s">
        <v>28601</v>
      </c>
      <c r="D16863" s="111" t="str">
        <f t="shared" ref="D16863:E16863" si="16861">TRIM(B16863)</f>
        <v>Washington</v>
      </c>
      <c r="E16863" s="111" t="str">
        <f t="shared" si="16861"/>
        <v>Ocean Shores</v>
      </c>
    </row>
    <row r="16864" spans="1:5">
      <c r="A16864" s="3" t="s">
        <v>18996</v>
      </c>
      <c r="B16864" s="110" t="s">
        <v>276</v>
      </c>
      <c r="C16864" s="111" t="s">
        <v>1073</v>
      </c>
      <c r="D16864" s="111" t="str">
        <f t="shared" ref="D16864:E16864" si="16862">TRIM(B16864)</f>
        <v>Washington</v>
      </c>
      <c r="E16864" s="111" t="str">
        <f t="shared" si="16862"/>
        <v>Odessa</v>
      </c>
    </row>
    <row r="16865" spans="1:5">
      <c r="A16865" s="3" t="s">
        <v>28602</v>
      </c>
      <c r="B16865" s="110" t="s">
        <v>276</v>
      </c>
      <c r="C16865" s="111" t="s">
        <v>28603</v>
      </c>
      <c r="D16865" s="111" t="str">
        <f t="shared" ref="D16865:E16865" si="16863">TRIM(B16865)</f>
        <v>Washington</v>
      </c>
      <c r="E16865" s="111" t="str">
        <f t="shared" si="16863"/>
        <v>Okanogan</v>
      </c>
    </row>
    <row r="16866" spans="1:5">
      <c r="A16866" s="3" t="s">
        <v>19346</v>
      </c>
      <c r="B16866" s="110" t="s">
        <v>276</v>
      </c>
      <c r="C16866" s="111" t="s">
        <v>3844</v>
      </c>
      <c r="D16866" s="111" t="str">
        <f t="shared" ref="D16866:E16866" si="16864">TRIM(B16866)</f>
        <v>Washington</v>
      </c>
      <c r="E16866" s="111" t="str">
        <f t="shared" si="16864"/>
        <v>Olympia</v>
      </c>
    </row>
    <row r="16867" spans="1:5">
      <c r="A16867" s="3" t="s">
        <v>9864</v>
      </c>
      <c r="B16867" s="110" t="s">
        <v>276</v>
      </c>
      <c r="C16867" s="111" t="s">
        <v>3844</v>
      </c>
      <c r="D16867" s="111" t="str">
        <f t="shared" ref="D16867:E16867" si="16865">TRIM(B16867)</f>
        <v>Washington</v>
      </c>
      <c r="E16867" s="111" t="str">
        <f t="shared" si="16865"/>
        <v>Olympia</v>
      </c>
    </row>
    <row r="16868" spans="1:5">
      <c r="A16868" s="3" t="s">
        <v>28604</v>
      </c>
      <c r="B16868" s="110" t="s">
        <v>276</v>
      </c>
      <c r="C16868" s="111" t="s">
        <v>3844</v>
      </c>
      <c r="D16868" s="111" t="str">
        <f t="shared" ref="D16868:E16868" si="16866">TRIM(B16868)</f>
        <v>Washington</v>
      </c>
      <c r="E16868" s="111" t="str">
        <f t="shared" si="16866"/>
        <v>Olympia</v>
      </c>
    </row>
    <row r="16869" spans="1:5">
      <c r="A16869" s="3" t="s">
        <v>28605</v>
      </c>
      <c r="B16869" s="110" t="s">
        <v>276</v>
      </c>
      <c r="C16869" s="111" t="s">
        <v>28606</v>
      </c>
      <c r="D16869" s="111" t="str">
        <f t="shared" ref="D16869:E16869" si="16867">TRIM(B16869)</f>
        <v>Washington</v>
      </c>
      <c r="E16869" s="111" t="str">
        <f t="shared" si="16867"/>
        <v>Omak</v>
      </c>
    </row>
    <row r="16870" spans="1:5">
      <c r="A16870" s="3" t="s">
        <v>28607</v>
      </c>
      <c r="B16870" s="110" t="s">
        <v>276</v>
      </c>
      <c r="C16870" s="111" t="s">
        <v>1269</v>
      </c>
      <c r="D16870" s="111" t="str">
        <f t="shared" ref="D16870:E16870" si="16868">TRIM(B16870)</f>
        <v>Washington</v>
      </c>
      <c r="E16870" s="111" t="str">
        <f t="shared" si="16868"/>
        <v>Onalaska</v>
      </c>
    </row>
    <row r="16871" spans="1:5">
      <c r="A16871" s="3" t="s">
        <v>28608</v>
      </c>
      <c r="B16871" s="110" t="s">
        <v>276</v>
      </c>
      <c r="C16871" s="111" t="s">
        <v>6251</v>
      </c>
      <c r="D16871" s="111" t="str">
        <f t="shared" ref="D16871:E16871" si="16869">TRIM(B16871)</f>
        <v>Washington</v>
      </c>
      <c r="E16871" s="111" t="str">
        <f t="shared" si="16869"/>
        <v>Oroville</v>
      </c>
    </row>
    <row r="16872" spans="1:5">
      <c r="A16872" s="3" t="s">
        <v>28609</v>
      </c>
      <c r="B16872" s="110" t="s">
        <v>276</v>
      </c>
      <c r="C16872" s="111" t="s">
        <v>28610</v>
      </c>
      <c r="D16872" s="111" t="str">
        <f t="shared" ref="D16872:E16872" si="16870">TRIM(B16872)</f>
        <v>Washington</v>
      </c>
      <c r="E16872" s="111" t="str">
        <f t="shared" si="16870"/>
        <v>Orting</v>
      </c>
    </row>
    <row r="16873" spans="1:5">
      <c r="A16873" s="3" t="s">
        <v>28611</v>
      </c>
      <c r="B16873" s="110" t="s">
        <v>276</v>
      </c>
      <c r="C16873" s="111" t="s">
        <v>28612</v>
      </c>
      <c r="D16873" s="111" t="str">
        <f t="shared" ref="D16873:E16873" si="16871">TRIM(B16873)</f>
        <v>Washington</v>
      </c>
      <c r="E16873" s="111" t="str">
        <f t="shared" si="16871"/>
        <v>Othello</v>
      </c>
    </row>
    <row r="16874" spans="1:5">
      <c r="A16874" s="3" t="s">
        <v>28613</v>
      </c>
      <c r="B16874" s="110" t="s">
        <v>276</v>
      </c>
      <c r="C16874" s="111" t="s">
        <v>28614</v>
      </c>
      <c r="D16874" s="111" t="str">
        <f t="shared" ref="D16874:E16874" si="16872">TRIM(B16874)</f>
        <v>Washington</v>
      </c>
      <c r="E16874" s="111" t="str">
        <f t="shared" si="16872"/>
        <v>Palouse</v>
      </c>
    </row>
    <row r="16875" spans="1:5">
      <c r="A16875" s="3" t="s">
        <v>28615</v>
      </c>
      <c r="B16875" s="110" t="s">
        <v>276</v>
      </c>
      <c r="C16875" s="111" t="s">
        <v>28614</v>
      </c>
      <c r="D16875" s="111" t="str">
        <f t="shared" ref="D16875:E16875" si="16873">TRIM(B16875)</f>
        <v>Washington</v>
      </c>
      <c r="E16875" s="111" t="str">
        <f t="shared" si="16873"/>
        <v>Palouse</v>
      </c>
    </row>
    <row r="16876" spans="1:5">
      <c r="A16876" s="3" t="s">
        <v>28616</v>
      </c>
      <c r="B16876" s="110" t="s">
        <v>276</v>
      </c>
      <c r="C16876" s="111" t="s">
        <v>14216</v>
      </c>
      <c r="D16876" s="111" t="str">
        <f t="shared" ref="D16876:E16876" si="16874">TRIM(B16876)</f>
        <v>Washington</v>
      </c>
      <c r="E16876" s="111" t="str">
        <f t="shared" si="16874"/>
        <v>Pasco</v>
      </c>
    </row>
    <row r="16877" spans="1:5">
      <c r="A16877" s="3" t="s">
        <v>28617</v>
      </c>
      <c r="B16877" s="110" t="s">
        <v>276</v>
      </c>
      <c r="C16877" s="111" t="s">
        <v>14216</v>
      </c>
      <c r="D16877" s="111" t="str">
        <f t="shared" ref="D16877:E16877" si="16875">TRIM(B16877)</f>
        <v>Washington</v>
      </c>
      <c r="E16877" s="111" t="str">
        <f t="shared" si="16875"/>
        <v>Pasco</v>
      </c>
    </row>
    <row r="16878" spans="1:5">
      <c r="A16878" s="3" t="s">
        <v>28618</v>
      </c>
      <c r="B16878" s="110" t="s">
        <v>276</v>
      </c>
      <c r="C16878" s="111" t="s">
        <v>28619</v>
      </c>
      <c r="D16878" s="111" t="str">
        <f t="shared" ref="D16878:E16878" si="16876">TRIM(B16878)</f>
        <v>Washington</v>
      </c>
      <c r="E16878" s="111" t="str">
        <f t="shared" si="16876"/>
        <v>Pateros</v>
      </c>
    </row>
    <row r="16879" spans="1:5">
      <c r="A16879" s="3" t="s">
        <v>28620</v>
      </c>
      <c r="B16879" s="110" t="s">
        <v>276</v>
      </c>
      <c r="C16879" s="111" t="s">
        <v>23381</v>
      </c>
      <c r="D16879" s="111" t="str">
        <f t="shared" ref="D16879:E16879" si="16877">TRIM(B16879)</f>
        <v>Washington</v>
      </c>
      <c r="E16879" s="111" t="str">
        <f t="shared" si="16877"/>
        <v>Pomeroy</v>
      </c>
    </row>
    <row r="16880" spans="1:5">
      <c r="A16880" s="3" t="s">
        <v>28621</v>
      </c>
      <c r="B16880" s="110" t="s">
        <v>276</v>
      </c>
      <c r="C16880" s="111" t="s">
        <v>28622</v>
      </c>
      <c r="D16880" s="111" t="str">
        <f t="shared" ref="D16880:E16880" si="16878">TRIM(B16880)</f>
        <v>Washington</v>
      </c>
      <c r="E16880" s="111" t="str">
        <f t="shared" si="16878"/>
        <v>Port Angeles</v>
      </c>
    </row>
    <row r="16881" spans="1:5">
      <c r="A16881" s="110" t="s">
        <v>28623</v>
      </c>
      <c r="B16881" s="110" t="s">
        <v>276</v>
      </c>
      <c r="C16881" s="111" t="s">
        <v>28624</v>
      </c>
      <c r="D16881" s="111" t="str">
        <f t="shared" ref="D16881:E16881" si="16879">TRIM(B16881)</f>
        <v>Washington</v>
      </c>
      <c r="E16881" s="111" t="str">
        <f t="shared" si="16879"/>
        <v>Port Orchard</v>
      </c>
    </row>
    <row r="16882" spans="1:5">
      <c r="A16882" s="3" t="s">
        <v>28625</v>
      </c>
      <c r="B16882" s="110" t="s">
        <v>276</v>
      </c>
      <c r="C16882" s="111" t="s">
        <v>28624</v>
      </c>
      <c r="D16882" s="111" t="str">
        <f t="shared" ref="D16882:E16882" si="16880">TRIM(B16882)</f>
        <v>Washington</v>
      </c>
      <c r="E16882" s="111" t="str">
        <f t="shared" si="16880"/>
        <v>Port Orchard</v>
      </c>
    </row>
    <row r="16883" spans="1:5">
      <c r="A16883" s="3" t="s">
        <v>28626</v>
      </c>
      <c r="B16883" s="110" t="s">
        <v>276</v>
      </c>
      <c r="C16883" s="111" t="s">
        <v>28627</v>
      </c>
      <c r="D16883" s="111" t="str">
        <f t="shared" ref="D16883:E16883" si="16881">TRIM(B16883)</f>
        <v>Washington</v>
      </c>
      <c r="E16883" s="111" t="str">
        <f t="shared" si="16881"/>
        <v>Port Townsend</v>
      </c>
    </row>
    <row r="16884" spans="1:5">
      <c r="A16884" s="3" t="s">
        <v>28628</v>
      </c>
      <c r="B16884" s="110" t="s">
        <v>276</v>
      </c>
      <c r="C16884" s="111" t="s">
        <v>28629</v>
      </c>
      <c r="D16884" s="111" t="str">
        <f t="shared" ref="D16884:E16884" si="16882">TRIM(B16884)</f>
        <v>Washington</v>
      </c>
      <c r="E16884" s="111" t="str">
        <f t="shared" si="16882"/>
        <v>Poulsbo</v>
      </c>
    </row>
    <row r="16885" spans="1:5">
      <c r="A16885" s="3" t="s">
        <v>28630</v>
      </c>
      <c r="B16885" s="110" t="s">
        <v>276</v>
      </c>
      <c r="C16885" s="111" t="s">
        <v>382</v>
      </c>
      <c r="D16885" s="111" t="str">
        <f t="shared" ref="D16885:E16885" si="16883">TRIM(B16885)</f>
        <v>Washington</v>
      </c>
      <c r="E16885" s="111" t="str">
        <f t="shared" si="16883"/>
        <v>Prescott</v>
      </c>
    </row>
    <row r="16886" spans="1:5">
      <c r="A16886" s="3" t="s">
        <v>28631</v>
      </c>
      <c r="B16886" s="110" t="s">
        <v>276</v>
      </c>
      <c r="C16886" s="111" t="s">
        <v>14187</v>
      </c>
      <c r="D16886" s="111" t="str">
        <f t="shared" ref="D16886:E16886" si="16884">TRIM(B16886)</f>
        <v>Washington</v>
      </c>
      <c r="E16886" s="111" t="str">
        <f t="shared" si="16884"/>
        <v>Prosser</v>
      </c>
    </row>
    <row r="16887" spans="1:5">
      <c r="A16887" s="3" t="s">
        <v>28632</v>
      </c>
      <c r="B16887" s="110" t="s">
        <v>276</v>
      </c>
      <c r="C16887" s="111" t="s">
        <v>28633</v>
      </c>
      <c r="D16887" s="111" t="str">
        <f t="shared" ref="D16887:E16887" si="16885">TRIM(B16887)</f>
        <v>Washington</v>
      </c>
      <c r="E16887" s="111" t="str">
        <f t="shared" si="16885"/>
        <v>Pullman</v>
      </c>
    </row>
    <row r="16888" spans="1:5">
      <c r="A16888" s="3" t="s">
        <v>28634</v>
      </c>
      <c r="B16888" s="110" t="s">
        <v>276</v>
      </c>
      <c r="C16888" s="111" t="s">
        <v>401</v>
      </c>
      <c r="D16888" s="111" t="str">
        <f t="shared" ref="D16888:E16888" si="16886">TRIM(B16888)</f>
        <v>Washington</v>
      </c>
      <c r="E16888" s="111" t="str">
        <f t="shared" si="16886"/>
        <v>Puyallup</v>
      </c>
    </row>
    <row r="16889" spans="1:5">
      <c r="A16889" s="3" t="s">
        <v>28635</v>
      </c>
      <c r="B16889" s="110" t="s">
        <v>276</v>
      </c>
      <c r="C16889" s="111" t="s">
        <v>401</v>
      </c>
      <c r="D16889" s="111" t="str">
        <f t="shared" ref="D16889:E16889" si="16887">TRIM(B16889)</f>
        <v>Washington</v>
      </c>
      <c r="E16889" s="111" t="str">
        <f t="shared" si="16887"/>
        <v>Puyallup</v>
      </c>
    </row>
    <row r="16890" spans="1:5">
      <c r="A16890" s="3" t="s">
        <v>4168</v>
      </c>
      <c r="B16890" s="110" t="s">
        <v>276</v>
      </c>
      <c r="C16890" s="111" t="s">
        <v>401</v>
      </c>
      <c r="D16890" s="111" t="str">
        <f t="shared" ref="D16890:E16890" si="16888">TRIM(B16890)</f>
        <v>Washington</v>
      </c>
      <c r="E16890" s="111" t="str">
        <f t="shared" si="16888"/>
        <v>Puyallup</v>
      </c>
    </row>
    <row r="16891" spans="1:5">
      <c r="A16891" s="3" t="s">
        <v>16804</v>
      </c>
      <c r="B16891" s="110" t="s">
        <v>276</v>
      </c>
      <c r="C16891" s="111" t="s">
        <v>6455</v>
      </c>
      <c r="D16891" s="111" t="str">
        <f t="shared" ref="D16891:E16891" si="16889">TRIM(B16891)</f>
        <v>Washington</v>
      </c>
      <c r="E16891" s="111" t="str">
        <f t="shared" si="16889"/>
        <v>Quincy</v>
      </c>
    </row>
    <row r="16892" spans="1:5">
      <c r="A16892" s="3" t="s">
        <v>28636</v>
      </c>
      <c r="B16892" s="110" t="s">
        <v>276</v>
      </c>
      <c r="C16892" s="111" t="s">
        <v>24378</v>
      </c>
      <c r="D16892" s="111" t="str">
        <f t="shared" ref="D16892:E16892" si="16890">TRIM(B16892)</f>
        <v>Washington</v>
      </c>
      <c r="E16892" s="111" t="str">
        <f t="shared" si="16890"/>
        <v>Rainier</v>
      </c>
    </row>
    <row r="16893" spans="1:5">
      <c r="A16893" s="3" t="s">
        <v>28637</v>
      </c>
      <c r="B16893" s="110" t="s">
        <v>276</v>
      </c>
      <c r="C16893" s="111" t="s">
        <v>28638</v>
      </c>
      <c r="D16893" s="111" t="str">
        <f t="shared" ref="D16893:E16893" si="16891">TRIM(B16893)</f>
        <v>Washington</v>
      </c>
      <c r="E16893" s="111" t="str">
        <f t="shared" si="16891"/>
        <v>Randle</v>
      </c>
    </row>
    <row r="16894" spans="1:5">
      <c r="A16894" s="3" t="s">
        <v>28639</v>
      </c>
      <c r="B16894" s="110" t="s">
        <v>276</v>
      </c>
      <c r="C16894" s="111" t="s">
        <v>3897</v>
      </c>
      <c r="D16894" s="111" t="str">
        <f t="shared" ref="D16894:E16894" si="16892">TRIM(B16894)</f>
        <v>Washington</v>
      </c>
      <c r="E16894" s="111" t="str">
        <f t="shared" si="16892"/>
        <v>Raymond</v>
      </c>
    </row>
    <row r="16895" spans="1:5">
      <c r="A16895" s="3" t="s">
        <v>28640</v>
      </c>
      <c r="B16895" s="110" t="s">
        <v>276</v>
      </c>
      <c r="C16895" s="111" t="s">
        <v>28641</v>
      </c>
      <c r="D16895" s="111" t="str">
        <f t="shared" ref="D16895:E16895" si="16893">TRIM(B16895)</f>
        <v>Washington</v>
      </c>
      <c r="E16895" s="111" t="str">
        <f t="shared" si="16893"/>
        <v>Reardan</v>
      </c>
    </row>
    <row r="16896" spans="1:5">
      <c r="A16896" s="3" t="s">
        <v>24380</v>
      </c>
      <c r="B16896" s="110" t="s">
        <v>276</v>
      </c>
      <c r="C16896" s="111" t="s">
        <v>14197</v>
      </c>
      <c r="D16896" s="111" t="str">
        <f t="shared" ref="D16896:E16896" si="16894">TRIM(B16896)</f>
        <v>Washington</v>
      </c>
      <c r="E16896" s="111" t="str">
        <f t="shared" si="16894"/>
        <v>Redmond</v>
      </c>
    </row>
    <row r="16897" spans="1:5">
      <c r="A16897" s="3" t="s">
        <v>28642</v>
      </c>
      <c r="B16897" s="110" t="s">
        <v>276</v>
      </c>
      <c r="C16897" s="111" t="s">
        <v>349</v>
      </c>
      <c r="D16897" s="111" t="str">
        <f t="shared" ref="D16897:E16897" si="16895">TRIM(B16897)</f>
        <v>Washington</v>
      </c>
      <c r="E16897" s="111" t="str">
        <f t="shared" si="16895"/>
        <v>Renton</v>
      </c>
    </row>
    <row r="16898" spans="1:5">
      <c r="A16898" s="3" t="s">
        <v>28643</v>
      </c>
      <c r="B16898" s="110" t="s">
        <v>276</v>
      </c>
      <c r="C16898" s="111" t="s">
        <v>349</v>
      </c>
      <c r="D16898" s="111" t="str">
        <f t="shared" ref="D16898:E16898" si="16896">TRIM(B16898)</f>
        <v>Washington</v>
      </c>
      <c r="E16898" s="111" t="str">
        <f t="shared" si="16896"/>
        <v>Renton</v>
      </c>
    </row>
    <row r="16899" spans="1:5">
      <c r="A16899" s="3" t="s">
        <v>28644</v>
      </c>
      <c r="B16899" s="110" t="s">
        <v>276</v>
      </c>
      <c r="C16899" s="111" t="s">
        <v>349</v>
      </c>
      <c r="D16899" s="111" t="str">
        <f t="shared" ref="D16899:E16899" si="16897">TRIM(B16899)</f>
        <v>Washington</v>
      </c>
      <c r="E16899" s="111" t="str">
        <f t="shared" si="16897"/>
        <v>Renton</v>
      </c>
    </row>
    <row r="16900" spans="1:5">
      <c r="A16900" s="3" t="s">
        <v>28645</v>
      </c>
      <c r="B16900" s="110" t="s">
        <v>276</v>
      </c>
      <c r="C16900" s="111" t="s">
        <v>349</v>
      </c>
      <c r="D16900" s="111" t="str">
        <f t="shared" ref="D16900:E16900" si="16898">TRIM(B16900)</f>
        <v>Washington</v>
      </c>
      <c r="E16900" s="111" t="str">
        <f t="shared" si="16898"/>
        <v>Renton</v>
      </c>
    </row>
    <row r="16901" spans="1:5">
      <c r="A16901" s="3" t="s">
        <v>28646</v>
      </c>
      <c r="B16901" s="110" t="s">
        <v>276</v>
      </c>
      <c r="C16901" s="111" t="s">
        <v>7512</v>
      </c>
      <c r="D16901" s="111" t="str">
        <f t="shared" ref="D16901:E16901" si="16899">TRIM(B16901)</f>
        <v>Washington</v>
      </c>
      <c r="E16901" s="111" t="str">
        <f t="shared" si="16899"/>
        <v>Republic</v>
      </c>
    </row>
    <row r="16902" spans="1:5">
      <c r="A16902" s="3" t="s">
        <v>5214</v>
      </c>
      <c r="B16902" s="110" t="s">
        <v>276</v>
      </c>
      <c r="C16902" s="111" t="s">
        <v>12139</v>
      </c>
      <c r="D16902" s="111" t="str">
        <f t="shared" ref="D16902:E16902" si="16900">TRIM(B16902)</f>
        <v>Washington</v>
      </c>
      <c r="E16902" s="111" t="str">
        <f t="shared" si="16900"/>
        <v>Richland</v>
      </c>
    </row>
    <row r="16903" spans="1:5">
      <c r="A16903" s="3" t="s">
        <v>18544</v>
      </c>
      <c r="B16903" s="110" t="s">
        <v>276</v>
      </c>
      <c r="C16903" s="111" t="s">
        <v>12139</v>
      </c>
      <c r="D16903" s="111" t="str">
        <f t="shared" ref="D16903:E16903" si="16901">TRIM(B16903)</f>
        <v>Washington</v>
      </c>
      <c r="E16903" s="111" t="str">
        <f t="shared" si="16901"/>
        <v>Richland</v>
      </c>
    </row>
    <row r="16904" spans="1:5">
      <c r="A16904" s="110" t="s">
        <v>28647</v>
      </c>
      <c r="B16904" s="110" t="s">
        <v>276</v>
      </c>
      <c r="C16904" s="111" t="s">
        <v>12139</v>
      </c>
      <c r="D16904" s="111" t="str">
        <f t="shared" ref="D16904:E16904" si="16902">TRIM(B16904)</f>
        <v>Washington</v>
      </c>
      <c r="E16904" s="111" t="str">
        <f t="shared" si="16902"/>
        <v>Richland</v>
      </c>
    </row>
    <row r="16905" spans="1:5">
      <c r="A16905" s="3" t="s">
        <v>8650</v>
      </c>
      <c r="B16905" s="110" t="s">
        <v>276</v>
      </c>
      <c r="C16905" s="111" t="s">
        <v>8651</v>
      </c>
      <c r="D16905" s="111" t="str">
        <f t="shared" ref="D16905:E16905" si="16903">TRIM(B16905)</f>
        <v>Washington</v>
      </c>
      <c r="E16905" s="111" t="str">
        <f t="shared" si="16903"/>
        <v>Ridgefield</v>
      </c>
    </row>
    <row r="16906" spans="1:5">
      <c r="A16906" s="3" t="s">
        <v>28648</v>
      </c>
      <c r="B16906" s="110" t="s">
        <v>276</v>
      </c>
      <c r="C16906" s="111" t="s">
        <v>28649</v>
      </c>
      <c r="D16906" s="111" t="str">
        <f t="shared" ref="D16906:E16906" si="16904">TRIM(B16906)</f>
        <v>Washington</v>
      </c>
      <c r="E16906" s="111" t="str">
        <f t="shared" si="16904"/>
        <v>Ritzville</v>
      </c>
    </row>
    <row r="16907" spans="1:5">
      <c r="A16907" s="3" t="s">
        <v>28650</v>
      </c>
      <c r="B16907" s="110" t="s">
        <v>276</v>
      </c>
      <c r="C16907" s="111" t="s">
        <v>28649</v>
      </c>
      <c r="D16907" s="111" t="str">
        <f t="shared" ref="D16907:E16907" si="16905">TRIM(B16907)</f>
        <v>Washington</v>
      </c>
      <c r="E16907" s="111" t="str">
        <f t="shared" si="16905"/>
        <v>Ritzville</v>
      </c>
    </row>
    <row r="16908" spans="1:5">
      <c r="A16908" s="3" t="s">
        <v>13707</v>
      </c>
      <c r="B16908" s="110" t="s">
        <v>276</v>
      </c>
      <c r="C16908" s="111" t="s">
        <v>11566</v>
      </c>
      <c r="D16908" s="111" t="str">
        <f t="shared" ref="D16908:E16908" si="16906">TRIM(B16908)</f>
        <v>Washington</v>
      </c>
      <c r="E16908" s="111" t="str">
        <f t="shared" si="16906"/>
        <v>Rochester</v>
      </c>
    </row>
    <row r="16909" spans="1:5">
      <c r="A16909" s="3" t="s">
        <v>19475</v>
      </c>
      <c r="B16909" s="110" t="s">
        <v>276</v>
      </c>
      <c r="C16909" s="111" t="s">
        <v>2134</v>
      </c>
      <c r="D16909" s="111" t="str">
        <f t="shared" ref="D16909:E16909" si="16907">TRIM(B16909)</f>
        <v>Washington</v>
      </c>
      <c r="E16909" s="111" t="str">
        <f t="shared" si="16907"/>
        <v>Rockford</v>
      </c>
    </row>
    <row r="16910" spans="1:5">
      <c r="A16910" s="3" t="s">
        <v>7134</v>
      </c>
      <c r="B16910" s="110" t="s">
        <v>276</v>
      </c>
      <c r="C16910" s="111" t="s">
        <v>28651</v>
      </c>
      <c r="D16910" s="111" t="str">
        <f t="shared" ref="D16910:E16910" si="16908">TRIM(B16910)</f>
        <v>Washington</v>
      </c>
      <c r="E16910" s="111" t="str">
        <f t="shared" si="16908"/>
        <v>Royal City</v>
      </c>
    </row>
    <row r="16911" spans="1:5">
      <c r="A16911" s="3" t="s">
        <v>28652</v>
      </c>
      <c r="B16911" s="110" t="s">
        <v>276</v>
      </c>
      <c r="C16911" s="111" t="s">
        <v>14586</v>
      </c>
      <c r="D16911" s="111" t="str">
        <f t="shared" ref="D16911:E16911" si="16909">TRIM(B16911)</f>
        <v>Washington</v>
      </c>
      <c r="E16911" s="111" t="str">
        <f t="shared" si="16909"/>
        <v>Saint John</v>
      </c>
    </row>
    <row r="16912" spans="1:5">
      <c r="A16912" s="3" t="s">
        <v>4667</v>
      </c>
      <c r="B16912" s="110" t="s">
        <v>276</v>
      </c>
      <c r="C16912" s="111" t="s">
        <v>751</v>
      </c>
      <c r="D16912" s="111" t="str">
        <f t="shared" ref="D16912:E16912" si="16910">TRIM(B16912)</f>
        <v>Washington</v>
      </c>
      <c r="E16912" s="111" t="str">
        <f t="shared" si="16910"/>
        <v>Sammamish</v>
      </c>
    </row>
    <row r="16913" spans="1:5">
      <c r="A16913" s="3" t="s">
        <v>2853</v>
      </c>
      <c r="B16913" s="110" t="s">
        <v>276</v>
      </c>
      <c r="C16913" s="111" t="s">
        <v>751</v>
      </c>
      <c r="D16913" s="111" t="str">
        <f t="shared" ref="D16913:E16913" si="16911">TRIM(B16913)</f>
        <v>Washington</v>
      </c>
      <c r="E16913" s="111" t="str">
        <f t="shared" si="16911"/>
        <v>Sammamish</v>
      </c>
    </row>
    <row r="16914" spans="1:5">
      <c r="A16914" s="3" t="s">
        <v>28653</v>
      </c>
      <c r="B16914" s="110" t="s">
        <v>276</v>
      </c>
      <c r="C16914" s="111" t="s">
        <v>28654</v>
      </c>
      <c r="D16914" s="111" t="str">
        <f t="shared" ref="D16914:E16914" si="16912">TRIM(B16914)</f>
        <v>Washington</v>
      </c>
      <c r="E16914" s="111" t="str">
        <f t="shared" si="16912"/>
        <v>Seatac</v>
      </c>
    </row>
    <row r="16915" spans="1:5">
      <c r="A16915" s="3" t="s">
        <v>14879</v>
      </c>
      <c r="B16915" s="110" t="s">
        <v>276</v>
      </c>
      <c r="C16915" s="111" t="s">
        <v>926</v>
      </c>
      <c r="D16915" s="111" t="str">
        <f t="shared" ref="D16915:E16915" si="16913">TRIM(B16915)</f>
        <v>Washington</v>
      </c>
      <c r="E16915" s="111" t="str">
        <f t="shared" si="16913"/>
        <v>Seattle</v>
      </c>
    </row>
    <row r="16916" spans="1:5">
      <c r="A16916" s="3" t="s">
        <v>28655</v>
      </c>
      <c r="B16916" s="110" t="s">
        <v>276</v>
      </c>
      <c r="C16916" s="111" t="s">
        <v>926</v>
      </c>
      <c r="D16916" s="111" t="str">
        <f t="shared" ref="D16916:E16916" si="16914">TRIM(B16916)</f>
        <v>Washington</v>
      </c>
      <c r="E16916" s="111" t="str">
        <f t="shared" si="16914"/>
        <v>Seattle</v>
      </c>
    </row>
    <row r="16917" spans="1:5">
      <c r="A16917" s="3" t="s">
        <v>28656</v>
      </c>
      <c r="B16917" s="110" t="s">
        <v>276</v>
      </c>
      <c r="C16917" s="111" t="s">
        <v>926</v>
      </c>
      <c r="D16917" s="111" t="str">
        <f t="shared" ref="D16917:E16917" si="16915">TRIM(B16917)</f>
        <v>Washington</v>
      </c>
      <c r="E16917" s="111" t="str">
        <f t="shared" si="16915"/>
        <v>Seattle</v>
      </c>
    </row>
    <row r="16918" spans="1:5">
      <c r="A16918" s="3" t="s">
        <v>7892</v>
      </c>
      <c r="B16918" s="110" t="s">
        <v>276</v>
      </c>
      <c r="C16918" s="111" t="s">
        <v>926</v>
      </c>
      <c r="D16918" s="111" t="str">
        <f t="shared" ref="D16918:E16918" si="16916">TRIM(B16918)</f>
        <v>Washington</v>
      </c>
      <c r="E16918" s="111" t="str">
        <f t="shared" si="16916"/>
        <v>Seattle</v>
      </c>
    </row>
    <row r="16919" spans="1:5">
      <c r="A16919" s="3" t="s">
        <v>4937</v>
      </c>
      <c r="B16919" s="110" t="s">
        <v>276</v>
      </c>
      <c r="C16919" s="111" t="s">
        <v>926</v>
      </c>
      <c r="D16919" s="111" t="str">
        <f t="shared" ref="D16919:E16919" si="16917">TRIM(B16919)</f>
        <v>Washington</v>
      </c>
      <c r="E16919" s="111" t="str">
        <f t="shared" si="16917"/>
        <v>Seattle</v>
      </c>
    </row>
    <row r="16920" spans="1:5">
      <c r="A16920" s="3" t="s">
        <v>20158</v>
      </c>
      <c r="B16920" s="110" t="s">
        <v>276</v>
      </c>
      <c r="C16920" s="111" t="s">
        <v>926</v>
      </c>
      <c r="D16920" s="111" t="str">
        <f t="shared" ref="D16920:E16920" si="16918">TRIM(B16920)</f>
        <v>Washington</v>
      </c>
      <c r="E16920" s="111" t="str">
        <f t="shared" si="16918"/>
        <v>Seattle</v>
      </c>
    </row>
    <row r="16921" spans="1:5">
      <c r="A16921" s="3" t="s">
        <v>28657</v>
      </c>
      <c r="B16921" s="110" t="s">
        <v>276</v>
      </c>
      <c r="C16921" s="111" t="s">
        <v>926</v>
      </c>
      <c r="D16921" s="111" t="str">
        <f t="shared" ref="D16921:E16921" si="16919">TRIM(B16921)</f>
        <v>Washington</v>
      </c>
      <c r="E16921" s="111" t="str">
        <f t="shared" si="16919"/>
        <v>Seattle</v>
      </c>
    </row>
    <row r="16922" spans="1:5">
      <c r="A16922" s="110" t="s">
        <v>28658</v>
      </c>
      <c r="B16922" s="110" t="s">
        <v>276</v>
      </c>
      <c r="C16922" s="111" t="s">
        <v>926</v>
      </c>
      <c r="D16922" s="111" t="str">
        <f t="shared" ref="D16922:E16922" si="16920">TRIM(B16922)</f>
        <v>Washington</v>
      </c>
      <c r="E16922" s="111" t="str">
        <f t="shared" si="16920"/>
        <v>Seattle</v>
      </c>
    </row>
    <row r="16923" spans="1:5">
      <c r="A16923" s="3" t="s">
        <v>5761</v>
      </c>
      <c r="B16923" s="110" t="s">
        <v>276</v>
      </c>
      <c r="C16923" s="111" t="s">
        <v>926</v>
      </c>
      <c r="D16923" s="111" t="str">
        <f t="shared" ref="D16923:E16923" si="16921">TRIM(B16923)</f>
        <v>Washington</v>
      </c>
      <c r="E16923" s="111" t="str">
        <f t="shared" si="16921"/>
        <v>Seattle</v>
      </c>
    </row>
    <row r="16924" spans="1:5">
      <c r="A16924" s="3" t="s">
        <v>24133</v>
      </c>
      <c r="B16924" s="110" t="s">
        <v>276</v>
      </c>
      <c r="C16924" s="111" t="s">
        <v>926</v>
      </c>
      <c r="D16924" s="111" t="str">
        <f t="shared" ref="D16924:E16924" si="16922">TRIM(B16924)</f>
        <v>Washington</v>
      </c>
      <c r="E16924" s="111" t="str">
        <f t="shared" si="16922"/>
        <v>Seattle</v>
      </c>
    </row>
    <row r="16925" spans="1:5">
      <c r="A16925" s="3" t="s">
        <v>28659</v>
      </c>
      <c r="B16925" s="110" t="s">
        <v>276</v>
      </c>
      <c r="C16925" s="111" t="s">
        <v>926</v>
      </c>
      <c r="D16925" s="111" t="str">
        <f t="shared" ref="D16925:E16925" si="16923">TRIM(B16925)</f>
        <v>Washington</v>
      </c>
      <c r="E16925" s="111" t="str">
        <f t="shared" si="16923"/>
        <v>Seattle</v>
      </c>
    </row>
    <row r="16926" spans="1:5">
      <c r="A16926" s="3" t="s">
        <v>5101</v>
      </c>
      <c r="B16926" s="110" t="s">
        <v>276</v>
      </c>
      <c r="C16926" s="111" t="s">
        <v>926</v>
      </c>
      <c r="D16926" s="111" t="str">
        <f t="shared" ref="D16926:E16926" si="16924">TRIM(B16926)</f>
        <v>Washington</v>
      </c>
      <c r="E16926" s="111" t="str">
        <f t="shared" si="16924"/>
        <v>Seattle</v>
      </c>
    </row>
    <row r="16927" spans="1:5">
      <c r="A16927" s="110" t="s">
        <v>28660</v>
      </c>
      <c r="B16927" s="110" t="s">
        <v>276</v>
      </c>
      <c r="C16927" s="111" t="s">
        <v>926</v>
      </c>
      <c r="D16927" s="111" t="str">
        <f t="shared" ref="D16927:E16927" si="16925">TRIM(B16927)</f>
        <v>Washington</v>
      </c>
      <c r="E16927" s="111" t="str">
        <f t="shared" si="16925"/>
        <v>Seattle</v>
      </c>
    </row>
    <row r="16928" spans="1:5">
      <c r="A16928" s="110" t="s">
        <v>28661</v>
      </c>
      <c r="B16928" s="110" t="s">
        <v>276</v>
      </c>
      <c r="C16928" s="111" t="s">
        <v>926</v>
      </c>
      <c r="D16928" s="111" t="str">
        <f t="shared" ref="D16928:E16928" si="16926">TRIM(B16928)</f>
        <v>Washington</v>
      </c>
      <c r="E16928" s="111" t="str">
        <f t="shared" si="16926"/>
        <v>Seattle</v>
      </c>
    </row>
    <row r="16929" spans="1:5">
      <c r="A16929" s="110" t="s">
        <v>28662</v>
      </c>
      <c r="B16929" s="110" t="s">
        <v>276</v>
      </c>
      <c r="C16929" s="111" t="s">
        <v>926</v>
      </c>
      <c r="D16929" s="111" t="str">
        <f t="shared" ref="D16929:E16929" si="16927">TRIM(B16929)</f>
        <v>Washington</v>
      </c>
      <c r="E16929" s="111" t="str">
        <f t="shared" si="16927"/>
        <v>Seattle</v>
      </c>
    </row>
    <row r="16930" spans="1:5">
      <c r="A16930" s="110" t="s">
        <v>28663</v>
      </c>
      <c r="B16930" s="110" t="s">
        <v>276</v>
      </c>
      <c r="C16930" s="111" t="s">
        <v>926</v>
      </c>
      <c r="D16930" s="111" t="str">
        <f t="shared" ref="D16930:E16930" si="16928">TRIM(B16930)</f>
        <v>Washington</v>
      </c>
      <c r="E16930" s="111" t="str">
        <f t="shared" si="16928"/>
        <v>Seattle</v>
      </c>
    </row>
    <row r="16931" spans="1:5">
      <c r="A16931" s="110" t="s">
        <v>28664</v>
      </c>
      <c r="B16931" s="110" t="s">
        <v>276</v>
      </c>
      <c r="C16931" s="111" t="s">
        <v>926</v>
      </c>
      <c r="D16931" s="111" t="str">
        <f t="shared" ref="D16931:E16931" si="16929">TRIM(B16931)</f>
        <v>Washington</v>
      </c>
      <c r="E16931" s="111" t="str">
        <f t="shared" si="16929"/>
        <v>Seattle</v>
      </c>
    </row>
    <row r="16932" spans="1:5">
      <c r="A16932" s="3" t="s">
        <v>28665</v>
      </c>
      <c r="B16932" s="110" t="s">
        <v>276</v>
      </c>
      <c r="C16932" s="111" t="s">
        <v>926</v>
      </c>
      <c r="D16932" s="111" t="str">
        <f t="shared" ref="D16932:E16932" si="16930">TRIM(B16932)</f>
        <v>Washington</v>
      </c>
      <c r="E16932" s="111" t="str">
        <f t="shared" si="16930"/>
        <v>Seattle</v>
      </c>
    </row>
    <row r="16933" spans="1:5">
      <c r="A16933" s="3" t="s">
        <v>28666</v>
      </c>
      <c r="B16933" s="110" t="s">
        <v>276</v>
      </c>
      <c r="C16933" s="111" t="s">
        <v>28667</v>
      </c>
      <c r="D16933" s="111" t="str">
        <f t="shared" ref="D16933:E16933" si="16931">TRIM(B16933)</f>
        <v>Washington</v>
      </c>
      <c r="E16933" s="111" t="str">
        <f t="shared" si="16931"/>
        <v>Sedro-Woolley</v>
      </c>
    </row>
    <row r="16934" spans="1:5">
      <c r="A16934" s="3" t="s">
        <v>28668</v>
      </c>
      <c r="B16934" s="110" t="s">
        <v>276</v>
      </c>
      <c r="C16934" s="111" t="s">
        <v>28669</v>
      </c>
      <c r="D16934" s="111" t="str">
        <f t="shared" ref="D16934:E16934" si="16932">TRIM(B16934)</f>
        <v>Washington</v>
      </c>
      <c r="E16934" s="111" t="str">
        <f t="shared" si="16932"/>
        <v>Selah</v>
      </c>
    </row>
    <row r="16935" spans="1:5">
      <c r="A16935" s="3" t="s">
        <v>28670</v>
      </c>
      <c r="B16935" s="110" t="s">
        <v>276</v>
      </c>
      <c r="C16935" s="111" t="s">
        <v>28671</v>
      </c>
      <c r="D16935" s="111" t="str">
        <f t="shared" ref="D16935:E16935" si="16933">TRIM(B16935)</f>
        <v>Washington</v>
      </c>
      <c r="E16935" s="111" t="str">
        <f t="shared" si="16933"/>
        <v>Sequim</v>
      </c>
    </row>
    <row r="16936" spans="1:5">
      <c r="A16936" s="3" t="s">
        <v>28672</v>
      </c>
      <c r="B16936" s="110" t="s">
        <v>276</v>
      </c>
      <c r="C16936" s="111" t="s">
        <v>8665</v>
      </c>
      <c r="D16936" s="111" t="str">
        <f t="shared" ref="D16936:E16936" si="16934">TRIM(B16936)</f>
        <v>Washington</v>
      </c>
      <c r="E16936" s="111" t="str">
        <f t="shared" si="16934"/>
        <v>Shelton</v>
      </c>
    </row>
    <row r="16937" spans="1:5">
      <c r="A16937" s="110" t="s">
        <v>28673</v>
      </c>
      <c r="B16937" s="110" t="s">
        <v>276</v>
      </c>
      <c r="C16937" s="111" t="s">
        <v>8665</v>
      </c>
      <c r="D16937" s="111" t="str">
        <f t="shared" ref="D16937:E16937" si="16935">TRIM(B16937)</f>
        <v>Washington</v>
      </c>
      <c r="E16937" s="111" t="str">
        <f t="shared" si="16935"/>
        <v>Shelton</v>
      </c>
    </row>
    <row r="16938" spans="1:5">
      <c r="A16938" s="3" t="s">
        <v>8664</v>
      </c>
      <c r="B16938" s="110" t="s">
        <v>276</v>
      </c>
      <c r="C16938" s="111" t="s">
        <v>8665</v>
      </c>
      <c r="D16938" s="111" t="str">
        <f t="shared" ref="D16938:E16938" si="16936">TRIM(B16938)</f>
        <v>Washington</v>
      </c>
      <c r="E16938" s="111" t="str">
        <f t="shared" si="16936"/>
        <v>Shelton</v>
      </c>
    </row>
    <row r="16939" spans="1:5">
      <c r="A16939" s="3" t="s">
        <v>28674</v>
      </c>
      <c r="B16939" s="110" t="s">
        <v>276</v>
      </c>
      <c r="C16939" s="111" t="s">
        <v>14167</v>
      </c>
      <c r="D16939" s="111" t="str">
        <f t="shared" ref="D16939:E16939" si="16937">TRIM(B16939)</f>
        <v>Washington</v>
      </c>
      <c r="E16939" s="111" t="str">
        <f t="shared" si="16937"/>
        <v>Shoreline</v>
      </c>
    </row>
    <row r="16940" spans="1:5">
      <c r="A16940" s="3" t="s">
        <v>28675</v>
      </c>
      <c r="B16940" s="110" t="s">
        <v>276</v>
      </c>
      <c r="C16940" s="111" t="s">
        <v>14167</v>
      </c>
      <c r="D16940" s="111" t="str">
        <f t="shared" ref="D16940:E16940" si="16938">TRIM(B16940)</f>
        <v>Washington</v>
      </c>
      <c r="E16940" s="111" t="str">
        <f t="shared" si="16938"/>
        <v>Shoreline</v>
      </c>
    </row>
    <row r="16941" spans="1:5">
      <c r="A16941" s="3" t="s">
        <v>28676</v>
      </c>
      <c r="B16941" s="110" t="s">
        <v>276</v>
      </c>
      <c r="C16941" s="111" t="s">
        <v>28677</v>
      </c>
      <c r="D16941" s="111" t="str">
        <f t="shared" ref="D16941:E16941" si="16939">TRIM(B16941)</f>
        <v>Washington</v>
      </c>
      <c r="E16941" s="111" t="str">
        <f t="shared" si="16939"/>
        <v>Silverdale</v>
      </c>
    </row>
    <row r="16942" spans="1:5">
      <c r="A16942" s="110" t="s">
        <v>28678</v>
      </c>
      <c r="B16942" s="110" t="s">
        <v>276</v>
      </c>
      <c r="C16942" s="111" t="s">
        <v>28677</v>
      </c>
      <c r="D16942" s="111" t="str">
        <f t="shared" ref="D16942:E16942" si="16940">TRIM(B16942)</f>
        <v>Washington</v>
      </c>
      <c r="E16942" s="111" t="str">
        <f t="shared" si="16940"/>
        <v>Silverdale</v>
      </c>
    </row>
    <row r="16943" spans="1:5">
      <c r="A16943" s="3" t="s">
        <v>28679</v>
      </c>
      <c r="B16943" s="110" t="s">
        <v>276</v>
      </c>
      <c r="C16943" s="111" t="s">
        <v>28680</v>
      </c>
      <c r="D16943" s="111" t="str">
        <f t="shared" ref="D16943:E16943" si="16941">TRIM(B16943)</f>
        <v>Washington</v>
      </c>
      <c r="E16943" s="111" t="str">
        <f t="shared" si="16941"/>
        <v>Skykomish</v>
      </c>
    </row>
    <row r="16944" spans="1:5">
      <c r="A16944" s="3" t="s">
        <v>28681</v>
      </c>
      <c r="B16944" s="110" t="s">
        <v>276</v>
      </c>
      <c r="C16944" s="111" t="s">
        <v>1215</v>
      </c>
      <c r="D16944" s="111" t="str">
        <f t="shared" ref="D16944:E16944" si="16942">TRIM(B16944)</f>
        <v>Washington</v>
      </c>
      <c r="E16944" s="111" t="str">
        <f t="shared" si="16942"/>
        <v>Snohomish</v>
      </c>
    </row>
    <row r="16945" spans="1:5">
      <c r="A16945" s="3" t="s">
        <v>28682</v>
      </c>
      <c r="B16945" s="110" t="s">
        <v>276</v>
      </c>
      <c r="C16945" s="111" t="s">
        <v>1215</v>
      </c>
      <c r="D16945" s="111" t="str">
        <f t="shared" ref="D16945:E16945" si="16943">TRIM(B16945)</f>
        <v>Washington</v>
      </c>
      <c r="E16945" s="111" t="str">
        <f t="shared" si="16943"/>
        <v>Snohomish</v>
      </c>
    </row>
    <row r="16946" spans="1:5">
      <c r="A16946" s="110" t="s">
        <v>28683</v>
      </c>
      <c r="B16946" s="110" t="s">
        <v>276</v>
      </c>
      <c r="C16946" s="111" t="s">
        <v>804</v>
      </c>
      <c r="D16946" s="111" t="str">
        <f t="shared" ref="D16946:E16946" si="16944">TRIM(B16946)</f>
        <v>Washington</v>
      </c>
      <c r="E16946" s="111" t="str">
        <f t="shared" si="16944"/>
        <v>Snoqualmie</v>
      </c>
    </row>
    <row r="16947" spans="1:5">
      <c r="A16947" s="3" t="s">
        <v>28684</v>
      </c>
      <c r="B16947" s="110" t="s">
        <v>276</v>
      </c>
      <c r="C16947" s="111" t="s">
        <v>804</v>
      </c>
      <c r="D16947" s="111" t="str">
        <f t="shared" ref="D16947:E16947" si="16945">TRIM(B16947)</f>
        <v>Washington</v>
      </c>
      <c r="E16947" s="111" t="str">
        <f t="shared" si="16945"/>
        <v>Snoqualmie</v>
      </c>
    </row>
    <row r="16948" spans="1:5">
      <c r="A16948" s="3" t="s">
        <v>28685</v>
      </c>
      <c r="B16948" s="110" t="s">
        <v>276</v>
      </c>
      <c r="C16948" s="111" t="s">
        <v>28686</v>
      </c>
      <c r="D16948" s="111" t="str">
        <f t="shared" ref="D16948:E16948" si="16946">TRIM(B16948)</f>
        <v>Washington</v>
      </c>
      <c r="E16948" s="111" t="str">
        <f t="shared" si="16946"/>
        <v>Soap Lake</v>
      </c>
    </row>
    <row r="16949" spans="1:5">
      <c r="A16949" s="3" t="s">
        <v>28687</v>
      </c>
      <c r="B16949" s="110" t="s">
        <v>276</v>
      </c>
      <c r="C16949" s="111" t="s">
        <v>10727</v>
      </c>
      <c r="D16949" s="111" t="str">
        <f t="shared" ref="D16949:E16949" si="16947">TRIM(B16949)</f>
        <v>Washington</v>
      </c>
      <c r="E16949" s="111" t="str">
        <f t="shared" si="16947"/>
        <v>South Bend</v>
      </c>
    </row>
    <row r="16950" spans="1:5">
      <c r="A16950" s="3" t="s">
        <v>8339</v>
      </c>
      <c r="B16950" s="110" t="s">
        <v>276</v>
      </c>
      <c r="C16950" s="111" t="s">
        <v>28688</v>
      </c>
      <c r="D16950" s="111" t="str">
        <f t="shared" ref="D16950:E16950" si="16948">TRIM(B16950)</f>
        <v>Washington</v>
      </c>
      <c r="E16950" s="111" t="str">
        <f t="shared" si="16948"/>
        <v>Spanaway</v>
      </c>
    </row>
    <row r="16951" spans="1:5">
      <c r="A16951" s="3" t="s">
        <v>28689</v>
      </c>
      <c r="B16951" s="110" t="s">
        <v>276</v>
      </c>
      <c r="C16951" s="111" t="s">
        <v>28688</v>
      </c>
      <c r="D16951" s="111" t="str">
        <f t="shared" ref="D16951:E16951" si="16949">TRIM(B16951)</f>
        <v>Washington</v>
      </c>
      <c r="E16951" s="111" t="str">
        <f t="shared" si="16949"/>
        <v>Spanaway</v>
      </c>
    </row>
    <row r="16952" spans="1:5">
      <c r="A16952" s="3" t="s">
        <v>2745</v>
      </c>
      <c r="B16952" s="110" t="s">
        <v>276</v>
      </c>
      <c r="C16952" s="111" t="s">
        <v>14220</v>
      </c>
      <c r="D16952" s="111" t="str">
        <f t="shared" ref="D16952:E16952" si="16950">TRIM(B16952)</f>
        <v>Washington</v>
      </c>
      <c r="E16952" s="111" t="str">
        <f t="shared" si="16950"/>
        <v>Spangle</v>
      </c>
    </row>
    <row r="16953" spans="1:5">
      <c r="A16953" s="110" t="s">
        <v>28690</v>
      </c>
      <c r="B16953" s="110" t="s">
        <v>276</v>
      </c>
      <c r="C16953" s="111" t="s">
        <v>14149</v>
      </c>
      <c r="D16953" s="111" t="str">
        <f t="shared" ref="D16953:E16953" si="16951">TRIM(B16953)</f>
        <v>Washington</v>
      </c>
      <c r="E16953" s="111" t="str">
        <f t="shared" si="16951"/>
        <v>Spokane</v>
      </c>
    </row>
    <row r="16954" spans="1:5">
      <c r="A16954" s="110" t="s">
        <v>28691</v>
      </c>
      <c r="B16954" s="110" t="s">
        <v>276</v>
      </c>
      <c r="C16954" s="111" t="s">
        <v>14149</v>
      </c>
      <c r="D16954" s="111" t="str">
        <f t="shared" ref="D16954:E16954" si="16952">TRIM(B16954)</f>
        <v>Washington</v>
      </c>
      <c r="E16954" s="111" t="str">
        <f t="shared" si="16952"/>
        <v>Spokane</v>
      </c>
    </row>
    <row r="16955" spans="1:5">
      <c r="A16955" s="110" t="s">
        <v>28692</v>
      </c>
      <c r="B16955" s="110" t="s">
        <v>276</v>
      </c>
      <c r="C16955" s="111" t="s">
        <v>14149</v>
      </c>
      <c r="D16955" s="111" t="str">
        <f t="shared" ref="D16955:E16955" si="16953">TRIM(B16955)</f>
        <v>Washington</v>
      </c>
      <c r="E16955" s="111" t="str">
        <f t="shared" si="16953"/>
        <v>Spokane</v>
      </c>
    </row>
    <row r="16956" spans="1:5">
      <c r="A16956" s="3" t="s">
        <v>28693</v>
      </c>
      <c r="B16956" s="110" t="s">
        <v>276</v>
      </c>
      <c r="C16956" s="111" t="s">
        <v>14149</v>
      </c>
      <c r="D16956" s="111" t="str">
        <f t="shared" ref="D16956:E16956" si="16954">TRIM(B16956)</f>
        <v>Washington</v>
      </c>
      <c r="E16956" s="111" t="str">
        <f t="shared" si="16954"/>
        <v>Spokane</v>
      </c>
    </row>
    <row r="16957" spans="1:5">
      <c r="A16957" s="3" t="s">
        <v>28694</v>
      </c>
      <c r="B16957" s="110" t="s">
        <v>276</v>
      </c>
      <c r="C16957" s="111" t="s">
        <v>14149</v>
      </c>
      <c r="D16957" s="111" t="str">
        <f t="shared" ref="D16957:E16957" si="16955">TRIM(B16957)</f>
        <v>Washington</v>
      </c>
      <c r="E16957" s="111" t="str">
        <f t="shared" si="16955"/>
        <v>Spokane</v>
      </c>
    </row>
    <row r="16958" spans="1:5">
      <c r="A16958" s="3" t="s">
        <v>28695</v>
      </c>
      <c r="B16958" s="110" t="s">
        <v>276</v>
      </c>
      <c r="C16958" s="111" t="s">
        <v>14149</v>
      </c>
      <c r="D16958" s="111" t="str">
        <f t="shared" ref="D16958:E16958" si="16956">TRIM(B16958)</f>
        <v>Washington</v>
      </c>
      <c r="E16958" s="111" t="str">
        <f t="shared" si="16956"/>
        <v>Spokane</v>
      </c>
    </row>
    <row r="16959" spans="1:5">
      <c r="A16959" s="3" t="s">
        <v>14320</v>
      </c>
      <c r="B16959" s="110" t="s">
        <v>276</v>
      </c>
      <c r="C16959" s="111" t="s">
        <v>14149</v>
      </c>
      <c r="D16959" s="111" t="str">
        <f t="shared" ref="D16959:E16959" si="16957">TRIM(B16959)</f>
        <v>Washington</v>
      </c>
      <c r="E16959" s="111" t="str">
        <f t="shared" si="16957"/>
        <v>Spokane</v>
      </c>
    </row>
    <row r="16960" spans="1:5">
      <c r="A16960" s="3" t="s">
        <v>28696</v>
      </c>
      <c r="B16960" s="110" t="s">
        <v>276</v>
      </c>
      <c r="C16960" s="111" t="s">
        <v>14149</v>
      </c>
      <c r="D16960" s="111" t="str">
        <f t="shared" ref="D16960:E16960" si="16958">TRIM(B16960)</f>
        <v>Washington</v>
      </c>
      <c r="E16960" s="111" t="str">
        <f t="shared" si="16958"/>
        <v>Spokane</v>
      </c>
    </row>
    <row r="16961" spans="1:5">
      <c r="A16961" s="110" t="s">
        <v>28697</v>
      </c>
      <c r="B16961" s="110" t="s">
        <v>276</v>
      </c>
      <c r="C16961" s="111" t="s">
        <v>14149</v>
      </c>
      <c r="D16961" s="111" t="str">
        <f t="shared" ref="D16961:E16961" si="16959">TRIM(B16961)</f>
        <v>Washington</v>
      </c>
      <c r="E16961" s="111" t="str">
        <f t="shared" si="16959"/>
        <v>Spokane</v>
      </c>
    </row>
    <row r="16962" spans="1:5">
      <c r="A16962" s="3" t="s">
        <v>28698</v>
      </c>
      <c r="B16962" s="110" t="s">
        <v>276</v>
      </c>
      <c r="C16962" s="111" t="s">
        <v>14149</v>
      </c>
      <c r="D16962" s="111" t="str">
        <f t="shared" ref="D16962:E16962" si="16960">TRIM(B16962)</f>
        <v>Washington</v>
      </c>
      <c r="E16962" s="111" t="str">
        <f t="shared" si="16960"/>
        <v>Spokane</v>
      </c>
    </row>
    <row r="16963" spans="1:5">
      <c r="A16963" s="3" t="s">
        <v>4168</v>
      </c>
      <c r="B16963" s="110" t="s">
        <v>276</v>
      </c>
      <c r="C16963" s="111" t="s">
        <v>14149</v>
      </c>
      <c r="D16963" s="111" t="str">
        <f t="shared" ref="D16963:E16963" si="16961">TRIM(B16963)</f>
        <v>Washington</v>
      </c>
      <c r="E16963" s="111" t="str">
        <f t="shared" si="16961"/>
        <v>Spokane</v>
      </c>
    </row>
    <row r="16964" spans="1:5">
      <c r="A16964" s="3" t="s">
        <v>28699</v>
      </c>
      <c r="B16964" s="110" t="s">
        <v>276</v>
      </c>
      <c r="C16964" s="111" t="s">
        <v>14149</v>
      </c>
      <c r="D16964" s="111" t="str">
        <f t="shared" ref="D16964:E16964" si="16962">TRIM(B16964)</f>
        <v>Washington</v>
      </c>
      <c r="E16964" s="111" t="str">
        <f t="shared" si="16962"/>
        <v>Spokane</v>
      </c>
    </row>
    <row r="16965" spans="1:5">
      <c r="A16965" s="110" t="s">
        <v>28700</v>
      </c>
      <c r="B16965" s="110" t="s">
        <v>276</v>
      </c>
      <c r="C16965" s="111" t="s">
        <v>14149</v>
      </c>
      <c r="D16965" s="111" t="str">
        <f t="shared" ref="D16965:E16965" si="16963">TRIM(B16965)</f>
        <v>Washington</v>
      </c>
      <c r="E16965" s="111" t="str">
        <f t="shared" si="16963"/>
        <v>Spokane</v>
      </c>
    </row>
    <row r="16966" spans="1:5">
      <c r="A16966" s="110" t="s">
        <v>28701</v>
      </c>
      <c r="B16966" s="110" t="s">
        <v>276</v>
      </c>
      <c r="C16966" s="111" t="s">
        <v>14149</v>
      </c>
      <c r="D16966" s="111" t="str">
        <f t="shared" ref="D16966:E16966" si="16964">TRIM(B16966)</f>
        <v>Washington</v>
      </c>
      <c r="E16966" s="111" t="str">
        <f t="shared" si="16964"/>
        <v>Spokane</v>
      </c>
    </row>
    <row r="16967" spans="1:5">
      <c r="A16967" s="3" t="s">
        <v>2342</v>
      </c>
      <c r="B16967" s="110" t="s">
        <v>276</v>
      </c>
      <c r="C16967" s="111" t="s">
        <v>14149</v>
      </c>
      <c r="D16967" s="111" t="str">
        <f t="shared" ref="D16967:E16967" si="16965">TRIM(B16967)</f>
        <v>Washington</v>
      </c>
      <c r="E16967" s="111" t="str">
        <f t="shared" si="16965"/>
        <v>Spokane</v>
      </c>
    </row>
    <row r="16968" spans="1:5">
      <c r="A16968" s="3" t="s">
        <v>4620</v>
      </c>
      <c r="B16968" s="110" t="s">
        <v>276</v>
      </c>
      <c r="C16968" s="111" t="s">
        <v>14205</v>
      </c>
      <c r="D16968" s="111" t="str">
        <f t="shared" ref="D16968:E16968" si="16966">TRIM(B16968)</f>
        <v>Washington</v>
      </c>
      <c r="E16968" s="111" t="str">
        <f t="shared" si="16966"/>
        <v>Spokane Valley</v>
      </c>
    </row>
    <row r="16969" spans="1:5">
      <c r="A16969" s="3" t="s">
        <v>2831</v>
      </c>
      <c r="B16969" s="110" t="s">
        <v>276</v>
      </c>
      <c r="C16969" s="111" t="s">
        <v>14205</v>
      </c>
      <c r="D16969" s="111" t="str">
        <f t="shared" ref="D16969:E16969" si="16967">TRIM(B16969)</f>
        <v>Washington</v>
      </c>
      <c r="E16969" s="111" t="str">
        <f t="shared" si="16967"/>
        <v>Spokane Valley</v>
      </c>
    </row>
    <row r="16970" spans="1:5">
      <c r="A16970" s="3" t="s">
        <v>28702</v>
      </c>
      <c r="B16970" s="110" t="s">
        <v>276</v>
      </c>
      <c r="C16970" s="111" t="s">
        <v>14205</v>
      </c>
      <c r="D16970" s="111" t="str">
        <f t="shared" ref="D16970:E16970" si="16968">TRIM(B16970)</f>
        <v>Washington</v>
      </c>
      <c r="E16970" s="111" t="str">
        <f t="shared" si="16968"/>
        <v>Spokane Valley</v>
      </c>
    </row>
    <row r="16971" spans="1:5">
      <c r="A16971" s="3" t="s">
        <v>3364</v>
      </c>
      <c r="B16971" s="110" t="s">
        <v>276</v>
      </c>
      <c r="C16971" s="111" t="s">
        <v>14205</v>
      </c>
      <c r="D16971" s="111" t="str">
        <f t="shared" ref="D16971:E16971" si="16969">TRIM(B16971)</f>
        <v>Washington</v>
      </c>
      <c r="E16971" s="111" t="str">
        <f t="shared" si="16969"/>
        <v>Spokane Valley</v>
      </c>
    </row>
    <row r="16972" spans="1:5">
      <c r="A16972" s="3" t="s">
        <v>24396</v>
      </c>
      <c r="B16972" s="110" t="s">
        <v>276</v>
      </c>
      <c r="C16972" s="111" t="s">
        <v>28703</v>
      </c>
      <c r="D16972" s="111" t="str">
        <f t="shared" ref="D16972:E16972" si="16970">TRIM(B16972)</f>
        <v>Washington</v>
      </c>
      <c r="E16972" s="111" t="str">
        <f t="shared" si="16970"/>
        <v>Sprague</v>
      </c>
    </row>
    <row r="16973" spans="1:5">
      <c r="A16973" s="3" t="s">
        <v>28704</v>
      </c>
      <c r="B16973" s="110" t="s">
        <v>276</v>
      </c>
      <c r="C16973" s="112" t="s">
        <v>4207</v>
      </c>
      <c r="D16973" s="111" t="str">
        <f t="shared" ref="D16973:E16973" si="16971">TRIM(B16973)</f>
        <v>Washington</v>
      </c>
      <c r="E16973" s="111" t="str">
        <f t="shared" si="16971"/>
        <v>Springdale</v>
      </c>
    </row>
    <row r="16974" spans="1:5">
      <c r="A16974" s="3" t="s">
        <v>28705</v>
      </c>
      <c r="B16974" s="110" t="s">
        <v>276</v>
      </c>
      <c r="C16974" s="111" t="s">
        <v>28706</v>
      </c>
      <c r="D16974" s="111" t="str">
        <f t="shared" ref="D16974:E16974" si="16972">TRIM(B16974)</f>
        <v>Washington</v>
      </c>
      <c r="E16974" s="111" t="str">
        <f t="shared" si="16972"/>
        <v>Stanwood</v>
      </c>
    </row>
    <row r="16975" spans="1:5">
      <c r="A16975" s="3" t="s">
        <v>28707</v>
      </c>
      <c r="B16975" s="110" t="s">
        <v>276</v>
      </c>
      <c r="C16975" s="111" t="s">
        <v>28708</v>
      </c>
      <c r="D16975" s="111" t="str">
        <f t="shared" ref="D16975:E16975" si="16973">TRIM(B16975)</f>
        <v>Washington</v>
      </c>
      <c r="E16975" s="111" t="str">
        <f t="shared" si="16973"/>
        <v>Steilacoom</v>
      </c>
    </row>
    <row r="16976" spans="1:5">
      <c r="A16976" s="3" t="s">
        <v>17373</v>
      </c>
      <c r="B16976" s="110" t="s">
        <v>276</v>
      </c>
      <c r="C16976" s="111" t="s">
        <v>2190</v>
      </c>
      <c r="D16976" s="111" t="str">
        <f t="shared" ref="D16976:E16976" si="16974">TRIM(B16976)</f>
        <v>Washington</v>
      </c>
      <c r="E16976" s="111" t="str">
        <f t="shared" si="16974"/>
        <v>Stevenson</v>
      </c>
    </row>
    <row r="16977" spans="1:5">
      <c r="A16977" s="3" t="s">
        <v>28709</v>
      </c>
      <c r="B16977" s="110" t="s">
        <v>276</v>
      </c>
      <c r="C16977" s="111" t="s">
        <v>28710</v>
      </c>
      <c r="D16977" s="111" t="str">
        <f t="shared" ref="D16977:E16977" si="16975">TRIM(B16977)</f>
        <v>Washington</v>
      </c>
      <c r="E16977" s="111" t="str">
        <f t="shared" si="16975"/>
        <v>Sultan</v>
      </c>
    </row>
    <row r="16978" spans="1:5">
      <c r="A16978" s="3" t="s">
        <v>19144</v>
      </c>
      <c r="B16978" s="110" t="s">
        <v>276</v>
      </c>
      <c r="C16978" s="111" t="s">
        <v>6618</v>
      </c>
      <c r="D16978" s="111" t="str">
        <f t="shared" ref="D16978:E16978" si="16976">TRIM(B16978)</f>
        <v>Washington</v>
      </c>
      <c r="E16978" s="111" t="str">
        <f t="shared" si="16976"/>
        <v>Sumner</v>
      </c>
    </row>
    <row r="16979" spans="1:5">
      <c r="A16979" s="3" t="s">
        <v>3477</v>
      </c>
      <c r="B16979" s="110" t="s">
        <v>276</v>
      </c>
      <c r="C16979" s="111" t="s">
        <v>28711</v>
      </c>
      <c r="D16979" s="111" t="str">
        <f t="shared" ref="D16979:E16979" si="16977">TRIM(B16979)</f>
        <v>Washington</v>
      </c>
      <c r="E16979" s="111" t="str">
        <f t="shared" si="16977"/>
        <v>Sunnyside</v>
      </c>
    </row>
    <row r="16980" spans="1:5">
      <c r="A16980" s="3" t="s">
        <v>28712</v>
      </c>
      <c r="B16980" s="110" t="s">
        <v>276</v>
      </c>
      <c r="C16980" s="112" t="s">
        <v>386</v>
      </c>
      <c r="D16980" s="111" t="str">
        <f t="shared" ref="D16980:E16980" si="16978">TRIM(B16980)</f>
        <v>Washington</v>
      </c>
      <c r="E16980" s="111" t="str">
        <f t="shared" si="16978"/>
        <v>Tacoma</v>
      </c>
    </row>
    <row r="16981" spans="1:5">
      <c r="A16981" s="3" t="s">
        <v>28713</v>
      </c>
      <c r="B16981" s="110" t="s">
        <v>276</v>
      </c>
      <c r="C16981" s="111" t="s">
        <v>386</v>
      </c>
      <c r="D16981" s="111" t="str">
        <f t="shared" ref="D16981:E16981" si="16979">TRIM(B16981)</f>
        <v>Washington</v>
      </c>
      <c r="E16981" s="111" t="str">
        <f t="shared" si="16979"/>
        <v>Tacoma</v>
      </c>
    </row>
    <row r="16982" spans="1:5">
      <c r="A16982" s="110" t="s">
        <v>28714</v>
      </c>
      <c r="B16982" s="110" t="s">
        <v>276</v>
      </c>
      <c r="C16982" s="111" t="s">
        <v>386</v>
      </c>
      <c r="D16982" s="111" t="str">
        <f t="shared" ref="D16982:E16982" si="16980">TRIM(B16982)</f>
        <v>Washington</v>
      </c>
      <c r="E16982" s="111" t="str">
        <f t="shared" si="16980"/>
        <v>Tacoma</v>
      </c>
    </row>
    <row r="16983" spans="1:5">
      <c r="A16983" s="3" t="s">
        <v>28715</v>
      </c>
      <c r="B16983" s="110" t="s">
        <v>276</v>
      </c>
      <c r="C16983" s="111" t="s">
        <v>386</v>
      </c>
      <c r="D16983" s="111" t="str">
        <f t="shared" ref="D16983:E16983" si="16981">TRIM(B16983)</f>
        <v>Washington</v>
      </c>
      <c r="E16983" s="111" t="str">
        <f t="shared" si="16981"/>
        <v>Tacoma</v>
      </c>
    </row>
    <row r="16984" spans="1:5">
      <c r="A16984" s="110" t="s">
        <v>1283</v>
      </c>
      <c r="B16984" s="110" t="s">
        <v>276</v>
      </c>
      <c r="C16984" s="111" t="s">
        <v>386</v>
      </c>
      <c r="D16984" s="111" t="str">
        <f t="shared" ref="D16984:E16984" si="16982">TRIM(B16984)</f>
        <v>Washington</v>
      </c>
      <c r="E16984" s="111" t="str">
        <f t="shared" si="16982"/>
        <v>Tacoma</v>
      </c>
    </row>
    <row r="16985" spans="1:5">
      <c r="A16985" s="110" t="s">
        <v>28716</v>
      </c>
      <c r="B16985" s="110" t="s">
        <v>276</v>
      </c>
      <c r="C16985" s="111" t="s">
        <v>386</v>
      </c>
      <c r="D16985" s="111" t="str">
        <f t="shared" ref="D16985:E16985" si="16983">TRIM(B16985)</f>
        <v>Washington</v>
      </c>
      <c r="E16985" s="111" t="str">
        <f t="shared" si="16983"/>
        <v>Tacoma</v>
      </c>
    </row>
    <row r="16986" spans="1:5">
      <c r="A16986" s="110" t="s">
        <v>28717</v>
      </c>
      <c r="B16986" s="110" t="s">
        <v>276</v>
      </c>
      <c r="C16986" s="111" t="s">
        <v>386</v>
      </c>
      <c r="D16986" s="111" t="str">
        <f t="shared" ref="D16986:E16986" si="16984">TRIM(B16986)</f>
        <v>Washington</v>
      </c>
      <c r="E16986" s="111" t="str">
        <f t="shared" si="16984"/>
        <v>Tacoma</v>
      </c>
    </row>
    <row r="16987" spans="1:5">
      <c r="A16987" s="110" t="s">
        <v>28718</v>
      </c>
      <c r="B16987" s="110" t="s">
        <v>276</v>
      </c>
      <c r="C16987" s="111" t="s">
        <v>386</v>
      </c>
      <c r="D16987" s="111" t="str">
        <f t="shared" ref="D16987:E16987" si="16985">TRIM(B16987)</f>
        <v>Washington</v>
      </c>
      <c r="E16987" s="111" t="str">
        <f t="shared" si="16985"/>
        <v>Tacoma</v>
      </c>
    </row>
    <row r="16988" spans="1:5">
      <c r="A16988" s="110" t="s">
        <v>28719</v>
      </c>
      <c r="B16988" s="110" t="s">
        <v>276</v>
      </c>
      <c r="C16988" s="111" t="s">
        <v>386</v>
      </c>
      <c r="D16988" s="111" t="str">
        <f t="shared" ref="D16988:E16988" si="16986">TRIM(B16988)</f>
        <v>Washington</v>
      </c>
      <c r="E16988" s="111" t="str">
        <f t="shared" si="16986"/>
        <v>Tacoma</v>
      </c>
    </row>
    <row r="16989" spans="1:5">
      <c r="A16989" s="110" t="s">
        <v>28720</v>
      </c>
      <c r="B16989" s="110" t="s">
        <v>276</v>
      </c>
      <c r="C16989" s="111" t="s">
        <v>386</v>
      </c>
      <c r="D16989" s="111" t="str">
        <f t="shared" ref="D16989:E16989" si="16987">TRIM(B16989)</f>
        <v>Washington</v>
      </c>
      <c r="E16989" s="111" t="str">
        <f t="shared" si="16987"/>
        <v>Tacoma</v>
      </c>
    </row>
    <row r="16990" spans="1:5">
      <c r="A16990" s="110" t="s">
        <v>28721</v>
      </c>
      <c r="B16990" s="110" t="s">
        <v>276</v>
      </c>
      <c r="C16990" s="111" t="s">
        <v>386</v>
      </c>
      <c r="D16990" s="111" t="str">
        <f t="shared" ref="D16990:E16990" si="16988">TRIM(B16990)</f>
        <v>Washington</v>
      </c>
      <c r="E16990" s="111" t="str">
        <f t="shared" si="16988"/>
        <v>Tacoma</v>
      </c>
    </row>
    <row r="16991" spans="1:5">
      <c r="A16991" s="3" t="s">
        <v>3140</v>
      </c>
      <c r="B16991" s="110" t="s">
        <v>276</v>
      </c>
      <c r="C16991" s="111" t="s">
        <v>386</v>
      </c>
      <c r="D16991" s="111" t="str">
        <f t="shared" ref="D16991:E16991" si="16989">TRIM(B16991)</f>
        <v>Washington</v>
      </c>
      <c r="E16991" s="111" t="str">
        <f t="shared" si="16989"/>
        <v>Tacoma</v>
      </c>
    </row>
    <row r="16992" spans="1:5">
      <c r="A16992" s="110" t="s">
        <v>4278</v>
      </c>
      <c r="B16992" s="110" t="s">
        <v>276</v>
      </c>
      <c r="C16992" s="111" t="s">
        <v>386</v>
      </c>
      <c r="D16992" s="111" t="str">
        <f t="shared" ref="D16992:E16992" si="16990">TRIM(B16992)</f>
        <v>Washington</v>
      </c>
      <c r="E16992" s="111" t="str">
        <f t="shared" si="16990"/>
        <v>Tacoma</v>
      </c>
    </row>
    <row r="16993" spans="1:5">
      <c r="A16993" s="3" t="s">
        <v>28722</v>
      </c>
      <c r="B16993" s="110" t="s">
        <v>276</v>
      </c>
      <c r="C16993" s="111" t="s">
        <v>28723</v>
      </c>
      <c r="D16993" s="111" t="str">
        <f t="shared" ref="D16993:E16993" si="16991">TRIM(B16993)</f>
        <v>Washington</v>
      </c>
      <c r="E16993" s="111" t="str">
        <f t="shared" si="16991"/>
        <v>Taholah</v>
      </c>
    </row>
    <row r="16994" spans="1:5">
      <c r="A16994" s="3" t="s">
        <v>28724</v>
      </c>
      <c r="B16994" s="110" t="s">
        <v>276</v>
      </c>
      <c r="C16994" s="111" t="s">
        <v>28725</v>
      </c>
      <c r="D16994" s="111" t="str">
        <f t="shared" ref="D16994:E16994" si="16992">TRIM(B16994)</f>
        <v>Washington</v>
      </c>
      <c r="E16994" s="111" t="str">
        <f t="shared" si="16992"/>
        <v>Tekoa</v>
      </c>
    </row>
    <row r="16995" spans="1:5">
      <c r="A16995" s="3" t="s">
        <v>28726</v>
      </c>
      <c r="B16995" s="110" t="s">
        <v>276</v>
      </c>
      <c r="C16995" s="111" t="s">
        <v>28727</v>
      </c>
      <c r="D16995" s="111" t="str">
        <f t="shared" ref="D16995:E16995" si="16993">TRIM(B16995)</f>
        <v>Washington</v>
      </c>
      <c r="E16995" s="111" t="str">
        <f t="shared" si="16993"/>
        <v>Tenino</v>
      </c>
    </row>
    <row r="16996" spans="1:5">
      <c r="A16996" s="3" t="s">
        <v>28728</v>
      </c>
      <c r="B16996" s="110" t="s">
        <v>276</v>
      </c>
      <c r="C16996" s="111" t="s">
        <v>309</v>
      </c>
      <c r="D16996" s="111" t="str">
        <f t="shared" ref="D16996:E16996" si="16994">TRIM(B16996)</f>
        <v>Washington</v>
      </c>
      <c r="E16996" s="111" t="str">
        <f t="shared" si="16994"/>
        <v>Toledo</v>
      </c>
    </row>
    <row r="16997" spans="1:5">
      <c r="A16997" s="3" t="s">
        <v>28729</v>
      </c>
      <c r="B16997" s="110" t="s">
        <v>276</v>
      </c>
      <c r="C16997" s="111" t="s">
        <v>309</v>
      </c>
      <c r="D16997" s="111" t="str">
        <f t="shared" ref="D16997:E16997" si="16995">TRIM(B16997)</f>
        <v>Washington</v>
      </c>
      <c r="E16997" s="111" t="str">
        <f t="shared" si="16995"/>
        <v>Toledo</v>
      </c>
    </row>
    <row r="16998" spans="1:5">
      <c r="A16998" s="3" t="s">
        <v>28730</v>
      </c>
      <c r="B16998" s="110" t="s">
        <v>276</v>
      </c>
      <c r="C16998" s="111" t="s">
        <v>28731</v>
      </c>
      <c r="D16998" s="111" t="str">
        <f t="shared" ref="D16998:E16998" si="16996">TRIM(B16998)</f>
        <v>Washington</v>
      </c>
      <c r="E16998" s="111" t="str">
        <f t="shared" si="16996"/>
        <v>Tonasket</v>
      </c>
    </row>
    <row r="16999" spans="1:5">
      <c r="A16999" s="3" t="s">
        <v>28732</v>
      </c>
      <c r="B16999" s="110" t="s">
        <v>276</v>
      </c>
      <c r="C16999" s="111" t="s">
        <v>28733</v>
      </c>
      <c r="D16999" s="111" t="str">
        <f t="shared" ref="D16999:E16999" si="16997">TRIM(B16999)</f>
        <v>Washington</v>
      </c>
      <c r="E16999" s="111" t="str">
        <f t="shared" si="16997"/>
        <v>Toppenish</v>
      </c>
    </row>
    <row r="17000" spans="1:5">
      <c r="A17000" s="3" t="s">
        <v>28734</v>
      </c>
      <c r="B17000" s="110" t="s">
        <v>276</v>
      </c>
      <c r="C17000" s="111" t="s">
        <v>28735</v>
      </c>
      <c r="D17000" s="111" t="str">
        <f t="shared" ref="D17000:E17000" si="16998">TRIM(B17000)</f>
        <v>Washington</v>
      </c>
      <c r="E17000" s="111" t="str">
        <f t="shared" si="16998"/>
        <v>Toutle</v>
      </c>
    </row>
    <row r="17001" spans="1:5">
      <c r="A17001" s="110" t="s">
        <v>28736</v>
      </c>
      <c r="B17001" s="110" t="s">
        <v>276</v>
      </c>
      <c r="C17001" s="111" t="s">
        <v>28737</v>
      </c>
      <c r="D17001" s="111" t="str">
        <f t="shared" ref="D17001:E17001" si="16999">TRIM(B17001)</f>
        <v>Washington</v>
      </c>
      <c r="E17001" s="111" t="str">
        <f t="shared" si="16999"/>
        <v>Trout Lake</v>
      </c>
    </row>
    <row r="17002" spans="1:5">
      <c r="A17002" s="3" t="s">
        <v>28738</v>
      </c>
      <c r="B17002" s="110" t="s">
        <v>276</v>
      </c>
      <c r="C17002" s="111" t="s">
        <v>14116</v>
      </c>
      <c r="D17002" s="111" t="str">
        <f t="shared" ref="D17002:E17002" si="17000">TRIM(B17002)</f>
        <v>Washington</v>
      </c>
      <c r="E17002" s="111" t="str">
        <f t="shared" si="17000"/>
        <v>Tukwila</v>
      </c>
    </row>
    <row r="17003" spans="1:5">
      <c r="A17003" s="3" t="s">
        <v>28739</v>
      </c>
      <c r="B17003" s="110" t="s">
        <v>276</v>
      </c>
      <c r="C17003" s="111" t="s">
        <v>28740</v>
      </c>
      <c r="D17003" s="111" t="str">
        <f t="shared" ref="D17003:E17003" si="17001">TRIM(B17003)</f>
        <v>Washington</v>
      </c>
      <c r="E17003" s="111" t="str">
        <f t="shared" si="17001"/>
        <v>Tumwater</v>
      </c>
    </row>
    <row r="17004" spans="1:5">
      <c r="A17004" s="3" t="s">
        <v>28741</v>
      </c>
      <c r="B17004" s="110" t="s">
        <v>276</v>
      </c>
      <c r="C17004" s="111" t="s">
        <v>28740</v>
      </c>
      <c r="D17004" s="111" t="str">
        <f t="shared" ref="D17004:E17004" si="17002">TRIM(B17004)</f>
        <v>Washington</v>
      </c>
      <c r="E17004" s="111" t="str">
        <f t="shared" si="17002"/>
        <v>Tumwater</v>
      </c>
    </row>
    <row r="17005" spans="1:5">
      <c r="A17005" s="3" t="s">
        <v>28742</v>
      </c>
      <c r="B17005" s="110" t="s">
        <v>276</v>
      </c>
      <c r="C17005" s="111" t="s">
        <v>28743</v>
      </c>
      <c r="D17005" s="111" t="str">
        <f t="shared" ref="D17005:E17005" si="17003">TRIM(B17005)</f>
        <v>Washington</v>
      </c>
      <c r="E17005" s="111" t="str">
        <f t="shared" si="17003"/>
        <v>University Place</v>
      </c>
    </row>
    <row r="17006" spans="1:5">
      <c r="A17006" s="3" t="s">
        <v>28744</v>
      </c>
      <c r="B17006" s="110" t="s">
        <v>276</v>
      </c>
      <c r="C17006" s="111" t="s">
        <v>2253</v>
      </c>
      <c r="D17006" s="111" t="str">
        <f t="shared" ref="D17006:E17006" si="17004">TRIM(B17006)</f>
        <v>Washington</v>
      </c>
      <c r="E17006" s="111" t="str">
        <f t="shared" si="17004"/>
        <v>Valley</v>
      </c>
    </row>
    <row r="17007" spans="1:5">
      <c r="A17007" s="3" t="s">
        <v>28745</v>
      </c>
      <c r="B17007" s="110" t="s">
        <v>276</v>
      </c>
      <c r="C17007" s="111" t="s">
        <v>28746</v>
      </c>
      <c r="D17007" s="111" t="str">
        <f t="shared" ref="D17007:E17007" si="17005">TRIM(B17007)</f>
        <v>Washington</v>
      </c>
      <c r="E17007" s="111" t="str">
        <f t="shared" si="17005"/>
        <v>Vancouver</v>
      </c>
    </row>
    <row r="17008" spans="1:5">
      <c r="A17008" s="3" t="s">
        <v>28747</v>
      </c>
      <c r="B17008" s="110" t="s">
        <v>276</v>
      </c>
      <c r="C17008" s="111" t="s">
        <v>28746</v>
      </c>
      <c r="D17008" s="111" t="str">
        <f t="shared" ref="D17008:E17008" si="17006">TRIM(B17008)</f>
        <v>Washington</v>
      </c>
      <c r="E17008" s="111" t="str">
        <f t="shared" si="17006"/>
        <v>Vancouver</v>
      </c>
    </row>
    <row r="17009" spans="1:5">
      <c r="A17009" s="3" t="s">
        <v>7892</v>
      </c>
      <c r="B17009" s="110" t="s">
        <v>276</v>
      </c>
      <c r="C17009" s="111" t="s">
        <v>28746</v>
      </c>
      <c r="D17009" s="111" t="str">
        <f t="shared" ref="D17009:E17009" si="17007">TRIM(B17009)</f>
        <v>Washington</v>
      </c>
      <c r="E17009" s="111" t="str">
        <f t="shared" si="17007"/>
        <v>Vancouver</v>
      </c>
    </row>
    <row r="17010" spans="1:5">
      <c r="A17010" s="3" t="s">
        <v>28748</v>
      </c>
      <c r="B17010" s="110" t="s">
        <v>276</v>
      </c>
      <c r="C17010" s="111" t="s">
        <v>28746</v>
      </c>
      <c r="D17010" s="111" t="str">
        <f t="shared" ref="D17010:E17010" si="17008">TRIM(B17010)</f>
        <v>Washington</v>
      </c>
      <c r="E17010" s="111" t="str">
        <f t="shared" si="17008"/>
        <v>Vancouver</v>
      </c>
    </row>
    <row r="17011" spans="1:5">
      <c r="A17011" s="3" t="s">
        <v>28749</v>
      </c>
      <c r="B17011" s="110" t="s">
        <v>276</v>
      </c>
      <c r="C17011" s="111" t="s">
        <v>28746</v>
      </c>
      <c r="D17011" s="111" t="str">
        <f t="shared" ref="D17011:E17011" si="17009">TRIM(B17011)</f>
        <v>Washington</v>
      </c>
      <c r="E17011" s="111" t="str">
        <f t="shared" si="17009"/>
        <v>Vancouver</v>
      </c>
    </row>
    <row r="17012" spans="1:5">
      <c r="A17012" s="3" t="s">
        <v>4519</v>
      </c>
      <c r="B17012" s="110" t="s">
        <v>276</v>
      </c>
      <c r="C17012" s="111" t="s">
        <v>28746</v>
      </c>
      <c r="D17012" s="111" t="str">
        <f t="shared" ref="D17012:E17012" si="17010">TRIM(B17012)</f>
        <v>Washington</v>
      </c>
      <c r="E17012" s="111" t="str">
        <f t="shared" si="17010"/>
        <v>Vancouver</v>
      </c>
    </row>
    <row r="17013" spans="1:5">
      <c r="A17013" s="3" t="s">
        <v>28750</v>
      </c>
      <c r="B17013" s="110" t="s">
        <v>276</v>
      </c>
      <c r="C17013" s="111" t="s">
        <v>28746</v>
      </c>
      <c r="D17013" s="111" t="str">
        <f t="shared" ref="D17013:E17013" si="17011">TRIM(B17013)</f>
        <v>Washington</v>
      </c>
      <c r="E17013" s="111" t="str">
        <f t="shared" si="17011"/>
        <v>Vancouver</v>
      </c>
    </row>
    <row r="17014" spans="1:5">
      <c r="A17014" s="3" t="s">
        <v>28751</v>
      </c>
      <c r="B17014" s="110" t="s">
        <v>276</v>
      </c>
      <c r="C17014" s="111" t="s">
        <v>28746</v>
      </c>
      <c r="D17014" s="111" t="str">
        <f t="shared" ref="D17014:E17014" si="17012">TRIM(B17014)</f>
        <v>Washington</v>
      </c>
      <c r="E17014" s="111" t="str">
        <f t="shared" si="17012"/>
        <v>Vancouver</v>
      </c>
    </row>
    <row r="17015" spans="1:5">
      <c r="A17015" s="3" t="s">
        <v>2842</v>
      </c>
      <c r="B17015" s="110" t="s">
        <v>276</v>
      </c>
      <c r="C17015" s="111" t="s">
        <v>28746</v>
      </c>
      <c r="D17015" s="111" t="str">
        <f t="shared" ref="D17015:E17015" si="17013">TRIM(B17015)</f>
        <v>Washington</v>
      </c>
      <c r="E17015" s="111" t="str">
        <f t="shared" si="17013"/>
        <v>Vancouver</v>
      </c>
    </row>
    <row r="17016" spans="1:5">
      <c r="A17016" s="3" t="s">
        <v>3467</v>
      </c>
      <c r="B17016" s="110" t="s">
        <v>276</v>
      </c>
      <c r="C17016" s="111" t="s">
        <v>28746</v>
      </c>
      <c r="D17016" s="111" t="str">
        <f t="shared" ref="D17016:E17016" si="17014">TRIM(B17016)</f>
        <v>Washington</v>
      </c>
      <c r="E17016" s="111" t="str">
        <f t="shared" si="17014"/>
        <v>Vancouver</v>
      </c>
    </row>
    <row r="17017" spans="1:5">
      <c r="A17017" s="110" t="s">
        <v>28752</v>
      </c>
      <c r="B17017" s="110" t="s">
        <v>276</v>
      </c>
      <c r="C17017" s="111" t="s">
        <v>28746</v>
      </c>
      <c r="D17017" s="111" t="str">
        <f t="shared" ref="D17017:E17017" si="17015">TRIM(B17017)</f>
        <v>Washington</v>
      </c>
      <c r="E17017" s="111" t="str">
        <f t="shared" si="17015"/>
        <v>Vancouver</v>
      </c>
    </row>
    <row r="17018" spans="1:5">
      <c r="A17018" s="110" t="s">
        <v>28753</v>
      </c>
      <c r="B17018" s="110" t="s">
        <v>276</v>
      </c>
      <c r="C17018" s="111" t="s">
        <v>28746</v>
      </c>
      <c r="D17018" s="111" t="str">
        <f t="shared" ref="D17018:E17018" si="17016">TRIM(B17018)</f>
        <v>Washington</v>
      </c>
      <c r="E17018" s="111" t="str">
        <f t="shared" si="17016"/>
        <v>Vancouver</v>
      </c>
    </row>
    <row r="17019" spans="1:5">
      <c r="A17019" s="3" t="s">
        <v>28754</v>
      </c>
      <c r="B17019" s="110" t="s">
        <v>276</v>
      </c>
      <c r="C17019" s="111" t="s">
        <v>28746</v>
      </c>
      <c r="D17019" s="111" t="str">
        <f t="shared" ref="D17019:E17019" si="17017">TRIM(B17019)</f>
        <v>Washington</v>
      </c>
      <c r="E17019" s="111" t="str">
        <f t="shared" si="17017"/>
        <v>Vancouver</v>
      </c>
    </row>
    <row r="17020" spans="1:5">
      <c r="A17020" s="110" t="s">
        <v>28755</v>
      </c>
      <c r="B17020" s="110" t="s">
        <v>276</v>
      </c>
      <c r="C17020" s="111" t="s">
        <v>28746</v>
      </c>
      <c r="D17020" s="111" t="str">
        <f t="shared" ref="D17020:E17020" si="17018">TRIM(B17020)</f>
        <v>Washington</v>
      </c>
      <c r="E17020" s="111" t="str">
        <f t="shared" si="17018"/>
        <v>Vancouver</v>
      </c>
    </row>
    <row r="17021" spans="1:5">
      <c r="A17021" s="3" t="s">
        <v>28756</v>
      </c>
      <c r="B17021" s="110" t="s">
        <v>276</v>
      </c>
      <c r="C17021" s="111" t="s">
        <v>28757</v>
      </c>
      <c r="D17021" s="111" t="str">
        <f t="shared" ref="D17021:E17021" si="17019">TRIM(B17021)</f>
        <v>Washington</v>
      </c>
      <c r="E17021" s="111" t="str">
        <f t="shared" si="17019"/>
        <v>Vashon</v>
      </c>
    </row>
    <row r="17022" spans="1:5">
      <c r="A17022" s="3" t="s">
        <v>28758</v>
      </c>
      <c r="B17022" s="110" t="s">
        <v>276</v>
      </c>
      <c r="C17022" s="111" t="s">
        <v>28759</v>
      </c>
      <c r="D17022" s="111" t="str">
        <f t="shared" ref="D17022:E17022" si="17020">TRIM(B17022)</f>
        <v>Washington</v>
      </c>
      <c r="E17022" s="111" t="str">
        <f t="shared" si="17020"/>
        <v>Waitsburg</v>
      </c>
    </row>
    <row r="17023" spans="1:5">
      <c r="A17023" s="3" t="s">
        <v>28760</v>
      </c>
      <c r="B17023" s="110" t="s">
        <v>276</v>
      </c>
      <c r="C17023" s="111" t="s">
        <v>28761</v>
      </c>
      <c r="D17023" s="111" t="str">
        <f t="shared" ref="D17023:E17023" si="17021">TRIM(B17023)</f>
        <v>Washington</v>
      </c>
      <c r="E17023" s="111" t="str">
        <f t="shared" si="17021"/>
        <v>Walla Walla</v>
      </c>
    </row>
    <row r="17024" spans="1:5">
      <c r="A17024" s="3" t="s">
        <v>28762</v>
      </c>
      <c r="B17024" s="110" t="s">
        <v>276</v>
      </c>
      <c r="C17024" s="111" t="s">
        <v>28763</v>
      </c>
      <c r="D17024" s="111" t="str">
        <f t="shared" ref="D17024:E17024" si="17022">TRIM(B17024)</f>
        <v>Washington</v>
      </c>
      <c r="E17024" s="111" t="str">
        <f t="shared" si="17022"/>
        <v>Wapato</v>
      </c>
    </row>
    <row r="17025" spans="1:5">
      <c r="A17025" s="3" t="s">
        <v>28764</v>
      </c>
      <c r="B17025" s="110" t="s">
        <v>276</v>
      </c>
      <c r="C17025" s="111" t="s">
        <v>28765</v>
      </c>
      <c r="D17025" s="111" t="str">
        <f t="shared" ref="D17025:E17025" si="17023">TRIM(B17025)</f>
        <v>Washington</v>
      </c>
      <c r="E17025" s="111" t="str">
        <f t="shared" si="17023"/>
        <v>Warden</v>
      </c>
    </row>
    <row r="17026" spans="1:5">
      <c r="A17026" s="3" t="s">
        <v>28766</v>
      </c>
      <c r="B17026" s="110" t="s">
        <v>276</v>
      </c>
      <c r="C17026" s="111" t="s">
        <v>28767</v>
      </c>
      <c r="D17026" s="111" t="str">
        <f t="shared" ref="D17026:E17026" si="17024">TRIM(B17026)</f>
        <v>Washington</v>
      </c>
      <c r="E17026" s="111" t="str">
        <f t="shared" si="17024"/>
        <v>Washougal</v>
      </c>
    </row>
    <row r="17027" spans="1:5">
      <c r="A17027" s="3" t="s">
        <v>28768</v>
      </c>
      <c r="B17027" s="110" t="s">
        <v>276</v>
      </c>
      <c r="C17027" s="111" t="s">
        <v>11028</v>
      </c>
      <c r="D17027" s="111" t="str">
        <f t="shared" ref="D17027:E17027" si="17025">TRIM(B17027)</f>
        <v>Washington</v>
      </c>
      <c r="E17027" s="111" t="str">
        <f t="shared" si="17025"/>
        <v>Waterville</v>
      </c>
    </row>
    <row r="17028" spans="1:5">
      <c r="A17028" s="3" t="s">
        <v>28769</v>
      </c>
      <c r="B17028" s="110" t="s">
        <v>276</v>
      </c>
      <c r="C17028" s="111" t="s">
        <v>28770</v>
      </c>
      <c r="D17028" s="111" t="str">
        <f t="shared" ref="D17028:E17028" si="17026">TRIM(B17028)</f>
        <v>Washington</v>
      </c>
      <c r="E17028" s="111" t="str">
        <f t="shared" si="17026"/>
        <v>Wellpinit</v>
      </c>
    </row>
    <row r="17029" spans="1:5">
      <c r="A17029" s="3" t="s">
        <v>28771</v>
      </c>
      <c r="B17029" s="110" t="s">
        <v>276</v>
      </c>
      <c r="C17029" s="111" t="s">
        <v>14212</v>
      </c>
      <c r="D17029" s="111" t="str">
        <f t="shared" ref="D17029:E17029" si="17027">TRIM(B17029)</f>
        <v>Washington</v>
      </c>
      <c r="E17029" s="111" t="str">
        <f t="shared" si="17027"/>
        <v>Wenatchee</v>
      </c>
    </row>
    <row r="17030" spans="1:5">
      <c r="A17030" s="3" t="s">
        <v>28772</v>
      </c>
      <c r="B17030" s="110" t="s">
        <v>276</v>
      </c>
      <c r="C17030" s="111" t="s">
        <v>8755</v>
      </c>
      <c r="D17030" s="111" t="str">
        <f t="shared" ref="D17030:E17030" si="17028">TRIM(B17030)</f>
        <v>Washington</v>
      </c>
      <c r="E17030" s="111" t="str">
        <f t="shared" si="17028"/>
        <v>Westport</v>
      </c>
    </row>
    <row r="17031" spans="1:5">
      <c r="A17031" s="3" t="s">
        <v>1870</v>
      </c>
      <c r="B17031" s="110" t="s">
        <v>276</v>
      </c>
      <c r="C17031" s="111" t="s">
        <v>28773</v>
      </c>
      <c r="D17031" s="111" t="str">
        <f t="shared" ref="D17031:E17031" si="17029">TRIM(B17031)</f>
        <v>Washington</v>
      </c>
      <c r="E17031" s="111" t="str">
        <f t="shared" si="17029"/>
        <v>White Salmon</v>
      </c>
    </row>
    <row r="17032" spans="1:5">
      <c r="A17032" s="3" t="s">
        <v>28774</v>
      </c>
      <c r="B17032" s="110" t="s">
        <v>276</v>
      </c>
      <c r="C17032" s="111" t="s">
        <v>28775</v>
      </c>
      <c r="D17032" s="111" t="str">
        <f t="shared" ref="D17032:E17032" si="17030">TRIM(B17032)</f>
        <v>Washington</v>
      </c>
      <c r="E17032" s="111" t="str">
        <f t="shared" si="17030"/>
        <v>White Swan</v>
      </c>
    </row>
    <row r="17033" spans="1:5">
      <c r="A17033" s="110" t="s">
        <v>28776</v>
      </c>
      <c r="B17033" s="110" t="s">
        <v>276</v>
      </c>
      <c r="C17033" s="111" t="s">
        <v>28777</v>
      </c>
      <c r="D17033" s="111" t="str">
        <f t="shared" ref="D17033:E17033" si="17031">TRIM(B17033)</f>
        <v>Washington</v>
      </c>
      <c r="E17033" s="111" t="str">
        <f t="shared" si="17031"/>
        <v>Wilbur</v>
      </c>
    </row>
    <row r="17034" spans="1:5">
      <c r="A17034" s="3" t="s">
        <v>28778</v>
      </c>
      <c r="B17034" s="110" t="s">
        <v>276</v>
      </c>
      <c r="C17034" s="111" t="s">
        <v>28779</v>
      </c>
      <c r="D17034" s="111" t="str">
        <f t="shared" ref="D17034:E17034" si="17032">TRIM(B17034)</f>
        <v>Washington</v>
      </c>
      <c r="E17034" s="111" t="str">
        <f t="shared" si="17032"/>
        <v>Wilson Creek</v>
      </c>
    </row>
    <row r="17035" spans="1:5">
      <c r="A17035" s="3" t="s">
        <v>28780</v>
      </c>
      <c r="B17035" s="110" t="s">
        <v>276</v>
      </c>
      <c r="C17035" s="111" t="s">
        <v>28781</v>
      </c>
      <c r="D17035" s="111" t="str">
        <f t="shared" ref="D17035:E17035" si="17033">TRIM(B17035)</f>
        <v>Washington</v>
      </c>
      <c r="E17035" s="111" t="str">
        <f t="shared" si="17033"/>
        <v>Winlock</v>
      </c>
    </row>
    <row r="17036" spans="1:5">
      <c r="A17036" s="3" t="s">
        <v>28782</v>
      </c>
      <c r="B17036" s="110" t="s">
        <v>276</v>
      </c>
      <c r="C17036" s="111" t="s">
        <v>15140</v>
      </c>
      <c r="D17036" s="111" t="str">
        <f t="shared" ref="D17036:E17036" si="17034">TRIM(B17036)</f>
        <v>Washington</v>
      </c>
      <c r="E17036" s="111" t="str">
        <f t="shared" si="17034"/>
        <v>Winthrop</v>
      </c>
    </row>
    <row r="17037" spans="1:5">
      <c r="A17037" s="3" t="s">
        <v>28783</v>
      </c>
      <c r="B17037" s="110" t="s">
        <v>276</v>
      </c>
      <c r="C17037" s="112" t="s">
        <v>14114</v>
      </c>
      <c r="D17037" s="111" t="str">
        <f t="shared" ref="D17037:E17037" si="17035">TRIM(B17037)</f>
        <v>Washington</v>
      </c>
      <c r="E17037" s="111" t="str">
        <f t="shared" si="17035"/>
        <v>Woodinville</v>
      </c>
    </row>
    <row r="17038" spans="1:5">
      <c r="A17038" s="3" t="s">
        <v>2285</v>
      </c>
      <c r="B17038" s="110" t="s">
        <v>276</v>
      </c>
      <c r="C17038" s="111" t="s">
        <v>333</v>
      </c>
      <c r="D17038" s="111" t="str">
        <f t="shared" ref="D17038:E17038" si="17036">TRIM(B17038)</f>
        <v>Washington</v>
      </c>
      <c r="E17038" s="111" t="str">
        <f t="shared" si="17036"/>
        <v>Woodland</v>
      </c>
    </row>
    <row r="17039" spans="1:5">
      <c r="A17039" s="3" t="s">
        <v>23756</v>
      </c>
      <c r="B17039" s="110" t="s">
        <v>276</v>
      </c>
      <c r="C17039" s="111" t="s">
        <v>28784</v>
      </c>
      <c r="D17039" s="111" t="str">
        <f t="shared" ref="D17039:E17039" si="17037">TRIM(B17039)</f>
        <v>Washington</v>
      </c>
      <c r="E17039" s="111" t="str">
        <f t="shared" si="17037"/>
        <v>Yakima</v>
      </c>
    </row>
    <row r="17040" spans="1:5">
      <c r="A17040" s="3" t="s">
        <v>2831</v>
      </c>
      <c r="B17040" s="110" t="s">
        <v>276</v>
      </c>
      <c r="C17040" s="111" t="s">
        <v>28784</v>
      </c>
      <c r="D17040" s="111" t="str">
        <f t="shared" ref="D17040:E17040" si="17038">TRIM(B17040)</f>
        <v>Washington</v>
      </c>
      <c r="E17040" s="111" t="str">
        <f t="shared" si="17038"/>
        <v>Yakima</v>
      </c>
    </row>
    <row r="17041" spans="1:5">
      <c r="A17041" s="3" t="s">
        <v>12745</v>
      </c>
      <c r="B17041" s="110" t="s">
        <v>276</v>
      </c>
      <c r="C17041" s="111" t="s">
        <v>28784</v>
      </c>
      <c r="D17041" s="111" t="str">
        <f t="shared" ref="D17041:E17041" si="17039">TRIM(B17041)</f>
        <v>Washington</v>
      </c>
      <c r="E17041" s="111" t="str">
        <f t="shared" si="17039"/>
        <v>Yakima</v>
      </c>
    </row>
    <row r="17042" spans="1:5">
      <c r="A17042" s="110" t="s">
        <v>28785</v>
      </c>
      <c r="B17042" s="110" t="s">
        <v>276</v>
      </c>
      <c r="C17042" s="111" t="s">
        <v>28784</v>
      </c>
      <c r="D17042" s="111" t="str">
        <f t="shared" ref="D17042:E17042" si="17040">TRIM(B17042)</f>
        <v>Washington</v>
      </c>
      <c r="E17042" s="111" t="str">
        <f t="shared" si="17040"/>
        <v>Yakima</v>
      </c>
    </row>
    <row r="17043" spans="1:5">
      <c r="A17043" s="3" t="s">
        <v>2342</v>
      </c>
      <c r="B17043" s="110" t="s">
        <v>276</v>
      </c>
      <c r="C17043" s="111" t="s">
        <v>28784</v>
      </c>
      <c r="D17043" s="111" t="str">
        <f t="shared" ref="D17043:E17043" si="17041">TRIM(B17043)</f>
        <v>Washington</v>
      </c>
      <c r="E17043" s="111" t="str">
        <f t="shared" si="17041"/>
        <v>Yakima</v>
      </c>
    </row>
    <row r="17044" spans="1:5">
      <c r="A17044" s="3" t="s">
        <v>28786</v>
      </c>
      <c r="B17044" s="110" t="s">
        <v>276</v>
      </c>
      <c r="C17044" s="111" t="s">
        <v>28787</v>
      </c>
      <c r="D17044" s="111" t="str">
        <f t="shared" ref="D17044:E17044" si="17042">TRIM(B17044)</f>
        <v>Washington</v>
      </c>
      <c r="E17044" s="111" t="str">
        <f t="shared" si="17042"/>
        <v>Yelm</v>
      </c>
    </row>
    <row r="17045" spans="1:5">
      <c r="A17045" s="3" t="s">
        <v>28788</v>
      </c>
      <c r="B17045" s="110" t="s">
        <v>276</v>
      </c>
      <c r="C17045" s="111" t="s">
        <v>28789</v>
      </c>
      <c r="D17045" s="111" t="str">
        <f t="shared" ref="D17045:E17045" si="17043">TRIM(B17045)</f>
        <v>Washington</v>
      </c>
      <c r="E17045" s="111" t="str">
        <f t="shared" si="17043"/>
        <v>Zillah</v>
      </c>
    </row>
    <row r="17046" spans="1:5">
      <c r="A17046" s="3" t="s">
        <v>28790</v>
      </c>
      <c r="B17046" s="110" t="s">
        <v>1377</v>
      </c>
      <c r="C17046" s="111" t="s">
        <v>11596</v>
      </c>
      <c r="D17046" s="111" t="str">
        <f t="shared" ref="D17046:E17046" si="17044">TRIM(B17046)</f>
        <v>West Virginia</v>
      </c>
      <c r="E17046" s="111" t="str">
        <f t="shared" si="17044"/>
        <v>Ashton</v>
      </c>
    </row>
    <row r="17047" spans="1:5">
      <c r="A17047" s="3" t="s">
        <v>28791</v>
      </c>
      <c r="B17047" s="110" t="s">
        <v>1377</v>
      </c>
      <c r="C17047" s="111" t="s">
        <v>4415</v>
      </c>
      <c r="D17047" s="111" t="str">
        <f t="shared" ref="D17047:E17047" si="17045">TRIM(B17047)</f>
        <v>West Virginia</v>
      </c>
      <c r="E17047" s="111" t="str">
        <f t="shared" si="17045"/>
        <v>Baker</v>
      </c>
    </row>
    <row r="17048" spans="1:5">
      <c r="A17048" s="3" t="s">
        <v>8935</v>
      </c>
      <c r="B17048" s="110" t="s">
        <v>1377</v>
      </c>
      <c r="C17048" s="111" t="s">
        <v>28792</v>
      </c>
      <c r="D17048" s="111" t="str">
        <f t="shared" ref="D17048:E17048" si="17046">TRIM(B17048)</f>
        <v>West Virginia</v>
      </c>
      <c r="E17048" s="111" t="str">
        <f t="shared" si="17046"/>
        <v>Beckley</v>
      </c>
    </row>
    <row r="17049" spans="1:5">
      <c r="A17049" s="3" t="s">
        <v>3921</v>
      </c>
      <c r="B17049" s="110" t="s">
        <v>1377</v>
      </c>
      <c r="C17049" s="111" t="s">
        <v>18623</v>
      </c>
      <c r="D17049" s="111" t="str">
        <f t="shared" ref="D17049:E17049" si="17047">TRIM(B17049)</f>
        <v>West Virginia</v>
      </c>
      <c r="E17049" s="111" t="str">
        <f t="shared" si="17047"/>
        <v>Belle</v>
      </c>
    </row>
    <row r="17050" spans="1:5">
      <c r="A17050" s="3" t="s">
        <v>28793</v>
      </c>
      <c r="B17050" s="110" t="s">
        <v>1377</v>
      </c>
      <c r="C17050" s="111" t="s">
        <v>28794</v>
      </c>
      <c r="D17050" s="111" t="str">
        <f t="shared" ref="D17050:E17050" si="17048">TRIM(B17050)</f>
        <v>West Virginia</v>
      </c>
      <c r="E17050" s="111" t="str">
        <f t="shared" si="17048"/>
        <v>Berkeley Springs</v>
      </c>
    </row>
    <row r="17051" spans="1:5">
      <c r="A17051" s="3" t="s">
        <v>28795</v>
      </c>
      <c r="B17051" s="110" t="s">
        <v>1377</v>
      </c>
      <c r="C17051" s="111" t="s">
        <v>28796</v>
      </c>
      <c r="D17051" s="111" t="str">
        <f t="shared" ref="D17051:E17051" si="17049">TRIM(B17051)</f>
        <v>West Virginia</v>
      </c>
      <c r="E17051" s="111" t="str">
        <f t="shared" si="17049"/>
        <v>Blacksville</v>
      </c>
    </row>
    <row r="17052" spans="1:5">
      <c r="A17052" s="3" t="s">
        <v>28797</v>
      </c>
      <c r="B17052" s="110" t="s">
        <v>1377</v>
      </c>
      <c r="C17052" s="111" t="s">
        <v>4904</v>
      </c>
      <c r="D17052" s="111" t="str">
        <f t="shared" ref="D17052:E17052" si="17050">TRIM(B17052)</f>
        <v>West Virginia</v>
      </c>
      <c r="E17052" s="111" t="str">
        <f t="shared" si="17050"/>
        <v>Bluefield</v>
      </c>
    </row>
    <row r="17053" spans="1:5">
      <c r="A17053" s="3" t="s">
        <v>23542</v>
      </c>
      <c r="B17053" s="110" t="s">
        <v>1377</v>
      </c>
      <c r="C17053" s="111" t="s">
        <v>28798</v>
      </c>
      <c r="D17053" s="111" t="str">
        <f t="shared" ref="D17053:E17053" si="17051">TRIM(B17053)</f>
        <v>West Virginia</v>
      </c>
      <c r="E17053" s="111" t="str">
        <f t="shared" si="17051"/>
        <v>Bradshaw</v>
      </c>
    </row>
    <row r="17054" spans="1:5">
      <c r="A17054" s="3" t="s">
        <v>17003</v>
      </c>
      <c r="B17054" s="110" t="s">
        <v>1377</v>
      </c>
      <c r="C17054" s="111" t="s">
        <v>3478</v>
      </c>
      <c r="D17054" s="111" t="str">
        <f t="shared" ref="D17054:E17054" si="17052">TRIM(B17054)</f>
        <v>West Virginia</v>
      </c>
      <c r="E17054" s="111" t="str">
        <f t="shared" si="17052"/>
        <v>Bridgeport</v>
      </c>
    </row>
    <row r="17055" spans="1:5">
      <c r="A17055" s="3" t="s">
        <v>28799</v>
      </c>
      <c r="B17055" s="110" t="s">
        <v>1377</v>
      </c>
      <c r="C17055" s="111" t="s">
        <v>28800</v>
      </c>
      <c r="D17055" s="111" t="str">
        <f t="shared" ref="D17055:E17055" si="17053">TRIM(B17055)</f>
        <v>West Virginia</v>
      </c>
      <c r="E17055" s="111" t="str">
        <f t="shared" si="17053"/>
        <v>Buckhannon</v>
      </c>
    </row>
    <row r="17056" spans="1:5">
      <c r="A17056" s="3" t="s">
        <v>18657</v>
      </c>
      <c r="B17056" s="110" t="s">
        <v>1377</v>
      </c>
      <c r="C17056" s="111" t="s">
        <v>12129</v>
      </c>
      <c r="D17056" s="111" t="str">
        <f t="shared" ref="D17056:E17056" si="17054">TRIM(B17056)</f>
        <v>West Virginia</v>
      </c>
      <c r="E17056" s="111" t="str">
        <f t="shared" si="17054"/>
        <v>Buffalo</v>
      </c>
    </row>
    <row r="17057" spans="1:5">
      <c r="A17057" s="3" t="s">
        <v>18672</v>
      </c>
      <c r="B17057" s="110" t="s">
        <v>1377</v>
      </c>
      <c r="C17057" s="111" t="s">
        <v>13742</v>
      </c>
      <c r="D17057" s="111" t="str">
        <f t="shared" ref="D17057:E17057" si="17055">TRIM(B17057)</f>
        <v>West Virginia</v>
      </c>
      <c r="E17057" s="111" t="str">
        <f t="shared" si="17055"/>
        <v>Cameron</v>
      </c>
    </row>
    <row r="17058" spans="1:5">
      <c r="A17058" s="3" t="s">
        <v>28801</v>
      </c>
      <c r="B17058" s="110" t="s">
        <v>1377</v>
      </c>
      <c r="C17058" s="111" t="s">
        <v>28802</v>
      </c>
      <c r="D17058" s="111" t="str">
        <f t="shared" ref="D17058:E17058" si="17056">TRIM(B17058)</f>
        <v>West Virginia</v>
      </c>
      <c r="E17058" s="111" t="str">
        <f t="shared" si="17056"/>
        <v>Chapmanville</v>
      </c>
    </row>
    <row r="17059" spans="1:5">
      <c r="A17059" s="3" t="s">
        <v>3140</v>
      </c>
      <c r="B17059" s="110" t="s">
        <v>1377</v>
      </c>
      <c r="C17059" s="111" t="s">
        <v>28803</v>
      </c>
      <c r="D17059" s="111" t="str">
        <f t="shared" ref="D17059:E17059" si="17057">TRIM(B17059)</f>
        <v>West Virginia</v>
      </c>
      <c r="E17059" s="111" t="str">
        <f t="shared" si="17057"/>
        <v>Charles Town</v>
      </c>
    </row>
    <row r="17060" spans="1:5">
      <c r="A17060" s="3" t="s">
        <v>19346</v>
      </c>
      <c r="B17060" s="110" t="s">
        <v>1377</v>
      </c>
      <c r="C17060" s="111" t="s">
        <v>3684</v>
      </c>
      <c r="D17060" s="111" t="str">
        <f t="shared" ref="D17060:E17060" si="17058">TRIM(B17060)</f>
        <v>West Virginia</v>
      </c>
      <c r="E17060" s="111" t="str">
        <f t="shared" si="17058"/>
        <v>Charleston</v>
      </c>
    </row>
    <row r="17061" spans="1:5">
      <c r="A17061" s="3" t="s">
        <v>7817</v>
      </c>
      <c r="B17061" s="110" t="s">
        <v>1377</v>
      </c>
      <c r="C17061" s="111" t="s">
        <v>3684</v>
      </c>
      <c r="D17061" s="111" t="str">
        <f t="shared" ref="D17061:E17061" si="17059">TRIM(B17061)</f>
        <v>West Virginia</v>
      </c>
      <c r="E17061" s="111" t="str">
        <f t="shared" si="17059"/>
        <v>Charleston</v>
      </c>
    </row>
    <row r="17062" spans="1:5">
      <c r="A17062" s="3" t="s">
        <v>28804</v>
      </c>
      <c r="B17062" s="110" t="s">
        <v>1377</v>
      </c>
      <c r="C17062" s="111" t="s">
        <v>3684</v>
      </c>
      <c r="D17062" s="111" t="str">
        <f t="shared" ref="D17062:E17062" si="17060">TRIM(B17062)</f>
        <v>West Virginia</v>
      </c>
      <c r="E17062" s="111" t="str">
        <f t="shared" si="17060"/>
        <v>Charleston</v>
      </c>
    </row>
    <row r="17063" spans="1:5">
      <c r="A17063" s="3" t="s">
        <v>28805</v>
      </c>
      <c r="B17063" s="110" t="s">
        <v>1377</v>
      </c>
      <c r="C17063" s="111" t="s">
        <v>28806</v>
      </c>
      <c r="D17063" s="111" t="str">
        <f t="shared" ref="D17063:E17063" si="17061">TRIM(B17063)</f>
        <v>West Virginia</v>
      </c>
      <c r="E17063" s="111" t="str">
        <f t="shared" si="17061"/>
        <v>Charmco</v>
      </c>
    </row>
    <row r="17064" spans="1:5">
      <c r="A17064" s="3" t="s">
        <v>2745</v>
      </c>
      <c r="B17064" s="110" t="s">
        <v>1377</v>
      </c>
      <c r="C17064" s="111" t="s">
        <v>4697</v>
      </c>
      <c r="D17064" s="111" t="str">
        <f t="shared" ref="D17064:E17064" si="17062">TRIM(B17064)</f>
        <v>West Virginia</v>
      </c>
      <c r="E17064" s="111" t="str">
        <f t="shared" si="17062"/>
        <v>Clarksburg</v>
      </c>
    </row>
    <row r="17065" spans="1:5">
      <c r="A17065" s="3" t="s">
        <v>28807</v>
      </c>
      <c r="B17065" s="110" t="s">
        <v>1377</v>
      </c>
      <c r="C17065" s="111" t="s">
        <v>4697</v>
      </c>
      <c r="D17065" s="111" t="str">
        <f t="shared" ref="D17065:E17065" si="17063">TRIM(B17065)</f>
        <v>West Virginia</v>
      </c>
      <c r="E17065" s="111" t="str">
        <f t="shared" si="17063"/>
        <v>Clarksburg</v>
      </c>
    </row>
    <row r="17066" spans="1:5">
      <c r="A17066" s="3" t="s">
        <v>15765</v>
      </c>
      <c r="B17066" s="110" t="s">
        <v>1377</v>
      </c>
      <c r="C17066" s="111" t="s">
        <v>17061</v>
      </c>
      <c r="D17066" s="111" t="str">
        <f t="shared" ref="D17066:E17066" si="17064">TRIM(B17066)</f>
        <v>West Virginia</v>
      </c>
      <c r="E17066" s="111" t="str">
        <f t="shared" si="17064"/>
        <v>Clay</v>
      </c>
    </row>
    <row r="17067" spans="1:5">
      <c r="A17067" s="3" t="s">
        <v>3698</v>
      </c>
      <c r="B17067" s="110" t="s">
        <v>1377</v>
      </c>
      <c r="C17067" s="111" t="s">
        <v>28808</v>
      </c>
      <c r="D17067" s="111" t="str">
        <f t="shared" ref="D17067:E17067" si="17065">TRIM(B17067)</f>
        <v>West Virginia</v>
      </c>
      <c r="E17067" s="111" t="str">
        <f t="shared" si="17065"/>
        <v>Clear Fork</v>
      </c>
    </row>
    <row r="17068" spans="1:5">
      <c r="A17068" s="3" t="s">
        <v>2727</v>
      </c>
      <c r="B17068" s="110" t="s">
        <v>1377</v>
      </c>
      <c r="C17068" s="111" t="s">
        <v>12689</v>
      </c>
      <c r="D17068" s="111" t="str">
        <f t="shared" ref="D17068:E17068" si="17066">TRIM(B17068)</f>
        <v>West Virginia</v>
      </c>
      <c r="E17068" s="111" t="str">
        <f t="shared" si="17066"/>
        <v>Coal City</v>
      </c>
    </row>
    <row r="17069" spans="1:5">
      <c r="A17069" s="3" t="s">
        <v>16045</v>
      </c>
      <c r="B17069" s="110" t="s">
        <v>1377</v>
      </c>
      <c r="C17069" s="111" t="s">
        <v>28809</v>
      </c>
      <c r="D17069" s="111" t="str">
        <f t="shared" ref="D17069:E17069" si="17067">TRIM(B17069)</f>
        <v>West Virginia</v>
      </c>
      <c r="E17069" s="111" t="str">
        <f t="shared" si="17067"/>
        <v>Craigsville</v>
      </c>
    </row>
    <row r="17070" spans="1:5">
      <c r="A17070" s="3" t="s">
        <v>28810</v>
      </c>
      <c r="B17070" s="110" t="s">
        <v>1377</v>
      </c>
      <c r="C17070" s="111" t="s">
        <v>28811</v>
      </c>
      <c r="D17070" s="111" t="str">
        <f t="shared" ref="D17070:E17070" si="17068">TRIM(B17070)</f>
        <v>West Virginia</v>
      </c>
      <c r="E17070" s="111" t="str">
        <f t="shared" si="17068"/>
        <v>Delbarton</v>
      </c>
    </row>
    <row r="17071" spans="1:5">
      <c r="A17071" s="3" t="s">
        <v>28812</v>
      </c>
      <c r="B17071" s="110" t="s">
        <v>1377</v>
      </c>
      <c r="C17071" s="111" t="s">
        <v>13088</v>
      </c>
      <c r="D17071" s="111" t="str">
        <f t="shared" ref="D17071:E17071" si="17069">TRIM(B17071)</f>
        <v>West Virginia</v>
      </c>
      <c r="E17071" s="111" t="str">
        <f t="shared" si="17069"/>
        <v>Dunmore</v>
      </c>
    </row>
    <row r="17072" spans="1:5">
      <c r="A17072" s="3" t="s">
        <v>28813</v>
      </c>
      <c r="B17072" s="110" t="s">
        <v>1377</v>
      </c>
      <c r="C17072" s="111" t="s">
        <v>854</v>
      </c>
      <c r="D17072" s="111" t="str">
        <f t="shared" ref="D17072:E17072" si="17070">TRIM(B17072)</f>
        <v>West Virginia</v>
      </c>
      <c r="E17072" s="111" t="str">
        <f t="shared" si="17070"/>
        <v>Elizabeth</v>
      </c>
    </row>
    <row r="17073" spans="1:5">
      <c r="A17073" s="3" t="s">
        <v>3759</v>
      </c>
      <c r="B17073" s="110" t="s">
        <v>1377</v>
      </c>
      <c r="C17073" s="111" t="s">
        <v>3760</v>
      </c>
      <c r="D17073" s="111" t="str">
        <f t="shared" ref="D17073:E17073" si="17071">TRIM(B17073)</f>
        <v>West Virginia</v>
      </c>
      <c r="E17073" s="111" t="str">
        <f t="shared" si="17071"/>
        <v>Elkins</v>
      </c>
    </row>
    <row r="17074" spans="1:5">
      <c r="A17074" s="3" t="s">
        <v>5096</v>
      </c>
      <c r="B17074" s="110" t="s">
        <v>1377</v>
      </c>
      <c r="C17074" s="111" t="s">
        <v>28814</v>
      </c>
      <c r="D17074" s="111" t="str">
        <f t="shared" ref="D17074:E17074" si="17072">TRIM(B17074)</f>
        <v>West Virginia</v>
      </c>
      <c r="E17074" s="111" t="str">
        <f t="shared" si="17072"/>
        <v>Elkview</v>
      </c>
    </row>
    <row r="17075" spans="1:5">
      <c r="A17075" s="3" t="s">
        <v>28815</v>
      </c>
      <c r="B17075" s="110" t="s">
        <v>1377</v>
      </c>
      <c r="C17075" s="111" t="s">
        <v>28816</v>
      </c>
      <c r="D17075" s="111" t="str">
        <f t="shared" ref="D17075:E17075" si="17073">TRIM(B17075)</f>
        <v>West Virginia</v>
      </c>
      <c r="E17075" s="111" t="str">
        <f t="shared" si="17073"/>
        <v>Ellenboro</v>
      </c>
    </row>
    <row r="17076" spans="1:5">
      <c r="A17076" s="3" t="s">
        <v>28817</v>
      </c>
      <c r="B17076" s="110" t="s">
        <v>1377</v>
      </c>
      <c r="C17076" s="111" t="s">
        <v>17882</v>
      </c>
      <c r="D17076" s="111" t="str">
        <f t="shared" ref="D17076:E17076" si="17074">TRIM(B17076)</f>
        <v>West Virginia</v>
      </c>
      <c r="E17076" s="111" t="str">
        <f t="shared" si="17074"/>
        <v>Fairmont</v>
      </c>
    </row>
    <row r="17077" spans="1:5">
      <c r="A17077" s="3" t="s">
        <v>28818</v>
      </c>
      <c r="B17077" s="110" t="s">
        <v>1377</v>
      </c>
      <c r="C17077" s="111" t="s">
        <v>17882</v>
      </c>
      <c r="D17077" s="111" t="str">
        <f t="shared" ref="D17077:E17077" si="17075">TRIM(B17077)</f>
        <v>West Virginia</v>
      </c>
      <c r="E17077" s="111" t="str">
        <f t="shared" si="17075"/>
        <v>Fairmont</v>
      </c>
    </row>
    <row r="17078" spans="1:5">
      <c r="A17078" s="3" t="s">
        <v>9053</v>
      </c>
      <c r="B17078" s="110" t="s">
        <v>1377</v>
      </c>
      <c r="C17078" s="111" t="s">
        <v>3773</v>
      </c>
      <c r="D17078" s="111" t="str">
        <f t="shared" ref="D17078:E17078" si="17076">TRIM(B17078)</f>
        <v>West Virginia</v>
      </c>
      <c r="E17078" s="111" t="str">
        <f t="shared" si="17076"/>
        <v>Farmington</v>
      </c>
    </row>
    <row r="17079" spans="1:5">
      <c r="A17079" s="3" t="s">
        <v>25919</v>
      </c>
      <c r="B17079" s="110" t="s">
        <v>1377</v>
      </c>
      <c r="C17079" s="111" t="s">
        <v>554</v>
      </c>
      <c r="D17079" s="111" t="str">
        <f t="shared" ref="D17079:E17079" si="17077">TRIM(B17079)</f>
        <v>West Virginia</v>
      </c>
      <c r="E17079" s="111" t="str">
        <f t="shared" si="17077"/>
        <v>Fayetteville</v>
      </c>
    </row>
    <row r="17080" spans="1:5">
      <c r="A17080" s="3" t="s">
        <v>28819</v>
      </c>
      <c r="B17080" s="110" t="s">
        <v>1377</v>
      </c>
      <c r="C17080" s="111" t="s">
        <v>28820</v>
      </c>
      <c r="D17080" s="111" t="str">
        <f t="shared" ref="D17080:E17080" si="17078">TRIM(B17080)</f>
        <v>West Virginia</v>
      </c>
      <c r="E17080" s="111" t="str">
        <f t="shared" si="17078"/>
        <v>Fort Gay</v>
      </c>
    </row>
    <row r="17081" spans="1:5">
      <c r="A17081" s="3" t="s">
        <v>28821</v>
      </c>
      <c r="B17081" s="110" t="s">
        <v>1377</v>
      </c>
      <c r="C17081" s="111" t="s">
        <v>525</v>
      </c>
      <c r="D17081" s="111" t="str">
        <f t="shared" ref="D17081:E17081" si="17079">TRIM(B17081)</f>
        <v>West Virginia</v>
      </c>
      <c r="E17081" s="111" t="str">
        <f t="shared" si="17079"/>
        <v>Franklin</v>
      </c>
    </row>
    <row r="17082" spans="1:5">
      <c r="A17082" s="3" t="s">
        <v>23984</v>
      </c>
      <c r="B17082" s="110" t="s">
        <v>1377</v>
      </c>
      <c r="C17082" s="111" t="s">
        <v>28822</v>
      </c>
      <c r="D17082" s="111" t="str">
        <f t="shared" ref="D17082:E17082" si="17080">TRIM(B17082)</f>
        <v>West Virginia</v>
      </c>
      <c r="E17082" s="111" t="str">
        <f t="shared" si="17080"/>
        <v>Glen Dale</v>
      </c>
    </row>
    <row r="17083" spans="1:5">
      <c r="A17083" s="3" t="s">
        <v>2745</v>
      </c>
      <c r="B17083" s="110" t="s">
        <v>1377</v>
      </c>
      <c r="C17083" s="111" t="s">
        <v>28823</v>
      </c>
      <c r="D17083" s="111" t="str">
        <f t="shared" ref="D17083:E17083" si="17081">TRIM(B17083)</f>
        <v>West Virginia</v>
      </c>
      <c r="E17083" s="111" t="str">
        <f t="shared" si="17081"/>
        <v>Glen Daniel</v>
      </c>
    </row>
    <row r="17084" spans="1:5">
      <c r="A17084" s="3" t="s">
        <v>28824</v>
      </c>
      <c r="B17084" s="110" t="s">
        <v>1377</v>
      </c>
      <c r="C17084" s="111" t="s">
        <v>17906</v>
      </c>
      <c r="D17084" s="111" t="str">
        <f t="shared" ref="D17084:E17084" si="17082">TRIM(B17084)</f>
        <v>West Virginia</v>
      </c>
      <c r="E17084" s="111" t="str">
        <f t="shared" si="17082"/>
        <v>Glenville</v>
      </c>
    </row>
    <row r="17085" spans="1:5">
      <c r="A17085" s="3" t="s">
        <v>16654</v>
      </c>
      <c r="B17085" s="110" t="s">
        <v>1377</v>
      </c>
      <c r="C17085" s="111" t="s">
        <v>16655</v>
      </c>
      <c r="D17085" s="111" t="str">
        <f t="shared" ref="D17085:E17085" si="17083">TRIM(B17085)</f>
        <v>West Virginia</v>
      </c>
      <c r="E17085" s="111" t="str">
        <f t="shared" si="17083"/>
        <v>Grafton</v>
      </c>
    </row>
    <row r="17086" spans="1:5">
      <c r="A17086" s="3" t="s">
        <v>28825</v>
      </c>
      <c r="B17086" s="110" t="s">
        <v>1377</v>
      </c>
      <c r="C17086" s="111" t="s">
        <v>28826</v>
      </c>
      <c r="D17086" s="111" t="str">
        <f t="shared" ref="D17086:E17086" si="17084">TRIM(B17086)</f>
        <v>West Virginia</v>
      </c>
      <c r="E17086" s="111" t="str">
        <f t="shared" si="17084"/>
        <v>Hambleton</v>
      </c>
    </row>
    <row r="17087" spans="1:5">
      <c r="A17087" s="3" t="s">
        <v>10963</v>
      </c>
      <c r="B17087" s="110" t="s">
        <v>1377</v>
      </c>
      <c r="C17087" s="111" t="s">
        <v>26837</v>
      </c>
      <c r="D17087" s="111" t="str">
        <f t="shared" ref="D17087:E17087" si="17085">TRIM(B17087)</f>
        <v>West Virginia</v>
      </c>
      <c r="E17087" s="111" t="str">
        <f t="shared" si="17085"/>
        <v>Hamlin</v>
      </c>
    </row>
    <row r="17088" spans="1:5">
      <c r="A17088" s="3" t="s">
        <v>28827</v>
      </c>
      <c r="B17088" s="110" t="s">
        <v>1377</v>
      </c>
      <c r="C17088" s="111" t="s">
        <v>28828</v>
      </c>
      <c r="D17088" s="111" t="str">
        <f t="shared" ref="D17088:E17088" si="17086">TRIM(B17088)</f>
        <v>West Virginia</v>
      </c>
      <c r="E17088" s="111" t="str">
        <f t="shared" si="17086"/>
        <v>Hedgesville</v>
      </c>
    </row>
    <row r="17089" spans="1:5">
      <c r="A17089" s="3" t="s">
        <v>28829</v>
      </c>
      <c r="B17089" s="110" t="s">
        <v>1377</v>
      </c>
      <c r="C17089" s="111" t="s">
        <v>26871</v>
      </c>
      <c r="D17089" s="111" t="str">
        <f t="shared" ref="D17089:E17089" si="17087">TRIM(B17089)</f>
        <v>West Virginia</v>
      </c>
      <c r="E17089" s="111" t="str">
        <f t="shared" si="17087"/>
        <v>Hico</v>
      </c>
    </row>
    <row r="17090" spans="1:5">
      <c r="A17090" s="3" t="s">
        <v>28830</v>
      </c>
      <c r="B17090" s="110" t="s">
        <v>1377</v>
      </c>
      <c r="C17090" s="111" t="s">
        <v>14872</v>
      </c>
      <c r="D17090" s="111" t="str">
        <f t="shared" ref="D17090:E17090" si="17088">TRIM(B17090)</f>
        <v>West Virginia</v>
      </c>
      <c r="E17090" s="111" t="str">
        <f t="shared" si="17088"/>
        <v>Hinton</v>
      </c>
    </row>
    <row r="17091" spans="1:5">
      <c r="A17091" s="3" t="s">
        <v>28831</v>
      </c>
      <c r="B17091" s="110" t="s">
        <v>1377</v>
      </c>
      <c r="C17091" s="111" t="s">
        <v>28832</v>
      </c>
      <c r="D17091" s="111" t="str">
        <f t="shared" ref="D17091:E17091" si="17089">TRIM(B17091)</f>
        <v>West Virginia</v>
      </c>
      <c r="E17091" s="111" t="str">
        <f t="shared" si="17089"/>
        <v>Hundred</v>
      </c>
    </row>
    <row r="17092" spans="1:5">
      <c r="A17092" s="3" t="s">
        <v>16109</v>
      </c>
      <c r="B17092" s="110" t="s">
        <v>1377</v>
      </c>
      <c r="C17092" s="111" t="s">
        <v>1053</v>
      </c>
      <c r="D17092" s="111" t="str">
        <f t="shared" ref="D17092:E17092" si="17090">TRIM(B17092)</f>
        <v>West Virginia</v>
      </c>
      <c r="E17092" s="111" t="str">
        <f t="shared" si="17090"/>
        <v>Huntington</v>
      </c>
    </row>
    <row r="17093" spans="1:5">
      <c r="A17093" s="3" t="s">
        <v>19850</v>
      </c>
      <c r="B17093" s="110" t="s">
        <v>1377</v>
      </c>
      <c r="C17093" s="111" t="s">
        <v>1053</v>
      </c>
      <c r="D17093" s="111" t="str">
        <f t="shared" ref="D17093:E17093" si="17091">TRIM(B17093)</f>
        <v>West Virginia</v>
      </c>
      <c r="E17093" s="111" t="str">
        <f t="shared" si="17091"/>
        <v>Huntington</v>
      </c>
    </row>
    <row r="17094" spans="1:5">
      <c r="A17094" s="3" t="s">
        <v>27918</v>
      </c>
      <c r="B17094" s="110" t="s">
        <v>1377</v>
      </c>
      <c r="C17094" s="111" t="s">
        <v>27919</v>
      </c>
      <c r="D17094" s="111" t="str">
        <f t="shared" ref="D17094:E17094" si="17092">TRIM(B17094)</f>
        <v>West Virginia</v>
      </c>
      <c r="E17094" s="111" t="str">
        <f t="shared" si="17092"/>
        <v>Hurricane</v>
      </c>
    </row>
    <row r="17095" spans="1:5">
      <c r="A17095" s="3" t="s">
        <v>28833</v>
      </c>
      <c r="B17095" s="110" t="s">
        <v>1377</v>
      </c>
      <c r="C17095" s="111" t="s">
        <v>14887</v>
      </c>
      <c r="D17095" s="111" t="str">
        <f t="shared" ref="D17095:E17095" si="17093">TRIM(B17095)</f>
        <v>West Virginia</v>
      </c>
      <c r="E17095" s="111" t="str">
        <f t="shared" si="17093"/>
        <v>Inwood</v>
      </c>
    </row>
    <row r="17096" spans="1:5">
      <c r="A17096" s="3" t="s">
        <v>28834</v>
      </c>
      <c r="B17096" s="110" t="s">
        <v>1377</v>
      </c>
      <c r="C17096" s="111" t="s">
        <v>28835</v>
      </c>
      <c r="D17096" s="111" t="str">
        <f t="shared" ref="D17096:E17096" si="17094">TRIM(B17096)</f>
        <v>West Virginia</v>
      </c>
      <c r="E17096" s="111" t="str">
        <f t="shared" si="17094"/>
        <v>Keyser</v>
      </c>
    </row>
    <row r="17097" spans="1:5">
      <c r="A17097" s="3" t="s">
        <v>11868</v>
      </c>
      <c r="B17097" s="110" t="s">
        <v>1377</v>
      </c>
      <c r="C17097" s="111" t="s">
        <v>27074</v>
      </c>
      <c r="D17097" s="111" t="str">
        <f t="shared" ref="D17097:E17097" si="17095">TRIM(B17097)</f>
        <v>West Virginia</v>
      </c>
      <c r="E17097" s="111" t="str">
        <f t="shared" si="17095"/>
        <v>Kingwood</v>
      </c>
    </row>
    <row r="17098" spans="1:5">
      <c r="A17098" s="3" t="s">
        <v>28836</v>
      </c>
      <c r="B17098" s="110" t="s">
        <v>1377</v>
      </c>
      <c r="C17098" s="112" t="s">
        <v>471</v>
      </c>
      <c r="D17098" s="111" t="str">
        <f t="shared" ref="D17098:E17098" si="17096">TRIM(B17098)</f>
        <v>West Virginia</v>
      </c>
      <c r="E17098" s="111" t="str">
        <f t="shared" si="17096"/>
        <v>Lewisburg</v>
      </c>
    </row>
    <row r="17099" spans="1:5">
      <c r="A17099" s="3" t="s">
        <v>6081</v>
      </c>
      <c r="B17099" s="110" t="s">
        <v>1377</v>
      </c>
      <c r="C17099" s="111" t="s">
        <v>28837</v>
      </c>
      <c r="D17099" s="111" t="str">
        <f t="shared" ref="D17099:E17099" si="17097">TRIM(B17099)</f>
        <v>West Virginia</v>
      </c>
      <c r="E17099" s="111" t="str">
        <f t="shared" si="17097"/>
        <v>Lindside</v>
      </c>
    </row>
    <row r="17100" spans="1:5">
      <c r="A17100" s="3" t="s">
        <v>28838</v>
      </c>
      <c r="B17100" s="110" t="s">
        <v>1377</v>
      </c>
      <c r="C17100" s="111" t="s">
        <v>14936</v>
      </c>
      <c r="D17100" s="111" t="str">
        <f t="shared" ref="D17100:E17100" si="17098">TRIM(B17100)</f>
        <v>West Virginia</v>
      </c>
      <c r="E17100" s="111" t="str">
        <f t="shared" si="17098"/>
        <v>Logan</v>
      </c>
    </row>
    <row r="17101" spans="1:5">
      <c r="A17101" s="3" t="s">
        <v>18628</v>
      </c>
      <c r="B17101" s="110" t="s">
        <v>1377</v>
      </c>
      <c r="C17101" s="111" t="s">
        <v>28839</v>
      </c>
      <c r="D17101" s="111" t="str">
        <f t="shared" ref="D17101:E17101" si="17099">TRIM(B17101)</f>
        <v>West Virginia</v>
      </c>
      <c r="E17101" s="111" t="str">
        <f t="shared" si="17099"/>
        <v>Lost Creek</v>
      </c>
    </row>
    <row r="17102" spans="1:5">
      <c r="A17102" s="3" t="s">
        <v>15842</v>
      </c>
      <c r="B17102" s="110" t="s">
        <v>1377</v>
      </c>
      <c r="C17102" s="111" t="s">
        <v>488</v>
      </c>
      <c r="D17102" s="111" t="str">
        <f t="shared" ref="D17102:E17102" si="17100">TRIM(B17102)</f>
        <v>West Virginia</v>
      </c>
      <c r="E17102" s="111" t="str">
        <f t="shared" si="17100"/>
        <v>Madison</v>
      </c>
    </row>
    <row r="17103" spans="1:5">
      <c r="A17103" s="3" t="s">
        <v>28840</v>
      </c>
      <c r="B17103" s="110" t="s">
        <v>1377</v>
      </c>
      <c r="C17103" s="111" t="s">
        <v>28841</v>
      </c>
      <c r="D17103" s="111" t="str">
        <f t="shared" ref="D17103:E17103" si="17101">TRIM(B17103)</f>
        <v>West Virginia</v>
      </c>
      <c r="E17103" s="111" t="str">
        <f t="shared" si="17101"/>
        <v>Man</v>
      </c>
    </row>
    <row r="17104" spans="1:5">
      <c r="A17104" s="3" t="s">
        <v>28842</v>
      </c>
      <c r="B17104" s="110" t="s">
        <v>1377</v>
      </c>
      <c r="C17104" s="111" t="s">
        <v>7464</v>
      </c>
      <c r="D17104" s="111" t="str">
        <f t="shared" ref="D17104:E17104" si="17102">TRIM(B17104)</f>
        <v>West Virginia</v>
      </c>
      <c r="E17104" s="111" t="str">
        <f t="shared" si="17102"/>
        <v>Martinsburg</v>
      </c>
    </row>
    <row r="17105" spans="1:5">
      <c r="A17105" s="3" t="s">
        <v>28843</v>
      </c>
      <c r="B17105" s="110" t="s">
        <v>1377</v>
      </c>
      <c r="C17105" s="111" t="s">
        <v>7464</v>
      </c>
      <c r="D17105" s="111" t="str">
        <f t="shared" ref="D17105:E17105" si="17103">TRIM(B17105)</f>
        <v>West Virginia</v>
      </c>
      <c r="E17105" s="111" t="str">
        <f t="shared" si="17103"/>
        <v>Martinsburg</v>
      </c>
    </row>
    <row r="17106" spans="1:5">
      <c r="A17106" s="3" t="s">
        <v>28844</v>
      </c>
      <c r="B17106" s="110" t="s">
        <v>1377</v>
      </c>
      <c r="C17106" s="111" t="s">
        <v>12792</v>
      </c>
      <c r="D17106" s="111" t="str">
        <f t="shared" ref="D17106:E17106" si="17104">TRIM(B17106)</f>
        <v>West Virginia</v>
      </c>
      <c r="E17106" s="111" t="str">
        <f t="shared" si="17104"/>
        <v>Mason</v>
      </c>
    </row>
    <row r="17107" spans="1:5">
      <c r="A17107" s="3" t="s">
        <v>28845</v>
      </c>
      <c r="B17107" s="110" t="s">
        <v>1377</v>
      </c>
      <c r="C17107" s="111" t="s">
        <v>28846</v>
      </c>
      <c r="D17107" s="111" t="str">
        <f t="shared" ref="D17107:E17107" si="17105">TRIM(B17107)</f>
        <v>West Virginia</v>
      </c>
      <c r="E17107" s="111" t="str">
        <f t="shared" si="17105"/>
        <v>Meadow Bridge</v>
      </c>
    </row>
    <row r="17108" spans="1:5">
      <c r="A17108" s="3" t="s">
        <v>28847</v>
      </c>
      <c r="B17108" s="110" t="s">
        <v>1377</v>
      </c>
      <c r="C17108" s="111" t="s">
        <v>23928</v>
      </c>
      <c r="D17108" s="111" t="str">
        <f t="shared" ref="D17108:E17108" si="17106">TRIM(B17108)</f>
        <v>West Virginia</v>
      </c>
      <c r="E17108" s="111" t="str">
        <f t="shared" si="17106"/>
        <v>Mill Creek</v>
      </c>
    </row>
    <row r="17109" spans="1:5">
      <c r="A17109" s="3" t="s">
        <v>28848</v>
      </c>
      <c r="B17109" s="110" t="s">
        <v>1377</v>
      </c>
      <c r="C17109" s="111" t="s">
        <v>28849</v>
      </c>
      <c r="D17109" s="111" t="str">
        <f t="shared" ref="D17109:E17109" si="17107">TRIM(B17109)</f>
        <v>West Virginia</v>
      </c>
      <c r="E17109" s="111" t="str">
        <f t="shared" si="17107"/>
        <v>Moorefield</v>
      </c>
    </row>
    <row r="17110" spans="1:5">
      <c r="A17110" s="3" t="s">
        <v>28850</v>
      </c>
      <c r="B17110" s="110" t="s">
        <v>1377</v>
      </c>
      <c r="C17110" s="111" t="s">
        <v>5647</v>
      </c>
      <c r="D17110" s="111" t="str">
        <f t="shared" ref="D17110:E17110" si="17108">TRIM(B17110)</f>
        <v>West Virginia</v>
      </c>
      <c r="E17110" s="111" t="str">
        <f t="shared" si="17108"/>
        <v>Morgantown</v>
      </c>
    </row>
    <row r="17111" spans="1:5">
      <c r="A17111" s="3" t="s">
        <v>3364</v>
      </c>
      <c r="B17111" s="110" t="s">
        <v>1377</v>
      </c>
      <c r="C17111" s="111" t="s">
        <v>5647</v>
      </c>
      <c r="D17111" s="111" t="str">
        <f t="shared" ref="D17111:E17111" si="17109">TRIM(B17111)</f>
        <v>West Virginia</v>
      </c>
      <c r="E17111" s="111" t="str">
        <f t="shared" si="17109"/>
        <v>Morgantown</v>
      </c>
    </row>
    <row r="17112" spans="1:5">
      <c r="A17112" s="3" t="s">
        <v>28851</v>
      </c>
      <c r="B17112" s="110" t="s">
        <v>1377</v>
      </c>
      <c r="C17112" s="111" t="s">
        <v>28852</v>
      </c>
      <c r="D17112" s="111" t="str">
        <f t="shared" ref="D17112:E17112" si="17110">TRIM(B17112)</f>
        <v>West Virginia</v>
      </c>
      <c r="E17112" s="111" t="str">
        <f t="shared" si="17110"/>
        <v>Mt. Zion</v>
      </c>
    </row>
    <row r="17113" spans="1:5">
      <c r="A17113" s="3" t="s">
        <v>28853</v>
      </c>
      <c r="B17113" s="110" t="s">
        <v>1377</v>
      </c>
      <c r="C17113" s="113" t="s">
        <v>28854</v>
      </c>
      <c r="D17113" s="111" t="str">
        <f t="shared" ref="D17113:E17113" si="17111">TRIM(B17113)</f>
        <v>West Virginia</v>
      </c>
      <c r="E17113" s="111" t="str">
        <f t="shared" si="17111"/>
        <v>New Cumberland</v>
      </c>
    </row>
    <row r="17114" spans="1:5">
      <c r="A17114" s="3" t="s">
        <v>3975</v>
      </c>
      <c r="B17114" s="110" t="s">
        <v>1377</v>
      </c>
      <c r="C17114" s="111" t="s">
        <v>28855</v>
      </c>
      <c r="D17114" s="111" t="str">
        <f t="shared" ref="D17114:E17114" si="17112">TRIM(B17114)</f>
        <v>West Virginia</v>
      </c>
      <c r="E17114" s="111" t="str">
        <f t="shared" si="17112"/>
        <v>New Martinsville</v>
      </c>
    </row>
    <row r="17115" spans="1:5">
      <c r="A17115" s="3" t="s">
        <v>28856</v>
      </c>
      <c r="B17115" s="110" t="s">
        <v>1377</v>
      </c>
      <c r="C17115" s="111" t="s">
        <v>8334</v>
      </c>
      <c r="D17115" s="111" t="str">
        <f t="shared" ref="D17115:E17115" si="17113">TRIM(B17115)</f>
        <v>West Virginia</v>
      </c>
      <c r="E17115" s="111" t="str">
        <f t="shared" si="17113"/>
        <v>New Richmond</v>
      </c>
    </row>
    <row r="17116" spans="1:5">
      <c r="A17116" s="3" t="s">
        <v>28857</v>
      </c>
      <c r="B17116" s="110" t="s">
        <v>1377</v>
      </c>
      <c r="C17116" s="111" t="s">
        <v>28858</v>
      </c>
      <c r="D17116" s="111" t="str">
        <f t="shared" ref="D17116:E17116" si="17114">TRIM(B17116)</f>
        <v>West Virginia</v>
      </c>
      <c r="E17116" s="111" t="str">
        <f t="shared" si="17114"/>
        <v>Nitro</v>
      </c>
    </row>
    <row r="17117" spans="1:5">
      <c r="A17117" s="3" t="s">
        <v>14232</v>
      </c>
      <c r="B17117" s="110" t="s">
        <v>1377</v>
      </c>
      <c r="C17117" s="111" t="s">
        <v>23334</v>
      </c>
      <c r="D17117" s="111" t="str">
        <f t="shared" ref="D17117:E17117" si="17115">TRIM(B17117)</f>
        <v>West Virginia</v>
      </c>
      <c r="E17117" s="111" t="str">
        <f t="shared" si="17115"/>
        <v>Oak Hill</v>
      </c>
    </row>
    <row r="17118" spans="1:5">
      <c r="A17118" s="3" t="s">
        <v>28859</v>
      </c>
      <c r="B17118" s="110" t="s">
        <v>1377</v>
      </c>
      <c r="C17118" s="111" t="s">
        <v>28860</v>
      </c>
      <c r="D17118" s="111" t="str">
        <f t="shared" ref="D17118:E17118" si="17116">TRIM(B17118)</f>
        <v>West Virginia</v>
      </c>
      <c r="E17118" s="111" t="str">
        <f t="shared" si="17116"/>
        <v>Ona</v>
      </c>
    </row>
    <row r="17119" spans="1:5">
      <c r="A17119" s="3" t="s">
        <v>28861</v>
      </c>
      <c r="B17119" s="110" t="s">
        <v>1377</v>
      </c>
      <c r="C17119" s="111" t="s">
        <v>28862</v>
      </c>
      <c r="D17119" s="111" t="str">
        <f t="shared" ref="D17119:E17119" si="17117">TRIM(B17119)</f>
        <v>West Virginia</v>
      </c>
      <c r="E17119" s="111" t="str">
        <f t="shared" si="17117"/>
        <v>Paden City</v>
      </c>
    </row>
    <row r="17120" spans="1:5">
      <c r="A17120" s="3" t="s">
        <v>28863</v>
      </c>
      <c r="B17120" s="110" t="s">
        <v>1377</v>
      </c>
      <c r="C17120" s="111" t="s">
        <v>15020</v>
      </c>
      <c r="D17120" s="111" t="str">
        <f t="shared" ref="D17120:E17120" si="17118">TRIM(B17120)</f>
        <v>West Virginia</v>
      </c>
      <c r="E17120" s="111" t="str">
        <f t="shared" si="17118"/>
        <v>Parkersburg</v>
      </c>
    </row>
    <row r="17121" spans="1:5">
      <c r="A17121" s="3" t="s">
        <v>28864</v>
      </c>
      <c r="B17121" s="110" t="s">
        <v>1377</v>
      </c>
      <c r="C17121" s="111" t="s">
        <v>15020</v>
      </c>
      <c r="D17121" s="111" t="str">
        <f t="shared" ref="D17121:E17121" si="17119">TRIM(B17121)</f>
        <v>West Virginia</v>
      </c>
      <c r="E17121" s="111" t="str">
        <f t="shared" si="17119"/>
        <v>Parkersburg</v>
      </c>
    </row>
    <row r="17122" spans="1:5">
      <c r="A17122" s="3" t="s">
        <v>17496</v>
      </c>
      <c r="B17122" s="110" t="s">
        <v>1377</v>
      </c>
      <c r="C17122" s="111" t="s">
        <v>13579</v>
      </c>
      <c r="D17122" s="111" t="str">
        <f t="shared" ref="D17122:E17122" si="17120">TRIM(B17122)</f>
        <v>West Virginia</v>
      </c>
      <c r="E17122" s="111" t="str">
        <f t="shared" si="17120"/>
        <v>Paw Paw</v>
      </c>
    </row>
    <row r="17123" spans="1:5">
      <c r="A17123" s="3" t="s">
        <v>2408</v>
      </c>
      <c r="B17123" s="110" t="s">
        <v>1377</v>
      </c>
      <c r="C17123" s="111" t="s">
        <v>2409</v>
      </c>
      <c r="D17123" s="111" t="str">
        <f t="shared" ref="D17123:E17123" si="17121">TRIM(B17123)</f>
        <v>West Virginia</v>
      </c>
      <c r="E17123" s="111" t="str">
        <f t="shared" si="17121"/>
        <v>Petersburg</v>
      </c>
    </row>
    <row r="17124" spans="1:5">
      <c r="A17124" s="3" t="s">
        <v>28865</v>
      </c>
      <c r="B17124" s="110" t="s">
        <v>1377</v>
      </c>
      <c r="C17124" s="111" t="s">
        <v>28866</v>
      </c>
      <c r="D17124" s="111" t="str">
        <f t="shared" ref="D17124:E17124" si="17122">TRIM(B17124)</f>
        <v>West Virginia</v>
      </c>
      <c r="E17124" s="111" t="str">
        <f t="shared" si="17122"/>
        <v>Philippi</v>
      </c>
    </row>
    <row r="17125" spans="1:5">
      <c r="A17125" s="3" t="s">
        <v>2256</v>
      </c>
      <c r="B17125" s="110" t="s">
        <v>1377</v>
      </c>
      <c r="C17125" s="111" t="s">
        <v>25050</v>
      </c>
      <c r="D17125" s="111" t="str">
        <f t="shared" ref="D17125:E17125" si="17123">TRIM(B17125)</f>
        <v>West Virginia</v>
      </c>
      <c r="E17125" s="111" t="str">
        <f t="shared" si="17123"/>
        <v>Pine Grove</v>
      </c>
    </row>
    <row r="17126" spans="1:5">
      <c r="A17126" s="3" t="s">
        <v>28867</v>
      </c>
      <c r="B17126" s="110" t="s">
        <v>1377</v>
      </c>
      <c r="C17126" s="111" t="s">
        <v>28868</v>
      </c>
      <c r="D17126" s="111" t="str">
        <f t="shared" ref="D17126:E17126" si="17124">TRIM(B17126)</f>
        <v>West Virginia</v>
      </c>
      <c r="E17126" s="111" t="str">
        <f t="shared" si="17124"/>
        <v>Poca</v>
      </c>
    </row>
    <row r="17127" spans="1:5">
      <c r="A17127" s="3" t="s">
        <v>28869</v>
      </c>
      <c r="B17127" s="110" t="s">
        <v>1377</v>
      </c>
      <c r="C17127" s="111" t="s">
        <v>20364</v>
      </c>
      <c r="D17127" s="111" t="str">
        <f t="shared" ref="D17127:E17127" si="17125">TRIM(B17127)</f>
        <v>West Virginia</v>
      </c>
      <c r="E17127" s="111" t="str">
        <f t="shared" si="17125"/>
        <v>Point Pleasant</v>
      </c>
    </row>
    <row r="17128" spans="1:5">
      <c r="A17128" s="3" t="s">
        <v>28870</v>
      </c>
      <c r="B17128" s="110" t="s">
        <v>1377</v>
      </c>
      <c r="C17128" s="111" t="s">
        <v>6448</v>
      </c>
      <c r="D17128" s="111" t="str">
        <f t="shared" ref="D17128:E17128" si="17126">TRIM(B17128)</f>
        <v>West Virginia</v>
      </c>
      <c r="E17128" s="111" t="str">
        <f t="shared" si="17126"/>
        <v>Princeton</v>
      </c>
    </row>
    <row r="17129" spans="1:5">
      <c r="A17129" s="3" t="s">
        <v>28871</v>
      </c>
      <c r="B17129" s="110" t="s">
        <v>1377</v>
      </c>
      <c r="C17129" s="111" t="s">
        <v>6448</v>
      </c>
      <c r="D17129" s="111" t="str">
        <f t="shared" ref="D17129:E17129" si="17127">TRIM(B17129)</f>
        <v>West Virginia</v>
      </c>
      <c r="E17129" s="111" t="str">
        <f t="shared" si="17127"/>
        <v>Princeton</v>
      </c>
    </row>
    <row r="17130" spans="1:5">
      <c r="A17130" s="3" t="s">
        <v>28872</v>
      </c>
      <c r="B17130" s="110" t="s">
        <v>1377</v>
      </c>
      <c r="C17130" s="111" t="s">
        <v>28873</v>
      </c>
      <c r="D17130" s="111" t="str">
        <f t="shared" ref="D17130:E17130" si="17128">TRIM(B17130)</f>
        <v>West Virginia</v>
      </c>
      <c r="E17130" s="111" t="str">
        <f t="shared" si="17128"/>
        <v>Ravenswood</v>
      </c>
    </row>
    <row r="17131" spans="1:5">
      <c r="A17131" s="3" t="s">
        <v>14344</v>
      </c>
      <c r="B17131" s="110" t="s">
        <v>1377</v>
      </c>
      <c r="C17131" s="111" t="s">
        <v>28874</v>
      </c>
      <c r="D17131" s="111" t="str">
        <f t="shared" ref="D17131:E17131" si="17129">TRIM(B17131)</f>
        <v>West Virginia</v>
      </c>
      <c r="E17131" s="111" t="str">
        <f t="shared" si="17129"/>
        <v>Ridgeley</v>
      </c>
    </row>
    <row r="17132" spans="1:5">
      <c r="A17132" s="3" t="s">
        <v>18547</v>
      </c>
      <c r="B17132" s="110" t="s">
        <v>1377</v>
      </c>
      <c r="C17132" s="111" t="s">
        <v>5754</v>
      </c>
      <c r="D17132" s="111" t="str">
        <f t="shared" ref="D17132:E17132" si="17130">TRIM(B17132)</f>
        <v>West Virginia</v>
      </c>
      <c r="E17132" s="111" t="str">
        <f t="shared" si="17130"/>
        <v>Ripley</v>
      </c>
    </row>
    <row r="17133" spans="1:5">
      <c r="A17133" s="3" t="s">
        <v>28875</v>
      </c>
      <c r="B17133" s="110" t="s">
        <v>1377</v>
      </c>
      <c r="C17133" s="111" t="s">
        <v>28876</v>
      </c>
      <c r="D17133" s="111" t="str">
        <f t="shared" ref="D17133:E17133" si="17131">TRIM(B17133)</f>
        <v>West Virginia</v>
      </c>
      <c r="E17133" s="111" t="str">
        <f t="shared" si="17131"/>
        <v>Rock</v>
      </c>
    </row>
    <row r="17134" spans="1:5">
      <c r="A17134" s="3" t="s">
        <v>28877</v>
      </c>
      <c r="B17134" s="110" t="s">
        <v>1377</v>
      </c>
      <c r="C17134" s="111" t="s">
        <v>28878</v>
      </c>
      <c r="D17134" s="111" t="str">
        <f t="shared" ref="D17134:E17134" si="17132">TRIM(B17134)</f>
        <v>West Virginia</v>
      </c>
      <c r="E17134" s="111" t="str">
        <f t="shared" si="17132"/>
        <v>Romney</v>
      </c>
    </row>
    <row r="17135" spans="1:5">
      <c r="A17135" s="3" t="s">
        <v>21814</v>
      </c>
      <c r="B17135" s="110" t="s">
        <v>1377</v>
      </c>
      <c r="C17135" s="111" t="s">
        <v>28879</v>
      </c>
      <c r="D17135" s="111" t="str">
        <f t="shared" ref="D17135:E17135" si="17133">TRIM(B17135)</f>
        <v>West Virginia</v>
      </c>
      <c r="E17135" s="111" t="str">
        <f t="shared" si="17133"/>
        <v>Seth</v>
      </c>
    </row>
    <row r="17136" spans="1:5">
      <c r="A17136" s="3" t="s">
        <v>28880</v>
      </c>
      <c r="B17136" s="110" t="s">
        <v>1377</v>
      </c>
      <c r="C17136" s="111" t="s">
        <v>6601</v>
      </c>
      <c r="D17136" s="111" t="str">
        <f t="shared" ref="D17136:E17136" si="17134">TRIM(B17136)</f>
        <v>West Virginia</v>
      </c>
      <c r="E17136" s="111" t="str">
        <f t="shared" si="17134"/>
        <v>Shady Spring</v>
      </c>
    </row>
    <row r="17137" spans="1:5">
      <c r="A17137" s="3" t="s">
        <v>4802</v>
      </c>
      <c r="B17137" s="110" t="s">
        <v>1377</v>
      </c>
      <c r="C17137" s="113" t="s">
        <v>28881</v>
      </c>
      <c r="D17137" s="111" t="str">
        <f t="shared" ref="D17137:E17137" si="17135">TRIM(B17137)</f>
        <v>West Virginia</v>
      </c>
      <c r="E17137" s="111" t="str">
        <f t="shared" si="17135"/>
        <v>Shenandoah Junction</v>
      </c>
    </row>
    <row r="17138" spans="1:5">
      <c r="A17138" s="3" t="s">
        <v>1925</v>
      </c>
      <c r="B17138" s="110" t="s">
        <v>1377</v>
      </c>
      <c r="C17138" s="111" t="s">
        <v>28882</v>
      </c>
      <c r="D17138" s="111" t="str">
        <f t="shared" ref="D17138:E17138" si="17136">TRIM(B17138)</f>
        <v>West Virginia</v>
      </c>
      <c r="E17138" s="111" t="str">
        <f t="shared" si="17136"/>
        <v>Shinnston</v>
      </c>
    </row>
    <row r="17139" spans="1:5">
      <c r="A17139" s="3" t="s">
        <v>28883</v>
      </c>
      <c r="B17139" s="110" t="s">
        <v>1377</v>
      </c>
      <c r="C17139" s="111" t="s">
        <v>28884</v>
      </c>
      <c r="D17139" s="111" t="str">
        <f t="shared" ref="D17139:E17139" si="17137">TRIM(B17139)</f>
        <v>West Virginia</v>
      </c>
      <c r="E17139" s="111" t="str">
        <f t="shared" si="17137"/>
        <v>Sistersville</v>
      </c>
    </row>
    <row r="17140" spans="1:5">
      <c r="A17140" s="3" t="s">
        <v>2256</v>
      </c>
      <c r="B17140" s="110" t="s">
        <v>1377</v>
      </c>
      <c r="C17140" s="111" t="s">
        <v>28885</v>
      </c>
      <c r="D17140" s="111" t="str">
        <f t="shared" ref="D17140:E17140" si="17138">TRIM(B17140)</f>
        <v>West Virginia</v>
      </c>
      <c r="E17140" s="111" t="str">
        <f t="shared" si="17138"/>
        <v>Smithers</v>
      </c>
    </row>
    <row r="17141" spans="1:5">
      <c r="A17141" s="3" t="s">
        <v>28886</v>
      </c>
      <c r="B17141" s="110" t="s">
        <v>1377</v>
      </c>
      <c r="C17141" s="113" t="s">
        <v>23445</v>
      </c>
      <c r="D17141" s="111" t="str">
        <f t="shared" ref="D17141:E17141" si="17139">TRIM(B17141)</f>
        <v>West Virginia</v>
      </c>
      <c r="E17141" s="111" t="str">
        <f t="shared" si="17139"/>
        <v>South Charleston</v>
      </c>
    </row>
    <row r="17142" spans="1:5">
      <c r="A17142" s="3" t="s">
        <v>25961</v>
      </c>
      <c r="B17142" s="110" t="s">
        <v>1377</v>
      </c>
      <c r="C17142" s="111" t="s">
        <v>14606</v>
      </c>
      <c r="D17142" s="111" t="str">
        <f t="shared" ref="D17142:E17142" si="17140">TRIM(B17142)</f>
        <v>West Virginia</v>
      </c>
      <c r="E17142" s="111" t="str">
        <f t="shared" si="17140"/>
        <v>Spencer</v>
      </c>
    </row>
    <row r="17143" spans="1:5">
      <c r="A17143" s="3" t="s">
        <v>28887</v>
      </c>
      <c r="B17143" s="110" t="s">
        <v>1377</v>
      </c>
      <c r="C17143" s="111" t="s">
        <v>28888</v>
      </c>
      <c r="D17143" s="111" t="str">
        <f t="shared" ref="D17143:E17143" si="17141">TRIM(B17143)</f>
        <v>West Virginia</v>
      </c>
      <c r="E17143" s="111" t="str">
        <f t="shared" si="17141"/>
        <v>St. Albans</v>
      </c>
    </row>
    <row r="17144" spans="1:5">
      <c r="A17144" s="3" t="s">
        <v>28889</v>
      </c>
      <c r="B17144" s="110" t="s">
        <v>1377</v>
      </c>
      <c r="C17144" s="111" t="s">
        <v>28890</v>
      </c>
      <c r="D17144" s="111" t="str">
        <f t="shared" ref="D17144:E17144" si="17142">TRIM(B17144)</f>
        <v>West Virginia</v>
      </c>
      <c r="E17144" s="111" t="str">
        <f t="shared" si="17142"/>
        <v>St. Marys</v>
      </c>
    </row>
    <row r="17145" spans="1:5">
      <c r="A17145" s="3" t="s">
        <v>15645</v>
      </c>
      <c r="B17145" s="110" t="s">
        <v>1377</v>
      </c>
      <c r="C17145" s="111" t="s">
        <v>19179</v>
      </c>
      <c r="D17145" s="111" t="str">
        <f t="shared" ref="D17145:E17145" si="17143">TRIM(B17145)</f>
        <v>West Virginia</v>
      </c>
      <c r="E17145" s="111" t="str">
        <f t="shared" si="17143"/>
        <v>Summersville</v>
      </c>
    </row>
    <row r="17146" spans="1:5">
      <c r="A17146" s="3" t="s">
        <v>28891</v>
      </c>
      <c r="B17146" s="110" t="s">
        <v>1377</v>
      </c>
      <c r="C17146" s="111" t="s">
        <v>3097</v>
      </c>
      <c r="D17146" s="111" t="str">
        <f t="shared" ref="D17146:E17146" si="17144">TRIM(B17146)</f>
        <v>West Virginia</v>
      </c>
      <c r="E17146" s="111" t="str">
        <f t="shared" si="17144"/>
        <v>Sutton</v>
      </c>
    </row>
    <row r="17147" spans="1:5">
      <c r="A17147" s="3" t="s">
        <v>11172</v>
      </c>
      <c r="B17147" s="110" t="s">
        <v>1377</v>
      </c>
      <c r="C17147" s="111" t="s">
        <v>28892</v>
      </c>
      <c r="D17147" s="111" t="str">
        <f t="shared" ref="D17147:E17147" si="17145">TRIM(B17147)</f>
        <v>West Virginia</v>
      </c>
      <c r="E17147" s="111" t="str">
        <f t="shared" si="17145"/>
        <v>Upperglade</v>
      </c>
    </row>
    <row r="17148" spans="1:5">
      <c r="A17148" s="3" t="s">
        <v>28893</v>
      </c>
      <c r="B17148" s="110" t="s">
        <v>1377</v>
      </c>
      <c r="C17148" s="111" t="s">
        <v>27776</v>
      </c>
      <c r="D17148" s="111" t="str">
        <f t="shared" ref="D17148:E17148" si="17146">TRIM(B17148)</f>
        <v>West Virginia</v>
      </c>
      <c r="E17148" s="111" t="str">
        <f t="shared" si="17146"/>
        <v>Van</v>
      </c>
    </row>
    <row r="17149" spans="1:5">
      <c r="A17149" s="3" t="s">
        <v>14335</v>
      </c>
      <c r="B17149" s="110" t="s">
        <v>1377</v>
      </c>
      <c r="C17149" s="111" t="s">
        <v>413</v>
      </c>
      <c r="D17149" s="111" t="str">
        <f t="shared" ref="D17149:E17149" si="17147">TRIM(B17149)</f>
        <v>West Virginia</v>
      </c>
      <c r="E17149" s="111" t="str">
        <f t="shared" si="17147"/>
        <v>Wayne</v>
      </c>
    </row>
    <row r="17150" spans="1:5">
      <c r="A17150" s="3" t="s">
        <v>28894</v>
      </c>
      <c r="B17150" s="110" t="s">
        <v>1377</v>
      </c>
      <c r="C17150" s="111" t="s">
        <v>14229</v>
      </c>
      <c r="D17150" s="111" t="str">
        <f t="shared" ref="D17150:E17150" si="17148">TRIM(B17150)</f>
        <v>West Virginia</v>
      </c>
      <c r="E17150" s="111" t="str">
        <f t="shared" si="17148"/>
        <v>Weirton</v>
      </c>
    </row>
    <row r="17151" spans="1:5">
      <c r="A17151" s="3" t="s">
        <v>28895</v>
      </c>
      <c r="B17151" s="110" t="s">
        <v>1377</v>
      </c>
      <c r="C17151" s="111" t="s">
        <v>24180</v>
      </c>
      <c r="D17151" s="111" t="str">
        <f t="shared" ref="D17151:E17151" si="17149">TRIM(B17151)</f>
        <v>West Virginia</v>
      </c>
      <c r="E17151" s="111" t="str">
        <f t="shared" si="17149"/>
        <v>Welch</v>
      </c>
    </row>
    <row r="17152" spans="1:5">
      <c r="A17152" s="3" t="s">
        <v>28896</v>
      </c>
      <c r="B17152" s="110" t="s">
        <v>1377</v>
      </c>
      <c r="C17152" s="111" t="s">
        <v>28897</v>
      </c>
      <c r="D17152" s="111" t="str">
        <f t="shared" ref="D17152:E17152" si="17150">TRIM(B17152)</f>
        <v>West Virginia</v>
      </c>
      <c r="E17152" s="111" t="str">
        <f t="shared" si="17150"/>
        <v>Wellsburg</v>
      </c>
    </row>
    <row r="17153" spans="1:5">
      <c r="A17153" s="3" t="s">
        <v>28898</v>
      </c>
      <c r="B17153" s="110" t="s">
        <v>1377</v>
      </c>
      <c r="C17153" s="111" t="s">
        <v>15129</v>
      </c>
      <c r="D17153" s="111" t="str">
        <f t="shared" ref="D17153:E17153" si="17151">TRIM(B17153)</f>
        <v>West Virginia</v>
      </c>
      <c r="E17153" s="111" t="str">
        <f t="shared" si="17151"/>
        <v>West Union</v>
      </c>
    </row>
    <row r="17154" spans="1:5">
      <c r="A17154" s="3" t="s">
        <v>15850</v>
      </c>
      <c r="B17154" s="110" t="s">
        <v>1377</v>
      </c>
      <c r="C17154" s="111" t="s">
        <v>8298</v>
      </c>
      <c r="D17154" s="111" t="str">
        <f t="shared" ref="D17154:E17154" si="17152">TRIM(B17154)</f>
        <v>West Virginia</v>
      </c>
      <c r="E17154" s="111" t="str">
        <f t="shared" si="17152"/>
        <v>Weston</v>
      </c>
    </row>
    <row r="17155" spans="1:5">
      <c r="A17155" s="3" t="s">
        <v>28899</v>
      </c>
      <c r="B17155" s="110" t="s">
        <v>1377</v>
      </c>
      <c r="C17155" s="111" t="s">
        <v>507</v>
      </c>
      <c r="D17155" s="111" t="str">
        <f t="shared" ref="D17155:E17155" si="17153">TRIM(B17155)</f>
        <v>West Virginia</v>
      </c>
      <c r="E17155" s="111" t="str">
        <f t="shared" si="17153"/>
        <v>Wheeling</v>
      </c>
    </row>
    <row r="17156" spans="1:5">
      <c r="A17156" s="3" t="s">
        <v>28900</v>
      </c>
      <c r="B17156" s="110" t="s">
        <v>1377</v>
      </c>
      <c r="C17156" s="111" t="s">
        <v>21966</v>
      </c>
      <c r="D17156" s="111" t="str">
        <f t="shared" ref="D17156:E17156" si="17154">TRIM(B17156)</f>
        <v>West Virginia</v>
      </c>
      <c r="E17156" s="111" t="str">
        <f t="shared" si="17154"/>
        <v>Williamson</v>
      </c>
    </row>
    <row r="17157" spans="1:5">
      <c r="A17157" s="3" t="s">
        <v>28901</v>
      </c>
      <c r="B17157" s="110" t="s">
        <v>1377</v>
      </c>
      <c r="C17157" s="111" t="s">
        <v>11263</v>
      </c>
      <c r="D17157" s="111" t="str">
        <f t="shared" ref="D17157:E17157" si="17155">TRIM(B17157)</f>
        <v>West Virginia</v>
      </c>
      <c r="E17157" s="111" t="str">
        <f t="shared" si="17155"/>
        <v>Williamstown</v>
      </c>
    </row>
    <row r="17158" spans="1:5">
      <c r="A17158" s="3" t="s">
        <v>2282</v>
      </c>
      <c r="B17158" s="110" t="s">
        <v>1377</v>
      </c>
      <c r="C17158" s="111" t="s">
        <v>2284</v>
      </c>
      <c r="D17158" s="111" t="str">
        <f t="shared" ref="D17158:E17158" si="17156">TRIM(B17158)</f>
        <v>West Virginia</v>
      </c>
      <c r="E17158" s="111" t="str">
        <f t="shared" si="17156"/>
        <v>Winfield</v>
      </c>
    </row>
    <row r="17159" spans="1:5">
      <c r="A17159" s="3" t="s">
        <v>28902</v>
      </c>
      <c r="B17159" s="110" t="s">
        <v>1378</v>
      </c>
      <c r="C17159" s="111" t="s">
        <v>28903</v>
      </c>
      <c r="D17159" s="111" t="str">
        <f t="shared" ref="D17159:E17159" si="17157">TRIM(B17159)</f>
        <v>Wisconsin</v>
      </c>
      <c r="E17159" s="111" t="str">
        <f t="shared" si="17157"/>
        <v>Abbotsford</v>
      </c>
    </row>
    <row r="17160" spans="1:5">
      <c r="A17160" s="3" t="s">
        <v>28904</v>
      </c>
      <c r="B17160" s="110" t="s">
        <v>1378</v>
      </c>
      <c r="C17160" s="111" t="s">
        <v>16539</v>
      </c>
      <c r="D17160" s="111" t="str">
        <f t="shared" ref="D17160:E17160" si="17158">TRIM(B17160)</f>
        <v>Wisconsin</v>
      </c>
      <c r="E17160" s="111" t="str">
        <f t="shared" si="17158"/>
        <v>Adams</v>
      </c>
    </row>
    <row r="17161" spans="1:5">
      <c r="A17161" s="3" t="s">
        <v>4305</v>
      </c>
      <c r="B17161" s="110" t="s">
        <v>1378</v>
      </c>
      <c r="C17161" s="111" t="s">
        <v>182</v>
      </c>
      <c r="D17161" s="111" t="str">
        <f t="shared" ref="D17161:E17161" si="17159">TRIM(B17161)</f>
        <v>Wisconsin</v>
      </c>
      <c r="E17161" s="111" t="str">
        <f t="shared" si="17159"/>
        <v>Albany</v>
      </c>
    </row>
    <row r="17162" spans="1:5">
      <c r="A17162" s="3" t="s">
        <v>28905</v>
      </c>
      <c r="B17162" s="110" t="s">
        <v>1378</v>
      </c>
      <c r="C17162" s="111" t="s">
        <v>28906</v>
      </c>
      <c r="D17162" s="111" t="str">
        <f t="shared" ref="D17162:E17162" si="17160">TRIM(B17162)</f>
        <v>Wisconsin</v>
      </c>
      <c r="E17162" s="111" t="str">
        <f t="shared" si="17160"/>
        <v>Algoma</v>
      </c>
    </row>
    <row r="17163" spans="1:5">
      <c r="A17163" s="3" t="s">
        <v>3550</v>
      </c>
      <c r="B17163" s="110" t="s">
        <v>1378</v>
      </c>
      <c r="C17163" s="111" t="s">
        <v>3551</v>
      </c>
      <c r="D17163" s="111" t="str">
        <f t="shared" ref="D17163:E17163" si="17161">TRIM(B17163)</f>
        <v>Wisconsin</v>
      </c>
      <c r="E17163" s="111" t="str">
        <f t="shared" si="17161"/>
        <v>Alma</v>
      </c>
    </row>
    <row r="17164" spans="1:5">
      <c r="A17164" s="3" t="s">
        <v>1925</v>
      </c>
      <c r="B17164" s="110" t="s">
        <v>1378</v>
      </c>
      <c r="C17164" s="111" t="s">
        <v>28907</v>
      </c>
      <c r="D17164" s="111" t="str">
        <f t="shared" ref="D17164:E17164" si="17162">TRIM(B17164)</f>
        <v>Wisconsin</v>
      </c>
      <c r="E17164" s="111" t="str">
        <f t="shared" si="17162"/>
        <v>Alma Center</v>
      </c>
    </row>
    <row r="17165" spans="1:5">
      <c r="A17165" s="3" t="s">
        <v>28908</v>
      </c>
      <c r="B17165" s="110" t="s">
        <v>1378</v>
      </c>
      <c r="C17165" s="111" t="s">
        <v>20691</v>
      </c>
      <c r="D17165" s="111" t="str">
        <f t="shared" ref="D17165:E17165" si="17163">TRIM(B17165)</f>
        <v>Wisconsin</v>
      </c>
      <c r="E17165" s="111" t="str">
        <f t="shared" si="17163"/>
        <v>Almond</v>
      </c>
    </row>
    <row r="17166" spans="1:5">
      <c r="A17166" s="3" t="s">
        <v>28909</v>
      </c>
      <c r="B17166" s="110" t="s">
        <v>1378</v>
      </c>
      <c r="C17166" s="111" t="s">
        <v>13069</v>
      </c>
      <c r="D17166" s="111" t="str">
        <f t="shared" ref="D17166:E17166" si="17164">TRIM(B17166)</f>
        <v>Wisconsin</v>
      </c>
      <c r="E17166" s="111" t="str">
        <f t="shared" si="17164"/>
        <v>Altoona</v>
      </c>
    </row>
    <row r="17167" spans="1:5">
      <c r="A17167" s="3" t="s">
        <v>28910</v>
      </c>
      <c r="B17167" s="110" t="s">
        <v>1378</v>
      </c>
      <c r="C17167" s="111" t="s">
        <v>28911</v>
      </c>
      <c r="D17167" s="111" t="str">
        <f t="shared" ref="D17167:E17167" si="17165">TRIM(B17167)</f>
        <v>Wisconsin</v>
      </c>
      <c r="E17167" s="111" t="str">
        <f t="shared" si="17165"/>
        <v>Amery</v>
      </c>
    </row>
    <row r="17168" spans="1:5">
      <c r="A17168" s="3" t="s">
        <v>19482</v>
      </c>
      <c r="B17168" s="110" t="s">
        <v>1378</v>
      </c>
      <c r="C17168" s="111" t="s">
        <v>16546</v>
      </c>
      <c r="D17168" s="111" t="str">
        <f t="shared" ref="D17168:E17168" si="17166">TRIM(B17168)</f>
        <v>Wisconsin</v>
      </c>
      <c r="E17168" s="111" t="str">
        <f t="shared" si="17166"/>
        <v>Amherst</v>
      </c>
    </row>
    <row r="17169" spans="1:5">
      <c r="A17169" s="3" t="s">
        <v>28912</v>
      </c>
      <c r="B17169" s="110" t="s">
        <v>1378</v>
      </c>
      <c r="C17169" s="112" t="s">
        <v>28913</v>
      </c>
      <c r="D17169" s="111" t="str">
        <f t="shared" ref="D17169:E17169" si="17167">TRIM(B17169)</f>
        <v>Wisconsin</v>
      </c>
      <c r="E17169" s="111" t="str">
        <f t="shared" si="17167"/>
        <v>Antigo</v>
      </c>
    </row>
    <row r="17170" spans="1:5">
      <c r="A17170" s="110" t="s">
        <v>28914</v>
      </c>
      <c r="B17170" s="110" t="s">
        <v>1378</v>
      </c>
      <c r="C17170" s="111" t="s">
        <v>335</v>
      </c>
      <c r="D17170" s="111" t="str">
        <f t="shared" ref="D17170:E17170" si="17168">TRIM(B17170)</f>
        <v>Wisconsin</v>
      </c>
      <c r="E17170" s="111" t="str">
        <f t="shared" si="17168"/>
        <v>Appleton</v>
      </c>
    </row>
    <row r="17171" spans="1:5">
      <c r="A17171" s="3" t="s">
        <v>2294</v>
      </c>
      <c r="B17171" s="110" t="s">
        <v>1378</v>
      </c>
      <c r="C17171" s="111" t="s">
        <v>335</v>
      </c>
      <c r="D17171" s="111" t="str">
        <f t="shared" ref="D17171:E17171" si="17169">TRIM(B17171)</f>
        <v>Wisconsin</v>
      </c>
      <c r="E17171" s="111" t="str">
        <f t="shared" si="17169"/>
        <v>Appleton</v>
      </c>
    </row>
    <row r="17172" spans="1:5">
      <c r="A17172" s="3" t="s">
        <v>28915</v>
      </c>
      <c r="B17172" s="110" t="s">
        <v>1378</v>
      </c>
      <c r="C17172" s="111" t="s">
        <v>335</v>
      </c>
      <c r="D17172" s="111" t="str">
        <f t="shared" ref="D17172:E17172" si="17170">TRIM(B17172)</f>
        <v>Wisconsin</v>
      </c>
      <c r="E17172" s="111" t="str">
        <f t="shared" si="17170"/>
        <v>Appleton</v>
      </c>
    </row>
    <row r="17173" spans="1:5">
      <c r="A17173" s="3" t="s">
        <v>3069</v>
      </c>
      <c r="B17173" s="110" t="s">
        <v>1378</v>
      </c>
      <c r="C17173" s="111" t="s">
        <v>335</v>
      </c>
      <c r="D17173" s="111" t="str">
        <f t="shared" ref="D17173:E17173" si="17171">TRIM(B17173)</f>
        <v>Wisconsin</v>
      </c>
      <c r="E17173" s="111" t="str">
        <f t="shared" si="17171"/>
        <v>Appleton</v>
      </c>
    </row>
    <row r="17174" spans="1:5">
      <c r="A17174" s="110" t="s">
        <v>14048</v>
      </c>
      <c r="B17174" s="110" t="s">
        <v>1378</v>
      </c>
      <c r="C17174" s="111" t="s">
        <v>335</v>
      </c>
      <c r="D17174" s="111" t="str">
        <f t="shared" ref="D17174:E17174" si="17172">TRIM(B17174)</f>
        <v>Wisconsin</v>
      </c>
      <c r="E17174" s="111" t="str">
        <f t="shared" si="17172"/>
        <v>Appleton</v>
      </c>
    </row>
    <row r="17175" spans="1:5">
      <c r="A17175" s="110" t="s">
        <v>28916</v>
      </c>
      <c r="B17175" s="110" t="s">
        <v>1378</v>
      </c>
      <c r="C17175" s="111" t="s">
        <v>335</v>
      </c>
      <c r="D17175" s="111" t="str">
        <f t="shared" ref="D17175:E17175" si="17173">TRIM(B17175)</f>
        <v>Wisconsin</v>
      </c>
      <c r="E17175" s="111" t="str">
        <f t="shared" si="17173"/>
        <v>Appleton</v>
      </c>
    </row>
    <row r="17176" spans="1:5">
      <c r="A17176" s="110" t="s">
        <v>28917</v>
      </c>
      <c r="B17176" s="110" t="s">
        <v>1378</v>
      </c>
      <c r="C17176" s="111" t="s">
        <v>335</v>
      </c>
      <c r="D17176" s="111" t="str">
        <f t="shared" ref="D17176:E17176" si="17174">TRIM(B17176)</f>
        <v>Wisconsin</v>
      </c>
      <c r="E17176" s="111" t="str">
        <f t="shared" si="17174"/>
        <v>Appleton</v>
      </c>
    </row>
    <row r="17177" spans="1:5">
      <c r="A17177" s="3" t="s">
        <v>2304</v>
      </c>
      <c r="B17177" s="110" t="s">
        <v>1378</v>
      </c>
      <c r="C17177" s="111" t="s">
        <v>335</v>
      </c>
      <c r="D17177" s="111" t="str">
        <f t="shared" ref="D17177:E17177" si="17175">TRIM(B17177)</f>
        <v>Wisconsin</v>
      </c>
      <c r="E17177" s="111" t="str">
        <f t="shared" si="17175"/>
        <v>Appleton</v>
      </c>
    </row>
    <row r="17178" spans="1:5">
      <c r="A17178" s="3" t="s">
        <v>2934</v>
      </c>
      <c r="B17178" s="110" t="s">
        <v>1378</v>
      </c>
      <c r="C17178" s="111" t="s">
        <v>4375</v>
      </c>
      <c r="D17178" s="111" t="str">
        <f t="shared" ref="D17178:E17178" si="17176">TRIM(B17178)</f>
        <v>Wisconsin</v>
      </c>
      <c r="E17178" s="111" t="str">
        <f t="shared" si="17176"/>
        <v>Arcadia</v>
      </c>
    </row>
    <row r="17179" spans="1:5">
      <c r="A17179" s="3" t="s">
        <v>28918</v>
      </c>
      <c r="B17179" s="110" t="s">
        <v>1378</v>
      </c>
      <c r="C17179" s="111" t="s">
        <v>1698</v>
      </c>
      <c r="D17179" s="111" t="str">
        <f t="shared" ref="D17179:E17179" si="17177">TRIM(B17179)</f>
        <v>Wisconsin</v>
      </c>
      <c r="E17179" s="111" t="str">
        <f t="shared" si="17177"/>
        <v>Argyle</v>
      </c>
    </row>
    <row r="17180" spans="1:5">
      <c r="A17180" s="3" t="s">
        <v>15164</v>
      </c>
      <c r="B17180" s="110" t="s">
        <v>1378</v>
      </c>
      <c r="C17180" s="111" t="s">
        <v>10817</v>
      </c>
      <c r="D17180" s="111" t="str">
        <f t="shared" ref="D17180:E17180" si="17178">TRIM(B17180)</f>
        <v>Wisconsin</v>
      </c>
      <c r="E17180" s="111" t="str">
        <f t="shared" si="17178"/>
        <v>Ashland</v>
      </c>
    </row>
    <row r="17181" spans="1:5">
      <c r="A17181" s="3" t="s">
        <v>28919</v>
      </c>
      <c r="B17181" s="110" t="s">
        <v>1378</v>
      </c>
      <c r="C17181" s="111" t="s">
        <v>10817</v>
      </c>
      <c r="D17181" s="111" t="str">
        <f t="shared" ref="D17181:E17181" si="17179">TRIM(B17181)</f>
        <v>Wisconsin</v>
      </c>
      <c r="E17181" s="111" t="str">
        <f t="shared" si="17179"/>
        <v>Ashland</v>
      </c>
    </row>
    <row r="17182" spans="1:5">
      <c r="A17182" s="3" t="s">
        <v>1520</v>
      </c>
      <c r="B17182" s="110" t="s">
        <v>1378</v>
      </c>
      <c r="C17182" s="112" t="s">
        <v>327</v>
      </c>
      <c r="D17182" s="111" t="str">
        <f t="shared" ref="D17182:E17182" si="17180">TRIM(B17182)</f>
        <v>Wisconsin</v>
      </c>
      <c r="E17182" s="111" t="str">
        <f t="shared" si="17180"/>
        <v>Athens</v>
      </c>
    </row>
    <row r="17183" spans="1:5">
      <c r="A17183" s="3" t="s">
        <v>28920</v>
      </c>
      <c r="B17183" s="110" t="s">
        <v>1378</v>
      </c>
      <c r="C17183" s="111" t="s">
        <v>8946</v>
      </c>
      <c r="D17183" s="111" t="str">
        <f t="shared" ref="D17183:E17183" si="17181">TRIM(B17183)</f>
        <v>Wisconsin</v>
      </c>
      <c r="E17183" s="111" t="str">
        <f t="shared" si="17181"/>
        <v>Auburndale</v>
      </c>
    </row>
    <row r="17184" spans="1:5">
      <c r="A17184" s="3" t="s">
        <v>3573</v>
      </c>
      <c r="B17184" s="110" t="s">
        <v>1378</v>
      </c>
      <c r="C17184" s="111" t="s">
        <v>337</v>
      </c>
      <c r="D17184" s="111" t="str">
        <f t="shared" ref="D17184:E17184" si="17182">TRIM(B17184)</f>
        <v>Wisconsin</v>
      </c>
      <c r="E17184" s="111" t="str">
        <f t="shared" si="17182"/>
        <v>Augusta</v>
      </c>
    </row>
    <row r="17185" spans="1:5">
      <c r="A17185" s="110" t="s">
        <v>28921</v>
      </c>
      <c r="B17185" s="110" t="s">
        <v>1378</v>
      </c>
      <c r="C17185" s="111" t="s">
        <v>337</v>
      </c>
      <c r="D17185" s="111" t="str">
        <f t="shared" ref="D17185:E17185" si="17183">TRIM(B17185)</f>
        <v>Wisconsin</v>
      </c>
      <c r="E17185" s="111" t="str">
        <f t="shared" si="17183"/>
        <v>Augusta</v>
      </c>
    </row>
    <row r="17186" spans="1:5">
      <c r="A17186" s="3" t="s">
        <v>28922</v>
      </c>
      <c r="B17186" s="110" t="s">
        <v>1378</v>
      </c>
      <c r="C17186" s="111" t="s">
        <v>8950</v>
      </c>
      <c r="D17186" s="111" t="str">
        <f t="shared" ref="D17186:E17186" si="17184">TRIM(B17186)</f>
        <v>Wisconsin</v>
      </c>
      <c r="E17186" s="111" t="str">
        <f t="shared" si="17184"/>
        <v>Baldwin</v>
      </c>
    </row>
    <row r="17187" spans="1:5">
      <c r="A17187" s="3" t="s">
        <v>13311</v>
      </c>
      <c r="B17187" s="110" t="s">
        <v>1378</v>
      </c>
      <c r="C17187" s="111" t="s">
        <v>28923</v>
      </c>
      <c r="D17187" s="111" t="str">
        <f t="shared" ref="D17187:E17187" si="17185">TRIM(B17187)</f>
        <v>Wisconsin</v>
      </c>
      <c r="E17187" s="111" t="str">
        <f t="shared" si="17185"/>
        <v>Balsam Lake</v>
      </c>
    </row>
    <row r="17188" spans="1:5">
      <c r="A17188" s="3" t="s">
        <v>28924</v>
      </c>
      <c r="B17188" s="110" t="s">
        <v>1378</v>
      </c>
      <c r="C17188" s="111" t="s">
        <v>7717</v>
      </c>
      <c r="D17188" s="111" t="str">
        <f t="shared" ref="D17188:E17188" si="17186">TRIM(B17188)</f>
        <v>Wisconsin</v>
      </c>
      <c r="E17188" s="111" t="str">
        <f t="shared" si="17186"/>
        <v>Bangor</v>
      </c>
    </row>
    <row r="17189" spans="1:5">
      <c r="A17189" s="3" t="s">
        <v>28925</v>
      </c>
      <c r="B17189" s="110" t="s">
        <v>1378</v>
      </c>
      <c r="C17189" s="111" t="s">
        <v>28926</v>
      </c>
      <c r="D17189" s="111" t="str">
        <f t="shared" ref="D17189:E17189" si="17187">TRIM(B17189)</f>
        <v>Wisconsin</v>
      </c>
      <c r="E17189" s="111" t="str">
        <f t="shared" si="17187"/>
        <v>Baraboo</v>
      </c>
    </row>
    <row r="17190" spans="1:5">
      <c r="A17190" s="3" t="s">
        <v>28927</v>
      </c>
      <c r="B17190" s="110" t="s">
        <v>1378</v>
      </c>
      <c r="C17190" s="111" t="s">
        <v>28928</v>
      </c>
      <c r="D17190" s="111" t="str">
        <f t="shared" ref="D17190:E17190" si="17188">TRIM(B17190)</f>
        <v>Wisconsin</v>
      </c>
      <c r="E17190" s="111" t="str">
        <f t="shared" si="17188"/>
        <v>Barneveld</v>
      </c>
    </row>
    <row r="17191" spans="1:5">
      <c r="A17191" s="3" t="s">
        <v>28929</v>
      </c>
      <c r="B17191" s="110" t="s">
        <v>1378</v>
      </c>
      <c r="C17191" s="111" t="s">
        <v>28930</v>
      </c>
      <c r="D17191" s="111" t="str">
        <f t="shared" ref="D17191:E17191" si="17189">TRIM(B17191)</f>
        <v>Wisconsin</v>
      </c>
      <c r="E17191" s="111" t="str">
        <f t="shared" si="17189"/>
        <v>Barron</v>
      </c>
    </row>
    <row r="17192" spans="1:5">
      <c r="A17192" s="3" t="s">
        <v>7623</v>
      </c>
      <c r="B17192" s="110" t="s">
        <v>1378</v>
      </c>
      <c r="C17192" s="111" t="s">
        <v>7625</v>
      </c>
      <c r="D17192" s="111" t="str">
        <f t="shared" ref="D17192:E17192" si="17190">TRIM(B17192)</f>
        <v>Wisconsin</v>
      </c>
      <c r="E17192" s="111" t="str">
        <f t="shared" si="17190"/>
        <v>Bayfield</v>
      </c>
    </row>
    <row r="17193" spans="1:5">
      <c r="A17193" s="3" t="s">
        <v>2803</v>
      </c>
      <c r="B17193" s="110" t="s">
        <v>1378</v>
      </c>
      <c r="C17193" s="111" t="s">
        <v>28931</v>
      </c>
      <c r="D17193" s="111" t="str">
        <f t="shared" ref="D17193:E17193" si="17191">TRIM(B17193)</f>
        <v>Wisconsin</v>
      </c>
      <c r="E17193" s="111" t="str">
        <f t="shared" si="17191"/>
        <v>Beaver Dam</v>
      </c>
    </row>
    <row r="17194" spans="1:5">
      <c r="A17194" s="3" t="s">
        <v>16972</v>
      </c>
      <c r="B17194" s="110" t="s">
        <v>1378</v>
      </c>
      <c r="C17194" s="111" t="s">
        <v>10569</v>
      </c>
      <c r="D17194" s="111" t="str">
        <f t="shared" ref="D17194:E17194" si="17192">TRIM(B17194)</f>
        <v>Wisconsin</v>
      </c>
      <c r="E17194" s="111" t="str">
        <f t="shared" si="17192"/>
        <v>Belleville</v>
      </c>
    </row>
    <row r="17195" spans="1:5">
      <c r="A17195" s="3" t="s">
        <v>16563</v>
      </c>
      <c r="B17195" s="110" t="s">
        <v>1378</v>
      </c>
      <c r="C17195" s="111" t="s">
        <v>4471</v>
      </c>
      <c r="D17195" s="111" t="str">
        <f t="shared" ref="D17195:E17195" si="17193">TRIM(B17195)</f>
        <v>Wisconsin</v>
      </c>
      <c r="E17195" s="111" t="str">
        <f t="shared" si="17193"/>
        <v>Belmont</v>
      </c>
    </row>
    <row r="17196" spans="1:5">
      <c r="A17196" s="3" t="s">
        <v>17870</v>
      </c>
      <c r="B17196" s="110" t="s">
        <v>1378</v>
      </c>
      <c r="C17196" s="111" t="s">
        <v>7735</v>
      </c>
      <c r="D17196" s="111" t="str">
        <f t="shared" ref="D17196:E17196" si="17194">TRIM(B17196)</f>
        <v>Wisconsin</v>
      </c>
      <c r="E17196" s="111" t="str">
        <f t="shared" si="17194"/>
        <v>Beloit</v>
      </c>
    </row>
    <row r="17197" spans="1:5">
      <c r="A17197" s="3" t="s">
        <v>28932</v>
      </c>
      <c r="B17197" s="110" t="s">
        <v>1378</v>
      </c>
      <c r="C17197" s="111" t="s">
        <v>7735</v>
      </c>
      <c r="D17197" s="111" t="str">
        <f t="shared" ref="D17197:E17197" si="17195">TRIM(B17197)</f>
        <v>Wisconsin</v>
      </c>
      <c r="E17197" s="111" t="str">
        <f t="shared" si="17195"/>
        <v>Beloit</v>
      </c>
    </row>
    <row r="17198" spans="1:5">
      <c r="A17198" s="3" t="s">
        <v>15342</v>
      </c>
      <c r="B17198" s="110" t="s">
        <v>1378</v>
      </c>
      <c r="C17198" s="111" t="s">
        <v>7735</v>
      </c>
      <c r="D17198" s="111" t="str">
        <f t="shared" ref="D17198:E17198" si="17196">TRIM(B17198)</f>
        <v>Wisconsin</v>
      </c>
      <c r="E17198" s="111" t="str">
        <f t="shared" si="17196"/>
        <v>Beloit</v>
      </c>
    </row>
    <row r="17199" spans="1:5">
      <c r="A17199" s="3" t="s">
        <v>3603</v>
      </c>
      <c r="B17199" s="110" t="s">
        <v>1378</v>
      </c>
      <c r="C17199" s="111" t="s">
        <v>3604</v>
      </c>
      <c r="D17199" s="111" t="str">
        <f t="shared" ref="D17199:E17199" si="17197">TRIM(B17199)</f>
        <v>Wisconsin</v>
      </c>
      <c r="E17199" s="111" t="str">
        <f t="shared" si="17197"/>
        <v>Benton</v>
      </c>
    </row>
    <row r="17200" spans="1:5">
      <c r="A17200" s="3" t="s">
        <v>8337</v>
      </c>
      <c r="B17200" s="110" t="s">
        <v>1378</v>
      </c>
      <c r="C17200" s="111" t="s">
        <v>8338</v>
      </c>
      <c r="D17200" s="111" t="str">
        <f t="shared" ref="D17200:E17200" si="17198">TRIM(B17200)</f>
        <v>Wisconsin</v>
      </c>
      <c r="E17200" s="111" t="str">
        <f t="shared" si="17198"/>
        <v>Berlin</v>
      </c>
    </row>
    <row r="17201" spans="1:5">
      <c r="A17201" s="110" t="s">
        <v>28933</v>
      </c>
      <c r="B17201" s="110" t="s">
        <v>1378</v>
      </c>
      <c r="C17201" s="111" t="s">
        <v>28934</v>
      </c>
      <c r="D17201" s="111" t="str">
        <f t="shared" ref="D17201:E17201" si="17199">TRIM(B17201)</f>
        <v>Wisconsin</v>
      </c>
      <c r="E17201" s="111" t="str">
        <f t="shared" si="17199"/>
        <v>Birchwood</v>
      </c>
    </row>
    <row r="17202" spans="1:5">
      <c r="A17202" s="3" t="s">
        <v>28935</v>
      </c>
      <c r="B17202" s="110" t="s">
        <v>1378</v>
      </c>
      <c r="C17202" s="111" t="s">
        <v>28934</v>
      </c>
      <c r="D17202" s="111" t="str">
        <f t="shared" ref="D17202:E17202" si="17200">TRIM(B17202)</f>
        <v>Wisconsin</v>
      </c>
      <c r="E17202" s="111" t="str">
        <f t="shared" si="17200"/>
        <v>Birchwood</v>
      </c>
    </row>
    <row r="17203" spans="1:5">
      <c r="A17203" s="3" t="s">
        <v>28936</v>
      </c>
      <c r="B17203" s="110" t="s">
        <v>1378</v>
      </c>
      <c r="C17203" s="111" t="s">
        <v>28937</v>
      </c>
      <c r="D17203" s="111" t="str">
        <f t="shared" ref="D17203:E17203" si="17201">TRIM(B17203)</f>
        <v>Wisconsin</v>
      </c>
      <c r="E17203" s="111" t="str">
        <f t="shared" si="17201"/>
        <v>Black River Falls</v>
      </c>
    </row>
    <row r="17204" spans="1:5">
      <c r="A17204" s="3" t="s">
        <v>28938</v>
      </c>
      <c r="B17204" s="110" t="s">
        <v>1378</v>
      </c>
      <c r="C17204" s="111" t="s">
        <v>19511</v>
      </c>
      <c r="D17204" s="111" t="str">
        <f t="shared" ref="D17204:E17204" si="17202">TRIM(B17204)</f>
        <v>Wisconsin</v>
      </c>
      <c r="E17204" s="111" t="str">
        <f t="shared" si="17202"/>
        <v>Blair</v>
      </c>
    </row>
    <row r="17205" spans="1:5">
      <c r="A17205" s="3" t="s">
        <v>13591</v>
      </c>
      <c r="B17205" s="110" t="s">
        <v>1378</v>
      </c>
      <c r="C17205" s="111" t="s">
        <v>28939</v>
      </c>
      <c r="D17205" s="111" t="str">
        <f t="shared" ref="D17205:E17205" si="17203">TRIM(B17205)</f>
        <v>Wisconsin</v>
      </c>
      <c r="E17205" s="111" t="str">
        <f t="shared" si="17203"/>
        <v>Blanchardville</v>
      </c>
    </row>
    <row r="17206" spans="1:5">
      <c r="A17206" s="3" t="s">
        <v>28940</v>
      </c>
      <c r="B17206" s="110" t="s">
        <v>1378</v>
      </c>
      <c r="C17206" s="111" t="s">
        <v>28941</v>
      </c>
      <c r="D17206" s="111" t="str">
        <f t="shared" ref="D17206:E17206" si="17204">TRIM(B17206)</f>
        <v>Wisconsin</v>
      </c>
      <c r="E17206" s="111" t="str">
        <f t="shared" si="17204"/>
        <v>Bloomer</v>
      </c>
    </row>
    <row r="17207" spans="1:5">
      <c r="A17207" s="3" t="s">
        <v>28942</v>
      </c>
      <c r="B17207" s="110" t="s">
        <v>1378</v>
      </c>
      <c r="C17207" s="111" t="s">
        <v>28943</v>
      </c>
      <c r="D17207" s="111" t="str">
        <f t="shared" ref="D17207:E17207" si="17205">TRIM(B17207)</f>
        <v>Wisconsin</v>
      </c>
      <c r="E17207" s="111" t="str">
        <f t="shared" si="17205"/>
        <v>Bonduel</v>
      </c>
    </row>
    <row r="17208" spans="1:5">
      <c r="A17208" s="3" t="s">
        <v>28944</v>
      </c>
      <c r="B17208" s="110" t="s">
        <v>1378</v>
      </c>
      <c r="C17208" s="111" t="s">
        <v>28945</v>
      </c>
      <c r="D17208" s="111" t="str">
        <f t="shared" ref="D17208:E17208" si="17206">TRIM(B17208)</f>
        <v>Wisconsin</v>
      </c>
      <c r="E17208" s="111" t="str">
        <f t="shared" si="17206"/>
        <v>Boscobel</v>
      </c>
    </row>
    <row r="17209" spans="1:5">
      <c r="A17209" s="3" t="s">
        <v>28946</v>
      </c>
      <c r="B17209" s="110" t="s">
        <v>1378</v>
      </c>
      <c r="C17209" s="111" t="s">
        <v>28947</v>
      </c>
      <c r="D17209" s="111" t="str">
        <f t="shared" ref="D17209:E17209" si="17207">TRIM(B17209)</f>
        <v>Wisconsin</v>
      </c>
      <c r="E17209" s="111" t="str">
        <f t="shared" si="17207"/>
        <v>Bowler</v>
      </c>
    </row>
    <row r="17210" spans="1:5">
      <c r="A17210" s="3" t="s">
        <v>28948</v>
      </c>
      <c r="B17210" s="110" t="s">
        <v>1378</v>
      </c>
      <c r="C17210" s="111" t="s">
        <v>28949</v>
      </c>
      <c r="D17210" s="111" t="str">
        <f t="shared" ref="D17210:E17210" si="17208">TRIM(B17210)</f>
        <v>Wisconsin</v>
      </c>
      <c r="E17210" s="111" t="str">
        <f t="shared" si="17208"/>
        <v>Boyceville</v>
      </c>
    </row>
    <row r="17211" spans="1:5">
      <c r="A17211" s="3" t="s">
        <v>28950</v>
      </c>
      <c r="B17211" s="110" t="s">
        <v>1378</v>
      </c>
      <c r="C17211" s="111" t="s">
        <v>28951</v>
      </c>
      <c r="D17211" s="111" t="str">
        <f t="shared" ref="D17211:E17211" si="17209">TRIM(B17211)</f>
        <v>Wisconsin</v>
      </c>
      <c r="E17211" s="111" t="str">
        <f t="shared" si="17209"/>
        <v>Brillion</v>
      </c>
    </row>
    <row r="17212" spans="1:5">
      <c r="A17212" s="3" t="s">
        <v>28952</v>
      </c>
      <c r="B17212" s="110" t="s">
        <v>1378</v>
      </c>
      <c r="C17212" s="111" t="s">
        <v>28953</v>
      </c>
      <c r="D17212" s="111" t="str">
        <f t="shared" ref="D17212:E17212" si="17210">TRIM(B17212)</f>
        <v>Wisconsin</v>
      </c>
      <c r="E17212" s="111" t="str">
        <f t="shared" si="17210"/>
        <v>Brodhead</v>
      </c>
    </row>
    <row r="17213" spans="1:5">
      <c r="A17213" s="3" t="s">
        <v>1843</v>
      </c>
      <c r="B17213" s="110" t="s">
        <v>1378</v>
      </c>
      <c r="C17213" s="111" t="s">
        <v>430</v>
      </c>
      <c r="D17213" s="111" t="str">
        <f t="shared" ref="D17213:E17213" si="17211">TRIM(B17213)</f>
        <v>Wisconsin</v>
      </c>
      <c r="E17213" s="111" t="str">
        <f t="shared" si="17211"/>
        <v>Brookfield</v>
      </c>
    </row>
    <row r="17214" spans="1:5">
      <c r="A17214" s="3" t="s">
        <v>2294</v>
      </c>
      <c r="B17214" s="110" t="s">
        <v>1378</v>
      </c>
      <c r="C17214" s="111" t="s">
        <v>430</v>
      </c>
      <c r="D17214" s="111" t="str">
        <f t="shared" ref="D17214:E17214" si="17212">TRIM(B17214)</f>
        <v>Wisconsin</v>
      </c>
      <c r="E17214" s="111" t="str">
        <f t="shared" si="17212"/>
        <v>Brookfield</v>
      </c>
    </row>
    <row r="17215" spans="1:5">
      <c r="A17215" s="3" t="s">
        <v>28954</v>
      </c>
      <c r="B17215" s="110" t="s">
        <v>1378</v>
      </c>
      <c r="C17215" s="111" t="s">
        <v>28955</v>
      </c>
      <c r="D17215" s="111" t="str">
        <f t="shared" ref="D17215:E17215" si="17213">TRIM(B17215)</f>
        <v>Wisconsin</v>
      </c>
      <c r="E17215" s="111" t="str">
        <f t="shared" si="17213"/>
        <v>Brown Deer</v>
      </c>
    </row>
    <row r="17216" spans="1:5">
      <c r="A17216" s="3" t="s">
        <v>18380</v>
      </c>
      <c r="B17216" s="110" t="s">
        <v>1378</v>
      </c>
      <c r="C17216" s="111" t="s">
        <v>18381</v>
      </c>
      <c r="D17216" s="111" t="str">
        <f t="shared" ref="D17216:E17216" si="17214">TRIM(B17216)</f>
        <v>Wisconsin</v>
      </c>
      <c r="E17216" s="111" t="str">
        <f t="shared" si="17214"/>
        <v>Bruce</v>
      </c>
    </row>
    <row r="17217" spans="1:5">
      <c r="A17217" s="3" t="s">
        <v>28956</v>
      </c>
      <c r="B17217" s="110" t="s">
        <v>1378</v>
      </c>
      <c r="C17217" s="111" t="s">
        <v>12126</v>
      </c>
      <c r="D17217" s="111" t="str">
        <f t="shared" ref="D17217:E17217" si="17215">TRIM(B17217)</f>
        <v>Wisconsin</v>
      </c>
      <c r="E17217" s="111" t="str">
        <f t="shared" si="17215"/>
        <v>Brussels</v>
      </c>
    </row>
    <row r="17218" spans="1:5">
      <c r="A17218" s="3" t="s">
        <v>7666</v>
      </c>
      <c r="B17218" s="110" t="s">
        <v>1378</v>
      </c>
      <c r="C17218" s="111" t="s">
        <v>7667</v>
      </c>
      <c r="D17218" s="111" t="str">
        <f t="shared" ref="D17218:E17218" si="17216">TRIM(B17218)</f>
        <v>Wisconsin</v>
      </c>
      <c r="E17218" s="111" t="str">
        <f t="shared" si="17216"/>
        <v>Burlington</v>
      </c>
    </row>
    <row r="17219" spans="1:5">
      <c r="A17219" s="3" t="s">
        <v>28957</v>
      </c>
      <c r="B17219" s="110" t="s">
        <v>1378</v>
      </c>
      <c r="C17219" s="111" t="s">
        <v>28958</v>
      </c>
      <c r="D17219" s="111" t="str">
        <f t="shared" ref="D17219:E17219" si="17217">TRIM(B17219)</f>
        <v>Wisconsin</v>
      </c>
      <c r="E17219" s="111" t="str">
        <f t="shared" si="17217"/>
        <v>Butternut</v>
      </c>
    </row>
    <row r="17220" spans="1:5">
      <c r="A17220" s="110" t="s">
        <v>28959</v>
      </c>
      <c r="B17220" s="110" t="s">
        <v>1378</v>
      </c>
      <c r="C17220" s="111" t="s">
        <v>28958</v>
      </c>
      <c r="D17220" s="111" t="str">
        <f t="shared" ref="D17220:E17220" si="17218">TRIM(B17220)</f>
        <v>Wisconsin</v>
      </c>
      <c r="E17220" s="111" t="str">
        <f t="shared" si="17218"/>
        <v>Butternut</v>
      </c>
    </row>
    <row r="17221" spans="1:5">
      <c r="A17221" s="3" t="s">
        <v>28960</v>
      </c>
      <c r="B17221" s="110" t="s">
        <v>1378</v>
      </c>
      <c r="C17221" s="111" t="s">
        <v>28961</v>
      </c>
      <c r="D17221" s="111" t="str">
        <f t="shared" ref="D17221:E17221" si="17219">TRIM(B17221)</f>
        <v>Wisconsin</v>
      </c>
      <c r="E17221" s="111" t="str">
        <f t="shared" si="17219"/>
        <v>Cadott</v>
      </c>
    </row>
    <row r="17222" spans="1:5">
      <c r="A17222" s="3" t="s">
        <v>28962</v>
      </c>
      <c r="B17222" s="110" t="s">
        <v>1378</v>
      </c>
      <c r="C17222" s="111" t="s">
        <v>4575</v>
      </c>
      <c r="D17222" s="111" t="str">
        <f t="shared" ref="D17222:E17222" si="17220">TRIM(B17222)</f>
        <v>Wisconsin</v>
      </c>
      <c r="E17222" s="111" t="str">
        <f t="shared" si="17220"/>
        <v>Cambria</v>
      </c>
    </row>
    <row r="17223" spans="1:5">
      <c r="A17223" s="3" t="s">
        <v>11094</v>
      </c>
      <c r="B17223" s="110" t="s">
        <v>1378</v>
      </c>
      <c r="C17223" s="111" t="s">
        <v>11260</v>
      </c>
      <c r="D17223" s="111" t="str">
        <f t="shared" ref="D17223:E17223" si="17221">TRIM(B17223)</f>
        <v>Wisconsin</v>
      </c>
      <c r="E17223" s="111" t="str">
        <f t="shared" si="17221"/>
        <v>Cambridge</v>
      </c>
    </row>
    <row r="17224" spans="1:5">
      <c r="A17224" s="3" t="s">
        <v>18672</v>
      </c>
      <c r="B17224" s="110" t="s">
        <v>1378</v>
      </c>
      <c r="C17224" s="111" t="s">
        <v>13742</v>
      </c>
      <c r="D17224" s="111" t="str">
        <f t="shared" ref="D17224:E17224" si="17222">TRIM(B17224)</f>
        <v>Wisconsin</v>
      </c>
      <c r="E17224" s="111" t="str">
        <f t="shared" si="17222"/>
        <v>Cameron</v>
      </c>
    </row>
    <row r="17225" spans="1:5">
      <c r="A17225" s="3" t="s">
        <v>28963</v>
      </c>
      <c r="B17225" s="110" t="s">
        <v>1378</v>
      </c>
      <c r="C17225" s="111" t="s">
        <v>28964</v>
      </c>
      <c r="D17225" s="111" t="str">
        <f t="shared" ref="D17225:E17225" si="17223">TRIM(B17225)</f>
        <v>Wisconsin</v>
      </c>
      <c r="E17225" s="111" t="str">
        <f t="shared" si="17223"/>
        <v>Campbellsport</v>
      </c>
    </row>
    <row r="17226" spans="1:5">
      <c r="A17226" s="3" t="s">
        <v>28965</v>
      </c>
      <c r="B17226" s="110" t="s">
        <v>1378</v>
      </c>
      <c r="C17226" s="112" t="s">
        <v>28966</v>
      </c>
      <c r="D17226" s="111" t="str">
        <f t="shared" ref="D17226:E17226" si="17224">TRIM(B17226)</f>
        <v>Wisconsin</v>
      </c>
      <c r="E17226" s="111" t="str">
        <f t="shared" si="17224"/>
        <v>Cashton</v>
      </c>
    </row>
    <row r="17227" spans="1:5">
      <c r="A17227" s="3" t="s">
        <v>18683</v>
      </c>
      <c r="B17227" s="110" t="s">
        <v>1378</v>
      </c>
      <c r="C17227" s="111" t="s">
        <v>18684</v>
      </c>
      <c r="D17227" s="111" t="str">
        <f t="shared" ref="D17227:E17227" si="17225">TRIM(B17227)</f>
        <v>Wisconsin</v>
      </c>
      <c r="E17227" s="111" t="str">
        <f t="shared" si="17225"/>
        <v>Cassville</v>
      </c>
    </row>
    <row r="17228" spans="1:5">
      <c r="A17228" s="3" t="s">
        <v>8752</v>
      </c>
      <c r="B17228" s="110" t="s">
        <v>1378</v>
      </c>
      <c r="C17228" s="111" t="s">
        <v>21065</v>
      </c>
      <c r="D17228" s="111" t="str">
        <f t="shared" ref="D17228:E17228" si="17226">TRIM(B17228)</f>
        <v>Wisconsin</v>
      </c>
      <c r="E17228" s="111" t="str">
        <f t="shared" si="17226"/>
        <v>Cazenovia</v>
      </c>
    </row>
    <row r="17229" spans="1:5">
      <c r="A17229" s="3" t="s">
        <v>28967</v>
      </c>
      <c r="B17229" s="110" t="s">
        <v>1378</v>
      </c>
      <c r="C17229" s="111" t="s">
        <v>20078</v>
      </c>
      <c r="D17229" s="111" t="str">
        <f t="shared" ref="D17229:E17229" si="17227">TRIM(B17229)</f>
        <v>Wisconsin</v>
      </c>
      <c r="E17229" s="111" t="str">
        <f t="shared" si="17227"/>
        <v>Cedar Grove</v>
      </c>
    </row>
    <row r="17230" spans="1:5">
      <c r="A17230" s="3" t="s">
        <v>28968</v>
      </c>
      <c r="B17230" s="110" t="s">
        <v>1378</v>
      </c>
      <c r="C17230" s="111" t="s">
        <v>28969</v>
      </c>
      <c r="D17230" s="111" t="str">
        <f t="shared" ref="D17230:E17230" si="17228">TRIM(B17230)</f>
        <v>Wisconsin</v>
      </c>
      <c r="E17230" s="111" t="str">
        <f t="shared" si="17228"/>
        <v>Cedarburg</v>
      </c>
    </row>
    <row r="17231" spans="1:5">
      <c r="A17231" s="3" t="s">
        <v>28970</v>
      </c>
      <c r="B17231" s="110" t="s">
        <v>1378</v>
      </c>
      <c r="C17231" s="111" t="s">
        <v>28971</v>
      </c>
      <c r="D17231" s="111" t="str">
        <f t="shared" ref="D17231:E17231" si="17229">TRIM(B17231)</f>
        <v>Wisconsin</v>
      </c>
      <c r="E17231" s="111" t="str">
        <f t="shared" si="17229"/>
        <v>Chetek</v>
      </c>
    </row>
    <row r="17232" spans="1:5">
      <c r="A17232" s="3" t="s">
        <v>28972</v>
      </c>
      <c r="B17232" s="110" t="s">
        <v>1378</v>
      </c>
      <c r="C17232" s="111" t="s">
        <v>28973</v>
      </c>
      <c r="D17232" s="111" t="str">
        <f t="shared" ref="D17232:E17232" si="17230">TRIM(B17232)</f>
        <v>Wisconsin</v>
      </c>
      <c r="E17232" s="111" t="str">
        <f t="shared" si="17230"/>
        <v>Chilton</v>
      </c>
    </row>
    <row r="17233" spans="1:5">
      <c r="A17233" s="3" t="s">
        <v>28974</v>
      </c>
      <c r="B17233" s="110" t="s">
        <v>1378</v>
      </c>
      <c r="C17233" s="111" t="s">
        <v>4919</v>
      </c>
      <c r="D17233" s="111" t="str">
        <f t="shared" ref="D17233:E17233" si="17231">TRIM(B17233)</f>
        <v>Wisconsin</v>
      </c>
      <c r="E17233" s="111" t="str">
        <f t="shared" si="17231"/>
        <v>Chippewa Falls</v>
      </c>
    </row>
    <row r="17234" spans="1:5">
      <c r="A17234" s="3" t="s">
        <v>18702</v>
      </c>
      <c r="B17234" s="110" t="s">
        <v>1378</v>
      </c>
      <c r="C17234" s="111" t="s">
        <v>1640</v>
      </c>
      <c r="D17234" s="111" t="str">
        <f t="shared" ref="D17234:E17234" si="17232">TRIM(B17234)</f>
        <v>Wisconsin</v>
      </c>
      <c r="E17234" s="111" t="str">
        <f t="shared" si="17232"/>
        <v>Clayton</v>
      </c>
    </row>
    <row r="17235" spans="1:5">
      <c r="A17235" s="3" t="s">
        <v>5442</v>
      </c>
      <c r="B17235" s="110" t="s">
        <v>1378</v>
      </c>
      <c r="C17235" s="111" t="s">
        <v>14755</v>
      </c>
      <c r="D17235" s="111" t="str">
        <f t="shared" ref="D17235:E17235" si="17233">TRIM(B17235)</f>
        <v>Wisconsin</v>
      </c>
      <c r="E17235" s="111" t="str">
        <f t="shared" si="17233"/>
        <v>Clear Lake</v>
      </c>
    </row>
    <row r="17236" spans="1:5">
      <c r="A17236" s="3" t="s">
        <v>3695</v>
      </c>
      <c r="B17236" s="110" t="s">
        <v>1378</v>
      </c>
      <c r="C17236" s="111" t="s">
        <v>3697</v>
      </c>
      <c r="D17236" s="111" t="str">
        <f t="shared" ref="D17236:E17236" si="17234">TRIM(B17236)</f>
        <v>Wisconsin</v>
      </c>
      <c r="E17236" s="111" t="str">
        <f t="shared" si="17234"/>
        <v>Clinton</v>
      </c>
    </row>
    <row r="17237" spans="1:5">
      <c r="A17237" s="3" t="s">
        <v>28975</v>
      </c>
      <c r="B17237" s="110" t="s">
        <v>1378</v>
      </c>
      <c r="C17237" s="111" t="s">
        <v>21105</v>
      </c>
      <c r="D17237" s="111" t="str">
        <f t="shared" ref="D17237:E17237" si="17235">TRIM(B17237)</f>
        <v>Wisconsin</v>
      </c>
      <c r="E17237" s="111" t="str">
        <f t="shared" si="17235"/>
        <v>Clintonville</v>
      </c>
    </row>
    <row r="17238" spans="1:5">
      <c r="A17238" s="3" t="s">
        <v>28976</v>
      </c>
      <c r="B17238" s="110" t="s">
        <v>1378</v>
      </c>
      <c r="C17238" s="111" t="s">
        <v>15230</v>
      </c>
      <c r="D17238" s="111" t="str">
        <f t="shared" ref="D17238:E17238" si="17236">TRIM(B17238)</f>
        <v>Wisconsin</v>
      </c>
      <c r="E17238" s="111" t="str">
        <f t="shared" si="17236"/>
        <v>Colby</v>
      </c>
    </row>
    <row r="17239" spans="1:5">
      <c r="A17239" s="3" t="s">
        <v>23731</v>
      </c>
      <c r="B17239" s="110" t="s">
        <v>1378</v>
      </c>
      <c r="C17239" s="111" t="s">
        <v>17074</v>
      </c>
      <c r="D17239" s="111" t="str">
        <f t="shared" ref="D17239:E17239" si="17237">TRIM(B17239)</f>
        <v>Wisconsin</v>
      </c>
      <c r="E17239" s="111" t="str">
        <f t="shared" si="17237"/>
        <v>Coleman</v>
      </c>
    </row>
    <row r="17240" spans="1:5">
      <c r="A17240" s="3" t="s">
        <v>4717</v>
      </c>
      <c r="B17240" s="110" t="s">
        <v>1378</v>
      </c>
      <c r="C17240" s="111" t="s">
        <v>4718</v>
      </c>
      <c r="D17240" s="111" t="str">
        <f t="shared" ref="D17240:E17240" si="17238">TRIM(B17240)</f>
        <v>Wisconsin</v>
      </c>
      <c r="E17240" s="111" t="str">
        <f t="shared" si="17238"/>
        <v>Colfax</v>
      </c>
    </row>
    <row r="17241" spans="1:5">
      <c r="A17241" s="3" t="s">
        <v>10563</v>
      </c>
      <c r="B17241" s="110" t="s">
        <v>1378</v>
      </c>
      <c r="C17241" s="111" t="s">
        <v>138</v>
      </c>
      <c r="D17241" s="111" t="str">
        <f t="shared" ref="D17241:E17241" si="17239">TRIM(B17241)</f>
        <v>Wisconsin</v>
      </c>
      <c r="E17241" s="111" t="str">
        <f t="shared" si="17239"/>
        <v>Columbus</v>
      </c>
    </row>
    <row r="17242" spans="1:5">
      <c r="A17242" s="3" t="s">
        <v>24590</v>
      </c>
      <c r="B17242" s="110" t="s">
        <v>1378</v>
      </c>
      <c r="C17242" s="111" t="s">
        <v>28977</v>
      </c>
      <c r="D17242" s="111" t="str">
        <f t="shared" ref="D17242:E17242" si="17240">TRIM(B17242)</f>
        <v>Wisconsin</v>
      </c>
      <c r="E17242" s="111" t="str">
        <f t="shared" si="17240"/>
        <v>Cornell</v>
      </c>
    </row>
    <row r="17243" spans="1:5">
      <c r="A17243" s="3" t="s">
        <v>28978</v>
      </c>
      <c r="B17243" s="110" t="s">
        <v>1378</v>
      </c>
      <c r="C17243" s="111" t="s">
        <v>28979</v>
      </c>
      <c r="D17243" s="111" t="str">
        <f t="shared" ref="D17243:E17243" si="17241">TRIM(B17243)</f>
        <v>Wisconsin</v>
      </c>
      <c r="E17243" s="111" t="str">
        <f t="shared" si="17241"/>
        <v>Crandon</v>
      </c>
    </row>
    <row r="17244" spans="1:5">
      <c r="A17244" s="3" t="s">
        <v>28980</v>
      </c>
      <c r="B17244" s="110" t="s">
        <v>1378</v>
      </c>
      <c r="C17244" s="111" t="s">
        <v>28981</v>
      </c>
      <c r="D17244" s="111" t="str">
        <f t="shared" ref="D17244:E17244" si="17242">TRIM(B17244)</f>
        <v>Wisconsin</v>
      </c>
      <c r="E17244" s="111" t="str">
        <f t="shared" si="17242"/>
        <v>Crivitz</v>
      </c>
    </row>
    <row r="17245" spans="1:5">
      <c r="A17245" s="3" t="s">
        <v>28982</v>
      </c>
      <c r="B17245" s="110" t="s">
        <v>1378</v>
      </c>
      <c r="C17245" s="111" t="s">
        <v>3822</v>
      </c>
      <c r="D17245" s="111" t="str">
        <f t="shared" ref="D17245:E17245" si="17243">TRIM(B17245)</f>
        <v>Wisconsin</v>
      </c>
      <c r="E17245" s="111" t="str">
        <f t="shared" si="17243"/>
        <v>Cuba City</v>
      </c>
    </row>
    <row r="17246" spans="1:5">
      <c r="A17246" s="3" t="s">
        <v>28983</v>
      </c>
      <c r="B17246" s="110" t="s">
        <v>1378</v>
      </c>
      <c r="C17246" s="111" t="s">
        <v>28984</v>
      </c>
      <c r="D17246" s="111" t="str">
        <f t="shared" ref="D17246:E17246" si="17244">TRIM(B17246)</f>
        <v>Wisconsin</v>
      </c>
      <c r="E17246" s="111" t="str">
        <f t="shared" si="17244"/>
        <v>Cudahy</v>
      </c>
    </row>
    <row r="17247" spans="1:5">
      <c r="A17247" s="3" t="s">
        <v>13909</v>
      </c>
      <c r="B17247" s="110" t="s">
        <v>1378</v>
      </c>
      <c r="C17247" s="111" t="s">
        <v>11058</v>
      </c>
      <c r="D17247" s="111" t="str">
        <f t="shared" ref="D17247:E17247" si="17245">TRIM(B17247)</f>
        <v>Wisconsin</v>
      </c>
      <c r="E17247" s="111" t="str">
        <f t="shared" si="17245"/>
        <v>Cumberland</v>
      </c>
    </row>
    <row r="17248" spans="1:5">
      <c r="A17248" s="3" t="s">
        <v>25413</v>
      </c>
      <c r="B17248" s="110" t="s">
        <v>1378</v>
      </c>
      <c r="C17248" s="111" t="s">
        <v>25414</v>
      </c>
      <c r="D17248" s="111" t="str">
        <f t="shared" ref="D17248:E17248" si="17246">TRIM(B17248)</f>
        <v>Wisconsin</v>
      </c>
      <c r="E17248" s="111" t="str">
        <f t="shared" si="17246"/>
        <v>Darlington</v>
      </c>
    </row>
    <row r="17249" spans="1:5">
      <c r="A17249" s="3" t="s">
        <v>28985</v>
      </c>
      <c r="B17249" s="110" t="s">
        <v>1378</v>
      </c>
      <c r="C17249" s="111" t="s">
        <v>28986</v>
      </c>
      <c r="D17249" s="111" t="str">
        <f t="shared" ref="D17249:E17249" si="17247">TRIM(B17249)</f>
        <v>Wisconsin</v>
      </c>
      <c r="E17249" s="111" t="str">
        <f t="shared" si="17247"/>
        <v>De Forest</v>
      </c>
    </row>
    <row r="17250" spans="1:5">
      <c r="A17250" s="3" t="s">
        <v>28987</v>
      </c>
      <c r="B17250" s="110" t="s">
        <v>1378</v>
      </c>
      <c r="C17250" s="111" t="s">
        <v>28988</v>
      </c>
      <c r="D17250" s="111" t="str">
        <f t="shared" ref="D17250:E17250" si="17248">TRIM(B17250)</f>
        <v>Wisconsin</v>
      </c>
      <c r="E17250" s="111" t="str">
        <f t="shared" si="17248"/>
        <v>De Pere</v>
      </c>
    </row>
    <row r="17251" spans="1:5">
      <c r="A17251" s="110" t="s">
        <v>28989</v>
      </c>
      <c r="B17251" s="110" t="s">
        <v>1378</v>
      </c>
      <c r="C17251" s="111" t="s">
        <v>28988</v>
      </c>
      <c r="D17251" s="111" t="str">
        <f t="shared" ref="D17251:E17251" si="17249">TRIM(B17251)</f>
        <v>Wisconsin</v>
      </c>
      <c r="E17251" s="111" t="str">
        <f t="shared" si="17249"/>
        <v>De Pere</v>
      </c>
    </row>
    <row r="17252" spans="1:5">
      <c r="A17252" s="3" t="s">
        <v>28990</v>
      </c>
      <c r="B17252" s="110" t="s">
        <v>1378</v>
      </c>
      <c r="C17252" s="111" t="s">
        <v>28988</v>
      </c>
      <c r="D17252" s="111" t="str">
        <f t="shared" ref="D17252:E17252" si="17250">TRIM(B17252)</f>
        <v>Wisconsin</v>
      </c>
      <c r="E17252" s="111" t="str">
        <f t="shared" si="17250"/>
        <v>De Pere</v>
      </c>
    </row>
    <row r="17253" spans="1:5">
      <c r="A17253" s="3" t="s">
        <v>28991</v>
      </c>
      <c r="B17253" s="110" t="s">
        <v>1378</v>
      </c>
      <c r="C17253" s="111" t="s">
        <v>15245</v>
      </c>
      <c r="D17253" s="111" t="str">
        <f t="shared" ref="D17253:E17253" si="17251">TRIM(B17253)</f>
        <v>Wisconsin</v>
      </c>
      <c r="E17253" s="111" t="str">
        <f t="shared" si="17251"/>
        <v>De Soto</v>
      </c>
    </row>
    <row r="17254" spans="1:5">
      <c r="A17254" s="3" t="s">
        <v>12748</v>
      </c>
      <c r="B17254" s="110" t="s">
        <v>1378</v>
      </c>
      <c r="C17254" s="111" t="s">
        <v>12749</v>
      </c>
      <c r="D17254" s="111" t="str">
        <f t="shared" ref="D17254:E17254" si="17252">TRIM(B17254)</f>
        <v>Wisconsin</v>
      </c>
      <c r="E17254" s="111" t="str">
        <f t="shared" si="17252"/>
        <v>Deerfield</v>
      </c>
    </row>
    <row r="17255" spans="1:5">
      <c r="A17255" s="3" t="s">
        <v>28992</v>
      </c>
      <c r="B17255" s="110" t="s">
        <v>1378</v>
      </c>
      <c r="C17255" s="111" t="s">
        <v>12755</v>
      </c>
      <c r="D17255" s="111" t="str">
        <f t="shared" ref="D17255:E17255" si="17253">TRIM(B17255)</f>
        <v>Wisconsin</v>
      </c>
      <c r="E17255" s="111" t="str">
        <f t="shared" si="17253"/>
        <v>Delavan</v>
      </c>
    </row>
    <row r="17256" spans="1:5">
      <c r="A17256" s="110" t="s">
        <v>28993</v>
      </c>
      <c r="B17256" s="110" t="s">
        <v>1378</v>
      </c>
      <c r="C17256" s="111" t="s">
        <v>25417</v>
      </c>
      <c r="D17256" s="111" t="str">
        <f t="shared" ref="D17256:E17256" si="17254">TRIM(B17256)</f>
        <v>Wisconsin</v>
      </c>
      <c r="E17256" s="111" t="str">
        <f t="shared" si="17254"/>
        <v>Denmark</v>
      </c>
    </row>
    <row r="17257" spans="1:5">
      <c r="A17257" s="3" t="s">
        <v>10315</v>
      </c>
      <c r="B17257" s="110" t="s">
        <v>1378</v>
      </c>
      <c r="C17257" s="111" t="s">
        <v>25417</v>
      </c>
      <c r="D17257" s="111" t="str">
        <f t="shared" ref="D17257:E17257" si="17255">TRIM(B17257)</f>
        <v>Wisconsin</v>
      </c>
      <c r="E17257" s="111" t="str">
        <f t="shared" si="17255"/>
        <v>Denmark</v>
      </c>
    </row>
    <row r="17258" spans="1:5">
      <c r="A17258" s="3" t="s">
        <v>28994</v>
      </c>
      <c r="B17258" s="110" t="s">
        <v>1378</v>
      </c>
      <c r="C17258" s="111" t="s">
        <v>28995</v>
      </c>
      <c r="D17258" s="111" t="str">
        <f t="shared" ref="D17258:E17258" si="17256">TRIM(B17258)</f>
        <v>Wisconsin</v>
      </c>
      <c r="E17258" s="111" t="str">
        <f t="shared" si="17256"/>
        <v>Dodgeville</v>
      </c>
    </row>
    <row r="17259" spans="1:5">
      <c r="A17259" s="3" t="s">
        <v>19308</v>
      </c>
      <c r="B17259" s="110" t="s">
        <v>1378</v>
      </c>
      <c r="C17259" s="111" t="s">
        <v>19309</v>
      </c>
      <c r="D17259" s="111" t="str">
        <f t="shared" ref="D17259:E17259" si="17257">TRIM(B17259)</f>
        <v>Wisconsin</v>
      </c>
      <c r="E17259" s="111" t="str">
        <f t="shared" si="17257"/>
        <v>Drummond</v>
      </c>
    </row>
    <row r="17260" spans="1:5">
      <c r="A17260" s="3" t="s">
        <v>28996</v>
      </c>
      <c r="B17260" s="110" t="s">
        <v>1378</v>
      </c>
      <c r="C17260" s="111" t="s">
        <v>12802</v>
      </c>
      <c r="D17260" s="111" t="str">
        <f t="shared" ref="D17260:E17260" si="17258">TRIM(B17260)</f>
        <v>Wisconsin</v>
      </c>
      <c r="E17260" s="111" t="str">
        <f t="shared" si="17258"/>
        <v>Durand</v>
      </c>
    </row>
    <row r="17261" spans="1:5">
      <c r="A17261" s="3" t="s">
        <v>28997</v>
      </c>
      <c r="B17261" s="110" t="s">
        <v>1378</v>
      </c>
      <c r="C17261" s="111" t="s">
        <v>2330</v>
      </c>
      <c r="D17261" s="111" t="str">
        <f t="shared" ref="D17261:E17261" si="17259">TRIM(B17261)</f>
        <v>Wisconsin</v>
      </c>
      <c r="E17261" s="111" t="str">
        <f t="shared" si="17259"/>
        <v>Eagle River</v>
      </c>
    </row>
    <row r="17262" spans="1:5">
      <c r="A17262" s="3" t="s">
        <v>28998</v>
      </c>
      <c r="B17262" s="110" t="s">
        <v>1378</v>
      </c>
      <c r="C17262" s="111" t="s">
        <v>2330</v>
      </c>
      <c r="D17262" s="111" t="str">
        <f t="shared" ref="D17262:E17262" si="17260">TRIM(B17262)</f>
        <v>Wisconsin</v>
      </c>
      <c r="E17262" s="111" t="str">
        <f t="shared" si="17260"/>
        <v>Eagle River</v>
      </c>
    </row>
    <row r="17263" spans="1:5">
      <c r="A17263" s="3" t="s">
        <v>28999</v>
      </c>
      <c r="B17263" s="110" t="s">
        <v>1378</v>
      </c>
      <c r="C17263" s="111" t="s">
        <v>29000</v>
      </c>
      <c r="D17263" s="111" t="str">
        <f t="shared" ref="D17263:E17263" si="17261">TRIM(B17263)</f>
        <v>Wisconsin</v>
      </c>
      <c r="E17263" s="111" t="str">
        <f t="shared" si="17261"/>
        <v>East Troy</v>
      </c>
    </row>
    <row r="17264" spans="1:5">
      <c r="A17264" s="3" t="s">
        <v>17870</v>
      </c>
      <c r="B17264" s="110" t="s">
        <v>1378</v>
      </c>
      <c r="C17264" s="111" t="s">
        <v>14271</v>
      </c>
      <c r="D17264" s="111" t="str">
        <f t="shared" ref="D17264:E17264" si="17262">TRIM(B17264)</f>
        <v>Wisconsin</v>
      </c>
      <c r="E17264" s="111" t="str">
        <f t="shared" si="17262"/>
        <v>Eau Claire</v>
      </c>
    </row>
    <row r="17265" spans="1:5">
      <c r="A17265" s="3" t="s">
        <v>3069</v>
      </c>
      <c r="B17265" s="110" t="s">
        <v>1378</v>
      </c>
      <c r="C17265" s="111" t="s">
        <v>14271</v>
      </c>
      <c r="D17265" s="111" t="str">
        <f t="shared" ref="D17265:E17265" si="17263">TRIM(B17265)</f>
        <v>Wisconsin</v>
      </c>
      <c r="E17265" s="111" t="str">
        <f t="shared" si="17263"/>
        <v>Eau Claire</v>
      </c>
    </row>
    <row r="17266" spans="1:5">
      <c r="A17266" s="3" t="s">
        <v>29001</v>
      </c>
      <c r="B17266" s="110" t="s">
        <v>1378</v>
      </c>
      <c r="C17266" s="111" t="s">
        <v>29002</v>
      </c>
      <c r="D17266" s="111" t="str">
        <f t="shared" ref="D17266:E17266" si="17264">TRIM(B17266)</f>
        <v>Wisconsin</v>
      </c>
      <c r="E17266" s="111" t="str">
        <f t="shared" si="17264"/>
        <v>Edgar</v>
      </c>
    </row>
    <row r="17267" spans="1:5">
      <c r="A17267" s="3" t="s">
        <v>23069</v>
      </c>
      <c r="B17267" s="110" t="s">
        <v>1378</v>
      </c>
      <c r="C17267" s="111" t="s">
        <v>576</v>
      </c>
      <c r="D17267" s="111" t="str">
        <f t="shared" ref="D17267:E17267" si="17265">TRIM(B17267)</f>
        <v>Wisconsin</v>
      </c>
      <c r="E17267" s="111" t="str">
        <f t="shared" si="17265"/>
        <v>Edgerton</v>
      </c>
    </row>
    <row r="17268" spans="1:5">
      <c r="A17268" s="3" t="s">
        <v>29003</v>
      </c>
      <c r="B17268" s="110" t="s">
        <v>1378</v>
      </c>
      <c r="C17268" s="111" t="s">
        <v>29004</v>
      </c>
      <c r="D17268" s="111" t="str">
        <f t="shared" ref="D17268:E17268" si="17266">TRIM(B17268)</f>
        <v>Wisconsin</v>
      </c>
      <c r="E17268" s="111" t="str">
        <f t="shared" si="17266"/>
        <v>Elcho</v>
      </c>
    </row>
    <row r="17269" spans="1:5">
      <c r="A17269" s="3" t="s">
        <v>29005</v>
      </c>
      <c r="B17269" s="110" t="s">
        <v>1378</v>
      </c>
      <c r="C17269" s="111" t="s">
        <v>29006</v>
      </c>
      <c r="D17269" s="111" t="str">
        <f t="shared" ref="D17269:E17269" si="17267">TRIM(B17269)</f>
        <v>Wisconsin</v>
      </c>
      <c r="E17269" s="111" t="str">
        <f t="shared" si="17267"/>
        <v>Elk Mound</v>
      </c>
    </row>
    <row r="17270" spans="1:5">
      <c r="A17270" s="3" t="s">
        <v>29007</v>
      </c>
      <c r="B17270" s="110" t="s">
        <v>1378</v>
      </c>
      <c r="C17270" s="111" t="s">
        <v>29008</v>
      </c>
      <c r="D17270" s="111" t="str">
        <f t="shared" ref="D17270:E17270" si="17268">TRIM(B17270)</f>
        <v>Wisconsin</v>
      </c>
      <c r="E17270" s="111" t="str">
        <f t="shared" si="17268"/>
        <v>Elkhart Lake</v>
      </c>
    </row>
    <row r="17271" spans="1:5">
      <c r="A17271" s="3" t="s">
        <v>29009</v>
      </c>
      <c r="B17271" s="110" t="s">
        <v>1378</v>
      </c>
      <c r="C17271" s="111" t="s">
        <v>11907</v>
      </c>
      <c r="D17271" s="111" t="str">
        <f t="shared" ref="D17271:E17271" si="17269">TRIM(B17271)</f>
        <v>Wisconsin</v>
      </c>
      <c r="E17271" s="111" t="str">
        <f t="shared" si="17269"/>
        <v>Elkhorn</v>
      </c>
    </row>
    <row r="17272" spans="1:5">
      <c r="A17272" s="3" t="s">
        <v>29010</v>
      </c>
      <c r="B17272" s="110" t="s">
        <v>1378</v>
      </c>
      <c r="C17272" s="111" t="s">
        <v>11907</v>
      </c>
      <c r="D17272" s="111" t="str">
        <f t="shared" ref="D17272:E17272" si="17270">TRIM(B17272)</f>
        <v>Wisconsin</v>
      </c>
      <c r="E17272" s="111" t="str">
        <f t="shared" si="17270"/>
        <v>Elkhorn</v>
      </c>
    </row>
    <row r="17273" spans="1:5">
      <c r="A17273" s="3" t="s">
        <v>15259</v>
      </c>
      <c r="B17273" s="110" t="s">
        <v>1378</v>
      </c>
      <c r="C17273" s="111" t="s">
        <v>6832</v>
      </c>
      <c r="D17273" s="111" t="str">
        <f t="shared" ref="D17273:E17273" si="17271">TRIM(B17273)</f>
        <v>Wisconsin</v>
      </c>
      <c r="E17273" s="111" t="str">
        <f t="shared" si="17271"/>
        <v>Ellsworth</v>
      </c>
    </row>
    <row r="17274" spans="1:5">
      <c r="A17274" s="3" t="s">
        <v>12861</v>
      </c>
      <c r="B17274" s="110" t="s">
        <v>1378</v>
      </c>
      <c r="C17274" s="111" t="s">
        <v>12862</v>
      </c>
      <c r="D17274" s="111" t="str">
        <f t="shared" ref="D17274:E17274" si="17272">TRIM(B17274)</f>
        <v>Wisconsin</v>
      </c>
      <c r="E17274" s="111" t="str">
        <f t="shared" si="17272"/>
        <v>Elmwood</v>
      </c>
    </row>
    <row r="17275" spans="1:5">
      <c r="A17275" s="3" t="s">
        <v>29011</v>
      </c>
      <c r="B17275" s="110" t="s">
        <v>1378</v>
      </c>
      <c r="C17275" s="111" t="s">
        <v>29012</v>
      </c>
      <c r="D17275" s="111" t="str">
        <f t="shared" ref="D17275:E17275" si="17273">TRIM(B17275)</f>
        <v>Wisconsin</v>
      </c>
      <c r="E17275" s="111" t="str">
        <f t="shared" si="17273"/>
        <v>Elroy</v>
      </c>
    </row>
    <row r="17276" spans="1:5">
      <c r="A17276" s="3" t="s">
        <v>29013</v>
      </c>
      <c r="B17276" s="110" t="s">
        <v>1378</v>
      </c>
      <c r="C17276" s="111" t="s">
        <v>10685</v>
      </c>
      <c r="D17276" s="111" t="str">
        <f t="shared" ref="D17276:E17276" si="17274">TRIM(B17276)</f>
        <v>Wisconsin</v>
      </c>
      <c r="E17276" s="111" t="str">
        <f t="shared" si="17274"/>
        <v>Evansville</v>
      </c>
    </row>
    <row r="17277" spans="1:5">
      <c r="A17277" s="3" t="s">
        <v>29014</v>
      </c>
      <c r="B17277" s="110" t="s">
        <v>1378</v>
      </c>
      <c r="C17277" s="111" t="s">
        <v>29015</v>
      </c>
      <c r="D17277" s="111" t="str">
        <f t="shared" ref="D17277:E17277" si="17275">TRIM(B17277)</f>
        <v>Wisconsin</v>
      </c>
      <c r="E17277" s="111" t="str">
        <f t="shared" si="17275"/>
        <v>Fall Creek</v>
      </c>
    </row>
    <row r="17278" spans="1:5">
      <c r="A17278" s="3" t="s">
        <v>29016</v>
      </c>
      <c r="B17278" s="110" t="s">
        <v>1378</v>
      </c>
      <c r="C17278" s="111" t="s">
        <v>11241</v>
      </c>
      <c r="D17278" s="111" t="str">
        <f t="shared" ref="D17278:E17278" si="17276">TRIM(B17278)</f>
        <v>Wisconsin</v>
      </c>
      <c r="E17278" s="111" t="str">
        <f t="shared" si="17276"/>
        <v>Fall River</v>
      </c>
    </row>
    <row r="17279" spans="1:5">
      <c r="A17279" s="3" t="s">
        <v>29017</v>
      </c>
      <c r="B17279" s="110" t="s">
        <v>1378</v>
      </c>
      <c r="C17279" s="111" t="s">
        <v>29018</v>
      </c>
      <c r="D17279" s="111" t="str">
        <f t="shared" ref="D17279:E17279" si="17277">TRIM(B17279)</f>
        <v>Wisconsin</v>
      </c>
      <c r="E17279" s="111" t="str">
        <f t="shared" si="17277"/>
        <v>Fennimore</v>
      </c>
    </row>
    <row r="17280" spans="1:5">
      <c r="A17280" s="3" t="s">
        <v>29019</v>
      </c>
      <c r="B17280" s="110" t="s">
        <v>1378</v>
      </c>
      <c r="C17280" s="111" t="s">
        <v>29020</v>
      </c>
      <c r="D17280" s="111" t="str">
        <f t="shared" ref="D17280:E17280" si="17278">TRIM(B17280)</f>
        <v>Wisconsin</v>
      </c>
      <c r="E17280" s="111" t="str">
        <f t="shared" si="17278"/>
        <v>Fish Creek</v>
      </c>
    </row>
    <row r="17281" spans="1:5">
      <c r="A17281" s="3" t="s">
        <v>1754</v>
      </c>
      <c r="B17281" s="110" t="s">
        <v>1378</v>
      </c>
      <c r="C17281" s="111" t="s">
        <v>1756</v>
      </c>
      <c r="D17281" s="111" t="str">
        <f t="shared" ref="D17281:E17281" si="17279">TRIM(B17281)</f>
        <v>Wisconsin</v>
      </c>
      <c r="E17281" s="111" t="str">
        <f t="shared" si="17279"/>
        <v>Florence</v>
      </c>
    </row>
    <row r="17282" spans="1:5">
      <c r="A17282" s="3" t="s">
        <v>29021</v>
      </c>
      <c r="B17282" s="110" t="s">
        <v>1378</v>
      </c>
      <c r="C17282" s="111" t="s">
        <v>482</v>
      </c>
      <c r="D17282" s="111" t="str">
        <f t="shared" ref="D17282:E17282" si="17280">TRIM(B17282)</f>
        <v>Wisconsin</v>
      </c>
      <c r="E17282" s="111" t="str">
        <f t="shared" si="17280"/>
        <v>Fond Du Lac</v>
      </c>
    </row>
    <row r="17283" spans="1:5">
      <c r="A17283" s="3" t="s">
        <v>29022</v>
      </c>
      <c r="B17283" s="110" t="s">
        <v>1378</v>
      </c>
      <c r="C17283" s="111" t="s">
        <v>29023</v>
      </c>
      <c r="D17283" s="111" t="str">
        <f t="shared" ref="D17283:E17283" si="17281">TRIM(B17283)</f>
        <v>Wisconsin</v>
      </c>
      <c r="E17283" s="111" t="str">
        <f t="shared" si="17281"/>
        <v>Fort Atkinson</v>
      </c>
    </row>
    <row r="17284" spans="1:5">
      <c r="A17284" s="3" t="s">
        <v>29024</v>
      </c>
      <c r="B17284" s="110" t="s">
        <v>1378</v>
      </c>
      <c r="C17284" s="111" t="s">
        <v>14340</v>
      </c>
      <c r="D17284" s="111" t="str">
        <f t="shared" ref="D17284:E17284" si="17282">TRIM(B17284)</f>
        <v>Wisconsin</v>
      </c>
      <c r="E17284" s="111" t="str">
        <f t="shared" si="17282"/>
        <v>Fountain City</v>
      </c>
    </row>
    <row r="17285" spans="1:5">
      <c r="A17285" s="3" t="s">
        <v>4937</v>
      </c>
      <c r="B17285" s="110" t="s">
        <v>1378</v>
      </c>
      <c r="C17285" s="112" t="s">
        <v>525</v>
      </c>
      <c r="D17285" s="111" t="str">
        <f t="shared" ref="D17285:E17285" si="17283">TRIM(B17285)</f>
        <v>Wisconsin</v>
      </c>
      <c r="E17285" s="111" t="str">
        <f t="shared" si="17283"/>
        <v>Franklin</v>
      </c>
    </row>
    <row r="17286" spans="1:5">
      <c r="A17286" s="110" t="s">
        <v>29025</v>
      </c>
      <c r="B17286" s="110" t="s">
        <v>1378</v>
      </c>
      <c r="C17286" s="111" t="s">
        <v>29026</v>
      </c>
      <c r="D17286" s="111" t="str">
        <f t="shared" ref="D17286:E17286" si="17284">TRIM(B17286)</f>
        <v>Wisconsin</v>
      </c>
      <c r="E17286" s="111" t="str">
        <f t="shared" si="17284"/>
        <v>Frederic</v>
      </c>
    </row>
    <row r="17287" spans="1:5">
      <c r="A17287" s="3" t="s">
        <v>29027</v>
      </c>
      <c r="B17287" s="110" t="s">
        <v>1378</v>
      </c>
      <c r="C17287" s="111" t="s">
        <v>2636</v>
      </c>
      <c r="D17287" s="111" t="str">
        <f t="shared" ref="D17287:E17287" si="17285">TRIM(B17287)</f>
        <v>Wisconsin</v>
      </c>
      <c r="E17287" s="111" t="str">
        <f t="shared" si="17285"/>
        <v>Fredonia</v>
      </c>
    </row>
    <row r="17288" spans="1:5">
      <c r="A17288" s="3" t="s">
        <v>6200</v>
      </c>
      <c r="B17288" s="110" t="s">
        <v>1378</v>
      </c>
      <c r="C17288" s="111" t="s">
        <v>5065</v>
      </c>
      <c r="D17288" s="111" t="str">
        <f t="shared" ref="D17288:E17288" si="17286">TRIM(B17288)</f>
        <v>Wisconsin</v>
      </c>
      <c r="E17288" s="111" t="str">
        <f t="shared" si="17286"/>
        <v>Freedom</v>
      </c>
    </row>
    <row r="17289" spans="1:5">
      <c r="A17289" s="3" t="s">
        <v>29028</v>
      </c>
      <c r="B17289" s="110" t="s">
        <v>1378</v>
      </c>
      <c r="C17289" s="111" t="s">
        <v>29029</v>
      </c>
      <c r="D17289" s="111" t="str">
        <f t="shared" ref="D17289:E17289" si="17287">TRIM(B17289)</f>
        <v>Wisconsin</v>
      </c>
      <c r="E17289" s="111" t="str">
        <f t="shared" si="17287"/>
        <v>Galesville</v>
      </c>
    </row>
    <row r="17290" spans="1:5">
      <c r="A17290" s="3" t="s">
        <v>18480</v>
      </c>
      <c r="B17290" s="110" t="s">
        <v>1378</v>
      </c>
      <c r="C17290" s="111" t="s">
        <v>1157</v>
      </c>
      <c r="D17290" s="111" t="str">
        <f t="shared" ref="D17290:E17290" si="17288">TRIM(B17290)</f>
        <v>Wisconsin</v>
      </c>
      <c r="E17290" s="111" t="str">
        <f t="shared" si="17288"/>
        <v>Germantown</v>
      </c>
    </row>
    <row r="17291" spans="1:5">
      <c r="A17291" s="3" t="s">
        <v>29030</v>
      </c>
      <c r="B17291" s="110" t="s">
        <v>1378</v>
      </c>
      <c r="C17291" s="111" t="s">
        <v>29031</v>
      </c>
      <c r="D17291" s="111" t="str">
        <f t="shared" ref="D17291:E17291" si="17289">TRIM(B17291)</f>
        <v>Wisconsin</v>
      </c>
      <c r="E17291" s="111" t="str">
        <f t="shared" si="17289"/>
        <v>Gillett</v>
      </c>
    </row>
    <row r="17292" spans="1:5">
      <c r="A17292" s="3" t="s">
        <v>29032</v>
      </c>
      <c r="B17292" s="110" t="s">
        <v>1378</v>
      </c>
      <c r="C17292" s="111" t="s">
        <v>12960</v>
      </c>
      <c r="D17292" s="111" t="str">
        <f t="shared" ref="D17292:E17292" si="17290">TRIM(B17292)</f>
        <v>Wisconsin</v>
      </c>
      <c r="E17292" s="111" t="str">
        <f t="shared" si="17290"/>
        <v>Gilman</v>
      </c>
    </row>
    <row r="17293" spans="1:5">
      <c r="A17293" s="3" t="s">
        <v>29033</v>
      </c>
      <c r="B17293" s="110" t="s">
        <v>1378</v>
      </c>
      <c r="C17293" s="111" t="s">
        <v>29034</v>
      </c>
      <c r="D17293" s="111" t="str">
        <f t="shared" ref="D17293:E17293" si="17291">TRIM(B17293)</f>
        <v>Wisconsin</v>
      </c>
      <c r="E17293" s="111" t="str">
        <f t="shared" si="17291"/>
        <v>Gilmanton</v>
      </c>
    </row>
    <row r="17294" spans="1:5">
      <c r="A17294" s="3" t="s">
        <v>29035</v>
      </c>
      <c r="B17294" s="110" t="s">
        <v>1378</v>
      </c>
      <c r="C17294" s="111" t="s">
        <v>225</v>
      </c>
      <c r="D17294" s="111" t="str">
        <f t="shared" ref="D17294:E17294" si="17292">TRIM(B17294)</f>
        <v>Wisconsin</v>
      </c>
      <c r="E17294" s="111" t="str">
        <f t="shared" si="17292"/>
        <v>Glendale</v>
      </c>
    </row>
    <row r="17295" spans="1:5">
      <c r="A17295" s="3" t="s">
        <v>29036</v>
      </c>
      <c r="B17295" s="110" t="s">
        <v>1378</v>
      </c>
      <c r="C17295" s="111" t="s">
        <v>29037</v>
      </c>
      <c r="D17295" s="111" t="str">
        <f t="shared" ref="D17295:E17295" si="17293">TRIM(B17295)</f>
        <v>Wisconsin</v>
      </c>
      <c r="E17295" s="111" t="str">
        <f t="shared" si="17293"/>
        <v>Glenwood City</v>
      </c>
    </row>
    <row r="17296" spans="1:5">
      <c r="A17296" s="3" t="s">
        <v>29038</v>
      </c>
      <c r="B17296" s="110" t="s">
        <v>1378</v>
      </c>
      <c r="C17296" s="111" t="s">
        <v>29039</v>
      </c>
      <c r="D17296" s="111" t="str">
        <f t="shared" ref="D17296:E17296" si="17294">TRIM(B17296)</f>
        <v>Wisconsin</v>
      </c>
      <c r="E17296" s="111" t="str">
        <f t="shared" si="17294"/>
        <v>Goodman</v>
      </c>
    </row>
    <row r="17297" spans="1:5">
      <c r="A17297" s="3" t="s">
        <v>16654</v>
      </c>
      <c r="B17297" s="110" t="s">
        <v>1378</v>
      </c>
      <c r="C17297" s="111" t="s">
        <v>16655</v>
      </c>
      <c r="D17297" s="111" t="str">
        <f t="shared" ref="D17297:E17297" si="17295">TRIM(B17297)</f>
        <v>Wisconsin</v>
      </c>
      <c r="E17297" s="111" t="str">
        <f t="shared" si="17295"/>
        <v>Grafton</v>
      </c>
    </row>
    <row r="17298" spans="1:5">
      <c r="A17298" s="3" t="s">
        <v>29040</v>
      </c>
      <c r="B17298" s="110" t="s">
        <v>1378</v>
      </c>
      <c r="C17298" s="111" t="s">
        <v>29041</v>
      </c>
      <c r="D17298" s="111" t="str">
        <f t="shared" ref="D17298:E17298" si="17296">TRIM(B17298)</f>
        <v>Wisconsin</v>
      </c>
      <c r="E17298" s="111" t="str">
        <f t="shared" si="17296"/>
        <v>Granton</v>
      </c>
    </row>
    <row r="17299" spans="1:5">
      <c r="A17299" s="3" t="s">
        <v>29042</v>
      </c>
      <c r="B17299" s="110" t="s">
        <v>1378</v>
      </c>
      <c r="C17299" s="111" t="s">
        <v>29043</v>
      </c>
      <c r="D17299" s="111" t="str">
        <f t="shared" ref="D17299:E17299" si="17297">TRIM(B17299)</f>
        <v>Wisconsin</v>
      </c>
      <c r="E17299" s="111" t="str">
        <f t="shared" si="17297"/>
        <v>Grantsburg</v>
      </c>
    </row>
    <row r="17300" spans="1:5">
      <c r="A17300" s="110" t="s">
        <v>29044</v>
      </c>
      <c r="B17300" s="110" t="s">
        <v>1378</v>
      </c>
      <c r="C17300" s="111" t="s">
        <v>29043</v>
      </c>
      <c r="D17300" s="111" t="str">
        <f t="shared" ref="D17300:E17300" si="17298">TRIM(B17300)</f>
        <v>Wisconsin</v>
      </c>
      <c r="E17300" s="111" t="str">
        <f t="shared" si="17298"/>
        <v>Grantsburg</v>
      </c>
    </row>
    <row r="17301" spans="1:5">
      <c r="A17301" s="3" t="s">
        <v>29045</v>
      </c>
      <c r="B17301" s="110" t="s">
        <v>1378</v>
      </c>
      <c r="C17301" s="111" t="s">
        <v>14266</v>
      </c>
      <c r="D17301" s="111" t="str">
        <f t="shared" ref="D17301:E17301" si="17299">TRIM(B17301)</f>
        <v>Wisconsin</v>
      </c>
      <c r="E17301" s="111" t="str">
        <f t="shared" si="17299"/>
        <v>Green Bay</v>
      </c>
    </row>
    <row r="17302" spans="1:5">
      <c r="A17302" s="3" t="s">
        <v>29046</v>
      </c>
      <c r="B17302" s="110" t="s">
        <v>1378</v>
      </c>
      <c r="C17302" s="111" t="s">
        <v>14266</v>
      </c>
      <c r="D17302" s="111" t="str">
        <f t="shared" ref="D17302:E17302" si="17300">TRIM(B17302)</f>
        <v>Wisconsin</v>
      </c>
      <c r="E17302" s="111" t="str">
        <f t="shared" si="17300"/>
        <v>Green Bay</v>
      </c>
    </row>
    <row r="17303" spans="1:5">
      <c r="A17303" s="3" t="s">
        <v>2294</v>
      </c>
      <c r="B17303" s="110" t="s">
        <v>1378</v>
      </c>
      <c r="C17303" s="111" t="s">
        <v>14266</v>
      </c>
      <c r="D17303" s="111" t="str">
        <f t="shared" ref="D17303:E17303" si="17301">TRIM(B17303)</f>
        <v>Wisconsin</v>
      </c>
      <c r="E17303" s="111" t="str">
        <f t="shared" si="17301"/>
        <v>Green Bay</v>
      </c>
    </row>
    <row r="17304" spans="1:5">
      <c r="A17304" s="3" t="s">
        <v>29047</v>
      </c>
      <c r="B17304" s="110" t="s">
        <v>1378</v>
      </c>
      <c r="C17304" s="111" t="s">
        <v>14266</v>
      </c>
      <c r="D17304" s="111" t="str">
        <f t="shared" ref="D17304:E17304" si="17302">TRIM(B17304)</f>
        <v>Wisconsin</v>
      </c>
      <c r="E17304" s="111" t="str">
        <f t="shared" si="17302"/>
        <v>Green Bay</v>
      </c>
    </row>
    <row r="17305" spans="1:5">
      <c r="A17305" s="3" t="s">
        <v>29048</v>
      </c>
      <c r="B17305" s="110" t="s">
        <v>1378</v>
      </c>
      <c r="C17305" s="111" t="s">
        <v>14266</v>
      </c>
      <c r="D17305" s="111" t="str">
        <f t="shared" ref="D17305:E17305" si="17303">TRIM(B17305)</f>
        <v>Wisconsin</v>
      </c>
      <c r="E17305" s="111" t="str">
        <f t="shared" si="17303"/>
        <v>Green Bay</v>
      </c>
    </row>
    <row r="17306" spans="1:5">
      <c r="A17306" s="3" t="s">
        <v>4893</v>
      </c>
      <c r="B17306" s="110" t="s">
        <v>1378</v>
      </c>
      <c r="C17306" s="111" t="s">
        <v>14266</v>
      </c>
      <c r="D17306" s="111" t="str">
        <f t="shared" ref="D17306:E17306" si="17304">TRIM(B17306)</f>
        <v>Wisconsin</v>
      </c>
      <c r="E17306" s="111" t="str">
        <f t="shared" si="17304"/>
        <v>Green Bay</v>
      </c>
    </row>
    <row r="17307" spans="1:5">
      <c r="A17307" s="3" t="s">
        <v>2304</v>
      </c>
      <c r="B17307" s="110" t="s">
        <v>1378</v>
      </c>
      <c r="C17307" s="111" t="s">
        <v>14266</v>
      </c>
      <c r="D17307" s="111" t="str">
        <f t="shared" ref="D17307:E17307" si="17305">TRIM(B17307)</f>
        <v>Wisconsin</v>
      </c>
      <c r="E17307" s="111" t="str">
        <f t="shared" si="17305"/>
        <v>Green Bay</v>
      </c>
    </row>
    <row r="17308" spans="1:5">
      <c r="A17308" s="3" t="s">
        <v>29049</v>
      </c>
      <c r="B17308" s="110" t="s">
        <v>1378</v>
      </c>
      <c r="C17308" s="111" t="s">
        <v>29050</v>
      </c>
      <c r="D17308" s="111" t="str">
        <f t="shared" ref="D17308:E17308" si="17306">TRIM(B17308)</f>
        <v>Wisconsin</v>
      </c>
      <c r="E17308" s="111" t="str">
        <f t="shared" si="17306"/>
        <v>Green Lake</v>
      </c>
    </row>
    <row r="17309" spans="1:5">
      <c r="A17309" s="3" t="s">
        <v>29051</v>
      </c>
      <c r="B17309" s="110" t="s">
        <v>1378</v>
      </c>
      <c r="C17309" s="111" t="s">
        <v>511</v>
      </c>
      <c r="D17309" s="111" t="str">
        <f t="shared" ref="D17309:E17309" si="17307">TRIM(B17309)</f>
        <v>Wisconsin</v>
      </c>
      <c r="E17309" s="111" t="str">
        <f t="shared" si="17307"/>
        <v>Greendale</v>
      </c>
    </row>
    <row r="17310" spans="1:5">
      <c r="A17310" s="3" t="s">
        <v>5187</v>
      </c>
      <c r="B17310" s="110" t="s">
        <v>1378</v>
      </c>
      <c r="C17310" s="111" t="s">
        <v>5188</v>
      </c>
      <c r="D17310" s="111" t="str">
        <f t="shared" ref="D17310:E17310" si="17308">TRIM(B17310)</f>
        <v>Wisconsin</v>
      </c>
      <c r="E17310" s="111" t="str">
        <f t="shared" si="17308"/>
        <v>Greenfield</v>
      </c>
    </row>
    <row r="17311" spans="1:5">
      <c r="A17311" s="3" t="s">
        <v>29052</v>
      </c>
      <c r="B17311" s="110" t="s">
        <v>1378</v>
      </c>
      <c r="C17311" s="111" t="s">
        <v>5188</v>
      </c>
      <c r="D17311" s="111" t="str">
        <f t="shared" ref="D17311:E17311" si="17309">TRIM(B17311)</f>
        <v>Wisconsin</v>
      </c>
      <c r="E17311" s="111" t="str">
        <f t="shared" si="17309"/>
        <v>Greenfield</v>
      </c>
    </row>
    <row r="17312" spans="1:5">
      <c r="A17312" s="3" t="s">
        <v>3819</v>
      </c>
      <c r="B17312" s="110" t="s">
        <v>1378</v>
      </c>
      <c r="C17312" s="111" t="s">
        <v>3820</v>
      </c>
      <c r="D17312" s="111" t="str">
        <f t="shared" ref="D17312:E17312" si="17310">TRIM(B17312)</f>
        <v>Wisconsin</v>
      </c>
      <c r="E17312" s="111" t="str">
        <f t="shared" si="17310"/>
        <v>Greenwood</v>
      </c>
    </row>
    <row r="17313" spans="1:5">
      <c r="A17313" s="3" t="s">
        <v>24293</v>
      </c>
      <c r="B17313" s="110" t="s">
        <v>1378</v>
      </c>
      <c r="C17313" s="111" t="s">
        <v>24291</v>
      </c>
      <c r="D17313" s="111" t="str">
        <f t="shared" ref="D17313:E17313" si="17311">TRIM(B17313)</f>
        <v>Wisconsin</v>
      </c>
      <c r="E17313" s="111" t="str">
        <f t="shared" si="17311"/>
        <v>Gresham</v>
      </c>
    </row>
    <row r="17314" spans="1:5">
      <c r="A17314" s="3" t="s">
        <v>29053</v>
      </c>
      <c r="B17314" s="110" t="s">
        <v>1378</v>
      </c>
      <c r="C17314" s="111" t="s">
        <v>289</v>
      </c>
      <c r="D17314" s="111" t="str">
        <f t="shared" ref="D17314:E17314" si="17312">TRIM(B17314)</f>
        <v>Wisconsin</v>
      </c>
      <c r="E17314" s="111" t="str">
        <f t="shared" si="17312"/>
        <v>Hammond</v>
      </c>
    </row>
    <row r="17315" spans="1:5">
      <c r="A17315" s="3" t="s">
        <v>17285</v>
      </c>
      <c r="B17315" s="110" t="s">
        <v>1378</v>
      </c>
      <c r="C17315" s="111" t="s">
        <v>1832</v>
      </c>
      <c r="D17315" s="111" t="str">
        <f t="shared" ref="D17315:E17315" si="17313">TRIM(B17315)</f>
        <v>Wisconsin</v>
      </c>
      <c r="E17315" s="111" t="str">
        <f t="shared" si="17313"/>
        <v>Hartford</v>
      </c>
    </row>
    <row r="17316" spans="1:5">
      <c r="A17316" s="3" t="s">
        <v>29054</v>
      </c>
      <c r="B17316" s="110" t="s">
        <v>1378</v>
      </c>
      <c r="C17316" s="111" t="s">
        <v>14307</v>
      </c>
      <c r="D17316" s="111" t="str">
        <f t="shared" ref="D17316:E17316" si="17314">TRIM(B17316)</f>
        <v>Wisconsin</v>
      </c>
      <c r="E17316" s="111" t="str">
        <f t="shared" si="17314"/>
        <v>Hartland</v>
      </c>
    </row>
    <row r="17317" spans="1:5">
      <c r="A17317" s="3" t="s">
        <v>5240</v>
      </c>
      <c r="B17317" s="110" t="s">
        <v>1378</v>
      </c>
      <c r="C17317" s="111" t="s">
        <v>5241</v>
      </c>
      <c r="D17317" s="111" t="str">
        <f t="shared" ref="D17317:E17317" si="17315">TRIM(B17317)</f>
        <v>Wisconsin</v>
      </c>
      <c r="E17317" s="111" t="str">
        <f t="shared" si="17315"/>
        <v>Hayward</v>
      </c>
    </row>
    <row r="17318" spans="1:5">
      <c r="A17318" s="110" t="s">
        <v>29055</v>
      </c>
      <c r="B17318" s="110" t="s">
        <v>1378</v>
      </c>
      <c r="C17318" s="111" t="s">
        <v>5241</v>
      </c>
      <c r="D17318" s="111" t="str">
        <f t="shared" ref="D17318:E17318" si="17316">TRIM(B17318)</f>
        <v>Wisconsin</v>
      </c>
      <c r="E17318" s="111" t="str">
        <f t="shared" si="17316"/>
        <v>Hayward</v>
      </c>
    </row>
    <row r="17319" spans="1:5">
      <c r="A17319" s="3" t="s">
        <v>29056</v>
      </c>
      <c r="B17319" s="110" t="s">
        <v>1378</v>
      </c>
      <c r="C17319" s="111" t="s">
        <v>1847</v>
      </c>
      <c r="D17319" s="111" t="str">
        <f t="shared" ref="D17319:E17319" si="17317">TRIM(B17319)</f>
        <v>Wisconsin</v>
      </c>
      <c r="E17319" s="111" t="str">
        <f t="shared" si="17317"/>
        <v>Hazel Green</v>
      </c>
    </row>
    <row r="17320" spans="1:5">
      <c r="A17320" s="3" t="s">
        <v>29057</v>
      </c>
      <c r="B17320" s="110" t="s">
        <v>1378</v>
      </c>
      <c r="C17320" s="111" t="s">
        <v>234</v>
      </c>
      <c r="D17320" s="111" t="str">
        <f t="shared" ref="D17320:E17320" si="17318">TRIM(B17320)</f>
        <v>Wisconsin</v>
      </c>
      <c r="E17320" s="111" t="str">
        <f t="shared" si="17318"/>
        <v>Highland</v>
      </c>
    </row>
    <row r="17321" spans="1:5">
      <c r="A17321" s="3" t="s">
        <v>29058</v>
      </c>
      <c r="B17321" s="110" t="s">
        <v>1378</v>
      </c>
      <c r="C17321" s="111" t="s">
        <v>29059</v>
      </c>
      <c r="D17321" s="111" t="str">
        <f t="shared" ref="D17321:E17321" si="17319">TRIM(B17321)</f>
        <v>Wisconsin</v>
      </c>
      <c r="E17321" s="111" t="str">
        <f t="shared" si="17319"/>
        <v>Hilbert</v>
      </c>
    </row>
    <row r="17322" spans="1:5">
      <c r="A17322" s="3" t="s">
        <v>13068</v>
      </c>
      <c r="B17322" s="110" t="s">
        <v>1378</v>
      </c>
      <c r="C17322" s="111" t="s">
        <v>13070</v>
      </c>
      <c r="D17322" s="111" t="str">
        <f t="shared" ref="D17322:E17322" si="17320">TRIM(B17322)</f>
        <v>Wisconsin</v>
      </c>
      <c r="E17322" s="111" t="str">
        <f t="shared" si="17320"/>
        <v>Hillsboro</v>
      </c>
    </row>
    <row r="17323" spans="1:5">
      <c r="A17323" s="3" t="s">
        <v>29060</v>
      </c>
      <c r="B17323" s="110" t="s">
        <v>1378</v>
      </c>
      <c r="C17323" s="111" t="s">
        <v>29061</v>
      </c>
      <c r="D17323" s="111" t="str">
        <f t="shared" ref="D17323:E17323" si="17321">TRIM(B17323)</f>
        <v>Wisconsin</v>
      </c>
      <c r="E17323" s="111" t="str">
        <f t="shared" si="17321"/>
        <v>Holcombe</v>
      </c>
    </row>
    <row r="17324" spans="1:5">
      <c r="A17324" s="3" t="s">
        <v>29062</v>
      </c>
      <c r="B17324" s="110" t="s">
        <v>1378</v>
      </c>
      <c r="C17324" s="111" t="s">
        <v>301</v>
      </c>
      <c r="D17324" s="111" t="str">
        <f t="shared" ref="D17324:E17324" si="17322">TRIM(B17324)</f>
        <v>Wisconsin</v>
      </c>
      <c r="E17324" s="111" t="str">
        <f t="shared" si="17322"/>
        <v>Holmen</v>
      </c>
    </row>
    <row r="17325" spans="1:5">
      <c r="A17325" s="3" t="s">
        <v>29063</v>
      </c>
      <c r="B17325" s="110" t="s">
        <v>1378</v>
      </c>
      <c r="C17325" s="111" t="s">
        <v>29064</v>
      </c>
      <c r="D17325" s="111" t="str">
        <f t="shared" ref="D17325:E17325" si="17323">TRIM(B17325)</f>
        <v>Wisconsin</v>
      </c>
      <c r="E17325" s="111" t="str">
        <f t="shared" si="17323"/>
        <v>Horicon</v>
      </c>
    </row>
    <row r="17326" spans="1:5">
      <c r="A17326" s="3" t="s">
        <v>29065</v>
      </c>
      <c r="B17326" s="110" t="s">
        <v>1378</v>
      </c>
      <c r="C17326" s="111" t="s">
        <v>3685</v>
      </c>
      <c r="D17326" s="111" t="str">
        <f t="shared" ref="D17326:E17326" si="17324">TRIM(B17326)</f>
        <v>Wisconsin</v>
      </c>
      <c r="E17326" s="111" t="str">
        <f t="shared" si="17324"/>
        <v>Hortonville</v>
      </c>
    </row>
    <row r="17327" spans="1:5">
      <c r="A17327" s="3" t="s">
        <v>29066</v>
      </c>
      <c r="B17327" s="110" t="s">
        <v>1378</v>
      </c>
      <c r="C17327" s="111" t="s">
        <v>29067</v>
      </c>
      <c r="D17327" s="111" t="str">
        <f t="shared" ref="D17327:E17327" si="17325">TRIM(B17327)</f>
        <v>Wisconsin</v>
      </c>
      <c r="E17327" s="111" t="str">
        <f t="shared" si="17325"/>
        <v>Howards Grove</v>
      </c>
    </row>
    <row r="17328" spans="1:5">
      <c r="A17328" s="3" t="s">
        <v>9374</v>
      </c>
      <c r="B17328" s="110" t="s">
        <v>1378</v>
      </c>
      <c r="C17328" s="111" t="s">
        <v>886</v>
      </c>
      <c r="D17328" s="111" t="str">
        <f t="shared" ref="D17328:E17328" si="17326">TRIM(B17328)</f>
        <v>Wisconsin</v>
      </c>
      <c r="E17328" s="111" t="str">
        <f t="shared" si="17326"/>
        <v>Hudson</v>
      </c>
    </row>
    <row r="17329" spans="1:5">
      <c r="A17329" s="3" t="s">
        <v>18839</v>
      </c>
      <c r="B17329" s="110" t="s">
        <v>1378</v>
      </c>
      <c r="C17329" s="111" t="s">
        <v>18449</v>
      </c>
      <c r="D17329" s="111" t="str">
        <f t="shared" ref="D17329:E17329" si="17327">TRIM(B17329)</f>
        <v>Wisconsin</v>
      </c>
      <c r="E17329" s="111" t="str">
        <f t="shared" si="17327"/>
        <v>Hurley</v>
      </c>
    </row>
    <row r="17330" spans="1:5">
      <c r="A17330" s="3" t="s">
        <v>29068</v>
      </c>
      <c r="B17330" s="110" t="s">
        <v>1378</v>
      </c>
      <c r="C17330" s="111" t="s">
        <v>29069</v>
      </c>
      <c r="D17330" s="111" t="str">
        <f t="shared" ref="D17330:E17330" si="17328">TRIM(B17330)</f>
        <v>Wisconsin</v>
      </c>
      <c r="E17330" s="111" t="str">
        <f t="shared" si="17328"/>
        <v>Hustisford</v>
      </c>
    </row>
    <row r="17331" spans="1:5">
      <c r="A17331" s="3" t="s">
        <v>2727</v>
      </c>
      <c r="B17331" s="110" t="s">
        <v>1378</v>
      </c>
      <c r="C17331" s="111" t="s">
        <v>5323</v>
      </c>
      <c r="D17331" s="111" t="str">
        <f t="shared" ref="D17331:E17331" si="17329">TRIM(B17331)</f>
        <v>Wisconsin</v>
      </c>
      <c r="E17331" s="111" t="str">
        <f t="shared" si="17329"/>
        <v>Independence</v>
      </c>
    </row>
    <row r="17332" spans="1:5">
      <c r="A17332" s="3" t="s">
        <v>29070</v>
      </c>
      <c r="B17332" s="110" t="s">
        <v>1378</v>
      </c>
      <c r="C17332" s="111" t="s">
        <v>15331</v>
      </c>
      <c r="D17332" s="111" t="str">
        <f t="shared" ref="D17332:E17332" si="17330">TRIM(B17332)</f>
        <v>Wisconsin</v>
      </c>
      <c r="E17332" s="111" t="str">
        <f t="shared" si="17330"/>
        <v>Iola</v>
      </c>
    </row>
    <row r="17333" spans="1:5">
      <c r="A17333" s="3" t="s">
        <v>2318</v>
      </c>
      <c r="B17333" s="110" t="s">
        <v>1378</v>
      </c>
      <c r="C17333" s="111" t="s">
        <v>14896</v>
      </c>
      <c r="D17333" s="111" t="str">
        <f t="shared" ref="D17333:E17333" si="17331">TRIM(B17333)</f>
        <v>Wisconsin</v>
      </c>
      <c r="E17333" s="111" t="str">
        <f t="shared" si="17331"/>
        <v>Janesville</v>
      </c>
    </row>
    <row r="17334" spans="1:5">
      <c r="A17334" s="3" t="s">
        <v>1562</v>
      </c>
      <c r="B17334" s="110" t="s">
        <v>1378</v>
      </c>
      <c r="C17334" s="111" t="s">
        <v>14896</v>
      </c>
      <c r="D17334" s="111" t="str">
        <f t="shared" ref="D17334:E17334" si="17332">TRIM(B17334)</f>
        <v>Wisconsin</v>
      </c>
      <c r="E17334" s="111" t="str">
        <f t="shared" si="17332"/>
        <v>Janesville</v>
      </c>
    </row>
    <row r="17335" spans="1:5">
      <c r="A17335" s="110" t="s">
        <v>29071</v>
      </c>
      <c r="B17335" s="110" t="s">
        <v>1378</v>
      </c>
      <c r="C17335" s="111" t="s">
        <v>14896</v>
      </c>
      <c r="D17335" s="111" t="str">
        <f t="shared" ref="D17335:E17335" si="17333">TRIM(B17335)</f>
        <v>Wisconsin</v>
      </c>
      <c r="E17335" s="111" t="str">
        <f t="shared" si="17333"/>
        <v>Janesville</v>
      </c>
    </row>
    <row r="17336" spans="1:5">
      <c r="A17336" s="3" t="s">
        <v>29072</v>
      </c>
      <c r="B17336" s="110" t="s">
        <v>1378</v>
      </c>
      <c r="C17336" s="111" t="s">
        <v>14896</v>
      </c>
      <c r="D17336" s="111" t="str">
        <f t="shared" ref="D17336:E17336" si="17334">TRIM(B17336)</f>
        <v>Wisconsin</v>
      </c>
      <c r="E17336" s="111" t="str">
        <f t="shared" si="17334"/>
        <v>Janesville</v>
      </c>
    </row>
    <row r="17337" spans="1:5">
      <c r="A17337" s="3" t="s">
        <v>29073</v>
      </c>
      <c r="B17337" s="110" t="s">
        <v>1378</v>
      </c>
      <c r="C17337" s="111" t="s">
        <v>14896</v>
      </c>
      <c r="D17337" s="111" t="str">
        <f t="shared" ref="D17337:E17337" si="17335">TRIM(B17337)</f>
        <v>Wisconsin</v>
      </c>
      <c r="E17337" s="111" t="str">
        <f t="shared" si="17335"/>
        <v>Janesville</v>
      </c>
    </row>
    <row r="17338" spans="1:5">
      <c r="A17338" s="3" t="s">
        <v>4802</v>
      </c>
      <c r="B17338" s="110" t="s">
        <v>1378</v>
      </c>
      <c r="C17338" s="111" t="s">
        <v>7891</v>
      </c>
      <c r="D17338" s="111" t="str">
        <f t="shared" ref="D17338:E17338" si="17336">TRIM(B17338)</f>
        <v>Wisconsin</v>
      </c>
      <c r="E17338" s="111" t="str">
        <f t="shared" si="17336"/>
        <v>Jefferson</v>
      </c>
    </row>
    <row r="17339" spans="1:5">
      <c r="A17339" s="3" t="s">
        <v>29074</v>
      </c>
      <c r="B17339" s="110" t="s">
        <v>1378</v>
      </c>
      <c r="C17339" s="111" t="s">
        <v>29075</v>
      </c>
      <c r="D17339" s="111" t="str">
        <f t="shared" ref="D17339:E17339" si="17337">TRIM(B17339)</f>
        <v>Wisconsin</v>
      </c>
      <c r="E17339" s="111" t="str">
        <f t="shared" si="17337"/>
        <v>Johnson Creek</v>
      </c>
    </row>
    <row r="17340" spans="1:5">
      <c r="A17340" s="3" t="s">
        <v>29076</v>
      </c>
      <c r="B17340" s="110" t="s">
        <v>1378</v>
      </c>
      <c r="C17340" s="111" t="s">
        <v>29077</v>
      </c>
      <c r="D17340" s="111" t="str">
        <f t="shared" ref="D17340:E17340" si="17338">TRIM(B17340)</f>
        <v>Wisconsin</v>
      </c>
      <c r="E17340" s="111" t="str">
        <f t="shared" si="17338"/>
        <v>Juda</v>
      </c>
    </row>
    <row r="17341" spans="1:5">
      <c r="A17341" s="3" t="s">
        <v>29078</v>
      </c>
      <c r="B17341" s="110" t="s">
        <v>1378</v>
      </c>
      <c r="C17341" s="111" t="s">
        <v>381</v>
      </c>
      <c r="D17341" s="111" t="str">
        <f t="shared" ref="D17341:E17341" si="17339">TRIM(B17341)</f>
        <v>Wisconsin</v>
      </c>
      <c r="E17341" s="111" t="str">
        <f t="shared" si="17339"/>
        <v>Juneau</v>
      </c>
    </row>
    <row r="17342" spans="1:5">
      <c r="A17342" s="3" t="s">
        <v>29079</v>
      </c>
      <c r="B17342" s="110" t="s">
        <v>1378</v>
      </c>
      <c r="C17342" s="111" t="s">
        <v>29080</v>
      </c>
      <c r="D17342" s="111" t="str">
        <f t="shared" ref="D17342:E17342" si="17340">TRIM(B17342)</f>
        <v>Wisconsin</v>
      </c>
      <c r="E17342" s="111" t="str">
        <f t="shared" si="17340"/>
        <v>Kaukauna</v>
      </c>
    </row>
    <row r="17343" spans="1:5">
      <c r="A17343" s="3" t="s">
        <v>3640</v>
      </c>
      <c r="B17343" s="110" t="s">
        <v>1378</v>
      </c>
      <c r="C17343" s="111" t="s">
        <v>29081</v>
      </c>
      <c r="D17343" s="111" t="str">
        <f t="shared" ref="D17343:E17343" si="17341">TRIM(B17343)</f>
        <v>Wisconsin</v>
      </c>
      <c r="E17343" s="111" t="str">
        <f t="shared" si="17341"/>
        <v>Kenosha</v>
      </c>
    </row>
    <row r="17344" spans="1:5">
      <c r="A17344" s="3" t="s">
        <v>29082</v>
      </c>
      <c r="B17344" s="110" t="s">
        <v>1378</v>
      </c>
      <c r="C17344" s="111" t="s">
        <v>29081</v>
      </c>
      <c r="D17344" s="111" t="str">
        <f t="shared" ref="D17344:E17344" si="17342">TRIM(B17344)</f>
        <v>Wisconsin</v>
      </c>
      <c r="E17344" s="111" t="str">
        <f t="shared" si="17342"/>
        <v>Kenosha</v>
      </c>
    </row>
    <row r="17345" spans="1:5">
      <c r="A17345" s="3" t="s">
        <v>29083</v>
      </c>
      <c r="B17345" s="110" t="s">
        <v>1378</v>
      </c>
      <c r="C17345" s="111" t="s">
        <v>29081</v>
      </c>
      <c r="D17345" s="111" t="str">
        <f t="shared" ref="D17345:E17345" si="17343">TRIM(B17345)</f>
        <v>Wisconsin</v>
      </c>
      <c r="E17345" s="111" t="str">
        <f t="shared" si="17343"/>
        <v>Kenosha</v>
      </c>
    </row>
    <row r="17346" spans="1:5">
      <c r="A17346" s="3" t="s">
        <v>29084</v>
      </c>
      <c r="B17346" s="110" t="s">
        <v>1378</v>
      </c>
      <c r="C17346" s="111" t="s">
        <v>29081</v>
      </c>
      <c r="D17346" s="111" t="str">
        <f t="shared" ref="D17346:E17346" si="17344">TRIM(B17346)</f>
        <v>Wisconsin</v>
      </c>
      <c r="E17346" s="111" t="str">
        <f t="shared" si="17344"/>
        <v>Kenosha</v>
      </c>
    </row>
    <row r="17347" spans="1:5">
      <c r="A17347" s="3" t="s">
        <v>29085</v>
      </c>
      <c r="B17347" s="110" t="s">
        <v>1378</v>
      </c>
      <c r="C17347" s="111" t="s">
        <v>29086</v>
      </c>
      <c r="D17347" s="111" t="str">
        <f t="shared" ref="D17347:E17347" si="17345">TRIM(B17347)</f>
        <v>Wisconsin</v>
      </c>
      <c r="E17347" s="111" t="str">
        <f t="shared" si="17345"/>
        <v>Keshena</v>
      </c>
    </row>
    <row r="17348" spans="1:5">
      <c r="A17348" s="3" t="s">
        <v>29087</v>
      </c>
      <c r="B17348" s="110" t="s">
        <v>1378</v>
      </c>
      <c r="C17348" s="111" t="s">
        <v>29088</v>
      </c>
      <c r="D17348" s="111" t="str">
        <f t="shared" ref="D17348:E17348" si="17346">TRIM(B17348)</f>
        <v>Wisconsin</v>
      </c>
      <c r="E17348" s="111" t="str">
        <f t="shared" si="17346"/>
        <v>Kewaskum</v>
      </c>
    </row>
    <row r="17349" spans="1:5">
      <c r="A17349" s="3" t="s">
        <v>29089</v>
      </c>
      <c r="B17349" s="110" t="s">
        <v>1378</v>
      </c>
      <c r="C17349" s="111" t="s">
        <v>29090</v>
      </c>
      <c r="D17349" s="111" t="str">
        <f t="shared" ref="D17349:E17349" si="17347">TRIM(B17349)</f>
        <v>Wisconsin</v>
      </c>
      <c r="E17349" s="111" t="str">
        <f t="shared" si="17347"/>
        <v>Kewaunee</v>
      </c>
    </row>
    <row r="17350" spans="1:5">
      <c r="A17350" s="110" t="s">
        <v>29091</v>
      </c>
      <c r="B17350" s="110" t="s">
        <v>1378</v>
      </c>
      <c r="C17350" s="111" t="s">
        <v>29092</v>
      </c>
      <c r="D17350" s="111" t="str">
        <f t="shared" ref="D17350:E17350" si="17348">TRIM(B17350)</f>
        <v>Wisconsin</v>
      </c>
      <c r="E17350" s="111" t="str">
        <f t="shared" si="17348"/>
        <v>Kiel</v>
      </c>
    </row>
    <row r="17351" spans="1:5">
      <c r="A17351" s="3" t="s">
        <v>29093</v>
      </c>
      <c r="B17351" s="110" t="s">
        <v>1378</v>
      </c>
      <c r="C17351" s="111" t="s">
        <v>29092</v>
      </c>
      <c r="D17351" s="111" t="str">
        <f t="shared" ref="D17351:E17351" si="17349">TRIM(B17351)</f>
        <v>Wisconsin</v>
      </c>
      <c r="E17351" s="111" t="str">
        <f t="shared" si="17349"/>
        <v>Kiel</v>
      </c>
    </row>
    <row r="17352" spans="1:5">
      <c r="A17352" s="3" t="s">
        <v>11765</v>
      </c>
      <c r="B17352" s="110" t="s">
        <v>1378</v>
      </c>
      <c r="C17352" s="111" t="s">
        <v>1166</v>
      </c>
      <c r="D17352" s="111" t="str">
        <f t="shared" ref="D17352:E17352" si="17350">TRIM(B17352)</f>
        <v>Wisconsin</v>
      </c>
      <c r="E17352" s="111" t="str">
        <f t="shared" si="17350"/>
        <v>Kimberly</v>
      </c>
    </row>
    <row r="17353" spans="1:5">
      <c r="A17353" s="3" t="s">
        <v>29094</v>
      </c>
      <c r="B17353" s="110" t="s">
        <v>1378</v>
      </c>
      <c r="C17353" s="111" t="s">
        <v>29095</v>
      </c>
      <c r="D17353" s="111" t="str">
        <f t="shared" ref="D17353:E17353" si="17351">TRIM(B17353)</f>
        <v>Wisconsin</v>
      </c>
      <c r="E17353" s="111" t="str">
        <f t="shared" si="17351"/>
        <v>Kohler</v>
      </c>
    </row>
    <row r="17354" spans="1:5">
      <c r="A17354" s="3" t="s">
        <v>29096</v>
      </c>
      <c r="B17354" s="110" t="s">
        <v>1378</v>
      </c>
      <c r="C17354" s="111" t="s">
        <v>14234</v>
      </c>
      <c r="D17354" s="111" t="str">
        <f t="shared" ref="D17354:E17354" si="17352">TRIM(B17354)</f>
        <v>Wisconsin</v>
      </c>
      <c r="E17354" s="111" t="str">
        <f t="shared" si="17352"/>
        <v>La Crosse</v>
      </c>
    </row>
    <row r="17355" spans="1:5">
      <c r="A17355" s="3" t="s">
        <v>1843</v>
      </c>
      <c r="B17355" s="110" t="s">
        <v>1378</v>
      </c>
      <c r="C17355" s="111" t="s">
        <v>14234</v>
      </c>
      <c r="D17355" s="111" t="str">
        <f t="shared" ref="D17355:E17355" si="17353">TRIM(B17355)</f>
        <v>Wisconsin</v>
      </c>
      <c r="E17355" s="111" t="str">
        <f t="shared" si="17353"/>
        <v>La Crosse</v>
      </c>
    </row>
    <row r="17356" spans="1:5">
      <c r="A17356" s="110" t="s">
        <v>29097</v>
      </c>
      <c r="B17356" s="110" t="s">
        <v>1378</v>
      </c>
      <c r="C17356" s="111" t="s">
        <v>14234</v>
      </c>
      <c r="D17356" s="111" t="str">
        <f t="shared" ref="D17356:E17356" si="17354">TRIM(B17356)</f>
        <v>Wisconsin</v>
      </c>
      <c r="E17356" s="111" t="str">
        <f t="shared" si="17354"/>
        <v>La Crosse</v>
      </c>
    </row>
    <row r="17357" spans="1:5">
      <c r="A17357" s="3" t="s">
        <v>15376</v>
      </c>
      <c r="B17357" s="110" t="s">
        <v>1378</v>
      </c>
      <c r="C17357" s="111" t="s">
        <v>14234</v>
      </c>
      <c r="D17357" s="111" t="str">
        <f t="shared" ref="D17357:E17357" si="17355">TRIM(B17357)</f>
        <v>Wisconsin</v>
      </c>
      <c r="E17357" s="111" t="str">
        <f t="shared" si="17355"/>
        <v>La Crosse</v>
      </c>
    </row>
    <row r="17358" spans="1:5">
      <c r="A17358" s="3" t="s">
        <v>29098</v>
      </c>
      <c r="B17358" s="110" t="s">
        <v>1378</v>
      </c>
      <c r="C17358" s="111" t="s">
        <v>29099</v>
      </c>
      <c r="D17358" s="111" t="str">
        <f t="shared" ref="D17358:E17358" si="17356">TRIM(B17358)</f>
        <v>Wisconsin</v>
      </c>
      <c r="E17358" s="111" t="str">
        <f t="shared" si="17356"/>
        <v>La Farge</v>
      </c>
    </row>
    <row r="17359" spans="1:5">
      <c r="A17359" s="3" t="s">
        <v>29100</v>
      </c>
      <c r="B17359" s="110" t="s">
        <v>1378</v>
      </c>
      <c r="C17359" s="111" t="s">
        <v>14263</v>
      </c>
      <c r="D17359" s="111" t="str">
        <f t="shared" ref="D17359:E17359" si="17357">TRIM(B17359)</f>
        <v>Wisconsin</v>
      </c>
      <c r="E17359" s="111" t="str">
        <f t="shared" si="17357"/>
        <v>Ladysmith</v>
      </c>
    </row>
    <row r="17360" spans="1:5">
      <c r="A17360" s="3" t="s">
        <v>23172</v>
      </c>
      <c r="B17360" s="110" t="s">
        <v>1378</v>
      </c>
      <c r="C17360" s="111" t="s">
        <v>29101</v>
      </c>
      <c r="D17360" s="111" t="str">
        <f t="shared" ref="D17360:E17360" si="17358">TRIM(B17360)</f>
        <v>Wisconsin</v>
      </c>
      <c r="E17360" s="111" t="str">
        <f t="shared" si="17358"/>
        <v>Lake Geneva</v>
      </c>
    </row>
    <row r="17361" spans="1:5">
      <c r="A17361" s="3" t="s">
        <v>29102</v>
      </c>
      <c r="B17361" s="110" t="s">
        <v>1378</v>
      </c>
      <c r="C17361" s="111" t="s">
        <v>14913</v>
      </c>
      <c r="D17361" s="111" t="str">
        <f t="shared" ref="D17361:E17361" si="17359">TRIM(B17361)</f>
        <v>Wisconsin</v>
      </c>
      <c r="E17361" s="111" t="str">
        <f t="shared" si="17359"/>
        <v>Lake Mills</v>
      </c>
    </row>
    <row r="17362" spans="1:5">
      <c r="A17362" s="3" t="s">
        <v>5460</v>
      </c>
      <c r="B17362" s="110" t="s">
        <v>1378</v>
      </c>
      <c r="C17362" s="111" t="s">
        <v>61</v>
      </c>
      <c r="D17362" s="111" t="str">
        <f t="shared" ref="D17362:E17362" si="17360">TRIM(B17362)</f>
        <v>Wisconsin</v>
      </c>
      <c r="E17362" s="111" t="str">
        <f t="shared" si="17360"/>
        <v>Lancaster</v>
      </c>
    </row>
    <row r="17363" spans="1:5">
      <c r="A17363" s="3" t="s">
        <v>29103</v>
      </c>
      <c r="B17363" s="110" t="s">
        <v>1378</v>
      </c>
      <c r="C17363" s="111" t="s">
        <v>29104</v>
      </c>
      <c r="D17363" s="111" t="str">
        <f t="shared" ref="D17363:E17363" si="17361">TRIM(B17363)</f>
        <v>Wisconsin</v>
      </c>
      <c r="E17363" s="111" t="str">
        <f t="shared" si="17361"/>
        <v>Laona</v>
      </c>
    </row>
    <row r="17364" spans="1:5">
      <c r="A17364" s="3" t="s">
        <v>29105</v>
      </c>
      <c r="B17364" s="110" t="s">
        <v>1378</v>
      </c>
      <c r="C17364" s="111" t="s">
        <v>13203</v>
      </c>
      <c r="D17364" s="111" t="str">
        <f t="shared" ref="D17364:E17364" si="17362">TRIM(B17364)</f>
        <v>Wisconsin</v>
      </c>
      <c r="E17364" s="111" t="str">
        <f t="shared" si="17362"/>
        <v>Lena</v>
      </c>
    </row>
    <row r="17365" spans="1:5">
      <c r="A17365" s="3" t="s">
        <v>29106</v>
      </c>
      <c r="B17365" s="110" t="s">
        <v>1378</v>
      </c>
      <c r="C17365" s="111" t="s">
        <v>29107</v>
      </c>
      <c r="D17365" s="111" t="str">
        <f t="shared" ref="D17365:E17365" si="17363">TRIM(B17365)</f>
        <v>Wisconsin</v>
      </c>
      <c r="E17365" s="111" t="str">
        <f t="shared" si="17363"/>
        <v>Little Chute</v>
      </c>
    </row>
    <row r="17366" spans="1:5">
      <c r="A17366" s="3" t="s">
        <v>29108</v>
      </c>
      <c r="B17366" s="110" t="s">
        <v>1378</v>
      </c>
      <c r="C17366" s="111" t="s">
        <v>29107</v>
      </c>
      <c r="D17366" s="111" t="str">
        <f t="shared" ref="D17366:E17366" si="17364">TRIM(B17366)</f>
        <v>Wisconsin</v>
      </c>
      <c r="E17366" s="111" t="str">
        <f t="shared" si="17364"/>
        <v>Little Chute</v>
      </c>
    </row>
    <row r="17367" spans="1:5">
      <c r="A17367" s="3" t="s">
        <v>29109</v>
      </c>
      <c r="B17367" s="110" t="s">
        <v>1378</v>
      </c>
      <c r="C17367" s="111" t="s">
        <v>5527</v>
      </c>
      <c r="D17367" s="111" t="str">
        <f t="shared" ref="D17367:E17367" si="17365">TRIM(B17367)</f>
        <v>Wisconsin</v>
      </c>
      <c r="E17367" s="111" t="str">
        <f t="shared" si="17365"/>
        <v>Livingston</v>
      </c>
    </row>
    <row r="17368" spans="1:5">
      <c r="A17368" s="3" t="s">
        <v>5528</v>
      </c>
      <c r="B17368" s="110" t="s">
        <v>1378</v>
      </c>
      <c r="C17368" s="111" t="s">
        <v>5529</v>
      </c>
      <c r="D17368" s="111" t="str">
        <f t="shared" ref="D17368:E17368" si="17366">TRIM(B17368)</f>
        <v>Wisconsin</v>
      </c>
      <c r="E17368" s="111" t="str">
        <f t="shared" si="17366"/>
        <v>Lodi</v>
      </c>
    </row>
    <row r="17369" spans="1:5">
      <c r="A17369" s="3" t="s">
        <v>29110</v>
      </c>
      <c r="B17369" s="110" t="s">
        <v>1378</v>
      </c>
      <c r="C17369" s="111" t="s">
        <v>29111</v>
      </c>
      <c r="D17369" s="111" t="str">
        <f t="shared" ref="D17369:E17369" si="17367">TRIM(B17369)</f>
        <v>Wisconsin</v>
      </c>
      <c r="E17369" s="111" t="str">
        <f t="shared" si="17367"/>
        <v>Lomira</v>
      </c>
    </row>
    <row r="17370" spans="1:5">
      <c r="A17370" s="3" t="s">
        <v>29112</v>
      </c>
      <c r="B17370" s="110" t="s">
        <v>1378</v>
      </c>
      <c r="C17370" s="111" t="s">
        <v>29113</v>
      </c>
      <c r="D17370" s="111" t="str">
        <f t="shared" ref="D17370:E17370" si="17368">TRIM(B17370)</f>
        <v>Wisconsin</v>
      </c>
      <c r="E17370" s="111" t="str">
        <f t="shared" si="17368"/>
        <v>Loyal</v>
      </c>
    </row>
    <row r="17371" spans="1:5">
      <c r="A17371" s="3" t="s">
        <v>29114</v>
      </c>
      <c r="B17371" s="110" t="s">
        <v>1378</v>
      </c>
      <c r="C17371" s="111" t="s">
        <v>29115</v>
      </c>
      <c r="D17371" s="111" t="str">
        <f t="shared" ref="D17371:E17371" si="17369">TRIM(B17371)</f>
        <v>Wisconsin</v>
      </c>
      <c r="E17371" s="111" t="str">
        <f t="shared" si="17369"/>
        <v>Luck</v>
      </c>
    </row>
    <row r="17372" spans="1:5">
      <c r="A17372" s="3" t="s">
        <v>29116</v>
      </c>
      <c r="B17372" s="110" t="s">
        <v>1378</v>
      </c>
      <c r="C17372" s="111" t="s">
        <v>29117</v>
      </c>
      <c r="D17372" s="111" t="str">
        <f t="shared" ref="D17372:E17372" si="17370">TRIM(B17372)</f>
        <v>Wisconsin</v>
      </c>
      <c r="E17372" s="111" t="str">
        <f t="shared" si="17370"/>
        <v>Luxemburg</v>
      </c>
    </row>
    <row r="17373" spans="1:5">
      <c r="A17373" s="3" t="s">
        <v>2294</v>
      </c>
      <c r="B17373" s="110" t="s">
        <v>1378</v>
      </c>
      <c r="C17373" s="111" t="s">
        <v>488</v>
      </c>
      <c r="D17373" s="111" t="str">
        <f t="shared" ref="D17373:E17373" si="17371">TRIM(B17373)</f>
        <v>Wisconsin</v>
      </c>
      <c r="E17373" s="111" t="str">
        <f t="shared" si="17371"/>
        <v>Madison</v>
      </c>
    </row>
    <row r="17374" spans="1:5">
      <c r="A17374" s="3" t="s">
        <v>29118</v>
      </c>
      <c r="B17374" s="110" t="s">
        <v>1378</v>
      </c>
      <c r="C17374" s="111" t="s">
        <v>488</v>
      </c>
      <c r="D17374" s="111" t="str">
        <f t="shared" ref="D17374:E17374" si="17372">TRIM(B17374)</f>
        <v>Wisconsin</v>
      </c>
      <c r="E17374" s="111" t="str">
        <f t="shared" si="17372"/>
        <v>Madison</v>
      </c>
    </row>
    <row r="17375" spans="1:5">
      <c r="A17375" s="3" t="s">
        <v>17870</v>
      </c>
      <c r="B17375" s="110" t="s">
        <v>1378</v>
      </c>
      <c r="C17375" s="111" t="s">
        <v>488</v>
      </c>
      <c r="D17375" s="111" t="str">
        <f t="shared" ref="D17375:E17375" si="17373">TRIM(B17375)</f>
        <v>Wisconsin</v>
      </c>
      <c r="E17375" s="111" t="str">
        <f t="shared" si="17373"/>
        <v>Madison</v>
      </c>
    </row>
    <row r="17376" spans="1:5">
      <c r="A17376" s="3" t="s">
        <v>2304</v>
      </c>
      <c r="B17376" s="110" t="s">
        <v>1378</v>
      </c>
      <c r="C17376" s="111" t="s">
        <v>488</v>
      </c>
      <c r="D17376" s="111" t="str">
        <f t="shared" ref="D17376:E17376" si="17374">TRIM(B17376)</f>
        <v>Wisconsin</v>
      </c>
      <c r="E17376" s="111" t="str">
        <f t="shared" si="17374"/>
        <v>Madison</v>
      </c>
    </row>
    <row r="17377" spans="1:5">
      <c r="A17377" s="3" t="s">
        <v>29119</v>
      </c>
      <c r="B17377" s="110" t="s">
        <v>1378</v>
      </c>
      <c r="C17377" s="111" t="s">
        <v>29120</v>
      </c>
      <c r="D17377" s="111" t="str">
        <f t="shared" ref="D17377:E17377" si="17375">TRIM(B17377)</f>
        <v>Wisconsin</v>
      </c>
      <c r="E17377" s="111" t="str">
        <f t="shared" si="17375"/>
        <v>Manawa</v>
      </c>
    </row>
    <row r="17378" spans="1:5">
      <c r="A17378" s="3" t="s">
        <v>1925</v>
      </c>
      <c r="B17378" s="110" t="s">
        <v>1378</v>
      </c>
      <c r="C17378" s="111" t="s">
        <v>14273</v>
      </c>
      <c r="D17378" s="111" t="str">
        <f t="shared" ref="D17378:E17378" si="17376">TRIM(B17378)</f>
        <v>Wisconsin</v>
      </c>
      <c r="E17378" s="111" t="str">
        <f t="shared" si="17376"/>
        <v>Manitowoc</v>
      </c>
    </row>
    <row r="17379" spans="1:5">
      <c r="A17379" s="3" t="s">
        <v>13546</v>
      </c>
      <c r="B17379" s="110" t="s">
        <v>1378</v>
      </c>
      <c r="C17379" s="111" t="s">
        <v>29121</v>
      </c>
      <c r="D17379" s="111" t="str">
        <f t="shared" ref="D17379:E17379" si="17377">TRIM(B17379)</f>
        <v>Wisconsin</v>
      </c>
      <c r="E17379" s="111" t="str">
        <f t="shared" si="17377"/>
        <v>Maple</v>
      </c>
    </row>
    <row r="17380" spans="1:5">
      <c r="A17380" s="3" t="s">
        <v>21445</v>
      </c>
      <c r="B17380" s="110" t="s">
        <v>1378</v>
      </c>
      <c r="C17380" s="111" t="s">
        <v>9581</v>
      </c>
      <c r="D17380" s="111" t="str">
        <f t="shared" ref="D17380:E17380" si="17378">TRIM(B17380)</f>
        <v>Wisconsin</v>
      </c>
      <c r="E17380" s="111" t="str">
        <f t="shared" si="17378"/>
        <v>Marathon</v>
      </c>
    </row>
    <row r="17381" spans="1:5">
      <c r="A17381" s="3" t="s">
        <v>29122</v>
      </c>
      <c r="B17381" s="110" t="s">
        <v>1378</v>
      </c>
      <c r="C17381" s="111" t="s">
        <v>14298</v>
      </c>
      <c r="D17381" s="111" t="str">
        <f t="shared" ref="D17381:E17381" si="17379">TRIM(B17381)</f>
        <v>Wisconsin</v>
      </c>
      <c r="E17381" s="111" t="str">
        <f t="shared" si="17379"/>
        <v>Marinette</v>
      </c>
    </row>
    <row r="17382" spans="1:5">
      <c r="A17382" s="3" t="s">
        <v>3993</v>
      </c>
      <c r="B17382" s="110" t="s">
        <v>1378</v>
      </c>
      <c r="C17382" s="111" t="s">
        <v>3995</v>
      </c>
      <c r="D17382" s="111" t="str">
        <f t="shared" ref="D17382:E17382" si="17380">TRIM(B17382)</f>
        <v>Wisconsin</v>
      </c>
      <c r="E17382" s="111" t="str">
        <f t="shared" si="17380"/>
        <v>Marion</v>
      </c>
    </row>
    <row r="17383" spans="1:5">
      <c r="A17383" s="3" t="s">
        <v>29123</v>
      </c>
      <c r="B17383" s="110" t="s">
        <v>1378</v>
      </c>
      <c r="C17383" s="111" t="s">
        <v>29124</v>
      </c>
      <c r="D17383" s="111" t="str">
        <f t="shared" ref="D17383:E17383" si="17381">TRIM(B17383)</f>
        <v>Wisconsin</v>
      </c>
      <c r="E17383" s="111" t="str">
        <f t="shared" si="17381"/>
        <v>Markesan</v>
      </c>
    </row>
    <row r="17384" spans="1:5">
      <c r="A17384" s="3" t="s">
        <v>4004</v>
      </c>
      <c r="B17384" s="110" t="s">
        <v>1378</v>
      </c>
      <c r="C17384" s="111" t="s">
        <v>1258</v>
      </c>
      <c r="D17384" s="111" t="str">
        <f t="shared" ref="D17384:E17384" si="17382">TRIM(B17384)</f>
        <v>Wisconsin</v>
      </c>
      <c r="E17384" s="111" t="str">
        <f t="shared" si="17382"/>
        <v>Marshall</v>
      </c>
    </row>
    <row r="17385" spans="1:5">
      <c r="A17385" s="3" t="s">
        <v>16727</v>
      </c>
      <c r="B17385" s="110" t="s">
        <v>1378</v>
      </c>
      <c r="C17385" s="111" t="s">
        <v>16728</v>
      </c>
      <c r="D17385" s="111" t="str">
        <f t="shared" ref="D17385:E17385" si="17383">TRIM(B17385)</f>
        <v>Wisconsin</v>
      </c>
      <c r="E17385" s="111" t="str">
        <f t="shared" si="17383"/>
        <v>Marshfield</v>
      </c>
    </row>
    <row r="17386" spans="1:5">
      <c r="A17386" s="110" t="s">
        <v>29125</v>
      </c>
      <c r="B17386" s="110" t="s">
        <v>1378</v>
      </c>
      <c r="C17386" s="111" t="s">
        <v>29126</v>
      </c>
      <c r="D17386" s="111" t="str">
        <f t="shared" ref="D17386:E17386" si="17384">TRIM(B17386)</f>
        <v>Wisconsin</v>
      </c>
      <c r="E17386" s="111" t="str">
        <f t="shared" si="17384"/>
        <v>Mauston</v>
      </c>
    </row>
    <row r="17387" spans="1:5">
      <c r="A17387" s="3" t="s">
        <v>29127</v>
      </c>
      <c r="B17387" s="110" t="s">
        <v>1378</v>
      </c>
      <c r="C17387" s="111" t="s">
        <v>29126</v>
      </c>
      <c r="D17387" s="111" t="str">
        <f t="shared" ref="D17387:E17387" si="17385">TRIM(B17387)</f>
        <v>Wisconsin</v>
      </c>
      <c r="E17387" s="111" t="str">
        <f t="shared" si="17385"/>
        <v>Mauston</v>
      </c>
    </row>
    <row r="17388" spans="1:5">
      <c r="A17388" s="3" t="s">
        <v>17402</v>
      </c>
      <c r="B17388" s="110" t="s">
        <v>1378</v>
      </c>
      <c r="C17388" s="111" t="s">
        <v>17403</v>
      </c>
      <c r="D17388" s="111" t="str">
        <f t="shared" ref="D17388:E17388" si="17386">TRIM(B17388)</f>
        <v>Wisconsin</v>
      </c>
      <c r="E17388" s="111" t="str">
        <f t="shared" si="17386"/>
        <v>Mayville</v>
      </c>
    </row>
    <row r="17389" spans="1:5">
      <c r="A17389" s="3" t="s">
        <v>29128</v>
      </c>
      <c r="B17389" s="110" t="s">
        <v>1378</v>
      </c>
      <c r="C17389" s="111" t="s">
        <v>29129</v>
      </c>
      <c r="D17389" s="111" t="str">
        <f t="shared" ref="D17389:E17389" si="17387">TRIM(B17389)</f>
        <v>Wisconsin</v>
      </c>
      <c r="E17389" s="111" t="str">
        <f t="shared" si="17387"/>
        <v>Mazomanie</v>
      </c>
    </row>
    <row r="17390" spans="1:5">
      <c r="A17390" s="3" t="s">
        <v>5919</v>
      </c>
      <c r="B17390" s="110" t="s">
        <v>1378</v>
      </c>
      <c r="C17390" s="111" t="s">
        <v>5920</v>
      </c>
      <c r="D17390" s="111" t="str">
        <f t="shared" ref="D17390:E17390" si="17388">TRIM(B17390)</f>
        <v>Wisconsin</v>
      </c>
      <c r="E17390" s="111" t="str">
        <f t="shared" si="17388"/>
        <v>Mcfarland</v>
      </c>
    </row>
    <row r="17391" spans="1:5">
      <c r="A17391" s="3" t="s">
        <v>16735</v>
      </c>
      <c r="B17391" s="110" t="s">
        <v>1378</v>
      </c>
      <c r="C17391" s="111" t="s">
        <v>549</v>
      </c>
      <c r="D17391" s="111" t="str">
        <f t="shared" ref="D17391:E17391" si="17389">TRIM(B17391)</f>
        <v>Wisconsin</v>
      </c>
      <c r="E17391" s="111" t="str">
        <f t="shared" si="17389"/>
        <v>Medford</v>
      </c>
    </row>
    <row r="17392" spans="1:5">
      <c r="A17392" s="3" t="s">
        <v>29130</v>
      </c>
      <c r="B17392" s="110" t="s">
        <v>1378</v>
      </c>
      <c r="C17392" s="111" t="s">
        <v>8874</v>
      </c>
      <c r="D17392" s="111" t="str">
        <f t="shared" ref="D17392:E17392" si="17390">TRIM(B17392)</f>
        <v>Wisconsin</v>
      </c>
      <c r="E17392" s="111" t="str">
        <f t="shared" si="17390"/>
        <v>Melrose</v>
      </c>
    </row>
    <row r="17393" spans="1:5">
      <c r="A17393" s="3" t="s">
        <v>29131</v>
      </c>
      <c r="B17393" s="110" t="s">
        <v>1378</v>
      </c>
      <c r="C17393" s="111" t="s">
        <v>29132</v>
      </c>
      <c r="D17393" s="111" t="str">
        <f t="shared" ref="D17393:E17393" si="17391">TRIM(B17393)</f>
        <v>Wisconsin</v>
      </c>
      <c r="E17393" s="111" t="str">
        <f t="shared" si="17391"/>
        <v>Menasha</v>
      </c>
    </row>
    <row r="17394" spans="1:5">
      <c r="A17394" s="3" t="s">
        <v>29133</v>
      </c>
      <c r="B17394" s="110" t="s">
        <v>1378</v>
      </c>
      <c r="C17394" s="113" t="s">
        <v>29134</v>
      </c>
      <c r="D17394" s="111" t="str">
        <f t="shared" ref="D17394:E17394" si="17392">TRIM(B17394)</f>
        <v>Wisconsin</v>
      </c>
      <c r="E17394" s="111" t="str">
        <f t="shared" si="17392"/>
        <v>Menomonee Falls</v>
      </c>
    </row>
    <row r="17395" spans="1:5">
      <c r="A17395" s="3" t="s">
        <v>29135</v>
      </c>
      <c r="B17395" s="110" t="s">
        <v>1378</v>
      </c>
      <c r="C17395" s="111" t="s">
        <v>29136</v>
      </c>
      <c r="D17395" s="111" t="str">
        <f t="shared" ref="D17395:E17395" si="17393">TRIM(B17395)</f>
        <v>Wisconsin</v>
      </c>
      <c r="E17395" s="111" t="str">
        <f t="shared" si="17393"/>
        <v>Menomonie</v>
      </c>
    </row>
    <row r="17396" spans="1:5">
      <c r="A17396" s="3" t="s">
        <v>4791</v>
      </c>
      <c r="B17396" s="110" t="s">
        <v>1378</v>
      </c>
      <c r="C17396" s="111" t="s">
        <v>29137</v>
      </c>
      <c r="D17396" s="111" t="str">
        <f t="shared" ref="D17396:E17396" si="17394">TRIM(B17396)</f>
        <v>Wisconsin</v>
      </c>
      <c r="E17396" s="111" t="str">
        <f t="shared" si="17394"/>
        <v>Mequon</v>
      </c>
    </row>
    <row r="17397" spans="1:5">
      <c r="A17397" s="3" t="s">
        <v>17411</v>
      </c>
      <c r="B17397" s="110" t="s">
        <v>1378</v>
      </c>
      <c r="C17397" s="111" t="s">
        <v>474</v>
      </c>
      <c r="D17397" s="111" t="str">
        <f t="shared" ref="D17397:E17397" si="17395">TRIM(B17397)</f>
        <v>Wisconsin</v>
      </c>
      <c r="E17397" s="111" t="str">
        <f t="shared" si="17395"/>
        <v>Merrill</v>
      </c>
    </row>
    <row r="17398" spans="1:5">
      <c r="A17398" s="110" t="s">
        <v>29138</v>
      </c>
      <c r="B17398" s="110" t="s">
        <v>1378</v>
      </c>
      <c r="C17398" s="111" t="s">
        <v>11814</v>
      </c>
      <c r="D17398" s="111" t="str">
        <f t="shared" ref="D17398:E17398" si="17396">TRIM(B17398)</f>
        <v>Wisconsin</v>
      </c>
      <c r="E17398" s="111" t="str">
        <f t="shared" si="17396"/>
        <v>Middleton</v>
      </c>
    </row>
    <row r="17399" spans="1:5">
      <c r="A17399" s="3" t="s">
        <v>10160</v>
      </c>
      <c r="B17399" s="110" t="s">
        <v>1378</v>
      </c>
      <c r="C17399" s="111" t="s">
        <v>11814</v>
      </c>
      <c r="D17399" s="111" t="str">
        <f t="shared" ref="D17399:E17399" si="17397">TRIM(B17399)</f>
        <v>Wisconsin</v>
      </c>
      <c r="E17399" s="111" t="str">
        <f t="shared" si="17397"/>
        <v>Middleton</v>
      </c>
    </row>
    <row r="17400" spans="1:5">
      <c r="A17400" s="3" t="s">
        <v>9727</v>
      </c>
      <c r="B17400" s="110" t="s">
        <v>1378</v>
      </c>
      <c r="C17400" s="111" t="s">
        <v>503</v>
      </c>
      <c r="D17400" s="111" t="str">
        <f t="shared" ref="D17400:E17400" si="17398">TRIM(B17400)</f>
        <v>Wisconsin</v>
      </c>
      <c r="E17400" s="111" t="str">
        <f t="shared" si="17398"/>
        <v>Milton</v>
      </c>
    </row>
    <row r="17401" spans="1:5">
      <c r="A17401" s="110" t="s">
        <v>29139</v>
      </c>
      <c r="B17401" s="110" t="s">
        <v>1378</v>
      </c>
      <c r="C17401" s="111" t="s">
        <v>459</v>
      </c>
      <c r="D17401" s="111" t="str">
        <f t="shared" ref="D17401:E17401" si="17399">TRIM(B17401)</f>
        <v>Wisconsin</v>
      </c>
      <c r="E17401" s="111" t="str">
        <f t="shared" si="17399"/>
        <v>Milwaukee</v>
      </c>
    </row>
    <row r="17402" spans="1:5">
      <c r="A17402" s="3" t="s">
        <v>29140</v>
      </c>
      <c r="B17402" s="110" t="s">
        <v>1378</v>
      </c>
      <c r="C17402" s="111" t="s">
        <v>459</v>
      </c>
      <c r="D17402" s="111" t="str">
        <f t="shared" ref="D17402:E17402" si="17400">TRIM(B17402)</f>
        <v>Wisconsin</v>
      </c>
      <c r="E17402" s="111" t="str">
        <f t="shared" si="17400"/>
        <v>Milwaukee</v>
      </c>
    </row>
    <row r="17403" spans="1:5">
      <c r="A17403" s="3" t="s">
        <v>29141</v>
      </c>
      <c r="B17403" s="110" t="s">
        <v>1378</v>
      </c>
      <c r="C17403" s="111" t="s">
        <v>459</v>
      </c>
      <c r="D17403" s="111" t="str">
        <f t="shared" ref="D17403:E17403" si="17401">TRIM(B17403)</f>
        <v>Wisconsin</v>
      </c>
      <c r="E17403" s="111" t="str">
        <f t="shared" si="17401"/>
        <v>Milwaukee</v>
      </c>
    </row>
    <row r="17404" spans="1:5">
      <c r="A17404" s="3" t="s">
        <v>29142</v>
      </c>
      <c r="B17404" s="110" t="s">
        <v>1378</v>
      </c>
      <c r="C17404" s="111" t="s">
        <v>459</v>
      </c>
      <c r="D17404" s="111" t="str">
        <f t="shared" ref="D17404:E17404" si="17402">TRIM(B17404)</f>
        <v>Wisconsin</v>
      </c>
      <c r="E17404" s="111" t="str">
        <f t="shared" si="17402"/>
        <v>Milwaukee</v>
      </c>
    </row>
    <row r="17405" spans="1:5">
      <c r="A17405" s="110" t="s">
        <v>29143</v>
      </c>
      <c r="B17405" s="110" t="s">
        <v>1378</v>
      </c>
      <c r="C17405" s="111" t="s">
        <v>459</v>
      </c>
      <c r="D17405" s="111" t="str">
        <f t="shared" ref="D17405:E17405" si="17403">TRIM(B17405)</f>
        <v>Wisconsin</v>
      </c>
      <c r="E17405" s="111" t="str">
        <f t="shared" si="17403"/>
        <v>Milwaukee</v>
      </c>
    </row>
    <row r="17406" spans="1:5">
      <c r="A17406" s="3" t="s">
        <v>29144</v>
      </c>
      <c r="B17406" s="110" t="s">
        <v>1378</v>
      </c>
      <c r="C17406" s="111" t="s">
        <v>459</v>
      </c>
      <c r="D17406" s="111" t="str">
        <f t="shared" ref="D17406:E17406" si="17404">TRIM(B17406)</f>
        <v>Wisconsin</v>
      </c>
      <c r="E17406" s="111" t="str">
        <f t="shared" si="17404"/>
        <v>Milwaukee</v>
      </c>
    </row>
    <row r="17407" spans="1:5">
      <c r="A17407" s="110" t="s">
        <v>29145</v>
      </c>
      <c r="B17407" s="110" t="s">
        <v>1378</v>
      </c>
      <c r="C17407" s="111" t="s">
        <v>459</v>
      </c>
      <c r="D17407" s="111" t="str">
        <f t="shared" ref="D17407:E17407" si="17405">TRIM(B17407)</f>
        <v>Wisconsin</v>
      </c>
      <c r="E17407" s="111" t="str">
        <f t="shared" si="17405"/>
        <v>Milwaukee</v>
      </c>
    </row>
    <row r="17408" spans="1:5">
      <c r="A17408" s="110" t="s">
        <v>29146</v>
      </c>
      <c r="B17408" s="110" t="s">
        <v>1378</v>
      </c>
      <c r="C17408" s="111" t="s">
        <v>459</v>
      </c>
      <c r="D17408" s="111" t="str">
        <f t="shared" ref="D17408:E17408" si="17406">TRIM(B17408)</f>
        <v>Wisconsin</v>
      </c>
      <c r="E17408" s="111" t="str">
        <f t="shared" si="17406"/>
        <v>Milwaukee</v>
      </c>
    </row>
    <row r="17409" spans="1:5">
      <c r="A17409" s="3" t="s">
        <v>1827</v>
      </c>
      <c r="B17409" s="110" t="s">
        <v>1378</v>
      </c>
      <c r="C17409" s="111" t="s">
        <v>459</v>
      </c>
      <c r="D17409" s="111" t="str">
        <f t="shared" ref="D17409:E17409" si="17407">TRIM(B17409)</f>
        <v>Wisconsin</v>
      </c>
      <c r="E17409" s="111" t="str">
        <f t="shared" si="17407"/>
        <v>Milwaukee</v>
      </c>
    </row>
    <row r="17410" spans="1:5">
      <c r="A17410" s="3" t="s">
        <v>29147</v>
      </c>
      <c r="B17410" s="110" t="s">
        <v>1378</v>
      </c>
      <c r="C17410" s="111" t="s">
        <v>459</v>
      </c>
      <c r="D17410" s="111" t="str">
        <f t="shared" ref="D17410:E17410" si="17408">TRIM(B17410)</f>
        <v>Wisconsin</v>
      </c>
      <c r="E17410" s="111" t="str">
        <f t="shared" si="17408"/>
        <v>Milwaukee</v>
      </c>
    </row>
    <row r="17411" spans="1:5">
      <c r="A17411" s="110" t="s">
        <v>29148</v>
      </c>
      <c r="B17411" s="110" t="s">
        <v>1378</v>
      </c>
      <c r="C17411" s="111" t="s">
        <v>459</v>
      </c>
      <c r="D17411" s="111" t="str">
        <f t="shared" ref="D17411:E17411" si="17409">TRIM(B17411)</f>
        <v>Wisconsin</v>
      </c>
      <c r="E17411" s="111" t="str">
        <f t="shared" si="17409"/>
        <v>Milwaukee</v>
      </c>
    </row>
    <row r="17412" spans="1:5">
      <c r="A17412" s="3" t="s">
        <v>4004</v>
      </c>
      <c r="B17412" s="110" t="s">
        <v>1378</v>
      </c>
      <c r="C17412" s="111" t="s">
        <v>459</v>
      </c>
      <c r="D17412" s="111" t="str">
        <f t="shared" ref="D17412:E17412" si="17410">TRIM(B17412)</f>
        <v>Wisconsin</v>
      </c>
      <c r="E17412" s="111" t="str">
        <f t="shared" si="17410"/>
        <v>Milwaukee</v>
      </c>
    </row>
    <row r="17413" spans="1:5">
      <c r="A17413" s="3" t="s">
        <v>29149</v>
      </c>
      <c r="B17413" s="110" t="s">
        <v>1378</v>
      </c>
      <c r="C17413" s="111" t="s">
        <v>459</v>
      </c>
      <c r="D17413" s="111" t="str">
        <f t="shared" ref="D17413:E17413" si="17411">TRIM(B17413)</f>
        <v>Wisconsin</v>
      </c>
      <c r="E17413" s="111" t="str">
        <f t="shared" si="17411"/>
        <v>Milwaukee</v>
      </c>
    </row>
    <row r="17414" spans="1:5">
      <c r="A17414" s="3" t="s">
        <v>29150</v>
      </c>
      <c r="B17414" s="110" t="s">
        <v>1378</v>
      </c>
      <c r="C17414" s="111" t="s">
        <v>459</v>
      </c>
      <c r="D17414" s="111" t="str">
        <f t="shared" ref="D17414:E17414" si="17412">TRIM(B17414)</f>
        <v>Wisconsin</v>
      </c>
      <c r="E17414" s="111" t="str">
        <f t="shared" si="17412"/>
        <v>Milwaukee</v>
      </c>
    </row>
    <row r="17415" spans="1:5">
      <c r="A17415" s="110" t="s">
        <v>29151</v>
      </c>
      <c r="B17415" s="110" t="s">
        <v>1378</v>
      </c>
      <c r="C17415" s="111" t="s">
        <v>459</v>
      </c>
      <c r="D17415" s="111" t="str">
        <f t="shared" ref="D17415:E17415" si="17413">TRIM(B17415)</f>
        <v>Wisconsin</v>
      </c>
      <c r="E17415" s="111" t="str">
        <f t="shared" si="17413"/>
        <v>Milwaukee</v>
      </c>
    </row>
    <row r="17416" spans="1:5">
      <c r="A17416" s="3" t="s">
        <v>29152</v>
      </c>
      <c r="B17416" s="110" t="s">
        <v>1378</v>
      </c>
      <c r="C17416" s="111" t="s">
        <v>459</v>
      </c>
      <c r="D17416" s="111" t="str">
        <f t="shared" ref="D17416:E17416" si="17414">TRIM(B17416)</f>
        <v>Wisconsin</v>
      </c>
      <c r="E17416" s="111" t="str">
        <f t="shared" si="17414"/>
        <v>Milwaukee</v>
      </c>
    </row>
    <row r="17417" spans="1:5">
      <c r="A17417" s="110" t="s">
        <v>29153</v>
      </c>
      <c r="B17417" s="110" t="s">
        <v>1378</v>
      </c>
      <c r="C17417" s="111" t="s">
        <v>459</v>
      </c>
      <c r="D17417" s="111" t="str">
        <f t="shared" ref="D17417:E17417" si="17415">TRIM(B17417)</f>
        <v>Wisconsin</v>
      </c>
      <c r="E17417" s="111" t="str">
        <f t="shared" si="17415"/>
        <v>Milwaukee</v>
      </c>
    </row>
    <row r="17418" spans="1:5">
      <c r="A17418" s="3" t="s">
        <v>29154</v>
      </c>
      <c r="B17418" s="110" t="s">
        <v>1378</v>
      </c>
      <c r="C17418" s="111" t="s">
        <v>459</v>
      </c>
      <c r="D17418" s="111" t="str">
        <f t="shared" ref="D17418:E17418" si="17416">TRIM(B17418)</f>
        <v>Wisconsin</v>
      </c>
      <c r="E17418" s="111" t="str">
        <f t="shared" si="17416"/>
        <v>Milwaukee</v>
      </c>
    </row>
    <row r="17419" spans="1:5">
      <c r="A17419" s="3" t="s">
        <v>29155</v>
      </c>
      <c r="B17419" s="110" t="s">
        <v>1378</v>
      </c>
      <c r="C17419" s="111" t="s">
        <v>459</v>
      </c>
      <c r="D17419" s="111" t="str">
        <f t="shared" ref="D17419:E17419" si="17417">TRIM(B17419)</f>
        <v>Wisconsin</v>
      </c>
      <c r="E17419" s="111" t="str">
        <f t="shared" si="17417"/>
        <v>Milwaukee</v>
      </c>
    </row>
    <row r="17420" spans="1:5">
      <c r="A17420" s="3" t="s">
        <v>21711</v>
      </c>
      <c r="B17420" s="110" t="s">
        <v>1378</v>
      </c>
      <c r="C17420" s="111" t="s">
        <v>459</v>
      </c>
      <c r="D17420" s="111" t="str">
        <f t="shared" ref="D17420:E17420" si="17418">TRIM(B17420)</f>
        <v>Wisconsin</v>
      </c>
      <c r="E17420" s="111" t="str">
        <f t="shared" si="17418"/>
        <v>Milwaukee</v>
      </c>
    </row>
    <row r="17421" spans="1:5">
      <c r="A17421" s="3" t="s">
        <v>29156</v>
      </c>
      <c r="B17421" s="110" t="s">
        <v>1378</v>
      </c>
      <c r="C17421" s="111" t="s">
        <v>459</v>
      </c>
      <c r="D17421" s="111" t="str">
        <f t="shared" ref="D17421:E17421" si="17419">TRIM(B17421)</f>
        <v>Wisconsin</v>
      </c>
      <c r="E17421" s="111" t="str">
        <f t="shared" si="17419"/>
        <v>Milwaukee</v>
      </c>
    </row>
    <row r="17422" spans="1:5">
      <c r="A17422" s="3" t="s">
        <v>3921</v>
      </c>
      <c r="B17422" s="110" t="s">
        <v>1378</v>
      </c>
      <c r="C17422" s="111" t="s">
        <v>459</v>
      </c>
      <c r="D17422" s="111" t="str">
        <f t="shared" ref="D17422:E17422" si="17420">TRIM(B17422)</f>
        <v>Wisconsin</v>
      </c>
      <c r="E17422" s="111" t="str">
        <f t="shared" si="17420"/>
        <v>Milwaukee</v>
      </c>
    </row>
    <row r="17423" spans="1:5">
      <c r="A17423" s="3" t="s">
        <v>29157</v>
      </c>
      <c r="B17423" s="110" t="s">
        <v>1378</v>
      </c>
      <c r="C17423" s="111" t="s">
        <v>459</v>
      </c>
      <c r="D17423" s="111" t="str">
        <f t="shared" ref="D17423:E17423" si="17421">TRIM(B17423)</f>
        <v>Wisconsin</v>
      </c>
      <c r="E17423" s="111" t="str">
        <f t="shared" si="17421"/>
        <v>Milwaukee</v>
      </c>
    </row>
    <row r="17424" spans="1:5">
      <c r="A17424" s="3" t="s">
        <v>29158</v>
      </c>
      <c r="B17424" s="110" t="s">
        <v>1378</v>
      </c>
      <c r="C17424" s="111" t="s">
        <v>459</v>
      </c>
      <c r="D17424" s="111" t="str">
        <f t="shared" ref="D17424:E17424" si="17422">TRIM(B17424)</f>
        <v>Wisconsin</v>
      </c>
      <c r="E17424" s="111" t="str">
        <f t="shared" si="17422"/>
        <v>Milwaukee</v>
      </c>
    </row>
    <row r="17425" spans="1:5">
      <c r="A17425" s="3" t="s">
        <v>29159</v>
      </c>
      <c r="B17425" s="110" t="s">
        <v>1378</v>
      </c>
      <c r="C17425" s="111" t="s">
        <v>459</v>
      </c>
      <c r="D17425" s="111" t="str">
        <f t="shared" ref="D17425:E17425" si="17423">TRIM(B17425)</f>
        <v>Wisconsin</v>
      </c>
      <c r="E17425" s="111" t="str">
        <f t="shared" si="17423"/>
        <v>Milwaukee</v>
      </c>
    </row>
    <row r="17426" spans="1:5">
      <c r="A17426" s="3" t="s">
        <v>29160</v>
      </c>
      <c r="B17426" s="110" t="s">
        <v>1378</v>
      </c>
      <c r="C17426" s="111" t="s">
        <v>459</v>
      </c>
      <c r="D17426" s="111" t="str">
        <f t="shared" ref="D17426:E17426" si="17424">TRIM(B17426)</f>
        <v>Wisconsin</v>
      </c>
      <c r="E17426" s="111" t="str">
        <f t="shared" si="17424"/>
        <v>Milwaukee</v>
      </c>
    </row>
    <row r="17427" spans="1:5">
      <c r="A17427" s="3" t="s">
        <v>29161</v>
      </c>
      <c r="B17427" s="110" t="s">
        <v>1378</v>
      </c>
      <c r="C17427" s="111" t="s">
        <v>459</v>
      </c>
      <c r="D17427" s="111" t="str">
        <f t="shared" ref="D17427:E17427" si="17425">TRIM(B17427)</f>
        <v>Wisconsin</v>
      </c>
      <c r="E17427" s="111" t="str">
        <f t="shared" si="17425"/>
        <v>Milwaukee</v>
      </c>
    </row>
    <row r="17428" spans="1:5">
      <c r="A17428" s="3" t="s">
        <v>29162</v>
      </c>
      <c r="B17428" s="110" t="s">
        <v>1378</v>
      </c>
      <c r="C17428" s="111" t="s">
        <v>29163</v>
      </c>
      <c r="D17428" s="111" t="str">
        <f t="shared" ref="D17428:E17428" si="17426">TRIM(B17428)</f>
        <v>Wisconsin</v>
      </c>
      <c r="E17428" s="111" t="str">
        <f t="shared" si="17426"/>
        <v>Mineral Point</v>
      </c>
    </row>
    <row r="17429" spans="1:5">
      <c r="A17429" s="3" t="s">
        <v>14445</v>
      </c>
      <c r="B17429" s="110" t="s">
        <v>1378</v>
      </c>
      <c r="C17429" s="111" t="s">
        <v>29164</v>
      </c>
      <c r="D17429" s="111" t="str">
        <f t="shared" ref="D17429:E17429" si="17427">TRIM(B17429)</f>
        <v>Wisconsin</v>
      </c>
      <c r="E17429" s="111" t="str">
        <f t="shared" si="17427"/>
        <v>Minocqua</v>
      </c>
    </row>
    <row r="17430" spans="1:5">
      <c r="A17430" s="3" t="s">
        <v>29165</v>
      </c>
      <c r="B17430" s="110" t="s">
        <v>1378</v>
      </c>
      <c r="C17430" s="111" t="s">
        <v>29164</v>
      </c>
      <c r="D17430" s="111" t="str">
        <f t="shared" ref="D17430:E17430" si="17428">TRIM(B17430)</f>
        <v>Wisconsin</v>
      </c>
      <c r="E17430" s="111" t="str">
        <f t="shared" si="17428"/>
        <v>Minocqua</v>
      </c>
    </row>
    <row r="17431" spans="1:5">
      <c r="A17431" s="3" t="s">
        <v>29166</v>
      </c>
      <c r="B17431" s="110" t="s">
        <v>1378</v>
      </c>
      <c r="C17431" s="111" t="s">
        <v>29167</v>
      </c>
      <c r="D17431" s="111" t="str">
        <f t="shared" ref="D17431:E17431" si="17429">TRIM(B17431)</f>
        <v>Wisconsin</v>
      </c>
      <c r="E17431" s="111" t="str">
        <f t="shared" si="17429"/>
        <v>Minong</v>
      </c>
    </row>
    <row r="17432" spans="1:5">
      <c r="A17432" s="3" t="s">
        <v>29168</v>
      </c>
      <c r="B17432" s="110" t="s">
        <v>1378</v>
      </c>
      <c r="C17432" s="111" t="s">
        <v>29169</v>
      </c>
      <c r="D17432" s="111" t="str">
        <f t="shared" ref="D17432:E17432" si="17430">TRIM(B17432)</f>
        <v>Wisconsin</v>
      </c>
      <c r="E17432" s="111" t="str">
        <f t="shared" si="17430"/>
        <v>Mishicot</v>
      </c>
    </row>
    <row r="17433" spans="1:5">
      <c r="A17433" s="3" t="s">
        <v>29170</v>
      </c>
      <c r="B17433" s="110" t="s">
        <v>1378</v>
      </c>
      <c r="C17433" s="111" t="s">
        <v>29171</v>
      </c>
      <c r="D17433" s="111" t="str">
        <f t="shared" ref="D17433:E17433" si="17431">TRIM(B17433)</f>
        <v>Wisconsin</v>
      </c>
      <c r="E17433" s="111" t="str">
        <f t="shared" si="17431"/>
        <v>Mondovi</v>
      </c>
    </row>
    <row r="17434" spans="1:5">
      <c r="A17434" s="3" t="s">
        <v>29172</v>
      </c>
      <c r="B17434" s="110" t="s">
        <v>1378</v>
      </c>
      <c r="C17434" s="111" t="s">
        <v>14972</v>
      </c>
      <c r="D17434" s="111" t="str">
        <f t="shared" ref="D17434:E17434" si="17432">TRIM(B17434)</f>
        <v>Wisconsin</v>
      </c>
      <c r="E17434" s="111" t="str">
        <f t="shared" si="17432"/>
        <v>Monona</v>
      </c>
    </row>
    <row r="17435" spans="1:5">
      <c r="A17435" s="110" t="s">
        <v>29173</v>
      </c>
      <c r="B17435" s="110" t="s">
        <v>1378</v>
      </c>
      <c r="C17435" s="111" t="s">
        <v>14972</v>
      </c>
      <c r="D17435" s="111" t="str">
        <f t="shared" ref="D17435:E17435" si="17433">TRIM(B17435)</f>
        <v>Wisconsin</v>
      </c>
      <c r="E17435" s="111" t="str">
        <f t="shared" si="17433"/>
        <v>Monona</v>
      </c>
    </row>
    <row r="17436" spans="1:5">
      <c r="A17436" s="3" t="s">
        <v>10298</v>
      </c>
      <c r="B17436" s="110" t="s">
        <v>1378</v>
      </c>
      <c r="C17436" s="111" t="s">
        <v>380</v>
      </c>
      <c r="D17436" s="111" t="str">
        <f t="shared" ref="D17436:E17436" si="17434">TRIM(B17436)</f>
        <v>Wisconsin</v>
      </c>
      <c r="E17436" s="111" t="str">
        <f t="shared" si="17434"/>
        <v>Monroe</v>
      </c>
    </row>
    <row r="17437" spans="1:5">
      <c r="A17437" s="3" t="s">
        <v>29174</v>
      </c>
      <c r="B17437" s="110" t="s">
        <v>1378</v>
      </c>
      <c r="C17437" s="111" t="s">
        <v>29175</v>
      </c>
      <c r="D17437" s="111" t="str">
        <f t="shared" ref="D17437:E17437" si="17435">TRIM(B17437)</f>
        <v>Wisconsin</v>
      </c>
      <c r="E17437" s="111" t="str">
        <f t="shared" si="17435"/>
        <v>Montello</v>
      </c>
    </row>
    <row r="17438" spans="1:5">
      <c r="A17438" s="3" t="s">
        <v>29176</v>
      </c>
      <c r="B17438" s="110" t="s">
        <v>1378</v>
      </c>
      <c r="C17438" s="111" t="s">
        <v>29175</v>
      </c>
      <c r="D17438" s="111" t="str">
        <f t="shared" ref="D17438:E17438" si="17436">TRIM(B17438)</f>
        <v>Wisconsin</v>
      </c>
      <c r="E17438" s="111" t="str">
        <f t="shared" si="17436"/>
        <v>Montello</v>
      </c>
    </row>
    <row r="17439" spans="1:5">
      <c r="A17439" s="3" t="s">
        <v>4042</v>
      </c>
      <c r="B17439" s="110" t="s">
        <v>1378</v>
      </c>
      <c r="C17439" s="111" t="s">
        <v>4040</v>
      </c>
      <c r="D17439" s="111" t="str">
        <f t="shared" ref="D17439:E17439" si="17437">TRIM(B17439)</f>
        <v>Wisconsin</v>
      </c>
      <c r="E17439" s="111" t="str">
        <f t="shared" si="17437"/>
        <v>Monticello</v>
      </c>
    </row>
    <row r="17440" spans="1:5">
      <c r="A17440" s="3" t="s">
        <v>29177</v>
      </c>
      <c r="B17440" s="110" t="s">
        <v>1378</v>
      </c>
      <c r="C17440" s="111" t="s">
        <v>518</v>
      </c>
      <c r="D17440" s="111" t="str">
        <f t="shared" ref="D17440:E17440" si="17438">TRIM(B17440)</f>
        <v>Wisconsin</v>
      </c>
      <c r="E17440" s="111" t="str">
        <f t="shared" si="17438"/>
        <v>Mosinee</v>
      </c>
    </row>
    <row r="17441" spans="1:5">
      <c r="A17441" s="3" t="s">
        <v>29178</v>
      </c>
      <c r="B17441" s="110" t="s">
        <v>1378</v>
      </c>
      <c r="C17441" s="111" t="s">
        <v>29179</v>
      </c>
      <c r="D17441" s="111" t="str">
        <f t="shared" ref="D17441:E17441" si="17439">TRIM(B17441)</f>
        <v>Wisconsin</v>
      </c>
      <c r="E17441" s="111" t="str">
        <f t="shared" si="17439"/>
        <v>Mount Horeb</v>
      </c>
    </row>
    <row r="17442" spans="1:5">
      <c r="A17442" s="3" t="s">
        <v>29180</v>
      </c>
      <c r="B17442" s="110" t="s">
        <v>1378</v>
      </c>
      <c r="C17442" s="111" t="s">
        <v>29181</v>
      </c>
      <c r="D17442" s="111" t="str">
        <f t="shared" ref="D17442:E17442" si="17440">TRIM(B17442)</f>
        <v>Wisconsin</v>
      </c>
      <c r="E17442" s="111" t="str">
        <f t="shared" si="17440"/>
        <v>Mukwonago</v>
      </c>
    </row>
    <row r="17443" spans="1:5">
      <c r="A17443" s="3" t="s">
        <v>6551</v>
      </c>
      <c r="B17443" s="110" t="s">
        <v>1378</v>
      </c>
      <c r="C17443" s="111" t="s">
        <v>29182</v>
      </c>
      <c r="D17443" s="111" t="str">
        <f t="shared" ref="D17443:E17443" si="17441">TRIM(B17443)</f>
        <v>Wisconsin</v>
      </c>
      <c r="E17443" s="111" t="str">
        <f t="shared" si="17441"/>
        <v>Muscoda</v>
      </c>
    </row>
    <row r="17444" spans="1:5">
      <c r="A17444" s="3" t="s">
        <v>29183</v>
      </c>
      <c r="B17444" s="110" t="s">
        <v>1378</v>
      </c>
      <c r="C17444" s="111" t="s">
        <v>29184</v>
      </c>
      <c r="D17444" s="111" t="str">
        <f t="shared" ref="D17444:E17444" si="17442">TRIM(B17444)</f>
        <v>Wisconsin</v>
      </c>
      <c r="E17444" s="111" t="str">
        <f t="shared" si="17442"/>
        <v>Muskego</v>
      </c>
    </row>
    <row r="17445" spans="1:5">
      <c r="A17445" s="110" t="s">
        <v>29185</v>
      </c>
      <c r="B17445" s="110" t="s">
        <v>1378</v>
      </c>
      <c r="C17445" s="111" t="s">
        <v>29186</v>
      </c>
      <c r="D17445" s="111" t="str">
        <f t="shared" ref="D17445:E17445" si="17443">TRIM(B17445)</f>
        <v>Wisconsin</v>
      </c>
      <c r="E17445" s="111" t="str">
        <f t="shared" si="17443"/>
        <v>Necedah</v>
      </c>
    </row>
    <row r="17446" spans="1:5">
      <c r="A17446" s="3" t="s">
        <v>29187</v>
      </c>
      <c r="B17446" s="110" t="s">
        <v>1378</v>
      </c>
      <c r="C17446" s="111" t="s">
        <v>29186</v>
      </c>
      <c r="D17446" s="111" t="str">
        <f t="shared" ref="D17446:E17446" si="17444">TRIM(B17446)</f>
        <v>Wisconsin</v>
      </c>
      <c r="E17446" s="111" t="str">
        <f t="shared" si="17444"/>
        <v>Necedah</v>
      </c>
    </row>
    <row r="17447" spans="1:5">
      <c r="A17447" s="3" t="s">
        <v>29188</v>
      </c>
      <c r="B17447" s="110" t="s">
        <v>1378</v>
      </c>
      <c r="C17447" s="111" t="s">
        <v>1179</v>
      </c>
      <c r="D17447" s="111" t="str">
        <f t="shared" ref="D17447:E17447" si="17445">TRIM(B17447)</f>
        <v>Wisconsin</v>
      </c>
      <c r="E17447" s="111" t="str">
        <f t="shared" si="17445"/>
        <v>Neenah</v>
      </c>
    </row>
    <row r="17448" spans="1:5">
      <c r="A17448" s="3" t="s">
        <v>29189</v>
      </c>
      <c r="B17448" s="110" t="s">
        <v>1378</v>
      </c>
      <c r="C17448" s="111" t="s">
        <v>29190</v>
      </c>
      <c r="D17448" s="111" t="str">
        <f t="shared" ref="D17448:E17448" si="17446">TRIM(B17448)</f>
        <v>Wisconsin</v>
      </c>
      <c r="E17448" s="111" t="str">
        <f t="shared" si="17446"/>
        <v>Neillsville</v>
      </c>
    </row>
    <row r="17449" spans="1:5">
      <c r="A17449" s="3" t="s">
        <v>29191</v>
      </c>
      <c r="B17449" s="110" t="s">
        <v>1378</v>
      </c>
      <c r="C17449" s="111" t="s">
        <v>29192</v>
      </c>
      <c r="D17449" s="111" t="str">
        <f t="shared" ref="D17449:E17449" si="17447">TRIM(B17449)</f>
        <v>Wisconsin</v>
      </c>
      <c r="E17449" s="111" t="str">
        <f t="shared" si="17447"/>
        <v>Nekoosa</v>
      </c>
    </row>
    <row r="17450" spans="1:5">
      <c r="A17450" s="3" t="s">
        <v>29193</v>
      </c>
      <c r="B17450" s="110" t="s">
        <v>1378</v>
      </c>
      <c r="C17450" s="111" t="s">
        <v>29194</v>
      </c>
      <c r="D17450" s="111" t="str">
        <f t="shared" ref="D17450:E17450" si="17448">TRIM(B17450)</f>
        <v>Wisconsin</v>
      </c>
      <c r="E17450" s="111" t="str">
        <f t="shared" si="17448"/>
        <v>New Auburn</v>
      </c>
    </row>
    <row r="17451" spans="1:5">
      <c r="A17451" s="3" t="s">
        <v>29195</v>
      </c>
      <c r="B17451" s="110" t="s">
        <v>1378</v>
      </c>
      <c r="C17451" s="111" t="s">
        <v>13436</v>
      </c>
      <c r="D17451" s="111" t="str">
        <f t="shared" ref="D17451:E17451" si="17449">TRIM(B17451)</f>
        <v>Wisconsin</v>
      </c>
      <c r="E17451" s="111" t="str">
        <f t="shared" si="17449"/>
        <v>New Berlin</v>
      </c>
    </row>
    <row r="17452" spans="1:5">
      <c r="A17452" s="3" t="s">
        <v>29196</v>
      </c>
      <c r="B17452" s="110" t="s">
        <v>1378</v>
      </c>
      <c r="C17452" s="111" t="s">
        <v>13436</v>
      </c>
      <c r="D17452" s="111" t="str">
        <f t="shared" ref="D17452:E17452" si="17450">TRIM(B17452)</f>
        <v>Wisconsin</v>
      </c>
      <c r="E17452" s="111" t="str">
        <f t="shared" si="17450"/>
        <v>New Berlin</v>
      </c>
    </row>
    <row r="17453" spans="1:5">
      <c r="A17453" s="3" t="s">
        <v>29197</v>
      </c>
      <c r="B17453" s="110" t="s">
        <v>1378</v>
      </c>
      <c r="C17453" s="111" t="s">
        <v>29198</v>
      </c>
      <c r="D17453" s="111" t="str">
        <f t="shared" ref="D17453:E17453" si="17451">TRIM(B17453)</f>
        <v>Wisconsin</v>
      </c>
      <c r="E17453" s="111" t="str">
        <f t="shared" si="17451"/>
        <v>New Glarus</v>
      </c>
    </row>
    <row r="17454" spans="1:5">
      <c r="A17454" s="3" t="s">
        <v>29199</v>
      </c>
      <c r="B17454" s="110" t="s">
        <v>1378</v>
      </c>
      <c r="C17454" s="111" t="s">
        <v>29200</v>
      </c>
      <c r="D17454" s="111" t="str">
        <f t="shared" ref="D17454:E17454" si="17452">TRIM(B17454)</f>
        <v>Wisconsin</v>
      </c>
      <c r="E17454" s="111" t="str">
        <f t="shared" si="17452"/>
        <v>New Holstein</v>
      </c>
    </row>
    <row r="17455" spans="1:5">
      <c r="A17455" s="3" t="s">
        <v>29201</v>
      </c>
      <c r="B17455" s="110" t="s">
        <v>1378</v>
      </c>
      <c r="C17455" s="111" t="s">
        <v>29202</v>
      </c>
      <c r="D17455" s="111" t="str">
        <f t="shared" ref="D17455:E17455" si="17453">TRIM(B17455)</f>
        <v>Wisconsin</v>
      </c>
      <c r="E17455" s="111" t="str">
        <f t="shared" si="17453"/>
        <v>New Lisbon</v>
      </c>
    </row>
    <row r="17456" spans="1:5">
      <c r="A17456" s="3" t="s">
        <v>8595</v>
      </c>
      <c r="B17456" s="110" t="s">
        <v>1378</v>
      </c>
      <c r="C17456" s="111" t="s">
        <v>8596</v>
      </c>
      <c r="D17456" s="111" t="str">
        <f t="shared" ref="D17456:E17456" si="17454">TRIM(B17456)</f>
        <v>Wisconsin</v>
      </c>
      <c r="E17456" s="111" t="str">
        <f t="shared" si="17454"/>
        <v>New London</v>
      </c>
    </row>
    <row r="17457" spans="1:5">
      <c r="A17457" s="3" t="s">
        <v>23305</v>
      </c>
      <c r="B17457" s="110" t="s">
        <v>1378</v>
      </c>
      <c r="C17457" s="111" t="s">
        <v>8334</v>
      </c>
      <c r="D17457" s="111" t="str">
        <f t="shared" ref="D17457:E17457" si="17455">TRIM(B17457)</f>
        <v>Wisconsin</v>
      </c>
      <c r="E17457" s="111" t="str">
        <f t="shared" si="17455"/>
        <v>New Richmond</v>
      </c>
    </row>
    <row r="17458" spans="1:5">
      <c r="A17458" s="3" t="s">
        <v>29203</v>
      </c>
      <c r="B17458" s="110" t="s">
        <v>1378</v>
      </c>
      <c r="C17458" s="111" t="s">
        <v>29204</v>
      </c>
      <c r="D17458" s="111" t="str">
        <f t="shared" ref="D17458:E17458" si="17456">TRIM(B17458)</f>
        <v>Wisconsin</v>
      </c>
      <c r="E17458" s="111" t="str">
        <f t="shared" si="17456"/>
        <v>Niagara</v>
      </c>
    </row>
    <row r="17459" spans="1:5">
      <c r="A17459" s="3" t="s">
        <v>29205</v>
      </c>
      <c r="B17459" s="110" t="s">
        <v>1378</v>
      </c>
      <c r="C17459" s="113" t="s">
        <v>29206</v>
      </c>
      <c r="D17459" s="111" t="str">
        <f t="shared" ref="D17459:E17459" si="17457">TRIM(B17459)</f>
        <v>Wisconsin</v>
      </c>
      <c r="E17459" s="111" t="str">
        <f t="shared" si="17457"/>
        <v>North Fond Du Lac</v>
      </c>
    </row>
    <row r="17460" spans="1:5">
      <c r="A17460" s="3" t="s">
        <v>29207</v>
      </c>
      <c r="B17460" s="110" t="s">
        <v>1378</v>
      </c>
      <c r="C17460" s="111" t="s">
        <v>8146</v>
      </c>
      <c r="D17460" s="111" t="str">
        <f t="shared" ref="D17460:E17460" si="17458">TRIM(B17460)</f>
        <v>Wisconsin</v>
      </c>
      <c r="E17460" s="111" t="str">
        <f t="shared" si="17458"/>
        <v>Oak Creek</v>
      </c>
    </row>
    <row r="17461" spans="1:5">
      <c r="A17461" s="3" t="s">
        <v>29208</v>
      </c>
      <c r="B17461" s="110" t="s">
        <v>1378</v>
      </c>
      <c r="C17461" s="111" t="s">
        <v>21628</v>
      </c>
      <c r="D17461" s="111" t="str">
        <f t="shared" ref="D17461:E17461" si="17459">TRIM(B17461)</f>
        <v>Wisconsin</v>
      </c>
      <c r="E17461" s="111" t="str">
        <f t="shared" si="17459"/>
        <v>Oakfield</v>
      </c>
    </row>
    <row r="17462" spans="1:5">
      <c r="A17462" s="3" t="s">
        <v>29209</v>
      </c>
      <c r="B17462" s="110" t="s">
        <v>1378</v>
      </c>
      <c r="C17462" s="111" t="s">
        <v>29210</v>
      </c>
      <c r="D17462" s="111" t="str">
        <f t="shared" ref="D17462:E17462" si="17460">TRIM(B17462)</f>
        <v>Wisconsin</v>
      </c>
      <c r="E17462" s="111" t="str">
        <f t="shared" si="17460"/>
        <v>Oconomowoc</v>
      </c>
    </row>
    <row r="17463" spans="1:5">
      <c r="A17463" s="3" t="s">
        <v>29211</v>
      </c>
      <c r="B17463" s="110" t="s">
        <v>1378</v>
      </c>
      <c r="C17463" s="111" t="s">
        <v>29212</v>
      </c>
      <c r="D17463" s="111" t="str">
        <f t="shared" ref="D17463:E17463" si="17461">TRIM(B17463)</f>
        <v>Wisconsin</v>
      </c>
      <c r="E17463" s="111" t="str">
        <f t="shared" si="17461"/>
        <v>Oconto</v>
      </c>
    </row>
    <row r="17464" spans="1:5">
      <c r="A17464" s="110" t="s">
        <v>29213</v>
      </c>
      <c r="B17464" s="110" t="s">
        <v>1378</v>
      </c>
      <c r="C17464" s="111" t="s">
        <v>29214</v>
      </c>
      <c r="D17464" s="111" t="str">
        <f t="shared" ref="D17464:E17464" si="17462">TRIM(B17464)</f>
        <v>Wisconsin</v>
      </c>
      <c r="E17464" s="111" t="str">
        <f t="shared" si="17462"/>
        <v>Oconto Falls</v>
      </c>
    </row>
    <row r="17465" spans="1:5">
      <c r="A17465" s="3" t="s">
        <v>29215</v>
      </c>
      <c r="B17465" s="110" t="s">
        <v>1378</v>
      </c>
      <c r="C17465" s="111" t="s">
        <v>29214</v>
      </c>
      <c r="D17465" s="111" t="str">
        <f t="shared" ref="D17465:E17465" si="17463">TRIM(B17465)</f>
        <v>Wisconsin</v>
      </c>
      <c r="E17465" s="111" t="str">
        <f t="shared" si="17463"/>
        <v>Oconto Falls</v>
      </c>
    </row>
    <row r="17466" spans="1:5">
      <c r="A17466" s="3" t="s">
        <v>29216</v>
      </c>
      <c r="B17466" s="110" t="s">
        <v>1378</v>
      </c>
      <c r="C17466" s="111" t="s">
        <v>29217</v>
      </c>
      <c r="D17466" s="111" t="str">
        <f t="shared" ref="D17466:E17466" si="17464">TRIM(B17466)</f>
        <v>Wisconsin</v>
      </c>
      <c r="E17466" s="111" t="str">
        <f t="shared" si="17464"/>
        <v>Omro</v>
      </c>
    </row>
    <row r="17467" spans="1:5">
      <c r="A17467" s="3" t="s">
        <v>28607</v>
      </c>
      <c r="B17467" s="110" t="s">
        <v>1378</v>
      </c>
      <c r="C17467" s="111" t="s">
        <v>1269</v>
      </c>
      <c r="D17467" s="111" t="str">
        <f t="shared" ref="D17467:E17467" si="17465">TRIM(B17467)</f>
        <v>Wisconsin</v>
      </c>
      <c r="E17467" s="111" t="str">
        <f t="shared" si="17465"/>
        <v>Onalaska</v>
      </c>
    </row>
    <row r="17468" spans="1:5">
      <c r="A17468" s="3" t="s">
        <v>1588</v>
      </c>
      <c r="B17468" s="110" t="s">
        <v>1378</v>
      </c>
      <c r="C17468" s="111" t="s">
        <v>6219</v>
      </c>
      <c r="D17468" s="111" t="str">
        <f t="shared" ref="D17468:E17468" si="17466">TRIM(B17468)</f>
        <v>Wisconsin</v>
      </c>
      <c r="E17468" s="111" t="str">
        <f t="shared" si="17466"/>
        <v>Ontario</v>
      </c>
    </row>
    <row r="17469" spans="1:5">
      <c r="A17469" s="3" t="s">
        <v>29218</v>
      </c>
      <c r="B17469" s="110" t="s">
        <v>1378</v>
      </c>
      <c r="C17469" s="111" t="s">
        <v>8901</v>
      </c>
      <c r="D17469" s="111" t="str">
        <f t="shared" ref="D17469:E17469" si="17467">TRIM(B17469)</f>
        <v>Wisconsin</v>
      </c>
      <c r="E17469" s="111" t="str">
        <f t="shared" si="17467"/>
        <v>Oostburg</v>
      </c>
    </row>
    <row r="17470" spans="1:5">
      <c r="A17470" s="3" t="s">
        <v>13515</v>
      </c>
      <c r="B17470" s="110" t="s">
        <v>1378</v>
      </c>
      <c r="C17470" s="111" t="s">
        <v>1363</v>
      </c>
      <c r="D17470" s="111" t="str">
        <f t="shared" ref="D17470:E17470" si="17468">TRIM(B17470)</f>
        <v>Wisconsin</v>
      </c>
      <c r="E17470" s="111" t="str">
        <f t="shared" si="17468"/>
        <v>Oregon</v>
      </c>
    </row>
    <row r="17471" spans="1:5">
      <c r="A17471" s="3" t="s">
        <v>10961</v>
      </c>
      <c r="B17471" s="110" t="s">
        <v>1378</v>
      </c>
      <c r="C17471" s="111" t="s">
        <v>29219</v>
      </c>
      <c r="D17471" s="111" t="str">
        <f t="shared" ref="D17471:E17471" si="17469">TRIM(B17471)</f>
        <v>Wisconsin</v>
      </c>
      <c r="E17471" s="111" t="str">
        <f t="shared" si="17469"/>
        <v>Orfordville</v>
      </c>
    </row>
    <row r="17472" spans="1:5">
      <c r="A17472" s="3" t="s">
        <v>4099</v>
      </c>
      <c r="B17472" s="110" t="s">
        <v>1378</v>
      </c>
      <c r="C17472" s="111" t="s">
        <v>4100</v>
      </c>
      <c r="D17472" s="111" t="str">
        <f t="shared" ref="D17472:E17472" si="17470">TRIM(B17472)</f>
        <v>Wisconsin</v>
      </c>
      <c r="E17472" s="111" t="str">
        <f t="shared" si="17470"/>
        <v>Osceola</v>
      </c>
    </row>
    <row r="17473" spans="1:5">
      <c r="A17473" s="3" t="s">
        <v>3069</v>
      </c>
      <c r="B17473" s="110" t="s">
        <v>1378</v>
      </c>
      <c r="C17473" s="111" t="s">
        <v>14250</v>
      </c>
      <c r="D17473" s="111" t="str">
        <f t="shared" ref="D17473:E17473" si="17471">TRIM(B17473)</f>
        <v>Wisconsin</v>
      </c>
      <c r="E17473" s="111" t="str">
        <f t="shared" si="17471"/>
        <v>Oshkosh</v>
      </c>
    </row>
    <row r="17474" spans="1:5">
      <c r="A17474" s="3" t="s">
        <v>2304</v>
      </c>
      <c r="B17474" s="110" t="s">
        <v>1378</v>
      </c>
      <c r="C17474" s="111" t="s">
        <v>14250</v>
      </c>
      <c r="D17474" s="111" t="str">
        <f t="shared" ref="D17474:E17474" si="17472">TRIM(B17474)</f>
        <v>Wisconsin</v>
      </c>
      <c r="E17474" s="111" t="str">
        <f t="shared" si="17472"/>
        <v>Oshkosh</v>
      </c>
    </row>
    <row r="17475" spans="1:5">
      <c r="A17475" s="3" t="s">
        <v>29220</v>
      </c>
      <c r="B17475" s="110" t="s">
        <v>1378</v>
      </c>
      <c r="C17475" s="111" t="s">
        <v>371</v>
      </c>
      <c r="D17475" s="111" t="str">
        <f t="shared" ref="D17475:E17475" si="17473">TRIM(B17475)</f>
        <v>Wisconsin</v>
      </c>
      <c r="E17475" s="111" t="str">
        <f t="shared" si="17473"/>
        <v>Osseo</v>
      </c>
    </row>
    <row r="17476" spans="1:5">
      <c r="A17476" s="3" t="s">
        <v>29221</v>
      </c>
      <c r="B17476" s="110" t="s">
        <v>1378</v>
      </c>
      <c r="C17476" s="111" t="s">
        <v>29222</v>
      </c>
      <c r="D17476" s="111" t="str">
        <f t="shared" ref="D17476:E17476" si="17474">TRIM(B17476)</f>
        <v>Wisconsin</v>
      </c>
      <c r="E17476" s="111" t="str">
        <f t="shared" si="17474"/>
        <v>Owen</v>
      </c>
    </row>
    <row r="17477" spans="1:5">
      <c r="A17477" s="3" t="s">
        <v>29223</v>
      </c>
      <c r="B17477" s="110" t="s">
        <v>1378</v>
      </c>
      <c r="C17477" s="111" t="s">
        <v>13547</v>
      </c>
      <c r="D17477" s="111" t="str">
        <f t="shared" ref="D17477:E17477" si="17475">TRIM(B17477)</f>
        <v>Wisconsin</v>
      </c>
      <c r="E17477" s="111" t="str">
        <f t="shared" si="17475"/>
        <v>Palmyra</v>
      </c>
    </row>
    <row r="17478" spans="1:5">
      <c r="A17478" s="3" t="s">
        <v>29224</v>
      </c>
      <c r="B17478" s="110" t="s">
        <v>1378</v>
      </c>
      <c r="C17478" s="111" t="s">
        <v>29225</v>
      </c>
      <c r="D17478" s="111" t="str">
        <f t="shared" ref="D17478:E17478" si="17476">TRIM(B17478)</f>
        <v>Wisconsin</v>
      </c>
      <c r="E17478" s="111" t="str">
        <f t="shared" si="17476"/>
        <v>Pardeeville</v>
      </c>
    </row>
    <row r="17479" spans="1:5">
      <c r="A17479" s="3" t="s">
        <v>29226</v>
      </c>
      <c r="B17479" s="110" t="s">
        <v>1378</v>
      </c>
      <c r="C17479" s="111" t="s">
        <v>29227</v>
      </c>
      <c r="D17479" s="111" t="str">
        <f t="shared" ref="D17479:E17479" si="17477">TRIM(B17479)</f>
        <v>Wisconsin</v>
      </c>
      <c r="E17479" s="111" t="str">
        <f t="shared" si="17477"/>
        <v>Park Falls</v>
      </c>
    </row>
    <row r="17480" spans="1:5">
      <c r="A17480" s="3" t="s">
        <v>9764</v>
      </c>
      <c r="B17480" s="110" t="s">
        <v>1378</v>
      </c>
      <c r="C17480" s="111" t="s">
        <v>29228</v>
      </c>
      <c r="D17480" s="111" t="str">
        <f t="shared" ref="D17480:E17480" si="17478">TRIM(B17480)</f>
        <v>Wisconsin</v>
      </c>
      <c r="E17480" s="111" t="str">
        <f t="shared" si="17478"/>
        <v>Patch Grove</v>
      </c>
    </row>
    <row r="17481" spans="1:5">
      <c r="A17481" s="3" t="s">
        <v>29229</v>
      </c>
      <c r="B17481" s="110" t="s">
        <v>1378</v>
      </c>
      <c r="C17481" s="111" t="s">
        <v>29230</v>
      </c>
      <c r="D17481" s="111" t="str">
        <f t="shared" ref="D17481:E17481" si="17479">TRIM(B17481)</f>
        <v>Wisconsin</v>
      </c>
      <c r="E17481" s="111" t="str">
        <f t="shared" si="17479"/>
        <v>Pembine</v>
      </c>
    </row>
    <row r="17482" spans="1:5">
      <c r="A17482" s="3" t="s">
        <v>29231</v>
      </c>
      <c r="B17482" s="110" t="s">
        <v>1378</v>
      </c>
      <c r="C17482" s="111" t="s">
        <v>29232</v>
      </c>
      <c r="D17482" s="111" t="str">
        <f t="shared" ref="D17482:E17482" si="17480">TRIM(B17482)</f>
        <v>Wisconsin</v>
      </c>
      <c r="E17482" s="111" t="str">
        <f t="shared" si="17480"/>
        <v>Pepin</v>
      </c>
    </row>
    <row r="17483" spans="1:5">
      <c r="A17483" s="3" t="s">
        <v>29233</v>
      </c>
      <c r="B17483" s="110" t="s">
        <v>1378</v>
      </c>
      <c r="C17483" s="111" t="s">
        <v>14301</v>
      </c>
      <c r="D17483" s="111" t="str">
        <f t="shared" ref="D17483:E17483" si="17481">TRIM(B17483)</f>
        <v>Wisconsin</v>
      </c>
      <c r="E17483" s="111" t="str">
        <f t="shared" si="17481"/>
        <v>Peshtigo</v>
      </c>
    </row>
    <row r="17484" spans="1:5">
      <c r="A17484" s="3" t="s">
        <v>29234</v>
      </c>
      <c r="B17484" s="110" t="s">
        <v>1378</v>
      </c>
      <c r="C17484" s="111" t="s">
        <v>29235</v>
      </c>
      <c r="D17484" s="111" t="str">
        <f t="shared" ref="D17484:E17484" si="17482">TRIM(B17484)</f>
        <v>Wisconsin</v>
      </c>
      <c r="E17484" s="111" t="str">
        <f t="shared" si="17482"/>
        <v>Pewaukee</v>
      </c>
    </row>
    <row r="17485" spans="1:5">
      <c r="A17485" s="3" t="s">
        <v>15805</v>
      </c>
      <c r="B17485" s="110" t="s">
        <v>1378</v>
      </c>
      <c r="C17485" s="111" t="s">
        <v>15806</v>
      </c>
      <c r="D17485" s="111" t="str">
        <f t="shared" ref="D17485:E17485" si="17483">TRIM(B17485)</f>
        <v>Wisconsin</v>
      </c>
      <c r="E17485" s="111" t="str">
        <f t="shared" si="17483"/>
        <v>Phelps</v>
      </c>
    </row>
    <row r="17486" spans="1:5">
      <c r="A17486" s="3" t="s">
        <v>1537</v>
      </c>
      <c r="B17486" s="110" t="s">
        <v>1378</v>
      </c>
      <c r="C17486" s="111" t="s">
        <v>29236</v>
      </c>
      <c r="D17486" s="111" t="str">
        <f t="shared" ref="D17486:E17486" si="17484">TRIM(B17486)</f>
        <v>Wisconsin</v>
      </c>
      <c r="E17486" s="111" t="str">
        <f t="shared" si="17484"/>
        <v>Phillips</v>
      </c>
    </row>
    <row r="17487" spans="1:5">
      <c r="A17487" s="3" t="s">
        <v>29237</v>
      </c>
      <c r="B17487" s="110" t="s">
        <v>1378</v>
      </c>
      <c r="C17487" s="111" t="s">
        <v>29238</v>
      </c>
      <c r="D17487" s="111" t="str">
        <f t="shared" ref="D17487:E17487" si="17485">TRIM(B17487)</f>
        <v>Wisconsin</v>
      </c>
      <c r="E17487" s="111" t="str">
        <f t="shared" si="17485"/>
        <v>Pittsville</v>
      </c>
    </row>
    <row r="17488" spans="1:5">
      <c r="A17488" s="3" t="s">
        <v>15082</v>
      </c>
      <c r="B17488" s="110" t="s">
        <v>1378</v>
      </c>
      <c r="C17488" s="111" t="s">
        <v>4652</v>
      </c>
      <c r="D17488" s="111" t="str">
        <f t="shared" ref="D17488:E17488" si="17486">TRIM(B17488)</f>
        <v>Wisconsin</v>
      </c>
      <c r="E17488" s="111" t="str">
        <f t="shared" si="17486"/>
        <v>Plainfield</v>
      </c>
    </row>
    <row r="17489" spans="1:5">
      <c r="A17489" s="3" t="s">
        <v>29239</v>
      </c>
      <c r="B17489" s="110" t="s">
        <v>1378</v>
      </c>
      <c r="C17489" s="111" t="s">
        <v>29240</v>
      </c>
      <c r="D17489" s="111" t="str">
        <f t="shared" ref="D17489:E17489" si="17487">TRIM(B17489)</f>
        <v>Wisconsin</v>
      </c>
      <c r="E17489" s="111" t="str">
        <f t="shared" si="17487"/>
        <v>Platteville</v>
      </c>
    </row>
    <row r="17490" spans="1:5">
      <c r="A17490" s="3" t="s">
        <v>29241</v>
      </c>
      <c r="B17490" s="110" t="s">
        <v>1378</v>
      </c>
      <c r="C17490" s="111" t="s">
        <v>29242</v>
      </c>
      <c r="D17490" s="111" t="str">
        <f t="shared" ref="D17490:E17490" si="17488">TRIM(B17490)</f>
        <v>Wisconsin</v>
      </c>
      <c r="E17490" s="111" t="str">
        <f t="shared" si="17488"/>
        <v>Plum City</v>
      </c>
    </row>
    <row r="17491" spans="1:5">
      <c r="A17491" s="3" t="s">
        <v>14558</v>
      </c>
      <c r="B17491" s="110" t="s">
        <v>1378</v>
      </c>
      <c r="C17491" s="111" t="s">
        <v>11518</v>
      </c>
      <c r="D17491" s="111" t="str">
        <f t="shared" ref="D17491:E17491" si="17489">TRIM(B17491)</f>
        <v>Wisconsin</v>
      </c>
      <c r="E17491" s="111" t="str">
        <f t="shared" si="17489"/>
        <v>Plymouth</v>
      </c>
    </row>
    <row r="17492" spans="1:5">
      <c r="A17492" s="3" t="s">
        <v>29243</v>
      </c>
      <c r="B17492" s="110" t="s">
        <v>1378</v>
      </c>
      <c r="C17492" s="111" t="s">
        <v>29244</v>
      </c>
      <c r="D17492" s="111" t="str">
        <f t="shared" ref="D17492:E17492" si="17490">TRIM(B17492)</f>
        <v>Wisconsin</v>
      </c>
      <c r="E17492" s="111" t="str">
        <f t="shared" si="17490"/>
        <v>Port Edwards</v>
      </c>
    </row>
    <row r="17493" spans="1:5">
      <c r="A17493" s="3" t="s">
        <v>29245</v>
      </c>
      <c r="B17493" s="110" t="s">
        <v>1378</v>
      </c>
      <c r="C17493" s="111" t="s">
        <v>21704</v>
      </c>
      <c r="D17493" s="111" t="str">
        <f t="shared" ref="D17493:E17493" si="17491">TRIM(B17493)</f>
        <v>Wisconsin</v>
      </c>
      <c r="E17493" s="111" t="str">
        <f t="shared" si="17491"/>
        <v>Port Washington</v>
      </c>
    </row>
    <row r="17494" spans="1:5">
      <c r="A17494" s="3" t="s">
        <v>29246</v>
      </c>
      <c r="B17494" s="110" t="s">
        <v>1378</v>
      </c>
      <c r="C17494" s="111" t="s">
        <v>29247</v>
      </c>
      <c r="D17494" s="111" t="str">
        <f t="shared" ref="D17494:E17494" si="17492">TRIM(B17494)</f>
        <v>Wisconsin</v>
      </c>
      <c r="E17494" s="111" t="str">
        <f t="shared" si="17492"/>
        <v>Port Wing</v>
      </c>
    </row>
    <row r="17495" spans="1:5">
      <c r="A17495" s="3" t="s">
        <v>14564</v>
      </c>
      <c r="B17495" s="110" t="s">
        <v>1378</v>
      </c>
      <c r="C17495" s="111" t="s">
        <v>14563</v>
      </c>
      <c r="D17495" s="111" t="str">
        <f t="shared" ref="D17495:E17495" si="17493">TRIM(B17495)</f>
        <v>Wisconsin</v>
      </c>
      <c r="E17495" s="111" t="str">
        <f t="shared" si="17493"/>
        <v>Portage</v>
      </c>
    </row>
    <row r="17496" spans="1:5">
      <c r="A17496" s="3" t="s">
        <v>19039</v>
      </c>
      <c r="B17496" s="110" t="s">
        <v>1378</v>
      </c>
      <c r="C17496" s="111" t="s">
        <v>19040</v>
      </c>
      <c r="D17496" s="111" t="str">
        <f t="shared" ref="D17496:E17496" si="17494">TRIM(B17496)</f>
        <v>Wisconsin</v>
      </c>
      <c r="E17496" s="111" t="str">
        <f t="shared" si="17494"/>
        <v>Potosi</v>
      </c>
    </row>
    <row r="17497" spans="1:5">
      <c r="A17497" s="3" t="s">
        <v>29248</v>
      </c>
      <c r="B17497" s="110" t="s">
        <v>1378</v>
      </c>
      <c r="C17497" s="111" t="s">
        <v>29249</v>
      </c>
      <c r="D17497" s="111" t="str">
        <f t="shared" ref="D17497:E17497" si="17495">TRIM(B17497)</f>
        <v>Wisconsin</v>
      </c>
      <c r="E17497" s="111" t="str">
        <f t="shared" si="17495"/>
        <v>Poynette</v>
      </c>
    </row>
    <row r="17498" spans="1:5">
      <c r="A17498" s="3" t="s">
        <v>29250</v>
      </c>
      <c r="B17498" s="110" t="s">
        <v>1378</v>
      </c>
      <c r="C17498" s="111" t="s">
        <v>29251</v>
      </c>
      <c r="D17498" s="111" t="str">
        <f t="shared" ref="D17498:E17498" si="17496">TRIM(B17498)</f>
        <v>Wisconsin</v>
      </c>
      <c r="E17498" s="111" t="str">
        <f t="shared" si="17496"/>
        <v>Prairie Du Chien</v>
      </c>
    </row>
    <row r="17499" spans="1:5">
      <c r="A17499" s="3" t="s">
        <v>29252</v>
      </c>
      <c r="B17499" s="110" t="s">
        <v>1378</v>
      </c>
      <c r="C17499" s="111" t="s">
        <v>29253</v>
      </c>
      <c r="D17499" s="111" t="str">
        <f t="shared" ref="D17499:E17499" si="17497">TRIM(B17499)</f>
        <v>Wisconsin</v>
      </c>
      <c r="E17499" s="111" t="str">
        <f t="shared" si="17497"/>
        <v>Prairie Du Sac</v>
      </c>
    </row>
    <row r="17500" spans="1:5">
      <c r="A17500" s="3" t="s">
        <v>29254</v>
      </c>
      <c r="B17500" s="110" t="s">
        <v>1378</v>
      </c>
      <c r="C17500" s="111" t="s">
        <v>29255</v>
      </c>
      <c r="D17500" s="111" t="str">
        <f t="shared" ref="D17500:E17500" si="17498">TRIM(B17500)</f>
        <v>Wisconsin</v>
      </c>
      <c r="E17500" s="111" t="str">
        <f t="shared" si="17498"/>
        <v>Prairie Farm</v>
      </c>
    </row>
    <row r="17501" spans="1:5">
      <c r="A17501" s="3" t="s">
        <v>29256</v>
      </c>
      <c r="B17501" s="110" t="s">
        <v>1378</v>
      </c>
      <c r="C17501" s="111" t="s">
        <v>29257</v>
      </c>
      <c r="D17501" s="111" t="str">
        <f t="shared" ref="D17501:E17501" si="17499">TRIM(B17501)</f>
        <v>Wisconsin</v>
      </c>
      <c r="E17501" s="111" t="str">
        <f t="shared" si="17499"/>
        <v>Prentice</v>
      </c>
    </row>
    <row r="17502" spans="1:5">
      <c r="A17502" s="3" t="s">
        <v>3160</v>
      </c>
      <c r="B17502" s="110" t="s">
        <v>1378</v>
      </c>
      <c r="C17502" s="111" t="s">
        <v>382</v>
      </c>
      <c r="D17502" s="111" t="str">
        <f t="shared" ref="D17502:E17502" si="17500">TRIM(B17502)</f>
        <v>Wisconsin</v>
      </c>
      <c r="E17502" s="111" t="str">
        <f t="shared" si="17500"/>
        <v>Prescott</v>
      </c>
    </row>
    <row r="17503" spans="1:5">
      <c r="A17503" s="3" t="s">
        <v>21711</v>
      </c>
      <c r="B17503" s="110" t="s">
        <v>1378</v>
      </c>
      <c r="C17503" s="111" t="s">
        <v>21712</v>
      </c>
      <c r="D17503" s="111" t="str">
        <f t="shared" ref="D17503:E17503" si="17501">TRIM(B17503)</f>
        <v>Wisconsin</v>
      </c>
      <c r="E17503" s="111" t="str">
        <f t="shared" si="17501"/>
        <v>Pulaski</v>
      </c>
    </row>
    <row r="17504" spans="1:5">
      <c r="A17504" s="3" t="s">
        <v>29258</v>
      </c>
      <c r="B17504" s="110" t="s">
        <v>1378</v>
      </c>
      <c r="C17504" s="111" t="s">
        <v>1128</v>
      </c>
      <c r="D17504" s="111" t="str">
        <f t="shared" ref="D17504:E17504" si="17502">TRIM(B17504)</f>
        <v>Wisconsin</v>
      </c>
      <c r="E17504" s="111" t="str">
        <f t="shared" si="17502"/>
        <v>Racine</v>
      </c>
    </row>
    <row r="17505" spans="1:5">
      <c r="A17505" s="3" t="s">
        <v>29259</v>
      </c>
      <c r="B17505" s="110" t="s">
        <v>1378</v>
      </c>
      <c r="C17505" s="111" t="s">
        <v>1128</v>
      </c>
      <c r="D17505" s="111" t="str">
        <f t="shared" ref="D17505:E17505" si="17503">TRIM(B17505)</f>
        <v>Wisconsin</v>
      </c>
      <c r="E17505" s="111" t="str">
        <f t="shared" si="17503"/>
        <v>Racine</v>
      </c>
    </row>
    <row r="17506" spans="1:5">
      <c r="A17506" s="3" t="s">
        <v>17833</v>
      </c>
      <c r="B17506" s="110" t="s">
        <v>1378</v>
      </c>
      <c r="C17506" s="111" t="s">
        <v>1128</v>
      </c>
      <c r="D17506" s="111" t="str">
        <f t="shared" ref="D17506:E17506" si="17504">TRIM(B17506)</f>
        <v>Wisconsin</v>
      </c>
      <c r="E17506" s="111" t="str">
        <f t="shared" si="17504"/>
        <v>Racine</v>
      </c>
    </row>
    <row r="17507" spans="1:5">
      <c r="A17507" s="3" t="s">
        <v>16805</v>
      </c>
      <c r="B17507" s="110" t="s">
        <v>1378</v>
      </c>
      <c r="C17507" s="111" t="s">
        <v>15476</v>
      </c>
      <c r="D17507" s="111" t="str">
        <f t="shared" ref="D17507:E17507" si="17505">TRIM(B17507)</f>
        <v>Wisconsin</v>
      </c>
      <c r="E17507" s="111" t="str">
        <f t="shared" si="17505"/>
        <v>Randolph</v>
      </c>
    </row>
    <row r="17508" spans="1:5">
      <c r="A17508" s="3" t="s">
        <v>29260</v>
      </c>
      <c r="B17508" s="110" t="s">
        <v>1378</v>
      </c>
      <c r="C17508" s="111" t="s">
        <v>29261</v>
      </c>
      <c r="D17508" s="111" t="str">
        <f t="shared" ref="D17508:E17508" si="17506">TRIM(B17508)</f>
        <v>Wisconsin</v>
      </c>
      <c r="E17508" s="111" t="str">
        <f t="shared" si="17506"/>
        <v>Random Lake</v>
      </c>
    </row>
    <row r="17509" spans="1:5">
      <c r="A17509" s="3" t="s">
        <v>29262</v>
      </c>
      <c r="B17509" s="110" t="s">
        <v>1378</v>
      </c>
      <c r="C17509" s="111" t="s">
        <v>29263</v>
      </c>
      <c r="D17509" s="111" t="str">
        <f t="shared" ref="D17509:E17509" si="17507">TRIM(B17509)</f>
        <v>Wisconsin</v>
      </c>
      <c r="E17509" s="111" t="str">
        <f t="shared" si="17507"/>
        <v>Reedsburg</v>
      </c>
    </row>
    <row r="17510" spans="1:5">
      <c r="A17510" s="3" t="s">
        <v>29264</v>
      </c>
      <c r="B17510" s="110" t="s">
        <v>1378</v>
      </c>
      <c r="C17510" s="111" t="s">
        <v>23395</v>
      </c>
      <c r="D17510" s="111" t="str">
        <f t="shared" ref="D17510:E17510" si="17508">TRIM(B17510)</f>
        <v>Wisconsin</v>
      </c>
      <c r="E17510" s="111" t="str">
        <f t="shared" si="17508"/>
        <v>Reedsville</v>
      </c>
    </row>
    <row r="17511" spans="1:5">
      <c r="A17511" s="3" t="s">
        <v>29265</v>
      </c>
      <c r="B17511" s="110" t="s">
        <v>1378</v>
      </c>
      <c r="C17511" s="111" t="s">
        <v>29266</v>
      </c>
      <c r="D17511" s="111" t="str">
        <f t="shared" ref="D17511:E17511" si="17509">TRIM(B17511)</f>
        <v>Wisconsin</v>
      </c>
      <c r="E17511" s="111" t="str">
        <f t="shared" si="17509"/>
        <v>Rhinelander</v>
      </c>
    </row>
    <row r="17512" spans="1:5">
      <c r="A17512" s="3" t="s">
        <v>29267</v>
      </c>
      <c r="B17512" s="110" t="s">
        <v>1378</v>
      </c>
      <c r="C17512" s="111" t="s">
        <v>29268</v>
      </c>
      <c r="D17512" s="111" t="str">
        <f t="shared" ref="D17512:E17512" si="17510">TRIM(B17512)</f>
        <v>Wisconsin</v>
      </c>
      <c r="E17512" s="111" t="str">
        <f t="shared" si="17510"/>
        <v>Rib Lake</v>
      </c>
    </row>
    <row r="17513" spans="1:5">
      <c r="A17513" s="3" t="s">
        <v>29269</v>
      </c>
      <c r="B17513" s="110" t="s">
        <v>1378</v>
      </c>
      <c r="C17513" s="111" t="s">
        <v>29270</v>
      </c>
      <c r="D17513" s="111" t="str">
        <f t="shared" ref="D17513:E17513" si="17511">TRIM(B17513)</f>
        <v>Wisconsin</v>
      </c>
      <c r="E17513" s="111" t="str">
        <f t="shared" si="17511"/>
        <v>Rice Lake</v>
      </c>
    </row>
    <row r="17514" spans="1:5">
      <c r="A17514" s="3" t="s">
        <v>29271</v>
      </c>
      <c r="B17514" s="110" t="s">
        <v>1378</v>
      </c>
      <c r="C17514" s="111" t="s">
        <v>29270</v>
      </c>
      <c r="D17514" s="111" t="str">
        <f t="shared" ref="D17514:E17514" si="17512">TRIM(B17514)</f>
        <v>Wisconsin</v>
      </c>
      <c r="E17514" s="111" t="str">
        <f t="shared" si="17512"/>
        <v>Rice Lake</v>
      </c>
    </row>
    <row r="17515" spans="1:5">
      <c r="A17515" s="3" t="s">
        <v>17325</v>
      </c>
      <c r="B17515" s="110" t="s">
        <v>1378</v>
      </c>
      <c r="C17515" s="111" t="s">
        <v>29272</v>
      </c>
      <c r="D17515" s="111" t="str">
        <f t="shared" ref="D17515:E17515" si="17513">TRIM(B17515)</f>
        <v>Wisconsin</v>
      </c>
      <c r="E17515" s="111" t="str">
        <f t="shared" si="17513"/>
        <v>Richland Center</v>
      </c>
    </row>
    <row r="17516" spans="1:5">
      <c r="A17516" s="3" t="s">
        <v>29273</v>
      </c>
      <c r="B17516" s="110" t="s">
        <v>1378</v>
      </c>
      <c r="C17516" s="111" t="s">
        <v>29272</v>
      </c>
      <c r="D17516" s="111" t="str">
        <f t="shared" ref="D17516:E17516" si="17514">TRIM(B17516)</f>
        <v>Wisconsin</v>
      </c>
      <c r="E17516" s="111" t="str">
        <f t="shared" si="17514"/>
        <v>Richland Center</v>
      </c>
    </row>
    <row r="17517" spans="1:5">
      <c r="A17517" s="3" t="s">
        <v>29274</v>
      </c>
      <c r="B17517" s="110" t="s">
        <v>1378</v>
      </c>
      <c r="C17517" s="111" t="s">
        <v>29272</v>
      </c>
      <c r="D17517" s="111" t="str">
        <f t="shared" ref="D17517:E17517" si="17515">TRIM(B17517)</f>
        <v>Wisconsin</v>
      </c>
      <c r="E17517" s="111" t="str">
        <f t="shared" si="17515"/>
        <v>Richland Center</v>
      </c>
    </row>
    <row r="17518" spans="1:5">
      <c r="A17518" s="3" t="s">
        <v>29275</v>
      </c>
      <c r="B17518" s="110" t="s">
        <v>1378</v>
      </c>
      <c r="C17518" s="111" t="s">
        <v>29276</v>
      </c>
      <c r="D17518" s="111" t="str">
        <f t="shared" ref="D17518:E17518" si="17516">TRIM(B17518)</f>
        <v>Wisconsin</v>
      </c>
      <c r="E17518" s="111" t="str">
        <f t="shared" si="17516"/>
        <v>Rio</v>
      </c>
    </row>
    <row r="17519" spans="1:5">
      <c r="A17519" s="3" t="s">
        <v>29277</v>
      </c>
      <c r="B17519" s="110" t="s">
        <v>1378</v>
      </c>
      <c r="C17519" s="111" t="s">
        <v>6547</v>
      </c>
      <c r="D17519" s="111" t="str">
        <f t="shared" ref="D17519:E17519" si="17517">TRIM(B17519)</f>
        <v>Wisconsin</v>
      </c>
      <c r="E17519" s="111" t="str">
        <f t="shared" si="17517"/>
        <v>Ripon</v>
      </c>
    </row>
    <row r="17520" spans="1:5">
      <c r="A17520" s="3" t="s">
        <v>6546</v>
      </c>
      <c r="B17520" s="110" t="s">
        <v>1378</v>
      </c>
      <c r="C17520" s="111" t="s">
        <v>6547</v>
      </c>
      <c r="D17520" s="111" t="str">
        <f t="shared" ref="D17520:E17520" si="17518">TRIM(B17520)</f>
        <v>Wisconsin</v>
      </c>
      <c r="E17520" s="111" t="str">
        <f t="shared" si="17518"/>
        <v>Ripon</v>
      </c>
    </row>
    <row r="17521" spans="1:5">
      <c r="A17521" s="3" t="s">
        <v>29278</v>
      </c>
      <c r="B17521" s="110" t="s">
        <v>1378</v>
      </c>
      <c r="C17521" s="111" t="s">
        <v>8869</v>
      </c>
      <c r="D17521" s="111" t="str">
        <f t="shared" ref="D17521:E17521" si="17519">TRIM(B17521)</f>
        <v>Wisconsin</v>
      </c>
      <c r="E17521" s="111" t="str">
        <f t="shared" si="17519"/>
        <v>River Falls</v>
      </c>
    </row>
    <row r="17522" spans="1:5">
      <c r="A17522" s="3" t="s">
        <v>29279</v>
      </c>
      <c r="B17522" s="110" t="s">
        <v>1378</v>
      </c>
      <c r="C17522" s="111" t="s">
        <v>8869</v>
      </c>
      <c r="D17522" s="111" t="str">
        <f t="shared" ref="D17522:E17522" si="17520">TRIM(B17522)</f>
        <v>Wisconsin</v>
      </c>
      <c r="E17522" s="111" t="str">
        <f t="shared" si="17520"/>
        <v>River Falls</v>
      </c>
    </row>
    <row r="17523" spans="1:5">
      <c r="A17523" s="3" t="s">
        <v>29280</v>
      </c>
      <c r="B17523" s="110" t="s">
        <v>1378</v>
      </c>
      <c r="C17523" s="111" t="s">
        <v>19073</v>
      </c>
      <c r="D17523" s="111" t="str">
        <f t="shared" ref="D17523:E17523" si="17521">TRIM(B17523)</f>
        <v>Wisconsin</v>
      </c>
      <c r="E17523" s="111" t="str">
        <f t="shared" si="17521"/>
        <v>Rosendale</v>
      </c>
    </row>
    <row r="17524" spans="1:5">
      <c r="A17524" s="3" t="s">
        <v>19958</v>
      </c>
      <c r="B17524" s="110" t="s">
        <v>1378</v>
      </c>
      <c r="C17524" s="111" t="s">
        <v>19073</v>
      </c>
      <c r="D17524" s="111" t="str">
        <f t="shared" ref="D17524:E17524" si="17522">TRIM(B17524)</f>
        <v>Wisconsin</v>
      </c>
      <c r="E17524" s="111" t="str">
        <f t="shared" si="17522"/>
        <v>Rosendale</v>
      </c>
    </row>
    <row r="17525" spans="1:5">
      <c r="A17525" s="3" t="s">
        <v>29281</v>
      </c>
      <c r="B17525" s="110" t="s">
        <v>1378</v>
      </c>
      <c r="C17525" s="111" t="s">
        <v>25768</v>
      </c>
      <c r="D17525" s="111" t="str">
        <f t="shared" ref="D17525:E17525" si="17523">TRIM(B17525)</f>
        <v>Wisconsin</v>
      </c>
      <c r="E17525" s="111" t="str">
        <f t="shared" si="17523"/>
        <v>Rosholt</v>
      </c>
    </row>
    <row r="17526" spans="1:5">
      <c r="A17526" s="3" t="s">
        <v>29282</v>
      </c>
      <c r="B17526" s="110" t="s">
        <v>1378</v>
      </c>
      <c r="C17526" s="111" t="s">
        <v>29283</v>
      </c>
      <c r="D17526" s="111" t="str">
        <f t="shared" ref="D17526:E17526" si="17524">TRIM(B17526)</f>
        <v>Wisconsin</v>
      </c>
      <c r="E17526" s="111" t="str">
        <f t="shared" si="17524"/>
        <v>Saint Croix Falls</v>
      </c>
    </row>
    <row r="17527" spans="1:5">
      <c r="A17527" s="3" t="s">
        <v>29284</v>
      </c>
      <c r="B17527" s="110" t="s">
        <v>1378</v>
      </c>
      <c r="C17527" s="111" t="s">
        <v>18225</v>
      </c>
      <c r="D17527" s="111" t="str">
        <f t="shared" ref="D17527:E17527" si="17525">TRIM(B17527)</f>
        <v>Wisconsin</v>
      </c>
      <c r="E17527" s="111" t="str">
        <f t="shared" si="17525"/>
        <v>Saint Francis</v>
      </c>
    </row>
    <row r="17528" spans="1:5">
      <c r="A17528" s="3" t="s">
        <v>1843</v>
      </c>
      <c r="B17528" s="110" t="s">
        <v>1378</v>
      </c>
      <c r="C17528" s="111" t="s">
        <v>451</v>
      </c>
      <c r="D17528" s="111" t="str">
        <f t="shared" ref="D17528:E17528" si="17526">TRIM(B17528)</f>
        <v>Wisconsin</v>
      </c>
      <c r="E17528" s="111" t="str">
        <f t="shared" si="17526"/>
        <v>Salem</v>
      </c>
    </row>
    <row r="17529" spans="1:5">
      <c r="A17529" s="3" t="s">
        <v>13785</v>
      </c>
      <c r="B17529" s="110" t="s">
        <v>1378</v>
      </c>
      <c r="C17529" s="111" t="s">
        <v>13787</v>
      </c>
      <c r="D17529" s="111" t="str">
        <f t="shared" ref="D17529:E17529" si="17527">TRIM(B17529)</f>
        <v>Wisconsin</v>
      </c>
      <c r="E17529" s="111" t="str">
        <f t="shared" si="17527"/>
        <v>Seneca</v>
      </c>
    </row>
    <row r="17530" spans="1:5">
      <c r="A17530" s="3" t="s">
        <v>8660</v>
      </c>
      <c r="B17530" s="110" t="s">
        <v>1378</v>
      </c>
      <c r="C17530" s="111" t="s">
        <v>6650</v>
      </c>
      <c r="D17530" s="111" t="str">
        <f t="shared" ref="D17530:E17530" si="17528">TRIM(B17530)</f>
        <v>Wisconsin</v>
      </c>
      <c r="E17530" s="111" t="str">
        <f t="shared" si="17528"/>
        <v>Seymour</v>
      </c>
    </row>
    <row r="17531" spans="1:5">
      <c r="A17531" s="3" t="s">
        <v>29285</v>
      </c>
      <c r="B17531" s="110" t="s">
        <v>1378</v>
      </c>
      <c r="C17531" s="111" t="s">
        <v>29286</v>
      </c>
      <c r="D17531" s="111" t="str">
        <f t="shared" ref="D17531:E17531" si="17529">TRIM(B17531)</f>
        <v>Wisconsin</v>
      </c>
      <c r="E17531" s="111" t="str">
        <f t="shared" si="17529"/>
        <v>Shawano</v>
      </c>
    </row>
    <row r="17532" spans="1:5">
      <c r="A17532" s="3" t="s">
        <v>1843</v>
      </c>
      <c r="B17532" s="110" t="s">
        <v>1378</v>
      </c>
      <c r="C17532" s="111" t="s">
        <v>29287</v>
      </c>
      <c r="D17532" s="111" t="str">
        <f t="shared" ref="D17532:E17532" si="17530">TRIM(B17532)</f>
        <v>Wisconsin</v>
      </c>
      <c r="E17532" s="111" t="str">
        <f t="shared" si="17530"/>
        <v>Sheboygan</v>
      </c>
    </row>
    <row r="17533" spans="1:5">
      <c r="A17533" s="3" t="s">
        <v>29288</v>
      </c>
      <c r="B17533" s="110" t="s">
        <v>1378</v>
      </c>
      <c r="C17533" s="111" t="s">
        <v>29287</v>
      </c>
      <c r="D17533" s="111" t="str">
        <f t="shared" ref="D17533:E17533" si="17531">TRIM(B17533)</f>
        <v>Wisconsin</v>
      </c>
      <c r="E17533" s="111" t="str">
        <f t="shared" si="17531"/>
        <v>Sheboygan</v>
      </c>
    </row>
    <row r="17534" spans="1:5">
      <c r="A17534" s="3" t="s">
        <v>29289</v>
      </c>
      <c r="B17534" s="110" t="s">
        <v>1378</v>
      </c>
      <c r="C17534" s="111" t="s">
        <v>29287</v>
      </c>
      <c r="D17534" s="111" t="str">
        <f t="shared" ref="D17534:E17534" si="17532">TRIM(B17534)</f>
        <v>Wisconsin</v>
      </c>
      <c r="E17534" s="111" t="str">
        <f t="shared" si="17532"/>
        <v>Sheboygan</v>
      </c>
    </row>
    <row r="17535" spans="1:5">
      <c r="A17535" s="3" t="s">
        <v>3069</v>
      </c>
      <c r="B17535" s="110" t="s">
        <v>1378</v>
      </c>
      <c r="C17535" s="111" t="s">
        <v>29287</v>
      </c>
      <c r="D17535" s="111" t="str">
        <f t="shared" ref="D17535:E17535" si="17533">TRIM(B17535)</f>
        <v>Wisconsin</v>
      </c>
      <c r="E17535" s="111" t="str">
        <f t="shared" si="17533"/>
        <v>Sheboygan</v>
      </c>
    </row>
    <row r="17536" spans="1:5">
      <c r="A17536" s="3" t="s">
        <v>4439</v>
      </c>
      <c r="B17536" s="110" t="s">
        <v>1378</v>
      </c>
      <c r="C17536" s="111" t="s">
        <v>29287</v>
      </c>
      <c r="D17536" s="111" t="str">
        <f t="shared" ref="D17536:E17536" si="17534">TRIM(B17536)</f>
        <v>Wisconsin</v>
      </c>
      <c r="E17536" s="111" t="str">
        <f t="shared" si="17534"/>
        <v>Sheboygan</v>
      </c>
    </row>
    <row r="17537" spans="1:5">
      <c r="A17537" s="3" t="s">
        <v>29290</v>
      </c>
      <c r="B17537" s="110" t="s">
        <v>1378</v>
      </c>
      <c r="C17537" s="111" t="s">
        <v>6206</v>
      </c>
      <c r="D17537" s="111" t="str">
        <f t="shared" ref="D17537:E17537" si="17535">TRIM(B17537)</f>
        <v>Wisconsin</v>
      </c>
      <c r="E17537" s="111" t="str">
        <f t="shared" si="17535"/>
        <v>Sheboygan Falls</v>
      </c>
    </row>
    <row r="17538" spans="1:5">
      <c r="A17538" s="3" t="s">
        <v>29291</v>
      </c>
      <c r="B17538" s="110" t="s">
        <v>1378</v>
      </c>
      <c r="C17538" s="111" t="s">
        <v>29292</v>
      </c>
      <c r="D17538" s="111" t="str">
        <f t="shared" ref="D17538:E17538" si="17536">TRIM(B17538)</f>
        <v>Wisconsin</v>
      </c>
      <c r="E17538" s="111" t="str">
        <f t="shared" si="17536"/>
        <v>Shell Lake</v>
      </c>
    </row>
    <row r="17539" spans="1:5">
      <c r="A17539" s="3" t="s">
        <v>29293</v>
      </c>
      <c r="B17539" s="110" t="s">
        <v>1378</v>
      </c>
      <c r="C17539" s="111" t="s">
        <v>29294</v>
      </c>
      <c r="D17539" s="111" t="str">
        <f t="shared" ref="D17539:E17539" si="17537">TRIM(B17539)</f>
        <v>Wisconsin</v>
      </c>
      <c r="E17539" s="111" t="str">
        <f t="shared" si="17537"/>
        <v>Shiocton</v>
      </c>
    </row>
    <row r="17540" spans="1:5">
      <c r="A17540" s="3" t="s">
        <v>28675</v>
      </c>
      <c r="B17540" s="110" t="s">
        <v>1378</v>
      </c>
      <c r="C17540" s="111" t="s">
        <v>29295</v>
      </c>
      <c r="D17540" s="111" t="str">
        <f t="shared" ref="D17540:E17540" si="17538">TRIM(B17540)</f>
        <v>Wisconsin</v>
      </c>
      <c r="E17540" s="111" t="str">
        <f t="shared" si="17538"/>
        <v>Shorewood</v>
      </c>
    </row>
    <row r="17541" spans="1:5">
      <c r="A17541" s="3" t="s">
        <v>29296</v>
      </c>
      <c r="B17541" s="110" t="s">
        <v>1378</v>
      </c>
      <c r="C17541" s="111" t="s">
        <v>29297</v>
      </c>
      <c r="D17541" s="111" t="str">
        <f t="shared" ref="D17541:E17541" si="17539">TRIM(B17541)</f>
        <v>Wisconsin</v>
      </c>
      <c r="E17541" s="111" t="str">
        <f t="shared" si="17539"/>
        <v>Shullsburg</v>
      </c>
    </row>
    <row r="17542" spans="1:5">
      <c r="A17542" s="3" t="s">
        <v>29298</v>
      </c>
      <c r="B17542" s="110" t="s">
        <v>1378</v>
      </c>
      <c r="C17542" s="111" t="s">
        <v>29299</v>
      </c>
      <c r="D17542" s="111" t="str">
        <f t="shared" ref="D17542:E17542" si="17540">TRIM(B17542)</f>
        <v>Wisconsin</v>
      </c>
      <c r="E17542" s="111" t="str">
        <f t="shared" si="17540"/>
        <v>Siren</v>
      </c>
    </row>
    <row r="17543" spans="1:5">
      <c r="A17543" s="3" t="s">
        <v>29300</v>
      </c>
      <c r="B17543" s="110" t="s">
        <v>1378</v>
      </c>
      <c r="C17543" s="111" t="s">
        <v>29301</v>
      </c>
      <c r="D17543" s="111" t="str">
        <f t="shared" ref="D17543:E17543" si="17541">TRIM(B17543)</f>
        <v>Wisconsin</v>
      </c>
      <c r="E17543" s="111" t="str">
        <f t="shared" si="17541"/>
        <v>Slinger</v>
      </c>
    </row>
    <row r="17544" spans="1:5">
      <c r="A17544" s="3" t="s">
        <v>29302</v>
      </c>
      <c r="B17544" s="110" t="s">
        <v>1378</v>
      </c>
      <c r="C17544" s="111" t="s">
        <v>29303</v>
      </c>
      <c r="D17544" s="111" t="str">
        <f t="shared" ref="D17544:E17544" si="17542">TRIM(B17544)</f>
        <v>Wisconsin</v>
      </c>
      <c r="E17544" s="111" t="str">
        <f t="shared" si="17542"/>
        <v>Soldiers Grove</v>
      </c>
    </row>
    <row r="17545" spans="1:5">
      <c r="A17545" s="3" t="s">
        <v>15838</v>
      </c>
      <c r="B17545" s="110" t="s">
        <v>1378</v>
      </c>
      <c r="C17545" s="111" t="s">
        <v>1068</v>
      </c>
      <c r="D17545" s="111" t="str">
        <f t="shared" ref="D17545:E17545" si="17543">TRIM(B17545)</f>
        <v>Wisconsin</v>
      </c>
      <c r="E17545" s="111" t="str">
        <f t="shared" si="17543"/>
        <v>Somerset</v>
      </c>
    </row>
    <row r="17546" spans="1:5">
      <c r="A17546" s="3" t="s">
        <v>29304</v>
      </c>
      <c r="B17546" s="110" t="s">
        <v>1378</v>
      </c>
      <c r="C17546" s="113" t="s">
        <v>29305</v>
      </c>
      <c r="D17546" s="111" t="str">
        <f t="shared" ref="D17546:E17546" si="17544">TRIM(B17546)</f>
        <v>Wisconsin</v>
      </c>
      <c r="E17546" s="111" t="str">
        <f t="shared" si="17544"/>
        <v>South Milwaukee</v>
      </c>
    </row>
    <row r="17547" spans="1:5">
      <c r="A17547" s="3" t="s">
        <v>29306</v>
      </c>
      <c r="B17547" s="110" t="s">
        <v>1378</v>
      </c>
      <c r="C17547" s="111" t="s">
        <v>29307</v>
      </c>
      <c r="D17547" s="111" t="str">
        <f t="shared" ref="D17547:E17547" si="17545">TRIM(B17547)</f>
        <v>Wisconsin</v>
      </c>
      <c r="E17547" s="111" t="str">
        <f t="shared" si="17545"/>
        <v>South Wayne</v>
      </c>
    </row>
    <row r="17548" spans="1:5">
      <c r="A17548" s="3" t="s">
        <v>13824</v>
      </c>
      <c r="B17548" s="110" t="s">
        <v>1378</v>
      </c>
      <c r="C17548" s="111" t="s">
        <v>10334</v>
      </c>
      <c r="D17548" s="111" t="str">
        <f t="shared" ref="D17548:E17548" si="17546">TRIM(B17548)</f>
        <v>Wisconsin</v>
      </c>
      <c r="E17548" s="111" t="str">
        <f t="shared" si="17546"/>
        <v>Sparta</v>
      </c>
    </row>
    <row r="17549" spans="1:5">
      <c r="A17549" s="3" t="s">
        <v>29308</v>
      </c>
      <c r="B17549" s="110" t="s">
        <v>1378</v>
      </c>
      <c r="C17549" s="111" t="s">
        <v>10334</v>
      </c>
      <c r="D17549" s="111" t="str">
        <f t="shared" ref="D17549:E17549" si="17547">TRIM(B17549)</f>
        <v>Wisconsin</v>
      </c>
      <c r="E17549" s="111" t="str">
        <f t="shared" si="17547"/>
        <v>Sparta</v>
      </c>
    </row>
    <row r="17550" spans="1:5">
      <c r="A17550" s="3" t="s">
        <v>29309</v>
      </c>
      <c r="B17550" s="110" t="s">
        <v>1378</v>
      </c>
      <c r="C17550" s="111" t="s">
        <v>14606</v>
      </c>
      <c r="D17550" s="111" t="str">
        <f t="shared" ref="D17550:E17550" si="17548">TRIM(B17550)</f>
        <v>Wisconsin</v>
      </c>
      <c r="E17550" s="111" t="str">
        <f t="shared" si="17548"/>
        <v>Spencer</v>
      </c>
    </row>
    <row r="17551" spans="1:5">
      <c r="A17551" s="3" t="s">
        <v>29310</v>
      </c>
      <c r="B17551" s="110" t="s">
        <v>1378</v>
      </c>
      <c r="C17551" s="111" t="s">
        <v>29311</v>
      </c>
      <c r="D17551" s="111" t="str">
        <f t="shared" ref="D17551:E17551" si="17549">TRIM(B17551)</f>
        <v>Wisconsin</v>
      </c>
      <c r="E17551" s="111" t="str">
        <f t="shared" si="17549"/>
        <v>Spooner</v>
      </c>
    </row>
    <row r="17552" spans="1:5">
      <c r="A17552" s="3" t="s">
        <v>2863</v>
      </c>
      <c r="B17552" s="110" t="s">
        <v>1378</v>
      </c>
      <c r="C17552" s="111" t="s">
        <v>29312</v>
      </c>
      <c r="D17552" s="111" t="str">
        <f t="shared" ref="D17552:E17552" si="17550">TRIM(B17552)</f>
        <v>Wisconsin</v>
      </c>
      <c r="E17552" s="111" t="str">
        <f t="shared" si="17550"/>
        <v>Spring Green</v>
      </c>
    </row>
    <row r="17553" spans="1:5">
      <c r="A17553" s="3" t="s">
        <v>19850</v>
      </c>
      <c r="B17553" s="110" t="s">
        <v>1378</v>
      </c>
      <c r="C17553" s="111" t="s">
        <v>7178</v>
      </c>
      <c r="D17553" s="111" t="str">
        <f t="shared" ref="D17553:E17553" si="17551">TRIM(B17553)</f>
        <v>Wisconsin</v>
      </c>
      <c r="E17553" s="111" t="str">
        <f t="shared" si="17551"/>
        <v>Spring Valley</v>
      </c>
    </row>
    <row r="17554" spans="1:5">
      <c r="A17554" s="3" t="s">
        <v>29313</v>
      </c>
      <c r="B17554" s="110" t="s">
        <v>1378</v>
      </c>
      <c r="C17554" s="111" t="s">
        <v>22727</v>
      </c>
      <c r="D17554" s="111" t="str">
        <f t="shared" ref="D17554:E17554" si="17552">TRIM(B17554)</f>
        <v>Wisconsin</v>
      </c>
      <c r="E17554" s="111" t="str">
        <f t="shared" si="17552"/>
        <v>Stanley</v>
      </c>
    </row>
    <row r="17555" spans="1:5">
      <c r="A17555" s="3" t="s">
        <v>29314</v>
      </c>
      <c r="B17555" s="110" t="s">
        <v>1378</v>
      </c>
      <c r="C17555" s="111" t="s">
        <v>29315</v>
      </c>
      <c r="D17555" s="111" t="str">
        <f t="shared" ref="D17555:E17555" si="17553">TRIM(B17555)</f>
        <v>Wisconsin</v>
      </c>
      <c r="E17555" s="111" t="str">
        <f t="shared" si="17553"/>
        <v>Stevens Point</v>
      </c>
    </row>
    <row r="17556" spans="1:5">
      <c r="A17556" s="3" t="s">
        <v>11295</v>
      </c>
      <c r="B17556" s="110" t="s">
        <v>1378</v>
      </c>
      <c r="C17556" s="111" t="s">
        <v>11296</v>
      </c>
      <c r="D17556" s="111" t="str">
        <f t="shared" ref="D17556:E17556" si="17554">TRIM(B17556)</f>
        <v>Wisconsin</v>
      </c>
      <c r="E17556" s="111" t="str">
        <f t="shared" si="17554"/>
        <v>Stockbridge</v>
      </c>
    </row>
    <row r="17557" spans="1:5">
      <c r="A17557" s="3" t="s">
        <v>16858</v>
      </c>
      <c r="B17557" s="110" t="s">
        <v>1378</v>
      </c>
      <c r="C17557" s="111" t="s">
        <v>7581</v>
      </c>
      <c r="D17557" s="111" t="str">
        <f t="shared" ref="D17557:E17557" si="17555">TRIM(B17557)</f>
        <v>Wisconsin</v>
      </c>
      <c r="E17557" s="111" t="str">
        <f t="shared" si="17555"/>
        <v>Stoughton</v>
      </c>
    </row>
    <row r="17558" spans="1:5">
      <c r="A17558" s="3" t="s">
        <v>8697</v>
      </c>
      <c r="B17558" s="110" t="s">
        <v>1378</v>
      </c>
      <c r="C17558" s="111" t="s">
        <v>5209</v>
      </c>
      <c r="D17558" s="111" t="str">
        <f t="shared" ref="D17558:E17558" si="17556">TRIM(B17558)</f>
        <v>Wisconsin</v>
      </c>
      <c r="E17558" s="111" t="str">
        <f t="shared" si="17556"/>
        <v>Stratford</v>
      </c>
    </row>
    <row r="17559" spans="1:5">
      <c r="A17559" s="3" t="s">
        <v>29316</v>
      </c>
      <c r="B17559" s="110" t="s">
        <v>1378</v>
      </c>
      <c r="C17559" s="111" t="s">
        <v>29317</v>
      </c>
      <c r="D17559" s="111" t="str">
        <f t="shared" ref="D17559:E17559" si="17557">TRIM(B17559)</f>
        <v>Wisconsin</v>
      </c>
      <c r="E17559" s="111" t="str">
        <f t="shared" si="17557"/>
        <v>Strum</v>
      </c>
    </row>
    <row r="17560" spans="1:5">
      <c r="A17560" s="3" t="s">
        <v>29318</v>
      </c>
      <c r="B17560" s="110" t="s">
        <v>1378</v>
      </c>
      <c r="C17560" s="111" t="s">
        <v>29319</v>
      </c>
      <c r="D17560" s="111" t="str">
        <f t="shared" ref="D17560:E17560" si="17558">TRIM(B17560)</f>
        <v>Wisconsin</v>
      </c>
      <c r="E17560" s="111" t="str">
        <f t="shared" si="17558"/>
        <v>Sturgeon Bay</v>
      </c>
    </row>
    <row r="17561" spans="1:5">
      <c r="A17561" s="3" t="s">
        <v>29320</v>
      </c>
      <c r="B17561" s="110" t="s">
        <v>1378</v>
      </c>
      <c r="C17561" s="111" t="s">
        <v>29319</v>
      </c>
      <c r="D17561" s="111" t="str">
        <f t="shared" ref="D17561:E17561" si="17559">TRIM(B17561)</f>
        <v>Wisconsin</v>
      </c>
      <c r="E17561" s="111" t="str">
        <f t="shared" si="17559"/>
        <v>Sturgeon Bay</v>
      </c>
    </row>
    <row r="17562" spans="1:5">
      <c r="A17562" s="110" t="s">
        <v>29321</v>
      </c>
      <c r="B17562" s="110" t="s">
        <v>1378</v>
      </c>
      <c r="C17562" s="111" t="s">
        <v>29322</v>
      </c>
      <c r="D17562" s="111" t="str">
        <f t="shared" ref="D17562:E17562" si="17560">TRIM(B17562)</f>
        <v>Wisconsin</v>
      </c>
      <c r="E17562" s="111" t="str">
        <f t="shared" si="17560"/>
        <v>Sturtevant</v>
      </c>
    </row>
    <row r="17563" spans="1:5">
      <c r="A17563" s="3" t="s">
        <v>29323</v>
      </c>
      <c r="B17563" s="110" t="s">
        <v>1378</v>
      </c>
      <c r="C17563" s="111" t="s">
        <v>29324</v>
      </c>
      <c r="D17563" s="111" t="str">
        <f t="shared" ref="D17563:E17563" si="17561">TRIM(B17563)</f>
        <v>Wisconsin</v>
      </c>
      <c r="E17563" s="111" t="str">
        <f t="shared" si="17561"/>
        <v>Sun Prairie</v>
      </c>
    </row>
    <row r="17564" spans="1:5">
      <c r="A17564" s="3" t="s">
        <v>19445</v>
      </c>
      <c r="B17564" s="110" t="s">
        <v>1378</v>
      </c>
      <c r="C17564" s="111" t="s">
        <v>3286</v>
      </c>
      <c r="D17564" s="111" t="str">
        <f t="shared" ref="D17564:E17564" si="17562">TRIM(B17564)</f>
        <v>Wisconsin</v>
      </c>
      <c r="E17564" s="111" t="str">
        <f t="shared" si="17562"/>
        <v>Superior</v>
      </c>
    </row>
    <row r="17565" spans="1:5">
      <c r="A17565" s="3" t="s">
        <v>29325</v>
      </c>
      <c r="B17565" s="110" t="s">
        <v>1378</v>
      </c>
      <c r="C17565" s="111" t="s">
        <v>29326</v>
      </c>
      <c r="D17565" s="111" t="str">
        <f t="shared" ref="D17565:E17565" si="17563">TRIM(B17565)</f>
        <v>Wisconsin</v>
      </c>
      <c r="E17565" s="111" t="str">
        <f t="shared" si="17563"/>
        <v>Suring</v>
      </c>
    </row>
    <row r="17566" spans="1:5">
      <c r="A17566" s="3" t="s">
        <v>1827</v>
      </c>
      <c r="B17566" s="110" t="s">
        <v>1378</v>
      </c>
      <c r="C17566" s="111" t="s">
        <v>450</v>
      </c>
      <c r="D17566" s="111" t="str">
        <f t="shared" ref="D17566:E17566" si="17564">TRIM(B17566)</f>
        <v>Wisconsin</v>
      </c>
      <c r="E17566" s="111" t="str">
        <f t="shared" si="17564"/>
        <v>Sussex</v>
      </c>
    </row>
    <row r="17567" spans="1:5">
      <c r="A17567" s="3" t="s">
        <v>29327</v>
      </c>
      <c r="B17567" s="110" t="s">
        <v>1378</v>
      </c>
      <c r="C17567" s="111" t="s">
        <v>29328</v>
      </c>
      <c r="D17567" s="111" t="str">
        <f t="shared" ref="D17567:E17567" si="17565">TRIM(B17567)</f>
        <v>Wisconsin</v>
      </c>
      <c r="E17567" s="111" t="str">
        <f t="shared" si="17565"/>
        <v>Thorp</v>
      </c>
    </row>
    <row r="17568" spans="1:5">
      <c r="A17568" s="3" t="s">
        <v>24201</v>
      </c>
      <c r="B17568" s="110" t="s">
        <v>1378</v>
      </c>
      <c r="C17568" s="111" t="s">
        <v>29329</v>
      </c>
      <c r="D17568" s="111" t="str">
        <f t="shared" ref="D17568:E17568" si="17566">TRIM(B17568)</f>
        <v>Wisconsin</v>
      </c>
      <c r="E17568" s="111" t="str">
        <f t="shared" si="17566"/>
        <v>Three Lakes</v>
      </c>
    </row>
    <row r="17569" spans="1:5">
      <c r="A17569" s="3" t="s">
        <v>29330</v>
      </c>
      <c r="B17569" s="110" t="s">
        <v>1378</v>
      </c>
      <c r="C17569" s="111" t="s">
        <v>29331</v>
      </c>
      <c r="D17569" s="111" t="str">
        <f t="shared" ref="D17569:E17569" si="17567">TRIM(B17569)</f>
        <v>Wisconsin</v>
      </c>
      <c r="E17569" s="111" t="str">
        <f t="shared" si="17567"/>
        <v>Tigerton</v>
      </c>
    </row>
    <row r="17570" spans="1:5">
      <c r="A17570" s="3" t="s">
        <v>29332</v>
      </c>
      <c r="B17570" s="110" t="s">
        <v>1378</v>
      </c>
      <c r="C17570" s="111" t="s">
        <v>29333</v>
      </c>
      <c r="D17570" s="111" t="str">
        <f t="shared" ref="D17570:E17570" si="17568">TRIM(B17570)</f>
        <v>Wisconsin</v>
      </c>
      <c r="E17570" s="111" t="str">
        <f t="shared" si="17568"/>
        <v>Tomah</v>
      </c>
    </row>
    <row r="17571" spans="1:5">
      <c r="A17571" s="3" t="s">
        <v>29334</v>
      </c>
      <c r="B17571" s="110" t="s">
        <v>1378</v>
      </c>
      <c r="C17571" s="111" t="s">
        <v>29335</v>
      </c>
      <c r="D17571" s="111" t="str">
        <f t="shared" ref="D17571:E17571" si="17569">TRIM(B17571)</f>
        <v>Wisconsin</v>
      </c>
      <c r="E17571" s="111" t="str">
        <f t="shared" si="17569"/>
        <v>Tomahawk</v>
      </c>
    </row>
    <row r="17572" spans="1:5">
      <c r="A17572" s="3" t="s">
        <v>29336</v>
      </c>
      <c r="B17572" s="110" t="s">
        <v>1378</v>
      </c>
      <c r="C17572" s="111" t="s">
        <v>29337</v>
      </c>
      <c r="D17572" s="111" t="str">
        <f t="shared" ref="D17572:E17572" si="17570">TRIM(B17572)</f>
        <v>Wisconsin</v>
      </c>
      <c r="E17572" s="111" t="str">
        <f t="shared" si="17570"/>
        <v>Tony</v>
      </c>
    </row>
    <row r="17573" spans="1:5">
      <c r="A17573" s="3" t="s">
        <v>29338</v>
      </c>
      <c r="B17573" s="110" t="s">
        <v>1378</v>
      </c>
      <c r="C17573" s="111" t="s">
        <v>22740</v>
      </c>
      <c r="D17573" s="111" t="str">
        <f t="shared" ref="D17573:E17573" si="17571">TRIM(B17573)</f>
        <v>Wisconsin</v>
      </c>
      <c r="E17573" s="111" t="str">
        <f t="shared" si="17571"/>
        <v>Turtle Lake</v>
      </c>
    </row>
    <row r="17574" spans="1:5">
      <c r="A17574" s="3" t="s">
        <v>4093</v>
      </c>
      <c r="B17574" s="110" t="s">
        <v>1378</v>
      </c>
      <c r="C17574" s="111" t="s">
        <v>29339</v>
      </c>
      <c r="D17574" s="111" t="str">
        <f t="shared" ref="D17574:E17574" si="17572">TRIM(B17574)</f>
        <v>Wisconsin</v>
      </c>
      <c r="E17574" s="111" t="str">
        <f t="shared" si="17572"/>
        <v>Two Rivers</v>
      </c>
    </row>
    <row r="17575" spans="1:5">
      <c r="A17575" s="3" t="s">
        <v>11075</v>
      </c>
      <c r="B17575" s="110" t="s">
        <v>1378</v>
      </c>
      <c r="C17575" s="111" t="s">
        <v>29340</v>
      </c>
      <c r="D17575" s="111" t="str">
        <f t="shared" ref="D17575:E17575" si="17573">TRIM(B17575)</f>
        <v>Wisconsin</v>
      </c>
      <c r="E17575" s="111" t="str">
        <f t="shared" si="17573"/>
        <v>Union Grove</v>
      </c>
    </row>
    <row r="17576" spans="1:5">
      <c r="A17576" s="3" t="s">
        <v>29341</v>
      </c>
      <c r="B17576" s="110" t="s">
        <v>1378</v>
      </c>
      <c r="C17576" s="111" t="s">
        <v>29342</v>
      </c>
      <c r="D17576" s="111" t="str">
        <f t="shared" ref="D17576:E17576" si="17574">TRIM(B17576)</f>
        <v>Wisconsin</v>
      </c>
      <c r="E17576" s="111" t="str">
        <f t="shared" si="17574"/>
        <v>Valders</v>
      </c>
    </row>
    <row r="17577" spans="1:5">
      <c r="A17577" s="3" t="s">
        <v>29343</v>
      </c>
      <c r="B17577" s="110" t="s">
        <v>1378</v>
      </c>
      <c r="C17577" s="111" t="s">
        <v>19205</v>
      </c>
      <c r="D17577" s="111" t="str">
        <f t="shared" ref="D17577:E17577" si="17575">TRIM(B17577)</f>
        <v>Wisconsin</v>
      </c>
      <c r="E17577" s="111" t="str">
        <f t="shared" si="17575"/>
        <v>Verona</v>
      </c>
    </row>
    <row r="17578" spans="1:5">
      <c r="A17578" s="3" t="s">
        <v>29344</v>
      </c>
      <c r="B17578" s="110" t="s">
        <v>1378</v>
      </c>
      <c r="C17578" s="111" t="s">
        <v>19205</v>
      </c>
      <c r="D17578" s="111" t="str">
        <f t="shared" ref="D17578:E17578" si="17576">TRIM(B17578)</f>
        <v>Wisconsin</v>
      </c>
      <c r="E17578" s="111" t="str">
        <f t="shared" si="17576"/>
        <v>Verona</v>
      </c>
    </row>
    <row r="17579" spans="1:5">
      <c r="A17579" s="3" t="s">
        <v>19101</v>
      </c>
      <c r="B17579" s="110" t="s">
        <v>1378</v>
      </c>
      <c r="C17579" s="111" t="s">
        <v>4256</v>
      </c>
      <c r="D17579" s="111" t="str">
        <f t="shared" ref="D17579:E17579" si="17577">TRIM(B17579)</f>
        <v>Wisconsin</v>
      </c>
      <c r="E17579" s="111" t="str">
        <f t="shared" si="17577"/>
        <v>Viola</v>
      </c>
    </row>
    <row r="17580" spans="1:5">
      <c r="A17580" s="3" t="s">
        <v>16448</v>
      </c>
      <c r="B17580" s="110" t="s">
        <v>1378</v>
      </c>
      <c r="C17580" s="111" t="s">
        <v>29345</v>
      </c>
      <c r="D17580" s="111" t="str">
        <f t="shared" ref="D17580:E17580" si="17578">TRIM(B17580)</f>
        <v>Wisconsin</v>
      </c>
      <c r="E17580" s="111" t="str">
        <f t="shared" si="17578"/>
        <v>Viroqua</v>
      </c>
    </row>
    <row r="17581" spans="1:5">
      <c r="A17581" s="3" t="s">
        <v>29346</v>
      </c>
      <c r="B17581" s="110" t="s">
        <v>1378</v>
      </c>
      <c r="C17581" s="111" t="s">
        <v>29345</v>
      </c>
      <c r="D17581" s="111" t="str">
        <f t="shared" ref="D17581:E17581" si="17579">TRIM(B17581)</f>
        <v>Wisconsin</v>
      </c>
      <c r="E17581" s="111" t="str">
        <f t="shared" si="17579"/>
        <v>Viroqua</v>
      </c>
    </row>
    <row r="17582" spans="1:5">
      <c r="A17582" s="3" t="s">
        <v>29347</v>
      </c>
      <c r="B17582" s="110" t="s">
        <v>1378</v>
      </c>
      <c r="C17582" s="111" t="s">
        <v>29345</v>
      </c>
      <c r="D17582" s="111" t="str">
        <f t="shared" ref="D17582:E17582" si="17580">TRIM(B17582)</f>
        <v>Wisconsin</v>
      </c>
      <c r="E17582" s="111" t="str">
        <f t="shared" si="17580"/>
        <v>Viroqua</v>
      </c>
    </row>
    <row r="17583" spans="1:5">
      <c r="A17583" s="3" t="s">
        <v>29348</v>
      </c>
      <c r="B17583" s="110" t="s">
        <v>1378</v>
      </c>
      <c r="C17583" s="111" t="s">
        <v>29349</v>
      </c>
      <c r="D17583" s="111" t="str">
        <f t="shared" ref="D17583:E17583" si="17581">TRIM(B17583)</f>
        <v>Wisconsin</v>
      </c>
      <c r="E17583" s="111" t="str">
        <f t="shared" si="17581"/>
        <v>Wabeno</v>
      </c>
    </row>
    <row r="17584" spans="1:5">
      <c r="A17584" s="3" t="s">
        <v>29350</v>
      </c>
      <c r="B17584" s="110" t="s">
        <v>1378</v>
      </c>
      <c r="C17584" s="111" t="s">
        <v>16307</v>
      </c>
      <c r="D17584" s="111" t="str">
        <f t="shared" ref="D17584:E17584" si="17582">TRIM(B17584)</f>
        <v>Wisconsin</v>
      </c>
      <c r="E17584" s="111" t="str">
        <f t="shared" si="17582"/>
        <v>Wales</v>
      </c>
    </row>
    <row r="17585" spans="1:5">
      <c r="A17585" s="3" t="s">
        <v>29351</v>
      </c>
      <c r="B17585" s="110" t="s">
        <v>1378</v>
      </c>
      <c r="C17585" s="111" t="s">
        <v>16307</v>
      </c>
      <c r="D17585" s="111" t="str">
        <f t="shared" ref="D17585:E17585" si="17583">TRIM(B17585)</f>
        <v>Wisconsin</v>
      </c>
      <c r="E17585" s="111" t="str">
        <f t="shared" si="17583"/>
        <v>Wales</v>
      </c>
    </row>
    <row r="17586" spans="1:5">
      <c r="A17586" s="110" t="s">
        <v>29352</v>
      </c>
      <c r="B17586" s="110" t="s">
        <v>1378</v>
      </c>
      <c r="C17586" s="111" t="s">
        <v>16307</v>
      </c>
      <c r="D17586" s="111" t="str">
        <f t="shared" ref="D17586:E17586" si="17584">TRIM(B17586)</f>
        <v>Wisconsin</v>
      </c>
      <c r="E17586" s="111" t="str">
        <f t="shared" si="17584"/>
        <v>Wales</v>
      </c>
    </row>
    <row r="17587" spans="1:5">
      <c r="A17587" s="110" t="s">
        <v>29353</v>
      </c>
      <c r="B17587" s="110" t="s">
        <v>1378</v>
      </c>
      <c r="C17587" s="111" t="s">
        <v>16307</v>
      </c>
      <c r="D17587" s="111" t="str">
        <f t="shared" ref="D17587:E17587" si="17585">TRIM(B17587)</f>
        <v>Wisconsin</v>
      </c>
      <c r="E17587" s="111" t="str">
        <f t="shared" si="17585"/>
        <v>Wales</v>
      </c>
    </row>
    <row r="17588" spans="1:5">
      <c r="A17588" s="3" t="s">
        <v>29354</v>
      </c>
      <c r="B17588" s="110" t="s">
        <v>1378</v>
      </c>
      <c r="C17588" s="111" t="s">
        <v>21917</v>
      </c>
      <c r="D17588" s="111" t="str">
        <f t="shared" ref="D17588:E17588" si="17586">TRIM(B17588)</f>
        <v>Wisconsin</v>
      </c>
      <c r="E17588" s="111" t="str">
        <f t="shared" si="17586"/>
        <v>Walworth</v>
      </c>
    </row>
    <row r="17589" spans="1:5">
      <c r="A17589" s="3" t="s">
        <v>22750</v>
      </c>
      <c r="B17589" s="110" t="s">
        <v>1378</v>
      </c>
      <c r="C17589" s="111" t="s">
        <v>13983</v>
      </c>
      <c r="D17589" s="111" t="str">
        <f t="shared" ref="D17589:E17589" si="17587">TRIM(B17589)</f>
        <v>Wisconsin</v>
      </c>
      <c r="E17589" s="111" t="str">
        <f t="shared" si="17587"/>
        <v>Washburn</v>
      </c>
    </row>
    <row r="17590" spans="1:5">
      <c r="A17590" s="3" t="s">
        <v>29355</v>
      </c>
      <c r="B17590" s="110" t="s">
        <v>1378</v>
      </c>
      <c r="C17590" s="113" t="s">
        <v>29356</v>
      </c>
      <c r="D17590" s="111" t="str">
        <f t="shared" ref="D17590:E17590" si="17588">TRIM(B17590)</f>
        <v>Wisconsin</v>
      </c>
      <c r="E17590" s="111" t="str">
        <f t="shared" si="17588"/>
        <v>Washington Island</v>
      </c>
    </row>
    <row r="17591" spans="1:5">
      <c r="A17591" s="3" t="s">
        <v>7449</v>
      </c>
      <c r="B17591" s="110" t="s">
        <v>1378</v>
      </c>
      <c r="C17591" s="111" t="s">
        <v>334</v>
      </c>
      <c r="D17591" s="111" t="str">
        <f t="shared" ref="D17591:E17591" si="17589">TRIM(B17591)</f>
        <v>Wisconsin</v>
      </c>
      <c r="E17591" s="111" t="str">
        <f t="shared" si="17589"/>
        <v>Waterford</v>
      </c>
    </row>
    <row r="17592" spans="1:5">
      <c r="A17592" s="3" t="s">
        <v>13988</v>
      </c>
      <c r="B17592" s="110" t="s">
        <v>1378</v>
      </c>
      <c r="C17592" s="111" t="s">
        <v>13990</v>
      </c>
      <c r="D17592" s="111" t="str">
        <f t="shared" ref="D17592:E17592" si="17590">TRIM(B17592)</f>
        <v>Wisconsin</v>
      </c>
      <c r="E17592" s="111" t="str">
        <f t="shared" si="17590"/>
        <v>Waterloo</v>
      </c>
    </row>
    <row r="17593" spans="1:5">
      <c r="A17593" s="110" t="s">
        <v>29357</v>
      </c>
      <c r="B17593" s="110" t="s">
        <v>1378</v>
      </c>
      <c r="C17593" s="111" t="s">
        <v>8737</v>
      </c>
      <c r="D17593" s="111" t="str">
        <f t="shared" ref="D17593:E17593" si="17591">TRIM(B17593)</f>
        <v>Wisconsin</v>
      </c>
      <c r="E17593" s="111" t="str">
        <f t="shared" si="17591"/>
        <v>Watertown</v>
      </c>
    </row>
    <row r="17594" spans="1:5">
      <c r="A17594" s="3" t="s">
        <v>8736</v>
      </c>
      <c r="B17594" s="110" t="s">
        <v>1378</v>
      </c>
      <c r="C17594" s="111" t="s">
        <v>8737</v>
      </c>
      <c r="D17594" s="111" t="str">
        <f t="shared" ref="D17594:E17594" si="17592">TRIM(B17594)</f>
        <v>Wisconsin</v>
      </c>
      <c r="E17594" s="111" t="str">
        <f t="shared" si="17592"/>
        <v>Watertown</v>
      </c>
    </row>
    <row r="17595" spans="1:5">
      <c r="A17595" s="3" t="s">
        <v>29358</v>
      </c>
      <c r="B17595" s="110" t="s">
        <v>1378</v>
      </c>
      <c r="C17595" s="111" t="s">
        <v>331</v>
      </c>
      <c r="D17595" s="111" t="str">
        <f t="shared" ref="D17595:E17595" si="17593">TRIM(B17595)</f>
        <v>Wisconsin</v>
      </c>
      <c r="E17595" s="111" t="str">
        <f t="shared" si="17593"/>
        <v>Waukesha</v>
      </c>
    </row>
    <row r="17596" spans="1:5">
      <c r="A17596" s="3" t="s">
        <v>3069</v>
      </c>
      <c r="B17596" s="110" t="s">
        <v>1378</v>
      </c>
      <c r="C17596" s="111" t="s">
        <v>331</v>
      </c>
      <c r="D17596" s="111" t="str">
        <f t="shared" ref="D17596:E17596" si="17594">TRIM(B17596)</f>
        <v>Wisconsin</v>
      </c>
      <c r="E17596" s="111" t="str">
        <f t="shared" si="17594"/>
        <v>Waukesha</v>
      </c>
    </row>
    <row r="17597" spans="1:5">
      <c r="A17597" s="3" t="s">
        <v>4439</v>
      </c>
      <c r="B17597" s="110" t="s">
        <v>1378</v>
      </c>
      <c r="C17597" s="111" t="s">
        <v>331</v>
      </c>
      <c r="D17597" s="111" t="str">
        <f t="shared" ref="D17597:E17597" si="17595">TRIM(B17597)</f>
        <v>Wisconsin</v>
      </c>
      <c r="E17597" s="111" t="str">
        <f t="shared" si="17595"/>
        <v>Waukesha</v>
      </c>
    </row>
    <row r="17598" spans="1:5">
      <c r="A17598" s="3" t="s">
        <v>29359</v>
      </c>
      <c r="B17598" s="110" t="s">
        <v>1378</v>
      </c>
      <c r="C17598" s="111" t="s">
        <v>331</v>
      </c>
      <c r="D17598" s="111" t="str">
        <f t="shared" ref="D17598:E17598" si="17596">TRIM(B17598)</f>
        <v>Wisconsin</v>
      </c>
      <c r="E17598" s="111" t="str">
        <f t="shared" si="17596"/>
        <v>Waukesha</v>
      </c>
    </row>
    <row r="17599" spans="1:5">
      <c r="A17599" s="3" t="s">
        <v>29360</v>
      </c>
      <c r="B17599" s="110" t="s">
        <v>1378</v>
      </c>
      <c r="C17599" s="111" t="s">
        <v>331</v>
      </c>
      <c r="D17599" s="111" t="str">
        <f t="shared" ref="D17599:E17599" si="17597">TRIM(B17599)</f>
        <v>Wisconsin</v>
      </c>
      <c r="E17599" s="111" t="str">
        <f t="shared" si="17597"/>
        <v>Waukesha</v>
      </c>
    </row>
    <row r="17600" spans="1:5">
      <c r="A17600" s="3" t="s">
        <v>2304</v>
      </c>
      <c r="B17600" s="110" t="s">
        <v>1378</v>
      </c>
      <c r="C17600" s="111" t="s">
        <v>331</v>
      </c>
      <c r="D17600" s="111" t="str">
        <f t="shared" ref="D17600:E17600" si="17598">TRIM(B17600)</f>
        <v>Wisconsin</v>
      </c>
      <c r="E17600" s="111" t="str">
        <f t="shared" si="17598"/>
        <v>Waukesha</v>
      </c>
    </row>
    <row r="17601" spans="1:5">
      <c r="A17601" s="3" t="s">
        <v>29361</v>
      </c>
      <c r="B17601" s="110" t="s">
        <v>1378</v>
      </c>
      <c r="C17601" s="111" t="s">
        <v>8912</v>
      </c>
      <c r="D17601" s="111" t="str">
        <f t="shared" ref="D17601:E17601" si="17599">TRIM(B17601)</f>
        <v>Wisconsin</v>
      </c>
      <c r="E17601" s="111" t="str">
        <f t="shared" si="17599"/>
        <v>Waunakee</v>
      </c>
    </row>
    <row r="17602" spans="1:5">
      <c r="A17602" s="3" t="s">
        <v>29362</v>
      </c>
      <c r="B17602" s="110" t="s">
        <v>1378</v>
      </c>
      <c r="C17602" s="111" t="s">
        <v>29363</v>
      </c>
      <c r="D17602" s="111" t="str">
        <f t="shared" ref="D17602:E17602" si="17600">TRIM(B17602)</f>
        <v>Wisconsin</v>
      </c>
      <c r="E17602" s="111" t="str">
        <f t="shared" si="17600"/>
        <v>Waupaca</v>
      </c>
    </row>
    <row r="17603" spans="1:5">
      <c r="A17603" s="3" t="s">
        <v>29364</v>
      </c>
      <c r="B17603" s="110" t="s">
        <v>1378</v>
      </c>
      <c r="C17603" s="111" t="s">
        <v>29365</v>
      </c>
      <c r="D17603" s="111" t="str">
        <f t="shared" ref="D17603:E17603" si="17601">TRIM(B17603)</f>
        <v>Wisconsin</v>
      </c>
      <c r="E17603" s="111" t="str">
        <f t="shared" si="17601"/>
        <v>Waupun</v>
      </c>
    </row>
    <row r="17604" spans="1:5">
      <c r="A17604" s="3" t="s">
        <v>2294</v>
      </c>
      <c r="B17604" s="110" t="s">
        <v>1378</v>
      </c>
      <c r="C17604" s="111" t="s">
        <v>29366</v>
      </c>
      <c r="D17604" s="111" t="str">
        <f t="shared" ref="D17604:E17604" si="17602">TRIM(B17604)</f>
        <v>Wisconsin</v>
      </c>
      <c r="E17604" s="111" t="str">
        <f t="shared" si="17602"/>
        <v>Wausau</v>
      </c>
    </row>
    <row r="17605" spans="1:5">
      <c r="A17605" s="3" t="s">
        <v>29367</v>
      </c>
      <c r="B17605" s="110" t="s">
        <v>1378</v>
      </c>
      <c r="C17605" s="111" t="s">
        <v>29366</v>
      </c>
      <c r="D17605" s="111" t="str">
        <f t="shared" ref="D17605:E17605" si="17603">TRIM(B17605)</f>
        <v>Wisconsin</v>
      </c>
      <c r="E17605" s="111" t="str">
        <f t="shared" si="17603"/>
        <v>Wausau</v>
      </c>
    </row>
    <row r="17606" spans="1:5">
      <c r="A17606" s="3" t="s">
        <v>2304</v>
      </c>
      <c r="B17606" s="110" t="s">
        <v>1378</v>
      </c>
      <c r="C17606" s="111" t="s">
        <v>29366</v>
      </c>
      <c r="D17606" s="111" t="str">
        <f t="shared" ref="D17606:E17606" si="17604">TRIM(B17606)</f>
        <v>Wisconsin</v>
      </c>
      <c r="E17606" s="111" t="str">
        <f t="shared" si="17604"/>
        <v>Wausau</v>
      </c>
    </row>
    <row r="17607" spans="1:5">
      <c r="A17607" s="3" t="s">
        <v>29368</v>
      </c>
      <c r="B17607" s="110" t="s">
        <v>1378</v>
      </c>
      <c r="C17607" s="111" t="s">
        <v>29369</v>
      </c>
      <c r="D17607" s="111" t="str">
        <f t="shared" ref="D17607:E17607" si="17605">TRIM(B17607)</f>
        <v>Wisconsin</v>
      </c>
      <c r="E17607" s="111" t="str">
        <f t="shared" si="17605"/>
        <v>Wausaukee</v>
      </c>
    </row>
    <row r="17608" spans="1:5">
      <c r="A17608" s="3" t="s">
        <v>29370</v>
      </c>
      <c r="B17608" s="110" t="s">
        <v>1378</v>
      </c>
      <c r="C17608" s="111" t="s">
        <v>29371</v>
      </c>
      <c r="D17608" s="111" t="str">
        <f t="shared" ref="D17608:E17608" si="17606">TRIM(B17608)</f>
        <v>Wisconsin</v>
      </c>
      <c r="E17608" s="111" t="str">
        <f t="shared" si="17606"/>
        <v>Wautoma</v>
      </c>
    </row>
    <row r="17609" spans="1:5">
      <c r="A17609" s="3" t="s">
        <v>2294</v>
      </c>
      <c r="B17609" s="110" t="s">
        <v>1378</v>
      </c>
      <c r="C17609" s="111" t="s">
        <v>29372</v>
      </c>
      <c r="D17609" s="111" t="str">
        <f t="shared" ref="D17609:E17609" si="17607">TRIM(B17609)</f>
        <v>Wisconsin</v>
      </c>
      <c r="E17609" s="111" t="str">
        <f t="shared" si="17607"/>
        <v>Wauwatosa</v>
      </c>
    </row>
    <row r="17610" spans="1:5">
      <c r="A17610" s="3" t="s">
        <v>2304</v>
      </c>
      <c r="B17610" s="110" t="s">
        <v>1378</v>
      </c>
      <c r="C17610" s="111" t="s">
        <v>29372</v>
      </c>
      <c r="D17610" s="111" t="str">
        <f t="shared" ref="D17610:E17610" si="17608">TRIM(B17610)</f>
        <v>Wisconsin</v>
      </c>
      <c r="E17610" s="111" t="str">
        <f t="shared" si="17608"/>
        <v>Wauwatosa</v>
      </c>
    </row>
    <row r="17611" spans="1:5">
      <c r="A17611" s="3" t="s">
        <v>29373</v>
      </c>
      <c r="B17611" s="110" t="s">
        <v>1378</v>
      </c>
      <c r="C17611" s="111" t="s">
        <v>29374</v>
      </c>
      <c r="D17611" s="111" t="str">
        <f t="shared" ref="D17611:E17611" si="17609">TRIM(B17611)</f>
        <v>Wisconsin</v>
      </c>
      <c r="E17611" s="111" t="str">
        <f t="shared" si="17609"/>
        <v>Wauzeka</v>
      </c>
    </row>
    <row r="17612" spans="1:5">
      <c r="A17612" s="3" t="s">
        <v>29375</v>
      </c>
      <c r="B17612" s="110" t="s">
        <v>1378</v>
      </c>
      <c r="C17612" s="111" t="s">
        <v>12392</v>
      </c>
      <c r="D17612" s="111" t="str">
        <f t="shared" ref="D17612:E17612" si="17610">TRIM(B17612)</f>
        <v>Wisconsin</v>
      </c>
      <c r="E17612" s="111" t="str">
        <f t="shared" si="17610"/>
        <v>Webster</v>
      </c>
    </row>
    <row r="17613" spans="1:5">
      <c r="A17613" s="3" t="s">
        <v>1843</v>
      </c>
      <c r="B17613" s="110" t="s">
        <v>1378</v>
      </c>
      <c r="C17613" s="111" t="s">
        <v>29376</v>
      </c>
      <c r="D17613" s="111" t="str">
        <f t="shared" ref="D17613:E17613" si="17611">TRIM(B17613)</f>
        <v>Wisconsin</v>
      </c>
      <c r="E17613" s="111" t="str">
        <f t="shared" si="17611"/>
        <v>West Allis</v>
      </c>
    </row>
    <row r="17614" spans="1:5">
      <c r="A17614" s="3" t="s">
        <v>24133</v>
      </c>
      <c r="B17614" s="110" t="s">
        <v>1378</v>
      </c>
      <c r="C17614" s="111" t="s">
        <v>29376</v>
      </c>
      <c r="D17614" s="111" t="str">
        <f t="shared" ref="D17614:E17614" si="17612">TRIM(B17614)</f>
        <v>Wisconsin</v>
      </c>
      <c r="E17614" s="111" t="str">
        <f t="shared" si="17612"/>
        <v>West Allis</v>
      </c>
    </row>
    <row r="17615" spans="1:5">
      <c r="A17615" s="3" t="s">
        <v>2294</v>
      </c>
      <c r="B17615" s="110" t="s">
        <v>1378</v>
      </c>
      <c r="C17615" s="111" t="s">
        <v>15120</v>
      </c>
      <c r="D17615" s="111" t="str">
        <f t="shared" ref="D17615:E17615" si="17613">TRIM(B17615)</f>
        <v>Wisconsin</v>
      </c>
      <c r="E17615" s="111" t="str">
        <f t="shared" si="17613"/>
        <v>West Bend</v>
      </c>
    </row>
    <row r="17616" spans="1:5">
      <c r="A17616" s="110" t="s">
        <v>29377</v>
      </c>
      <c r="B17616" s="110" t="s">
        <v>1378</v>
      </c>
      <c r="C17616" s="111" t="s">
        <v>15120</v>
      </c>
      <c r="D17616" s="111" t="str">
        <f t="shared" ref="D17616:E17616" si="17614">TRIM(B17616)</f>
        <v>Wisconsin</v>
      </c>
      <c r="E17616" s="111" t="str">
        <f t="shared" si="17614"/>
        <v>West Bend</v>
      </c>
    </row>
    <row r="17617" spans="1:5">
      <c r="A17617" s="3" t="s">
        <v>2304</v>
      </c>
      <c r="B17617" s="110" t="s">
        <v>1378</v>
      </c>
      <c r="C17617" s="111" t="s">
        <v>15120</v>
      </c>
      <c r="D17617" s="111" t="str">
        <f t="shared" ref="D17617:E17617" si="17615">TRIM(B17617)</f>
        <v>Wisconsin</v>
      </c>
      <c r="E17617" s="111" t="str">
        <f t="shared" si="17615"/>
        <v>West Bend</v>
      </c>
    </row>
    <row r="17618" spans="1:5">
      <c r="A17618" s="3" t="s">
        <v>24397</v>
      </c>
      <c r="B17618" s="110" t="s">
        <v>1378</v>
      </c>
      <c r="C17618" s="111" t="s">
        <v>23563</v>
      </c>
      <c r="D17618" s="111" t="str">
        <f t="shared" ref="D17618:E17618" si="17616">TRIM(B17618)</f>
        <v>Wisconsin</v>
      </c>
      <c r="E17618" s="111" t="str">
        <f t="shared" si="17616"/>
        <v>West Salem</v>
      </c>
    </row>
    <row r="17619" spans="1:5">
      <c r="A17619" s="3" t="s">
        <v>19456</v>
      </c>
      <c r="B17619" s="110" t="s">
        <v>1378</v>
      </c>
      <c r="C17619" s="111" t="s">
        <v>19457</v>
      </c>
      <c r="D17619" s="111" t="str">
        <f t="shared" ref="D17619:E17619" si="17617">TRIM(B17619)</f>
        <v>Wisconsin</v>
      </c>
      <c r="E17619" s="111" t="str">
        <f t="shared" si="17617"/>
        <v>Westby</v>
      </c>
    </row>
    <row r="17620" spans="1:5">
      <c r="A17620" s="3" t="s">
        <v>29378</v>
      </c>
      <c r="B17620" s="110" t="s">
        <v>1378</v>
      </c>
      <c r="C17620" s="111" t="s">
        <v>6783</v>
      </c>
      <c r="D17620" s="111" t="str">
        <f t="shared" ref="D17620:E17620" si="17618">TRIM(B17620)</f>
        <v>Wisconsin</v>
      </c>
      <c r="E17620" s="111" t="str">
        <f t="shared" si="17618"/>
        <v>Westfield</v>
      </c>
    </row>
    <row r="17621" spans="1:5">
      <c r="A17621" s="3" t="s">
        <v>29379</v>
      </c>
      <c r="B17621" s="110" t="s">
        <v>1378</v>
      </c>
      <c r="C17621" s="111" t="s">
        <v>8298</v>
      </c>
      <c r="D17621" s="111" t="str">
        <f t="shared" ref="D17621:E17621" si="17619">TRIM(B17621)</f>
        <v>Wisconsin</v>
      </c>
      <c r="E17621" s="111" t="str">
        <f t="shared" si="17619"/>
        <v>Weston</v>
      </c>
    </row>
    <row r="17622" spans="1:5">
      <c r="A17622" s="110" t="s">
        <v>29380</v>
      </c>
      <c r="B17622" s="110" t="s">
        <v>1378</v>
      </c>
      <c r="C17622" s="111" t="s">
        <v>8298</v>
      </c>
      <c r="D17622" s="111" t="str">
        <f t="shared" ref="D17622:E17622" si="17620">TRIM(B17622)</f>
        <v>Wisconsin</v>
      </c>
      <c r="E17622" s="111" t="str">
        <f t="shared" si="17620"/>
        <v>Weston</v>
      </c>
    </row>
    <row r="17623" spans="1:5">
      <c r="A17623" s="3" t="s">
        <v>29381</v>
      </c>
      <c r="B17623" s="110" t="s">
        <v>1378</v>
      </c>
      <c r="C17623" s="111" t="s">
        <v>29382</v>
      </c>
      <c r="D17623" s="111" t="str">
        <f t="shared" ref="D17623:E17623" si="17621">TRIM(B17623)</f>
        <v>Wisconsin</v>
      </c>
      <c r="E17623" s="111" t="str">
        <f t="shared" si="17621"/>
        <v>Weyauwega</v>
      </c>
    </row>
    <row r="17624" spans="1:5">
      <c r="A17624" s="3" t="s">
        <v>29383</v>
      </c>
      <c r="B17624" s="110" t="s">
        <v>1378</v>
      </c>
      <c r="C17624" s="111" t="s">
        <v>17668</v>
      </c>
      <c r="D17624" s="111" t="str">
        <f t="shared" ref="D17624:E17624" si="17622">TRIM(B17624)</f>
        <v>Wisconsin</v>
      </c>
      <c r="E17624" s="111" t="str">
        <f t="shared" si="17622"/>
        <v>White Lake</v>
      </c>
    </row>
    <row r="17625" spans="1:5">
      <c r="A17625" s="3" t="s">
        <v>29384</v>
      </c>
      <c r="B17625" s="110" t="s">
        <v>1378</v>
      </c>
      <c r="C17625" s="111" t="s">
        <v>29385</v>
      </c>
      <c r="D17625" s="111" t="str">
        <f t="shared" ref="D17625:E17625" si="17623">TRIM(B17625)</f>
        <v>Wisconsin</v>
      </c>
      <c r="E17625" s="111" t="str">
        <f t="shared" si="17623"/>
        <v>Whitefish Bay</v>
      </c>
    </row>
    <row r="17626" spans="1:5">
      <c r="A17626" s="3" t="s">
        <v>29386</v>
      </c>
      <c r="B17626" s="110" t="s">
        <v>1378</v>
      </c>
      <c r="C17626" s="111" t="s">
        <v>17672</v>
      </c>
      <c r="D17626" s="111" t="str">
        <f t="shared" ref="D17626:E17626" si="17624">TRIM(B17626)</f>
        <v>Wisconsin</v>
      </c>
      <c r="E17626" s="111" t="str">
        <f t="shared" si="17624"/>
        <v>Whitehall</v>
      </c>
    </row>
    <row r="17627" spans="1:5">
      <c r="A17627" s="3" t="s">
        <v>10768</v>
      </c>
      <c r="B17627" s="110" t="s">
        <v>1378</v>
      </c>
      <c r="C17627" s="111" t="s">
        <v>15585</v>
      </c>
      <c r="D17627" s="111" t="str">
        <f t="shared" ref="D17627:E17627" si="17625">TRIM(B17627)</f>
        <v>Wisconsin</v>
      </c>
      <c r="E17627" s="111" t="str">
        <f t="shared" si="17625"/>
        <v>Whitewater</v>
      </c>
    </row>
    <row r="17628" spans="1:5">
      <c r="A17628" s="3" t="s">
        <v>29387</v>
      </c>
      <c r="B17628" s="110" t="s">
        <v>1378</v>
      </c>
      <c r="C17628" s="111" t="s">
        <v>29388</v>
      </c>
      <c r="D17628" s="111" t="str">
        <f t="shared" ref="D17628:E17628" si="17626">TRIM(B17628)</f>
        <v>Wisconsin</v>
      </c>
      <c r="E17628" s="111" t="str">
        <f t="shared" si="17626"/>
        <v>Wild Rose</v>
      </c>
    </row>
    <row r="17629" spans="1:5">
      <c r="A17629" s="3" t="s">
        <v>29389</v>
      </c>
      <c r="B17629" s="110" t="s">
        <v>1378</v>
      </c>
      <c r="C17629" s="111" t="s">
        <v>29390</v>
      </c>
      <c r="D17629" s="111" t="str">
        <f t="shared" ref="D17629:E17629" si="17627">TRIM(B17629)</f>
        <v>Wisconsin</v>
      </c>
      <c r="E17629" s="111" t="str">
        <f t="shared" si="17627"/>
        <v>Williams Bay</v>
      </c>
    </row>
    <row r="17630" spans="1:5">
      <c r="A17630" s="3" t="s">
        <v>29391</v>
      </c>
      <c r="B17630" s="110" t="s">
        <v>1378</v>
      </c>
      <c r="C17630" s="111" t="s">
        <v>25821</v>
      </c>
      <c r="D17630" s="111" t="str">
        <f t="shared" ref="D17630:E17630" si="17628">TRIM(B17630)</f>
        <v>Wisconsin</v>
      </c>
      <c r="E17630" s="111" t="str">
        <f t="shared" si="17628"/>
        <v>Wilmot</v>
      </c>
    </row>
    <row r="17631" spans="1:5">
      <c r="A17631" s="3" t="s">
        <v>29392</v>
      </c>
      <c r="B17631" s="110" t="s">
        <v>1378</v>
      </c>
      <c r="C17631" s="111" t="s">
        <v>29393</v>
      </c>
      <c r="D17631" s="111" t="str">
        <f t="shared" ref="D17631:E17631" si="17629">TRIM(B17631)</f>
        <v>Wisconsin</v>
      </c>
      <c r="E17631" s="111" t="str">
        <f t="shared" si="17629"/>
        <v>Winneconne</v>
      </c>
    </row>
    <row r="17632" spans="1:5">
      <c r="A17632" s="3" t="s">
        <v>29394</v>
      </c>
      <c r="B17632" s="110" t="s">
        <v>1378</v>
      </c>
      <c r="C17632" s="111" t="s">
        <v>29395</v>
      </c>
      <c r="D17632" s="111" t="str">
        <f t="shared" ref="D17632:E17632" si="17630">TRIM(B17632)</f>
        <v>Wisconsin</v>
      </c>
      <c r="E17632" s="111" t="str">
        <f t="shared" si="17630"/>
        <v>Winter</v>
      </c>
    </row>
    <row r="17633" spans="1:5">
      <c r="A17633" s="3" t="s">
        <v>29396</v>
      </c>
      <c r="B17633" s="110" t="s">
        <v>1378</v>
      </c>
      <c r="C17633" s="111" t="s">
        <v>4549</v>
      </c>
      <c r="D17633" s="111" t="str">
        <f t="shared" ref="D17633:E17633" si="17631">TRIM(B17633)</f>
        <v>Wisconsin</v>
      </c>
      <c r="E17633" s="111" t="str">
        <f t="shared" si="17631"/>
        <v>Wisconsin Dells</v>
      </c>
    </row>
    <row r="17634" spans="1:5">
      <c r="A17634" s="3" t="s">
        <v>1925</v>
      </c>
      <c r="B17634" s="110" t="s">
        <v>1378</v>
      </c>
      <c r="C17634" s="113" t="s">
        <v>14237</v>
      </c>
      <c r="D17634" s="111" t="str">
        <f t="shared" ref="D17634:E17634" si="17632">TRIM(B17634)</f>
        <v>Wisconsin</v>
      </c>
      <c r="E17634" s="111" t="str">
        <f t="shared" si="17632"/>
        <v>Wisconsin Rapids</v>
      </c>
    </row>
    <row r="17635" spans="1:5">
      <c r="A17635" s="3" t="s">
        <v>29397</v>
      </c>
      <c r="B17635" s="110" t="s">
        <v>1378</v>
      </c>
      <c r="C17635" s="111" t="s">
        <v>29398</v>
      </c>
      <c r="D17635" s="111" t="str">
        <f t="shared" ref="D17635:E17635" si="17633">TRIM(B17635)</f>
        <v>Wisconsin</v>
      </c>
      <c r="E17635" s="111" t="str">
        <f t="shared" si="17633"/>
        <v>Wittenberg</v>
      </c>
    </row>
    <row r="17636" spans="1:5">
      <c r="A17636" s="3" t="s">
        <v>29399</v>
      </c>
      <c r="B17636" s="110" t="s">
        <v>1378</v>
      </c>
      <c r="C17636" s="111" t="s">
        <v>29400</v>
      </c>
      <c r="D17636" s="111" t="str">
        <f t="shared" ref="D17636:E17636" si="17634">TRIM(B17636)</f>
        <v>Wisconsin</v>
      </c>
      <c r="E17636" s="111" t="str">
        <f t="shared" si="17634"/>
        <v>Wonewoc</v>
      </c>
    </row>
    <row r="17637" spans="1:5">
      <c r="A17637" s="3" t="s">
        <v>29401</v>
      </c>
      <c r="B17637" s="110" t="s">
        <v>1378</v>
      </c>
      <c r="C17637" s="111" t="s">
        <v>6905</v>
      </c>
      <c r="D17637" s="111" t="str">
        <f t="shared" ref="D17637:E17637" si="17635">TRIM(B17637)</f>
        <v>Wisconsin</v>
      </c>
      <c r="E17637" s="111" t="str">
        <f t="shared" si="17635"/>
        <v>Wrightstown</v>
      </c>
    </row>
    <row r="17638" spans="1:5">
      <c r="A17638" s="3" t="s">
        <v>29402</v>
      </c>
      <c r="B17638" s="110" t="s">
        <v>1380</v>
      </c>
      <c r="C17638" s="111" t="s">
        <v>14683</v>
      </c>
      <c r="D17638" s="111" t="str">
        <f t="shared" ref="D17638:E17638" si="17636">TRIM(B17638)</f>
        <v>Wyoming</v>
      </c>
      <c r="E17638" s="111" t="str">
        <f t="shared" si="17636"/>
        <v>Afton</v>
      </c>
    </row>
    <row r="17639" spans="1:5">
      <c r="A17639" s="3" t="s">
        <v>29403</v>
      </c>
      <c r="B17639" s="110" t="s">
        <v>1380</v>
      </c>
      <c r="C17639" s="111" t="s">
        <v>14683</v>
      </c>
      <c r="D17639" s="111" t="str">
        <f t="shared" ref="D17639:E17639" si="17637">TRIM(B17639)</f>
        <v>Wyoming</v>
      </c>
      <c r="E17639" s="111" t="str">
        <f t="shared" si="17637"/>
        <v>Afton</v>
      </c>
    </row>
    <row r="17640" spans="1:5">
      <c r="A17640" s="3" t="s">
        <v>29404</v>
      </c>
      <c r="B17640" s="110" t="s">
        <v>1380</v>
      </c>
      <c r="C17640" s="111" t="s">
        <v>19485</v>
      </c>
      <c r="D17640" s="111" t="str">
        <f t="shared" ref="D17640:E17640" si="17638">TRIM(B17640)</f>
        <v>Wyoming</v>
      </c>
      <c r="E17640" s="111" t="str">
        <f t="shared" si="17638"/>
        <v>Arapahoe</v>
      </c>
    </row>
    <row r="17641" spans="1:5">
      <c r="A17641" s="3" t="s">
        <v>29405</v>
      </c>
      <c r="B17641" s="110" t="s">
        <v>1380</v>
      </c>
      <c r="C17641" s="111" t="s">
        <v>29406</v>
      </c>
      <c r="D17641" s="111" t="str">
        <f t="shared" ref="D17641:E17641" si="17639">TRIM(B17641)</f>
        <v>Wyoming</v>
      </c>
      <c r="E17641" s="111" t="str">
        <f t="shared" si="17639"/>
        <v>Basin</v>
      </c>
    </row>
    <row r="17642" spans="1:5">
      <c r="A17642" s="3" t="s">
        <v>29407</v>
      </c>
      <c r="B17642" s="110" t="s">
        <v>1380</v>
      </c>
      <c r="C17642" s="111" t="s">
        <v>29408</v>
      </c>
      <c r="D17642" s="111" t="str">
        <f t="shared" ref="D17642:E17642" si="17640">TRIM(B17642)</f>
        <v>Wyoming</v>
      </c>
      <c r="E17642" s="111" t="str">
        <f t="shared" si="17640"/>
        <v>Big Horn</v>
      </c>
    </row>
    <row r="17643" spans="1:5">
      <c r="A17643" s="3" t="s">
        <v>29409</v>
      </c>
      <c r="B17643" s="110" t="s">
        <v>1380</v>
      </c>
      <c r="C17643" s="111" t="s">
        <v>29410</v>
      </c>
      <c r="D17643" s="111" t="str">
        <f t="shared" ref="D17643:E17643" si="17641">TRIM(B17643)</f>
        <v>Wyoming</v>
      </c>
      <c r="E17643" s="111" t="str">
        <f t="shared" si="17641"/>
        <v>Big Piney</v>
      </c>
    </row>
    <row r="17644" spans="1:5">
      <c r="A17644" s="3" t="s">
        <v>18657</v>
      </c>
      <c r="B17644" s="110" t="s">
        <v>1380</v>
      </c>
      <c r="C17644" s="111" t="s">
        <v>12129</v>
      </c>
      <c r="D17644" s="111" t="str">
        <f t="shared" ref="D17644:E17644" si="17642">TRIM(B17644)</f>
        <v>Wyoming</v>
      </c>
      <c r="E17644" s="111" t="str">
        <f t="shared" si="17642"/>
        <v>Buffalo</v>
      </c>
    </row>
    <row r="17645" spans="1:5">
      <c r="A17645" s="3" t="s">
        <v>7666</v>
      </c>
      <c r="B17645" s="110" t="s">
        <v>1380</v>
      </c>
      <c r="C17645" s="111" t="s">
        <v>7667</v>
      </c>
      <c r="D17645" s="111" t="str">
        <f t="shared" ref="D17645:E17645" si="17643">TRIM(B17645)</f>
        <v>Wyoming</v>
      </c>
      <c r="E17645" s="111" t="str">
        <f t="shared" si="17643"/>
        <v>Burlington</v>
      </c>
    </row>
    <row r="17646" spans="1:5">
      <c r="A17646" s="3" t="s">
        <v>29411</v>
      </c>
      <c r="B17646" s="110" t="s">
        <v>1380</v>
      </c>
      <c r="C17646" s="111" t="s">
        <v>24229</v>
      </c>
      <c r="D17646" s="111" t="str">
        <f t="shared" ref="D17646:E17646" si="17644">TRIM(B17646)</f>
        <v>Wyoming</v>
      </c>
      <c r="E17646" s="111" t="str">
        <f t="shared" si="17644"/>
        <v>Burns</v>
      </c>
    </row>
    <row r="17647" spans="1:5">
      <c r="A17647" s="3" t="s">
        <v>29412</v>
      </c>
      <c r="B17647" s="110" t="s">
        <v>1380</v>
      </c>
      <c r="C17647" s="111" t="s">
        <v>29413</v>
      </c>
      <c r="D17647" s="111" t="str">
        <f t="shared" ref="D17647:E17647" si="17645">TRIM(B17647)</f>
        <v>Wyoming</v>
      </c>
      <c r="E17647" s="111" t="str">
        <f t="shared" si="17645"/>
        <v>Casper</v>
      </c>
    </row>
    <row r="17648" spans="1:5">
      <c r="A17648" s="3" t="s">
        <v>29414</v>
      </c>
      <c r="B17648" s="110" t="s">
        <v>1380</v>
      </c>
      <c r="C17648" s="111" t="s">
        <v>29413</v>
      </c>
      <c r="D17648" s="111" t="str">
        <f t="shared" ref="D17648:E17648" si="17646">TRIM(B17648)</f>
        <v>Wyoming</v>
      </c>
      <c r="E17648" s="111" t="str">
        <f t="shared" si="17646"/>
        <v>Casper</v>
      </c>
    </row>
    <row r="17649" spans="1:5">
      <c r="A17649" s="3" t="s">
        <v>5101</v>
      </c>
      <c r="B17649" s="110" t="s">
        <v>1380</v>
      </c>
      <c r="C17649" s="111" t="s">
        <v>29413</v>
      </c>
      <c r="D17649" s="111" t="str">
        <f t="shared" ref="D17649:E17649" si="17647">TRIM(B17649)</f>
        <v>Wyoming</v>
      </c>
      <c r="E17649" s="111" t="str">
        <f t="shared" si="17647"/>
        <v>Casper</v>
      </c>
    </row>
    <row r="17650" spans="1:5">
      <c r="A17650" s="3" t="s">
        <v>1843</v>
      </c>
      <c r="B17650" s="110" t="s">
        <v>1380</v>
      </c>
      <c r="C17650" s="111" t="s">
        <v>23716</v>
      </c>
      <c r="D17650" s="111" t="str">
        <f t="shared" ref="D17650:E17650" si="17648">TRIM(B17650)</f>
        <v>Wyoming</v>
      </c>
      <c r="E17650" s="111" t="str">
        <f t="shared" si="17648"/>
        <v>Cheyenne</v>
      </c>
    </row>
    <row r="17651" spans="1:5">
      <c r="A17651" s="3" t="s">
        <v>2294</v>
      </c>
      <c r="B17651" s="110" t="s">
        <v>1380</v>
      </c>
      <c r="C17651" s="111" t="s">
        <v>23716</v>
      </c>
      <c r="D17651" s="111" t="str">
        <f t="shared" ref="D17651:E17651" si="17649">TRIM(B17651)</f>
        <v>Wyoming</v>
      </c>
      <c r="E17651" s="111" t="str">
        <f t="shared" si="17649"/>
        <v>Cheyenne</v>
      </c>
    </row>
    <row r="17652" spans="1:5">
      <c r="A17652" s="3" t="s">
        <v>4439</v>
      </c>
      <c r="B17652" s="110" t="s">
        <v>1380</v>
      </c>
      <c r="C17652" s="111" t="s">
        <v>23716</v>
      </c>
      <c r="D17652" s="111" t="str">
        <f t="shared" ref="D17652:E17652" si="17650">TRIM(B17652)</f>
        <v>Wyoming</v>
      </c>
      <c r="E17652" s="111" t="str">
        <f t="shared" si="17650"/>
        <v>Cheyenne</v>
      </c>
    </row>
    <row r="17653" spans="1:5">
      <c r="A17653" s="3" t="s">
        <v>29415</v>
      </c>
      <c r="B17653" s="110" t="s">
        <v>1380</v>
      </c>
      <c r="C17653" s="111" t="s">
        <v>23716</v>
      </c>
      <c r="D17653" s="111" t="str">
        <f t="shared" ref="D17653:E17653" si="17651">TRIM(B17653)</f>
        <v>Wyoming</v>
      </c>
      <c r="E17653" s="111" t="str">
        <f t="shared" si="17651"/>
        <v>Cheyenne</v>
      </c>
    </row>
    <row r="17654" spans="1:5">
      <c r="A17654" s="3" t="s">
        <v>17122</v>
      </c>
      <c r="B17654" s="110" t="s">
        <v>1380</v>
      </c>
      <c r="C17654" s="111" t="s">
        <v>19537</v>
      </c>
      <c r="D17654" s="111" t="str">
        <f t="shared" ref="D17654:E17654" si="17652">TRIM(B17654)</f>
        <v>Wyoming</v>
      </c>
      <c r="E17654" s="111" t="str">
        <f t="shared" si="17652"/>
        <v>Cody</v>
      </c>
    </row>
    <row r="17655" spans="1:5">
      <c r="A17655" s="3" t="s">
        <v>29416</v>
      </c>
      <c r="B17655" s="110" t="s">
        <v>1380</v>
      </c>
      <c r="C17655" s="111" t="s">
        <v>19537</v>
      </c>
      <c r="D17655" s="111" t="str">
        <f t="shared" ref="D17655:E17655" si="17653">TRIM(B17655)</f>
        <v>Wyoming</v>
      </c>
      <c r="E17655" s="111" t="str">
        <f t="shared" si="17653"/>
        <v>Cody</v>
      </c>
    </row>
    <row r="17656" spans="1:5">
      <c r="A17656" s="3" t="s">
        <v>29417</v>
      </c>
      <c r="B17656" s="110" t="s">
        <v>1380</v>
      </c>
      <c r="C17656" s="111" t="s">
        <v>29418</v>
      </c>
      <c r="D17656" s="111" t="str">
        <f t="shared" ref="D17656:E17656" si="17654">TRIM(B17656)</f>
        <v>Wyoming</v>
      </c>
      <c r="E17656" s="111" t="str">
        <f t="shared" si="17654"/>
        <v>Cokeville</v>
      </c>
    </row>
    <row r="17657" spans="1:5">
      <c r="A17657" s="3" t="s">
        <v>7909</v>
      </c>
      <c r="B17657" s="110" t="s">
        <v>1380</v>
      </c>
      <c r="C17657" s="112" t="s">
        <v>29419</v>
      </c>
      <c r="D17657" s="111" t="str">
        <f t="shared" ref="D17657:E17657" si="17655">TRIM(B17657)</f>
        <v>Wyoming</v>
      </c>
      <c r="E17657" s="111" t="str">
        <f t="shared" si="17655"/>
        <v>Cowley</v>
      </c>
    </row>
    <row r="17658" spans="1:5">
      <c r="A17658" s="110" t="s">
        <v>29420</v>
      </c>
      <c r="B17658" s="110" t="s">
        <v>1380</v>
      </c>
      <c r="C17658" s="111" t="s">
        <v>568</v>
      </c>
      <c r="D17658" s="111" t="str">
        <f t="shared" ref="D17658:E17658" si="17656">TRIM(B17658)</f>
        <v>Wyoming</v>
      </c>
      <c r="E17658" s="111" t="str">
        <f t="shared" si="17656"/>
        <v>Dayton</v>
      </c>
    </row>
    <row r="17659" spans="1:5">
      <c r="A17659" s="3" t="s">
        <v>29421</v>
      </c>
      <c r="B17659" s="110" t="s">
        <v>1380</v>
      </c>
      <c r="C17659" s="111" t="s">
        <v>568</v>
      </c>
      <c r="D17659" s="111" t="str">
        <f t="shared" ref="D17659:E17659" si="17657">TRIM(B17659)</f>
        <v>Wyoming</v>
      </c>
      <c r="E17659" s="111" t="str">
        <f t="shared" si="17657"/>
        <v>Dayton</v>
      </c>
    </row>
    <row r="17660" spans="1:5">
      <c r="A17660" s="3" t="s">
        <v>29422</v>
      </c>
      <c r="B17660" s="110" t="s">
        <v>1380</v>
      </c>
      <c r="C17660" s="111" t="s">
        <v>29423</v>
      </c>
      <c r="D17660" s="111" t="str">
        <f t="shared" ref="D17660:E17660" si="17658">TRIM(B17660)</f>
        <v>Wyoming</v>
      </c>
      <c r="E17660" s="111" t="str">
        <f t="shared" si="17658"/>
        <v>Diamondville</v>
      </c>
    </row>
    <row r="17661" spans="1:5">
      <c r="A17661" s="3" t="s">
        <v>29424</v>
      </c>
      <c r="B17661" s="110" t="s">
        <v>1380</v>
      </c>
      <c r="C17661" s="111" t="s">
        <v>29423</v>
      </c>
      <c r="D17661" s="111" t="str">
        <f t="shared" ref="D17661:E17661" si="17659">TRIM(B17661)</f>
        <v>Wyoming</v>
      </c>
      <c r="E17661" s="111" t="str">
        <f t="shared" si="17659"/>
        <v>Diamondville</v>
      </c>
    </row>
    <row r="17662" spans="1:5">
      <c r="A17662" s="3" t="s">
        <v>1707</v>
      </c>
      <c r="B17662" s="110" t="s">
        <v>1380</v>
      </c>
      <c r="C17662" s="112" t="s">
        <v>1708</v>
      </c>
      <c r="D17662" s="111" t="str">
        <f t="shared" ref="D17662:E17662" si="17660">TRIM(B17662)</f>
        <v>Wyoming</v>
      </c>
      <c r="E17662" s="111" t="str">
        <f t="shared" si="17660"/>
        <v>Douglas</v>
      </c>
    </row>
    <row r="17663" spans="1:5">
      <c r="A17663" s="3" t="s">
        <v>29425</v>
      </c>
      <c r="B17663" s="110" t="s">
        <v>1380</v>
      </c>
      <c r="C17663" s="111" t="s">
        <v>11677</v>
      </c>
      <c r="D17663" s="111" t="str">
        <f t="shared" ref="D17663:E17663" si="17661">TRIM(B17663)</f>
        <v>Wyoming</v>
      </c>
      <c r="E17663" s="111" t="str">
        <f t="shared" si="17661"/>
        <v>Dubois</v>
      </c>
    </row>
    <row r="17664" spans="1:5">
      <c r="A17664" s="3" t="s">
        <v>29426</v>
      </c>
      <c r="B17664" s="110" t="s">
        <v>1380</v>
      </c>
      <c r="C17664" s="111" t="s">
        <v>29427</v>
      </c>
      <c r="D17664" s="111" t="str">
        <f t="shared" ref="D17664:E17664" si="17662">TRIM(B17664)</f>
        <v>Wyoming</v>
      </c>
      <c r="E17664" s="111" t="str">
        <f t="shared" si="17662"/>
        <v>Ethete</v>
      </c>
    </row>
    <row r="17665" spans="1:5">
      <c r="A17665" s="3" t="s">
        <v>29428</v>
      </c>
      <c r="B17665" s="110" t="s">
        <v>1380</v>
      </c>
      <c r="C17665" s="111" t="s">
        <v>1141</v>
      </c>
      <c r="D17665" s="111" t="str">
        <f t="shared" ref="D17665:E17665" si="17663">TRIM(B17665)</f>
        <v>Wyoming</v>
      </c>
      <c r="E17665" s="111" t="str">
        <f t="shared" si="17663"/>
        <v>Evanston</v>
      </c>
    </row>
    <row r="17666" spans="1:5">
      <c r="A17666" s="110" t="s">
        <v>17296</v>
      </c>
      <c r="B17666" s="110" t="s">
        <v>1380</v>
      </c>
      <c r="C17666" s="111" t="s">
        <v>1141</v>
      </c>
      <c r="D17666" s="111" t="str">
        <f t="shared" ref="D17666:E17666" si="17664">TRIM(B17666)</f>
        <v>Wyoming</v>
      </c>
      <c r="E17666" s="111" t="str">
        <f t="shared" si="17664"/>
        <v>Evanston</v>
      </c>
    </row>
    <row r="17667" spans="1:5">
      <c r="A17667" s="3" t="s">
        <v>29429</v>
      </c>
      <c r="B17667" s="110" t="s">
        <v>1380</v>
      </c>
      <c r="C17667" s="111" t="s">
        <v>29430</v>
      </c>
      <c r="D17667" s="111" t="str">
        <f t="shared" ref="D17667:E17667" si="17665">TRIM(B17667)</f>
        <v>Wyoming</v>
      </c>
      <c r="E17667" s="111" t="str">
        <f t="shared" si="17665"/>
        <v>Farson</v>
      </c>
    </row>
    <row r="17668" spans="1:5">
      <c r="A17668" s="3" t="s">
        <v>29431</v>
      </c>
      <c r="B17668" s="110" t="s">
        <v>1380</v>
      </c>
      <c r="C17668" s="111" t="s">
        <v>29432</v>
      </c>
      <c r="D17668" s="111" t="str">
        <f t="shared" ref="D17668:E17668" si="17666">TRIM(B17668)</f>
        <v>Wyoming</v>
      </c>
      <c r="E17668" s="111" t="str">
        <f t="shared" si="17666"/>
        <v>Ft. Washakie</v>
      </c>
    </row>
    <row r="17669" spans="1:5">
      <c r="A17669" s="3" t="s">
        <v>15600</v>
      </c>
      <c r="B17669" s="110" t="s">
        <v>1380</v>
      </c>
      <c r="C17669" s="111" t="s">
        <v>29433</v>
      </c>
      <c r="D17669" s="111" t="str">
        <f t="shared" ref="D17669:E17669" si="17667">TRIM(B17669)</f>
        <v>Wyoming</v>
      </c>
      <c r="E17669" s="111" t="str">
        <f t="shared" si="17667"/>
        <v>Gillette</v>
      </c>
    </row>
    <row r="17670" spans="1:5">
      <c r="A17670" s="3" t="s">
        <v>29434</v>
      </c>
      <c r="B17670" s="110" t="s">
        <v>1380</v>
      </c>
      <c r="C17670" s="111" t="s">
        <v>29433</v>
      </c>
      <c r="D17670" s="111" t="str">
        <f t="shared" ref="D17670:E17670" si="17668">TRIM(B17670)</f>
        <v>Wyoming</v>
      </c>
      <c r="E17670" s="111" t="str">
        <f t="shared" si="17668"/>
        <v>Gillette</v>
      </c>
    </row>
    <row r="17671" spans="1:5">
      <c r="A17671" s="3" t="s">
        <v>2860</v>
      </c>
      <c r="B17671" s="110" t="s">
        <v>1380</v>
      </c>
      <c r="C17671" s="111" t="s">
        <v>29433</v>
      </c>
      <c r="D17671" s="111" t="str">
        <f t="shared" ref="D17671:E17671" si="17669">TRIM(B17671)</f>
        <v>Wyoming</v>
      </c>
      <c r="E17671" s="111" t="str">
        <f t="shared" si="17669"/>
        <v>Gillette</v>
      </c>
    </row>
    <row r="17672" spans="1:5">
      <c r="A17672" s="3" t="s">
        <v>29435</v>
      </c>
      <c r="B17672" s="110" t="s">
        <v>1380</v>
      </c>
      <c r="C17672" s="111" t="s">
        <v>29436</v>
      </c>
      <c r="D17672" s="111" t="str">
        <f t="shared" ref="D17672:E17672" si="17670">TRIM(B17672)</f>
        <v>Wyoming</v>
      </c>
      <c r="E17672" s="111" t="str">
        <f t="shared" si="17670"/>
        <v>Glenrock</v>
      </c>
    </row>
    <row r="17673" spans="1:5">
      <c r="A17673" s="3" t="s">
        <v>29437</v>
      </c>
      <c r="B17673" s="110" t="s">
        <v>1380</v>
      </c>
      <c r="C17673" s="111" t="s">
        <v>27909</v>
      </c>
      <c r="D17673" s="111" t="str">
        <f t="shared" ref="D17673:E17673" si="17671">TRIM(B17673)</f>
        <v>Wyoming</v>
      </c>
      <c r="E17673" s="111" t="str">
        <f t="shared" si="17671"/>
        <v>Green River</v>
      </c>
    </row>
    <row r="17674" spans="1:5">
      <c r="A17674" s="3" t="s">
        <v>27908</v>
      </c>
      <c r="B17674" s="110" t="s">
        <v>1380</v>
      </c>
      <c r="C17674" s="111" t="s">
        <v>27909</v>
      </c>
      <c r="D17674" s="111" t="str">
        <f t="shared" ref="D17674:E17674" si="17672">TRIM(B17674)</f>
        <v>Wyoming</v>
      </c>
      <c r="E17674" s="111" t="str">
        <f t="shared" si="17672"/>
        <v>Green River</v>
      </c>
    </row>
    <row r="17675" spans="1:5">
      <c r="A17675" s="3" t="s">
        <v>29438</v>
      </c>
      <c r="B17675" s="110" t="s">
        <v>1380</v>
      </c>
      <c r="C17675" s="111" t="s">
        <v>29439</v>
      </c>
      <c r="D17675" s="111" t="str">
        <f t="shared" ref="D17675:E17675" si="17673">TRIM(B17675)</f>
        <v>Wyoming</v>
      </c>
      <c r="E17675" s="111" t="str">
        <f t="shared" si="17673"/>
        <v>Greybull</v>
      </c>
    </row>
    <row r="17676" spans="1:5">
      <c r="A17676" s="3" t="s">
        <v>29440</v>
      </c>
      <c r="B17676" s="110" t="s">
        <v>1380</v>
      </c>
      <c r="C17676" s="111" t="s">
        <v>29441</v>
      </c>
      <c r="D17676" s="111" t="str">
        <f t="shared" ref="D17676:E17676" si="17674">TRIM(B17676)</f>
        <v>Wyoming</v>
      </c>
      <c r="E17676" s="111" t="str">
        <f t="shared" si="17674"/>
        <v>Guernsey</v>
      </c>
    </row>
    <row r="17677" spans="1:5">
      <c r="A17677" s="3" t="s">
        <v>29442</v>
      </c>
      <c r="B17677" s="110" t="s">
        <v>1380</v>
      </c>
      <c r="C17677" s="111" t="s">
        <v>23832</v>
      </c>
      <c r="D17677" s="111" t="str">
        <f t="shared" ref="D17677:E17677" si="17675">TRIM(B17677)</f>
        <v>Wyoming</v>
      </c>
      <c r="E17677" s="111" t="str">
        <f t="shared" si="17675"/>
        <v>Hanna</v>
      </c>
    </row>
    <row r="17678" spans="1:5">
      <c r="A17678" s="3" t="s">
        <v>29443</v>
      </c>
      <c r="B17678" s="110" t="s">
        <v>1380</v>
      </c>
      <c r="C17678" s="111" t="s">
        <v>297</v>
      </c>
      <c r="D17678" s="111" t="str">
        <f t="shared" ref="D17678:E17678" si="17676">TRIM(B17678)</f>
        <v>Wyoming</v>
      </c>
      <c r="E17678" s="111" t="str">
        <f t="shared" si="17676"/>
        <v>Jackson</v>
      </c>
    </row>
    <row r="17679" spans="1:5">
      <c r="A17679" s="110" t="s">
        <v>29444</v>
      </c>
      <c r="B17679" s="110" t="s">
        <v>1380</v>
      </c>
      <c r="C17679" s="111" t="s">
        <v>297</v>
      </c>
      <c r="D17679" s="111" t="str">
        <f t="shared" ref="D17679:E17679" si="17677">TRIM(B17679)</f>
        <v>Wyoming</v>
      </c>
      <c r="E17679" s="111" t="str">
        <f t="shared" si="17677"/>
        <v>Jackson</v>
      </c>
    </row>
    <row r="17680" spans="1:5">
      <c r="A17680" s="3" t="s">
        <v>29445</v>
      </c>
      <c r="B17680" s="110" t="s">
        <v>1380</v>
      </c>
      <c r="C17680" s="111" t="s">
        <v>29446</v>
      </c>
      <c r="D17680" s="111" t="str">
        <f t="shared" ref="D17680:E17680" si="17678">TRIM(B17680)</f>
        <v>Wyoming</v>
      </c>
      <c r="E17680" s="111" t="str">
        <f t="shared" si="17678"/>
        <v>Lander</v>
      </c>
    </row>
    <row r="17681" spans="1:5">
      <c r="A17681" s="3" t="s">
        <v>29447</v>
      </c>
      <c r="B17681" s="110" t="s">
        <v>1380</v>
      </c>
      <c r="C17681" s="111" t="s">
        <v>29446</v>
      </c>
      <c r="D17681" s="111" t="str">
        <f t="shared" ref="D17681:E17681" si="17679">TRIM(B17681)</f>
        <v>Wyoming</v>
      </c>
      <c r="E17681" s="111" t="str">
        <f t="shared" si="17679"/>
        <v>Lander</v>
      </c>
    </row>
    <row r="17682" spans="1:5">
      <c r="A17682" s="3" t="s">
        <v>29448</v>
      </c>
      <c r="B17682" s="110" t="s">
        <v>1380</v>
      </c>
      <c r="C17682" s="111" t="s">
        <v>29449</v>
      </c>
      <c r="D17682" s="111" t="str">
        <f t="shared" ref="D17682:E17682" si="17680">TRIM(B17682)</f>
        <v>Wyoming</v>
      </c>
      <c r="E17682" s="111" t="str">
        <f t="shared" si="17680"/>
        <v>Laramie</v>
      </c>
    </row>
    <row r="17683" spans="1:5">
      <c r="A17683" s="3" t="s">
        <v>14669</v>
      </c>
      <c r="B17683" s="110" t="s">
        <v>1380</v>
      </c>
      <c r="C17683" s="111" t="s">
        <v>29449</v>
      </c>
      <c r="D17683" s="111" t="str">
        <f t="shared" ref="D17683:E17683" si="17681">TRIM(B17683)</f>
        <v>Wyoming</v>
      </c>
      <c r="E17683" s="111" t="str">
        <f t="shared" si="17681"/>
        <v>Laramie</v>
      </c>
    </row>
    <row r="17684" spans="1:5">
      <c r="A17684" s="3" t="s">
        <v>29450</v>
      </c>
      <c r="B17684" s="110" t="s">
        <v>1380</v>
      </c>
      <c r="C17684" s="111" t="s">
        <v>29451</v>
      </c>
      <c r="D17684" s="111" t="str">
        <f t="shared" ref="D17684:E17684" si="17682">TRIM(B17684)</f>
        <v>Wyoming</v>
      </c>
      <c r="E17684" s="111" t="str">
        <f t="shared" si="17682"/>
        <v>Lingle</v>
      </c>
    </row>
    <row r="17685" spans="1:5">
      <c r="A17685" s="3" t="s">
        <v>29452</v>
      </c>
      <c r="B17685" s="110" t="s">
        <v>1380</v>
      </c>
      <c r="C17685" s="111" t="s">
        <v>29453</v>
      </c>
      <c r="D17685" s="111" t="str">
        <f t="shared" ref="D17685:E17685" si="17683">TRIM(B17685)</f>
        <v>Wyoming</v>
      </c>
      <c r="E17685" s="111" t="str">
        <f t="shared" si="17683"/>
        <v>Lovell</v>
      </c>
    </row>
    <row r="17686" spans="1:5">
      <c r="A17686" s="3" t="s">
        <v>29454</v>
      </c>
      <c r="B17686" s="110" t="s">
        <v>1380</v>
      </c>
      <c r="C17686" s="111" t="s">
        <v>29455</v>
      </c>
      <c r="D17686" s="111" t="str">
        <f t="shared" ref="D17686:E17686" si="17684">TRIM(B17686)</f>
        <v>Wyoming</v>
      </c>
      <c r="E17686" s="111" t="str">
        <f t="shared" si="17684"/>
        <v>Lusk</v>
      </c>
    </row>
    <row r="17687" spans="1:5">
      <c r="A17687" s="3" t="s">
        <v>9564</v>
      </c>
      <c r="B17687" s="110" t="s">
        <v>1380</v>
      </c>
      <c r="C17687" s="111" t="s">
        <v>29456</v>
      </c>
      <c r="D17687" s="111" t="str">
        <f t="shared" ref="D17687:E17687" si="17685">TRIM(B17687)</f>
        <v>Wyoming</v>
      </c>
      <c r="E17687" s="111" t="str">
        <f t="shared" si="17685"/>
        <v>Lyman</v>
      </c>
    </row>
    <row r="17688" spans="1:5">
      <c r="A17688" s="3" t="s">
        <v>29457</v>
      </c>
      <c r="B17688" s="110" t="s">
        <v>1380</v>
      </c>
      <c r="C17688" s="111" t="s">
        <v>29458</v>
      </c>
      <c r="D17688" s="111" t="str">
        <f t="shared" ref="D17688:E17688" si="17686">TRIM(B17688)</f>
        <v>Wyoming</v>
      </c>
      <c r="E17688" s="111" t="str">
        <f t="shared" si="17686"/>
        <v>Moorcroft</v>
      </c>
    </row>
    <row r="17689" spans="1:5">
      <c r="A17689" s="3" t="s">
        <v>2842</v>
      </c>
      <c r="B17689" s="110" t="s">
        <v>1380</v>
      </c>
      <c r="C17689" s="111" t="s">
        <v>4059</v>
      </c>
      <c r="D17689" s="111" t="str">
        <f t="shared" ref="D17689:E17689" si="17687">TRIM(B17689)</f>
        <v>Wyoming</v>
      </c>
      <c r="E17689" s="111" t="str">
        <f t="shared" si="17687"/>
        <v>Mountain View</v>
      </c>
    </row>
    <row r="17690" spans="1:5">
      <c r="A17690" s="3" t="s">
        <v>23946</v>
      </c>
      <c r="B17690" s="110" t="s">
        <v>1380</v>
      </c>
      <c r="C17690" s="111" t="s">
        <v>11016</v>
      </c>
      <c r="D17690" s="111" t="str">
        <f t="shared" ref="D17690:E17690" si="17688">TRIM(B17690)</f>
        <v>Wyoming</v>
      </c>
      <c r="E17690" s="111" t="str">
        <f t="shared" si="17688"/>
        <v>Newcastle</v>
      </c>
    </row>
    <row r="17691" spans="1:5">
      <c r="A17691" s="3" t="s">
        <v>29459</v>
      </c>
      <c r="B17691" s="110" t="s">
        <v>1380</v>
      </c>
      <c r="C17691" s="111" t="s">
        <v>29460</v>
      </c>
      <c r="D17691" s="111" t="str">
        <f t="shared" ref="D17691:E17691" si="17689">TRIM(B17691)</f>
        <v>Wyoming</v>
      </c>
      <c r="E17691" s="111" t="str">
        <f t="shared" si="17689"/>
        <v>Pavillion</v>
      </c>
    </row>
    <row r="17692" spans="1:5">
      <c r="A17692" s="3" t="s">
        <v>29461</v>
      </c>
      <c r="B17692" s="110" t="s">
        <v>1380</v>
      </c>
      <c r="C17692" s="112" t="s">
        <v>29460</v>
      </c>
      <c r="D17692" s="111" t="str">
        <f t="shared" ref="D17692:E17692" si="17690">TRIM(B17692)</f>
        <v>Wyoming</v>
      </c>
      <c r="E17692" s="111" t="str">
        <f t="shared" si="17690"/>
        <v>Pavillion</v>
      </c>
    </row>
    <row r="17693" spans="1:5">
      <c r="A17693" s="3" t="s">
        <v>29462</v>
      </c>
      <c r="B17693" s="110" t="s">
        <v>1380</v>
      </c>
      <c r="C17693" s="111" t="s">
        <v>29463</v>
      </c>
      <c r="D17693" s="111" t="str">
        <f t="shared" ref="D17693:E17693" si="17691">TRIM(B17693)</f>
        <v>Wyoming</v>
      </c>
      <c r="E17693" s="111" t="str">
        <f t="shared" si="17691"/>
        <v>Pine Bluffs</v>
      </c>
    </row>
    <row r="17694" spans="1:5">
      <c r="A17694" s="3" t="s">
        <v>29464</v>
      </c>
      <c r="B17694" s="110" t="s">
        <v>1380</v>
      </c>
      <c r="C17694" s="111" t="s">
        <v>29465</v>
      </c>
      <c r="D17694" s="111" t="str">
        <f t="shared" ref="D17694:E17694" si="17692">TRIM(B17694)</f>
        <v>Wyoming</v>
      </c>
      <c r="E17694" s="111" t="str">
        <f t="shared" si="17692"/>
        <v>Pinedale</v>
      </c>
    </row>
    <row r="17695" spans="1:5">
      <c r="A17695" s="3" t="s">
        <v>2853</v>
      </c>
      <c r="B17695" s="110" t="s">
        <v>1380</v>
      </c>
      <c r="C17695" s="111" t="s">
        <v>29465</v>
      </c>
      <c r="D17695" s="111" t="str">
        <f t="shared" ref="D17695:E17695" si="17693">TRIM(B17695)</f>
        <v>Wyoming</v>
      </c>
      <c r="E17695" s="111" t="str">
        <f t="shared" si="17693"/>
        <v>Pinedale</v>
      </c>
    </row>
    <row r="17696" spans="1:5">
      <c r="A17696" s="3" t="s">
        <v>26076</v>
      </c>
      <c r="B17696" s="110" t="s">
        <v>1380</v>
      </c>
      <c r="C17696" s="111" t="s">
        <v>12898</v>
      </c>
      <c r="D17696" s="111" t="str">
        <f t="shared" ref="D17696:E17696" si="17694">TRIM(B17696)</f>
        <v>Wyoming</v>
      </c>
      <c r="E17696" s="111" t="str">
        <f t="shared" si="17694"/>
        <v>Powell</v>
      </c>
    </row>
    <row r="17697" spans="1:5">
      <c r="A17697" s="110" t="s">
        <v>29466</v>
      </c>
      <c r="B17697" s="110" t="s">
        <v>1380</v>
      </c>
      <c r="C17697" s="111" t="s">
        <v>12898</v>
      </c>
      <c r="D17697" s="111" t="str">
        <f t="shared" ref="D17697:E17697" si="17695">TRIM(B17697)</f>
        <v>Wyoming</v>
      </c>
      <c r="E17697" s="111" t="str">
        <f t="shared" si="17695"/>
        <v>Powell</v>
      </c>
    </row>
    <row r="17698" spans="1:5">
      <c r="A17698" s="3" t="s">
        <v>29467</v>
      </c>
      <c r="B17698" s="110" t="s">
        <v>1380</v>
      </c>
      <c r="C17698" s="111" t="s">
        <v>29468</v>
      </c>
      <c r="D17698" s="111" t="str">
        <f t="shared" ref="D17698:E17698" si="17696">TRIM(B17698)</f>
        <v>Wyoming</v>
      </c>
      <c r="E17698" s="111" t="str">
        <f t="shared" si="17696"/>
        <v>Rawlins</v>
      </c>
    </row>
    <row r="17699" spans="1:5">
      <c r="A17699" s="3" t="s">
        <v>29469</v>
      </c>
      <c r="B17699" s="110" t="s">
        <v>1380</v>
      </c>
      <c r="C17699" s="111" t="s">
        <v>29468</v>
      </c>
      <c r="D17699" s="111" t="str">
        <f t="shared" ref="D17699:E17699" si="17697">TRIM(B17699)</f>
        <v>Wyoming</v>
      </c>
      <c r="E17699" s="111" t="str">
        <f t="shared" si="17697"/>
        <v>Rawlins</v>
      </c>
    </row>
    <row r="17700" spans="1:5">
      <c r="A17700" s="3" t="s">
        <v>29470</v>
      </c>
      <c r="B17700" s="110" t="s">
        <v>1380</v>
      </c>
      <c r="C17700" s="111" t="s">
        <v>13695</v>
      </c>
      <c r="D17700" s="111" t="str">
        <f t="shared" ref="D17700:E17700" si="17698">TRIM(B17700)</f>
        <v>Wyoming</v>
      </c>
      <c r="E17700" s="111" t="str">
        <f t="shared" si="17698"/>
        <v>Riverton</v>
      </c>
    </row>
    <row r="17701" spans="1:5">
      <c r="A17701" s="3" t="s">
        <v>13694</v>
      </c>
      <c r="B17701" s="110" t="s">
        <v>1380</v>
      </c>
      <c r="C17701" s="111" t="s">
        <v>13695</v>
      </c>
      <c r="D17701" s="111" t="str">
        <f t="shared" ref="D17701:E17701" si="17699">TRIM(B17701)</f>
        <v>Wyoming</v>
      </c>
      <c r="E17701" s="111" t="str">
        <f t="shared" si="17699"/>
        <v>Riverton</v>
      </c>
    </row>
    <row r="17702" spans="1:5">
      <c r="A17702" s="3" t="s">
        <v>29471</v>
      </c>
      <c r="B17702" s="110" t="s">
        <v>1380</v>
      </c>
      <c r="C17702" s="111" t="s">
        <v>29472</v>
      </c>
      <c r="D17702" s="111" t="str">
        <f t="shared" ref="D17702:E17702" si="17700">TRIM(B17702)</f>
        <v>Wyoming</v>
      </c>
      <c r="E17702" s="111" t="str">
        <f t="shared" si="17700"/>
        <v>Rock River</v>
      </c>
    </row>
    <row r="17703" spans="1:5">
      <c r="A17703" s="3" t="s">
        <v>29473</v>
      </c>
      <c r="B17703" s="110" t="s">
        <v>1380</v>
      </c>
      <c r="C17703" s="111" t="s">
        <v>29474</v>
      </c>
      <c r="D17703" s="111" t="str">
        <f t="shared" ref="D17703:E17703" si="17701">TRIM(B17703)</f>
        <v>Wyoming</v>
      </c>
      <c r="E17703" s="111" t="str">
        <f t="shared" si="17701"/>
        <v>Rock Springs</v>
      </c>
    </row>
    <row r="17704" spans="1:5">
      <c r="A17704" s="3" t="s">
        <v>29475</v>
      </c>
      <c r="B17704" s="110" t="s">
        <v>1380</v>
      </c>
      <c r="C17704" s="111" t="s">
        <v>29474</v>
      </c>
      <c r="D17704" s="111" t="str">
        <f t="shared" ref="D17704:E17704" si="17702">TRIM(B17704)</f>
        <v>Wyoming</v>
      </c>
      <c r="E17704" s="111" t="str">
        <f t="shared" si="17702"/>
        <v>Rock Springs</v>
      </c>
    </row>
    <row r="17705" spans="1:5">
      <c r="A17705" s="3" t="s">
        <v>29476</v>
      </c>
      <c r="B17705" s="110" t="s">
        <v>1380</v>
      </c>
      <c r="C17705" s="111" t="s">
        <v>7105</v>
      </c>
      <c r="D17705" s="111" t="str">
        <f t="shared" ref="D17705:E17705" si="17703">TRIM(B17705)</f>
        <v>Wyoming</v>
      </c>
      <c r="E17705" s="111" t="str">
        <f t="shared" si="17703"/>
        <v>Saratoga</v>
      </c>
    </row>
    <row r="17706" spans="1:5">
      <c r="A17706" s="110" t="s">
        <v>29477</v>
      </c>
      <c r="B17706" s="110" t="s">
        <v>1380</v>
      </c>
      <c r="C17706" s="111" t="s">
        <v>4187</v>
      </c>
      <c r="D17706" s="111" t="str">
        <f t="shared" ref="D17706:E17706" si="17704">TRIM(B17706)</f>
        <v>Wyoming</v>
      </c>
      <c r="E17706" s="111" t="str">
        <f t="shared" si="17704"/>
        <v>Sheridan</v>
      </c>
    </row>
    <row r="17707" spans="1:5">
      <c r="A17707" s="3" t="s">
        <v>4186</v>
      </c>
      <c r="B17707" s="110" t="s">
        <v>1380</v>
      </c>
      <c r="C17707" s="111" t="s">
        <v>4187</v>
      </c>
      <c r="D17707" s="111" t="str">
        <f t="shared" ref="D17707:E17707" si="17705">TRIM(B17707)</f>
        <v>Wyoming</v>
      </c>
      <c r="E17707" s="111" t="str">
        <f t="shared" si="17705"/>
        <v>Sheridan</v>
      </c>
    </row>
    <row r="17708" spans="1:5">
      <c r="A17708" s="3" t="s">
        <v>29478</v>
      </c>
      <c r="B17708" s="110" t="s">
        <v>1380</v>
      </c>
      <c r="C17708" s="111" t="s">
        <v>29479</v>
      </c>
      <c r="D17708" s="111" t="str">
        <f t="shared" ref="D17708:E17708" si="17706">TRIM(B17708)</f>
        <v>Wyoming</v>
      </c>
      <c r="E17708" s="111" t="str">
        <f t="shared" si="17706"/>
        <v>Shoshoni</v>
      </c>
    </row>
    <row r="17709" spans="1:5">
      <c r="A17709" s="110" t="s">
        <v>29480</v>
      </c>
      <c r="B17709" s="110" t="s">
        <v>1380</v>
      </c>
      <c r="C17709" s="111" t="s">
        <v>29481</v>
      </c>
      <c r="D17709" s="111" t="str">
        <f t="shared" ref="D17709:E17709" si="17707">TRIM(B17709)</f>
        <v>Wyoming</v>
      </c>
      <c r="E17709" s="111" t="str">
        <f t="shared" si="17707"/>
        <v>Sundance</v>
      </c>
    </row>
    <row r="17710" spans="1:5">
      <c r="A17710" s="3" t="s">
        <v>29482</v>
      </c>
      <c r="B17710" s="110" t="s">
        <v>1380</v>
      </c>
      <c r="C17710" s="111" t="s">
        <v>29483</v>
      </c>
      <c r="D17710" s="111" t="str">
        <f t="shared" ref="D17710:E17710" si="17708">TRIM(B17710)</f>
        <v>Wyoming</v>
      </c>
      <c r="E17710" s="111" t="str">
        <f t="shared" si="17708"/>
        <v>Thermopolis</v>
      </c>
    </row>
    <row r="17711" spans="1:5">
      <c r="A17711" s="3" t="s">
        <v>8707</v>
      </c>
      <c r="B17711" s="110" t="s">
        <v>1380</v>
      </c>
      <c r="C17711" s="111" t="s">
        <v>8708</v>
      </c>
      <c r="D17711" s="111" t="str">
        <f t="shared" ref="D17711:E17711" si="17709">TRIM(B17711)</f>
        <v>Wyoming</v>
      </c>
      <c r="E17711" s="111" t="str">
        <f t="shared" si="17709"/>
        <v>Torrington</v>
      </c>
    </row>
    <row r="17712" spans="1:5">
      <c r="A17712" s="3" t="s">
        <v>29484</v>
      </c>
      <c r="B17712" s="110" t="s">
        <v>1380</v>
      </c>
      <c r="C17712" s="111" t="s">
        <v>16875</v>
      </c>
      <c r="D17712" s="111" t="str">
        <f t="shared" ref="D17712:E17712" si="17710">TRIM(B17712)</f>
        <v>Wyoming</v>
      </c>
      <c r="E17712" s="111" t="str">
        <f t="shared" si="17710"/>
        <v>Upton</v>
      </c>
    </row>
    <row r="17713" spans="1:5">
      <c r="A17713" s="3" t="s">
        <v>29485</v>
      </c>
      <c r="B17713" s="110" t="s">
        <v>1380</v>
      </c>
      <c r="C17713" s="111" t="s">
        <v>7487</v>
      </c>
      <c r="D17713" s="111" t="str">
        <f t="shared" ref="D17713:E17713" si="17711">TRIM(B17713)</f>
        <v>Wyoming</v>
      </c>
      <c r="E17713" s="111" t="str">
        <f t="shared" si="17711"/>
        <v>Wheatland</v>
      </c>
    </row>
    <row r="17714" spans="1:5">
      <c r="A17714" s="3" t="s">
        <v>29486</v>
      </c>
      <c r="B17714" s="110" t="s">
        <v>1380</v>
      </c>
      <c r="C17714" s="111" t="s">
        <v>7487</v>
      </c>
      <c r="D17714" s="111" t="str">
        <f t="shared" ref="D17714:E17714" si="17712">TRIM(B17714)</f>
        <v>Wyoming</v>
      </c>
      <c r="E17714" s="111" t="str">
        <f t="shared" si="17712"/>
        <v>Wheatland</v>
      </c>
    </row>
    <row r="17715" spans="1:5">
      <c r="A17715" s="3" t="s">
        <v>29487</v>
      </c>
      <c r="B17715" s="110" t="s">
        <v>1380</v>
      </c>
      <c r="C17715" s="111" t="s">
        <v>7487</v>
      </c>
      <c r="D17715" s="111" t="str">
        <f t="shared" ref="D17715:E17715" si="17713">TRIM(B17715)</f>
        <v>Wyoming</v>
      </c>
      <c r="E17715" s="111" t="str">
        <f t="shared" si="17713"/>
        <v>Wheatland</v>
      </c>
    </row>
    <row r="17716" spans="1:5">
      <c r="A17716" s="3" t="s">
        <v>15288</v>
      </c>
      <c r="B17716" s="110" t="s">
        <v>1380</v>
      </c>
      <c r="C17716" s="111" t="s">
        <v>7487</v>
      </c>
      <c r="D17716" s="111" t="str">
        <f t="shared" ref="D17716:E17716" si="17714">TRIM(B17716)</f>
        <v>Wyoming</v>
      </c>
      <c r="E17716" s="111" t="str">
        <f t="shared" si="17714"/>
        <v>Wheatland</v>
      </c>
    </row>
    <row r="17717" spans="1:5">
      <c r="A17717" s="3" t="s">
        <v>29488</v>
      </c>
      <c r="B17717" s="110" t="s">
        <v>1380</v>
      </c>
      <c r="C17717" s="111" t="s">
        <v>6645</v>
      </c>
      <c r="D17717" s="111" t="str">
        <f t="shared" ref="D17717:E17717" si="17715">TRIM(B17717)</f>
        <v>Wyoming</v>
      </c>
      <c r="E17717" s="111" t="str">
        <f t="shared" si="17715"/>
        <v>Worland</v>
      </c>
    </row>
    <row r="17718" spans="1:5">
      <c r="A17718" s="3" t="s">
        <v>29489</v>
      </c>
      <c r="B17718" s="110" t="s">
        <v>1380</v>
      </c>
      <c r="C17718" s="111" t="s">
        <v>29490</v>
      </c>
      <c r="D17718" s="111" t="str">
        <f t="shared" ref="D17718:E17718" si="17716">TRIM(B17718)</f>
        <v>Wyoming</v>
      </c>
      <c r="E17718" s="111" t="str">
        <f t="shared" si="17716"/>
        <v>Wright</v>
      </c>
    </row>
    <row r="17719" spans="1:5">
      <c r="A17719" s="3" t="s">
        <v>8999</v>
      </c>
      <c r="B17719" s="110" t="s">
        <v>1380</v>
      </c>
      <c r="C17719" s="111" t="s">
        <v>8322</v>
      </c>
      <c r="D17719" s="111" t="str">
        <f t="shared" ref="D17719:E17719" si="17717">TRIM(B17719)</f>
        <v>Wyoming</v>
      </c>
      <c r="E17719" s="111" t="str">
        <f t="shared" si="17717"/>
        <v>Yoder</v>
      </c>
    </row>
  </sheetData>
  <autoFilter ref="A1:A17719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2156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4.44140625" defaultRowHeight="15.75" customHeight="1"/>
  <cols>
    <col min="1" max="1" width="62.6640625" customWidth="1"/>
    <col min="2" max="2" width="25.6640625" customWidth="1"/>
    <col min="3" max="3" width="27.33203125" customWidth="1"/>
  </cols>
  <sheetData>
    <row r="1" spans="1:7">
      <c r="A1" s="14" t="s">
        <v>1465</v>
      </c>
      <c r="B1" s="14" t="s">
        <v>8953</v>
      </c>
      <c r="C1" s="14" t="s">
        <v>8954</v>
      </c>
      <c r="D1" s="14" t="s">
        <v>1468</v>
      </c>
      <c r="E1" s="14" t="s">
        <v>1469</v>
      </c>
    </row>
    <row r="2" spans="1:7">
      <c r="A2" s="111" t="s">
        <v>8957</v>
      </c>
      <c r="B2" s="111" t="s">
        <v>1317</v>
      </c>
      <c r="C2" s="111" t="s">
        <v>2253</v>
      </c>
      <c r="D2" s="2" t="str">
        <f t="shared" ref="D2:E2" si="0">TRIM(B2)</f>
        <v>Alabama</v>
      </c>
      <c r="E2" s="2" t="str">
        <f t="shared" si="0"/>
        <v>Valley</v>
      </c>
    </row>
    <row r="3" spans="1:7">
      <c r="A3" s="111" t="s">
        <v>8960</v>
      </c>
      <c r="B3" s="111" t="s">
        <v>1317</v>
      </c>
      <c r="C3" s="111" t="s">
        <v>612</v>
      </c>
      <c r="D3" s="2" t="str">
        <f t="shared" ref="D3:E3" si="1">TRIM(B3)</f>
        <v>Alabama</v>
      </c>
      <c r="E3" s="2" t="str">
        <f t="shared" si="1"/>
        <v>Birmingham</v>
      </c>
    </row>
    <row r="4" spans="1:7">
      <c r="A4" s="111" t="s">
        <v>8963</v>
      </c>
      <c r="B4" s="111" t="s">
        <v>1317</v>
      </c>
      <c r="C4" s="111" t="s">
        <v>2111</v>
      </c>
      <c r="D4" s="2" t="str">
        <f t="shared" ref="D4:E4" si="2">TRIM(B4)</f>
        <v>Alabama</v>
      </c>
      <c r="E4" s="2" t="str">
        <f t="shared" si="2"/>
        <v>Prattville</v>
      </c>
    </row>
    <row r="5" spans="1:7">
      <c r="A5" s="111" t="s">
        <v>8966</v>
      </c>
      <c r="B5" s="111" t="s">
        <v>1317</v>
      </c>
      <c r="C5" s="111" t="s">
        <v>1678</v>
      </c>
      <c r="D5" s="2" t="str">
        <f t="shared" ref="D5:E5" si="3">TRIM(B5)</f>
        <v>Alabama</v>
      </c>
      <c r="E5" s="2" t="str">
        <f t="shared" si="3"/>
        <v>Daphne</v>
      </c>
      <c r="G5" s="122"/>
    </row>
    <row r="6" spans="1:7">
      <c r="A6" s="111" t="s">
        <v>8971</v>
      </c>
      <c r="B6" s="111" t="s">
        <v>1317</v>
      </c>
      <c r="C6" s="111" t="s">
        <v>236</v>
      </c>
      <c r="D6" s="2" t="str">
        <f t="shared" ref="D6:E6" si="4">TRIM(B6)</f>
        <v>Alabama</v>
      </c>
      <c r="E6" s="2" t="str">
        <f t="shared" si="4"/>
        <v>Lafayette</v>
      </c>
      <c r="G6" s="122"/>
    </row>
    <row r="7" spans="1:7">
      <c r="A7" s="111" t="s">
        <v>8973</v>
      </c>
      <c r="B7" s="111" t="s">
        <v>1317</v>
      </c>
      <c r="C7" s="111" t="s">
        <v>8974</v>
      </c>
      <c r="D7" s="2" t="str">
        <f t="shared" ref="D7:E7" si="5">TRIM(B7)</f>
        <v>Alabama</v>
      </c>
      <c r="E7" s="2" t="str">
        <f t="shared" si="5"/>
        <v>Harpersville</v>
      </c>
      <c r="G7" s="122"/>
    </row>
    <row r="8" spans="1:7">
      <c r="A8" s="111" t="s">
        <v>8977</v>
      </c>
      <c r="B8" s="111" t="s">
        <v>1317</v>
      </c>
      <c r="C8" s="111" t="s">
        <v>612</v>
      </c>
      <c r="D8" s="2" t="str">
        <f t="shared" ref="D8:E8" si="6">TRIM(B8)</f>
        <v>Alabama</v>
      </c>
      <c r="E8" s="2" t="str">
        <f t="shared" si="6"/>
        <v>Birmingham</v>
      </c>
      <c r="G8" s="122"/>
    </row>
    <row r="9" spans="1:7">
      <c r="A9" s="111" t="s">
        <v>8980</v>
      </c>
      <c r="B9" s="111" t="s">
        <v>1317</v>
      </c>
      <c r="C9" s="111" t="s">
        <v>612</v>
      </c>
      <c r="D9" s="2" t="str">
        <f t="shared" ref="D9:E9" si="7">TRIM(B9)</f>
        <v>Alabama</v>
      </c>
      <c r="E9" s="2" t="str">
        <f t="shared" si="7"/>
        <v>Birmingham</v>
      </c>
      <c r="G9" s="122"/>
    </row>
    <row r="10" spans="1:7">
      <c r="A10" s="111" t="s">
        <v>8983</v>
      </c>
      <c r="B10" s="111" t="s">
        <v>1317</v>
      </c>
      <c r="C10" s="111" t="s">
        <v>8984</v>
      </c>
      <c r="D10" s="2" t="str">
        <f t="shared" ref="D10:E10" si="8">TRIM(B10)</f>
        <v>Alabama</v>
      </c>
      <c r="E10" s="2" t="str">
        <f t="shared" si="8"/>
        <v>Elmore</v>
      </c>
      <c r="G10" s="122"/>
    </row>
    <row r="11" spans="1:7">
      <c r="A11" s="111" t="s">
        <v>8986</v>
      </c>
      <c r="B11" s="111" t="s">
        <v>1317</v>
      </c>
      <c r="C11" s="111" t="s">
        <v>1804</v>
      </c>
      <c r="D11" s="2" t="str">
        <f t="shared" ref="D11:E11" si="9">TRIM(B11)</f>
        <v>Alabama</v>
      </c>
      <c r="E11" s="2" t="str">
        <f t="shared" si="9"/>
        <v>Greenville</v>
      </c>
      <c r="G11" s="122"/>
    </row>
    <row r="12" spans="1:7">
      <c r="A12" s="111" t="s">
        <v>8988</v>
      </c>
      <c r="B12" s="111" t="s">
        <v>1317</v>
      </c>
      <c r="C12" s="111" t="s">
        <v>2176</v>
      </c>
      <c r="D12" s="2" t="str">
        <f t="shared" ref="D12:E12" si="10">TRIM(B12)</f>
        <v>Alabama</v>
      </c>
      <c r="E12" s="2" t="str">
        <f t="shared" si="10"/>
        <v>Smiths Station</v>
      </c>
      <c r="G12" s="122"/>
    </row>
    <row r="13" spans="1:7">
      <c r="A13" s="111" t="s">
        <v>8990</v>
      </c>
      <c r="B13" s="111" t="s">
        <v>1317</v>
      </c>
      <c r="C13" s="111" t="s">
        <v>8991</v>
      </c>
      <c r="D13" s="2" t="str">
        <f t="shared" ref="D13:E13" si="11">TRIM(B13)</f>
        <v>Alabama</v>
      </c>
      <c r="E13" s="2" t="str">
        <f t="shared" si="11"/>
        <v>Hope Hull</v>
      </c>
    </row>
    <row r="14" spans="1:7">
      <c r="A14" s="111" t="s">
        <v>8993</v>
      </c>
      <c r="B14" s="111" t="s">
        <v>1317</v>
      </c>
      <c r="C14" s="111" t="s">
        <v>448</v>
      </c>
      <c r="D14" s="2" t="str">
        <f t="shared" ref="D14:E14" si="12">TRIM(B14)</f>
        <v>Alabama</v>
      </c>
      <c r="E14" s="2" t="str">
        <f t="shared" si="12"/>
        <v>Dothan</v>
      </c>
    </row>
    <row r="15" spans="1:7">
      <c r="A15" s="111" t="s">
        <v>8995</v>
      </c>
      <c r="B15" s="111" t="s">
        <v>1317</v>
      </c>
      <c r="C15" s="111" t="s">
        <v>8996</v>
      </c>
      <c r="D15" s="2" t="str">
        <f t="shared" ref="D15:E15" si="13">TRIM(B15)</f>
        <v>Alabama</v>
      </c>
      <c r="E15" s="2" t="str">
        <f t="shared" si="13"/>
        <v>Indian Springs</v>
      </c>
    </row>
    <row r="16" spans="1:7">
      <c r="A16" s="111" t="s">
        <v>8998</v>
      </c>
      <c r="B16" s="111" t="s">
        <v>1317</v>
      </c>
      <c r="C16" s="111" t="s">
        <v>2157</v>
      </c>
      <c r="D16" s="2" t="str">
        <f t="shared" ref="D16:E16" si="14">TRIM(B16)</f>
        <v>Alabama</v>
      </c>
      <c r="E16" s="2" t="str">
        <f t="shared" si="14"/>
        <v>Selma</v>
      </c>
    </row>
    <row r="17" spans="1:5">
      <c r="A17" s="111" t="s">
        <v>9000</v>
      </c>
      <c r="B17" s="111" t="s">
        <v>1317</v>
      </c>
      <c r="C17" s="111" t="s">
        <v>211</v>
      </c>
      <c r="D17" s="2" t="str">
        <f t="shared" ref="D17:E17" si="15">TRIM(B17)</f>
        <v>Alabama</v>
      </c>
      <c r="E17" s="2" t="str">
        <f t="shared" si="15"/>
        <v>Auburn</v>
      </c>
    </row>
    <row r="18" spans="1:5">
      <c r="A18" s="111" t="s">
        <v>9002</v>
      </c>
      <c r="B18" s="111" t="s">
        <v>1317</v>
      </c>
      <c r="C18" s="111" t="s">
        <v>9003</v>
      </c>
      <c r="D18" s="2" t="str">
        <f t="shared" ref="D18:E18" si="16">TRIM(B18)</f>
        <v>Alabama</v>
      </c>
      <c r="E18" s="2" t="str">
        <f t="shared" si="16"/>
        <v>Lowndesboro</v>
      </c>
    </row>
    <row r="19" spans="1:5">
      <c r="A19" s="111" t="s">
        <v>9006</v>
      </c>
      <c r="B19" s="111" t="s">
        <v>1317</v>
      </c>
      <c r="C19" s="111" t="s">
        <v>9007</v>
      </c>
      <c r="D19" s="2" t="str">
        <f t="shared" ref="D19:E19" si="17">TRIM(B19)</f>
        <v>Alabama</v>
      </c>
      <c r="E19" s="2" t="str">
        <f t="shared" si="17"/>
        <v>Cecil</v>
      </c>
    </row>
    <row r="20" spans="1:5">
      <c r="A20" s="111" t="s">
        <v>9008</v>
      </c>
      <c r="B20" s="111" t="s">
        <v>1317</v>
      </c>
      <c r="C20" s="111" t="s">
        <v>298</v>
      </c>
      <c r="D20" s="2" t="str">
        <f t="shared" ref="D20:E20" si="18">TRIM(B20)</f>
        <v>Alabama</v>
      </c>
      <c r="E20" s="2" t="str">
        <f t="shared" si="18"/>
        <v>Linden</v>
      </c>
    </row>
    <row r="21" spans="1:5">
      <c r="A21" s="111" t="s">
        <v>9010</v>
      </c>
      <c r="B21" s="111" t="s">
        <v>1317</v>
      </c>
      <c r="C21" s="111" t="s">
        <v>3995</v>
      </c>
      <c r="D21" s="2" t="str">
        <f t="shared" ref="D21:E21" si="19">TRIM(B21)</f>
        <v>Alabama</v>
      </c>
      <c r="E21" s="2" t="str">
        <f t="shared" si="19"/>
        <v>Marion</v>
      </c>
    </row>
    <row r="22" spans="1:5">
      <c r="A22" s="111" t="s">
        <v>9011</v>
      </c>
      <c r="B22" s="111" t="s">
        <v>1317</v>
      </c>
      <c r="C22" s="111" t="s">
        <v>1975</v>
      </c>
      <c r="D22" s="2" t="str">
        <f t="shared" ref="D22:E22" si="20">TRIM(B22)</f>
        <v>Alabama</v>
      </c>
      <c r="E22" s="2" t="str">
        <f t="shared" si="20"/>
        <v>Monroeville</v>
      </c>
    </row>
    <row r="23" spans="1:5">
      <c r="A23" s="111" t="s">
        <v>9015</v>
      </c>
      <c r="B23" s="111" t="s">
        <v>1317</v>
      </c>
      <c r="C23" s="111" t="s">
        <v>1600</v>
      </c>
      <c r="D23" s="2" t="str">
        <f t="shared" ref="D23:E23" si="21">TRIM(B23)</f>
        <v>Alabama</v>
      </c>
      <c r="E23" s="2" t="str">
        <f t="shared" si="21"/>
        <v>Butler</v>
      </c>
    </row>
    <row r="24" spans="1:5">
      <c r="A24" s="111" t="s">
        <v>9017</v>
      </c>
      <c r="B24" s="111" t="s">
        <v>1317</v>
      </c>
      <c r="C24" s="111" t="s">
        <v>5618</v>
      </c>
      <c r="D24" s="2" t="str">
        <f t="shared" ref="D24:E24" si="22">TRIM(B24)</f>
        <v>Alabama</v>
      </c>
      <c r="E24" s="2" t="str">
        <f t="shared" si="22"/>
        <v>Carrollton</v>
      </c>
    </row>
    <row r="25" spans="1:5">
      <c r="A25" s="111" t="s">
        <v>9019</v>
      </c>
      <c r="B25" s="111" t="s">
        <v>1317</v>
      </c>
      <c r="C25" s="111" t="s">
        <v>472</v>
      </c>
      <c r="D25" s="2" t="str">
        <f t="shared" ref="D25:E25" si="23">TRIM(B25)</f>
        <v>Alabama</v>
      </c>
      <c r="E25" s="2" t="str">
        <f t="shared" si="23"/>
        <v>Huntsville</v>
      </c>
    </row>
    <row r="26" spans="1:5">
      <c r="A26" s="111" t="s">
        <v>9021</v>
      </c>
      <c r="B26" s="111" t="s">
        <v>1317</v>
      </c>
      <c r="C26" s="111" t="s">
        <v>303</v>
      </c>
      <c r="D26" s="2" t="str">
        <f t="shared" ref="D26:E26" si="24">TRIM(B26)</f>
        <v>Alabama</v>
      </c>
      <c r="E26" s="2" t="str">
        <f t="shared" si="24"/>
        <v>Fairfield</v>
      </c>
    </row>
    <row r="27" spans="1:5">
      <c r="A27" s="111" t="s">
        <v>9026</v>
      </c>
      <c r="B27" s="111" t="s">
        <v>1317</v>
      </c>
      <c r="C27" s="111" t="s">
        <v>9027</v>
      </c>
      <c r="D27" s="2" t="str">
        <f t="shared" ref="D27:E27" si="25">TRIM(B27)</f>
        <v>Alabama</v>
      </c>
      <c r="E27" s="2" t="str">
        <f t="shared" si="25"/>
        <v>Toxey</v>
      </c>
    </row>
    <row r="28" spans="1:5">
      <c r="A28" s="111" t="s">
        <v>9030</v>
      </c>
      <c r="B28" s="111" t="s">
        <v>1317</v>
      </c>
      <c r="C28" s="112" t="s">
        <v>178</v>
      </c>
      <c r="D28" s="2" t="str">
        <f t="shared" ref="D28:E28" si="26">TRIM(B28)</f>
        <v>Alabama</v>
      </c>
      <c r="E28" s="2" t="str">
        <f t="shared" si="26"/>
        <v>Greensboro</v>
      </c>
    </row>
    <row r="29" spans="1:5">
      <c r="A29" s="111" t="s">
        <v>9033</v>
      </c>
      <c r="B29" s="111" t="s">
        <v>1317</v>
      </c>
      <c r="C29" s="111" t="s">
        <v>1737</v>
      </c>
      <c r="D29" s="2" t="str">
        <f t="shared" ref="D29:E29" si="27">TRIM(B29)</f>
        <v>Alabama</v>
      </c>
      <c r="E29" s="2" t="str">
        <f t="shared" si="27"/>
        <v>Evergreen</v>
      </c>
    </row>
    <row r="30" spans="1:5">
      <c r="A30" s="111" t="s">
        <v>9035</v>
      </c>
      <c r="B30" s="111" t="s">
        <v>1317</v>
      </c>
      <c r="C30" s="111" t="s">
        <v>1909</v>
      </c>
      <c r="D30" s="2" t="str">
        <f t="shared" ref="D30:E30" si="28">TRIM(B30)</f>
        <v>Alabama</v>
      </c>
      <c r="E30" s="2" t="str">
        <f t="shared" si="28"/>
        <v>Lanett</v>
      </c>
    </row>
    <row r="31" spans="1:5">
      <c r="A31" s="111" t="s">
        <v>9037</v>
      </c>
      <c r="B31" s="111" t="s">
        <v>1317</v>
      </c>
      <c r="C31" s="111" t="s">
        <v>1662</v>
      </c>
      <c r="D31" s="2" t="str">
        <f t="shared" ref="D31:E31" si="29">TRIM(B31)</f>
        <v>Alabama</v>
      </c>
      <c r="E31" s="2" t="str">
        <f t="shared" si="29"/>
        <v>Cullman</v>
      </c>
    </row>
    <row r="32" spans="1:5">
      <c r="A32" s="111" t="s">
        <v>9039</v>
      </c>
      <c r="B32" s="111" t="s">
        <v>1317</v>
      </c>
      <c r="C32" s="111" t="s">
        <v>1959</v>
      </c>
      <c r="D32" s="2" t="str">
        <f t="shared" ref="D32:E32" si="30">TRIM(B32)</f>
        <v>Alabama</v>
      </c>
      <c r="E32" s="2" t="str">
        <f t="shared" si="30"/>
        <v>Mobile</v>
      </c>
    </row>
    <row r="33" spans="1:5">
      <c r="A33" s="111" t="s">
        <v>9041</v>
      </c>
      <c r="B33" s="111" t="s">
        <v>1317</v>
      </c>
      <c r="C33" s="111" t="s">
        <v>612</v>
      </c>
      <c r="D33" s="2" t="str">
        <f t="shared" ref="D33:E33" si="31">TRIM(B33)</f>
        <v>Alabama</v>
      </c>
      <c r="E33" s="2" t="str">
        <f t="shared" si="31"/>
        <v>Birmingham</v>
      </c>
    </row>
    <row r="34" spans="1:5">
      <c r="A34" s="111" t="s">
        <v>9044</v>
      </c>
      <c r="B34" s="111" t="s">
        <v>1317</v>
      </c>
      <c r="C34" s="111" t="s">
        <v>2233</v>
      </c>
      <c r="D34" s="2" t="str">
        <f t="shared" ref="D34:E34" si="32">TRIM(B34)</f>
        <v>Alabama</v>
      </c>
      <c r="E34" s="2" t="str">
        <f t="shared" si="32"/>
        <v>Tuscaloosa</v>
      </c>
    </row>
    <row r="35" spans="1:5">
      <c r="A35" s="111" t="s">
        <v>9046</v>
      </c>
      <c r="B35" s="111" t="s">
        <v>1317</v>
      </c>
      <c r="C35" s="111" t="s">
        <v>1502</v>
      </c>
      <c r="D35" s="2" t="str">
        <f t="shared" ref="D35:E35" si="33">TRIM(B35)</f>
        <v>Alabama</v>
      </c>
      <c r="E35" s="2" t="str">
        <f t="shared" si="33"/>
        <v>Anniston</v>
      </c>
    </row>
    <row r="36" spans="1:5">
      <c r="A36" s="111" t="s">
        <v>9049</v>
      </c>
      <c r="B36" s="111" t="s">
        <v>1317</v>
      </c>
      <c r="C36" s="111" t="s">
        <v>297</v>
      </c>
      <c r="D36" s="2" t="str">
        <f t="shared" ref="D36:E36" si="34">TRIM(B36)</f>
        <v>Alabama</v>
      </c>
      <c r="E36" s="2" t="str">
        <f t="shared" si="34"/>
        <v>Jackson</v>
      </c>
    </row>
    <row r="37" spans="1:5">
      <c r="A37" s="111" t="s">
        <v>9052</v>
      </c>
      <c r="B37" s="111" t="s">
        <v>1317</v>
      </c>
      <c r="C37" s="112" t="s">
        <v>1730</v>
      </c>
      <c r="D37" s="2" t="str">
        <f t="shared" ref="D37:E37" si="35">TRIM(B37)</f>
        <v>Alabama</v>
      </c>
      <c r="E37" s="2" t="str">
        <f t="shared" si="35"/>
        <v>Eufaula</v>
      </c>
    </row>
    <row r="38" spans="1:5">
      <c r="A38" s="111" t="s">
        <v>9056</v>
      </c>
      <c r="B38" s="111" t="s">
        <v>1317</v>
      </c>
      <c r="C38" s="111" t="s">
        <v>2233</v>
      </c>
      <c r="D38" s="2" t="str">
        <f t="shared" ref="D38:E38" si="36">TRIM(B38)</f>
        <v>Alabama</v>
      </c>
      <c r="E38" s="2" t="str">
        <f t="shared" si="36"/>
        <v>Tuscaloosa</v>
      </c>
    </row>
    <row r="39" spans="1:5">
      <c r="A39" s="111" t="s">
        <v>9058</v>
      </c>
      <c r="B39" s="111" t="s">
        <v>1317</v>
      </c>
      <c r="C39" s="111" t="s">
        <v>612</v>
      </c>
      <c r="D39" s="2" t="str">
        <f t="shared" ref="D39:E39" si="37">TRIM(B39)</f>
        <v>Alabama</v>
      </c>
      <c r="E39" s="2" t="str">
        <f t="shared" si="37"/>
        <v>Birmingham</v>
      </c>
    </row>
    <row r="40" spans="1:5">
      <c r="A40" s="111" t="s">
        <v>9061</v>
      </c>
      <c r="B40" s="111" t="s">
        <v>1317</v>
      </c>
      <c r="C40" s="111" t="s">
        <v>773</v>
      </c>
      <c r="D40" s="2" t="str">
        <f t="shared" ref="D40:E40" si="38">TRIM(B40)</f>
        <v>Alabama</v>
      </c>
      <c r="E40" s="2" t="str">
        <f t="shared" si="38"/>
        <v>Camden</v>
      </c>
    </row>
    <row r="41" spans="1:5">
      <c r="A41" s="111" t="s">
        <v>9065</v>
      </c>
      <c r="B41" s="111" t="s">
        <v>1318</v>
      </c>
      <c r="C41" s="112" t="s">
        <v>2400</v>
      </c>
      <c r="D41" s="2" t="str">
        <f t="shared" ref="D41:E41" si="39">TRIM(B41)</f>
        <v>Alaska</v>
      </c>
      <c r="E41" s="2" t="str">
        <f t="shared" si="39"/>
        <v>Palmer</v>
      </c>
    </row>
    <row r="42" spans="1:5">
      <c r="A42" s="111" t="s">
        <v>9067</v>
      </c>
      <c r="B42" s="111" t="s">
        <v>1318</v>
      </c>
      <c r="C42" s="111" t="s">
        <v>2420</v>
      </c>
      <c r="D42" s="2" t="str">
        <f t="shared" ref="D42:E42" si="40">TRIM(B42)</f>
        <v>Alaska</v>
      </c>
      <c r="E42" s="2" t="str">
        <f t="shared" si="40"/>
        <v>Soldotna</v>
      </c>
    </row>
    <row r="43" spans="1:5">
      <c r="A43" s="111" t="s">
        <v>9069</v>
      </c>
      <c r="B43" s="111" t="s">
        <v>1318</v>
      </c>
      <c r="C43" s="111" t="s">
        <v>2291</v>
      </c>
      <c r="D43" s="2" t="str">
        <f t="shared" ref="D43:E43" si="41">TRIM(B43)</f>
        <v>Alaska</v>
      </c>
      <c r="E43" s="2" t="str">
        <f t="shared" si="41"/>
        <v>Anchorage</v>
      </c>
    </row>
    <row r="44" spans="1:5">
      <c r="A44" s="111" t="s">
        <v>9070</v>
      </c>
      <c r="B44" s="111" t="s">
        <v>1318</v>
      </c>
      <c r="C44" s="111" t="s">
        <v>2321</v>
      </c>
      <c r="D44" s="2" t="str">
        <f t="shared" ref="D44:E44" si="42">TRIM(B44)</f>
        <v>Alaska</v>
      </c>
      <c r="E44" s="2" t="str">
        <f t="shared" si="42"/>
        <v>Delta Junction</v>
      </c>
    </row>
    <row r="45" spans="1:5">
      <c r="A45" s="111" t="s">
        <v>9073</v>
      </c>
      <c r="B45" s="111" t="s">
        <v>1319</v>
      </c>
      <c r="C45" s="111" t="s">
        <v>1075</v>
      </c>
      <c r="D45" s="2" t="str">
        <f t="shared" ref="D45:E45" si="43">TRIM(B45)</f>
        <v>Arizona</v>
      </c>
      <c r="E45" s="2" t="str">
        <f t="shared" si="43"/>
        <v>Phoenix</v>
      </c>
    </row>
    <row r="46" spans="1:5">
      <c r="A46" s="111" t="s">
        <v>9076</v>
      </c>
      <c r="B46" s="111" t="s">
        <v>1319</v>
      </c>
      <c r="C46" s="111" t="s">
        <v>1075</v>
      </c>
      <c r="D46" s="2" t="str">
        <f t="shared" ref="D46:E46" si="44">TRIM(B46)</f>
        <v>Arizona</v>
      </c>
      <c r="E46" s="2" t="str">
        <f t="shared" si="44"/>
        <v>Phoenix</v>
      </c>
    </row>
    <row r="47" spans="1:5">
      <c r="A47" s="111" t="s">
        <v>9077</v>
      </c>
      <c r="B47" s="111" t="s">
        <v>1319</v>
      </c>
      <c r="C47" s="111" t="s">
        <v>2570</v>
      </c>
      <c r="D47" s="2" t="str">
        <f t="shared" ref="D47:E47" si="45">TRIM(B47)</f>
        <v>Arizona</v>
      </c>
      <c r="E47" s="2" t="str">
        <f t="shared" si="45"/>
        <v>Colorado City</v>
      </c>
    </row>
    <row r="48" spans="1:5">
      <c r="A48" s="111" t="s">
        <v>9080</v>
      </c>
      <c r="B48" s="111" t="s">
        <v>1319</v>
      </c>
      <c r="C48" s="111" t="s">
        <v>3379</v>
      </c>
      <c r="D48" s="2" t="str">
        <f t="shared" ref="D48:E48" si="46">TRIM(B48)</f>
        <v>Arizona</v>
      </c>
      <c r="E48" s="2" t="str">
        <f t="shared" si="46"/>
        <v>Tucson</v>
      </c>
    </row>
    <row r="49" spans="1:5">
      <c r="A49" s="111" t="s">
        <v>9082</v>
      </c>
      <c r="B49" s="111" t="s">
        <v>1319</v>
      </c>
      <c r="C49" s="111" t="s">
        <v>3222</v>
      </c>
      <c r="D49" s="2" t="str">
        <f t="shared" ref="D49:E49" si="47">TRIM(B49)</f>
        <v>Arizona</v>
      </c>
      <c r="E49" s="2" t="str">
        <f t="shared" si="47"/>
        <v>Scottsdale</v>
      </c>
    </row>
    <row r="50" spans="1:5">
      <c r="A50" s="111" t="s">
        <v>9083</v>
      </c>
      <c r="B50" s="111" t="s">
        <v>1319</v>
      </c>
      <c r="C50" s="111" t="s">
        <v>9085</v>
      </c>
      <c r="D50" s="2" t="str">
        <f t="shared" ref="D50:E50" si="48">TRIM(B50)</f>
        <v>Arizona</v>
      </c>
      <c r="E50" s="2" t="str">
        <f t="shared" si="48"/>
        <v>West Sedona</v>
      </c>
    </row>
    <row r="51" spans="1:5">
      <c r="A51" s="111" t="s">
        <v>9086</v>
      </c>
      <c r="B51" s="111" t="s">
        <v>1319</v>
      </c>
      <c r="C51" s="111" t="s">
        <v>9088</v>
      </c>
      <c r="D51" s="2" t="str">
        <f t="shared" ref="D51:E51" si="49">TRIM(B51)</f>
        <v>Arizona</v>
      </c>
      <c r="E51" s="2" t="str">
        <f t="shared" si="49"/>
        <v>Paradise Valley</v>
      </c>
    </row>
    <row r="52" spans="1:5">
      <c r="A52" s="111" t="s">
        <v>9090</v>
      </c>
      <c r="B52" s="111" t="s">
        <v>1319</v>
      </c>
      <c r="C52" s="111" t="s">
        <v>3379</v>
      </c>
      <c r="D52" s="2" t="str">
        <f t="shared" ref="D52:E52" si="50">TRIM(B52)</f>
        <v>Arizona</v>
      </c>
      <c r="E52" s="2" t="str">
        <f t="shared" si="50"/>
        <v>Tucson</v>
      </c>
    </row>
    <row r="53" spans="1:5">
      <c r="A53" s="111" t="s">
        <v>9092</v>
      </c>
      <c r="B53" s="111" t="s">
        <v>1319</v>
      </c>
      <c r="C53" s="111" t="s">
        <v>9093</v>
      </c>
      <c r="D53" s="2" t="str">
        <f t="shared" ref="D53:E53" si="51">TRIM(B53)</f>
        <v>Arizona</v>
      </c>
      <c r="E53" s="2" t="str">
        <f t="shared" si="51"/>
        <v>Rimrock</v>
      </c>
    </row>
    <row r="54" spans="1:5">
      <c r="A54" s="111" t="s">
        <v>9095</v>
      </c>
      <c r="B54" s="111" t="s">
        <v>1319</v>
      </c>
      <c r="C54" s="111" t="s">
        <v>7178</v>
      </c>
      <c r="D54" s="2" t="str">
        <f t="shared" ref="D54:E54" si="52">TRIM(B54)</f>
        <v>Arizona</v>
      </c>
      <c r="E54" s="2" t="str">
        <f t="shared" si="52"/>
        <v>Spring Valley</v>
      </c>
    </row>
    <row r="55" spans="1:5">
      <c r="A55" s="111" t="s">
        <v>9096</v>
      </c>
      <c r="B55" s="111" t="s">
        <v>1319</v>
      </c>
      <c r="C55" s="111" t="s">
        <v>1075</v>
      </c>
      <c r="D55" s="2" t="str">
        <f t="shared" ref="D55:E55" si="53">TRIM(B55)</f>
        <v>Arizona</v>
      </c>
      <c r="E55" s="2" t="str">
        <f t="shared" si="53"/>
        <v>Phoenix</v>
      </c>
    </row>
    <row r="56" spans="1:5">
      <c r="A56" s="111" t="s">
        <v>9098</v>
      </c>
      <c r="B56" s="111" t="s">
        <v>1319</v>
      </c>
      <c r="C56" s="111" t="s">
        <v>9099</v>
      </c>
      <c r="D56" s="2" t="str">
        <f t="shared" ref="D56:E56" si="54">TRIM(B56)</f>
        <v>Arizona</v>
      </c>
      <c r="E56" s="2" t="str">
        <f t="shared" si="54"/>
        <v>Saint Michaels</v>
      </c>
    </row>
    <row r="57" spans="1:5">
      <c r="A57" s="111" t="s">
        <v>9101</v>
      </c>
      <c r="B57" s="111" t="s">
        <v>1319</v>
      </c>
      <c r="C57" s="111" t="s">
        <v>3379</v>
      </c>
      <c r="D57" s="2" t="str">
        <f t="shared" ref="D57:E57" si="55">TRIM(B57)</f>
        <v>Arizona</v>
      </c>
      <c r="E57" s="2" t="str">
        <f t="shared" si="55"/>
        <v>Tucson</v>
      </c>
    </row>
    <row r="58" spans="1:5">
      <c r="A58" s="111" t="s">
        <v>9104</v>
      </c>
      <c r="B58" s="111" t="s">
        <v>1319</v>
      </c>
      <c r="C58" s="111" t="s">
        <v>2818</v>
      </c>
      <c r="D58" s="2" t="str">
        <f t="shared" ref="D58:E58" si="56">TRIM(B58)</f>
        <v>Arizona</v>
      </c>
      <c r="E58" s="2" t="str">
        <f t="shared" si="56"/>
        <v>Mayer</v>
      </c>
    </row>
    <row r="59" spans="1:5">
      <c r="A59" s="111" t="s">
        <v>9107</v>
      </c>
      <c r="B59" s="111" t="s">
        <v>1319</v>
      </c>
      <c r="C59" s="111" t="s">
        <v>3244</v>
      </c>
      <c r="D59" s="2" t="str">
        <f t="shared" ref="D59:E59" si="57">TRIM(B59)</f>
        <v>Arizona</v>
      </c>
      <c r="E59" s="2" t="str">
        <f t="shared" si="57"/>
        <v>Sedona</v>
      </c>
    </row>
    <row r="60" spans="1:5">
      <c r="A60" s="111" t="s">
        <v>9109</v>
      </c>
      <c r="B60" s="111" t="s">
        <v>1319</v>
      </c>
      <c r="C60" s="111" t="s">
        <v>1075</v>
      </c>
      <c r="D60" s="2" t="str">
        <f t="shared" ref="D60:E60" si="58">TRIM(B60)</f>
        <v>Arizona</v>
      </c>
      <c r="E60" s="2" t="str">
        <f t="shared" si="58"/>
        <v>Phoenix</v>
      </c>
    </row>
    <row r="61" spans="1:5">
      <c r="A61" s="111" t="s">
        <v>9111</v>
      </c>
      <c r="B61" s="111" t="s">
        <v>1320</v>
      </c>
      <c r="C61" s="111" t="s">
        <v>4191</v>
      </c>
      <c r="D61" s="2" t="str">
        <f t="shared" ref="D61:E61" si="59">TRIM(B61)</f>
        <v>Arkansas</v>
      </c>
      <c r="E61" s="2" t="str">
        <f t="shared" si="59"/>
        <v>Sherwood</v>
      </c>
    </row>
    <row r="62" spans="1:5">
      <c r="A62" s="111" t="s">
        <v>9114</v>
      </c>
      <c r="B62" s="111" t="s">
        <v>1320</v>
      </c>
      <c r="C62" s="111" t="s">
        <v>1108</v>
      </c>
      <c r="D62" s="2" t="str">
        <f t="shared" ref="D62:E62" si="60">TRIM(B62)</f>
        <v>Arkansas</v>
      </c>
      <c r="E62" s="2" t="str">
        <f t="shared" si="60"/>
        <v>North Little Rock</v>
      </c>
    </row>
    <row r="63" spans="1:5">
      <c r="A63" s="111" t="s">
        <v>9117</v>
      </c>
      <c r="B63" s="111" t="s">
        <v>1320</v>
      </c>
      <c r="C63" s="111" t="s">
        <v>3769</v>
      </c>
      <c r="D63" s="2" t="str">
        <f t="shared" ref="D63:E63" si="61">TRIM(B63)</f>
        <v>Arkansas</v>
      </c>
      <c r="E63" s="2" t="str">
        <f t="shared" si="61"/>
        <v>Eureka Springs</v>
      </c>
    </row>
    <row r="64" spans="1:5">
      <c r="A64" s="76" t="s">
        <v>9119</v>
      </c>
      <c r="B64" s="111" t="s">
        <v>1320</v>
      </c>
      <c r="C64" s="111" t="s">
        <v>4109</v>
      </c>
      <c r="D64" s="2" t="str">
        <f t="shared" ref="D64:E64" si="62">TRIM(B64)</f>
        <v>Arkansas</v>
      </c>
      <c r="E64" s="2" t="str">
        <f t="shared" si="62"/>
        <v>Paragould</v>
      </c>
    </row>
    <row r="65" spans="1:5">
      <c r="A65" s="111" t="s">
        <v>9120</v>
      </c>
      <c r="B65" s="111" t="s">
        <v>1320</v>
      </c>
      <c r="C65" s="111" t="s">
        <v>324</v>
      </c>
      <c r="D65" s="2" t="str">
        <f t="shared" ref="D65:E65" si="63">TRIM(B65)</f>
        <v>Arkansas</v>
      </c>
      <c r="E65" s="2" t="str">
        <f t="shared" si="63"/>
        <v>Searcy</v>
      </c>
    </row>
    <row r="66" spans="1:5">
      <c r="A66" s="111" t="s">
        <v>9123</v>
      </c>
      <c r="B66" s="111" t="s">
        <v>1320</v>
      </c>
      <c r="C66" s="111" t="s">
        <v>3992</v>
      </c>
      <c r="D66" s="2" t="str">
        <f t="shared" ref="D66:E66" si="64">TRIM(B66)</f>
        <v>Arkansas</v>
      </c>
      <c r="E66" s="2" t="str">
        <f t="shared" si="64"/>
        <v>Marianna</v>
      </c>
    </row>
    <row r="67" spans="1:5">
      <c r="A67" s="111" t="s">
        <v>9126</v>
      </c>
      <c r="B67" s="111" t="s">
        <v>1320</v>
      </c>
      <c r="C67" s="111" t="s">
        <v>4008</v>
      </c>
      <c r="D67" s="2" t="str">
        <f t="shared" ref="D67:E67" si="65">TRIM(B67)</f>
        <v>Arkansas</v>
      </c>
      <c r="E67" s="2" t="str">
        <f t="shared" si="65"/>
        <v>Marvell</v>
      </c>
    </row>
    <row r="68" spans="1:5">
      <c r="A68" s="111" t="s">
        <v>9129</v>
      </c>
      <c r="B68" s="111" t="s">
        <v>1320</v>
      </c>
      <c r="C68" s="111" t="s">
        <v>1248</v>
      </c>
      <c r="D68" s="2" t="str">
        <f t="shared" ref="D68:E68" si="66">TRIM(B68)</f>
        <v>Arkansas</v>
      </c>
      <c r="E68" s="2" t="str">
        <f t="shared" si="66"/>
        <v>Little Rock</v>
      </c>
    </row>
    <row r="69" spans="1:5">
      <c r="A69" s="111" t="s">
        <v>9131</v>
      </c>
      <c r="B69" s="111" t="s">
        <v>1320</v>
      </c>
      <c r="C69" s="111" t="s">
        <v>9132</v>
      </c>
      <c r="D69" s="2" t="str">
        <f t="shared" ref="D69:E69" si="67">TRIM(B69)</f>
        <v>Arkansas</v>
      </c>
      <c r="E69" s="2" t="str">
        <f t="shared" si="67"/>
        <v>Ward</v>
      </c>
    </row>
    <row r="70" spans="1:5">
      <c r="A70" s="111" t="s">
        <v>9135</v>
      </c>
      <c r="B70" s="111" t="s">
        <v>1320</v>
      </c>
      <c r="C70" s="111" t="s">
        <v>554</v>
      </c>
      <c r="D70" s="2" t="str">
        <f t="shared" ref="D70:E70" si="68">TRIM(B70)</f>
        <v>Arkansas</v>
      </c>
      <c r="E70" s="2" t="str">
        <f t="shared" si="68"/>
        <v>Fayetteville</v>
      </c>
    </row>
    <row r="71" spans="1:5">
      <c r="A71" s="111" t="s">
        <v>9137</v>
      </c>
      <c r="B71" s="111" t="s">
        <v>1320</v>
      </c>
      <c r="C71" s="111" t="s">
        <v>9138</v>
      </c>
      <c r="D71" s="2" t="str">
        <f t="shared" ref="D71:E71" si="69">TRIM(B71)</f>
        <v>Arkansas</v>
      </c>
      <c r="E71" s="2" t="str">
        <f t="shared" si="69"/>
        <v>Subiaco</v>
      </c>
    </row>
    <row r="72" spans="1:5">
      <c r="A72" s="111" t="s">
        <v>9139</v>
      </c>
      <c r="B72" s="111" t="s">
        <v>1321</v>
      </c>
      <c r="C72" s="111" t="s">
        <v>363</v>
      </c>
      <c r="D72" s="2" t="str">
        <f t="shared" ref="D72:E72" si="70">TRIM(B72)</f>
        <v>California</v>
      </c>
      <c r="E72" s="2" t="str">
        <f t="shared" si="70"/>
        <v>Anaheim</v>
      </c>
    </row>
    <row r="73" spans="1:5">
      <c r="A73" s="111" t="s">
        <v>9140</v>
      </c>
      <c r="B73" s="111" t="s">
        <v>1321</v>
      </c>
      <c r="C73" s="111" t="s">
        <v>237</v>
      </c>
      <c r="D73" s="2" t="str">
        <f t="shared" ref="D73:E73" si="71">TRIM(B73)</f>
        <v>California</v>
      </c>
      <c r="E73" s="2" t="str">
        <f t="shared" si="71"/>
        <v>San Diego</v>
      </c>
    </row>
    <row r="74" spans="1:5">
      <c r="A74" s="111" t="s">
        <v>9143</v>
      </c>
      <c r="B74" s="111" t="s">
        <v>1321</v>
      </c>
      <c r="C74" s="111" t="s">
        <v>5011</v>
      </c>
      <c r="D74" s="2" t="str">
        <f t="shared" ref="D74:E74" si="72">TRIM(B74)</f>
        <v>California</v>
      </c>
      <c r="E74" s="2" t="str">
        <f t="shared" si="72"/>
        <v>Fallbrook</v>
      </c>
    </row>
    <row r="75" spans="1:5">
      <c r="A75" s="111" t="s">
        <v>9145</v>
      </c>
      <c r="B75" s="111" t="s">
        <v>1321</v>
      </c>
      <c r="C75" s="111" t="s">
        <v>9146</v>
      </c>
      <c r="D75" s="2" t="str">
        <f t="shared" ref="D75:E75" si="73">TRIM(B75)</f>
        <v>California</v>
      </c>
      <c r="E75" s="2" t="str">
        <f t="shared" si="73"/>
        <v>Sierra Madre</v>
      </c>
    </row>
    <row r="76" spans="1:5">
      <c r="A76" s="111" t="s">
        <v>9148</v>
      </c>
      <c r="B76" s="111" t="s">
        <v>1321</v>
      </c>
      <c r="C76" s="111" t="s">
        <v>403</v>
      </c>
      <c r="D76" s="2" t="str">
        <f t="shared" ref="D76:E76" si="74">TRIM(B76)</f>
        <v>California</v>
      </c>
      <c r="E76" s="2" t="str">
        <f t="shared" si="74"/>
        <v>Torrance</v>
      </c>
    </row>
    <row r="77" spans="1:5">
      <c r="A77" s="111" t="s">
        <v>9149</v>
      </c>
      <c r="B77" s="111" t="s">
        <v>1321</v>
      </c>
      <c r="C77" s="111" t="s">
        <v>323</v>
      </c>
      <c r="D77" s="2" t="str">
        <f t="shared" ref="D77:E77" si="75">TRIM(B77)</f>
        <v>California</v>
      </c>
      <c r="E77" s="2" t="str">
        <f t="shared" si="75"/>
        <v>Los Angeles</v>
      </c>
    </row>
    <row r="78" spans="1:5">
      <c r="A78" s="111" t="s">
        <v>9153</v>
      </c>
      <c r="B78" s="111" t="s">
        <v>1321</v>
      </c>
      <c r="C78" s="111" t="s">
        <v>6052</v>
      </c>
      <c r="D78" s="2" t="str">
        <f t="shared" ref="D78:E78" si="76">TRIM(B78)</f>
        <v>California</v>
      </c>
      <c r="E78" s="2" t="str">
        <f t="shared" si="76"/>
        <v>Nevada City</v>
      </c>
    </row>
    <row r="79" spans="1:5">
      <c r="A79" s="76" t="s">
        <v>9156</v>
      </c>
      <c r="B79" s="111" t="s">
        <v>1321</v>
      </c>
      <c r="C79" s="111" t="s">
        <v>323</v>
      </c>
      <c r="D79" s="2" t="str">
        <f t="shared" ref="D79:E79" si="77">TRIM(B79)</f>
        <v>California</v>
      </c>
      <c r="E79" s="2" t="str">
        <f t="shared" si="77"/>
        <v>Los Angeles</v>
      </c>
    </row>
    <row r="80" spans="1:5">
      <c r="A80" s="111" t="s">
        <v>9159</v>
      </c>
      <c r="B80" s="111" t="s">
        <v>1321</v>
      </c>
      <c r="C80" s="112" t="s">
        <v>9160</v>
      </c>
      <c r="D80" s="2" t="str">
        <f t="shared" ref="D80:E80" si="78">TRIM(B80)</f>
        <v>California</v>
      </c>
      <c r="E80" s="2" t="str">
        <f t="shared" si="78"/>
        <v>Lake Mathews</v>
      </c>
    </row>
    <row r="81" spans="1:5">
      <c r="A81" s="111" t="s">
        <v>9163</v>
      </c>
      <c r="B81" s="111" t="s">
        <v>1321</v>
      </c>
      <c r="C81" s="111" t="s">
        <v>6694</v>
      </c>
      <c r="D81" s="2" t="str">
        <f t="shared" ref="D81:E81" si="79">TRIM(B81)</f>
        <v>California</v>
      </c>
      <c r="E81" s="2" t="str">
        <f t="shared" si="79"/>
        <v>San Bernardino</v>
      </c>
    </row>
    <row r="82" spans="1:5">
      <c r="A82" s="111" t="s">
        <v>9165</v>
      </c>
      <c r="B82" s="111" t="s">
        <v>1321</v>
      </c>
      <c r="C82" s="111" t="s">
        <v>611</v>
      </c>
      <c r="D82" s="2" t="str">
        <f t="shared" ref="D82:E82" si="80">TRIM(B82)</f>
        <v>California</v>
      </c>
      <c r="E82" s="2" t="str">
        <f t="shared" si="80"/>
        <v>San Jose</v>
      </c>
    </row>
    <row r="83" spans="1:5">
      <c r="A83" s="111" t="s">
        <v>9168</v>
      </c>
      <c r="B83" s="111" t="s">
        <v>1321</v>
      </c>
      <c r="C83" s="111" t="s">
        <v>424</v>
      </c>
      <c r="D83" s="2" t="str">
        <f t="shared" ref="D83:E83" si="81">TRIM(B83)</f>
        <v>California</v>
      </c>
      <c r="E83" s="2" t="str">
        <f t="shared" si="81"/>
        <v>San Francisco</v>
      </c>
    </row>
    <row r="84" spans="1:5">
      <c r="A84" s="111" t="s">
        <v>9170</v>
      </c>
      <c r="B84" s="111" t="s">
        <v>1321</v>
      </c>
      <c r="C84" s="111" t="s">
        <v>323</v>
      </c>
      <c r="D84" s="2" t="str">
        <f t="shared" ref="D84:E84" si="82">TRIM(B84)</f>
        <v>California</v>
      </c>
      <c r="E84" s="2" t="str">
        <f t="shared" si="82"/>
        <v>Los Angeles</v>
      </c>
    </row>
    <row r="85" spans="1:5">
      <c r="A85" s="111" t="s">
        <v>9172</v>
      </c>
      <c r="B85" s="111" t="s">
        <v>1321</v>
      </c>
      <c r="C85" s="111" t="s">
        <v>6377</v>
      </c>
      <c r="D85" s="2" t="str">
        <f t="shared" ref="D85:E85" si="83">TRIM(B85)</f>
        <v>California</v>
      </c>
      <c r="E85" s="2" t="str">
        <f t="shared" si="83"/>
        <v>Pico Rivera</v>
      </c>
    </row>
    <row r="86" spans="1:5">
      <c r="A86" s="111" t="s">
        <v>9173</v>
      </c>
      <c r="B86" s="111" t="s">
        <v>1321</v>
      </c>
      <c r="C86" s="111" t="s">
        <v>9175</v>
      </c>
      <c r="D86" s="2" t="str">
        <f t="shared" ref="D86:E86" si="84">TRIM(B86)</f>
        <v>California</v>
      </c>
      <c r="E86" s="2" t="str">
        <f t="shared" si="84"/>
        <v>Armona</v>
      </c>
    </row>
    <row r="87" spans="1:5">
      <c r="A87" s="111" t="s">
        <v>9176</v>
      </c>
      <c r="B87" s="111" t="s">
        <v>1321</v>
      </c>
      <c r="C87" s="111" t="s">
        <v>514</v>
      </c>
      <c r="D87" s="2" t="str">
        <f t="shared" ref="D87:E87" si="85">TRIM(B87)</f>
        <v>California</v>
      </c>
      <c r="E87" s="2" t="str">
        <f t="shared" si="85"/>
        <v>Carlsbad</v>
      </c>
    </row>
    <row r="88" spans="1:5">
      <c r="A88" s="111" t="s">
        <v>9178</v>
      </c>
      <c r="B88" s="111" t="s">
        <v>1321</v>
      </c>
      <c r="C88" s="111" t="s">
        <v>4375</v>
      </c>
      <c r="D88" s="2" t="str">
        <f t="shared" ref="D88:E88" si="86">TRIM(B88)</f>
        <v>California</v>
      </c>
      <c r="E88" s="2" t="str">
        <f t="shared" si="86"/>
        <v>Arcadia</v>
      </c>
    </row>
    <row r="89" spans="1:5">
      <c r="A89" s="111" t="s">
        <v>9180</v>
      </c>
      <c r="B89" s="111" t="s">
        <v>1321</v>
      </c>
      <c r="C89" s="112" t="s">
        <v>611</v>
      </c>
      <c r="D89" s="2" t="str">
        <f t="shared" ref="D89:E89" si="87">TRIM(B89)</f>
        <v>California</v>
      </c>
      <c r="E89" s="2" t="str">
        <f t="shared" si="87"/>
        <v>San Jose</v>
      </c>
    </row>
    <row r="90" spans="1:5">
      <c r="A90" s="111" t="s">
        <v>9183</v>
      </c>
      <c r="B90" s="111" t="s">
        <v>1321</v>
      </c>
      <c r="C90" s="112" t="s">
        <v>496</v>
      </c>
      <c r="D90" s="2" t="str">
        <f t="shared" ref="D90:E90" si="88">TRIM(B90)</f>
        <v>California</v>
      </c>
      <c r="E90" s="2" t="str">
        <f t="shared" si="88"/>
        <v>Fremont</v>
      </c>
    </row>
    <row r="91" spans="1:5">
      <c r="A91" s="111" t="s">
        <v>9186</v>
      </c>
      <c r="B91" s="111" t="s">
        <v>1321</v>
      </c>
      <c r="C91" s="111" t="s">
        <v>4964</v>
      </c>
      <c r="D91" s="2" t="str">
        <f t="shared" ref="D91:E91" si="89">TRIM(B91)</f>
        <v>California</v>
      </c>
      <c r="E91" s="2" t="str">
        <f t="shared" si="89"/>
        <v>Escondido</v>
      </c>
    </row>
    <row r="92" spans="1:5">
      <c r="A92" s="111" t="s">
        <v>9189</v>
      </c>
      <c r="B92" s="111" t="s">
        <v>1321</v>
      </c>
      <c r="C92" s="111" t="s">
        <v>611</v>
      </c>
      <c r="D92" s="2" t="str">
        <f t="shared" ref="D92:E92" si="90">TRIM(B92)</f>
        <v>California</v>
      </c>
      <c r="E92" s="2" t="str">
        <f t="shared" si="90"/>
        <v>San Jose</v>
      </c>
    </row>
    <row r="93" spans="1:5">
      <c r="A93" s="111" t="s">
        <v>9191</v>
      </c>
      <c r="B93" s="111" t="s">
        <v>1321</v>
      </c>
      <c r="C93" s="111" t="s">
        <v>662</v>
      </c>
      <c r="D93" s="2" t="str">
        <f t="shared" ref="D93:E93" si="91">TRIM(B93)</f>
        <v>California</v>
      </c>
      <c r="E93" s="2" t="str">
        <f t="shared" si="91"/>
        <v>Oakland</v>
      </c>
    </row>
    <row r="94" spans="1:5">
      <c r="A94" s="111" t="s">
        <v>9191</v>
      </c>
      <c r="B94" s="111" t="s">
        <v>1321</v>
      </c>
      <c r="C94" s="111" t="s">
        <v>236</v>
      </c>
      <c r="D94" s="2" t="str">
        <f t="shared" ref="D94:E94" si="92">TRIM(B94)</f>
        <v>California</v>
      </c>
      <c r="E94" s="2" t="str">
        <f t="shared" si="92"/>
        <v>Lafayette</v>
      </c>
    </row>
    <row r="95" spans="1:5">
      <c r="A95" s="111" t="s">
        <v>9195</v>
      </c>
      <c r="B95" s="111" t="s">
        <v>1321</v>
      </c>
      <c r="C95" s="111" t="s">
        <v>9197</v>
      </c>
      <c r="D95" s="2" t="str">
        <f t="shared" ref="D95:E95" si="93">TRIM(B95)</f>
        <v>California</v>
      </c>
      <c r="E95" s="2" t="str">
        <f t="shared" si="93"/>
        <v>Mission Hills</v>
      </c>
    </row>
    <row r="96" spans="1:5">
      <c r="A96" s="111" t="s">
        <v>9200</v>
      </c>
      <c r="B96" s="111" t="s">
        <v>1321</v>
      </c>
      <c r="C96" s="111" t="s">
        <v>5408</v>
      </c>
      <c r="D96" s="2" t="str">
        <f t="shared" ref="D96:E96" si="94">TRIM(B96)</f>
        <v>California</v>
      </c>
      <c r="E96" s="2" t="str">
        <f t="shared" si="94"/>
        <v>La Puente</v>
      </c>
    </row>
    <row r="97" spans="1:5">
      <c r="A97" s="111" t="s">
        <v>9202</v>
      </c>
      <c r="B97" s="111" t="s">
        <v>1321</v>
      </c>
      <c r="C97" s="111" t="s">
        <v>323</v>
      </c>
      <c r="D97" s="2" t="str">
        <f t="shared" ref="D97:E97" si="95">TRIM(B97)</f>
        <v>California</v>
      </c>
      <c r="E97" s="2" t="str">
        <f t="shared" si="95"/>
        <v>Los Angeles</v>
      </c>
    </row>
    <row r="98" spans="1:5">
      <c r="A98" s="111" t="s">
        <v>9205</v>
      </c>
      <c r="B98" s="111" t="s">
        <v>1321</v>
      </c>
      <c r="C98" s="111" t="s">
        <v>7044</v>
      </c>
      <c r="D98" s="2" t="str">
        <f t="shared" ref="D98:E98" si="96">TRIM(B98)</f>
        <v>California</v>
      </c>
      <c r="E98" s="2" t="str">
        <f t="shared" si="96"/>
        <v>Santa Barbara</v>
      </c>
    </row>
    <row r="99" spans="1:5">
      <c r="A99" s="111" t="s">
        <v>9208</v>
      </c>
      <c r="B99" s="111" t="s">
        <v>1321</v>
      </c>
      <c r="C99" s="111" t="s">
        <v>662</v>
      </c>
      <c r="D99" s="2" t="str">
        <f t="shared" ref="D99:E99" si="97">TRIM(B99)</f>
        <v>California</v>
      </c>
      <c r="E99" s="2" t="str">
        <f t="shared" si="97"/>
        <v>Oakland</v>
      </c>
    </row>
    <row r="100" spans="1:5">
      <c r="A100" s="111" t="s">
        <v>9210</v>
      </c>
      <c r="B100" s="111" t="s">
        <v>1321</v>
      </c>
      <c r="C100" s="111" t="s">
        <v>323</v>
      </c>
      <c r="D100" s="2" t="str">
        <f t="shared" ref="D100:E100" si="98">TRIM(B100)</f>
        <v>California</v>
      </c>
      <c r="E100" s="2" t="str">
        <f t="shared" si="98"/>
        <v>Los Angeles</v>
      </c>
    </row>
    <row r="101" spans="1:5">
      <c r="A101" s="111" t="s">
        <v>9212</v>
      </c>
      <c r="B101" s="111" t="s">
        <v>1321</v>
      </c>
      <c r="C101" s="111" t="s">
        <v>527</v>
      </c>
      <c r="D101" s="2" t="str">
        <f t="shared" ref="D101:E101" si="99">TRIM(B101)</f>
        <v>California</v>
      </c>
      <c r="E101" s="2" t="str">
        <f t="shared" si="99"/>
        <v>Modesto</v>
      </c>
    </row>
    <row r="102" spans="1:5">
      <c r="A102" s="111" t="s">
        <v>9216</v>
      </c>
      <c r="B102" s="111" t="s">
        <v>1321</v>
      </c>
      <c r="C102" s="113" t="s">
        <v>9217</v>
      </c>
      <c r="D102" s="2" t="str">
        <f t="shared" ref="D102:E102" si="100">TRIM(B102)</f>
        <v>California</v>
      </c>
      <c r="E102" s="2" t="str">
        <f t="shared" si="100"/>
        <v>La Habra Heights</v>
      </c>
    </row>
    <row r="103" spans="1:5">
      <c r="A103" s="111" t="s">
        <v>9218</v>
      </c>
      <c r="B103" s="111" t="s">
        <v>1321</v>
      </c>
      <c r="C103" s="111" t="s">
        <v>4526</v>
      </c>
      <c r="D103" s="2" t="str">
        <f t="shared" ref="D103:E103" si="101">TRIM(B103)</f>
        <v>California</v>
      </c>
      <c r="E103" s="2" t="str">
        <f t="shared" si="101"/>
        <v>Burbank</v>
      </c>
    </row>
    <row r="104" spans="1:5">
      <c r="A104" s="111" t="s">
        <v>9220</v>
      </c>
      <c r="B104" s="111" t="s">
        <v>1321</v>
      </c>
      <c r="C104" s="111" t="s">
        <v>4526</v>
      </c>
      <c r="D104" s="2" t="str">
        <f t="shared" ref="D104:E104" si="102">TRIM(B104)</f>
        <v>California</v>
      </c>
      <c r="E104" s="2" t="str">
        <f t="shared" si="102"/>
        <v>Burbank</v>
      </c>
    </row>
    <row r="105" spans="1:5">
      <c r="A105" s="111" t="s">
        <v>9222</v>
      </c>
      <c r="B105" s="111" t="s">
        <v>1321</v>
      </c>
      <c r="C105" s="111" t="s">
        <v>237</v>
      </c>
      <c r="D105" s="2" t="str">
        <f t="shared" ref="D105:E105" si="103">TRIM(B105)</f>
        <v>California</v>
      </c>
      <c r="E105" s="2" t="str">
        <f t="shared" si="103"/>
        <v>San Diego</v>
      </c>
    </row>
    <row r="106" spans="1:5">
      <c r="A106" s="111" t="s">
        <v>9223</v>
      </c>
      <c r="B106" s="111" t="s">
        <v>1321</v>
      </c>
      <c r="C106" s="111" t="s">
        <v>4553</v>
      </c>
      <c r="D106" s="2" t="str">
        <f t="shared" ref="D106:E106" si="104">TRIM(B106)</f>
        <v>California</v>
      </c>
      <c r="E106" s="2" t="str">
        <f t="shared" si="104"/>
        <v>Calexico</v>
      </c>
    </row>
    <row r="107" spans="1:5">
      <c r="A107" s="111" t="s">
        <v>9225</v>
      </c>
      <c r="B107" s="111" t="s">
        <v>1321</v>
      </c>
      <c r="C107" s="111" t="s">
        <v>5241</v>
      </c>
      <c r="D107" s="2" t="str">
        <f t="shared" ref="D107:E107" si="105">TRIM(B107)</f>
        <v>California</v>
      </c>
      <c r="E107" s="2" t="str">
        <f t="shared" si="105"/>
        <v>Hayward</v>
      </c>
    </row>
    <row r="108" spans="1:5">
      <c r="A108" s="111" t="s">
        <v>9227</v>
      </c>
      <c r="B108" s="111" t="s">
        <v>1321</v>
      </c>
      <c r="C108" s="111" t="s">
        <v>4299</v>
      </c>
      <c r="D108" s="2" t="str">
        <f t="shared" ref="D108:E108" si="106">TRIM(B108)</f>
        <v>California</v>
      </c>
      <c r="E108" s="2" t="str">
        <f t="shared" si="106"/>
        <v>Alameda</v>
      </c>
    </row>
    <row r="109" spans="1:5">
      <c r="A109" s="111" t="s">
        <v>9229</v>
      </c>
      <c r="B109" s="111" t="s">
        <v>1321</v>
      </c>
      <c r="C109" s="111" t="s">
        <v>323</v>
      </c>
      <c r="D109" s="2" t="str">
        <f t="shared" ref="D109:E109" si="107">TRIM(B109)</f>
        <v>California</v>
      </c>
      <c r="E109" s="2" t="str">
        <f t="shared" si="107"/>
        <v>Los Angeles</v>
      </c>
    </row>
    <row r="110" spans="1:5">
      <c r="A110" s="111" t="s">
        <v>9231</v>
      </c>
      <c r="B110" s="111" t="s">
        <v>1321</v>
      </c>
      <c r="C110" s="111" t="s">
        <v>5340</v>
      </c>
      <c r="D110" s="2" t="str">
        <f t="shared" ref="D110:E110" si="108">TRIM(B110)</f>
        <v>California</v>
      </c>
      <c r="E110" s="2" t="str">
        <f t="shared" si="108"/>
        <v>Irvine</v>
      </c>
    </row>
    <row r="111" spans="1:5">
      <c r="A111" s="111" t="s">
        <v>9233</v>
      </c>
      <c r="B111" s="111" t="s">
        <v>1321</v>
      </c>
      <c r="C111" s="111" t="s">
        <v>6087</v>
      </c>
      <c r="D111" s="2" t="str">
        <f t="shared" ref="D111:E111" si="109">TRIM(B111)</f>
        <v>California</v>
      </c>
      <c r="E111" s="2" t="str">
        <f t="shared" si="109"/>
        <v>North Hollywood</v>
      </c>
    </row>
    <row r="112" spans="1:5">
      <c r="A112" s="111" t="s">
        <v>9236</v>
      </c>
      <c r="B112" s="111" t="s">
        <v>1321</v>
      </c>
      <c r="C112" s="111" t="s">
        <v>425</v>
      </c>
      <c r="D112" s="2" t="str">
        <f t="shared" ref="D112:E112" si="110">TRIM(B112)</f>
        <v>California</v>
      </c>
      <c r="E112" s="2" t="str">
        <f t="shared" si="110"/>
        <v>Montebello</v>
      </c>
    </row>
    <row r="113" spans="1:5">
      <c r="A113" s="111" t="s">
        <v>9238</v>
      </c>
      <c r="B113" s="111" t="s">
        <v>1321</v>
      </c>
      <c r="C113" s="111" t="s">
        <v>6821</v>
      </c>
      <c r="D113" s="2" t="str">
        <f t="shared" ref="D113:E113" si="111">TRIM(B113)</f>
        <v>California</v>
      </c>
      <c r="E113" s="2" t="str">
        <f t="shared" si="111"/>
        <v>San Dimas</v>
      </c>
    </row>
    <row r="114" spans="1:5">
      <c r="A114" s="111" t="s">
        <v>9239</v>
      </c>
      <c r="B114" s="111" t="s">
        <v>1321</v>
      </c>
      <c r="C114" s="111" t="s">
        <v>4682</v>
      </c>
      <c r="D114" s="2" t="str">
        <f t="shared" ref="D114:E114" si="112">TRIM(B114)</f>
        <v>California</v>
      </c>
      <c r="E114" s="2" t="str">
        <f t="shared" si="112"/>
        <v>Citrus Heights</v>
      </c>
    </row>
    <row r="115" spans="1:5">
      <c r="A115" s="111" t="s">
        <v>9243</v>
      </c>
      <c r="B115" s="111" t="s">
        <v>1321</v>
      </c>
      <c r="C115" s="111" t="s">
        <v>260</v>
      </c>
      <c r="D115" s="2" t="str">
        <f t="shared" ref="D115:E115" si="113">TRIM(B115)</f>
        <v>California</v>
      </c>
      <c r="E115" s="2" t="str">
        <f t="shared" si="113"/>
        <v>Riverside</v>
      </c>
    </row>
    <row r="116" spans="1:5">
      <c r="A116" s="111" t="s">
        <v>9244</v>
      </c>
      <c r="B116" s="111" t="s">
        <v>1321</v>
      </c>
      <c r="C116" s="111" t="s">
        <v>286</v>
      </c>
      <c r="D116" s="2" t="str">
        <f t="shared" ref="D116:E116" si="114">TRIM(B116)</f>
        <v>California</v>
      </c>
      <c r="E116" s="2" t="str">
        <f t="shared" si="114"/>
        <v>Concord</v>
      </c>
    </row>
    <row r="117" spans="1:5">
      <c r="A117" s="111" t="s">
        <v>9247</v>
      </c>
      <c r="B117" s="111" t="s">
        <v>1321</v>
      </c>
      <c r="C117" s="111" t="s">
        <v>4593</v>
      </c>
      <c r="D117" s="2" t="str">
        <f t="shared" ref="D117:E117" si="115">TRIM(B117)</f>
        <v>California</v>
      </c>
      <c r="E117" s="2" t="str">
        <f t="shared" si="115"/>
        <v>Carpinteria</v>
      </c>
    </row>
    <row r="118" spans="1:5">
      <c r="A118" s="111" t="s">
        <v>9250</v>
      </c>
      <c r="B118" s="111" t="s">
        <v>1321</v>
      </c>
      <c r="C118" s="113" t="s">
        <v>9251</v>
      </c>
      <c r="D118" s="2" t="str">
        <f t="shared" ref="D118:E118" si="116">TRIM(B118)</f>
        <v>California</v>
      </c>
      <c r="E118" s="2" t="str">
        <f t="shared" si="116"/>
        <v>Palos Verdes Peninsula</v>
      </c>
    </row>
    <row r="119" spans="1:5">
      <c r="A119" s="111" t="s">
        <v>9254</v>
      </c>
      <c r="B119" s="111" t="s">
        <v>1321</v>
      </c>
      <c r="C119" s="111" t="s">
        <v>957</v>
      </c>
      <c r="D119" s="2" t="str">
        <f t="shared" ref="D119:E119" si="117">TRIM(B119)</f>
        <v>California</v>
      </c>
      <c r="E119" s="2" t="str">
        <f t="shared" si="117"/>
        <v>West Hills</v>
      </c>
    </row>
    <row r="120" spans="1:5">
      <c r="A120" s="111" t="s">
        <v>9256</v>
      </c>
      <c r="B120" s="111" t="s">
        <v>1321</v>
      </c>
      <c r="C120" s="111" t="s">
        <v>427</v>
      </c>
      <c r="D120" s="2" t="str">
        <f t="shared" ref="D120:E120" si="118">TRIM(B120)</f>
        <v>California</v>
      </c>
      <c r="E120" s="2" t="str">
        <f t="shared" si="118"/>
        <v>Sylmar</v>
      </c>
    </row>
    <row r="121" spans="1:5">
      <c r="A121" s="111" t="s">
        <v>9257</v>
      </c>
      <c r="B121" s="111" t="s">
        <v>1321</v>
      </c>
      <c r="C121" s="111" t="s">
        <v>424</v>
      </c>
      <c r="D121" s="2" t="str">
        <f t="shared" ref="D121:E121" si="119">TRIM(B121)</f>
        <v>California</v>
      </c>
      <c r="E121" s="2" t="str">
        <f t="shared" si="119"/>
        <v>San Francisco</v>
      </c>
    </row>
    <row r="122" spans="1:5">
      <c r="A122" s="111" t="s">
        <v>9259</v>
      </c>
      <c r="B122" s="111" t="s">
        <v>1321</v>
      </c>
      <c r="C122" s="111" t="s">
        <v>424</v>
      </c>
      <c r="D122" s="2" t="str">
        <f t="shared" ref="D122:E122" si="120">TRIM(B122)</f>
        <v>California</v>
      </c>
      <c r="E122" s="2" t="str">
        <f t="shared" si="120"/>
        <v>San Francisco</v>
      </c>
    </row>
    <row r="123" spans="1:5">
      <c r="A123" s="111" t="s">
        <v>9261</v>
      </c>
      <c r="B123" s="111" t="s">
        <v>1321</v>
      </c>
      <c r="C123" s="111" t="s">
        <v>363</v>
      </c>
      <c r="D123" s="2" t="str">
        <f t="shared" ref="D123:E123" si="121">TRIM(B123)</f>
        <v>California</v>
      </c>
      <c r="E123" s="2" t="str">
        <f t="shared" si="121"/>
        <v>Anaheim</v>
      </c>
    </row>
    <row r="124" spans="1:5">
      <c r="A124" s="111" t="s">
        <v>9264</v>
      </c>
      <c r="B124" s="111" t="s">
        <v>1321</v>
      </c>
      <c r="C124" s="111" t="s">
        <v>6006</v>
      </c>
      <c r="D124" s="2" t="str">
        <f t="shared" ref="D124:E124" si="122">TRIM(B124)</f>
        <v>California</v>
      </c>
      <c r="E124" s="2" t="str">
        <f t="shared" si="122"/>
        <v>Moreno Valley</v>
      </c>
    </row>
    <row r="125" spans="1:5">
      <c r="A125" s="111" t="s">
        <v>9266</v>
      </c>
      <c r="B125" s="111" t="s">
        <v>1321</v>
      </c>
      <c r="C125" s="111" t="s">
        <v>6006</v>
      </c>
      <c r="D125" s="2" t="str">
        <f t="shared" ref="D125:E125" si="123">TRIM(B125)</f>
        <v>California</v>
      </c>
      <c r="E125" s="2" t="str">
        <f t="shared" si="123"/>
        <v>Moreno Valley</v>
      </c>
    </row>
    <row r="126" spans="1:5">
      <c r="A126" s="111" t="s">
        <v>9268</v>
      </c>
      <c r="B126" s="111" t="s">
        <v>1321</v>
      </c>
      <c r="C126" s="111" t="s">
        <v>9269</v>
      </c>
      <c r="D126" s="2" t="str">
        <f t="shared" ref="D126:E126" si="124">TRIM(B126)</f>
        <v>California</v>
      </c>
      <c r="E126" s="2" t="str">
        <f t="shared" si="124"/>
        <v>Encino</v>
      </c>
    </row>
    <row r="127" spans="1:5">
      <c r="A127" s="111" t="s">
        <v>9272</v>
      </c>
      <c r="B127" s="111" t="s">
        <v>1321</v>
      </c>
      <c r="C127" s="111" t="s">
        <v>348</v>
      </c>
      <c r="D127" s="2" t="str">
        <f t="shared" ref="D127:E127" si="125">TRIM(B127)</f>
        <v>California</v>
      </c>
      <c r="E127" s="2" t="str">
        <f t="shared" si="125"/>
        <v>Sacramento</v>
      </c>
    </row>
    <row r="128" spans="1:5">
      <c r="A128" s="111" t="s">
        <v>9275</v>
      </c>
      <c r="B128" s="111" t="s">
        <v>1321</v>
      </c>
      <c r="C128" s="111" t="s">
        <v>6414</v>
      </c>
      <c r="D128" s="2" t="str">
        <f t="shared" ref="D128:E128" si="126">TRIM(B128)</f>
        <v>California</v>
      </c>
      <c r="E128" s="2" t="str">
        <f t="shared" si="126"/>
        <v>Santa Monica</v>
      </c>
    </row>
    <row r="129" spans="1:5">
      <c r="A129" s="111" t="s">
        <v>9278</v>
      </c>
      <c r="B129" s="111" t="s">
        <v>1321</v>
      </c>
      <c r="C129" s="111" t="s">
        <v>9279</v>
      </c>
      <c r="D129" s="2" t="str">
        <f t="shared" ref="D129:E129" si="127">TRIM(B129)</f>
        <v>California</v>
      </c>
      <c r="E129" s="2" t="str">
        <f t="shared" si="127"/>
        <v>Hillsborough</v>
      </c>
    </row>
    <row r="130" spans="1:5">
      <c r="A130" s="111" t="s">
        <v>9282</v>
      </c>
      <c r="B130" s="111" t="s">
        <v>1321</v>
      </c>
      <c r="C130" s="111" t="s">
        <v>971</v>
      </c>
      <c r="D130" s="2" t="str">
        <f t="shared" ref="D130:E130" si="128">TRIM(B130)</f>
        <v>California</v>
      </c>
      <c r="E130" s="2" t="str">
        <f t="shared" si="128"/>
        <v>La Verne</v>
      </c>
    </row>
    <row r="131" spans="1:5">
      <c r="A131" s="111" t="s">
        <v>9284</v>
      </c>
      <c r="B131" s="111" t="s">
        <v>1321</v>
      </c>
      <c r="C131" s="111" t="s">
        <v>286</v>
      </c>
      <c r="D131" s="2" t="str">
        <f t="shared" ref="D131:E131" si="129">TRIM(B131)</f>
        <v>California</v>
      </c>
      <c r="E131" s="2" t="str">
        <f t="shared" si="129"/>
        <v>Concord</v>
      </c>
    </row>
    <row r="132" spans="1:5">
      <c r="A132" s="111" t="s">
        <v>9287</v>
      </c>
      <c r="B132" s="111" t="s">
        <v>1321</v>
      </c>
      <c r="C132" s="111" t="s">
        <v>957</v>
      </c>
      <c r="D132" s="2" t="str">
        <f t="shared" ref="D132:E132" si="130">TRIM(B132)</f>
        <v>California</v>
      </c>
      <c r="E132" s="2" t="str">
        <f t="shared" si="130"/>
        <v>West Hills</v>
      </c>
    </row>
    <row r="133" spans="1:5">
      <c r="A133" s="111" t="s">
        <v>9289</v>
      </c>
      <c r="B133" s="111" t="s">
        <v>1321</v>
      </c>
      <c r="C133" s="113" t="s">
        <v>9290</v>
      </c>
      <c r="D133" s="2" t="str">
        <f t="shared" ref="D133:E133" si="131">TRIM(B133)</f>
        <v>California</v>
      </c>
      <c r="E133" s="2" t="str">
        <f t="shared" si="131"/>
        <v>Lake View Terrace</v>
      </c>
    </row>
    <row r="134" spans="1:5">
      <c r="A134" s="111" t="s">
        <v>9293</v>
      </c>
      <c r="B134" s="111" t="s">
        <v>1321</v>
      </c>
      <c r="C134" s="111" t="s">
        <v>424</v>
      </c>
      <c r="D134" s="2" t="str">
        <f t="shared" ref="D134:E134" si="132">TRIM(B134)</f>
        <v>California</v>
      </c>
      <c r="E134" s="2" t="str">
        <f t="shared" si="132"/>
        <v>San Francisco</v>
      </c>
    </row>
    <row r="135" spans="1:5">
      <c r="A135" s="111" t="s">
        <v>9296</v>
      </c>
      <c r="B135" s="111" t="s">
        <v>1321</v>
      </c>
      <c r="C135" s="111" t="s">
        <v>9297</v>
      </c>
      <c r="D135" s="2" t="str">
        <f t="shared" ref="D135:E135" si="133">TRIM(B135)</f>
        <v>California</v>
      </c>
      <c r="E135" s="2" t="str">
        <f t="shared" si="133"/>
        <v>Los Olivos</v>
      </c>
    </row>
    <row r="136" spans="1:5">
      <c r="A136" s="111" t="s">
        <v>9301</v>
      </c>
      <c r="B136" s="111" t="s">
        <v>1321</v>
      </c>
      <c r="C136" s="111" t="s">
        <v>4877</v>
      </c>
      <c r="D136" s="2" t="str">
        <f t="shared" ref="D136:E136" si="134">TRIM(B136)</f>
        <v>California</v>
      </c>
      <c r="E136" s="2" t="str">
        <f t="shared" si="134"/>
        <v>East Palo Alto</v>
      </c>
    </row>
    <row r="137" spans="1:5">
      <c r="A137" s="111" t="s">
        <v>9303</v>
      </c>
      <c r="B137" s="111" t="s">
        <v>1321</v>
      </c>
      <c r="C137" s="111" t="s">
        <v>6230</v>
      </c>
      <c r="D137" s="2" t="str">
        <f t="shared" ref="D137:E137" si="135">TRIM(B137)</f>
        <v>California</v>
      </c>
      <c r="E137" s="2" t="str">
        <f t="shared" si="135"/>
        <v>Orange</v>
      </c>
    </row>
    <row r="138" spans="1:5">
      <c r="A138" s="111" t="s">
        <v>9305</v>
      </c>
      <c r="B138" s="111" t="s">
        <v>1321</v>
      </c>
      <c r="C138" s="111" t="s">
        <v>6609</v>
      </c>
      <c r="D138" s="2" t="str">
        <f t="shared" ref="D138:E138" si="136">TRIM(B138)</f>
        <v>California</v>
      </c>
      <c r="E138" s="2" t="str">
        <f t="shared" si="136"/>
        <v>Rowland Heights</v>
      </c>
    </row>
    <row r="139" spans="1:5">
      <c r="A139" s="111" t="s">
        <v>9307</v>
      </c>
      <c r="B139" s="111" t="s">
        <v>1321</v>
      </c>
      <c r="C139" s="111" t="s">
        <v>7044</v>
      </c>
      <c r="D139" s="2" t="str">
        <f t="shared" ref="D139:E139" si="137">TRIM(B139)</f>
        <v>California</v>
      </c>
      <c r="E139" s="2" t="str">
        <f t="shared" si="137"/>
        <v>Santa Barbara</v>
      </c>
    </row>
    <row r="140" spans="1:5">
      <c r="A140" s="111" t="s">
        <v>9309</v>
      </c>
      <c r="B140" s="111" t="s">
        <v>1321</v>
      </c>
      <c r="C140" s="111" t="s">
        <v>5984</v>
      </c>
      <c r="D140" s="2" t="str">
        <f t="shared" ref="D140:E140" si="138">TRIM(B140)</f>
        <v>California</v>
      </c>
      <c r="E140" s="2" t="str">
        <f t="shared" si="138"/>
        <v>Monrovia</v>
      </c>
    </row>
    <row r="141" spans="1:5">
      <c r="A141" s="111" t="s">
        <v>9311</v>
      </c>
      <c r="B141" s="111" t="s">
        <v>1321</v>
      </c>
      <c r="C141" s="111" t="s">
        <v>486</v>
      </c>
      <c r="D141" s="2" t="str">
        <f t="shared" ref="D141:E141" si="139">TRIM(B141)</f>
        <v>California</v>
      </c>
      <c r="E141" s="2" t="str">
        <f t="shared" si="139"/>
        <v>Pasadena</v>
      </c>
    </row>
    <row r="142" spans="1:5">
      <c r="A142" s="111" t="s">
        <v>9313</v>
      </c>
      <c r="B142" s="111" t="s">
        <v>1321</v>
      </c>
      <c r="C142" s="111" t="s">
        <v>363</v>
      </c>
      <c r="D142" s="2" t="str">
        <f t="shared" ref="D142:E142" si="140">TRIM(B142)</f>
        <v>California</v>
      </c>
      <c r="E142" s="2" t="str">
        <f t="shared" si="140"/>
        <v>Anaheim</v>
      </c>
    </row>
    <row r="143" spans="1:5">
      <c r="A143" s="111" t="s">
        <v>9315</v>
      </c>
      <c r="B143" s="111" t="s">
        <v>1321</v>
      </c>
      <c r="C143" s="111" t="s">
        <v>363</v>
      </c>
      <c r="D143" s="2" t="str">
        <f t="shared" ref="D143:E143" si="141">TRIM(B143)</f>
        <v>California</v>
      </c>
      <c r="E143" s="2" t="str">
        <f t="shared" si="141"/>
        <v>Anaheim</v>
      </c>
    </row>
    <row r="144" spans="1:5">
      <c r="A144" s="111" t="s">
        <v>9317</v>
      </c>
      <c r="B144" s="111" t="s">
        <v>1321</v>
      </c>
      <c r="C144" s="114" t="s">
        <v>9318</v>
      </c>
      <c r="D144" s="2" t="str">
        <f t="shared" ref="D144:E144" si="142">TRIM(B144)</f>
        <v>California</v>
      </c>
      <c r="E144" s="2" t="str">
        <f t="shared" si="142"/>
        <v>La Canada Flintridge</v>
      </c>
    </row>
    <row r="145" spans="1:5">
      <c r="A145" s="111" t="s">
        <v>9319</v>
      </c>
      <c r="B145" s="111" t="s">
        <v>1321</v>
      </c>
      <c r="C145" s="111" t="s">
        <v>4308</v>
      </c>
      <c r="D145" s="2" t="str">
        <f t="shared" ref="D145:E145" si="143">TRIM(B145)</f>
        <v>California</v>
      </c>
      <c r="E145" s="2" t="str">
        <f t="shared" si="143"/>
        <v>Alhambra</v>
      </c>
    </row>
    <row r="146" spans="1:5">
      <c r="A146" s="111" t="s">
        <v>9321</v>
      </c>
      <c r="B146" s="111" t="s">
        <v>1321</v>
      </c>
      <c r="C146" s="111" t="s">
        <v>3671</v>
      </c>
      <c r="D146" s="2" t="str">
        <f t="shared" ref="D146:E146" si="144">TRIM(B146)</f>
        <v>California</v>
      </c>
      <c r="E146" s="2" t="str">
        <f t="shared" si="144"/>
        <v>Mission Viejo</v>
      </c>
    </row>
    <row r="147" spans="1:5">
      <c r="A147" s="111" t="s">
        <v>9323</v>
      </c>
      <c r="B147" s="111" t="s">
        <v>1321</v>
      </c>
      <c r="C147" s="113" t="s">
        <v>5297</v>
      </c>
      <c r="D147" s="2" t="str">
        <f t="shared" ref="D147:E147" si="145">TRIM(B147)</f>
        <v>California</v>
      </c>
      <c r="E147" s="2" t="str">
        <f t="shared" si="145"/>
        <v>Huntington Beach</v>
      </c>
    </row>
    <row r="148" spans="1:5">
      <c r="A148" s="111" t="s">
        <v>9325</v>
      </c>
      <c r="B148" s="111" t="s">
        <v>1321</v>
      </c>
      <c r="C148" s="111" t="s">
        <v>424</v>
      </c>
      <c r="D148" s="2" t="str">
        <f t="shared" ref="D148:E148" si="146">TRIM(B148)</f>
        <v>California</v>
      </c>
      <c r="E148" s="2" t="str">
        <f t="shared" si="146"/>
        <v>San Francisco</v>
      </c>
    </row>
    <row r="149" spans="1:5">
      <c r="A149" s="111" t="s">
        <v>9327</v>
      </c>
      <c r="B149" s="111" t="s">
        <v>1321</v>
      </c>
      <c r="C149" s="112" t="s">
        <v>9328</v>
      </c>
      <c r="D149" s="2" t="str">
        <f t="shared" ref="D149:E149" si="147">TRIM(B149)</f>
        <v>California</v>
      </c>
      <c r="E149" s="2" t="str">
        <f t="shared" si="147"/>
        <v>Hermosa Beach</v>
      </c>
    </row>
    <row r="150" spans="1:5">
      <c r="A150" s="111" t="s">
        <v>9330</v>
      </c>
      <c r="B150" s="111" t="s">
        <v>1321</v>
      </c>
      <c r="C150" s="111" t="s">
        <v>424</v>
      </c>
      <c r="D150" s="2" t="str">
        <f t="shared" ref="D150:E150" si="148">TRIM(B150)</f>
        <v>California</v>
      </c>
      <c r="E150" s="2" t="str">
        <f t="shared" si="148"/>
        <v>San Francisco</v>
      </c>
    </row>
    <row r="151" spans="1:5">
      <c r="A151" s="111" t="s">
        <v>9332</v>
      </c>
      <c r="B151" s="111" t="s">
        <v>1321</v>
      </c>
      <c r="C151" s="111" t="s">
        <v>7142</v>
      </c>
      <c r="D151" s="2" t="str">
        <f t="shared" ref="D151:E151" si="149">TRIM(B151)</f>
        <v>California</v>
      </c>
      <c r="E151" s="2" t="str">
        <f t="shared" si="149"/>
        <v>Solana Beach</v>
      </c>
    </row>
    <row r="152" spans="1:5">
      <c r="A152" s="111" t="s">
        <v>9334</v>
      </c>
      <c r="B152" s="111" t="s">
        <v>1321</v>
      </c>
      <c r="C152" s="111" t="s">
        <v>7437</v>
      </c>
      <c r="D152" s="2" t="str">
        <f t="shared" ref="D152:E152" si="150">TRIM(B152)</f>
        <v>California</v>
      </c>
      <c r="E152" s="2" t="str">
        <f t="shared" si="150"/>
        <v>Walnut Creek</v>
      </c>
    </row>
    <row r="153" spans="1:5">
      <c r="A153" s="111" t="s">
        <v>9337</v>
      </c>
      <c r="B153" s="111" t="s">
        <v>1321</v>
      </c>
      <c r="C153" s="111" t="s">
        <v>4418</v>
      </c>
      <c r="D153" s="2" t="str">
        <f t="shared" ref="D153:E153" si="151">TRIM(B153)</f>
        <v>California</v>
      </c>
      <c r="E153" s="2" t="str">
        <f t="shared" si="151"/>
        <v>Bakersfield</v>
      </c>
    </row>
    <row r="154" spans="1:5">
      <c r="A154" s="111" t="s">
        <v>9341</v>
      </c>
      <c r="B154" s="111" t="s">
        <v>1321</v>
      </c>
      <c r="C154" s="111" t="s">
        <v>7059</v>
      </c>
      <c r="D154" s="2" t="str">
        <f t="shared" ref="D154:E154" si="152">TRIM(B154)</f>
        <v>California</v>
      </c>
      <c r="E154" s="2" t="str">
        <f t="shared" si="152"/>
        <v>Santa Cruz</v>
      </c>
    </row>
    <row r="155" spans="1:5">
      <c r="A155" s="111" t="s">
        <v>9343</v>
      </c>
      <c r="B155" s="111" t="s">
        <v>1321</v>
      </c>
      <c r="C155" s="111" t="s">
        <v>9344</v>
      </c>
      <c r="D155" s="2" t="str">
        <f t="shared" ref="D155:E155" si="153">TRIM(B155)</f>
        <v>California</v>
      </c>
      <c r="E155" s="2" t="str">
        <f t="shared" si="153"/>
        <v>Newport Beach</v>
      </c>
    </row>
    <row r="156" spans="1:5">
      <c r="A156" s="111" t="s">
        <v>9346</v>
      </c>
      <c r="B156" s="111" t="s">
        <v>1321</v>
      </c>
      <c r="C156" s="111" t="s">
        <v>7133</v>
      </c>
      <c r="D156" s="2" t="str">
        <f t="shared" ref="D156:E156" si="154">TRIM(B156)</f>
        <v>California</v>
      </c>
      <c r="E156" s="2" t="str">
        <f t="shared" si="154"/>
        <v>Simi Valley</v>
      </c>
    </row>
    <row r="157" spans="1:5">
      <c r="A157" s="111" t="s">
        <v>9348</v>
      </c>
      <c r="B157" s="111" t="s">
        <v>1321</v>
      </c>
      <c r="C157" s="111" t="s">
        <v>5420</v>
      </c>
      <c r="D157" s="2" t="str">
        <f t="shared" ref="D157:E157" si="155">TRIM(B157)</f>
        <v>California</v>
      </c>
      <c r="E157" s="2" t="str">
        <f t="shared" si="155"/>
        <v>Laguna Hills</v>
      </c>
    </row>
    <row r="158" spans="1:5">
      <c r="A158" s="111" t="s">
        <v>9350</v>
      </c>
      <c r="B158" s="111" t="s">
        <v>1321</v>
      </c>
      <c r="C158" s="111" t="s">
        <v>5420</v>
      </c>
      <c r="D158" s="2" t="str">
        <f t="shared" ref="D158:E158" si="156">TRIM(B158)</f>
        <v>California</v>
      </c>
      <c r="E158" s="2" t="str">
        <f t="shared" si="156"/>
        <v>Laguna Hills</v>
      </c>
    </row>
    <row r="159" spans="1:5">
      <c r="A159" s="111" t="s">
        <v>9352</v>
      </c>
      <c r="B159" s="111" t="s">
        <v>1321</v>
      </c>
      <c r="C159" s="111" t="s">
        <v>7437</v>
      </c>
      <c r="D159" s="2" t="str">
        <f t="shared" ref="D159:E159" si="157">TRIM(B159)</f>
        <v>California</v>
      </c>
      <c r="E159" s="2" t="str">
        <f t="shared" si="157"/>
        <v>Walnut Creek</v>
      </c>
    </row>
    <row r="160" spans="1:5">
      <c r="A160" s="111" t="s">
        <v>9355</v>
      </c>
      <c r="B160" s="111" t="s">
        <v>1321</v>
      </c>
      <c r="C160" s="111" t="s">
        <v>7479</v>
      </c>
      <c r="D160" s="2" t="str">
        <f t="shared" ref="D160:E160" si="158">TRIM(B160)</f>
        <v>California</v>
      </c>
      <c r="E160" s="2" t="str">
        <f t="shared" si="158"/>
        <v>Westlake Village</v>
      </c>
    </row>
    <row r="161" spans="1:5">
      <c r="A161" s="111" t="s">
        <v>9357</v>
      </c>
      <c r="B161" s="111" t="s">
        <v>1321</v>
      </c>
      <c r="C161" s="113" t="s">
        <v>5297</v>
      </c>
      <c r="D161" s="2" t="str">
        <f t="shared" ref="D161:E161" si="159">TRIM(B161)</f>
        <v>California</v>
      </c>
      <c r="E161" s="2" t="str">
        <f t="shared" si="159"/>
        <v>Huntington Beach</v>
      </c>
    </row>
    <row r="162" spans="1:5">
      <c r="A162" s="111" t="s">
        <v>9359</v>
      </c>
      <c r="B162" s="111" t="s">
        <v>1321</v>
      </c>
      <c r="C162" s="111" t="s">
        <v>237</v>
      </c>
      <c r="D162" s="2" t="str">
        <f t="shared" ref="D162:E162" si="160">TRIM(B162)</f>
        <v>California</v>
      </c>
      <c r="E162" s="2" t="str">
        <f t="shared" si="160"/>
        <v>San Diego</v>
      </c>
    </row>
    <row r="163" spans="1:5">
      <c r="A163" s="111" t="s">
        <v>9361</v>
      </c>
      <c r="B163" s="111" t="s">
        <v>1321</v>
      </c>
      <c r="C163" s="111" t="s">
        <v>7542</v>
      </c>
      <c r="D163" s="2" t="str">
        <f t="shared" ref="D163:E163" si="161">TRIM(B163)</f>
        <v>California</v>
      </c>
      <c r="E163" s="2" t="str">
        <f t="shared" si="161"/>
        <v>Woodland Hills</v>
      </c>
    </row>
    <row r="164" spans="1:5">
      <c r="A164" s="111" t="s">
        <v>9363</v>
      </c>
      <c r="B164" s="111" t="s">
        <v>1321</v>
      </c>
      <c r="C164" s="111" t="s">
        <v>6230</v>
      </c>
      <c r="D164" s="2" t="str">
        <f t="shared" ref="D164:E164" si="162">TRIM(B164)</f>
        <v>California</v>
      </c>
      <c r="E164" s="2" t="str">
        <f t="shared" si="162"/>
        <v>Orange</v>
      </c>
    </row>
    <row r="165" spans="1:5">
      <c r="A165" s="111" t="s">
        <v>9365</v>
      </c>
      <c r="B165" s="111" t="s">
        <v>1321</v>
      </c>
      <c r="C165" s="111" t="s">
        <v>323</v>
      </c>
      <c r="D165" s="2" t="str">
        <f t="shared" ref="D165:E165" si="163">TRIM(B165)</f>
        <v>California</v>
      </c>
      <c r="E165" s="2" t="str">
        <f t="shared" si="163"/>
        <v>Los Angeles</v>
      </c>
    </row>
    <row r="166" spans="1:5">
      <c r="A166" s="111" t="s">
        <v>9367</v>
      </c>
      <c r="B166" s="111" t="s">
        <v>1321</v>
      </c>
      <c r="C166" s="111" t="s">
        <v>632</v>
      </c>
      <c r="D166" s="2" t="str">
        <f t="shared" ref="D166:E166" si="164">TRIM(B166)</f>
        <v>California</v>
      </c>
      <c r="E166" s="2" t="str">
        <f t="shared" si="164"/>
        <v>Studio City</v>
      </c>
    </row>
    <row r="167" spans="1:5">
      <c r="A167" s="111" t="s">
        <v>9369</v>
      </c>
      <c r="B167" s="111" t="s">
        <v>1321</v>
      </c>
      <c r="C167" s="111" t="s">
        <v>662</v>
      </c>
      <c r="D167" s="2" t="str">
        <f t="shared" ref="D167:E167" si="165">TRIM(B167)</f>
        <v>California</v>
      </c>
      <c r="E167" s="2" t="str">
        <f t="shared" si="165"/>
        <v>Oakland</v>
      </c>
    </row>
    <row r="168" spans="1:5">
      <c r="A168" s="111" t="s">
        <v>9371</v>
      </c>
      <c r="B168" s="111" t="s">
        <v>1321</v>
      </c>
      <c r="C168" s="111" t="s">
        <v>237</v>
      </c>
      <c r="D168" s="2" t="str">
        <f t="shared" ref="D168:E168" si="166">TRIM(B168)</f>
        <v>California</v>
      </c>
      <c r="E168" s="2" t="str">
        <f t="shared" si="166"/>
        <v>San Diego</v>
      </c>
    </row>
    <row r="169" spans="1:5">
      <c r="A169" s="111" t="s">
        <v>9373</v>
      </c>
      <c r="B169" s="111" t="s">
        <v>1321</v>
      </c>
      <c r="C169" s="111" t="s">
        <v>6094</v>
      </c>
      <c r="D169" s="2" t="str">
        <f t="shared" ref="D169:E169" si="167">TRIM(B169)</f>
        <v>California</v>
      </c>
      <c r="E169" s="2" t="str">
        <f t="shared" si="167"/>
        <v>Northridge</v>
      </c>
    </row>
    <row r="170" spans="1:5">
      <c r="A170" s="111" t="s">
        <v>9375</v>
      </c>
      <c r="B170" s="111" t="s">
        <v>1321</v>
      </c>
      <c r="C170" s="111" t="s">
        <v>6244</v>
      </c>
      <c r="D170" s="2" t="str">
        <f t="shared" ref="D170:E170" si="168">TRIM(B170)</f>
        <v>California</v>
      </c>
      <c r="E170" s="2" t="str">
        <f t="shared" si="168"/>
        <v>Orinda</v>
      </c>
    </row>
    <row r="171" spans="1:5">
      <c r="A171" s="111" t="s">
        <v>9378</v>
      </c>
      <c r="B171" s="111" t="s">
        <v>1321</v>
      </c>
      <c r="C171" s="113" t="s">
        <v>9379</v>
      </c>
      <c r="D171" s="2" t="str">
        <f t="shared" ref="D171:E171" si="169">TRIM(B171)</f>
        <v>California</v>
      </c>
      <c r="E171" s="2" t="str">
        <f t="shared" si="169"/>
        <v>Rancho Santa Fe</v>
      </c>
    </row>
    <row r="172" spans="1:5">
      <c r="A172" s="111" t="s">
        <v>9383</v>
      </c>
      <c r="B172" s="111" t="s">
        <v>1321</v>
      </c>
      <c r="C172" s="111" t="s">
        <v>486</v>
      </c>
      <c r="D172" s="2" t="str">
        <f t="shared" ref="D172:E172" si="170">TRIM(B172)</f>
        <v>California</v>
      </c>
      <c r="E172" s="2" t="str">
        <f t="shared" si="170"/>
        <v>Pasadena</v>
      </c>
    </row>
    <row r="173" spans="1:5">
      <c r="A173" s="111" t="s">
        <v>9385</v>
      </c>
      <c r="B173" s="111" t="s">
        <v>1321</v>
      </c>
      <c r="C173" s="111" t="s">
        <v>6988</v>
      </c>
      <c r="D173" s="2" t="str">
        <f t="shared" ref="D173:E173" si="171">TRIM(B173)</f>
        <v>California</v>
      </c>
      <c r="E173" s="2" t="str">
        <f t="shared" si="171"/>
        <v>San Mateo</v>
      </c>
    </row>
    <row r="174" spans="1:5">
      <c r="A174" s="111" t="s">
        <v>9387</v>
      </c>
      <c r="B174" s="111" t="s">
        <v>1321</v>
      </c>
      <c r="C174" s="111" t="s">
        <v>597</v>
      </c>
      <c r="D174" s="2" t="str">
        <f t="shared" ref="D174:E174" si="172">TRIM(B174)</f>
        <v>California</v>
      </c>
      <c r="E174" s="2" t="str">
        <f t="shared" si="172"/>
        <v>Napa</v>
      </c>
    </row>
    <row r="175" spans="1:5">
      <c r="A175" s="111" t="s">
        <v>9390</v>
      </c>
      <c r="B175" s="111" t="s">
        <v>1321</v>
      </c>
      <c r="C175" s="111" t="s">
        <v>4964</v>
      </c>
      <c r="D175" s="2" t="str">
        <f t="shared" ref="D175:E175" si="173">TRIM(B175)</f>
        <v>California</v>
      </c>
      <c r="E175" s="2" t="str">
        <f t="shared" si="173"/>
        <v>Escondido</v>
      </c>
    </row>
    <row r="176" spans="1:5">
      <c r="A176" s="111" t="s">
        <v>9392</v>
      </c>
      <c r="B176" s="111" t="s">
        <v>1321</v>
      </c>
      <c r="C176" s="111" t="s">
        <v>1120</v>
      </c>
      <c r="D176" s="2" t="str">
        <f t="shared" ref="D176:E176" si="174">TRIM(B176)</f>
        <v>California</v>
      </c>
      <c r="E176" s="2" t="str">
        <f t="shared" si="174"/>
        <v>La Jolla</v>
      </c>
    </row>
    <row r="177" spans="1:5">
      <c r="A177" s="111" t="s">
        <v>9394</v>
      </c>
      <c r="B177" s="111" t="s">
        <v>1321</v>
      </c>
      <c r="C177" s="111" t="s">
        <v>7260</v>
      </c>
      <c r="D177" s="2" t="str">
        <f t="shared" ref="D177:E177" si="175">TRIM(B177)</f>
        <v>California</v>
      </c>
      <c r="E177" s="2" t="str">
        <f t="shared" si="175"/>
        <v>Thousand Oaks</v>
      </c>
    </row>
    <row r="178" spans="1:5">
      <c r="A178" s="111" t="s">
        <v>9396</v>
      </c>
      <c r="B178" s="111" t="s">
        <v>1321</v>
      </c>
      <c r="C178" s="111" t="s">
        <v>486</v>
      </c>
      <c r="D178" s="2" t="str">
        <f t="shared" ref="D178:E178" si="176">TRIM(B178)</f>
        <v>California</v>
      </c>
      <c r="E178" s="2" t="str">
        <f t="shared" si="176"/>
        <v>Pasadena</v>
      </c>
    </row>
    <row r="179" spans="1:5">
      <c r="A179" s="111" t="s">
        <v>9398</v>
      </c>
      <c r="B179" s="111" t="s">
        <v>1321</v>
      </c>
      <c r="C179" s="111" t="s">
        <v>260</v>
      </c>
      <c r="D179" s="2" t="str">
        <f t="shared" ref="D179:E179" si="177">TRIM(B179)</f>
        <v>California</v>
      </c>
      <c r="E179" s="2" t="str">
        <f t="shared" si="177"/>
        <v>Riverside</v>
      </c>
    </row>
    <row r="180" spans="1:5">
      <c r="A180" s="111" t="s">
        <v>9400</v>
      </c>
      <c r="B180" s="111" t="s">
        <v>1321</v>
      </c>
      <c r="C180" s="111" t="s">
        <v>662</v>
      </c>
      <c r="D180" s="2" t="str">
        <f t="shared" ref="D180:E180" si="178">TRIM(B180)</f>
        <v>California</v>
      </c>
      <c r="E180" s="2" t="str">
        <f t="shared" si="178"/>
        <v>Oakland</v>
      </c>
    </row>
    <row r="181" spans="1:5">
      <c r="A181" s="111" t="s">
        <v>9402</v>
      </c>
      <c r="B181" s="111" t="s">
        <v>1321</v>
      </c>
      <c r="C181" s="111" t="s">
        <v>4790</v>
      </c>
      <c r="D181" s="2" t="str">
        <f t="shared" ref="D181:E181" si="179">TRIM(B181)</f>
        <v>California</v>
      </c>
      <c r="E181" s="2" t="str">
        <f t="shared" si="179"/>
        <v>Cupertino</v>
      </c>
    </row>
    <row r="182" spans="1:5">
      <c r="A182" s="111" t="s">
        <v>9404</v>
      </c>
      <c r="B182" s="111" t="s">
        <v>1321</v>
      </c>
      <c r="C182" s="111" t="s">
        <v>424</v>
      </c>
      <c r="D182" s="2" t="str">
        <f t="shared" ref="D182:E182" si="180">TRIM(B182)</f>
        <v>California</v>
      </c>
      <c r="E182" s="2" t="str">
        <f t="shared" si="180"/>
        <v>San Francisco</v>
      </c>
    </row>
    <row r="183" spans="1:5">
      <c r="A183" s="111" t="s">
        <v>9406</v>
      </c>
      <c r="B183" s="111" t="s">
        <v>1321</v>
      </c>
      <c r="C183" s="111" t="s">
        <v>6976</v>
      </c>
      <c r="D183" s="2" t="str">
        <f t="shared" ref="D183:E183" si="181">TRIM(B183)</f>
        <v>California</v>
      </c>
      <c r="E183" s="2" t="str">
        <f t="shared" si="181"/>
        <v>San Luis Obispo</v>
      </c>
    </row>
    <row r="184" spans="1:5">
      <c r="A184" s="111" t="s">
        <v>9408</v>
      </c>
      <c r="B184" s="111" t="s">
        <v>1321</v>
      </c>
      <c r="C184" s="111" t="s">
        <v>5529</v>
      </c>
      <c r="D184" s="2" t="str">
        <f t="shared" ref="D184:E184" si="182">TRIM(B184)</f>
        <v>California</v>
      </c>
      <c r="E184" s="2" t="str">
        <f t="shared" si="182"/>
        <v>Lodi</v>
      </c>
    </row>
    <row r="185" spans="1:5">
      <c r="A185" s="111" t="s">
        <v>9410</v>
      </c>
      <c r="B185" s="111" t="s">
        <v>1321</v>
      </c>
      <c r="C185" s="111" t="s">
        <v>332</v>
      </c>
      <c r="D185" s="2" t="str">
        <f t="shared" ref="D185:E185" si="183">TRIM(B185)</f>
        <v>California</v>
      </c>
      <c r="E185" s="2" t="str">
        <f t="shared" si="183"/>
        <v>Loma Linda</v>
      </c>
    </row>
    <row r="186" spans="1:5">
      <c r="A186" s="111" t="s">
        <v>9412</v>
      </c>
      <c r="B186" s="111" t="s">
        <v>1321</v>
      </c>
      <c r="C186" s="111" t="s">
        <v>7542</v>
      </c>
      <c r="D186" s="2" t="str">
        <f t="shared" ref="D186:E186" si="184">TRIM(B186)</f>
        <v>California</v>
      </c>
      <c r="E186" s="2" t="str">
        <f t="shared" si="184"/>
        <v>Woodland Hills</v>
      </c>
    </row>
    <row r="187" spans="1:5">
      <c r="A187" s="111" t="s">
        <v>9414</v>
      </c>
      <c r="B187" s="111" t="s">
        <v>1321</v>
      </c>
      <c r="C187" s="111" t="s">
        <v>323</v>
      </c>
      <c r="D187" s="2" t="str">
        <f t="shared" ref="D187:E187" si="185">TRIM(B187)</f>
        <v>California</v>
      </c>
      <c r="E187" s="2" t="str">
        <f t="shared" si="185"/>
        <v>Los Angeles</v>
      </c>
    </row>
    <row r="188" spans="1:5">
      <c r="A188" s="111" t="s">
        <v>9416</v>
      </c>
      <c r="B188" s="111" t="s">
        <v>1321</v>
      </c>
      <c r="C188" s="111" t="s">
        <v>486</v>
      </c>
      <c r="D188" s="2" t="str">
        <f t="shared" ref="D188:E188" si="186">TRIM(B188)</f>
        <v>California</v>
      </c>
      <c r="E188" s="2" t="str">
        <f t="shared" si="186"/>
        <v>Pasadena</v>
      </c>
    </row>
    <row r="189" spans="1:5">
      <c r="A189" s="111" t="s">
        <v>9418</v>
      </c>
      <c r="B189" s="111" t="s">
        <v>1321</v>
      </c>
      <c r="C189" s="111" t="s">
        <v>7005</v>
      </c>
      <c r="D189" s="2" t="str">
        <f t="shared" ref="D189:E189" si="187">TRIM(B189)</f>
        <v>California</v>
      </c>
      <c r="E189" s="2" t="str">
        <f t="shared" si="187"/>
        <v>San Rafael</v>
      </c>
    </row>
    <row r="190" spans="1:5">
      <c r="A190" s="111" t="s">
        <v>9421</v>
      </c>
      <c r="B190" s="111" t="s">
        <v>1321</v>
      </c>
      <c r="C190" s="111" t="s">
        <v>323</v>
      </c>
      <c r="D190" s="2" t="str">
        <f t="shared" ref="D190:E190" si="188">TRIM(B190)</f>
        <v>California</v>
      </c>
      <c r="E190" s="2" t="str">
        <f t="shared" si="188"/>
        <v>Los Angeles</v>
      </c>
    </row>
    <row r="191" spans="1:5">
      <c r="A191" s="111" t="s">
        <v>9423</v>
      </c>
      <c r="B191" s="111" t="s">
        <v>1321</v>
      </c>
      <c r="C191" s="111" t="s">
        <v>323</v>
      </c>
      <c r="D191" s="2" t="str">
        <f t="shared" ref="D191:E191" si="189">TRIM(B191)</f>
        <v>California</v>
      </c>
      <c r="E191" s="2" t="str">
        <f t="shared" si="189"/>
        <v>Los Angeles</v>
      </c>
    </row>
    <row r="192" spans="1:5">
      <c r="A192" s="111" t="s">
        <v>9425</v>
      </c>
      <c r="B192" s="111" t="s">
        <v>1321</v>
      </c>
      <c r="C192" s="111" t="s">
        <v>615</v>
      </c>
      <c r="D192" s="2" t="str">
        <f t="shared" ref="D192:E192" si="190">TRIM(B192)</f>
        <v>California</v>
      </c>
      <c r="E192" s="2" t="str">
        <f t="shared" si="190"/>
        <v>Santa Ana</v>
      </c>
    </row>
    <row r="193" spans="1:5">
      <c r="A193" s="111" t="s">
        <v>9427</v>
      </c>
      <c r="B193" s="111" t="s">
        <v>1321</v>
      </c>
      <c r="C193" s="111" t="s">
        <v>4478</v>
      </c>
      <c r="D193" s="2" t="str">
        <f t="shared" ref="D193:E193" si="191">TRIM(B193)</f>
        <v>California</v>
      </c>
      <c r="E193" s="2" t="str">
        <f t="shared" si="191"/>
        <v>Berkeley</v>
      </c>
    </row>
    <row r="194" spans="1:5">
      <c r="A194" s="111" t="s">
        <v>9429</v>
      </c>
      <c r="B194" s="111" t="s">
        <v>1321</v>
      </c>
      <c r="C194" s="111" t="s">
        <v>486</v>
      </c>
      <c r="D194" s="2" t="str">
        <f t="shared" ref="D194:E194" si="192">TRIM(B194)</f>
        <v>California</v>
      </c>
      <c r="E194" s="2" t="str">
        <f t="shared" si="192"/>
        <v>Pasadena</v>
      </c>
    </row>
    <row r="195" spans="1:5">
      <c r="A195" s="111" t="s">
        <v>9431</v>
      </c>
      <c r="B195" s="111" t="s">
        <v>1321</v>
      </c>
      <c r="C195" s="111" t="s">
        <v>4399</v>
      </c>
      <c r="D195" s="2" t="str">
        <f t="shared" ref="D195:E195" si="193">TRIM(B195)</f>
        <v>California</v>
      </c>
      <c r="E195" s="2" t="str">
        <f t="shared" si="193"/>
        <v>Atherton</v>
      </c>
    </row>
    <row r="196" spans="1:5">
      <c r="A196" s="111" t="s">
        <v>9433</v>
      </c>
      <c r="B196" s="111" t="s">
        <v>1321</v>
      </c>
      <c r="C196" s="111" t="s">
        <v>662</v>
      </c>
      <c r="D196" s="2" t="str">
        <f t="shared" ref="D196:E196" si="194">TRIM(B196)</f>
        <v>California</v>
      </c>
      <c r="E196" s="2" t="str">
        <f t="shared" si="194"/>
        <v>Oakland</v>
      </c>
    </row>
    <row r="197" spans="1:5">
      <c r="A197" s="111" t="s">
        <v>9435</v>
      </c>
      <c r="B197" s="111" t="s">
        <v>1321</v>
      </c>
      <c r="C197" s="111" t="s">
        <v>6469</v>
      </c>
      <c r="D197" s="2" t="str">
        <f t="shared" ref="D197:E197" si="195">TRIM(B197)</f>
        <v>California</v>
      </c>
      <c r="E197" s="2" t="str">
        <f t="shared" si="195"/>
        <v>Red Bluff</v>
      </c>
    </row>
    <row r="198" spans="1:5">
      <c r="A198" s="111" t="s">
        <v>9438</v>
      </c>
      <c r="B198" s="111" t="s">
        <v>1321</v>
      </c>
      <c r="C198" s="111" t="s">
        <v>424</v>
      </c>
      <c r="D198" s="2" t="str">
        <f t="shared" ref="D198:E198" si="196">TRIM(B198)</f>
        <v>California</v>
      </c>
      <c r="E198" s="2" t="str">
        <f t="shared" si="196"/>
        <v>San Francisco</v>
      </c>
    </row>
    <row r="199" spans="1:5">
      <c r="A199" s="111" t="s">
        <v>9442</v>
      </c>
      <c r="B199" s="111" t="s">
        <v>1321</v>
      </c>
      <c r="C199" s="111" t="s">
        <v>9443</v>
      </c>
      <c r="D199" s="2" t="str">
        <f t="shared" ref="D199:E199" si="197">TRIM(B199)</f>
        <v>California</v>
      </c>
      <c r="E199" s="2" t="str">
        <f t="shared" si="197"/>
        <v>Calimesa</v>
      </c>
    </row>
    <row r="200" spans="1:5">
      <c r="A200" s="111" t="s">
        <v>9446</v>
      </c>
      <c r="B200" s="111" t="s">
        <v>1321</v>
      </c>
      <c r="C200" s="111" t="s">
        <v>5935</v>
      </c>
      <c r="D200" s="2" t="str">
        <f t="shared" ref="D200:E200" si="198">TRIM(B200)</f>
        <v>California</v>
      </c>
      <c r="E200" s="2" t="str">
        <f t="shared" si="198"/>
        <v>Menlo Park</v>
      </c>
    </row>
    <row r="201" spans="1:5">
      <c r="A201" s="111" t="s">
        <v>9449</v>
      </c>
      <c r="B201" s="111" t="s">
        <v>1321</v>
      </c>
      <c r="C201" s="111" t="s">
        <v>323</v>
      </c>
      <c r="D201" s="2" t="str">
        <f t="shared" ref="D201:E201" si="199">TRIM(B201)</f>
        <v>California</v>
      </c>
      <c r="E201" s="2" t="str">
        <f t="shared" si="199"/>
        <v>Los Angeles</v>
      </c>
    </row>
    <row r="202" spans="1:5">
      <c r="A202" s="111" t="s">
        <v>9452</v>
      </c>
      <c r="B202" s="111" t="s">
        <v>1321</v>
      </c>
      <c r="C202" s="111" t="s">
        <v>6976</v>
      </c>
      <c r="D202" s="2" t="str">
        <f t="shared" ref="D202:E202" si="200">TRIM(B202)</f>
        <v>California</v>
      </c>
      <c r="E202" s="2" t="str">
        <f t="shared" si="200"/>
        <v>San Luis Obispo</v>
      </c>
    </row>
    <row r="203" spans="1:5">
      <c r="A203" s="111" t="s">
        <v>9454</v>
      </c>
      <c r="B203" s="111" t="s">
        <v>1321</v>
      </c>
      <c r="C203" s="111" t="s">
        <v>9455</v>
      </c>
      <c r="D203" s="2" t="str">
        <f t="shared" ref="D203:E203" si="201">TRIM(B203)</f>
        <v>California</v>
      </c>
      <c r="E203" s="2" t="str">
        <f t="shared" si="201"/>
        <v>La Selva Beach</v>
      </c>
    </row>
    <row r="204" spans="1:5">
      <c r="A204" s="111" t="s">
        <v>9458</v>
      </c>
      <c r="B204" s="111" t="s">
        <v>1321</v>
      </c>
      <c r="C204" s="111" t="s">
        <v>4059</v>
      </c>
      <c r="D204" s="2" t="str">
        <f t="shared" ref="D204:E204" si="202">TRIM(B204)</f>
        <v>California</v>
      </c>
      <c r="E204" s="2" t="str">
        <f t="shared" si="202"/>
        <v>Mountain View</v>
      </c>
    </row>
    <row r="205" spans="1:5">
      <c r="A205" s="111" t="s">
        <v>9460</v>
      </c>
      <c r="B205" s="111" t="s">
        <v>1321</v>
      </c>
      <c r="C205" s="111" t="s">
        <v>9461</v>
      </c>
      <c r="D205" s="2" t="str">
        <f t="shared" ref="D205:E205" si="203">TRIM(B205)</f>
        <v>California</v>
      </c>
      <c r="E205" s="2" t="str">
        <f t="shared" si="203"/>
        <v>Mt Madonna</v>
      </c>
    </row>
    <row r="206" spans="1:5">
      <c r="A206" s="111" t="s">
        <v>9463</v>
      </c>
      <c r="B206" s="111" t="s">
        <v>1321</v>
      </c>
      <c r="C206" s="111" t="s">
        <v>597</v>
      </c>
      <c r="D206" s="2" t="str">
        <f t="shared" ref="D206:E206" si="204">TRIM(B206)</f>
        <v>California</v>
      </c>
      <c r="E206" s="2" t="str">
        <f t="shared" si="204"/>
        <v>Napa</v>
      </c>
    </row>
    <row r="207" spans="1:5">
      <c r="A207" s="111" t="s">
        <v>9464</v>
      </c>
      <c r="B207" s="111" t="s">
        <v>1321</v>
      </c>
      <c r="C207" s="111" t="s">
        <v>7148</v>
      </c>
      <c r="D207" s="2" t="str">
        <f t="shared" ref="D207:E207" si="205">TRIM(B207)</f>
        <v>California</v>
      </c>
      <c r="E207" s="2" t="str">
        <f t="shared" si="205"/>
        <v>Sonoma</v>
      </c>
    </row>
    <row r="208" spans="1:5">
      <c r="A208" s="111" t="s">
        <v>9466</v>
      </c>
      <c r="B208" s="111" t="s">
        <v>1321</v>
      </c>
      <c r="C208" s="111" t="s">
        <v>9467</v>
      </c>
      <c r="D208" s="2" t="str">
        <f t="shared" ref="D208:E208" si="206">TRIM(B208)</f>
        <v>California</v>
      </c>
      <c r="E208" s="2" t="str">
        <f t="shared" si="206"/>
        <v>Sherman Oaks</v>
      </c>
    </row>
    <row r="209" spans="1:5">
      <c r="A209" s="111" t="s">
        <v>9466</v>
      </c>
      <c r="B209" s="111" t="s">
        <v>1321</v>
      </c>
      <c r="C209" s="111" t="s">
        <v>611</v>
      </c>
      <c r="D209" s="2" t="str">
        <f t="shared" ref="D209:E209" si="207">TRIM(B209)</f>
        <v>California</v>
      </c>
      <c r="E209" s="2" t="str">
        <f t="shared" si="207"/>
        <v>San Jose</v>
      </c>
    </row>
    <row r="210" spans="1:5">
      <c r="A210" s="111" t="s">
        <v>9466</v>
      </c>
      <c r="B210" s="111" t="s">
        <v>1321</v>
      </c>
      <c r="C210" s="111" t="s">
        <v>4471</v>
      </c>
      <c r="D210" s="2" t="str">
        <f t="shared" ref="D210:E210" si="208">TRIM(B210)</f>
        <v>California</v>
      </c>
      <c r="E210" s="2" t="str">
        <f t="shared" si="208"/>
        <v>Belmont</v>
      </c>
    </row>
    <row r="211" spans="1:5">
      <c r="A211" s="111" t="s">
        <v>9466</v>
      </c>
      <c r="B211" s="111" t="s">
        <v>1321</v>
      </c>
      <c r="C211" s="111" t="s">
        <v>260</v>
      </c>
      <c r="D211" s="2" t="str">
        <f t="shared" ref="D211:E211" si="209">TRIM(B211)</f>
        <v>California</v>
      </c>
      <c r="E211" s="2" t="str">
        <f t="shared" si="209"/>
        <v>Riverside</v>
      </c>
    </row>
    <row r="212" spans="1:5">
      <c r="A212" s="111" t="s">
        <v>9471</v>
      </c>
      <c r="B212" s="111" t="s">
        <v>1321</v>
      </c>
      <c r="C212" s="111" t="s">
        <v>6212</v>
      </c>
      <c r="D212" s="2" t="str">
        <f t="shared" ref="D212:E212" si="210">TRIM(B212)</f>
        <v>California</v>
      </c>
      <c r="E212" s="2" t="str">
        <f t="shared" si="210"/>
        <v>Ojai</v>
      </c>
    </row>
    <row r="213" spans="1:5">
      <c r="A213" s="111" t="s">
        <v>9473</v>
      </c>
      <c r="B213" s="111" t="s">
        <v>1321</v>
      </c>
      <c r="C213" s="111" t="s">
        <v>6018</v>
      </c>
      <c r="D213" s="2" t="str">
        <f t="shared" ref="D213:E213" si="211">TRIM(B213)</f>
        <v>California</v>
      </c>
      <c r="E213" s="2" t="str">
        <f t="shared" si="211"/>
        <v>Morgan Hill</v>
      </c>
    </row>
    <row r="214" spans="1:5">
      <c r="A214" s="111" t="s">
        <v>9475</v>
      </c>
      <c r="B214" s="111" t="s">
        <v>1321</v>
      </c>
      <c r="C214" s="111" t="s">
        <v>6087</v>
      </c>
      <c r="D214" s="2" t="str">
        <f t="shared" ref="D214:E214" si="212">TRIM(B214)</f>
        <v>California</v>
      </c>
      <c r="E214" s="2" t="str">
        <f t="shared" si="212"/>
        <v>North Hollywood</v>
      </c>
    </row>
    <row r="215" spans="1:5">
      <c r="A215" s="111" t="s">
        <v>9477</v>
      </c>
      <c r="B215" s="111" t="s">
        <v>1321</v>
      </c>
      <c r="C215" s="111" t="s">
        <v>6212</v>
      </c>
      <c r="D215" s="2" t="str">
        <f t="shared" ref="D215:E215" si="213">TRIM(B215)</f>
        <v>California</v>
      </c>
      <c r="E215" s="2" t="str">
        <f t="shared" si="213"/>
        <v>Ojai</v>
      </c>
    </row>
    <row r="216" spans="1:5">
      <c r="A216" s="111" t="s">
        <v>9480</v>
      </c>
      <c r="B216" s="111" t="s">
        <v>1321</v>
      </c>
      <c r="C216" s="111" t="s">
        <v>5125</v>
      </c>
      <c r="D216" s="2" t="str">
        <f t="shared" ref="D216:E216" si="214">TRIM(B216)</f>
        <v>California</v>
      </c>
      <c r="E216" s="2" t="str">
        <f t="shared" si="214"/>
        <v>Garden Grove</v>
      </c>
    </row>
    <row r="217" spans="1:5">
      <c r="A217" s="111" t="s">
        <v>9481</v>
      </c>
      <c r="B217" s="111" t="s">
        <v>1321</v>
      </c>
      <c r="C217" s="111" t="s">
        <v>6244</v>
      </c>
      <c r="D217" s="2" t="str">
        <f t="shared" ref="D217:E217" si="215">TRIM(B217)</f>
        <v>California</v>
      </c>
      <c r="E217" s="2" t="str">
        <f t="shared" si="215"/>
        <v>Orinda</v>
      </c>
    </row>
    <row r="218" spans="1:5">
      <c r="A218" s="111" t="s">
        <v>9485</v>
      </c>
      <c r="B218" s="111" t="s">
        <v>1321</v>
      </c>
      <c r="C218" s="111" t="s">
        <v>6609</v>
      </c>
      <c r="D218" s="2" t="str">
        <f t="shared" ref="D218:E218" si="216">TRIM(B218)</f>
        <v>California</v>
      </c>
      <c r="E218" s="2" t="str">
        <f t="shared" si="216"/>
        <v>Rowland Heights</v>
      </c>
    </row>
    <row r="219" spans="1:5">
      <c r="A219" s="111" t="s">
        <v>9487</v>
      </c>
      <c r="B219" s="111" t="s">
        <v>1321</v>
      </c>
      <c r="C219" s="111" t="s">
        <v>4953</v>
      </c>
      <c r="D219" s="2" t="str">
        <f t="shared" ref="D219:E219" si="217">TRIM(B219)</f>
        <v>California</v>
      </c>
      <c r="E219" s="2" t="str">
        <f t="shared" si="217"/>
        <v>Encinitas</v>
      </c>
    </row>
    <row r="220" spans="1:5">
      <c r="A220" s="111" t="s">
        <v>9487</v>
      </c>
      <c r="B220" s="111" t="s">
        <v>1321</v>
      </c>
      <c r="C220" s="111" t="s">
        <v>5340</v>
      </c>
      <c r="D220" s="2" t="str">
        <f t="shared" ref="D220:E220" si="218">TRIM(B220)</f>
        <v>California</v>
      </c>
      <c r="E220" s="2" t="str">
        <f t="shared" si="218"/>
        <v>Irvine</v>
      </c>
    </row>
    <row r="221" spans="1:5">
      <c r="A221" s="111" t="s">
        <v>9491</v>
      </c>
      <c r="B221" s="111" t="s">
        <v>1321</v>
      </c>
      <c r="C221" s="111" t="s">
        <v>514</v>
      </c>
      <c r="D221" s="2" t="str">
        <f t="shared" ref="D221:E221" si="219">TRIM(B221)</f>
        <v>California</v>
      </c>
      <c r="E221" s="2" t="str">
        <f t="shared" si="219"/>
        <v>Carlsbad</v>
      </c>
    </row>
    <row r="222" spans="1:5">
      <c r="A222" s="111" t="s">
        <v>9493</v>
      </c>
      <c r="B222" s="111" t="s">
        <v>1321</v>
      </c>
      <c r="C222" s="111" t="s">
        <v>6466</v>
      </c>
      <c r="D222" s="2" t="str">
        <f t="shared" ref="D222:E222" si="220">TRIM(B222)</f>
        <v>California</v>
      </c>
      <c r="E222" s="2" t="str">
        <f t="shared" si="220"/>
        <v>Rancho Mirage</v>
      </c>
    </row>
    <row r="223" spans="1:5">
      <c r="A223" s="111" t="s">
        <v>9495</v>
      </c>
      <c r="B223" s="111" t="s">
        <v>1321</v>
      </c>
      <c r="C223" s="111" t="s">
        <v>6672</v>
      </c>
      <c r="D223" s="2" t="str">
        <f t="shared" ref="D223:E223" si="221">TRIM(B223)</f>
        <v>California</v>
      </c>
      <c r="E223" s="2" t="str">
        <f t="shared" si="221"/>
        <v>Salinas</v>
      </c>
    </row>
    <row r="224" spans="1:5">
      <c r="A224" s="111" t="s">
        <v>9498</v>
      </c>
      <c r="B224" s="111" t="s">
        <v>1321</v>
      </c>
      <c r="C224" s="111" t="s">
        <v>61</v>
      </c>
      <c r="D224" s="2" t="str">
        <f t="shared" ref="D224:E224" si="222">TRIM(B224)</f>
        <v>California</v>
      </c>
      <c r="E224" s="2" t="str">
        <f t="shared" si="222"/>
        <v>Lancaster</v>
      </c>
    </row>
    <row r="225" spans="1:5">
      <c r="A225" s="111" t="s">
        <v>9501</v>
      </c>
      <c r="B225" s="111" t="s">
        <v>1321</v>
      </c>
      <c r="C225" s="111" t="s">
        <v>9503</v>
      </c>
      <c r="D225" s="2" t="str">
        <f t="shared" ref="D225:E225" si="223">TRIM(B225)</f>
        <v>California</v>
      </c>
      <c r="E225" s="2" t="str">
        <f t="shared" si="223"/>
        <v>Alta Dena</v>
      </c>
    </row>
    <row r="226" spans="1:5">
      <c r="A226" s="111" t="s">
        <v>9504</v>
      </c>
      <c r="B226" s="111" t="s">
        <v>1321</v>
      </c>
      <c r="C226" s="111" t="s">
        <v>323</v>
      </c>
      <c r="D226" s="2" t="str">
        <f t="shared" ref="D226:E226" si="224">TRIM(B226)</f>
        <v>California</v>
      </c>
      <c r="E226" s="2" t="str">
        <f t="shared" si="224"/>
        <v>Los Angeles</v>
      </c>
    </row>
    <row r="227" spans="1:5">
      <c r="A227" s="111" t="s">
        <v>9507</v>
      </c>
      <c r="B227" s="111" t="s">
        <v>1321</v>
      </c>
      <c r="C227" s="111" t="s">
        <v>486</v>
      </c>
      <c r="D227" s="2" t="str">
        <f t="shared" ref="D227:E227" si="225">TRIM(B227)</f>
        <v>California</v>
      </c>
      <c r="E227" s="2" t="str">
        <f t="shared" si="225"/>
        <v>Pasadena</v>
      </c>
    </row>
    <row r="228" spans="1:5">
      <c r="A228" s="111" t="s">
        <v>9509</v>
      </c>
      <c r="B228" s="111" t="s">
        <v>1321</v>
      </c>
      <c r="C228" s="111" t="s">
        <v>9510</v>
      </c>
      <c r="D228" s="2" t="str">
        <f t="shared" ref="D228:E228" si="226">TRIM(B228)</f>
        <v>California</v>
      </c>
      <c r="E228" s="2" t="str">
        <f t="shared" si="226"/>
        <v>Stevinson</v>
      </c>
    </row>
    <row r="229" spans="1:5">
      <c r="A229" s="111" t="s">
        <v>9512</v>
      </c>
      <c r="B229" s="111" t="s">
        <v>1321</v>
      </c>
      <c r="C229" s="111" t="s">
        <v>7044</v>
      </c>
      <c r="D229" s="2" t="str">
        <f t="shared" ref="D229:E229" si="227">TRIM(B229)</f>
        <v>California</v>
      </c>
      <c r="E229" s="2" t="str">
        <f t="shared" si="227"/>
        <v>Santa Barbara</v>
      </c>
    </row>
    <row r="230" spans="1:5">
      <c r="A230" s="111" t="s">
        <v>9515</v>
      </c>
      <c r="B230" s="111" t="s">
        <v>1321</v>
      </c>
      <c r="C230" s="111" t="s">
        <v>4526</v>
      </c>
      <c r="D230" s="2" t="str">
        <f t="shared" ref="D230:E230" si="228">TRIM(B230)</f>
        <v>California</v>
      </c>
      <c r="E230" s="2" t="str">
        <f t="shared" si="228"/>
        <v>Burbank</v>
      </c>
    </row>
    <row r="231" spans="1:5">
      <c r="A231" s="111" t="s">
        <v>9517</v>
      </c>
      <c r="B231" s="111" t="s">
        <v>1321</v>
      </c>
      <c r="C231" s="111" t="s">
        <v>4308</v>
      </c>
      <c r="D231" s="2" t="str">
        <f t="shared" ref="D231:E231" si="229">TRIM(B231)</f>
        <v>California</v>
      </c>
      <c r="E231" s="2" t="str">
        <f t="shared" si="229"/>
        <v>Alhambra</v>
      </c>
    </row>
    <row r="232" spans="1:5">
      <c r="A232" s="111" t="s">
        <v>9520</v>
      </c>
      <c r="B232" s="111" t="s">
        <v>1321</v>
      </c>
      <c r="C232" s="111" t="s">
        <v>929</v>
      </c>
      <c r="D232" s="2" t="str">
        <f t="shared" ref="D232:E232" si="230">TRIM(B232)</f>
        <v>California</v>
      </c>
      <c r="E232" s="2" t="str">
        <f t="shared" si="230"/>
        <v>Altadena</v>
      </c>
    </row>
    <row r="233" spans="1:5">
      <c r="A233" s="111" t="s">
        <v>9522</v>
      </c>
      <c r="B233" s="111" t="s">
        <v>1321</v>
      </c>
      <c r="C233" s="111" t="s">
        <v>6999</v>
      </c>
      <c r="D233" s="2" t="str">
        <f t="shared" ref="D233:E233" si="231">TRIM(B233)</f>
        <v>California</v>
      </c>
      <c r="E233" s="2" t="str">
        <f t="shared" si="231"/>
        <v>San Pedro</v>
      </c>
    </row>
    <row r="234" spans="1:5">
      <c r="A234" s="111" t="s">
        <v>9524</v>
      </c>
      <c r="B234" s="111" t="s">
        <v>1321</v>
      </c>
      <c r="C234" s="111" t="s">
        <v>548</v>
      </c>
      <c r="D234" s="2" t="str">
        <f t="shared" ref="D234:E234" si="232">TRIM(B234)</f>
        <v>California</v>
      </c>
      <c r="E234" s="2" t="str">
        <f t="shared" si="232"/>
        <v>Fullerton</v>
      </c>
    </row>
    <row r="235" spans="1:5">
      <c r="A235" s="111" t="s">
        <v>9527</v>
      </c>
      <c r="B235" s="111" t="s">
        <v>1321</v>
      </c>
      <c r="C235" s="111" t="s">
        <v>323</v>
      </c>
      <c r="D235" s="2" t="str">
        <f t="shared" ref="D235:E235" si="233">TRIM(B235)</f>
        <v>California</v>
      </c>
      <c r="E235" s="2" t="str">
        <f t="shared" si="233"/>
        <v>Los Angeles</v>
      </c>
    </row>
    <row r="236" spans="1:5">
      <c r="A236" s="111" t="s">
        <v>9529</v>
      </c>
      <c r="B236" s="111" t="s">
        <v>1321</v>
      </c>
      <c r="C236" s="111" t="s">
        <v>348</v>
      </c>
      <c r="D236" s="2" t="str">
        <f t="shared" ref="D236:E236" si="234">TRIM(B236)</f>
        <v>California</v>
      </c>
      <c r="E236" s="2" t="str">
        <f t="shared" si="234"/>
        <v>Sacramento</v>
      </c>
    </row>
    <row r="237" spans="1:5">
      <c r="A237" s="111" t="s">
        <v>9532</v>
      </c>
      <c r="B237" s="111" t="s">
        <v>1321</v>
      </c>
      <c r="C237" s="111" t="s">
        <v>323</v>
      </c>
      <c r="D237" s="2" t="str">
        <f t="shared" ref="D237:E237" si="235">TRIM(B237)</f>
        <v>California</v>
      </c>
      <c r="E237" s="2" t="str">
        <f t="shared" si="235"/>
        <v>Los Angeles</v>
      </c>
    </row>
    <row r="238" spans="1:5">
      <c r="A238" s="111" t="s">
        <v>9534</v>
      </c>
      <c r="B238" s="111" t="s">
        <v>1321</v>
      </c>
      <c r="C238" s="111" t="s">
        <v>9535</v>
      </c>
      <c r="D238" s="2" t="str">
        <f t="shared" ref="D238:E238" si="236">TRIM(B238)</f>
        <v>California</v>
      </c>
      <c r="E238" s="2" t="str">
        <f t="shared" si="236"/>
        <v>Newport Coast</v>
      </c>
    </row>
    <row r="239" spans="1:5">
      <c r="A239" s="111" t="s">
        <v>9538</v>
      </c>
      <c r="B239" s="111" t="s">
        <v>1321</v>
      </c>
      <c r="C239" s="111" t="s">
        <v>657</v>
      </c>
      <c r="D239" s="2" t="str">
        <f t="shared" ref="D239:E239" si="237">TRIM(B239)</f>
        <v>California</v>
      </c>
      <c r="E239" s="2" t="str">
        <f t="shared" si="237"/>
        <v>Richmond</v>
      </c>
    </row>
    <row r="240" spans="1:5">
      <c r="A240" s="111" t="s">
        <v>9540</v>
      </c>
      <c r="B240" s="111" t="s">
        <v>1321</v>
      </c>
      <c r="C240" s="111" t="s">
        <v>6045</v>
      </c>
      <c r="D240" s="2" t="str">
        <f t="shared" ref="D240:E240" si="238">TRIM(B240)</f>
        <v>California</v>
      </c>
      <c r="E240" s="2" t="str">
        <f t="shared" si="238"/>
        <v>National City</v>
      </c>
    </row>
    <row r="241" spans="1:5">
      <c r="A241" s="111" t="s">
        <v>9543</v>
      </c>
      <c r="B241" s="111" t="s">
        <v>1321</v>
      </c>
      <c r="C241" s="112" t="s">
        <v>6690</v>
      </c>
      <c r="D241" s="2" t="str">
        <f t="shared" ref="D241:E241" si="239">TRIM(B241)</f>
        <v>California</v>
      </c>
      <c r="E241" s="2" t="str">
        <f t="shared" si="239"/>
        <v>San Anselmo</v>
      </c>
    </row>
    <row r="242" spans="1:5">
      <c r="A242" s="111" t="s">
        <v>9545</v>
      </c>
      <c r="B242" s="111" t="s">
        <v>1321</v>
      </c>
      <c r="C242" s="111" t="s">
        <v>424</v>
      </c>
      <c r="D242" s="2" t="str">
        <f t="shared" ref="D242:E242" si="240">TRIM(B242)</f>
        <v>California</v>
      </c>
      <c r="E242" s="2" t="str">
        <f t="shared" si="240"/>
        <v>San Francisco</v>
      </c>
    </row>
    <row r="243" spans="1:5">
      <c r="A243" s="111" t="s">
        <v>9548</v>
      </c>
      <c r="B243" s="111" t="s">
        <v>1321</v>
      </c>
      <c r="C243" s="111" t="s">
        <v>424</v>
      </c>
      <c r="D243" s="2" t="str">
        <f t="shared" ref="D243:E243" si="241">TRIM(B243)</f>
        <v>California</v>
      </c>
      <c r="E243" s="2" t="str">
        <f t="shared" si="241"/>
        <v>San Francisco</v>
      </c>
    </row>
    <row r="244" spans="1:5">
      <c r="A244" s="111" t="s">
        <v>9551</v>
      </c>
      <c r="B244" s="111" t="s">
        <v>1321</v>
      </c>
      <c r="C244" s="111" t="s">
        <v>424</v>
      </c>
      <c r="D244" s="2" t="str">
        <f t="shared" ref="D244:E244" si="242">TRIM(B244)</f>
        <v>California</v>
      </c>
      <c r="E244" s="2" t="str">
        <f t="shared" si="242"/>
        <v>San Francisco</v>
      </c>
    </row>
    <row r="245" spans="1:5">
      <c r="A245" s="111" t="s">
        <v>9553</v>
      </c>
      <c r="B245" s="111" t="s">
        <v>1321</v>
      </c>
      <c r="C245" s="111" t="s">
        <v>6876</v>
      </c>
      <c r="D245" s="2" t="str">
        <f t="shared" ref="D245:E245" si="243">TRIM(B245)</f>
        <v>California</v>
      </c>
      <c r="E245" s="2" t="str">
        <f t="shared" si="243"/>
        <v>San Gabriel</v>
      </c>
    </row>
    <row r="246" spans="1:5">
      <c r="A246" s="111" t="s">
        <v>9555</v>
      </c>
      <c r="B246" s="111" t="s">
        <v>1321</v>
      </c>
      <c r="C246" s="111" t="s">
        <v>6876</v>
      </c>
      <c r="D246" s="2" t="str">
        <f t="shared" ref="D246:E246" si="244">TRIM(B246)</f>
        <v>California</v>
      </c>
      <c r="E246" s="2" t="str">
        <f t="shared" si="244"/>
        <v>San Gabriel</v>
      </c>
    </row>
    <row r="247" spans="1:5">
      <c r="A247" s="111" t="s">
        <v>9557</v>
      </c>
      <c r="B247" s="111" t="s">
        <v>1321</v>
      </c>
      <c r="C247" s="113" t="s">
        <v>9558</v>
      </c>
      <c r="D247" s="2" t="str">
        <f t="shared" ref="D247:E247" si="245">TRIM(B247)</f>
        <v>California</v>
      </c>
      <c r="E247" s="2" t="str">
        <f t="shared" si="245"/>
        <v>San Joaquin Memorial H</v>
      </c>
    </row>
    <row r="248" spans="1:5">
      <c r="A248" s="111" t="s">
        <v>9561</v>
      </c>
      <c r="B248" s="111" t="s">
        <v>1321</v>
      </c>
      <c r="C248" s="111" t="s">
        <v>5995</v>
      </c>
      <c r="D248" s="2" t="str">
        <f t="shared" ref="D248:E248" si="246">TRIM(B248)</f>
        <v>California</v>
      </c>
      <c r="E248" s="2" t="str">
        <f t="shared" si="246"/>
        <v>Monterey</v>
      </c>
    </row>
    <row r="249" spans="1:5">
      <c r="A249" s="111" t="s">
        <v>9563</v>
      </c>
      <c r="B249" s="111" t="s">
        <v>1321</v>
      </c>
      <c r="C249" s="111" t="s">
        <v>5406</v>
      </c>
      <c r="D249" s="2" t="str">
        <f t="shared" ref="D249:E249" si="247">TRIM(B249)</f>
        <v>California</v>
      </c>
      <c r="E249" s="2" t="str">
        <f t="shared" si="247"/>
        <v>La Palma</v>
      </c>
    </row>
    <row r="250" spans="1:5">
      <c r="A250" s="111" t="s">
        <v>9566</v>
      </c>
      <c r="B250" s="111" t="s">
        <v>1321</v>
      </c>
      <c r="C250" s="111" t="s">
        <v>363</v>
      </c>
      <c r="D250" s="2" t="str">
        <f t="shared" ref="D250:E250" si="248">TRIM(B250)</f>
        <v>California</v>
      </c>
      <c r="E250" s="2" t="str">
        <f t="shared" si="248"/>
        <v>Anaheim</v>
      </c>
    </row>
    <row r="251" spans="1:5">
      <c r="A251" s="111" t="s">
        <v>9569</v>
      </c>
      <c r="B251" s="111" t="s">
        <v>1321</v>
      </c>
      <c r="C251" s="111" t="s">
        <v>585</v>
      </c>
      <c r="D251" s="2" t="str">
        <f t="shared" ref="D251:E251" si="249">TRIM(B251)</f>
        <v>California</v>
      </c>
      <c r="E251" s="2" t="str">
        <f t="shared" si="249"/>
        <v>Santa Clara</v>
      </c>
    </row>
    <row r="252" spans="1:5">
      <c r="A252" s="111" t="s">
        <v>9572</v>
      </c>
      <c r="B252" s="111" t="s">
        <v>1321</v>
      </c>
      <c r="C252" s="111" t="s">
        <v>7468</v>
      </c>
      <c r="D252" s="2" t="str">
        <f t="shared" ref="D252:E252" si="250">TRIM(B252)</f>
        <v>California</v>
      </c>
      <c r="E252" s="2" t="str">
        <f t="shared" si="250"/>
        <v>West Covina</v>
      </c>
    </row>
    <row r="253" spans="1:5">
      <c r="A253" s="111" t="s">
        <v>9575</v>
      </c>
      <c r="B253" s="111" t="s">
        <v>1321</v>
      </c>
      <c r="C253" s="111" t="s">
        <v>6985</v>
      </c>
      <c r="D253" s="2" t="str">
        <f t="shared" ref="D253:E253" si="251">TRIM(B253)</f>
        <v>California</v>
      </c>
      <c r="E253" s="2" t="str">
        <f t="shared" si="251"/>
        <v>San Marino</v>
      </c>
    </row>
    <row r="254" spans="1:5">
      <c r="A254" s="111" t="s">
        <v>9577</v>
      </c>
      <c r="B254" s="111" t="s">
        <v>1321</v>
      </c>
      <c r="C254" s="111" t="s">
        <v>5148</v>
      </c>
      <c r="D254" s="2" t="str">
        <f t="shared" ref="D254:E254" si="252">TRIM(B254)</f>
        <v>California</v>
      </c>
      <c r="E254" s="2" t="str">
        <f t="shared" si="252"/>
        <v>Gilroy</v>
      </c>
    </row>
    <row r="255" spans="1:5">
      <c r="A255" s="111" t="s">
        <v>9578</v>
      </c>
      <c r="B255" s="111" t="s">
        <v>1321</v>
      </c>
      <c r="C255" s="111" t="s">
        <v>9579</v>
      </c>
      <c r="D255" s="2" t="str">
        <f t="shared" ref="D255:E255" si="253">TRIM(B255)</f>
        <v>California</v>
      </c>
      <c r="E255" s="2" t="str">
        <f t="shared" si="253"/>
        <v>Olympic Valley</v>
      </c>
    </row>
    <row r="256" spans="1:5">
      <c r="A256" s="76" t="s">
        <v>9582</v>
      </c>
      <c r="B256" s="111" t="s">
        <v>1321</v>
      </c>
      <c r="C256" s="111" t="s">
        <v>2262</v>
      </c>
      <c r="D256" s="2" t="str">
        <f t="shared" ref="D256:E256" si="254">TRIM(B256)</f>
        <v>California</v>
      </c>
      <c r="E256" s="2" t="str">
        <f t="shared" si="254"/>
        <v>Chester</v>
      </c>
    </row>
    <row r="257" spans="1:5">
      <c r="A257" s="111" t="s">
        <v>9584</v>
      </c>
      <c r="B257" s="111" t="s">
        <v>1321</v>
      </c>
      <c r="C257" s="111" t="s">
        <v>528</v>
      </c>
      <c r="D257" s="2" t="str">
        <f t="shared" ref="D257:E257" si="255">TRIM(B257)</f>
        <v>California</v>
      </c>
      <c r="E257" s="2" t="str">
        <f t="shared" si="255"/>
        <v>Long Beach</v>
      </c>
    </row>
    <row r="258" spans="1:5">
      <c r="A258" s="111" t="s">
        <v>9588</v>
      </c>
      <c r="B258" s="111" t="s">
        <v>1321</v>
      </c>
      <c r="C258" s="111" t="s">
        <v>237</v>
      </c>
      <c r="D258" s="2" t="str">
        <f t="shared" ref="D258:E258" si="256">TRIM(B258)</f>
        <v>California</v>
      </c>
      <c r="E258" s="2" t="str">
        <f t="shared" si="256"/>
        <v>San Diego</v>
      </c>
    </row>
    <row r="259" spans="1:5">
      <c r="A259" s="111" t="s">
        <v>9590</v>
      </c>
      <c r="B259" s="111" t="s">
        <v>1321</v>
      </c>
      <c r="C259" s="111" t="s">
        <v>9591</v>
      </c>
      <c r="D259" s="2" t="str">
        <f t="shared" ref="D259:E259" si="257">TRIM(B259)</f>
        <v>California</v>
      </c>
      <c r="E259" s="2" t="str">
        <f t="shared" si="257"/>
        <v>Playa Del Rey</v>
      </c>
    </row>
    <row r="260" spans="1:5">
      <c r="A260" s="111" t="s">
        <v>9593</v>
      </c>
      <c r="B260" s="111" t="s">
        <v>1321</v>
      </c>
      <c r="C260" s="111" t="s">
        <v>4989</v>
      </c>
      <c r="D260" s="2" t="str">
        <f t="shared" ref="D260:E260" si="258">TRIM(B260)</f>
        <v>California</v>
      </c>
      <c r="E260" s="2" t="str">
        <f t="shared" si="258"/>
        <v>Eureka</v>
      </c>
    </row>
    <row r="261" spans="1:5">
      <c r="A261" s="111" t="s">
        <v>9595</v>
      </c>
      <c r="B261" s="111" t="s">
        <v>1321</v>
      </c>
      <c r="C261" s="113" t="s">
        <v>9318</v>
      </c>
      <c r="D261" s="2" t="str">
        <f t="shared" ref="D261:E261" si="259">TRIM(B261)</f>
        <v>California</v>
      </c>
      <c r="E261" s="2" t="str">
        <f t="shared" si="259"/>
        <v>La Canada Flintridge</v>
      </c>
    </row>
    <row r="262" spans="1:5">
      <c r="A262" s="111" t="s">
        <v>9595</v>
      </c>
      <c r="B262" s="111" t="s">
        <v>1321</v>
      </c>
      <c r="C262" s="111" t="s">
        <v>4059</v>
      </c>
      <c r="D262" s="2" t="str">
        <f t="shared" ref="D262:E262" si="260">TRIM(B262)</f>
        <v>California</v>
      </c>
      <c r="E262" s="2" t="str">
        <f t="shared" si="260"/>
        <v>Mountain View</v>
      </c>
    </row>
    <row r="263" spans="1:5">
      <c r="A263" s="111" t="s">
        <v>9598</v>
      </c>
      <c r="B263" s="111" t="s">
        <v>1321</v>
      </c>
      <c r="C263" s="111" t="s">
        <v>7451</v>
      </c>
      <c r="D263" s="2" t="str">
        <f t="shared" ref="D263:E263" si="261">TRIM(B263)</f>
        <v>California</v>
      </c>
      <c r="E263" s="2" t="str">
        <f t="shared" si="261"/>
        <v>Watsonville</v>
      </c>
    </row>
    <row r="264" spans="1:5">
      <c r="A264" s="111" t="s">
        <v>9601</v>
      </c>
      <c r="B264" s="111" t="s">
        <v>1321</v>
      </c>
      <c r="C264" s="111" t="s">
        <v>424</v>
      </c>
      <c r="D264" s="2" t="str">
        <f t="shared" ref="D264:E264" si="262">TRIM(B264)</f>
        <v>California</v>
      </c>
      <c r="E264" s="2" t="str">
        <f t="shared" si="262"/>
        <v>San Francisco</v>
      </c>
    </row>
    <row r="265" spans="1:5">
      <c r="A265" s="111" t="s">
        <v>9604</v>
      </c>
      <c r="B265" s="111" t="s">
        <v>1321</v>
      </c>
      <c r="C265" s="111" t="s">
        <v>6981</v>
      </c>
      <c r="D265" s="2" t="str">
        <f t="shared" ref="D265:E265" si="263">TRIM(B265)</f>
        <v>California</v>
      </c>
      <c r="E265" s="2" t="str">
        <f t="shared" si="263"/>
        <v>San Marcos</v>
      </c>
    </row>
    <row r="266" spans="1:5">
      <c r="A266" s="111" t="s">
        <v>9606</v>
      </c>
      <c r="B266" s="111" t="s">
        <v>1321</v>
      </c>
      <c r="C266" s="111" t="s">
        <v>7072</v>
      </c>
      <c r="D266" s="2" t="str">
        <f t="shared" ref="D266:E266" si="264">TRIM(B266)</f>
        <v>California</v>
      </c>
      <c r="E266" s="2" t="str">
        <f t="shared" si="264"/>
        <v>Santa Maria</v>
      </c>
    </row>
    <row r="267" spans="1:5">
      <c r="A267" s="111" t="s">
        <v>9606</v>
      </c>
      <c r="B267" s="111" t="s">
        <v>1321</v>
      </c>
      <c r="C267" s="111" t="s">
        <v>609</v>
      </c>
      <c r="D267" s="2" t="str">
        <f t="shared" ref="D267:E267" si="265">TRIM(B267)</f>
        <v>California</v>
      </c>
      <c r="E267" s="2" t="str">
        <f t="shared" si="265"/>
        <v>Lakewood</v>
      </c>
    </row>
    <row r="268" spans="1:5">
      <c r="A268" s="111" t="s">
        <v>9609</v>
      </c>
      <c r="B268" s="111" t="s">
        <v>1321</v>
      </c>
      <c r="C268" s="111" t="s">
        <v>418</v>
      </c>
      <c r="D268" s="2" t="str">
        <f t="shared" ref="D268:E268" si="266">TRIM(B268)</f>
        <v>California</v>
      </c>
      <c r="E268" s="2" t="str">
        <f t="shared" si="266"/>
        <v>Glendora</v>
      </c>
    </row>
    <row r="269" spans="1:5">
      <c r="A269" s="76" t="s">
        <v>9611</v>
      </c>
      <c r="B269" s="111" t="s">
        <v>1321</v>
      </c>
      <c r="C269" s="111" t="s">
        <v>5330</v>
      </c>
      <c r="D269" s="2" t="str">
        <f t="shared" ref="D269:E269" si="267">TRIM(B269)</f>
        <v>California</v>
      </c>
      <c r="E269" s="2" t="str">
        <f t="shared" si="267"/>
        <v>Inglewood</v>
      </c>
    </row>
    <row r="270" spans="1:5">
      <c r="A270" s="76" t="s">
        <v>9612</v>
      </c>
      <c r="B270" s="111" t="s">
        <v>1321</v>
      </c>
      <c r="C270" s="111" t="s">
        <v>4478</v>
      </c>
      <c r="D270" s="2" t="str">
        <f t="shared" ref="D270:E270" si="268">TRIM(B270)</f>
        <v>California</v>
      </c>
      <c r="E270" s="2" t="str">
        <f t="shared" si="268"/>
        <v>Berkeley</v>
      </c>
    </row>
    <row r="271" spans="1:5">
      <c r="A271" s="76" t="s">
        <v>9614</v>
      </c>
      <c r="B271" s="111" t="s">
        <v>1321</v>
      </c>
      <c r="C271" s="111" t="s">
        <v>7188</v>
      </c>
      <c r="D271" s="2" t="str">
        <f t="shared" ref="D271:E271" si="269">TRIM(B271)</f>
        <v>California</v>
      </c>
      <c r="E271" s="2" t="str">
        <f t="shared" si="269"/>
        <v>Stockton</v>
      </c>
    </row>
    <row r="272" spans="1:5">
      <c r="A272" s="76" t="s">
        <v>9616</v>
      </c>
      <c r="B272" s="111" t="s">
        <v>1321</v>
      </c>
      <c r="C272" s="111" t="s">
        <v>9617</v>
      </c>
      <c r="D272" s="2" t="str">
        <f t="shared" ref="D272:E272" si="270">TRIM(B272)</f>
        <v>California</v>
      </c>
      <c r="E272" s="2" t="str">
        <f t="shared" si="270"/>
        <v>Carmichael</v>
      </c>
    </row>
    <row r="273" spans="1:5">
      <c r="A273" s="76" t="s">
        <v>9619</v>
      </c>
      <c r="B273" s="111" t="s">
        <v>1321</v>
      </c>
      <c r="C273" s="111" t="s">
        <v>9620</v>
      </c>
      <c r="D273" s="2" t="str">
        <f t="shared" ref="D273:E273" si="271">TRIM(B273)</f>
        <v>California</v>
      </c>
      <c r="E273" s="2" t="str">
        <f t="shared" si="271"/>
        <v>Silverado</v>
      </c>
    </row>
    <row r="274" spans="1:5">
      <c r="A274" s="111" t="s">
        <v>9622</v>
      </c>
      <c r="B274" s="111" t="s">
        <v>1321</v>
      </c>
      <c r="C274" s="111" t="s">
        <v>8117</v>
      </c>
      <c r="D274" s="2" t="str">
        <f t="shared" ref="D274:E274" si="272">TRIM(B274)</f>
        <v>California</v>
      </c>
      <c r="E274" s="2" t="str">
        <f t="shared" si="272"/>
        <v>Montrose</v>
      </c>
    </row>
    <row r="275" spans="1:5">
      <c r="A275" s="111" t="s">
        <v>9624</v>
      </c>
      <c r="B275" s="111" t="s">
        <v>1321</v>
      </c>
      <c r="C275" s="111" t="s">
        <v>985</v>
      </c>
      <c r="D275" s="2" t="str">
        <f t="shared" ref="D275:E275" si="273">TRIM(B275)</f>
        <v>California</v>
      </c>
      <c r="E275" s="2" t="str">
        <f t="shared" si="273"/>
        <v>Vallejo</v>
      </c>
    </row>
    <row r="276" spans="1:5">
      <c r="A276" s="111" t="s">
        <v>9626</v>
      </c>
      <c r="B276" s="111" t="s">
        <v>1321</v>
      </c>
      <c r="C276" s="113" t="s">
        <v>7070</v>
      </c>
      <c r="D276" s="2" t="str">
        <f t="shared" ref="D276:E276" si="274">TRIM(B276)</f>
        <v>California</v>
      </c>
      <c r="E276" s="2" t="str">
        <f t="shared" si="274"/>
        <v>Santa Fe Springs</v>
      </c>
    </row>
    <row r="277" spans="1:5">
      <c r="A277" s="111" t="s">
        <v>9628</v>
      </c>
      <c r="B277" s="111" t="s">
        <v>1321</v>
      </c>
      <c r="C277" s="111" t="s">
        <v>7044</v>
      </c>
      <c r="D277" s="2" t="str">
        <f t="shared" ref="D277:E277" si="275">TRIM(B277)</f>
        <v>California</v>
      </c>
      <c r="E277" s="2" t="str">
        <f t="shared" si="275"/>
        <v>Santa Barbara</v>
      </c>
    </row>
    <row r="278" spans="1:5">
      <c r="A278" s="111" t="s">
        <v>9630</v>
      </c>
      <c r="B278" s="111" t="s">
        <v>1321</v>
      </c>
      <c r="C278" s="111" t="s">
        <v>611</v>
      </c>
      <c r="D278" s="2" t="str">
        <f t="shared" ref="D278:E278" si="276">TRIM(B278)</f>
        <v>California</v>
      </c>
      <c r="E278" s="2" t="str">
        <f t="shared" si="276"/>
        <v>San Jose</v>
      </c>
    </row>
    <row r="279" spans="1:5">
      <c r="A279" s="111" t="s">
        <v>9632</v>
      </c>
      <c r="B279" s="111" t="s">
        <v>1321</v>
      </c>
      <c r="C279" s="111" t="s">
        <v>6362</v>
      </c>
      <c r="D279" s="2" t="str">
        <f t="shared" ref="D279:E279" si="277">TRIM(B279)</f>
        <v>California</v>
      </c>
      <c r="E279" s="2" t="str">
        <f t="shared" si="277"/>
        <v>Petaluma</v>
      </c>
    </row>
    <row r="280" spans="1:5">
      <c r="A280" s="111" t="s">
        <v>9634</v>
      </c>
      <c r="B280" s="111" t="s">
        <v>1321</v>
      </c>
      <c r="C280" s="111" t="s">
        <v>985</v>
      </c>
      <c r="D280" s="2" t="str">
        <f t="shared" ref="D280:E280" si="278">TRIM(B280)</f>
        <v>California</v>
      </c>
      <c r="E280" s="2" t="str">
        <f t="shared" si="278"/>
        <v>Vallejo</v>
      </c>
    </row>
    <row r="281" spans="1:5">
      <c r="A281" s="111" t="s">
        <v>9636</v>
      </c>
      <c r="B281" s="111" t="s">
        <v>1321</v>
      </c>
      <c r="C281" s="111" t="s">
        <v>323</v>
      </c>
      <c r="D281" s="2" t="str">
        <f t="shared" ref="D281:E281" si="279">TRIM(B281)</f>
        <v>California</v>
      </c>
      <c r="E281" s="2" t="str">
        <f t="shared" si="279"/>
        <v>Los Angeles</v>
      </c>
    </row>
    <row r="282" spans="1:5">
      <c r="A282" s="111" t="s">
        <v>9638</v>
      </c>
      <c r="B282" s="111" t="s">
        <v>1321</v>
      </c>
      <c r="C282" s="111" t="s">
        <v>9640</v>
      </c>
      <c r="D282" s="2" t="str">
        <f t="shared" ref="D282:E282" si="280">TRIM(B282)</f>
        <v>California</v>
      </c>
      <c r="E282" s="2" t="str">
        <f t="shared" si="280"/>
        <v>Pebble Beach</v>
      </c>
    </row>
    <row r="283" spans="1:5">
      <c r="A283" s="111" t="s">
        <v>9641</v>
      </c>
      <c r="B283" s="111" t="s">
        <v>1321</v>
      </c>
      <c r="C283" s="111" t="s">
        <v>424</v>
      </c>
      <c r="D283" s="2" t="str">
        <f t="shared" ref="D283:E283" si="281">TRIM(B283)</f>
        <v>California</v>
      </c>
      <c r="E283" s="2" t="str">
        <f t="shared" si="281"/>
        <v>San Francisco</v>
      </c>
    </row>
    <row r="284" spans="1:5">
      <c r="A284" s="111" t="s">
        <v>9643</v>
      </c>
      <c r="B284" s="111" t="s">
        <v>1321</v>
      </c>
      <c r="C284" s="111" t="s">
        <v>529</v>
      </c>
      <c r="D284" s="2" t="str">
        <f t="shared" ref="D284:E284" si="282">TRIM(B284)</f>
        <v>California</v>
      </c>
      <c r="E284" s="2" t="str">
        <f t="shared" si="282"/>
        <v>Danville</v>
      </c>
    </row>
    <row r="285" spans="1:5">
      <c r="A285" s="111" t="s">
        <v>9645</v>
      </c>
      <c r="B285" s="111" t="s">
        <v>1321</v>
      </c>
      <c r="C285" s="111" t="s">
        <v>424</v>
      </c>
      <c r="D285" s="2" t="str">
        <f t="shared" ref="D285:E285" si="283">TRIM(B285)</f>
        <v>California</v>
      </c>
      <c r="E285" s="2" t="str">
        <f t="shared" si="283"/>
        <v>San Francisco</v>
      </c>
    </row>
    <row r="286" spans="1:5">
      <c r="A286" s="76" t="s">
        <v>9648</v>
      </c>
      <c r="B286" s="111" t="s">
        <v>1321</v>
      </c>
      <c r="C286" s="111" t="s">
        <v>1120</v>
      </c>
      <c r="D286" s="2" t="str">
        <f t="shared" ref="D286:E286" si="284">TRIM(B286)</f>
        <v>California</v>
      </c>
      <c r="E286" s="2" t="str">
        <f t="shared" si="284"/>
        <v>La Jolla</v>
      </c>
    </row>
    <row r="287" spans="1:5">
      <c r="A287" s="111" t="s">
        <v>9651</v>
      </c>
      <c r="B287" s="111" t="s">
        <v>1321</v>
      </c>
      <c r="C287" s="111" t="s">
        <v>9652</v>
      </c>
      <c r="D287" s="2" t="str">
        <f t="shared" ref="D287:E287" si="285">TRIM(B287)</f>
        <v>California</v>
      </c>
      <c r="E287" s="2" t="str">
        <f t="shared" si="285"/>
        <v>Ross</v>
      </c>
    </row>
    <row r="288" spans="1:5">
      <c r="A288" s="111" t="s">
        <v>9653</v>
      </c>
      <c r="B288" s="111" t="s">
        <v>1321</v>
      </c>
      <c r="C288" s="111" t="s">
        <v>9467</v>
      </c>
      <c r="D288" s="2" t="str">
        <f t="shared" ref="D288:E288" si="286">TRIM(B288)</f>
        <v>California</v>
      </c>
      <c r="E288" s="2" t="str">
        <f t="shared" si="286"/>
        <v>Sherman Oaks</v>
      </c>
    </row>
    <row r="289" spans="1:5">
      <c r="A289" s="111" t="s">
        <v>9655</v>
      </c>
      <c r="B289" s="111" t="s">
        <v>1321</v>
      </c>
      <c r="C289" s="111" t="s">
        <v>237</v>
      </c>
      <c r="D289" s="2" t="str">
        <f t="shared" ref="D289:E289" si="287">TRIM(B289)</f>
        <v>California</v>
      </c>
      <c r="E289" s="2" t="str">
        <f t="shared" si="287"/>
        <v>San Diego</v>
      </c>
    </row>
    <row r="290" spans="1:5">
      <c r="A290" s="111" t="s">
        <v>9657</v>
      </c>
      <c r="B290" s="111" t="s">
        <v>1321</v>
      </c>
      <c r="C290" s="111" t="s">
        <v>662</v>
      </c>
      <c r="D290" s="2" t="str">
        <f t="shared" ref="D290:E290" si="288">TRIM(B290)</f>
        <v>California</v>
      </c>
      <c r="E290" s="2" t="str">
        <f t="shared" si="288"/>
        <v>Oakland</v>
      </c>
    </row>
    <row r="291" spans="1:5">
      <c r="A291" s="76" t="s">
        <v>9659</v>
      </c>
      <c r="B291" s="111" t="s">
        <v>1321</v>
      </c>
      <c r="C291" s="111" t="s">
        <v>7217</v>
      </c>
      <c r="D291" s="2" t="str">
        <f t="shared" ref="D291:E291" si="289">TRIM(B291)</f>
        <v>California</v>
      </c>
      <c r="E291" s="2" t="str">
        <f t="shared" si="289"/>
        <v>Sunnyvale</v>
      </c>
    </row>
    <row r="292" spans="1:5">
      <c r="A292" s="111" t="s">
        <v>9661</v>
      </c>
      <c r="B292" s="111" t="s">
        <v>1321</v>
      </c>
      <c r="C292" s="111" t="s">
        <v>7005</v>
      </c>
      <c r="D292" s="2" t="str">
        <f t="shared" ref="D292:E292" si="290">TRIM(B292)</f>
        <v>California</v>
      </c>
      <c r="E292" s="2" t="str">
        <f t="shared" si="290"/>
        <v>San Rafael</v>
      </c>
    </row>
    <row r="293" spans="1:5">
      <c r="A293" s="111" t="s">
        <v>9663</v>
      </c>
      <c r="B293" s="111" t="s">
        <v>1321</v>
      </c>
      <c r="C293" s="111" t="s">
        <v>237</v>
      </c>
      <c r="D293" s="2" t="str">
        <f t="shared" ref="D293:E293" si="291">TRIM(B293)</f>
        <v>California</v>
      </c>
      <c r="E293" s="2" t="str">
        <f t="shared" si="291"/>
        <v>San Diego</v>
      </c>
    </row>
    <row r="294" spans="1:5">
      <c r="A294" s="111" t="s">
        <v>9665</v>
      </c>
      <c r="B294" s="111" t="s">
        <v>1321</v>
      </c>
      <c r="C294" s="111" t="s">
        <v>6212</v>
      </c>
      <c r="D294" s="2" t="str">
        <f t="shared" ref="D294:E294" si="292">TRIM(B294)</f>
        <v>California</v>
      </c>
      <c r="E294" s="2" t="str">
        <f t="shared" si="292"/>
        <v>Ojai</v>
      </c>
    </row>
    <row r="295" spans="1:5">
      <c r="A295" s="111" t="s">
        <v>9667</v>
      </c>
      <c r="B295" s="111" t="s">
        <v>1321</v>
      </c>
      <c r="C295" s="111" t="s">
        <v>292</v>
      </c>
      <c r="D295" s="2" t="str">
        <f t="shared" ref="D295:E295" si="293">TRIM(B295)</f>
        <v>California</v>
      </c>
      <c r="E295" s="2" t="str">
        <f t="shared" si="293"/>
        <v>Temecula</v>
      </c>
    </row>
    <row r="296" spans="1:5">
      <c r="A296" s="111" t="s">
        <v>9669</v>
      </c>
      <c r="B296" s="111" t="s">
        <v>1321</v>
      </c>
      <c r="C296" s="111" t="s">
        <v>486</v>
      </c>
      <c r="D296" s="2" t="str">
        <f t="shared" ref="D296:E296" si="294">TRIM(B296)</f>
        <v>California</v>
      </c>
      <c r="E296" s="2" t="str">
        <f t="shared" si="294"/>
        <v>Pasadena</v>
      </c>
    </row>
    <row r="297" spans="1:5">
      <c r="A297" s="111" t="s">
        <v>9670</v>
      </c>
      <c r="B297" s="111" t="s">
        <v>1321</v>
      </c>
      <c r="C297" s="111" t="s">
        <v>182</v>
      </c>
      <c r="D297" s="2" t="str">
        <f t="shared" ref="D297:E297" si="295">TRIM(B297)</f>
        <v>California</v>
      </c>
      <c r="E297" s="2" t="str">
        <f t="shared" si="295"/>
        <v>Albany</v>
      </c>
    </row>
    <row r="298" spans="1:5">
      <c r="A298" s="111" t="s">
        <v>9672</v>
      </c>
      <c r="B298" s="111" t="s">
        <v>1321</v>
      </c>
      <c r="C298" s="111" t="s">
        <v>424</v>
      </c>
      <c r="D298" s="2" t="str">
        <f t="shared" ref="D298:E298" si="296">TRIM(B298)</f>
        <v>California</v>
      </c>
      <c r="E298" s="2" t="str">
        <f t="shared" si="296"/>
        <v>San Francisco</v>
      </c>
    </row>
    <row r="299" spans="1:5">
      <c r="A299" s="111" t="s">
        <v>9674</v>
      </c>
      <c r="B299" s="111" t="s">
        <v>1321</v>
      </c>
      <c r="C299" s="111" t="s">
        <v>4578</v>
      </c>
      <c r="D299" s="2" t="str">
        <f t="shared" ref="D299:E299" si="297">TRIM(B299)</f>
        <v>California</v>
      </c>
      <c r="E299" s="2" t="str">
        <f t="shared" si="297"/>
        <v>Campbell</v>
      </c>
    </row>
    <row r="300" spans="1:5">
      <c r="A300" s="111" t="s">
        <v>9677</v>
      </c>
      <c r="B300" s="111" t="s">
        <v>1321</v>
      </c>
      <c r="C300" s="111" t="s">
        <v>548</v>
      </c>
      <c r="D300" s="2" t="str">
        <f t="shared" ref="D300:E300" si="298">TRIM(B300)</f>
        <v>California</v>
      </c>
      <c r="E300" s="2" t="str">
        <f t="shared" si="298"/>
        <v>Fullerton</v>
      </c>
    </row>
    <row r="301" spans="1:5">
      <c r="A301" s="111" t="s">
        <v>9679</v>
      </c>
      <c r="B301" s="111" t="s">
        <v>1321</v>
      </c>
      <c r="C301" s="111" t="s">
        <v>4548</v>
      </c>
      <c r="D301" s="2" t="str">
        <f t="shared" ref="D301:E301" si="299">TRIM(B301)</f>
        <v>California</v>
      </c>
      <c r="E301" s="2" t="str">
        <f t="shared" si="299"/>
        <v>Calabasas</v>
      </c>
    </row>
    <row r="302" spans="1:5">
      <c r="A302" s="111" t="s">
        <v>9681</v>
      </c>
      <c r="B302" s="111" t="s">
        <v>1321</v>
      </c>
      <c r="C302" s="111" t="s">
        <v>6212</v>
      </c>
      <c r="D302" s="2" t="str">
        <f t="shared" ref="D302:E302" si="300">TRIM(B302)</f>
        <v>California</v>
      </c>
      <c r="E302" s="2" t="str">
        <f t="shared" si="300"/>
        <v>Ojai</v>
      </c>
    </row>
    <row r="303" spans="1:5">
      <c r="A303" s="111" t="s">
        <v>9683</v>
      </c>
      <c r="B303" s="111" t="s">
        <v>1321</v>
      </c>
      <c r="C303" s="111" t="s">
        <v>9684</v>
      </c>
      <c r="D303" s="2" t="str">
        <f t="shared" ref="D303:E303" si="301">TRIM(B303)</f>
        <v>California</v>
      </c>
      <c r="E303" s="2" t="str">
        <f t="shared" si="301"/>
        <v>West Hollywood</v>
      </c>
    </row>
    <row r="304" spans="1:5">
      <c r="A304" s="111" t="s">
        <v>9686</v>
      </c>
      <c r="B304" s="111" t="s">
        <v>1321</v>
      </c>
      <c r="C304" s="111" t="s">
        <v>4556</v>
      </c>
      <c r="D304" s="2" t="str">
        <f t="shared" ref="D304:E304" si="302">TRIM(B304)</f>
        <v>California</v>
      </c>
      <c r="E304" s="2" t="str">
        <f t="shared" si="302"/>
        <v>California City</v>
      </c>
    </row>
    <row r="305" spans="1:5">
      <c r="A305" s="111" t="s">
        <v>9688</v>
      </c>
      <c r="B305" s="111" t="s">
        <v>1321</v>
      </c>
      <c r="C305" s="111" t="s">
        <v>323</v>
      </c>
      <c r="D305" s="2" t="str">
        <f t="shared" ref="D305:E305" si="303">TRIM(B305)</f>
        <v>California</v>
      </c>
      <c r="E305" s="2" t="str">
        <f t="shared" si="303"/>
        <v>Los Angeles</v>
      </c>
    </row>
    <row r="306" spans="1:5">
      <c r="A306" s="111" t="s">
        <v>9690</v>
      </c>
      <c r="B306" s="111" t="s">
        <v>1321</v>
      </c>
      <c r="C306" s="111" t="s">
        <v>4797</v>
      </c>
      <c r="D306" s="2" t="str">
        <f t="shared" ref="D306:E306" si="304">TRIM(B306)</f>
        <v>California</v>
      </c>
      <c r="E306" s="2" t="str">
        <f t="shared" si="304"/>
        <v>Cypress</v>
      </c>
    </row>
    <row r="307" spans="1:5">
      <c r="A307" s="111" t="s">
        <v>9692</v>
      </c>
      <c r="B307" s="111" t="s">
        <v>1321</v>
      </c>
      <c r="C307" s="111" t="s">
        <v>424</v>
      </c>
      <c r="D307" s="2" t="str">
        <f t="shared" ref="D307:E307" si="305">TRIM(B307)</f>
        <v>California</v>
      </c>
      <c r="E307" s="2" t="str">
        <f t="shared" si="305"/>
        <v>San Francisco</v>
      </c>
    </row>
    <row r="308" spans="1:5">
      <c r="A308" s="111" t="s">
        <v>9694</v>
      </c>
      <c r="B308" s="111" t="s">
        <v>1321</v>
      </c>
      <c r="C308" s="111" t="s">
        <v>9695</v>
      </c>
      <c r="D308" s="2" t="str">
        <f t="shared" ref="D308:E308" si="306">TRIM(B308)</f>
        <v>California</v>
      </c>
      <c r="E308" s="2" t="str">
        <f t="shared" si="306"/>
        <v>Portola Valley</v>
      </c>
    </row>
    <row r="309" spans="1:5">
      <c r="A309" s="111" t="s">
        <v>9697</v>
      </c>
      <c r="B309" s="111" t="s">
        <v>1321</v>
      </c>
      <c r="C309" s="111" t="s">
        <v>5995</v>
      </c>
      <c r="D309" s="2" t="str">
        <f t="shared" ref="D309:E309" si="307">TRIM(B309)</f>
        <v>California</v>
      </c>
      <c r="E309" s="2" t="str">
        <f t="shared" si="307"/>
        <v>Monterey</v>
      </c>
    </row>
    <row r="310" spans="1:5">
      <c r="A310" s="111" t="s">
        <v>9699</v>
      </c>
      <c r="B310" s="111" t="s">
        <v>1323</v>
      </c>
      <c r="C310" s="111" t="s">
        <v>236</v>
      </c>
      <c r="D310" s="2" t="str">
        <f t="shared" ref="D310:E310" si="308">TRIM(B310)</f>
        <v>Colorado</v>
      </c>
      <c r="E310" s="2" t="str">
        <f t="shared" si="308"/>
        <v>Lafayette</v>
      </c>
    </row>
    <row r="311" spans="1:5">
      <c r="A311" s="111" t="s">
        <v>9701</v>
      </c>
      <c r="B311" s="111" t="s">
        <v>1323</v>
      </c>
      <c r="C311" s="111" t="s">
        <v>7781</v>
      </c>
      <c r="D311" s="2" t="str">
        <f t="shared" ref="D311:E311" si="309">TRIM(B311)</f>
        <v>Colorado</v>
      </c>
      <c r="E311" s="2" t="str">
        <f t="shared" si="309"/>
        <v>Denver</v>
      </c>
    </row>
    <row r="312" spans="1:5">
      <c r="A312" s="111" t="s">
        <v>9703</v>
      </c>
      <c r="B312" s="111" t="s">
        <v>1323</v>
      </c>
      <c r="C312" s="111" t="s">
        <v>420</v>
      </c>
      <c r="D312" s="2" t="str">
        <f t="shared" ref="D312:E312" si="310">TRIM(B312)</f>
        <v>Colorado</v>
      </c>
      <c r="E312" s="2" t="str">
        <f t="shared" si="310"/>
        <v>Loveland</v>
      </c>
    </row>
    <row r="313" spans="1:5">
      <c r="A313" s="111" t="s">
        <v>9705</v>
      </c>
      <c r="B313" s="111" t="s">
        <v>1323</v>
      </c>
      <c r="C313" s="111" t="s">
        <v>7781</v>
      </c>
      <c r="D313" s="2" t="str">
        <f t="shared" ref="D313:E313" si="311">TRIM(B313)</f>
        <v>Colorado</v>
      </c>
      <c r="E313" s="2" t="str">
        <f t="shared" si="311"/>
        <v>Denver</v>
      </c>
    </row>
    <row r="314" spans="1:5">
      <c r="A314" s="111" t="s">
        <v>9707</v>
      </c>
      <c r="B314" s="111" t="s">
        <v>1323</v>
      </c>
      <c r="C314" s="111" t="s">
        <v>5964</v>
      </c>
      <c r="D314" s="2" t="str">
        <f t="shared" ref="D314:E314" si="312">TRIM(B314)</f>
        <v>Colorado</v>
      </c>
      <c r="E314" s="2" t="str">
        <f t="shared" si="312"/>
        <v>Carbondale</v>
      </c>
    </row>
    <row r="315" spans="1:5">
      <c r="A315" s="111" t="s">
        <v>9710</v>
      </c>
      <c r="B315" s="111" t="s">
        <v>1323</v>
      </c>
      <c r="C315" s="111" t="s">
        <v>7858</v>
      </c>
      <c r="D315" s="2" t="str">
        <f t="shared" ref="D315:E315" si="313">TRIM(B315)</f>
        <v>Colorado</v>
      </c>
      <c r="E315" s="2" t="str">
        <f t="shared" si="313"/>
        <v>Durango</v>
      </c>
    </row>
    <row r="316" spans="1:5">
      <c r="A316" s="111" t="s">
        <v>9713</v>
      </c>
      <c r="B316" s="111" t="s">
        <v>1323</v>
      </c>
      <c r="C316" s="111" t="s">
        <v>7654</v>
      </c>
      <c r="D316" s="2" t="str">
        <f t="shared" ref="D316:E316" si="314">TRIM(B316)</f>
        <v>Colorado</v>
      </c>
      <c r="E316" s="2" t="str">
        <f t="shared" si="314"/>
        <v>Broomfield</v>
      </c>
    </row>
    <row r="317" spans="1:5">
      <c r="A317" s="111" t="s">
        <v>9716</v>
      </c>
      <c r="B317" s="111" t="s">
        <v>1323</v>
      </c>
      <c r="C317" s="111" t="s">
        <v>7884</v>
      </c>
      <c r="D317" s="2" t="str">
        <f t="shared" ref="D317:E317" si="315">TRIM(B317)</f>
        <v>Colorado</v>
      </c>
      <c r="E317" s="2" t="str">
        <f t="shared" si="315"/>
        <v>Englewood</v>
      </c>
    </row>
    <row r="318" spans="1:5">
      <c r="A318" s="111" t="s">
        <v>6173</v>
      </c>
      <c r="B318" s="111" t="s">
        <v>1323</v>
      </c>
      <c r="C318" s="111" t="s">
        <v>321</v>
      </c>
      <c r="D318" s="2" t="str">
        <f t="shared" ref="D318:E318" si="316">TRIM(B318)</f>
        <v>Colorado</v>
      </c>
      <c r="E318" s="2" t="str">
        <f t="shared" si="316"/>
        <v>Grand Junction</v>
      </c>
    </row>
    <row r="319" spans="1:5">
      <c r="A319" s="111" t="s">
        <v>9720</v>
      </c>
      <c r="B319" s="111" t="s">
        <v>1323</v>
      </c>
      <c r="C319" s="113" t="s">
        <v>7974</v>
      </c>
      <c r="D319" s="2" t="str">
        <f t="shared" ref="D319:E319" si="317">TRIM(B319)</f>
        <v>Colorado</v>
      </c>
      <c r="E319" s="2" t="str">
        <f t="shared" si="317"/>
        <v>Highlands Ranch</v>
      </c>
    </row>
    <row r="320" spans="1:5">
      <c r="A320" s="111" t="s">
        <v>9723</v>
      </c>
      <c r="B320" s="111" t="s">
        <v>1323</v>
      </c>
      <c r="C320" s="111" t="s">
        <v>7781</v>
      </c>
      <c r="D320" s="2" t="str">
        <f t="shared" ref="D320:E320" si="318">TRIM(B320)</f>
        <v>Colorado</v>
      </c>
      <c r="E320" s="2" t="str">
        <f t="shared" si="318"/>
        <v>Denver</v>
      </c>
    </row>
    <row r="321" spans="1:5">
      <c r="A321" s="111" t="s">
        <v>9726</v>
      </c>
      <c r="B321" s="111" t="s">
        <v>1323</v>
      </c>
      <c r="C321" s="113" t="s">
        <v>388</v>
      </c>
      <c r="D321" s="2" t="str">
        <f t="shared" ref="D321:E321" si="319">TRIM(B321)</f>
        <v>Colorado</v>
      </c>
      <c r="E321" s="2" t="str">
        <f t="shared" si="319"/>
        <v>Colorado Springs</v>
      </c>
    </row>
    <row r="322" spans="1:5">
      <c r="A322" s="111" t="s">
        <v>9728</v>
      </c>
      <c r="B322" s="111" t="s">
        <v>1323</v>
      </c>
      <c r="C322" s="112" t="s">
        <v>8066</v>
      </c>
      <c r="D322" s="2" t="str">
        <f t="shared" ref="D322:E322" si="320">TRIM(B322)</f>
        <v>Colorado</v>
      </c>
      <c r="E322" s="2" t="str">
        <f t="shared" si="320"/>
        <v>Littleton</v>
      </c>
    </row>
    <row r="323" spans="1:5">
      <c r="A323" s="76" t="s">
        <v>9614</v>
      </c>
      <c r="B323" s="111" t="s">
        <v>1323</v>
      </c>
      <c r="C323" s="113" t="s">
        <v>388</v>
      </c>
      <c r="D323" s="2" t="str">
        <f t="shared" ref="D323:E323" si="321">TRIM(B323)</f>
        <v>Colorado</v>
      </c>
      <c r="E323" s="2" t="str">
        <f t="shared" si="321"/>
        <v>Colorado Springs</v>
      </c>
    </row>
    <row r="324" spans="1:5">
      <c r="A324" s="111" t="s">
        <v>9733</v>
      </c>
      <c r="B324" s="111" t="s">
        <v>1323</v>
      </c>
      <c r="C324" s="113" t="s">
        <v>8244</v>
      </c>
      <c r="D324" s="2" t="str">
        <f t="shared" ref="D324:E324" si="322">TRIM(B324)</f>
        <v>Colorado</v>
      </c>
      <c r="E324" s="2" t="str">
        <f t="shared" si="322"/>
        <v>Steamboat Springs</v>
      </c>
    </row>
    <row r="325" spans="1:5">
      <c r="A325" s="111" t="s">
        <v>9735</v>
      </c>
      <c r="B325" s="111" t="s">
        <v>1323</v>
      </c>
      <c r="C325" s="113" t="s">
        <v>388</v>
      </c>
      <c r="D325" s="2" t="str">
        <f t="shared" ref="D325:E325" si="323">TRIM(B325)</f>
        <v>Colorado</v>
      </c>
      <c r="E325" s="2" t="str">
        <f t="shared" si="323"/>
        <v>Colorado Springs</v>
      </c>
    </row>
    <row r="326" spans="1:5">
      <c r="A326" s="111" t="s">
        <v>9738</v>
      </c>
      <c r="B326" s="111" t="s">
        <v>1323</v>
      </c>
      <c r="C326" s="112" t="s">
        <v>7663</v>
      </c>
      <c r="D326" s="2" t="str">
        <f t="shared" ref="D326:E326" si="324">TRIM(B326)</f>
        <v>Colorado</v>
      </c>
      <c r="E326" s="2" t="str">
        <f t="shared" si="324"/>
        <v>Buena Vista</v>
      </c>
    </row>
    <row r="327" spans="1:5">
      <c r="A327" s="111" t="s">
        <v>9741</v>
      </c>
      <c r="B327" s="111" t="s">
        <v>1323</v>
      </c>
      <c r="C327" s="111" t="s">
        <v>7923</v>
      </c>
      <c r="D327" s="2" t="str">
        <f t="shared" ref="D327:E327" si="325">TRIM(B327)</f>
        <v>Colorado</v>
      </c>
      <c r="E327" s="2" t="str">
        <f t="shared" si="325"/>
        <v>Frisco</v>
      </c>
    </row>
    <row r="328" spans="1:5">
      <c r="A328" s="111" t="s">
        <v>9744</v>
      </c>
      <c r="B328" s="111" t="s">
        <v>1323</v>
      </c>
      <c r="C328" s="113" t="s">
        <v>388</v>
      </c>
      <c r="D328" s="2" t="str">
        <f t="shared" ref="D328:E328" si="326">TRIM(B328)</f>
        <v>Colorado</v>
      </c>
      <c r="E328" s="2" t="str">
        <f t="shared" si="326"/>
        <v>Colorado Springs</v>
      </c>
    </row>
    <row r="329" spans="1:5">
      <c r="A329" s="111" t="s">
        <v>9745</v>
      </c>
      <c r="B329" s="111" t="s">
        <v>1323</v>
      </c>
      <c r="C329" s="111" t="s">
        <v>3497</v>
      </c>
      <c r="D329" s="2" t="str">
        <f t="shared" ref="D329:E329" si="327">TRIM(B329)</f>
        <v>Colorado</v>
      </c>
      <c r="E329" s="2" t="str">
        <f t="shared" si="327"/>
        <v>Vail</v>
      </c>
    </row>
    <row r="330" spans="1:5">
      <c r="A330" s="111" t="s">
        <v>9747</v>
      </c>
      <c r="B330" s="111" t="s">
        <v>1326</v>
      </c>
      <c r="C330" s="112" t="s">
        <v>9748</v>
      </c>
      <c r="D330" s="2" t="str">
        <f t="shared" ref="D330:E330" si="328">TRIM(B330)</f>
        <v>Connecticut</v>
      </c>
      <c r="E330" s="2" t="str">
        <f t="shared" si="328"/>
        <v>Baltic</v>
      </c>
    </row>
    <row r="331" spans="1:5">
      <c r="A331" s="111" t="s">
        <v>9750</v>
      </c>
      <c r="B331" s="111" t="s">
        <v>1326</v>
      </c>
      <c r="C331" s="111" t="s">
        <v>8331</v>
      </c>
      <c r="D331" s="2" t="str">
        <f t="shared" ref="D331:E331" si="329">TRIM(B331)</f>
        <v>Connecticut</v>
      </c>
      <c r="E331" s="2" t="str">
        <f t="shared" si="329"/>
        <v>Avon</v>
      </c>
    </row>
    <row r="332" spans="1:5">
      <c r="A332" s="111" t="s">
        <v>9752</v>
      </c>
      <c r="B332" s="111" t="s">
        <v>1326</v>
      </c>
      <c r="C332" s="111" t="s">
        <v>3478</v>
      </c>
      <c r="D332" s="2" t="str">
        <f t="shared" ref="D332:E332" si="330">TRIM(B332)</f>
        <v>Connecticut</v>
      </c>
      <c r="E332" s="2" t="str">
        <f t="shared" si="330"/>
        <v>Bridgeport</v>
      </c>
    </row>
    <row r="333" spans="1:5">
      <c r="A333" s="111" t="s">
        <v>9754</v>
      </c>
      <c r="B333" s="111" t="s">
        <v>1326</v>
      </c>
      <c r="C333" s="111" t="s">
        <v>8600</v>
      </c>
      <c r="D333" s="2" t="str">
        <f t="shared" ref="D333:E333" si="331">TRIM(B333)</f>
        <v>Connecticut</v>
      </c>
      <c r="E333" s="2" t="str">
        <f t="shared" si="331"/>
        <v>New Milford</v>
      </c>
    </row>
    <row r="334" spans="1:5">
      <c r="A334" s="111" t="s">
        <v>9756</v>
      </c>
      <c r="B334" s="111" t="s">
        <v>1326</v>
      </c>
      <c r="C334" s="111" t="s">
        <v>8716</v>
      </c>
      <c r="D334" s="2" t="str">
        <f t="shared" ref="D334:E334" si="332">TRIM(B334)</f>
        <v>Connecticut</v>
      </c>
      <c r="E334" s="2" t="str">
        <f t="shared" si="332"/>
        <v>Wallingford</v>
      </c>
    </row>
    <row r="335" spans="1:5">
      <c r="A335" s="111" t="s">
        <v>9760</v>
      </c>
      <c r="B335" s="111" t="s">
        <v>1326</v>
      </c>
      <c r="C335" s="111" t="s">
        <v>9761</v>
      </c>
      <c r="D335" s="2" t="str">
        <f t="shared" ref="D335:E335" si="333">TRIM(B335)</f>
        <v>Connecticut</v>
      </c>
      <c r="E335" s="2" t="str">
        <f t="shared" si="333"/>
        <v>Easton</v>
      </c>
    </row>
    <row r="336" spans="1:5">
      <c r="A336" s="111" t="s">
        <v>9763</v>
      </c>
      <c r="B336" s="111" t="s">
        <v>1326</v>
      </c>
      <c r="C336" s="111" t="s">
        <v>303</v>
      </c>
      <c r="D336" s="2" t="str">
        <f t="shared" ref="D336:E336" si="334">TRIM(B336)</f>
        <v>Connecticut</v>
      </c>
      <c r="E336" s="2" t="str">
        <f t="shared" si="334"/>
        <v>Fairfield</v>
      </c>
    </row>
    <row r="337" spans="1:7">
      <c r="A337" s="111" t="s">
        <v>9765</v>
      </c>
      <c r="B337" s="111" t="s">
        <v>1326</v>
      </c>
      <c r="C337" s="111" t="s">
        <v>8476</v>
      </c>
      <c r="D337" s="2" t="str">
        <f t="shared" ref="D337:E337" si="335">TRIM(B337)</f>
        <v>Connecticut</v>
      </c>
      <c r="E337" s="2" t="str">
        <f t="shared" si="335"/>
        <v>Greenwich</v>
      </c>
    </row>
    <row r="338" spans="1:7">
      <c r="A338" s="111" t="s">
        <v>9767</v>
      </c>
      <c r="B338" s="111" t="s">
        <v>1326</v>
      </c>
      <c r="C338" s="111" t="s">
        <v>488</v>
      </c>
      <c r="D338" s="2" t="str">
        <f t="shared" ref="D338:E338" si="336">TRIM(B338)</f>
        <v>Connecticut</v>
      </c>
      <c r="E338" s="2" t="str">
        <f t="shared" si="336"/>
        <v>Madison</v>
      </c>
    </row>
    <row r="339" spans="1:7">
      <c r="A339" s="111" t="s">
        <v>9770</v>
      </c>
      <c r="B339" s="111" t="s">
        <v>1326</v>
      </c>
      <c r="C339" s="111" t="s">
        <v>8491</v>
      </c>
      <c r="D339" s="2" t="str">
        <f t="shared" ref="D339:E339" si="337">TRIM(B339)</f>
        <v>Connecticut</v>
      </c>
      <c r="E339" s="2" t="str">
        <f t="shared" si="337"/>
        <v>Hamden</v>
      </c>
    </row>
    <row r="340" spans="1:7">
      <c r="A340" s="111" t="s">
        <v>9772</v>
      </c>
      <c r="B340" s="111" t="s">
        <v>1326</v>
      </c>
      <c r="C340" s="111" t="s">
        <v>8721</v>
      </c>
      <c r="D340" s="2" t="str">
        <f t="shared" ref="D340:E340" si="338">TRIM(B340)</f>
        <v>Connecticut</v>
      </c>
      <c r="E340" s="2" t="str">
        <f t="shared" si="338"/>
        <v>Waterbury</v>
      </c>
    </row>
    <row r="341" spans="1:7">
      <c r="A341" s="111" t="s">
        <v>9775</v>
      </c>
      <c r="B341" s="111" t="s">
        <v>1326</v>
      </c>
      <c r="C341" s="112" t="s">
        <v>6967</v>
      </c>
      <c r="D341" s="2" t="str">
        <f t="shared" ref="D341:E341" si="339">TRIM(B341)</f>
        <v>Connecticut</v>
      </c>
      <c r="E341" s="2" t="str">
        <f t="shared" si="339"/>
        <v>New Haven</v>
      </c>
    </row>
    <row r="342" spans="1:7">
      <c r="A342" s="111" t="s">
        <v>9778</v>
      </c>
      <c r="B342" s="111" t="s">
        <v>1326</v>
      </c>
      <c r="C342" s="112" t="s">
        <v>246</v>
      </c>
      <c r="D342" s="2" t="str">
        <f t="shared" ref="D342:E342" si="340">TRIM(B342)</f>
        <v>Connecticut</v>
      </c>
      <c r="E342" s="2" t="str">
        <f t="shared" si="340"/>
        <v>Kent</v>
      </c>
    </row>
    <row r="343" spans="1:7">
      <c r="A343" s="111" t="s">
        <v>9780</v>
      </c>
      <c r="B343" s="111" t="s">
        <v>1326</v>
      </c>
      <c r="C343" s="111" t="s">
        <v>8739</v>
      </c>
      <c r="D343" s="2" t="str">
        <f t="shared" ref="D343:E343" si="341">TRIM(B343)</f>
        <v>Connecticut</v>
      </c>
      <c r="E343" s="2" t="str">
        <f t="shared" si="341"/>
        <v>West Hartford</v>
      </c>
    </row>
    <row r="344" spans="1:7">
      <c r="A344" s="111" t="s">
        <v>9783</v>
      </c>
      <c r="B344" s="111" t="s">
        <v>1326</v>
      </c>
      <c r="C344" s="111" t="s">
        <v>3478</v>
      </c>
      <c r="D344" s="2" t="str">
        <f t="shared" ref="D344:E344" si="342">TRIM(B344)</f>
        <v>Connecticut</v>
      </c>
      <c r="E344" s="2" t="str">
        <f t="shared" si="342"/>
        <v>Bridgeport</v>
      </c>
    </row>
    <row r="345" spans="1:7">
      <c r="A345" s="111" t="s">
        <v>9435</v>
      </c>
      <c r="B345" s="111" t="s">
        <v>1326</v>
      </c>
      <c r="C345" s="111" t="s">
        <v>500</v>
      </c>
      <c r="D345" s="2" t="str">
        <f t="shared" ref="D345:E345" si="343">TRIM(B345)</f>
        <v>Connecticut</v>
      </c>
      <c r="E345" s="2" t="str">
        <f t="shared" si="343"/>
        <v>Middletown</v>
      </c>
    </row>
    <row r="346" spans="1:7">
      <c r="A346" s="76" t="s">
        <v>9786</v>
      </c>
      <c r="B346" s="111" t="s">
        <v>1326</v>
      </c>
      <c r="C346" s="111" t="s">
        <v>3773</v>
      </c>
      <c r="D346" s="2" t="str">
        <f t="shared" ref="D346:E346" si="344">TRIM(B346)</f>
        <v>Connecticut</v>
      </c>
      <c r="E346" s="2" t="str">
        <f t="shared" si="344"/>
        <v>Farmington</v>
      </c>
    </row>
    <row r="347" spans="1:7">
      <c r="A347" s="111" t="s">
        <v>9466</v>
      </c>
      <c r="B347" s="111" t="s">
        <v>1326</v>
      </c>
      <c r="C347" s="111" t="s">
        <v>8743</v>
      </c>
      <c r="D347" s="2" t="str">
        <f t="shared" ref="D347:E347" si="345">TRIM(B347)</f>
        <v>Connecticut</v>
      </c>
      <c r="E347" s="2" t="str">
        <f t="shared" si="345"/>
        <v>West Haven</v>
      </c>
    </row>
    <row r="348" spans="1:7">
      <c r="A348" s="111" t="s">
        <v>9790</v>
      </c>
      <c r="B348" s="111" t="s">
        <v>1326</v>
      </c>
      <c r="C348" s="111" t="s">
        <v>8755</v>
      </c>
      <c r="D348" s="2" t="str">
        <f t="shared" ref="D348:E348" si="346">TRIM(B348)</f>
        <v>Connecticut</v>
      </c>
      <c r="E348" s="2" t="str">
        <f t="shared" si="346"/>
        <v>Westport</v>
      </c>
    </row>
    <row r="349" spans="1:7">
      <c r="A349" s="111" t="s">
        <v>9792</v>
      </c>
      <c r="B349" s="111" t="s">
        <v>1326</v>
      </c>
      <c r="C349" s="111" t="s">
        <v>9793</v>
      </c>
      <c r="D349" s="2" t="str">
        <f t="shared" ref="D349:E349" si="347">TRIM(B349)</f>
        <v>Connecticut</v>
      </c>
      <c r="E349" s="2" t="str">
        <f t="shared" si="347"/>
        <v>Pomfret</v>
      </c>
    </row>
    <row r="350" spans="1:7">
      <c r="A350" s="111" t="s">
        <v>9796</v>
      </c>
      <c r="B350" s="111" t="s">
        <v>1326</v>
      </c>
      <c r="C350" s="111" t="s">
        <v>8646</v>
      </c>
      <c r="D350" s="2" t="str">
        <f t="shared" ref="D350:E350" si="348">TRIM(B350)</f>
        <v>Connecticut</v>
      </c>
      <c r="E350" s="2" t="str">
        <f t="shared" si="348"/>
        <v>Putnam</v>
      </c>
      <c r="G350" s="122"/>
    </row>
    <row r="351" spans="1:7">
      <c r="A351" s="111" t="s">
        <v>9798</v>
      </c>
      <c r="B351" s="111" t="s">
        <v>1326</v>
      </c>
      <c r="C351" s="111" t="s">
        <v>8491</v>
      </c>
      <c r="D351" s="2" t="str">
        <f t="shared" ref="D351:E351" si="349">TRIM(B351)</f>
        <v>Connecticut</v>
      </c>
      <c r="E351" s="2" t="str">
        <f t="shared" si="349"/>
        <v>Hamden</v>
      </c>
      <c r="G351" s="122"/>
    </row>
    <row r="352" spans="1:7">
      <c r="A352" s="111" t="s">
        <v>9801</v>
      </c>
      <c r="B352" s="111" t="s">
        <v>1326</v>
      </c>
      <c r="C352" s="111" t="s">
        <v>8721</v>
      </c>
      <c r="D352" s="2" t="str">
        <f t="shared" ref="D352:E352" si="350">TRIM(B352)</f>
        <v>Connecticut</v>
      </c>
      <c r="E352" s="2" t="str">
        <f t="shared" si="350"/>
        <v>Waterbury</v>
      </c>
      <c r="G352" s="122"/>
    </row>
    <row r="353" spans="1:7">
      <c r="A353" s="111" t="s">
        <v>9803</v>
      </c>
      <c r="B353" s="111" t="s">
        <v>1326</v>
      </c>
      <c r="C353" s="111" t="s">
        <v>9804</v>
      </c>
      <c r="D353" s="2" t="str">
        <f t="shared" ref="D353:E353" si="351">TRIM(B353)</f>
        <v>Connecticut</v>
      </c>
      <c r="E353" s="2" t="str">
        <f t="shared" si="351"/>
        <v>South Kent</v>
      </c>
      <c r="G353" s="122"/>
    </row>
    <row r="354" spans="1:7">
      <c r="A354" s="111" t="s">
        <v>9806</v>
      </c>
      <c r="B354" s="111" t="s">
        <v>1326</v>
      </c>
      <c r="C354" s="111" t="s">
        <v>9807</v>
      </c>
      <c r="D354" s="2" t="str">
        <f t="shared" ref="D354:E354" si="352">TRIM(B354)</f>
        <v>Connecticut</v>
      </c>
      <c r="E354" s="2" t="str">
        <f t="shared" si="352"/>
        <v>Uncasville</v>
      </c>
      <c r="G354" s="122"/>
    </row>
    <row r="355" spans="1:7">
      <c r="A355" s="111" t="s">
        <v>9606</v>
      </c>
      <c r="B355" s="111" t="s">
        <v>1326</v>
      </c>
      <c r="C355" s="111" t="s">
        <v>8711</v>
      </c>
      <c r="D355" s="2" t="str">
        <f t="shared" ref="D355:E355" si="353">TRIM(B355)</f>
        <v>Connecticut</v>
      </c>
      <c r="E355" s="2" t="str">
        <f t="shared" si="353"/>
        <v>Trumbull</v>
      </c>
    </row>
    <row r="356" spans="1:7">
      <c r="A356" s="111" t="s">
        <v>9811</v>
      </c>
      <c r="B356" s="111" t="s">
        <v>1326</v>
      </c>
      <c r="C356" s="111" t="s">
        <v>8571</v>
      </c>
      <c r="D356" s="2" t="str">
        <f t="shared" ref="D356:E356" si="354">TRIM(B356)</f>
        <v>Connecticut</v>
      </c>
      <c r="E356" s="2" t="str">
        <f t="shared" si="354"/>
        <v>New Canaan</v>
      </c>
    </row>
    <row r="357" spans="1:7">
      <c r="A357" s="111" t="s">
        <v>9630</v>
      </c>
      <c r="B357" s="111" t="s">
        <v>1326</v>
      </c>
      <c r="C357" s="111" t="s">
        <v>6119</v>
      </c>
      <c r="D357" s="2" t="str">
        <f t="shared" ref="D357:E357" si="355">TRIM(B357)</f>
        <v>Connecticut</v>
      </c>
      <c r="E357" s="2" t="str">
        <f t="shared" si="355"/>
        <v>Oakdale</v>
      </c>
    </row>
    <row r="358" spans="1:7">
      <c r="A358" s="111" t="s">
        <v>9814</v>
      </c>
      <c r="B358" s="111" t="s">
        <v>1326</v>
      </c>
      <c r="C358" s="111" t="s">
        <v>8389</v>
      </c>
      <c r="D358" s="2" t="str">
        <f t="shared" ref="D358:E358" si="356">TRIM(B358)</f>
        <v>Connecticut</v>
      </c>
      <c r="E358" s="2" t="str">
        <f t="shared" si="356"/>
        <v>Cheshire</v>
      </c>
    </row>
    <row r="359" spans="1:7">
      <c r="A359" s="111" t="s">
        <v>9815</v>
      </c>
      <c r="B359" s="111" t="s">
        <v>1326</v>
      </c>
      <c r="C359" s="111" t="s">
        <v>276</v>
      </c>
      <c r="D359" s="2" t="str">
        <f t="shared" ref="D359:E359" si="357">TRIM(B359)</f>
        <v>Connecticut</v>
      </c>
      <c r="E359" s="2" t="str">
        <f t="shared" si="357"/>
        <v>Washington</v>
      </c>
    </row>
    <row r="360" spans="1:7">
      <c r="A360" s="111" t="s">
        <v>9817</v>
      </c>
      <c r="B360" s="111" t="s">
        <v>1326</v>
      </c>
      <c r="C360" s="111" t="s">
        <v>9818</v>
      </c>
      <c r="D360" s="2" t="str">
        <f t="shared" ref="D360:E360" si="358">TRIM(B360)</f>
        <v>Connecticut</v>
      </c>
      <c r="E360" s="2" t="str">
        <f t="shared" si="358"/>
        <v>Lakeville</v>
      </c>
    </row>
    <row r="361" spans="1:7">
      <c r="A361" s="111" t="s">
        <v>9820</v>
      </c>
      <c r="B361" s="111" t="s">
        <v>1326</v>
      </c>
      <c r="C361" s="111" t="s">
        <v>246</v>
      </c>
      <c r="D361" s="2" t="str">
        <f t="shared" ref="D361:E361" si="359">TRIM(B361)</f>
        <v>Connecticut</v>
      </c>
      <c r="E361" s="2" t="str">
        <f t="shared" si="359"/>
        <v>Kent</v>
      </c>
    </row>
    <row r="362" spans="1:7">
      <c r="A362" s="76" t="s">
        <v>9821</v>
      </c>
      <c r="B362" s="111" t="s">
        <v>1326</v>
      </c>
      <c r="C362" s="111" t="s">
        <v>9823</v>
      </c>
      <c r="D362" s="2" t="str">
        <f t="shared" ref="D362:E362" si="360">TRIM(B362)</f>
        <v>Connecticut</v>
      </c>
      <c r="E362" s="2" t="str">
        <f t="shared" si="360"/>
        <v>West Simsbury</v>
      </c>
    </row>
    <row r="363" spans="1:7">
      <c r="A363" s="111" t="s">
        <v>9825</v>
      </c>
      <c r="B363" s="111" t="s">
        <v>1326</v>
      </c>
      <c r="C363" s="111" t="s">
        <v>8476</v>
      </c>
      <c r="D363" s="2" t="str">
        <f t="shared" ref="D363:E363" si="361">TRIM(B363)</f>
        <v>Connecticut</v>
      </c>
      <c r="E363" s="2" t="str">
        <f t="shared" si="361"/>
        <v>Greenwich</v>
      </c>
    </row>
    <row r="364" spans="1:7">
      <c r="A364" s="111" t="s">
        <v>9827</v>
      </c>
      <c r="B364" s="111" t="s">
        <v>1326</v>
      </c>
      <c r="C364" s="111" t="s">
        <v>8737</v>
      </c>
      <c r="D364" s="2" t="str">
        <f t="shared" ref="D364:E364" si="362">TRIM(B364)</f>
        <v>Connecticut</v>
      </c>
      <c r="E364" s="2" t="str">
        <f t="shared" si="362"/>
        <v>Watertown</v>
      </c>
    </row>
    <row r="365" spans="1:7">
      <c r="A365" s="111" t="s">
        <v>9830</v>
      </c>
      <c r="B365" s="111" t="s">
        <v>1326</v>
      </c>
      <c r="C365" s="111" t="s">
        <v>8596</v>
      </c>
      <c r="D365" s="2" t="str">
        <f t="shared" ref="D365:E365" si="363">TRIM(B365)</f>
        <v>Connecticut</v>
      </c>
      <c r="E365" s="2" t="str">
        <f t="shared" si="363"/>
        <v>New London</v>
      </c>
    </row>
    <row r="366" spans="1:7">
      <c r="A366" s="111" t="s">
        <v>9832</v>
      </c>
      <c r="B366" s="111" t="s">
        <v>1326</v>
      </c>
      <c r="C366" s="111" t="s">
        <v>9833</v>
      </c>
      <c r="D366" s="2" t="str">
        <f t="shared" ref="D366:E366" si="364">TRIM(B366)</f>
        <v>Connecticut</v>
      </c>
      <c r="E366" s="2" t="str">
        <f t="shared" si="364"/>
        <v>Bethlehem</v>
      </c>
    </row>
    <row r="367" spans="1:7">
      <c r="A367" s="111" t="s">
        <v>9835</v>
      </c>
      <c r="B367" s="111" t="s">
        <v>1326</v>
      </c>
      <c r="C367" s="111" t="s">
        <v>1832</v>
      </c>
      <c r="D367" s="2" t="str">
        <f t="shared" ref="D367:E367" si="365">TRIM(B367)</f>
        <v>Connecticut</v>
      </c>
      <c r="E367" s="2" t="str">
        <f t="shared" si="365"/>
        <v>Hartford</v>
      </c>
      <c r="G367" s="122"/>
    </row>
    <row r="368" spans="1:7">
      <c r="A368" s="111" t="s">
        <v>9836</v>
      </c>
      <c r="B368" s="111" t="s">
        <v>1326</v>
      </c>
      <c r="C368" s="111" t="s">
        <v>9837</v>
      </c>
      <c r="D368" s="2" t="str">
        <f t="shared" ref="D368:E368" si="366">TRIM(B368)</f>
        <v>Connecticut</v>
      </c>
      <c r="E368" s="2" t="str">
        <f t="shared" si="366"/>
        <v>Middlebury</v>
      </c>
      <c r="G368" s="122"/>
    </row>
    <row r="369" spans="1:7">
      <c r="A369" s="111" t="s">
        <v>9839</v>
      </c>
      <c r="B369" s="111" t="s">
        <v>1326</v>
      </c>
      <c r="C369" s="111" t="s">
        <v>8404</v>
      </c>
      <c r="D369" s="2" t="str">
        <f t="shared" ref="D369:E369" si="367">TRIM(B369)</f>
        <v>Connecticut</v>
      </c>
      <c r="E369" s="2" t="str">
        <f t="shared" si="367"/>
        <v>Danbury</v>
      </c>
      <c r="G369" s="122"/>
    </row>
    <row r="370" spans="1:7">
      <c r="A370" s="111" t="s">
        <v>9842</v>
      </c>
      <c r="B370" s="111" t="s">
        <v>1326</v>
      </c>
      <c r="C370" s="111" t="s">
        <v>500</v>
      </c>
      <c r="D370" s="2" t="str">
        <f t="shared" ref="D370:E370" si="368">TRIM(B370)</f>
        <v>Connecticut</v>
      </c>
      <c r="E370" s="2" t="str">
        <f t="shared" si="368"/>
        <v>Middletown</v>
      </c>
      <c r="G370" s="122"/>
    </row>
    <row r="371" spans="1:7">
      <c r="A371" s="111" t="s">
        <v>9844</v>
      </c>
      <c r="B371" s="111" t="s">
        <v>1327</v>
      </c>
      <c r="C371" s="111" t="s">
        <v>9845</v>
      </c>
      <c r="D371" s="2" t="str">
        <f t="shared" ref="D371:E371" si="369">TRIM(B371)</f>
        <v>Delaware</v>
      </c>
      <c r="E371" s="2" t="str">
        <f t="shared" si="369"/>
        <v>Bear</v>
      </c>
    </row>
    <row r="372" spans="1:7">
      <c r="A372" s="111" t="s">
        <v>9847</v>
      </c>
      <c r="B372" s="111" t="s">
        <v>1327</v>
      </c>
      <c r="C372" s="111" t="s">
        <v>1283</v>
      </c>
      <c r="D372" s="2" t="str">
        <f t="shared" ref="D372:E372" si="370">TRIM(B372)</f>
        <v>Delaware</v>
      </c>
      <c r="E372" s="2" t="str">
        <f t="shared" si="370"/>
        <v>Lincoln</v>
      </c>
    </row>
    <row r="373" spans="1:7">
      <c r="A373" s="111" t="s">
        <v>9849</v>
      </c>
      <c r="B373" s="111" t="s">
        <v>1327</v>
      </c>
      <c r="C373" s="111" t="s">
        <v>3820</v>
      </c>
      <c r="D373" s="2" t="str">
        <f t="shared" ref="D373:E373" si="371">TRIM(B373)</f>
        <v>Delaware</v>
      </c>
      <c r="E373" s="2" t="str">
        <f t="shared" si="371"/>
        <v>Greenwood</v>
      </c>
    </row>
    <row r="374" spans="1:7">
      <c r="A374" s="111" t="s">
        <v>9851</v>
      </c>
      <c r="B374" s="111" t="s">
        <v>1327</v>
      </c>
      <c r="C374" s="111" t="s">
        <v>272</v>
      </c>
      <c r="D374" s="2" t="str">
        <f t="shared" ref="D374:E374" si="372">TRIM(B374)</f>
        <v>Delaware</v>
      </c>
      <c r="E374" s="2" t="str">
        <f t="shared" si="372"/>
        <v>Wilmington</v>
      </c>
    </row>
    <row r="375" spans="1:7">
      <c r="A375" s="111" t="s">
        <v>9853</v>
      </c>
      <c r="B375" s="111" t="s">
        <v>1327</v>
      </c>
      <c r="C375" s="111" t="s">
        <v>272</v>
      </c>
      <c r="D375" s="2" t="str">
        <f t="shared" ref="D375:E375" si="373">TRIM(B375)</f>
        <v>Delaware</v>
      </c>
      <c r="E375" s="2" t="str">
        <f t="shared" si="373"/>
        <v>Wilmington</v>
      </c>
    </row>
    <row r="376" spans="1:7">
      <c r="A376" s="76" t="s">
        <v>9855</v>
      </c>
      <c r="B376" s="111" t="s">
        <v>1327</v>
      </c>
      <c r="C376" s="111" t="s">
        <v>500</v>
      </c>
      <c r="D376" s="2" t="str">
        <f t="shared" ref="D376:E376" si="374">TRIM(B376)</f>
        <v>Delaware</v>
      </c>
      <c r="E376" s="2" t="str">
        <f t="shared" si="374"/>
        <v>Middletown</v>
      </c>
    </row>
    <row r="377" spans="1:7">
      <c r="A377" s="76" t="s">
        <v>9856</v>
      </c>
      <c r="B377" s="111" t="s">
        <v>1327</v>
      </c>
      <c r="C377" s="111" t="s">
        <v>272</v>
      </c>
      <c r="D377" s="2" t="str">
        <f t="shared" ref="D377:E377" si="375">TRIM(B377)</f>
        <v>Delaware</v>
      </c>
      <c r="E377" s="2" t="str">
        <f t="shared" si="375"/>
        <v>Wilmington</v>
      </c>
    </row>
    <row r="378" spans="1:7">
      <c r="A378" s="111" t="s">
        <v>9858</v>
      </c>
      <c r="B378" s="111" t="s">
        <v>1327</v>
      </c>
      <c r="C378" s="111" t="s">
        <v>272</v>
      </c>
      <c r="D378" s="2" t="str">
        <f t="shared" ref="D378:E378" si="376">TRIM(B378)</f>
        <v>Delaware</v>
      </c>
      <c r="E378" s="2" t="str">
        <f t="shared" si="376"/>
        <v>Wilmington</v>
      </c>
    </row>
    <row r="379" spans="1:7">
      <c r="A379" s="111" t="s">
        <v>9860</v>
      </c>
      <c r="B379" s="111" t="s">
        <v>1327</v>
      </c>
      <c r="C379" s="111" t="s">
        <v>272</v>
      </c>
      <c r="D379" s="2" t="str">
        <f t="shared" ref="D379:E379" si="377">TRIM(B379)</f>
        <v>Delaware</v>
      </c>
      <c r="E379" s="2" t="str">
        <f t="shared" si="377"/>
        <v>Wilmington</v>
      </c>
    </row>
    <row r="380" spans="1:7">
      <c r="A380" s="111" t="s">
        <v>9862</v>
      </c>
      <c r="B380" s="111" t="s">
        <v>1382</v>
      </c>
      <c r="C380" s="111" t="s">
        <v>276</v>
      </c>
      <c r="D380" s="2" t="str">
        <f t="shared" ref="D380:E380" si="378">TRIM(B380)</f>
        <v>District Of Columbia</v>
      </c>
      <c r="E380" s="2" t="str">
        <f t="shared" si="378"/>
        <v>Washington</v>
      </c>
    </row>
    <row r="381" spans="1:7">
      <c r="A381" s="111" t="s">
        <v>9863</v>
      </c>
      <c r="B381" s="111" t="s">
        <v>1382</v>
      </c>
      <c r="C381" s="111" t="s">
        <v>276</v>
      </c>
      <c r="D381" s="2" t="str">
        <f t="shared" ref="D381:E381" si="379">TRIM(B381)</f>
        <v>District Of Columbia</v>
      </c>
      <c r="E381" s="2" t="str">
        <f t="shared" si="379"/>
        <v>Washington</v>
      </c>
    </row>
    <row r="382" spans="1:7">
      <c r="A382" s="111" t="s">
        <v>9865</v>
      </c>
      <c r="B382" s="111" t="s">
        <v>1382</v>
      </c>
      <c r="C382" s="111" t="s">
        <v>276</v>
      </c>
      <c r="D382" s="2" t="str">
        <f t="shared" ref="D382:E382" si="380">TRIM(B382)</f>
        <v>District Of Columbia</v>
      </c>
      <c r="E382" s="2" t="str">
        <f t="shared" si="380"/>
        <v>Washington</v>
      </c>
    </row>
    <row r="383" spans="1:7">
      <c r="A383" s="111" t="s">
        <v>9867</v>
      </c>
      <c r="B383" s="111" t="s">
        <v>1382</v>
      </c>
      <c r="C383" s="111" t="s">
        <v>276</v>
      </c>
      <c r="D383" s="2" t="str">
        <f t="shared" ref="D383:E383" si="381">TRIM(B383)</f>
        <v>District Of Columbia</v>
      </c>
      <c r="E383" s="2" t="str">
        <f t="shared" si="381"/>
        <v>Washington</v>
      </c>
    </row>
    <row r="384" spans="1:7">
      <c r="A384" s="111" t="s">
        <v>9870</v>
      </c>
      <c r="B384" s="111" t="s">
        <v>1382</v>
      </c>
      <c r="C384" s="111" t="s">
        <v>276</v>
      </c>
      <c r="D384" s="2" t="str">
        <f t="shared" ref="D384:E384" si="382">TRIM(B384)</f>
        <v>District Of Columbia</v>
      </c>
      <c r="E384" s="2" t="str">
        <f t="shared" si="382"/>
        <v>Washington</v>
      </c>
    </row>
    <row r="385" spans="1:5">
      <c r="A385" s="111" t="s">
        <v>9871</v>
      </c>
      <c r="B385" s="111" t="s">
        <v>1382</v>
      </c>
      <c r="C385" s="111" t="s">
        <v>276</v>
      </c>
      <c r="D385" s="2" t="str">
        <f t="shared" ref="D385:E385" si="383">TRIM(B385)</f>
        <v>District Of Columbia</v>
      </c>
      <c r="E385" s="2" t="str">
        <f t="shared" si="383"/>
        <v>Washington</v>
      </c>
    </row>
    <row r="386" spans="1:5">
      <c r="A386" s="111" t="s">
        <v>9873</v>
      </c>
      <c r="B386" s="111" t="s">
        <v>1382</v>
      </c>
      <c r="C386" s="111" t="s">
        <v>276</v>
      </c>
      <c r="D386" s="2" t="str">
        <f t="shared" ref="D386:E386" si="384">TRIM(B386)</f>
        <v>District Of Columbia</v>
      </c>
      <c r="E386" s="2" t="str">
        <f t="shared" si="384"/>
        <v>Washington</v>
      </c>
    </row>
    <row r="387" spans="1:5">
      <c r="A387" s="111" t="s">
        <v>9875</v>
      </c>
      <c r="B387" s="111" t="s">
        <v>1382</v>
      </c>
      <c r="C387" s="111" t="s">
        <v>276</v>
      </c>
      <c r="D387" s="2" t="str">
        <f t="shared" ref="D387:E387" si="385">TRIM(B387)</f>
        <v>District Of Columbia</v>
      </c>
      <c r="E387" s="2" t="str">
        <f t="shared" si="385"/>
        <v>Washington</v>
      </c>
    </row>
    <row r="388" spans="1:5">
      <c r="A388" s="111" t="s">
        <v>9877</v>
      </c>
      <c r="B388" s="111" t="s">
        <v>1382</v>
      </c>
      <c r="C388" s="111" t="s">
        <v>276</v>
      </c>
      <c r="D388" s="2" t="str">
        <f t="shared" ref="D388:E388" si="386">TRIM(B388)</f>
        <v>District Of Columbia</v>
      </c>
      <c r="E388" s="2" t="str">
        <f t="shared" si="386"/>
        <v>Washington</v>
      </c>
    </row>
    <row r="389" spans="1:5">
      <c r="A389" s="111" t="s">
        <v>9879</v>
      </c>
      <c r="B389" s="111" t="s">
        <v>1382</v>
      </c>
      <c r="C389" s="111" t="s">
        <v>276</v>
      </c>
      <c r="D389" s="2" t="str">
        <f t="shared" ref="D389:E389" si="387">TRIM(B389)</f>
        <v>District Of Columbia</v>
      </c>
      <c r="E389" s="2" t="str">
        <f t="shared" si="387"/>
        <v>Washington</v>
      </c>
    </row>
    <row r="390" spans="1:5">
      <c r="A390" s="111" t="s">
        <v>9881</v>
      </c>
      <c r="B390" s="111" t="s">
        <v>1382</v>
      </c>
      <c r="C390" s="111" t="s">
        <v>276</v>
      </c>
      <c r="D390" s="2" t="str">
        <f t="shared" ref="D390:E390" si="388">TRIM(B390)</f>
        <v>District Of Columbia</v>
      </c>
      <c r="E390" s="2" t="str">
        <f t="shared" si="388"/>
        <v>Washington</v>
      </c>
    </row>
    <row r="391" spans="1:5">
      <c r="A391" s="111" t="s">
        <v>9884</v>
      </c>
      <c r="B391" s="111" t="s">
        <v>1328</v>
      </c>
      <c r="C391" s="111" t="s">
        <v>3922</v>
      </c>
      <c r="D391" s="2" t="str">
        <f t="shared" ref="D391:E391" si="389">TRIM(B391)</f>
        <v>Florida</v>
      </c>
      <c r="E391" s="2" t="str">
        <f t="shared" si="389"/>
        <v>Lake City</v>
      </c>
    </row>
    <row r="392" spans="1:5">
      <c r="A392" s="111" t="s">
        <v>9887</v>
      </c>
      <c r="B392" s="111" t="s">
        <v>1328</v>
      </c>
      <c r="C392" s="111" t="s">
        <v>894</v>
      </c>
      <c r="D392" s="2" t="str">
        <f t="shared" ref="D392:E392" si="390">TRIM(B392)</f>
        <v>Florida</v>
      </c>
      <c r="E392" s="2" t="str">
        <f t="shared" si="390"/>
        <v>Boca Raton</v>
      </c>
    </row>
    <row r="393" spans="1:5">
      <c r="A393" s="111" t="s">
        <v>9889</v>
      </c>
      <c r="B393" s="111" t="s">
        <v>1328</v>
      </c>
      <c r="C393" s="111" t="s">
        <v>894</v>
      </c>
      <c r="D393" s="2" t="str">
        <f t="shared" ref="D393:E393" si="391">TRIM(B393)</f>
        <v>Florida</v>
      </c>
      <c r="E393" s="2" t="str">
        <f t="shared" si="391"/>
        <v>Boca Raton</v>
      </c>
    </row>
    <row r="394" spans="1:5">
      <c r="A394" s="111" t="s">
        <v>9892</v>
      </c>
      <c r="B394" s="111" t="s">
        <v>1328</v>
      </c>
      <c r="C394" s="111" t="s">
        <v>874</v>
      </c>
      <c r="D394" s="2" t="str">
        <f t="shared" ref="D394:E394" si="392">TRIM(B394)</f>
        <v>Florida</v>
      </c>
      <c r="E394" s="2" t="str">
        <f t="shared" si="392"/>
        <v>Tampa</v>
      </c>
    </row>
    <row r="395" spans="1:5">
      <c r="A395" s="111" t="s">
        <v>9893</v>
      </c>
      <c r="B395" s="111" t="s">
        <v>1328</v>
      </c>
      <c r="C395" s="111" t="s">
        <v>9894</v>
      </c>
      <c r="D395" s="2" t="str">
        <f t="shared" ref="D395:E395" si="393">TRIM(B395)</f>
        <v>Florida</v>
      </c>
      <c r="E395" s="2" t="str">
        <f t="shared" si="393"/>
        <v>St Petersburg</v>
      </c>
    </row>
    <row r="396" spans="1:5">
      <c r="A396" s="111" t="s">
        <v>9895</v>
      </c>
      <c r="B396" s="111" t="s">
        <v>1328</v>
      </c>
      <c r="C396" s="113" t="s">
        <v>447</v>
      </c>
      <c r="D396" s="2" t="str">
        <f t="shared" ref="D396:E396" si="394">TRIM(B396)</f>
        <v>Florida</v>
      </c>
      <c r="E396" s="2" t="str">
        <f t="shared" si="394"/>
        <v>North Miami Beach</v>
      </c>
    </row>
    <row r="397" spans="1:5">
      <c r="A397" s="111" t="s">
        <v>9899</v>
      </c>
      <c r="B397" s="111" t="s">
        <v>1328</v>
      </c>
      <c r="C397" s="111" t="s">
        <v>943</v>
      </c>
      <c r="D397" s="2" t="str">
        <f t="shared" ref="D397:E397" si="395">TRIM(B397)</f>
        <v>Florida</v>
      </c>
      <c r="E397" s="2" t="str">
        <f t="shared" si="395"/>
        <v>Fort Lauderdale</v>
      </c>
    </row>
    <row r="398" spans="1:5">
      <c r="A398" s="111" t="s">
        <v>9902</v>
      </c>
      <c r="B398" s="111" t="s">
        <v>1328</v>
      </c>
      <c r="C398" s="111" t="s">
        <v>9903</v>
      </c>
      <c r="D398" s="2" t="str">
        <f t="shared" ref="D398:E398" si="396">TRIM(B398)</f>
        <v>Florida</v>
      </c>
      <c r="E398" s="2" t="str">
        <f t="shared" si="396"/>
        <v>Plantation</v>
      </c>
    </row>
    <row r="399" spans="1:5">
      <c r="A399" s="111" t="s">
        <v>9904</v>
      </c>
      <c r="B399" s="111" t="s">
        <v>1328</v>
      </c>
      <c r="C399" s="111" t="s">
        <v>9158</v>
      </c>
      <c r="D399" s="2" t="str">
        <f t="shared" ref="D399:E399" si="397">TRIM(B399)</f>
        <v>Florida</v>
      </c>
      <c r="E399" s="2" t="str">
        <f t="shared" si="397"/>
        <v>Delray Beach</v>
      </c>
    </row>
    <row r="400" spans="1:5">
      <c r="A400" s="111" t="s">
        <v>9907</v>
      </c>
      <c r="B400" s="111" t="s">
        <v>1328</v>
      </c>
      <c r="C400" s="111" t="s">
        <v>9903</v>
      </c>
      <c r="D400" s="2" t="str">
        <f t="shared" ref="D400:E400" si="398">TRIM(B400)</f>
        <v>Florida</v>
      </c>
      <c r="E400" s="2" t="str">
        <f t="shared" si="398"/>
        <v>Plantation</v>
      </c>
    </row>
    <row r="401" spans="1:5">
      <c r="A401" s="111" t="s">
        <v>9909</v>
      </c>
      <c r="B401" s="111" t="s">
        <v>1328</v>
      </c>
      <c r="C401" s="111" t="s">
        <v>167</v>
      </c>
      <c r="D401" s="2" t="str">
        <f t="shared" ref="D401:E401" si="399">TRIM(B401)</f>
        <v>Florida</v>
      </c>
      <c r="E401" s="2" t="str">
        <f t="shared" si="399"/>
        <v>Orlando</v>
      </c>
    </row>
    <row r="402" spans="1:5">
      <c r="A402" s="111" t="s">
        <v>9911</v>
      </c>
      <c r="B402" s="111" t="s">
        <v>1328</v>
      </c>
      <c r="C402" s="111" t="s">
        <v>9788</v>
      </c>
      <c r="D402" s="2" t="str">
        <f t="shared" ref="D402:E402" si="400">TRIM(B402)</f>
        <v>Florida</v>
      </c>
      <c r="E402" s="2" t="str">
        <f t="shared" si="400"/>
        <v>North Miami</v>
      </c>
    </row>
    <row r="403" spans="1:5">
      <c r="A403" s="111" t="s">
        <v>9912</v>
      </c>
      <c r="B403" s="111" t="s">
        <v>1328</v>
      </c>
      <c r="C403" s="111" t="s">
        <v>874</v>
      </c>
      <c r="D403" s="2" t="str">
        <f t="shared" ref="D403:E403" si="401">TRIM(B403)</f>
        <v>Florida</v>
      </c>
      <c r="E403" s="2" t="str">
        <f t="shared" si="401"/>
        <v>Tampa</v>
      </c>
    </row>
    <row r="404" spans="1:5">
      <c r="A404" s="111" t="s">
        <v>9914</v>
      </c>
      <c r="B404" s="111" t="s">
        <v>1328</v>
      </c>
      <c r="C404" s="114" t="s">
        <v>9915</v>
      </c>
      <c r="D404" s="2" t="str">
        <f t="shared" ref="D404:E404" si="402">TRIM(B404)</f>
        <v>Florida</v>
      </c>
      <c r="E404" s="2" t="str">
        <f t="shared" si="402"/>
        <v>Southwest Ranches</v>
      </c>
    </row>
    <row r="405" spans="1:5">
      <c r="A405" s="111" t="s">
        <v>9917</v>
      </c>
      <c r="B405" s="111" t="s">
        <v>1328</v>
      </c>
      <c r="C405" s="111" t="s">
        <v>285</v>
      </c>
      <c r="D405" s="2" t="str">
        <f t="shared" ref="D405:E405" si="403">TRIM(B405)</f>
        <v>Florida</v>
      </c>
      <c r="E405" s="2" t="str">
        <f t="shared" si="403"/>
        <v>Hialeah</v>
      </c>
    </row>
    <row r="406" spans="1:5">
      <c r="A406" s="111" t="s">
        <v>9919</v>
      </c>
      <c r="B406" s="111" t="s">
        <v>1328</v>
      </c>
      <c r="C406" s="111" t="s">
        <v>115</v>
      </c>
      <c r="D406" s="2" t="str">
        <f t="shared" ref="D406:E406" si="404">TRIM(B406)</f>
        <v>Florida</v>
      </c>
      <c r="E406" s="2" t="str">
        <f t="shared" si="404"/>
        <v>Miami</v>
      </c>
    </row>
    <row r="407" spans="1:5">
      <c r="A407" s="111" t="s">
        <v>9921</v>
      </c>
      <c r="B407" s="111" t="s">
        <v>1328</v>
      </c>
      <c r="C407" s="111" t="s">
        <v>9228</v>
      </c>
      <c r="D407" s="2" t="str">
        <f t="shared" ref="D407:E407" si="405">TRIM(B407)</f>
        <v>Florida</v>
      </c>
      <c r="E407" s="2" t="str">
        <f t="shared" si="405"/>
        <v>Fort Pierce</v>
      </c>
    </row>
    <row r="408" spans="1:5">
      <c r="A408" s="111" t="s">
        <v>9924</v>
      </c>
      <c r="B408" s="111" t="s">
        <v>1328</v>
      </c>
      <c r="C408" s="111" t="s">
        <v>1045</v>
      </c>
      <c r="D408" s="2" t="str">
        <f t="shared" ref="D408:E408" si="406">TRIM(B408)</f>
        <v>Florida</v>
      </c>
      <c r="E408" s="2" t="str">
        <f t="shared" si="406"/>
        <v>Jacksonville</v>
      </c>
    </row>
    <row r="409" spans="1:5">
      <c r="A409" s="111" t="s">
        <v>9926</v>
      </c>
      <c r="B409" s="111" t="s">
        <v>1328</v>
      </c>
      <c r="C409" s="111" t="s">
        <v>1058</v>
      </c>
      <c r="D409" s="2" t="str">
        <f t="shared" ref="D409:E409" si="407">TRIM(B409)</f>
        <v>Florida</v>
      </c>
      <c r="E409" s="2" t="str">
        <f t="shared" si="407"/>
        <v>Tallahassee</v>
      </c>
    </row>
    <row r="410" spans="1:5">
      <c r="A410" s="111" t="s">
        <v>9928</v>
      </c>
      <c r="B410" s="111" t="s">
        <v>1328</v>
      </c>
      <c r="C410" s="111" t="s">
        <v>1045</v>
      </c>
      <c r="D410" s="2" t="str">
        <f t="shared" ref="D410:E410" si="408">TRIM(B410)</f>
        <v>Florida</v>
      </c>
      <c r="E410" s="2" t="str">
        <f t="shared" si="408"/>
        <v>Jacksonville</v>
      </c>
    </row>
    <row r="411" spans="1:5">
      <c r="A411" s="111" t="s">
        <v>9930</v>
      </c>
      <c r="B411" s="111" t="s">
        <v>1328</v>
      </c>
      <c r="C411" s="111" t="s">
        <v>1045</v>
      </c>
      <c r="D411" s="2" t="str">
        <f t="shared" ref="D411:E411" si="409">TRIM(B411)</f>
        <v>Florida</v>
      </c>
      <c r="E411" s="2" t="str">
        <f t="shared" si="409"/>
        <v>Jacksonville</v>
      </c>
    </row>
    <row r="412" spans="1:5">
      <c r="A412" s="111" t="s">
        <v>9932</v>
      </c>
      <c r="B412" s="111" t="s">
        <v>1328</v>
      </c>
      <c r="C412" s="111" t="s">
        <v>894</v>
      </c>
      <c r="D412" s="2" t="str">
        <f t="shared" ref="D412:E412" si="410">TRIM(B412)</f>
        <v>Florida</v>
      </c>
      <c r="E412" s="2" t="str">
        <f t="shared" si="410"/>
        <v>Boca Raton</v>
      </c>
    </row>
    <row r="413" spans="1:5">
      <c r="A413" s="111" t="s">
        <v>9935</v>
      </c>
      <c r="B413" s="111" t="s">
        <v>1328</v>
      </c>
      <c r="C413" s="111" t="s">
        <v>9600</v>
      </c>
      <c r="D413" s="2" t="str">
        <f t="shared" ref="D413:E413" si="411">TRIM(B413)</f>
        <v>Florida</v>
      </c>
      <c r="E413" s="2" t="str">
        <f t="shared" si="411"/>
        <v>Merritt Island</v>
      </c>
    </row>
    <row r="414" spans="1:5">
      <c r="A414" s="111" t="s">
        <v>9936</v>
      </c>
      <c r="B414" s="111" t="s">
        <v>1328</v>
      </c>
      <c r="C414" s="111" t="s">
        <v>9937</v>
      </c>
      <c r="D414" s="2" t="str">
        <f t="shared" ref="D414:E414" si="412">TRIM(B414)</f>
        <v>Florida</v>
      </c>
      <c r="E414" s="2" t="str">
        <f t="shared" si="412"/>
        <v>Sarasota</v>
      </c>
    </row>
    <row r="415" spans="1:5">
      <c r="A415" s="111" t="s">
        <v>9938</v>
      </c>
      <c r="B415" s="111" t="s">
        <v>1328</v>
      </c>
      <c r="C415" s="111" t="s">
        <v>115</v>
      </c>
      <c r="D415" s="2" t="str">
        <f t="shared" ref="D415:E415" si="413">TRIM(B415)</f>
        <v>Florida</v>
      </c>
      <c r="E415" s="2" t="str">
        <f t="shared" si="413"/>
        <v>Miami</v>
      </c>
    </row>
    <row r="416" spans="1:5">
      <c r="A416" s="111" t="s">
        <v>9940</v>
      </c>
      <c r="B416" s="111" t="s">
        <v>1328</v>
      </c>
      <c r="C416" s="111" t="s">
        <v>1045</v>
      </c>
      <c r="D416" s="2" t="str">
        <f t="shared" ref="D416:E416" si="414">TRIM(B416)</f>
        <v>Florida</v>
      </c>
      <c r="E416" s="2" t="str">
        <f t="shared" si="414"/>
        <v>Jacksonville</v>
      </c>
    </row>
    <row r="417" spans="1:5">
      <c r="A417" s="111" t="s">
        <v>9942</v>
      </c>
      <c r="B417" s="111" t="s">
        <v>1328</v>
      </c>
      <c r="C417" s="111" t="s">
        <v>115</v>
      </c>
      <c r="D417" s="2" t="str">
        <f t="shared" ref="D417:E417" si="415">TRIM(B417)</f>
        <v>Florida</v>
      </c>
      <c r="E417" s="2" t="str">
        <f t="shared" si="415"/>
        <v>Miami</v>
      </c>
    </row>
    <row r="418" spans="1:5">
      <c r="A418" s="111" t="s">
        <v>9754</v>
      </c>
      <c r="B418" s="111" t="s">
        <v>1328</v>
      </c>
      <c r="C418" s="111" t="s">
        <v>9215</v>
      </c>
      <c r="D418" s="2" t="str">
        <f t="shared" ref="D418:E418" si="416">TRIM(B418)</f>
        <v>Florida</v>
      </c>
      <c r="E418" s="2" t="str">
        <f t="shared" si="416"/>
        <v>Fort Myers</v>
      </c>
    </row>
    <row r="419" spans="1:5">
      <c r="A419" s="111" t="s">
        <v>9945</v>
      </c>
      <c r="B419" s="111" t="s">
        <v>1328</v>
      </c>
      <c r="C419" s="111" t="s">
        <v>115</v>
      </c>
      <c r="D419" s="2" t="str">
        <f t="shared" ref="D419:E419" si="417">TRIM(B419)</f>
        <v>Florida</v>
      </c>
      <c r="E419" s="2" t="str">
        <f t="shared" si="417"/>
        <v>Miami</v>
      </c>
    </row>
    <row r="420" spans="1:5">
      <c r="A420" s="111" t="s">
        <v>9947</v>
      </c>
      <c r="B420" s="111" t="s">
        <v>1328</v>
      </c>
      <c r="C420" s="111" t="s">
        <v>9948</v>
      </c>
      <c r="D420" s="2" t="str">
        <f t="shared" ref="D420:E420" si="418">TRIM(B420)</f>
        <v>Florida</v>
      </c>
      <c r="E420" s="2" t="str">
        <f t="shared" si="418"/>
        <v>Coconut Grove</v>
      </c>
    </row>
    <row r="421" spans="1:5">
      <c r="A421" s="111" t="s">
        <v>9950</v>
      </c>
      <c r="B421" s="111" t="s">
        <v>1328</v>
      </c>
      <c r="C421" s="111" t="s">
        <v>115</v>
      </c>
      <c r="D421" s="2" t="str">
        <f t="shared" ref="D421:E421" si="419">TRIM(B421)</f>
        <v>Florida</v>
      </c>
      <c r="E421" s="2" t="str">
        <f t="shared" si="419"/>
        <v>Miami</v>
      </c>
    </row>
    <row r="422" spans="1:5">
      <c r="A422" s="111" t="s">
        <v>9952</v>
      </c>
      <c r="B422" s="111" t="s">
        <v>1328</v>
      </c>
      <c r="C422" s="111" t="s">
        <v>5286</v>
      </c>
      <c r="D422" s="2" t="str">
        <f t="shared" ref="D422:E422" si="420">TRIM(B422)</f>
        <v>Florida</v>
      </c>
      <c r="E422" s="2" t="str">
        <f t="shared" si="420"/>
        <v>Hollywood</v>
      </c>
    </row>
    <row r="423" spans="1:5">
      <c r="A423" s="111" t="s">
        <v>9954</v>
      </c>
      <c r="B423" s="111" t="s">
        <v>1328</v>
      </c>
      <c r="C423" s="111" t="s">
        <v>9060</v>
      </c>
      <c r="D423" s="2" t="str">
        <f t="shared" ref="D423:E423" si="421">TRIM(B423)</f>
        <v>Florida</v>
      </c>
      <c r="E423" s="2" t="str">
        <f t="shared" si="421"/>
        <v>Clermont</v>
      </c>
    </row>
    <row r="424" spans="1:5">
      <c r="A424" s="111" t="s">
        <v>9956</v>
      </c>
      <c r="B424" s="111" t="s">
        <v>1328</v>
      </c>
      <c r="C424" s="111" t="s">
        <v>9958</v>
      </c>
      <c r="D424" s="2" t="str">
        <f t="shared" ref="D424:E424" si="422">TRIM(B424)</f>
        <v>Florida</v>
      </c>
      <c r="E424" s="2" t="str">
        <f t="shared" si="422"/>
        <v>Port St Lucie</v>
      </c>
    </row>
    <row r="425" spans="1:5">
      <c r="A425" s="111" t="s">
        <v>9959</v>
      </c>
      <c r="B425" s="111" t="s">
        <v>1328</v>
      </c>
      <c r="C425" s="111" t="s">
        <v>354</v>
      </c>
      <c r="D425" s="2" t="str">
        <f t="shared" ref="D425:E425" si="423">TRIM(B425)</f>
        <v>Florida</v>
      </c>
      <c r="E425" s="2" t="str">
        <f t="shared" si="423"/>
        <v>Naples</v>
      </c>
    </row>
    <row r="426" spans="1:5">
      <c r="A426" s="111" t="s">
        <v>9962</v>
      </c>
      <c r="B426" s="111" t="s">
        <v>1328</v>
      </c>
      <c r="C426" s="112" t="s">
        <v>9715</v>
      </c>
      <c r="D426" s="2" t="str">
        <f t="shared" ref="D426:E426" si="424">TRIM(B426)</f>
        <v>Florida</v>
      </c>
      <c r="E426" s="2" t="str">
        <f t="shared" si="424"/>
        <v>Miami Lakes</v>
      </c>
    </row>
    <row r="427" spans="1:5">
      <c r="A427" s="111" t="s">
        <v>9965</v>
      </c>
      <c r="B427" s="111" t="s">
        <v>1328</v>
      </c>
      <c r="C427" s="111" t="s">
        <v>291</v>
      </c>
      <c r="D427" s="2" t="str">
        <f t="shared" ref="D427:E427" si="425">TRIM(B427)</f>
        <v>Florida</v>
      </c>
      <c r="E427" s="2" t="str">
        <f t="shared" si="425"/>
        <v>Gainesville</v>
      </c>
    </row>
    <row r="428" spans="1:5">
      <c r="A428" s="111" t="s">
        <v>9967</v>
      </c>
      <c r="B428" s="111" t="s">
        <v>1328</v>
      </c>
      <c r="C428" s="111" t="s">
        <v>6382</v>
      </c>
      <c r="D428" s="2" t="str">
        <f t="shared" ref="D428:E428" si="426">TRIM(B428)</f>
        <v>Florida</v>
      </c>
      <c r="E428" s="2" t="str">
        <f t="shared" si="426"/>
        <v>Clearwater</v>
      </c>
    </row>
    <row r="429" spans="1:5">
      <c r="A429" s="111" t="s">
        <v>9968</v>
      </c>
      <c r="B429" s="111" t="s">
        <v>1328</v>
      </c>
      <c r="C429" s="111" t="s">
        <v>9182</v>
      </c>
      <c r="D429" s="2" t="str">
        <f t="shared" ref="D429:E429" si="427">TRIM(B429)</f>
        <v>Florida</v>
      </c>
      <c r="E429" s="2" t="str">
        <f t="shared" si="427"/>
        <v>Dunedin</v>
      </c>
    </row>
    <row r="430" spans="1:5">
      <c r="A430" s="76" t="s">
        <v>9970</v>
      </c>
      <c r="B430" s="111" t="s">
        <v>1328</v>
      </c>
      <c r="C430" s="111" t="s">
        <v>1045</v>
      </c>
      <c r="D430" s="2" t="str">
        <f t="shared" ref="D430:E430" si="428">TRIM(B430)</f>
        <v>Florida</v>
      </c>
      <c r="E430" s="2" t="str">
        <f t="shared" si="428"/>
        <v>Jacksonville</v>
      </c>
    </row>
    <row r="431" spans="1:5">
      <c r="A431" s="111" t="s">
        <v>9972</v>
      </c>
      <c r="B431" s="111" t="s">
        <v>1328</v>
      </c>
      <c r="C431" s="111" t="s">
        <v>167</v>
      </c>
      <c r="D431" s="2" t="str">
        <f t="shared" ref="D431:E431" si="429">TRIM(B431)</f>
        <v>Florida</v>
      </c>
      <c r="E431" s="2" t="str">
        <f t="shared" si="429"/>
        <v>Orlando</v>
      </c>
    </row>
    <row r="432" spans="1:5">
      <c r="A432" s="111" t="s">
        <v>9974</v>
      </c>
      <c r="B432" s="111" t="s">
        <v>1328</v>
      </c>
      <c r="C432" s="111" t="s">
        <v>720</v>
      </c>
      <c r="D432" s="2" t="str">
        <f t="shared" ref="D432:E432" si="430">TRIM(B432)</f>
        <v>Florida</v>
      </c>
      <c r="E432" s="2" t="str">
        <f t="shared" si="430"/>
        <v>Bradenton</v>
      </c>
    </row>
    <row r="433" spans="1:5">
      <c r="A433" s="111" t="s">
        <v>9976</v>
      </c>
      <c r="B433" s="111" t="s">
        <v>1328</v>
      </c>
      <c r="C433" s="111" t="s">
        <v>540</v>
      </c>
      <c r="D433" s="2" t="str">
        <f t="shared" ref="D433:E433" si="431">TRIM(B433)</f>
        <v>Florida</v>
      </c>
      <c r="E433" s="2" t="str">
        <f t="shared" si="431"/>
        <v>Cocoa</v>
      </c>
    </row>
    <row r="434" spans="1:5">
      <c r="A434" s="111" t="s">
        <v>9979</v>
      </c>
      <c r="B434" s="111" t="s">
        <v>1328</v>
      </c>
      <c r="C434" s="111" t="s">
        <v>9937</v>
      </c>
      <c r="D434" s="2" t="str">
        <f t="shared" ref="D434:E434" si="432">TRIM(B434)</f>
        <v>Florida</v>
      </c>
      <c r="E434" s="2" t="str">
        <f t="shared" si="432"/>
        <v>Sarasota</v>
      </c>
    </row>
    <row r="435" spans="1:5">
      <c r="A435" s="111" t="s">
        <v>9982</v>
      </c>
      <c r="B435" s="111" t="s">
        <v>1328</v>
      </c>
      <c r="C435" s="111" t="s">
        <v>943</v>
      </c>
      <c r="D435" s="2" t="str">
        <f t="shared" ref="D435:E435" si="433">TRIM(B435)</f>
        <v>Florida</v>
      </c>
      <c r="E435" s="2" t="str">
        <f t="shared" si="433"/>
        <v>Fort Lauderdale</v>
      </c>
    </row>
    <row r="436" spans="1:5">
      <c r="A436" s="111" t="s">
        <v>9984</v>
      </c>
      <c r="B436" s="111" t="s">
        <v>1328</v>
      </c>
      <c r="C436" s="111" t="s">
        <v>167</v>
      </c>
      <c r="D436" s="2" t="str">
        <f t="shared" ref="D436:E436" si="434">TRIM(B436)</f>
        <v>Florida</v>
      </c>
      <c r="E436" s="2" t="str">
        <f t="shared" si="434"/>
        <v>Orlando</v>
      </c>
    </row>
    <row r="437" spans="1:5">
      <c r="A437" s="111" t="s">
        <v>9985</v>
      </c>
      <c r="B437" s="111" t="s">
        <v>1328</v>
      </c>
      <c r="C437" s="111" t="s">
        <v>9712</v>
      </c>
      <c r="D437" s="2" t="str">
        <f t="shared" ref="D437:E437" si="435">TRIM(B437)</f>
        <v>Florida</v>
      </c>
      <c r="E437" s="2" t="str">
        <f t="shared" si="435"/>
        <v>Miami Gardens</v>
      </c>
    </row>
    <row r="438" spans="1:5">
      <c r="A438" s="111" t="s">
        <v>9988</v>
      </c>
      <c r="B438" s="111" t="s">
        <v>1328</v>
      </c>
      <c r="C438" s="111" t="s">
        <v>9989</v>
      </c>
      <c r="D438" s="2" t="str">
        <f t="shared" ref="D438:E438" si="436">TRIM(B438)</f>
        <v>Florida</v>
      </c>
      <c r="E438" s="2" t="str">
        <f t="shared" si="436"/>
        <v>Archer</v>
      </c>
    </row>
    <row r="439" spans="1:5">
      <c r="A439" s="111" t="s">
        <v>9991</v>
      </c>
      <c r="B439" s="111" t="s">
        <v>1328</v>
      </c>
      <c r="C439" s="111" t="s">
        <v>9992</v>
      </c>
      <c r="D439" s="2" t="str">
        <f t="shared" ref="D439:E439" si="437">TRIM(B439)</f>
        <v>Florida</v>
      </c>
      <c r="E439" s="2" t="str">
        <f t="shared" si="437"/>
        <v>Lulu</v>
      </c>
    </row>
    <row r="440" spans="1:5">
      <c r="A440" s="111" t="s">
        <v>9994</v>
      </c>
      <c r="B440" s="111" t="s">
        <v>1328</v>
      </c>
      <c r="C440" s="111" t="s">
        <v>9550</v>
      </c>
      <c r="D440" s="2" t="str">
        <f t="shared" ref="D440:E440" si="438">TRIM(B440)</f>
        <v>Florida</v>
      </c>
      <c r="E440" s="2" t="str">
        <f t="shared" si="438"/>
        <v>Leesburg</v>
      </c>
    </row>
    <row r="441" spans="1:5">
      <c r="A441" s="111" t="s">
        <v>9997</v>
      </c>
      <c r="B441" s="111" t="s">
        <v>1328</v>
      </c>
      <c r="C441" s="111" t="s">
        <v>404</v>
      </c>
      <c r="D441" s="2" t="str">
        <f t="shared" ref="D441:E441" si="439">TRIM(B441)</f>
        <v>Florida</v>
      </c>
      <c r="E441" s="2" t="str">
        <f t="shared" si="439"/>
        <v>Apopka</v>
      </c>
    </row>
    <row r="442" spans="1:5">
      <c r="A442" s="111" t="s">
        <v>10000</v>
      </c>
      <c r="B442" s="111" t="s">
        <v>1328</v>
      </c>
      <c r="C442" s="111" t="s">
        <v>943</v>
      </c>
      <c r="D442" s="2" t="str">
        <f t="shared" ref="D442:E442" si="440">TRIM(B442)</f>
        <v>Florida</v>
      </c>
      <c r="E442" s="2" t="str">
        <f t="shared" si="440"/>
        <v>Fort Lauderdale</v>
      </c>
    </row>
    <row r="443" spans="1:5">
      <c r="A443" s="111" t="s">
        <v>10003</v>
      </c>
      <c r="B443" s="111" t="s">
        <v>1328</v>
      </c>
      <c r="C443" s="111" t="s">
        <v>5520</v>
      </c>
      <c r="D443" s="2" t="str">
        <f t="shared" ref="D443:E443" si="441">TRIM(B443)</f>
        <v>Florida</v>
      </c>
      <c r="E443" s="2" t="str">
        <f t="shared" si="441"/>
        <v>Live Oak</v>
      </c>
    </row>
    <row r="444" spans="1:5">
      <c r="A444" s="111" t="s">
        <v>10004</v>
      </c>
      <c r="B444" s="111" t="s">
        <v>1328</v>
      </c>
      <c r="C444" s="111" t="s">
        <v>9898</v>
      </c>
      <c r="D444" s="2" t="str">
        <f t="shared" ref="D444:E444" si="442">TRIM(B444)</f>
        <v>Florida</v>
      </c>
      <c r="E444" s="2" t="str">
        <f t="shared" si="442"/>
        <v>Palm Coast</v>
      </c>
    </row>
    <row r="445" spans="1:5">
      <c r="A445" s="111" t="s">
        <v>10006</v>
      </c>
      <c r="B445" s="111" t="s">
        <v>1328</v>
      </c>
      <c r="C445" s="111" t="s">
        <v>8976</v>
      </c>
      <c r="D445" s="2" t="str">
        <f t="shared" ref="D445:E445" si="443">TRIM(B445)</f>
        <v>Florida</v>
      </c>
      <c r="E445" s="2" t="str">
        <f t="shared" si="443"/>
        <v>Bonifay</v>
      </c>
    </row>
    <row r="446" spans="1:5">
      <c r="A446" s="111" t="s">
        <v>10008</v>
      </c>
      <c r="B446" s="111" t="s">
        <v>1328</v>
      </c>
      <c r="C446" s="111" t="s">
        <v>530</v>
      </c>
      <c r="D446" s="2" t="str">
        <f t="shared" ref="D446:E446" si="444">TRIM(B446)</f>
        <v>Florida</v>
      </c>
      <c r="E446" s="2" t="str">
        <f t="shared" si="444"/>
        <v>New Port Richey</v>
      </c>
    </row>
    <row r="447" spans="1:5">
      <c r="A447" s="111" t="s">
        <v>10011</v>
      </c>
      <c r="B447" s="111" t="s">
        <v>1328</v>
      </c>
      <c r="C447" s="111" t="s">
        <v>1009</v>
      </c>
      <c r="D447" s="2" t="str">
        <f t="shared" ref="D447:E447" si="445">TRIM(B447)</f>
        <v>Florida</v>
      </c>
      <c r="E447" s="2" t="str">
        <f t="shared" si="445"/>
        <v>Lakeland</v>
      </c>
    </row>
    <row r="448" spans="1:5">
      <c r="A448" s="111" t="s">
        <v>10012</v>
      </c>
      <c r="B448" s="111" t="s">
        <v>1328</v>
      </c>
      <c r="C448" s="111" t="s">
        <v>8956</v>
      </c>
      <c r="D448" s="2" t="str">
        <f t="shared" ref="D448:E448" si="446">TRIM(B448)</f>
        <v>Florida</v>
      </c>
      <c r="E448" s="2" t="str">
        <f t="shared" si="446"/>
        <v>Belle Glade</v>
      </c>
    </row>
    <row r="449" spans="1:5">
      <c r="A449" s="111" t="s">
        <v>10013</v>
      </c>
      <c r="B449" s="111" t="s">
        <v>1328</v>
      </c>
      <c r="C449" s="111" t="s">
        <v>9228</v>
      </c>
      <c r="D449" s="2" t="str">
        <f t="shared" ref="D449:E449" si="447">TRIM(B449)</f>
        <v>Florida</v>
      </c>
      <c r="E449" s="2" t="str">
        <f t="shared" si="447"/>
        <v>Fort Pierce</v>
      </c>
    </row>
    <row r="450" spans="1:5">
      <c r="A450" s="111" t="s">
        <v>10016</v>
      </c>
      <c r="B450" s="111" t="s">
        <v>1328</v>
      </c>
      <c r="C450" s="111" t="s">
        <v>9032</v>
      </c>
      <c r="D450" s="2" t="str">
        <f t="shared" ref="D450:E450" si="448">TRIM(B450)</f>
        <v>Florida</v>
      </c>
      <c r="E450" s="2" t="str">
        <f t="shared" si="448"/>
        <v>Cape Coral</v>
      </c>
    </row>
    <row r="451" spans="1:5">
      <c r="A451" s="111" t="s">
        <v>10018</v>
      </c>
      <c r="B451" s="111" t="s">
        <v>1328</v>
      </c>
      <c r="C451" s="111" t="s">
        <v>10019</v>
      </c>
      <c r="D451" s="2" t="str">
        <f t="shared" ref="D451:E451" si="449">TRIM(B451)</f>
        <v>Florida</v>
      </c>
      <c r="E451" s="2" t="str">
        <f t="shared" si="449"/>
        <v>Summerfield</v>
      </c>
    </row>
    <row r="452" spans="1:5">
      <c r="A452" s="111" t="s">
        <v>10021</v>
      </c>
      <c r="B452" s="111" t="s">
        <v>1328</v>
      </c>
      <c r="C452" s="112" t="s">
        <v>894</v>
      </c>
      <c r="D452" s="2" t="str">
        <f t="shared" ref="D452:E452" si="450">TRIM(B452)</f>
        <v>Florida</v>
      </c>
      <c r="E452" s="2" t="str">
        <f t="shared" si="450"/>
        <v>Boca Raton</v>
      </c>
    </row>
    <row r="453" spans="1:5">
      <c r="A453" s="111" t="s">
        <v>10022</v>
      </c>
      <c r="B453" s="111" t="s">
        <v>1328</v>
      </c>
      <c r="C453" s="111" t="s">
        <v>10023</v>
      </c>
      <c r="D453" s="2" t="str">
        <f t="shared" ref="D453:E453" si="451">TRIM(B453)</f>
        <v>Florida</v>
      </c>
      <c r="E453" s="2" t="str">
        <f t="shared" si="451"/>
        <v>Pinecrest</v>
      </c>
    </row>
    <row r="454" spans="1:5">
      <c r="A454" s="111" t="s">
        <v>10025</v>
      </c>
      <c r="B454" s="111" t="s">
        <v>1328</v>
      </c>
      <c r="C454" s="111" t="s">
        <v>9142</v>
      </c>
      <c r="D454" s="2" t="str">
        <f t="shared" ref="D454:E454" si="452">TRIM(B454)</f>
        <v>Florida</v>
      </c>
      <c r="E454" s="2" t="str">
        <f t="shared" si="452"/>
        <v>Daytona Beach</v>
      </c>
    </row>
    <row r="455" spans="1:5">
      <c r="A455" s="111" t="s">
        <v>10026</v>
      </c>
      <c r="B455" s="111" t="s">
        <v>1328</v>
      </c>
      <c r="C455" s="111" t="s">
        <v>10028</v>
      </c>
      <c r="D455" s="2" t="str">
        <f t="shared" ref="D455:E455" si="453">TRIM(B455)</f>
        <v>Florida</v>
      </c>
      <c r="E455" s="2" t="str">
        <f t="shared" si="453"/>
        <v>Zellwood</v>
      </c>
    </row>
    <row r="456" spans="1:5">
      <c r="A456" s="111" t="s">
        <v>10030</v>
      </c>
      <c r="B456" s="111" t="s">
        <v>1328</v>
      </c>
      <c r="C456" s="111" t="s">
        <v>1045</v>
      </c>
      <c r="D456" s="2" t="str">
        <f t="shared" ref="D456:E456" si="454">TRIM(B456)</f>
        <v>Florida</v>
      </c>
      <c r="E456" s="2" t="str">
        <f t="shared" si="454"/>
        <v>Jacksonville</v>
      </c>
    </row>
    <row r="457" spans="1:5">
      <c r="A457" s="111" t="s">
        <v>10033</v>
      </c>
      <c r="B457" s="111" t="s">
        <v>1328</v>
      </c>
      <c r="C457" s="111" t="s">
        <v>9886</v>
      </c>
      <c r="D457" s="2" t="str">
        <f t="shared" ref="D457:E457" si="455">TRIM(B457)</f>
        <v>Florida</v>
      </c>
      <c r="E457" s="2" t="str">
        <f t="shared" si="455"/>
        <v>Palatka</v>
      </c>
    </row>
    <row r="458" spans="1:5">
      <c r="A458" s="111" t="s">
        <v>10035</v>
      </c>
      <c r="B458" s="111" t="s">
        <v>1328</v>
      </c>
      <c r="C458" s="111" t="s">
        <v>1275</v>
      </c>
      <c r="D458" s="2" t="str">
        <f t="shared" ref="D458:E458" si="456">TRIM(B458)</f>
        <v>Florida</v>
      </c>
      <c r="E458" s="2" t="str">
        <f t="shared" si="456"/>
        <v>Kissimmee</v>
      </c>
    </row>
    <row r="459" spans="1:5">
      <c r="A459" s="111" t="s">
        <v>10036</v>
      </c>
      <c r="B459" s="111" t="s">
        <v>1328</v>
      </c>
      <c r="C459" s="111" t="s">
        <v>720</v>
      </c>
      <c r="D459" s="2" t="str">
        <f t="shared" ref="D459:E459" si="457">TRIM(B459)</f>
        <v>Florida</v>
      </c>
      <c r="E459" s="2" t="str">
        <f t="shared" si="457"/>
        <v>Bradenton</v>
      </c>
    </row>
    <row r="460" spans="1:5">
      <c r="A460" s="111" t="s">
        <v>10039</v>
      </c>
      <c r="B460" s="111" t="s">
        <v>1328</v>
      </c>
      <c r="C460" s="111" t="s">
        <v>10040</v>
      </c>
      <c r="D460" s="2" t="str">
        <f t="shared" ref="D460:E460" si="458">TRIM(B460)</f>
        <v>Florida</v>
      </c>
      <c r="E460" s="2" t="str">
        <f t="shared" si="458"/>
        <v>Winter Park</v>
      </c>
    </row>
    <row r="461" spans="1:5">
      <c r="A461" s="111" t="s">
        <v>10042</v>
      </c>
      <c r="B461" s="111" t="s">
        <v>1328</v>
      </c>
      <c r="C461" s="111" t="s">
        <v>943</v>
      </c>
      <c r="D461" s="2" t="str">
        <f t="shared" ref="D461:E461" si="459">TRIM(B461)</f>
        <v>Florida</v>
      </c>
      <c r="E461" s="2" t="str">
        <f t="shared" si="459"/>
        <v>Fort Lauderdale</v>
      </c>
    </row>
    <row r="462" spans="1:5">
      <c r="A462" s="111" t="s">
        <v>10044</v>
      </c>
      <c r="B462" s="111" t="s">
        <v>1328</v>
      </c>
      <c r="C462" s="111" t="s">
        <v>9228</v>
      </c>
      <c r="D462" s="2" t="str">
        <f t="shared" ref="D462:E462" si="460">TRIM(B462)</f>
        <v>Florida</v>
      </c>
      <c r="E462" s="2" t="str">
        <f t="shared" si="460"/>
        <v>Fort Pierce</v>
      </c>
    </row>
    <row r="463" spans="1:5">
      <c r="A463" s="111" t="s">
        <v>10046</v>
      </c>
      <c r="B463" s="111" t="s">
        <v>1328</v>
      </c>
      <c r="C463" s="111" t="s">
        <v>9354</v>
      </c>
      <c r="D463" s="2" t="str">
        <f t="shared" ref="D463:E463" si="461">TRIM(B463)</f>
        <v>Florida</v>
      </c>
      <c r="E463" s="2" t="str">
        <f t="shared" si="461"/>
        <v>Homestead</v>
      </c>
    </row>
    <row r="464" spans="1:5">
      <c r="A464" s="111" t="s">
        <v>10048</v>
      </c>
      <c r="B464" s="111" t="s">
        <v>1328</v>
      </c>
      <c r="C464" s="111" t="s">
        <v>115</v>
      </c>
      <c r="D464" s="2" t="str">
        <f t="shared" ref="D464:E464" si="462">TRIM(B464)</f>
        <v>Florida</v>
      </c>
      <c r="E464" s="2" t="str">
        <f t="shared" si="462"/>
        <v>Miami</v>
      </c>
    </row>
    <row r="465" spans="1:5">
      <c r="A465" s="111" t="s">
        <v>10050</v>
      </c>
      <c r="B465" s="111" t="s">
        <v>1328</v>
      </c>
      <c r="C465" s="111" t="s">
        <v>167</v>
      </c>
      <c r="D465" s="2" t="str">
        <f t="shared" ref="D465:E465" si="463">TRIM(B465)</f>
        <v>Florida</v>
      </c>
      <c r="E465" s="2" t="str">
        <f t="shared" si="463"/>
        <v>Orlando</v>
      </c>
    </row>
    <row r="466" spans="1:5">
      <c r="A466" s="111" t="s">
        <v>10052</v>
      </c>
      <c r="B466" s="111" t="s">
        <v>1328</v>
      </c>
      <c r="C466" s="112" t="s">
        <v>115</v>
      </c>
      <c r="D466" s="2" t="str">
        <f t="shared" ref="D466:E466" si="464">TRIM(B466)</f>
        <v>Florida</v>
      </c>
      <c r="E466" s="2" t="str">
        <f t="shared" si="464"/>
        <v>Miami</v>
      </c>
    </row>
    <row r="467" spans="1:5">
      <c r="A467" s="111" t="s">
        <v>10055</v>
      </c>
      <c r="B467" s="111" t="s">
        <v>1328</v>
      </c>
      <c r="C467" s="111" t="s">
        <v>167</v>
      </c>
      <c r="D467" s="2" t="str">
        <f t="shared" ref="D467:E467" si="465">TRIM(B467)</f>
        <v>Florida</v>
      </c>
      <c r="E467" s="2" t="str">
        <f t="shared" si="465"/>
        <v>Orlando</v>
      </c>
    </row>
    <row r="468" spans="1:5">
      <c r="A468" s="111" t="s">
        <v>10056</v>
      </c>
      <c r="B468" s="111" t="s">
        <v>1328</v>
      </c>
      <c r="C468" s="111" t="s">
        <v>9490</v>
      </c>
      <c r="D468" s="2" t="str">
        <f t="shared" ref="D468:E468" si="466">TRIM(B468)</f>
        <v>Florida</v>
      </c>
      <c r="E468" s="2" t="str">
        <f t="shared" si="466"/>
        <v>Lake Mary</v>
      </c>
    </row>
    <row r="469" spans="1:5">
      <c r="A469" s="111" t="s">
        <v>10058</v>
      </c>
      <c r="B469" s="111" t="s">
        <v>1328</v>
      </c>
      <c r="C469" s="111" t="s">
        <v>1045</v>
      </c>
      <c r="D469" s="2" t="str">
        <f t="shared" ref="D469:E469" si="467">TRIM(B469)</f>
        <v>Florida</v>
      </c>
      <c r="E469" s="2" t="str">
        <f t="shared" si="467"/>
        <v>Jacksonville</v>
      </c>
    </row>
    <row r="470" spans="1:5">
      <c r="A470" s="111" t="s">
        <v>10060</v>
      </c>
      <c r="B470" s="111" t="s">
        <v>1328</v>
      </c>
      <c r="C470" s="111" t="s">
        <v>167</v>
      </c>
      <c r="D470" s="2" t="str">
        <f t="shared" ref="D470:E470" si="468">TRIM(B470)</f>
        <v>Florida</v>
      </c>
      <c r="E470" s="2" t="str">
        <f t="shared" si="468"/>
        <v>Orlando</v>
      </c>
    </row>
    <row r="471" spans="1:5">
      <c r="A471" s="111" t="s">
        <v>10061</v>
      </c>
      <c r="B471" s="111" t="s">
        <v>1328</v>
      </c>
      <c r="C471" s="111" t="s">
        <v>1058</v>
      </c>
      <c r="D471" s="2" t="str">
        <f t="shared" ref="D471:E471" si="469">TRIM(B471)</f>
        <v>Florida</v>
      </c>
      <c r="E471" s="2" t="str">
        <f t="shared" si="469"/>
        <v>Tallahassee</v>
      </c>
    </row>
    <row r="472" spans="1:5">
      <c r="A472" s="76" t="s">
        <v>10064</v>
      </c>
      <c r="B472" s="111" t="s">
        <v>1328</v>
      </c>
      <c r="C472" s="111" t="s">
        <v>10065</v>
      </c>
      <c r="D472" s="2" t="str">
        <f t="shared" ref="D472:E472" si="470">TRIM(B472)</f>
        <v>Florida</v>
      </c>
      <c r="E472" s="2" t="str">
        <f t="shared" si="470"/>
        <v>Vero Beach</v>
      </c>
    </row>
    <row r="473" spans="1:5">
      <c r="A473" s="111" t="s">
        <v>10066</v>
      </c>
      <c r="B473" s="111" t="s">
        <v>1328</v>
      </c>
      <c r="C473" s="111" t="s">
        <v>9800</v>
      </c>
      <c r="D473" s="2" t="str">
        <f t="shared" ref="D473:E473" si="471">TRIM(B473)</f>
        <v>Florida</v>
      </c>
      <c r="E473" s="2" t="str">
        <f t="shared" si="471"/>
        <v>Ocala</v>
      </c>
    </row>
    <row r="474" spans="1:5">
      <c r="A474" s="111" t="s">
        <v>10068</v>
      </c>
      <c r="B474" s="111" t="s">
        <v>1328</v>
      </c>
      <c r="C474" s="111" t="s">
        <v>9709</v>
      </c>
      <c r="D474" s="2" t="str">
        <f t="shared" ref="D474:E474" si="472">TRIM(B474)</f>
        <v>Florida</v>
      </c>
      <c r="E474" s="2" t="str">
        <f t="shared" si="472"/>
        <v>Miami Beach</v>
      </c>
    </row>
    <row r="475" spans="1:5">
      <c r="A475" s="111" t="s">
        <v>10070</v>
      </c>
      <c r="B475" s="111" t="s">
        <v>1328</v>
      </c>
      <c r="C475" s="111" t="s">
        <v>115</v>
      </c>
      <c r="D475" s="2" t="str">
        <f t="shared" ref="D475:E475" si="473">TRIM(B475)</f>
        <v>Florida</v>
      </c>
      <c r="E475" s="2" t="str">
        <f t="shared" si="473"/>
        <v>Miami</v>
      </c>
    </row>
    <row r="476" spans="1:5">
      <c r="A476" s="111" t="s">
        <v>10073</v>
      </c>
      <c r="B476" s="111" t="s">
        <v>1328</v>
      </c>
      <c r="C476" s="111" t="s">
        <v>115</v>
      </c>
      <c r="D476" s="2" t="str">
        <f t="shared" ref="D476:E476" si="474">TRIM(B476)</f>
        <v>Florida</v>
      </c>
      <c r="E476" s="2" t="str">
        <f t="shared" si="474"/>
        <v>Miami</v>
      </c>
    </row>
    <row r="477" spans="1:5">
      <c r="A477" s="111" t="s">
        <v>10076</v>
      </c>
      <c r="B477" s="111" t="s">
        <v>1328</v>
      </c>
      <c r="C477" s="111" t="s">
        <v>9712</v>
      </c>
      <c r="D477" s="2" t="str">
        <f t="shared" ref="D477:E477" si="475">TRIM(B477)</f>
        <v>Florida</v>
      </c>
      <c r="E477" s="2" t="str">
        <f t="shared" si="475"/>
        <v>Miami Gardens</v>
      </c>
    </row>
    <row r="478" spans="1:5">
      <c r="A478" s="111" t="s">
        <v>10078</v>
      </c>
      <c r="B478" s="111" t="s">
        <v>1328</v>
      </c>
      <c r="C478" s="111" t="s">
        <v>115</v>
      </c>
      <c r="D478" s="2" t="str">
        <f t="shared" ref="D478:E478" si="476">TRIM(B478)</f>
        <v>Florida</v>
      </c>
      <c r="E478" s="2" t="str">
        <f t="shared" si="476"/>
        <v>Miami</v>
      </c>
    </row>
    <row r="479" spans="1:5">
      <c r="A479" s="111" t="s">
        <v>10079</v>
      </c>
      <c r="B479" s="111" t="s">
        <v>1328</v>
      </c>
      <c r="C479" s="111" t="s">
        <v>135</v>
      </c>
      <c r="D479" s="2" t="str">
        <f t="shared" ref="D479:E479" si="477">TRIM(B479)</f>
        <v>Florida</v>
      </c>
      <c r="E479" s="2" t="str">
        <f t="shared" si="477"/>
        <v>Montverde</v>
      </c>
    </row>
    <row r="480" spans="1:5">
      <c r="A480" s="111" t="s">
        <v>10082</v>
      </c>
      <c r="B480" s="111" t="s">
        <v>1328</v>
      </c>
      <c r="C480" s="111" t="s">
        <v>9958</v>
      </c>
      <c r="D480" s="2" t="str">
        <f t="shared" ref="D480:E480" si="478">TRIM(B480)</f>
        <v>Florida</v>
      </c>
      <c r="E480" s="2" t="str">
        <f t="shared" si="478"/>
        <v>Port St Lucie</v>
      </c>
    </row>
    <row r="481" spans="1:5">
      <c r="A481" s="111" t="s">
        <v>10085</v>
      </c>
      <c r="B481" s="111" t="s">
        <v>1328</v>
      </c>
      <c r="C481" s="111" t="s">
        <v>3922</v>
      </c>
      <c r="D481" s="2" t="str">
        <f t="shared" ref="D481:E481" si="479">TRIM(B481)</f>
        <v>Florida</v>
      </c>
      <c r="E481" s="2" t="str">
        <f t="shared" si="479"/>
        <v>Lake City</v>
      </c>
    </row>
    <row r="482" spans="1:5">
      <c r="A482" s="111" t="s">
        <v>10087</v>
      </c>
      <c r="B482" s="111" t="s">
        <v>1328</v>
      </c>
      <c r="C482" s="111" t="s">
        <v>504</v>
      </c>
      <c r="D482" s="2" t="str">
        <f t="shared" ref="D482:E482" si="480">TRIM(B482)</f>
        <v>Florida</v>
      </c>
      <c r="E482" s="2" t="str">
        <f t="shared" si="480"/>
        <v>Pompano Beach</v>
      </c>
    </row>
    <row r="483" spans="1:5">
      <c r="A483" s="111" t="s">
        <v>10088</v>
      </c>
      <c r="B483" s="111" t="s">
        <v>1328</v>
      </c>
      <c r="C483" s="111" t="s">
        <v>354</v>
      </c>
      <c r="D483" s="2" t="str">
        <f t="shared" ref="D483:E483" si="481">TRIM(B483)</f>
        <v>Florida</v>
      </c>
      <c r="E483" s="2" t="str">
        <f t="shared" si="481"/>
        <v>Naples</v>
      </c>
    </row>
    <row r="484" spans="1:5">
      <c r="A484" s="111" t="s">
        <v>10091</v>
      </c>
      <c r="B484" s="111" t="s">
        <v>1328</v>
      </c>
      <c r="C484" s="111" t="s">
        <v>285</v>
      </c>
      <c r="D484" s="2" t="str">
        <f t="shared" ref="D484:E484" si="482">TRIM(B484)</f>
        <v>Florida</v>
      </c>
      <c r="E484" s="2" t="str">
        <f t="shared" si="482"/>
        <v>Hialeah</v>
      </c>
    </row>
    <row r="485" spans="1:5">
      <c r="A485" s="111" t="s">
        <v>10094</v>
      </c>
      <c r="B485" s="111" t="s">
        <v>1328</v>
      </c>
      <c r="C485" s="111" t="s">
        <v>9075</v>
      </c>
      <c r="D485" s="2" t="str">
        <f t="shared" ref="D485:E485" si="483">TRIM(B485)</f>
        <v>Florida</v>
      </c>
      <c r="E485" s="2" t="str">
        <f t="shared" si="483"/>
        <v>Coconut Creek</v>
      </c>
    </row>
    <row r="486" spans="1:5">
      <c r="A486" s="111" t="s">
        <v>10096</v>
      </c>
      <c r="B486" s="111" t="s">
        <v>1328</v>
      </c>
      <c r="C486" s="111" t="s">
        <v>9134</v>
      </c>
      <c r="D486" s="2" t="str">
        <f t="shared" ref="D486:E486" si="484">TRIM(B486)</f>
        <v>Florida</v>
      </c>
      <c r="E486" s="2" t="str">
        <f t="shared" si="484"/>
        <v>Davie</v>
      </c>
    </row>
    <row r="487" spans="1:5">
      <c r="A487" s="111" t="s">
        <v>10099</v>
      </c>
      <c r="B487" s="111" t="s">
        <v>1328</v>
      </c>
      <c r="C487" s="113" t="s">
        <v>538</v>
      </c>
      <c r="D487" s="2" t="str">
        <f t="shared" ref="D487:E487" si="485">TRIM(B487)</f>
        <v>Florida</v>
      </c>
      <c r="E487" s="2" t="str">
        <f t="shared" si="485"/>
        <v>West Palm Beach</v>
      </c>
    </row>
    <row r="488" spans="1:5">
      <c r="A488" s="111" t="s">
        <v>10101</v>
      </c>
      <c r="B488" s="111" t="s">
        <v>1328</v>
      </c>
      <c r="C488" s="113" t="s">
        <v>10103</v>
      </c>
      <c r="D488" s="2" t="str">
        <f t="shared" ref="D488:E488" si="486">TRIM(B488)</f>
        <v>Florida</v>
      </c>
      <c r="E488" s="2" t="str">
        <f t="shared" si="486"/>
        <v>Rosemary Beach</v>
      </c>
    </row>
    <row r="489" spans="1:5">
      <c r="A489" s="111" t="s">
        <v>10105</v>
      </c>
      <c r="B489" s="111" t="s">
        <v>1328</v>
      </c>
      <c r="C489" s="111" t="s">
        <v>167</v>
      </c>
      <c r="D489" s="2" t="str">
        <f t="shared" ref="D489:E489" si="487">TRIM(B489)</f>
        <v>Florida</v>
      </c>
      <c r="E489" s="2" t="str">
        <f t="shared" si="487"/>
        <v>Orlando</v>
      </c>
    </row>
    <row r="490" spans="1:5">
      <c r="A490" s="111" t="s">
        <v>10107</v>
      </c>
      <c r="B490" s="111" t="s">
        <v>1328</v>
      </c>
      <c r="C490" s="111" t="s">
        <v>9913</v>
      </c>
      <c r="D490" s="2" t="str">
        <f t="shared" ref="D490:E490" si="488">TRIM(B490)</f>
        <v>Florida</v>
      </c>
      <c r="E490" s="2" t="str">
        <f t="shared" si="488"/>
        <v>Panama City</v>
      </c>
    </row>
    <row r="491" spans="1:5">
      <c r="A491" s="111" t="s">
        <v>10108</v>
      </c>
      <c r="B491" s="111" t="s">
        <v>1328</v>
      </c>
      <c r="C491" s="111" t="s">
        <v>9500</v>
      </c>
      <c r="D491" s="2" t="str">
        <f t="shared" ref="D491:E491" si="489">TRIM(B491)</f>
        <v>Florida</v>
      </c>
      <c r="E491" s="2" t="str">
        <f t="shared" si="489"/>
        <v>Lake Worth</v>
      </c>
    </row>
    <row r="492" spans="1:5">
      <c r="A492" s="111" t="s">
        <v>10109</v>
      </c>
      <c r="B492" s="111" t="s">
        <v>1328</v>
      </c>
      <c r="C492" s="111" t="s">
        <v>167</v>
      </c>
      <c r="D492" s="2" t="str">
        <f t="shared" ref="D492:E492" si="490">TRIM(B492)</f>
        <v>Florida</v>
      </c>
      <c r="E492" s="2" t="str">
        <f t="shared" si="490"/>
        <v>Orlando</v>
      </c>
    </row>
    <row r="493" spans="1:5">
      <c r="A493" s="111" t="s">
        <v>10111</v>
      </c>
      <c r="B493" s="111" t="s">
        <v>1328</v>
      </c>
      <c r="C493" s="111" t="s">
        <v>9944</v>
      </c>
      <c r="D493" s="2" t="str">
        <f t="shared" ref="D493:E493" si="491">TRIM(B493)</f>
        <v>Florida</v>
      </c>
      <c r="E493" s="2" t="str">
        <f t="shared" si="491"/>
        <v>Pensacola</v>
      </c>
    </row>
    <row r="494" spans="1:5">
      <c r="A494" s="76" t="s">
        <v>10112</v>
      </c>
      <c r="B494" s="111" t="s">
        <v>1328</v>
      </c>
      <c r="C494" s="111" t="s">
        <v>9903</v>
      </c>
      <c r="D494" s="2" t="str">
        <f t="shared" ref="D494:E494" si="492">TRIM(B494)</f>
        <v>Florida</v>
      </c>
      <c r="E494" s="2" t="str">
        <f t="shared" si="492"/>
        <v>Plantation</v>
      </c>
    </row>
    <row r="495" spans="1:5">
      <c r="A495" s="111" t="s">
        <v>10114</v>
      </c>
      <c r="B495" s="111" t="s">
        <v>1328</v>
      </c>
      <c r="C495" s="111" t="s">
        <v>943</v>
      </c>
      <c r="D495" s="2" t="str">
        <f t="shared" ref="D495:E495" si="493">TRIM(B495)</f>
        <v>Florida</v>
      </c>
      <c r="E495" s="2" t="str">
        <f t="shared" si="493"/>
        <v>Fort Lauderdale</v>
      </c>
    </row>
    <row r="496" spans="1:5">
      <c r="A496" s="111" t="s">
        <v>10116</v>
      </c>
      <c r="B496" s="111" t="s">
        <v>1328</v>
      </c>
      <c r="C496" s="111" t="s">
        <v>1275</v>
      </c>
      <c r="D496" s="2" t="str">
        <f t="shared" ref="D496:E496" si="494">TRIM(B496)</f>
        <v>Florida</v>
      </c>
      <c r="E496" s="2" t="str">
        <f t="shared" si="494"/>
        <v>Kissimmee</v>
      </c>
    </row>
    <row r="497" spans="1:5">
      <c r="A497" s="76" t="s">
        <v>10118</v>
      </c>
      <c r="B497" s="111" t="s">
        <v>1328</v>
      </c>
      <c r="C497" s="111" t="s">
        <v>167</v>
      </c>
      <c r="D497" s="2" t="str">
        <f t="shared" ref="D497:E497" si="495">TRIM(B497)</f>
        <v>Florida</v>
      </c>
      <c r="E497" s="2" t="str">
        <f t="shared" si="495"/>
        <v>Orlando</v>
      </c>
    </row>
    <row r="498" spans="1:5">
      <c r="A498" s="76" t="s">
        <v>10121</v>
      </c>
      <c r="B498" s="111" t="s">
        <v>1328</v>
      </c>
      <c r="C498" s="111" t="s">
        <v>9937</v>
      </c>
      <c r="D498" s="2" t="str">
        <f t="shared" ref="D498:E498" si="496">TRIM(B498)</f>
        <v>Florida</v>
      </c>
      <c r="E498" s="2" t="str">
        <f t="shared" si="496"/>
        <v>Sarasota</v>
      </c>
    </row>
    <row r="499" spans="1:5">
      <c r="A499" s="111" t="s">
        <v>10123</v>
      </c>
      <c r="B499" s="111" t="s">
        <v>1328</v>
      </c>
      <c r="C499" s="111" t="s">
        <v>9075</v>
      </c>
      <c r="D499" s="2" t="str">
        <f t="shared" ref="D499:E499" si="497">TRIM(B499)</f>
        <v>Florida</v>
      </c>
      <c r="E499" s="2" t="str">
        <f t="shared" si="497"/>
        <v>Coconut Creek</v>
      </c>
    </row>
    <row r="500" spans="1:5">
      <c r="A500" s="111" t="s">
        <v>10124</v>
      </c>
      <c r="B500" s="111" t="s">
        <v>1328</v>
      </c>
      <c r="C500" s="111" t="s">
        <v>9937</v>
      </c>
      <c r="D500" s="2" t="str">
        <f t="shared" ref="D500:E500" si="498">TRIM(B500)</f>
        <v>Florida</v>
      </c>
      <c r="E500" s="2" t="str">
        <f t="shared" si="498"/>
        <v>Sarasota</v>
      </c>
    </row>
    <row r="501" spans="1:5">
      <c r="A501" s="111" t="s">
        <v>10125</v>
      </c>
      <c r="B501" s="111" t="s">
        <v>1328</v>
      </c>
      <c r="C501" s="111" t="s">
        <v>1045</v>
      </c>
      <c r="D501" s="2" t="str">
        <f t="shared" ref="D501:E501" si="499">TRIM(B501)</f>
        <v>Florida</v>
      </c>
      <c r="E501" s="2" t="str">
        <f t="shared" si="499"/>
        <v>Jacksonville</v>
      </c>
    </row>
    <row r="502" spans="1:5">
      <c r="A502" s="111" t="s">
        <v>10127</v>
      </c>
      <c r="B502" s="111" t="s">
        <v>1328</v>
      </c>
      <c r="C502" s="111" t="s">
        <v>115</v>
      </c>
      <c r="D502" s="2" t="str">
        <f t="shared" ref="D502:E502" si="500">TRIM(B502)</f>
        <v>Florida</v>
      </c>
      <c r="E502" s="2" t="str">
        <f t="shared" si="500"/>
        <v>Miami</v>
      </c>
    </row>
    <row r="503" spans="1:5">
      <c r="A503" s="111" t="s">
        <v>10129</v>
      </c>
      <c r="B503" s="111" t="s">
        <v>1328</v>
      </c>
      <c r="C503" s="111" t="s">
        <v>10130</v>
      </c>
      <c r="D503" s="2" t="str">
        <f t="shared" ref="D503:E503" si="501">TRIM(B503)</f>
        <v>Florida</v>
      </c>
      <c r="E503" s="2" t="str">
        <f t="shared" si="501"/>
        <v>Ormond Beach</v>
      </c>
    </row>
    <row r="504" spans="1:5">
      <c r="A504" s="111" t="s">
        <v>10132</v>
      </c>
      <c r="B504" s="111" t="s">
        <v>1328</v>
      </c>
      <c r="C504" s="111" t="s">
        <v>8084</v>
      </c>
      <c r="D504" s="2" t="str">
        <f t="shared" ref="D504:E504" si="502">TRIM(B504)</f>
        <v>Florida</v>
      </c>
      <c r="E504" s="2" t="str">
        <f t="shared" si="502"/>
        <v>Coral Gables</v>
      </c>
    </row>
    <row r="505" spans="1:5">
      <c r="A505" s="111" t="s">
        <v>10134</v>
      </c>
      <c r="B505" s="111" t="s">
        <v>1328</v>
      </c>
      <c r="C505" s="111" t="s">
        <v>6455</v>
      </c>
      <c r="D505" s="2" t="str">
        <f t="shared" ref="D505:E505" si="503">TRIM(B505)</f>
        <v>Florida</v>
      </c>
      <c r="E505" s="2" t="str">
        <f t="shared" si="503"/>
        <v>Quincy</v>
      </c>
    </row>
    <row r="506" spans="1:5">
      <c r="A506" s="111" t="s">
        <v>10135</v>
      </c>
      <c r="B506" s="111" t="s">
        <v>1328</v>
      </c>
      <c r="C506" s="111" t="s">
        <v>8298</v>
      </c>
      <c r="D506" s="2" t="str">
        <f t="shared" ref="D506:E506" si="504">TRIM(B506)</f>
        <v>Florida</v>
      </c>
      <c r="E506" s="2" t="str">
        <f t="shared" si="504"/>
        <v>Weston</v>
      </c>
    </row>
    <row r="507" spans="1:5">
      <c r="A507" s="111" t="s">
        <v>10137</v>
      </c>
      <c r="B507" s="111" t="s">
        <v>1328</v>
      </c>
      <c r="C507" s="111" t="s">
        <v>894</v>
      </c>
      <c r="D507" s="2" t="str">
        <f t="shared" ref="D507:E507" si="505">TRIM(B507)</f>
        <v>Florida</v>
      </c>
      <c r="E507" s="2" t="str">
        <f t="shared" si="505"/>
        <v>Boca Raton</v>
      </c>
    </row>
    <row r="508" spans="1:5">
      <c r="A508" s="111" t="s">
        <v>10139</v>
      </c>
      <c r="B508" s="111" t="s">
        <v>1328</v>
      </c>
      <c r="C508" s="111" t="s">
        <v>167</v>
      </c>
      <c r="D508" s="2" t="str">
        <f t="shared" ref="D508:E508" si="506">TRIM(B508)</f>
        <v>Florida</v>
      </c>
      <c r="E508" s="2" t="str">
        <f t="shared" si="506"/>
        <v>Orlando</v>
      </c>
    </row>
    <row r="509" spans="1:5">
      <c r="A509" s="111" t="s">
        <v>10141</v>
      </c>
      <c r="B509" s="111" t="s">
        <v>1328</v>
      </c>
      <c r="C509" s="111" t="s">
        <v>115</v>
      </c>
      <c r="D509" s="2" t="str">
        <f t="shared" ref="D509:E509" si="507">TRIM(B509)</f>
        <v>Florida</v>
      </c>
      <c r="E509" s="2" t="str">
        <f t="shared" si="507"/>
        <v>Miami</v>
      </c>
    </row>
    <row r="510" spans="1:5">
      <c r="A510" s="111" t="s">
        <v>10143</v>
      </c>
      <c r="B510" s="111" t="s">
        <v>1328</v>
      </c>
      <c r="C510" s="111" t="s">
        <v>354</v>
      </c>
      <c r="D510" s="2" t="str">
        <f t="shared" ref="D510:E510" si="508">TRIM(B510)</f>
        <v>Florida</v>
      </c>
      <c r="E510" s="2" t="str">
        <f t="shared" si="508"/>
        <v>Naples</v>
      </c>
    </row>
    <row r="511" spans="1:5">
      <c r="A511" s="111" t="s">
        <v>10144</v>
      </c>
      <c r="B511" s="111" t="s">
        <v>1328</v>
      </c>
      <c r="C511" s="111" t="s">
        <v>955</v>
      </c>
      <c r="D511" s="2" t="str">
        <f t="shared" ref="D511:E511" si="509">TRIM(B511)</f>
        <v>Florida</v>
      </c>
      <c r="E511" s="2" t="str">
        <f t="shared" si="509"/>
        <v>Pembroke Pines</v>
      </c>
    </row>
    <row r="512" spans="1:5">
      <c r="A512" s="111" t="s">
        <v>10146</v>
      </c>
      <c r="B512" s="111" t="s">
        <v>1328</v>
      </c>
      <c r="C512" s="111" t="s">
        <v>9894</v>
      </c>
      <c r="D512" s="2" t="str">
        <f t="shared" ref="D512:E512" si="510">TRIM(B512)</f>
        <v>Florida</v>
      </c>
      <c r="E512" s="2" t="str">
        <f t="shared" si="510"/>
        <v>St Petersburg</v>
      </c>
    </row>
    <row r="513" spans="1:5">
      <c r="A513" s="111" t="s">
        <v>10147</v>
      </c>
      <c r="B513" s="111" t="s">
        <v>1328</v>
      </c>
      <c r="C513" s="111" t="s">
        <v>10148</v>
      </c>
      <c r="D513" s="2" t="str">
        <f t="shared" ref="D513:E513" si="511">TRIM(B513)</f>
        <v>Florida</v>
      </c>
      <c r="E513" s="2" t="str">
        <f t="shared" si="511"/>
        <v>Tarpon Springs</v>
      </c>
    </row>
    <row r="514" spans="1:5">
      <c r="A514" s="111" t="s">
        <v>10150</v>
      </c>
      <c r="B514" s="111" t="s">
        <v>1328</v>
      </c>
      <c r="C514" s="111" t="s">
        <v>9715</v>
      </c>
      <c r="D514" s="2" t="str">
        <f t="shared" ref="D514:E514" si="512">TRIM(B514)</f>
        <v>Florida</v>
      </c>
      <c r="E514" s="2" t="str">
        <f t="shared" si="512"/>
        <v>Miami Lakes</v>
      </c>
    </row>
    <row r="515" spans="1:5">
      <c r="A515" s="111" t="s">
        <v>10152</v>
      </c>
      <c r="B515" s="111" t="s">
        <v>1328</v>
      </c>
      <c r="C515" s="111" t="s">
        <v>3922</v>
      </c>
      <c r="D515" s="2" t="str">
        <f t="shared" ref="D515:E515" si="513">TRIM(B515)</f>
        <v>Florida</v>
      </c>
      <c r="E515" s="2" t="str">
        <f t="shared" si="513"/>
        <v>Lake City</v>
      </c>
    </row>
    <row r="516" spans="1:5">
      <c r="A516" s="76" t="s">
        <v>10153</v>
      </c>
      <c r="B516" s="111" t="s">
        <v>1328</v>
      </c>
      <c r="C516" s="111" t="s">
        <v>10065</v>
      </c>
      <c r="D516" s="2" t="str">
        <f t="shared" ref="D516:E516" si="514">TRIM(B516)</f>
        <v>Florida</v>
      </c>
      <c r="E516" s="2" t="str">
        <f t="shared" si="514"/>
        <v>Vero Beach</v>
      </c>
    </row>
    <row r="517" spans="1:5">
      <c r="A517" s="111" t="s">
        <v>10154</v>
      </c>
      <c r="B517" s="111" t="s">
        <v>1328</v>
      </c>
      <c r="C517" s="111" t="s">
        <v>9829</v>
      </c>
      <c r="D517" s="2" t="str">
        <f t="shared" ref="D517:E517" si="515">TRIM(B517)</f>
        <v>Florida</v>
      </c>
      <c r="E517" s="2" t="str">
        <f t="shared" si="515"/>
        <v>Orange Park</v>
      </c>
    </row>
    <row r="518" spans="1:5">
      <c r="A518" s="111" t="s">
        <v>10156</v>
      </c>
      <c r="B518" s="111" t="s">
        <v>1328</v>
      </c>
      <c r="C518" s="111" t="s">
        <v>943</v>
      </c>
      <c r="D518" s="2" t="str">
        <f t="shared" ref="D518:E518" si="516">TRIM(B518)</f>
        <v>Florida</v>
      </c>
      <c r="E518" s="2" t="str">
        <f t="shared" si="516"/>
        <v>Fort Lauderdale</v>
      </c>
    </row>
    <row r="519" spans="1:5">
      <c r="A519" s="111" t="s">
        <v>10158</v>
      </c>
      <c r="B519" s="111" t="s">
        <v>1328</v>
      </c>
      <c r="C519" s="111" t="s">
        <v>10159</v>
      </c>
      <c r="D519" s="2" t="str">
        <f t="shared" ref="D519:E519" si="517">TRIM(B519)</f>
        <v>Florida</v>
      </c>
      <c r="E519" s="2" t="str">
        <f t="shared" si="517"/>
        <v>Sunrise</v>
      </c>
    </row>
    <row r="520" spans="1:5">
      <c r="A520" s="111" t="s">
        <v>10161</v>
      </c>
      <c r="B520" s="111" t="s">
        <v>1328</v>
      </c>
      <c r="C520" s="111" t="s">
        <v>9937</v>
      </c>
      <c r="D520" s="2" t="str">
        <f t="shared" ref="D520:E520" si="518">TRIM(B520)</f>
        <v>Florida</v>
      </c>
      <c r="E520" s="2" t="str">
        <f t="shared" si="518"/>
        <v>Sarasota</v>
      </c>
    </row>
    <row r="521" spans="1:5">
      <c r="A521" s="111" t="s">
        <v>10162</v>
      </c>
      <c r="B521" s="111" t="s">
        <v>1328</v>
      </c>
      <c r="C521" s="111" t="s">
        <v>9826</v>
      </c>
      <c r="D521" s="2" t="str">
        <f t="shared" ref="D521:E521" si="519">TRIM(B521)</f>
        <v>Florida</v>
      </c>
      <c r="E521" s="2" t="str">
        <f t="shared" si="519"/>
        <v>Orange City</v>
      </c>
    </row>
    <row r="522" spans="1:5">
      <c r="A522" s="111" t="s">
        <v>10164</v>
      </c>
      <c r="B522" s="111" t="s">
        <v>1328</v>
      </c>
      <c r="C522" s="111" t="s">
        <v>5520</v>
      </c>
      <c r="D522" s="2" t="str">
        <f t="shared" ref="D522:E522" si="520">TRIM(B522)</f>
        <v>Florida</v>
      </c>
      <c r="E522" s="2" t="str">
        <f t="shared" si="520"/>
        <v>Live Oak</v>
      </c>
    </row>
    <row r="523" spans="1:5">
      <c r="A523" s="111" t="s">
        <v>10166</v>
      </c>
      <c r="B523" s="111" t="s">
        <v>1328</v>
      </c>
      <c r="C523" s="111" t="s">
        <v>874</v>
      </c>
      <c r="D523" s="2" t="str">
        <f t="shared" ref="D523:E523" si="521">TRIM(B523)</f>
        <v>Florida</v>
      </c>
      <c r="E523" s="2" t="str">
        <f t="shared" si="521"/>
        <v>Tampa</v>
      </c>
    </row>
    <row r="524" spans="1:5">
      <c r="A524" s="111" t="s">
        <v>10168</v>
      </c>
      <c r="B524" s="111" t="s">
        <v>1328</v>
      </c>
      <c r="C524" s="111" t="s">
        <v>167</v>
      </c>
      <c r="D524" s="2" t="str">
        <f t="shared" ref="D524:E524" si="522">TRIM(B524)</f>
        <v>Florida</v>
      </c>
      <c r="E524" s="2" t="str">
        <f t="shared" si="522"/>
        <v>Orlando</v>
      </c>
    </row>
    <row r="525" spans="1:5">
      <c r="A525" s="111" t="s">
        <v>10170</v>
      </c>
      <c r="B525" s="111" t="s">
        <v>1328</v>
      </c>
      <c r="C525" s="113" t="s">
        <v>10171</v>
      </c>
      <c r="D525" s="2" t="str">
        <f t="shared" ref="D525:E525" si="523">TRIM(B525)</f>
        <v>Florida</v>
      </c>
      <c r="E525" s="2" t="str">
        <f t="shared" si="523"/>
        <v>North Palm Beach</v>
      </c>
    </row>
    <row r="526" spans="1:5">
      <c r="A526" s="111" t="s">
        <v>10173</v>
      </c>
      <c r="B526" s="111" t="s">
        <v>1328</v>
      </c>
      <c r="C526" s="111" t="s">
        <v>1045</v>
      </c>
      <c r="D526" s="2" t="str">
        <f t="shared" ref="D526:E526" si="524">TRIM(B526)</f>
        <v>Florida</v>
      </c>
      <c r="E526" s="2" t="str">
        <f t="shared" si="524"/>
        <v>Jacksonville</v>
      </c>
    </row>
    <row r="527" spans="1:5">
      <c r="A527" s="111" t="s">
        <v>10175</v>
      </c>
      <c r="B527" s="111" t="s">
        <v>1328</v>
      </c>
      <c r="C527" s="111" t="s">
        <v>9894</v>
      </c>
      <c r="D527" s="2" t="str">
        <f t="shared" ref="D527:E527" si="525">TRIM(B527)</f>
        <v>Florida</v>
      </c>
      <c r="E527" s="2" t="str">
        <f t="shared" si="525"/>
        <v>St Petersburg</v>
      </c>
    </row>
    <row r="528" spans="1:5">
      <c r="A528" s="111" t="s">
        <v>10177</v>
      </c>
      <c r="B528" s="111" t="s">
        <v>1328</v>
      </c>
      <c r="C528" s="112" t="s">
        <v>9937</v>
      </c>
      <c r="D528" s="2" t="str">
        <f t="shared" ref="D528:E528" si="526">TRIM(B528)</f>
        <v>Florida</v>
      </c>
      <c r="E528" s="2" t="str">
        <f t="shared" si="526"/>
        <v>Sarasota</v>
      </c>
    </row>
    <row r="529" spans="1:5">
      <c r="A529" s="111" t="s">
        <v>10178</v>
      </c>
      <c r="B529" s="111" t="s">
        <v>1328</v>
      </c>
      <c r="C529" s="111" t="s">
        <v>3399</v>
      </c>
      <c r="D529" s="2" t="str">
        <f t="shared" ref="D529:E529" si="527">TRIM(B529)</f>
        <v>Florida</v>
      </c>
      <c r="E529" s="2" t="str">
        <f t="shared" si="527"/>
        <v>Windermere</v>
      </c>
    </row>
    <row r="530" spans="1:5">
      <c r="A530" s="111" t="s">
        <v>10180</v>
      </c>
      <c r="B530" s="111" t="s">
        <v>1328</v>
      </c>
      <c r="C530" s="111" t="s">
        <v>10040</v>
      </c>
      <c r="D530" s="2" t="str">
        <f t="shared" ref="D530:E530" si="528">TRIM(B530)</f>
        <v>Florida</v>
      </c>
      <c r="E530" s="2" t="str">
        <f t="shared" si="528"/>
        <v>Winter Park</v>
      </c>
    </row>
    <row r="531" spans="1:5">
      <c r="A531" s="76" t="s">
        <v>9659</v>
      </c>
      <c r="B531" s="111" t="s">
        <v>1328</v>
      </c>
      <c r="C531" s="113" t="s">
        <v>538</v>
      </c>
      <c r="D531" s="2" t="str">
        <f t="shared" ref="D531:E531" si="529">TRIM(B531)</f>
        <v>Florida</v>
      </c>
      <c r="E531" s="2" t="str">
        <f t="shared" si="529"/>
        <v>West Palm Beach</v>
      </c>
    </row>
    <row r="532" spans="1:5">
      <c r="A532" s="111" t="s">
        <v>10187</v>
      </c>
      <c r="B532" s="111" t="s">
        <v>1328</v>
      </c>
      <c r="C532" s="113" t="s">
        <v>538</v>
      </c>
      <c r="D532" s="2" t="str">
        <f t="shared" ref="D532:E532" si="530">TRIM(B532)</f>
        <v>Florida</v>
      </c>
      <c r="E532" s="2" t="str">
        <f t="shared" si="530"/>
        <v>West Palm Beach</v>
      </c>
    </row>
    <row r="533" spans="1:5">
      <c r="A533" s="111" t="s">
        <v>10189</v>
      </c>
      <c r="B533" s="111" t="s">
        <v>1328</v>
      </c>
      <c r="C533" s="112" t="s">
        <v>10191</v>
      </c>
      <c r="D533" s="2" t="str">
        <f t="shared" ref="D533:E533" si="531">TRIM(B533)</f>
        <v>Florida</v>
      </c>
      <c r="E533" s="2" t="str">
        <f t="shared" si="531"/>
        <v>Eatonville</v>
      </c>
    </row>
    <row r="534" spans="1:5">
      <c r="A534" s="111" t="s">
        <v>10192</v>
      </c>
      <c r="B534" s="111" t="s">
        <v>1328</v>
      </c>
      <c r="C534" s="111" t="s">
        <v>263</v>
      </c>
      <c r="D534" s="2" t="str">
        <f t="shared" ref="D534:E534" si="532">TRIM(B534)</f>
        <v>Florida</v>
      </c>
      <c r="E534" s="2" t="str">
        <f t="shared" si="532"/>
        <v>Jasper</v>
      </c>
    </row>
    <row r="535" spans="1:5">
      <c r="A535" s="111" t="s">
        <v>10195</v>
      </c>
      <c r="B535" s="111" t="s">
        <v>1328</v>
      </c>
      <c r="C535" s="111" t="s">
        <v>874</v>
      </c>
      <c r="D535" s="2" t="str">
        <f t="shared" ref="D535:E535" si="533">TRIM(B535)</f>
        <v>Florida</v>
      </c>
      <c r="E535" s="2" t="str">
        <f t="shared" si="533"/>
        <v>Tampa</v>
      </c>
    </row>
    <row r="536" spans="1:5">
      <c r="A536" s="111" t="s">
        <v>10197</v>
      </c>
      <c r="B536" s="111" t="s">
        <v>1328</v>
      </c>
      <c r="C536" s="111" t="s">
        <v>10198</v>
      </c>
      <c r="D536" s="2" t="str">
        <f t="shared" ref="D536:E536" si="534">TRIM(B536)</f>
        <v>Florida</v>
      </c>
      <c r="E536" s="2" t="str">
        <f t="shared" si="534"/>
        <v>Hobe Sound</v>
      </c>
    </row>
    <row r="537" spans="1:5">
      <c r="A537" s="111" t="s">
        <v>10201</v>
      </c>
      <c r="B537" s="111" t="s">
        <v>1328</v>
      </c>
      <c r="C537" s="111" t="s">
        <v>291</v>
      </c>
      <c r="D537" s="2" t="str">
        <f t="shared" ref="D537:E537" si="535">TRIM(B537)</f>
        <v>Florida</v>
      </c>
      <c r="E537" s="2" t="str">
        <f t="shared" si="535"/>
        <v>Gainesville</v>
      </c>
    </row>
    <row r="538" spans="1:5">
      <c r="A538" s="111" t="s">
        <v>10204</v>
      </c>
      <c r="B538" s="111" t="s">
        <v>1328</v>
      </c>
      <c r="C538" s="111" t="s">
        <v>8298</v>
      </c>
      <c r="D538" s="2" t="str">
        <f t="shared" ref="D538:E538" si="536">TRIM(B538)</f>
        <v>Florida</v>
      </c>
      <c r="E538" s="2" t="str">
        <f t="shared" si="536"/>
        <v>Weston</v>
      </c>
    </row>
    <row r="539" spans="1:5">
      <c r="A539" s="111" t="s">
        <v>10206</v>
      </c>
      <c r="B539" s="111" t="s">
        <v>1328</v>
      </c>
      <c r="C539" s="111" t="s">
        <v>9883</v>
      </c>
      <c r="D539" s="2" t="str">
        <f t="shared" ref="D539:E539" si="537">TRIM(B539)</f>
        <v>Florida</v>
      </c>
      <c r="E539" s="2" t="str">
        <f t="shared" si="537"/>
        <v>Pahokee</v>
      </c>
    </row>
    <row r="540" spans="1:5">
      <c r="A540" s="111" t="s">
        <v>10208</v>
      </c>
      <c r="B540" s="111" t="s">
        <v>1328</v>
      </c>
      <c r="C540" s="111" t="s">
        <v>1009</v>
      </c>
      <c r="D540" s="2" t="str">
        <f t="shared" ref="D540:E540" si="538">TRIM(B540)</f>
        <v>Florida</v>
      </c>
      <c r="E540" s="2" t="str">
        <f t="shared" si="538"/>
        <v>Lakeland</v>
      </c>
    </row>
    <row r="541" spans="1:5">
      <c r="A541" s="111" t="s">
        <v>10210</v>
      </c>
      <c r="B541" s="111" t="s">
        <v>1328</v>
      </c>
      <c r="C541" s="111" t="s">
        <v>10065</v>
      </c>
      <c r="D541" s="2" t="str">
        <f t="shared" ref="D541:E541" si="539">TRIM(B541)</f>
        <v>Florida</v>
      </c>
      <c r="E541" s="2" t="str">
        <f t="shared" si="539"/>
        <v>Vero Beach</v>
      </c>
    </row>
    <row r="542" spans="1:5">
      <c r="A542" s="111" t="s">
        <v>10212</v>
      </c>
      <c r="B542" s="111" t="s">
        <v>1328</v>
      </c>
      <c r="C542" s="111" t="s">
        <v>7646</v>
      </c>
      <c r="D542" s="2" t="str">
        <f t="shared" ref="D542:E542" si="540">TRIM(B542)</f>
        <v>Florida</v>
      </c>
      <c r="E542" s="2" t="str">
        <f t="shared" si="540"/>
        <v>Winter Haven</v>
      </c>
    </row>
    <row r="543" spans="1:5">
      <c r="A543" s="111" t="s">
        <v>10215</v>
      </c>
      <c r="B543" s="111" t="s">
        <v>1328</v>
      </c>
      <c r="C543" s="111" t="s">
        <v>291</v>
      </c>
      <c r="D543" s="2" t="str">
        <f t="shared" ref="D543:E543" si="541">TRIM(B543)</f>
        <v>Florida</v>
      </c>
      <c r="E543" s="2" t="str">
        <f t="shared" si="541"/>
        <v>Gainesville</v>
      </c>
    </row>
    <row r="544" spans="1:5">
      <c r="A544" s="111" t="s">
        <v>10218</v>
      </c>
      <c r="B544" s="111" t="s">
        <v>1328</v>
      </c>
      <c r="C544" s="111" t="s">
        <v>167</v>
      </c>
      <c r="D544" s="2" t="str">
        <f t="shared" ref="D544:E544" si="542">TRIM(B544)</f>
        <v>Florida</v>
      </c>
      <c r="E544" s="2" t="str">
        <f t="shared" si="542"/>
        <v>Orlando</v>
      </c>
    </row>
    <row r="545" spans="1:5">
      <c r="A545" s="111" t="s">
        <v>10221</v>
      </c>
      <c r="B545" s="111" t="s">
        <v>1328</v>
      </c>
      <c r="C545" s="111" t="s">
        <v>8948</v>
      </c>
      <c r="D545" s="2" t="str">
        <f t="shared" ref="D545:E545" si="543">TRIM(B545)</f>
        <v>Florida</v>
      </c>
      <c r="E545" s="2" t="str">
        <f t="shared" si="543"/>
        <v>Avon Park</v>
      </c>
    </row>
    <row r="546" spans="1:5">
      <c r="A546" s="111" t="s">
        <v>10224</v>
      </c>
      <c r="B546" s="111" t="s">
        <v>1328</v>
      </c>
      <c r="C546" s="111" t="s">
        <v>9500</v>
      </c>
      <c r="D546" s="2" t="str">
        <f t="shared" ref="D546:E546" si="544">TRIM(B546)</f>
        <v>Florida</v>
      </c>
      <c r="E546" s="2" t="str">
        <f t="shared" si="544"/>
        <v>Lake Worth</v>
      </c>
    </row>
    <row r="547" spans="1:5">
      <c r="A547" s="111" t="s">
        <v>10225</v>
      </c>
      <c r="B547" s="111" t="s">
        <v>1328</v>
      </c>
      <c r="C547" s="111" t="s">
        <v>9894</v>
      </c>
      <c r="D547" s="2" t="str">
        <f t="shared" ref="D547:E547" si="545">TRIM(B547)</f>
        <v>Florida</v>
      </c>
      <c r="E547" s="2" t="str">
        <f t="shared" si="545"/>
        <v>St Petersburg</v>
      </c>
    </row>
    <row r="548" spans="1:5">
      <c r="A548" s="111" t="s">
        <v>10227</v>
      </c>
      <c r="B548" s="111" t="s">
        <v>1328</v>
      </c>
      <c r="C548" s="112" t="s">
        <v>115</v>
      </c>
      <c r="D548" s="2" t="str">
        <f t="shared" ref="D548:E548" si="546">TRIM(B548)</f>
        <v>Florida</v>
      </c>
      <c r="E548" s="2" t="str">
        <f t="shared" si="546"/>
        <v>Miami</v>
      </c>
    </row>
    <row r="549" spans="1:5">
      <c r="A549" s="111" t="s">
        <v>10229</v>
      </c>
      <c r="B549" s="111" t="s">
        <v>1328</v>
      </c>
      <c r="C549" s="111" t="s">
        <v>167</v>
      </c>
      <c r="D549" s="2" t="str">
        <f t="shared" ref="D549:E549" si="547">TRIM(B549)</f>
        <v>Florida</v>
      </c>
      <c r="E549" s="2" t="str">
        <f t="shared" si="547"/>
        <v>Orlando</v>
      </c>
    </row>
    <row r="550" spans="1:5">
      <c r="A550" s="111" t="s">
        <v>10232</v>
      </c>
      <c r="B550" s="111" t="s">
        <v>1328</v>
      </c>
      <c r="C550" s="111" t="s">
        <v>10233</v>
      </c>
      <c r="D550" s="2" t="str">
        <f t="shared" ref="D550:E550" si="548">TRIM(B550)</f>
        <v>Florida</v>
      </c>
      <c r="E550" s="2" t="str">
        <f t="shared" si="548"/>
        <v>West Park</v>
      </c>
    </row>
    <row r="551" spans="1:5">
      <c r="A551" s="111" t="s">
        <v>10235</v>
      </c>
      <c r="B551" s="111" t="s">
        <v>1328</v>
      </c>
      <c r="C551" s="111" t="s">
        <v>9937</v>
      </c>
      <c r="D551" s="2" t="str">
        <f t="shared" ref="D551:E551" si="549">TRIM(B551)</f>
        <v>Florida</v>
      </c>
      <c r="E551" s="2" t="str">
        <f t="shared" si="549"/>
        <v>Sarasota</v>
      </c>
    </row>
    <row r="552" spans="1:5">
      <c r="A552" s="111" t="s">
        <v>10237</v>
      </c>
      <c r="B552" s="111" t="s">
        <v>1328</v>
      </c>
      <c r="C552" s="111" t="s">
        <v>115</v>
      </c>
      <c r="D552" s="2" t="str">
        <f t="shared" ref="D552:E552" si="550">TRIM(B552)</f>
        <v>Florida</v>
      </c>
      <c r="E552" s="2" t="str">
        <f t="shared" si="550"/>
        <v>Miami</v>
      </c>
    </row>
    <row r="553" spans="1:5">
      <c r="A553" s="111" t="s">
        <v>10239</v>
      </c>
      <c r="B553" s="111" t="s">
        <v>1328</v>
      </c>
      <c r="C553" s="111" t="s">
        <v>9079</v>
      </c>
      <c r="D553" s="2" t="str">
        <f t="shared" ref="D553:E553" si="551">TRIM(B553)</f>
        <v>Florida</v>
      </c>
      <c r="E553" s="2" t="str">
        <f t="shared" si="551"/>
        <v>Cooper City</v>
      </c>
    </row>
    <row r="554" spans="1:5">
      <c r="A554" s="111" t="s">
        <v>10241</v>
      </c>
      <c r="B554" s="111" t="s">
        <v>1328</v>
      </c>
      <c r="C554" s="111" t="s">
        <v>943</v>
      </c>
      <c r="D554" s="2" t="str">
        <f t="shared" ref="D554:E554" si="552">TRIM(B554)</f>
        <v>Florida</v>
      </c>
      <c r="E554" s="2" t="str">
        <f t="shared" si="552"/>
        <v>Fort Lauderdale</v>
      </c>
    </row>
    <row r="555" spans="1:5">
      <c r="A555" s="111" t="s">
        <v>10242</v>
      </c>
      <c r="B555" s="111" t="s">
        <v>1328</v>
      </c>
      <c r="C555" s="111" t="s">
        <v>1009</v>
      </c>
      <c r="D555" s="2" t="str">
        <f t="shared" ref="D555:E555" si="553">TRIM(B555)</f>
        <v>Florida</v>
      </c>
      <c r="E555" s="2" t="str">
        <f t="shared" si="553"/>
        <v>Lakeland</v>
      </c>
    </row>
    <row r="556" spans="1:5">
      <c r="A556" s="111" t="s">
        <v>10244</v>
      </c>
      <c r="B556" s="111" t="s">
        <v>1328</v>
      </c>
      <c r="C556" s="111" t="s">
        <v>3399</v>
      </c>
      <c r="D556" s="2" t="str">
        <f t="shared" ref="D556:E556" si="554">TRIM(B556)</f>
        <v>Florida</v>
      </c>
      <c r="E556" s="2" t="str">
        <f t="shared" si="554"/>
        <v>Windermere</v>
      </c>
    </row>
    <row r="557" spans="1:5">
      <c r="A557" s="111" t="s">
        <v>10246</v>
      </c>
      <c r="B557" s="111" t="s">
        <v>1328</v>
      </c>
      <c r="C557" s="111" t="s">
        <v>874</v>
      </c>
      <c r="D557" s="2" t="str">
        <f t="shared" ref="D557:E557" si="555">TRIM(B557)</f>
        <v>Florida</v>
      </c>
      <c r="E557" s="2" t="str">
        <f t="shared" si="555"/>
        <v>Tampa</v>
      </c>
    </row>
    <row r="558" spans="1:5">
      <c r="A558" s="111" t="s">
        <v>10249</v>
      </c>
      <c r="B558" s="111" t="s">
        <v>1328</v>
      </c>
      <c r="C558" s="111" t="s">
        <v>115</v>
      </c>
      <c r="D558" s="2" t="str">
        <f t="shared" ref="D558:E558" si="556">TRIM(B558)</f>
        <v>Florida</v>
      </c>
      <c r="E558" s="2" t="str">
        <f t="shared" si="556"/>
        <v>Miami</v>
      </c>
    </row>
    <row r="559" spans="1:5">
      <c r="A559" s="111" t="s">
        <v>10250</v>
      </c>
      <c r="B559" s="111" t="s">
        <v>1328</v>
      </c>
      <c r="C559" s="111" t="s">
        <v>1045</v>
      </c>
      <c r="D559" s="2" t="str">
        <f t="shared" ref="D559:E559" si="557">TRIM(B559)</f>
        <v>Florida</v>
      </c>
      <c r="E559" s="2" t="str">
        <f t="shared" si="557"/>
        <v>Jacksonville</v>
      </c>
    </row>
    <row r="560" spans="1:5">
      <c r="A560" s="111" t="s">
        <v>9163</v>
      </c>
      <c r="B560" s="111" t="s">
        <v>1329</v>
      </c>
      <c r="C560" s="111" t="s">
        <v>337</v>
      </c>
      <c r="D560" s="2" t="str">
        <f t="shared" ref="D560:E560" si="558">TRIM(B560)</f>
        <v>Georgia</v>
      </c>
      <c r="E560" s="2" t="str">
        <f t="shared" si="558"/>
        <v>Augusta</v>
      </c>
    </row>
    <row r="561" spans="1:5">
      <c r="A561" s="111" t="s">
        <v>10254</v>
      </c>
      <c r="B561" s="111" t="s">
        <v>1329</v>
      </c>
      <c r="C561" s="111" t="s">
        <v>327</v>
      </c>
      <c r="D561" s="2" t="str">
        <f t="shared" ref="D561:E561" si="559">TRIM(B561)</f>
        <v>Georgia</v>
      </c>
      <c r="E561" s="2" t="str">
        <f t="shared" si="559"/>
        <v>Athens</v>
      </c>
    </row>
    <row r="562" spans="1:5">
      <c r="A562" s="111" t="s">
        <v>10257</v>
      </c>
      <c r="B562" s="111" t="s">
        <v>1329</v>
      </c>
      <c r="C562" s="111" t="s">
        <v>149</v>
      </c>
      <c r="D562" s="2" t="str">
        <f t="shared" ref="D562:E562" si="560">TRIM(B562)</f>
        <v>Georgia</v>
      </c>
      <c r="E562" s="2" t="str">
        <f t="shared" si="560"/>
        <v>Atlanta</v>
      </c>
    </row>
    <row r="563" spans="1:5">
      <c r="A563" s="111" t="s">
        <v>10259</v>
      </c>
      <c r="B563" s="111" t="s">
        <v>1329</v>
      </c>
      <c r="C563" s="111" t="s">
        <v>149</v>
      </c>
      <c r="D563" s="2" t="str">
        <f t="shared" ref="D563:E563" si="561">TRIM(B563)</f>
        <v>Georgia</v>
      </c>
      <c r="E563" s="2" t="str">
        <f t="shared" si="561"/>
        <v>Atlanta</v>
      </c>
    </row>
    <row r="564" spans="1:5">
      <c r="A564" s="111" t="s">
        <v>10262</v>
      </c>
      <c r="B564" s="111" t="s">
        <v>1329</v>
      </c>
      <c r="C564" s="111" t="s">
        <v>149</v>
      </c>
      <c r="D564" s="2" t="str">
        <f t="shared" ref="D564:E564" si="562">TRIM(B564)</f>
        <v>Georgia</v>
      </c>
      <c r="E564" s="2" t="str">
        <f t="shared" si="562"/>
        <v>Atlanta</v>
      </c>
    </row>
    <row r="565" spans="1:5">
      <c r="A565" s="111" t="s">
        <v>10264</v>
      </c>
      <c r="B565" s="111" t="s">
        <v>1329</v>
      </c>
      <c r="C565" s="111" t="s">
        <v>5896</v>
      </c>
      <c r="D565" s="2" t="str">
        <f t="shared" ref="D565:E565" si="563">TRIM(B565)</f>
        <v>Georgia</v>
      </c>
      <c r="E565" s="2" t="str">
        <f t="shared" si="563"/>
        <v>Martinez</v>
      </c>
    </row>
    <row r="566" spans="1:5">
      <c r="A566" s="111" t="s">
        <v>10266</v>
      </c>
      <c r="B566" s="111" t="s">
        <v>1329</v>
      </c>
      <c r="C566" s="111" t="s">
        <v>10267</v>
      </c>
      <c r="D566" s="2" t="str">
        <f t="shared" ref="D566:E566" si="564">TRIM(B566)</f>
        <v>Georgia</v>
      </c>
      <c r="E566" s="2" t="str">
        <f t="shared" si="564"/>
        <v>Hartwell</v>
      </c>
    </row>
    <row r="567" spans="1:5">
      <c r="A567" s="111" t="s">
        <v>10269</v>
      </c>
      <c r="B567" s="111" t="s">
        <v>1329</v>
      </c>
      <c r="C567" s="111" t="s">
        <v>149</v>
      </c>
      <c r="D567" s="2" t="str">
        <f t="shared" ref="D567:E567" si="565">TRIM(B567)</f>
        <v>Georgia</v>
      </c>
      <c r="E567" s="2" t="str">
        <f t="shared" si="565"/>
        <v>Atlanta</v>
      </c>
    </row>
    <row r="568" spans="1:5">
      <c r="A568" s="111" t="s">
        <v>10271</v>
      </c>
      <c r="B568" s="111" t="s">
        <v>1329</v>
      </c>
      <c r="C568" s="111" t="s">
        <v>10272</v>
      </c>
      <c r="D568" s="2" t="str">
        <f t="shared" ref="D568:E568" si="566">TRIM(B568)</f>
        <v>Georgia</v>
      </c>
      <c r="E568" s="2" t="str">
        <f t="shared" si="566"/>
        <v>Savannah</v>
      </c>
    </row>
    <row r="569" spans="1:5">
      <c r="A569" s="111" t="s">
        <v>10273</v>
      </c>
      <c r="B569" s="111" t="s">
        <v>1329</v>
      </c>
      <c r="C569" s="111" t="s">
        <v>149</v>
      </c>
      <c r="D569" s="2" t="str">
        <f t="shared" ref="D569:E569" si="567">TRIM(B569)</f>
        <v>Georgia</v>
      </c>
      <c r="E569" s="2" t="str">
        <f t="shared" si="567"/>
        <v>Atlanta</v>
      </c>
    </row>
    <row r="570" spans="1:5">
      <c r="A570" s="111" t="s">
        <v>9210</v>
      </c>
      <c r="B570" s="111" t="s">
        <v>1329</v>
      </c>
      <c r="C570" s="111" t="s">
        <v>10277</v>
      </c>
      <c r="D570" s="2" t="str">
        <f t="shared" ref="D570:E570" si="568">TRIM(B570)</f>
        <v>Georgia</v>
      </c>
      <c r="E570" s="2" t="str">
        <f t="shared" si="568"/>
        <v>Sandersville</v>
      </c>
    </row>
    <row r="571" spans="1:5">
      <c r="A571" s="111" t="s">
        <v>10279</v>
      </c>
      <c r="B571" s="111" t="s">
        <v>1329</v>
      </c>
      <c r="C571" s="111" t="s">
        <v>10280</v>
      </c>
      <c r="D571" s="2" t="str">
        <f t="shared" ref="D571:E571" si="569">TRIM(B571)</f>
        <v>Georgia</v>
      </c>
      <c r="E571" s="2" t="str">
        <f t="shared" si="569"/>
        <v>Warrenton</v>
      </c>
    </row>
    <row r="572" spans="1:5">
      <c r="A572" s="111" t="s">
        <v>10283</v>
      </c>
      <c r="B572" s="111" t="s">
        <v>1329</v>
      </c>
      <c r="C572" s="111" t="s">
        <v>149</v>
      </c>
      <c r="D572" s="2" t="str">
        <f t="shared" ref="D572:E572" si="570">TRIM(B572)</f>
        <v>Georgia</v>
      </c>
      <c r="E572" s="2" t="str">
        <f t="shared" si="570"/>
        <v>Atlanta</v>
      </c>
    </row>
    <row r="573" spans="1:5">
      <c r="A573" s="111" t="s">
        <v>10286</v>
      </c>
      <c r="B573" s="111" t="s">
        <v>1329</v>
      </c>
      <c r="C573" s="111" t="s">
        <v>138</v>
      </c>
      <c r="D573" s="2" t="str">
        <f t="shared" ref="D573:E573" si="571">TRIM(B573)</f>
        <v>Georgia</v>
      </c>
      <c r="E573" s="2" t="str">
        <f t="shared" si="571"/>
        <v>Columbus</v>
      </c>
    </row>
    <row r="574" spans="1:5">
      <c r="A574" s="111" t="s">
        <v>10289</v>
      </c>
      <c r="B574" s="111" t="s">
        <v>1329</v>
      </c>
      <c r="C574" s="111" t="s">
        <v>409</v>
      </c>
      <c r="D574" s="2" t="str">
        <f t="shared" ref="D574:E574" si="572">TRIM(B574)</f>
        <v>Georgia</v>
      </c>
      <c r="E574" s="2" t="str">
        <f t="shared" si="572"/>
        <v>Statesboro</v>
      </c>
    </row>
    <row r="575" spans="1:5">
      <c r="A575" s="111" t="s">
        <v>10292</v>
      </c>
      <c r="B575" s="111" t="s">
        <v>1329</v>
      </c>
      <c r="C575" s="111" t="s">
        <v>10272</v>
      </c>
      <c r="D575" s="2" t="str">
        <f t="shared" ref="D575:E575" si="573">TRIM(B575)</f>
        <v>Georgia</v>
      </c>
      <c r="E575" s="2" t="str">
        <f t="shared" si="573"/>
        <v>Savannah</v>
      </c>
    </row>
    <row r="576" spans="1:5">
      <c r="A576" s="111" t="s">
        <v>10295</v>
      </c>
      <c r="B576" s="111" t="s">
        <v>1329</v>
      </c>
      <c r="C576" s="111" t="s">
        <v>8131</v>
      </c>
      <c r="D576" s="2" t="str">
        <f t="shared" ref="D576:E576" si="574">TRIM(B576)</f>
        <v>Georgia</v>
      </c>
      <c r="E576" s="2" t="str">
        <f t="shared" si="574"/>
        <v>Holly Springs</v>
      </c>
    </row>
    <row r="577" spans="1:7">
      <c r="A577" s="111" t="s">
        <v>10297</v>
      </c>
      <c r="B577" s="111" t="s">
        <v>1329</v>
      </c>
      <c r="C577" s="111" t="s">
        <v>10285</v>
      </c>
      <c r="D577" s="2" t="str">
        <f t="shared" ref="D577:E577" si="575">TRIM(B577)</f>
        <v>Georgia</v>
      </c>
      <c r="E577" s="2" t="str">
        <f t="shared" si="575"/>
        <v>Acworth</v>
      </c>
    </row>
    <row r="578" spans="1:7">
      <c r="A578" s="111" t="s">
        <v>10299</v>
      </c>
      <c r="B578" s="111" t="s">
        <v>1329</v>
      </c>
      <c r="C578" s="111" t="s">
        <v>10300</v>
      </c>
      <c r="D578" s="2" t="str">
        <f t="shared" ref="D578:E578" si="576">TRIM(B578)</f>
        <v>Georgia</v>
      </c>
      <c r="E578" s="2" t="str">
        <f t="shared" si="576"/>
        <v>Cordele</v>
      </c>
    </row>
    <row r="579" spans="1:7">
      <c r="A579" s="111" t="s">
        <v>10302</v>
      </c>
      <c r="B579" s="111" t="s">
        <v>1329</v>
      </c>
      <c r="C579" s="111" t="s">
        <v>534</v>
      </c>
      <c r="D579" s="2" t="str">
        <f t="shared" ref="D579:E579" si="577">TRIM(B579)</f>
        <v>Georgia</v>
      </c>
      <c r="E579" s="2" t="str">
        <f t="shared" si="577"/>
        <v>Rome</v>
      </c>
    </row>
    <row r="580" spans="1:7">
      <c r="A580" s="111" t="s">
        <v>10305</v>
      </c>
      <c r="B580" s="111" t="s">
        <v>1329</v>
      </c>
      <c r="C580" s="111" t="s">
        <v>10306</v>
      </c>
      <c r="D580" s="2" t="str">
        <f t="shared" ref="D580:E580" si="578">TRIM(B580)</f>
        <v>Georgia</v>
      </c>
      <c r="E580" s="2" t="str">
        <f t="shared" si="578"/>
        <v>Stillmore</v>
      </c>
    </row>
    <row r="581" spans="1:7">
      <c r="A581" s="111" t="s">
        <v>10308</v>
      </c>
      <c r="B581" s="111" t="s">
        <v>1329</v>
      </c>
      <c r="C581" s="111" t="s">
        <v>10309</v>
      </c>
      <c r="D581" s="2" t="str">
        <f t="shared" ref="D581:E581" si="579">TRIM(B581)</f>
        <v>Georgia</v>
      </c>
      <c r="E581" s="2" t="str">
        <f t="shared" si="579"/>
        <v>Hiawassee</v>
      </c>
    </row>
    <row r="582" spans="1:7">
      <c r="A582" s="111" t="s">
        <v>10310</v>
      </c>
      <c r="B582" s="111" t="s">
        <v>1329</v>
      </c>
      <c r="C582" s="111" t="s">
        <v>10311</v>
      </c>
      <c r="D582" s="2" t="str">
        <f t="shared" ref="D582:E582" si="580">TRIM(B582)</f>
        <v>Georgia</v>
      </c>
      <c r="E582" s="2" t="str">
        <f t="shared" si="580"/>
        <v>Roswell</v>
      </c>
    </row>
    <row r="583" spans="1:7">
      <c r="A583" s="111" t="s">
        <v>10313</v>
      </c>
      <c r="B583" s="111" t="s">
        <v>1329</v>
      </c>
      <c r="C583" s="111" t="s">
        <v>10314</v>
      </c>
      <c r="D583" s="2" t="str">
        <f t="shared" ref="D583:E583" si="581">TRIM(B583)</f>
        <v>Georgia</v>
      </c>
      <c r="E583" s="2" t="str">
        <f t="shared" si="581"/>
        <v>Waynesboro</v>
      </c>
    </row>
    <row r="584" spans="1:7">
      <c r="A584" s="111" t="s">
        <v>10316</v>
      </c>
      <c r="B584" s="111" t="s">
        <v>1329</v>
      </c>
      <c r="C584" s="113" t="s">
        <v>10317</v>
      </c>
      <c r="D584" s="2" t="str">
        <f t="shared" ref="D584:E584" si="582">TRIM(B584)</f>
        <v>Georgia</v>
      </c>
      <c r="E584" s="2" t="str">
        <f t="shared" si="582"/>
        <v>Saint Simons Island</v>
      </c>
      <c r="G584" s="122"/>
    </row>
    <row r="585" spans="1:7">
      <c r="A585" s="111" t="s">
        <v>10318</v>
      </c>
      <c r="B585" s="111" t="s">
        <v>1329</v>
      </c>
      <c r="C585" s="111" t="s">
        <v>10319</v>
      </c>
      <c r="D585" s="2" t="str">
        <f t="shared" ref="D585:E585" si="583">TRIM(B585)</f>
        <v>Georgia</v>
      </c>
      <c r="E585" s="2" t="str">
        <f t="shared" si="583"/>
        <v>Pinehurst</v>
      </c>
      <c r="G585" s="122"/>
    </row>
    <row r="586" spans="1:7">
      <c r="A586" s="111" t="s">
        <v>10322</v>
      </c>
      <c r="B586" s="111" t="s">
        <v>1329</v>
      </c>
      <c r="C586" s="111" t="s">
        <v>304</v>
      </c>
      <c r="D586" s="2" t="str">
        <f t="shared" ref="D586:E586" si="584">TRIM(B586)</f>
        <v>Georgia</v>
      </c>
      <c r="E586" s="2" t="str">
        <f t="shared" si="584"/>
        <v>Eatonton</v>
      </c>
    </row>
    <row r="587" spans="1:7">
      <c r="A587" s="111" t="s">
        <v>10325</v>
      </c>
      <c r="B587" s="111" t="s">
        <v>1329</v>
      </c>
      <c r="C587" s="111" t="s">
        <v>380</v>
      </c>
      <c r="D587" s="2" t="str">
        <f t="shared" ref="D587:E587" si="585">TRIM(B587)</f>
        <v>Georgia</v>
      </c>
      <c r="E587" s="2" t="str">
        <f t="shared" si="585"/>
        <v>Monroe</v>
      </c>
    </row>
    <row r="588" spans="1:7">
      <c r="A588" s="111" t="s">
        <v>10326</v>
      </c>
      <c r="B588" s="111" t="s">
        <v>1329</v>
      </c>
      <c r="C588" s="111" t="s">
        <v>10327</v>
      </c>
      <c r="D588" s="2" t="str">
        <f t="shared" ref="D588:E588" si="586">TRIM(B588)</f>
        <v>Georgia</v>
      </c>
      <c r="E588" s="2" t="str">
        <f t="shared" si="586"/>
        <v>Calhoun</v>
      </c>
    </row>
    <row r="589" spans="1:7">
      <c r="A589" s="111" t="s">
        <v>2835</v>
      </c>
      <c r="B589" s="111" t="s">
        <v>1329</v>
      </c>
      <c r="C589" s="111" t="s">
        <v>10329</v>
      </c>
      <c r="D589" s="2" t="str">
        <f t="shared" ref="D589:E589" si="587">TRIM(B589)</f>
        <v>Georgia</v>
      </c>
      <c r="E589" s="2" t="str">
        <f t="shared" si="587"/>
        <v>Sale City</v>
      </c>
    </row>
    <row r="590" spans="1:7">
      <c r="A590" s="111" t="s">
        <v>10331</v>
      </c>
      <c r="B590" s="111" t="s">
        <v>1329</v>
      </c>
      <c r="C590" s="111" t="s">
        <v>149</v>
      </c>
      <c r="D590" s="2" t="str">
        <f t="shared" ref="D590:E590" si="588">TRIM(B590)</f>
        <v>Georgia</v>
      </c>
      <c r="E590" s="2" t="str">
        <f t="shared" si="588"/>
        <v>Atlanta</v>
      </c>
    </row>
    <row r="591" spans="1:7">
      <c r="A591" s="111" t="s">
        <v>10333</v>
      </c>
      <c r="B591" s="111" t="s">
        <v>1329</v>
      </c>
      <c r="C591" s="111" t="s">
        <v>10334</v>
      </c>
      <c r="D591" s="2" t="str">
        <f t="shared" ref="D591:E591" si="589">TRIM(B591)</f>
        <v>Georgia</v>
      </c>
      <c r="E591" s="2" t="str">
        <f t="shared" si="589"/>
        <v>Sparta</v>
      </c>
    </row>
    <row r="592" spans="1:7">
      <c r="A592" s="111" t="s">
        <v>10336</v>
      </c>
      <c r="B592" s="111" t="s">
        <v>1329</v>
      </c>
      <c r="C592" s="111" t="s">
        <v>10337</v>
      </c>
      <c r="D592" s="2" t="str">
        <f t="shared" ref="D592:E592" si="590">TRIM(B592)</f>
        <v>Georgia</v>
      </c>
      <c r="E592" s="2" t="str">
        <f t="shared" si="590"/>
        <v>Lagrange</v>
      </c>
    </row>
    <row r="593" spans="1:5">
      <c r="A593" s="111" t="s">
        <v>10339</v>
      </c>
      <c r="B593" s="111" t="s">
        <v>1329</v>
      </c>
      <c r="C593" s="111" t="s">
        <v>291</v>
      </c>
      <c r="D593" s="2" t="str">
        <f t="shared" ref="D593:E593" si="591">TRIM(B593)</f>
        <v>Georgia</v>
      </c>
      <c r="E593" s="2" t="str">
        <f t="shared" si="591"/>
        <v>Gainesville</v>
      </c>
    </row>
    <row r="594" spans="1:5">
      <c r="A594" s="111" t="s">
        <v>10342</v>
      </c>
      <c r="B594" s="111" t="s">
        <v>1329</v>
      </c>
      <c r="C594" s="111" t="s">
        <v>138</v>
      </c>
      <c r="D594" s="2" t="str">
        <f t="shared" ref="D594:E594" si="592">TRIM(B594)</f>
        <v>Georgia</v>
      </c>
      <c r="E594" s="2" t="str">
        <f t="shared" si="592"/>
        <v>Columbus</v>
      </c>
    </row>
    <row r="595" spans="1:5">
      <c r="A595" s="111" t="s">
        <v>10345</v>
      </c>
      <c r="B595" s="111" t="s">
        <v>1329</v>
      </c>
      <c r="C595" s="111" t="s">
        <v>149</v>
      </c>
      <c r="D595" s="2" t="str">
        <f t="shared" ref="D595:E595" si="593">TRIM(B595)</f>
        <v>Georgia</v>
      </c>
      <c r="E595" s="2" t="str">
        <f t="shared" si="593"/>
        <v>Atlanta</v>
      </c>
    </row>
    <row r="596" spans="1:5">
      <c r="A596" s="111" t="s">
        <v>10347</v>
      </c>
      <c r="B596" s="111" t="s">
        <v>1329</v>
      </c>
      <c r="C596" s="111" t="s">
        <v>149</v>
      </c>
      <c r="D596" s="2" t="str">
        <f t="shared" ref="D596:E596" si="594">TRIM(B596)</f>
        <v>Georgia</v>
      </c>
      <c r="E596" s="2" t="str">
        <f t="shared" si="594"/>
        <v>Atlanta</v>
      </c>
    </row>
    <row r="597" spans="1:5">
      <c r="A597" s="111" t="s">
        <v>10349</v>
      </c>
      <c r="B597" s="111" t="s">
        <v>1329</v>
      </c>
      <c r="C597" s="111" t="s">
        <v>10272</v>
      </c>
      <c r="D597" s="2" t="str">
        <f t="shared" ref="D597:E597" si="595">TRIM(B597)</f>
        <v>Georgia</v>
      </c>
      <c r="E597" s="2" t="str">
        <f t="shared" si="595"/>
        <v>Savannah</v>
      </c>
    </row>
    <row r="598" spans="1:5">
      <c r="A598" s="111" t="s">
        <v>10351</v>
      </c>
      <c r="B598" s="111" t="s">
        <v>1329</v>
      </c>
      <c r="C598" s="111" t="s">
        <v>149</v>
      </c>
      <c r="D598" s="2" t="str">
        <f t="shared" ref="D598:E598" si="596">TRIM(B598)</f>
        <v>Georgia</v>
      </c>
      <c r="E598" s="2" t="str">
        <f t="shared" si="596"/>
        <v>Atlanta</v>
      </c>
    </row>
    <row r="599" spans="1:5">
      <c r="A599" s="76" t="s">
        <v>10353</v>
      </c>
      <c r="B599" s="111" t="s">
        <v>1329</v>
      </c>
      <c r="C599" s="111" t="s">
        <v>2610</v>
      </c>
      <c r="D599" s="2" t="str">
        <f t="shared" ref="D599:E599" si="597">TRIM(B599)</f>
        <v>Georgia</v>
      </c>
      <c r="E599" s="2" t="str">
        <f t="shared" si="597"/>
        <v>Lithonia</v>
      </c>
    </row>
    <row r="600" spans="1:5">
      <c r="A600" s="111" t="s">
        <v>10355</v>
      </c>
      <c r="B600" s="111" t="s">
        <v>1329</v>
      </c>
      <c r="C600" s="111" t="s">
        <v>10356</v>
      </c>
      <c r="D600" s="2" t="str">
        <f t="shared" ref="D600:E600" si="598">TRIM(B600)</f>
        <v>Georgia</v>
      </c>
      <c r="E600" s="2" t="str">
        <f t="shared" si="598"/>
        <v>Siloam</v>
      </c>
    </row>
    <row r="601" spans="1:5">
      <c r="A601" s="111" t="s">
        <v>10358</v>
      </c>
      <c r="B601" s="111" t="s">
        <v>1329</v>
      </c>
      <c r="C601" s="113" t="s">
        <v>10359</v>
      </c>
      <c r="D601" s="2" t="str">
        <f t="shared" ref="D601:E601" si="599">TRIM(B601)</f>
        <v>Georgia</v>
      </c>
      <c r="E601" s="2" t="str">
        <f t="shared" si="599"/>
        <v>Peachtree Corners</v>
      </c>
    </row>
    <row r="602" spans="1:5">
      <c r="A602" s="111" t="s">
        <v>10360</v>
      </c>
      <c r="B602" s="111" t="s">
        <v>1329</v>
      </c>
      <c r="C602" s="111" t="s">
        <v>10361</v>
      </c>
      <c r="D602" s="2" t="str">
        <f t="shared" ref="D602:E602" si="600">TRIM(B602)</f>
        <v>Georgia</v>
      </c>
      <c r="E602" s="2" t="str">
        <f t="shared" si="600"/>
        <v>Duluth</v>
      </c>
    </row>
    <row r="603" spans="1:5">
      <c r="A603" s="111" t="s">
        <v>10363</v>
      </c>
      <c r="B603" s="111" t="s">
        <v>1329</v>
      </c>
      <c r="C603" s="111" t="s">
        <v>5618</v>
      </c>
      <c r="D603" s="2" t="str">
        <f t="shared" ref="D603:E603" si="601">TRIM(B603)</f>
        <v>Georgia</v>
      </c>
      <c r="E603" s="2" t="str">
        <f t="shared" si="601"/>
        <v>Carrollton</v>
      </c>
    </row>
    <row r="604" spans="1:5">
      <c r="A604" s="111" t="s">
        <v>10365</v>
      </c>
      <c r="B604" s="111" t="s">
        <v>1329</v>
      </c>
      <c r="C604" s="111" t="s">
        <v>149</v>
      </c>
      <c r="D604" s="2" t="str">
        <f t="shared" ref="D604:E604" si="602">TRIM(B604)</f>
        <v>Georgia</v>
      </c>
      <c r="E604" s="2" t="str">
        <f t="shared" si="602"/>
        <v>Atlanta</v>
      </c>
    </row>
    <row r="605" spans="1:5">
      <c r="A605" s="111" t="s">
        <v>10367</v>
      </c>
      <c r="B605" s="111" t="s">
        <v>1329</v>
      </c>
      <c r="C605" s="111" t="s">
        <v>10368</v>
      </c>
      <c r="D605" s="2" t="str">
        <f t="shared" ref="D605:E605" si="603">TRIM(B605)</f>
        <v>Georgia</v>
      </c>
      <c r="E605" s="2" t="str">
        <f t="shared" si="603"/>
        <v>Vidalia</v>
      </c>
    </row>
    <row r="606" spans="1:5">
      <c r="A606" s="111" t="s">
        <v>10370</v>
      </c>
      <c r="B606" s="111" t="s">
        <v>1329</v>
      </c>
      <c r="C606" s="111" t="s">
        <v>10371</v>
      </c>
      <c r="D606" s="2" t="str">
        <f t="shared" ref="D606:E606" si="604">TRIM(B606)</f>
        <v>Georgia</v>
      </c>
      <c r="E606" s="2" t="str">
        <f t="shared" si="604"/>
        <v>Conyers</v>
      </c>
    </row>
    <row r="607" spans="1:5">
      <c r="A607" s="111" t="s">
        <v>10372</v>
      </c>
      <c r="B607" s="111" t="s">
        <v>1329</v>
      </c>
      <c r="C607" s="111" t="s">
        <v>4040</v>
      </c>
      <c r="D607" s="2" t="str">
        <f t="shared" ref="D607:E607" si="605">TRIM(B607)</f>
        <v>Georgia</v>
      </c>
      <c r="E607" s="2" t="str">
        <f t="shared" si="605"/>
        <v>Monticello</v>
      </c>
    </row>
    <row r="608" spans="1:5">
      <c r="A608" s="111" t="s">
        <v>10374</v>
      </c>
      <c r="B608" s="111" t="s">
        <v>1329</v>
      </c>
      <c r="C608" s="111" t="s">
        <v>10375</v>
      </c>
      <c r="D608" s="2" t="str">
        <f t="shared" ref="D608:E608" si="606">TRIM(B608)</f>
        <v>Georgia</v>
      </c>
      <c r="E608" s="2" t="str">
        <f t="shared" si="606"/>
        <v>Cumming</v>
      </c>
    </row>
    <row r="609" spans="1:5">
      <c r="A609" s="111" t="s">
        <v>10378</v>
      </c>
      <c r="B609" s="111" t="s">
        <v>1329</v>
      </c>
      <c r="C609" s="111" t="s">
        <v>444</v>
      </c>
      <c r="D609" s="2" t="str">
        <f t="shared" ref="D609:E609" si="607">TRIM(B609)</f>
        <v>Georgia</v>
      </c>
      <c r="E609" s="2" t="str">
        <f t="shared" si="607"/>
        <v>Powder Springs</v>
      </c>
    </row>
    <row r="610" spans="1:5">
      <c r="A610" s="111" t="s">
        <v>10380</v>
      </c>
      <c r="B610" s="111" t="s">
        <v>1329</v>
      </c>
      <c r="C610" s="111" t="s">
        <v>981</v>
      </c>
      <c r="D610" s="2" t="str">
        <f t="shared" ref="D610:E610" si="608">TRIM(B610)</f>
        <v>Georgia</v>
      </c>
      <c r="E610" s="2" t="str">
        <f t="shared" si="608"/>
        <v>Alpharetta</v>
      </c>
    </row>
    <row r="611" spans="1:5">
      <c r="A611" s="111" t="s">
        <v>10382</v>
      </c>
      <c r="B611" s="111" t="s">
        <v>1329</v>
      </c>
      <c r="C611" s="111" t="s">
        <v>149</v>
      </c>
      <c r="D611" s="2" t="str">
        <f t="shared" ref="D611:E611" si="609">TRIM(B611)</f>
        <v>Georgia</v>
      </c>
      <c r="E611" s="2" t="str">
        <f t="shared" si="609"/>
        <v>Atlanta</v>
      </c>
    </row>
    <row r="612" spans="1:5">
      <c r="A612" s="111" t="s">
        <v>10383</v>
      </c>
      <c r="B612" s="111" t="s">
        <v>1329</v>
      </c>
      <c r="C612" s="111" t="s">
        <v>10272</v>
      </c>
      <c r="D612" s="2" t="str">
        <f t="shared" ref="D612:E612" si="610">TRIM(B612)</f>
        <v>Georgia</v>
      </c>
      <c r="E612" s="2" t="str">
        <f t="shared" si="610"/>
        <v>Savannah</v>
      </c>
    </row>
    <row r="613" spans="1:5">
      <c r="A613" s="111" t="s">
        <v>10385</v>
      </c>
      <c r="B613" s="111" t="s">
        <v>1329</v>
      </c>
      <c r="C613" s="111" t="s">
        <v>10386</v>
      </c>
      <c r="D613" s="2" t="str">
        <f t="shared" ref="D613:E613" si="611">TRIM(B613)</f>
        <v>Georgia</v>
      </c>
      <c r="E613" s="2" t="str">
        <f t="shared" si="611"/>
        <v>Damascus</v>
      </c>
    </row>
    <row r="614" spans="1:5">
      <c r="A614" s="111" t="s">
        <v>10387</v>
      </c>
      <c r="B614" s="111" t="s">
        <v>1329</v>
      </c>
      <c r="C614" s="111" t="s">
        <v>182</v>
      </c>
      <c r="D614" s="2" t="str">
        <f t="shared" ref="D614:E614" si="612">TRIM(B614)</f>
        <v>Georgia</v>
      </c>
      <c r="E614" s="2" t="str">
        <f t="shared" si="612"/>
        <v>Albany</v>
      </c>
    </row>
    <row r="615" spans="1:5">
      <c r="A615" s="76" t="s">
        <v>9855</v>
      </c>
      <c r="B615" s="111" t="s">
        <v>1329</v>
      </c>
      <c r="C615" s="111" t="s">
        <v>10272</v>
      </c>
      <c r="D615" s="2" t="str">
        <f t="shared" ref="D615:E615" si="613">TRIM(B615)</f>
        <v>Georgia</v>
      </c>
      <c r="E615" s="2" t="str">
        <f t="shared" si="613"/>
        <v>Savannah</v>
      </c>
    </row>
    <row r="616" spans="1:5">
      <c r="A616" s="111" t="s">
        <v>10390</v>
      </c>
      <c r="B616" s="111" t="s">
        <v>1329</v>
      </c>
      <c r="C616" s="111" t="s">
        <v>10311</v>
      </c>
      <c r="D616" s="2" t="str">
        <f t="shared" ref="D616:E616" si="614">TRIM(B616)</f>
        <v>Georgia</v>
      </c>
      <c r="E616" s="2" t="str">
        <f t="shared" si="614"/>
        <v>Roswell</v>
      </c>
    </row>
    <row r="617" spans="1:5">
      <c r="A617" s="111" t="s">
        <v>10392</v>
      </c>
      <c r="B617" s="111" t="s">
        <v>1329</v>
      </c>
      <c r="C617" s="111" t="s">
        <v>149</v>
      </c>
      <c r="D617" s="2" t="str">
        <f t="shared" ref="D617:E617" si="615">TRIM(B617)</f>
        <v>Georgia</v>
      </c>
      <c r="E617" s="2" t="str">
        <f t="shared" si="615"/>
        <v>Atlanta</v>
      </c>
    </row>
    <row r="618" spans="1:5">
      <c r="A618" s="111" t="s">
        <v>10393</v>
      </c>
      <c r="B618" s="111" t="s">
        <v>1329</v>
      </c>
      <c r="C618" s="111" t="s">
        <v>10272</v>
      </c>
      <c r="D618" s="2" t="str">
        <f t="shared" ref="D618:E618" si="616">TRIM(B618)</f>
        <v>Georgia</v>
      </c>
      <c r="E618" s="2" t="str">
        <f t="shared" si="616"/>
        <v>Savannah</v>
      </c>
    </row>
    <row r="619" spans="1:5">
      <c r="A619" s="111" t="s">
        <v>10395</v>
      </c>
      <c r="B619" s="111" t="s">
        <v>1329</v>
      </c>
      <c r="C619" s="111" t="s">
        <v>10396</v>
      </c>
      <c r="D619" s="2" t="str">
        <f t="shared" ref="D619:E619" si="617">TRIM(B619)</f>
        <v>Georgia</v>
      </c>
      <c r="E619" s="2" t="str">
        <f t="shared" si="617"/>
        <v>Macon</v>
      </c>
    </row>
    <row r="620" spans="1:5">
      <c r="A620" s="111" t="s">
        <v>10398</v>
      </c>
      <c r="B620" s="111" t="s">
        <v>1329</v>
      </c>
      <c r="C620" s="111" t="s">
        <v>10396</v>
      </c>
      <c r="D620" s="2" t="str">
        <f t="shared" ref="D620:E620" si="618">TRIM(B620)</f>
        <v>Georgia</v>
      </c>
      <c r="E620" s="2" t="str">
        <f t="shared" si="618"/>
        <v>Macon</v>
      </c>
    </row>
    <row r="621" spans="1:5">
      <c r="A621" s="111" t="s">
        <v>8366</v>
      </c>
      <c r="B621" s="111" t="s">
        <v>1329</v>
      </c>
      <c r="C621" s="111" t="s">
        <v>10400</v>
      </c>
      <c r="D621" s="2" t="str">
        <f t="shared" ref="D621:E621" si="619">TRIM(B621)</f>
        <v>Georgia</v>
      </c>
      <c r="E621" s="2" t="str">
        <f t="shared" si="619"/>
        <v>Forest Park</v>
      </c>
    </row>
    <row r="622" spans="1:5">
      <c r="A622" s="111" t="s">
        <v>10403</v>
      </c>
      <c r="B622" s="111" t="s">
        <v>1329</v>
      </c>
      <c r="C622" s="111" t="s">
        <v>10404</v>
      </c>
      <c r="D622" s="2" t="str">
        <f t="shared" ref="D622:E622" si="620">TRIM(B622)</f>
        <v>Georgia</v>
      </c>
      <c r="E622" s="2" t="str">
        <f t="shared" si="620"/>
        <v>Peachtree City</v>
      </c>
    </row>
    <row r="623" spans="1:5">
      <c r="A623" s="111" t="s">
        <v>10406</v>
      </c>
      <c r="B623" s="111" t="s">
        <v>1329</v>
      </c>
      <c r="C623" s="111" t="s">
        <v>149</v>
      </c>
      <c r="D623" s="2" t="str">
        <f t="shared" ref="D623:E623" si="621">TRIM(B623)</f>
        <v>Georgia</v>
      </c>
      <c r="E623" s="2" t="str">
        <f t="shared" si="621"/>
        <v>Atlanta</v>
      </c>
    </row>
    <row r="624" spans="1:5">
      <c r="A624" s="111" t="s">
        <v>10408</v>
      </c>
      <c r="B624" s="111" t="s">
        <v>1329</v>
      </c>
      <c r="C624" s="111" t="s">
        <v>10272</v>
      </c>
      <c r="D624" s="2" t="str">
        <f t="shared" ref="D624:E624" si="622">TRIM(B624)</f>
        <v>Georgia</v>
      </c>
      <c r="E624" s="2" t="str">
        <f t="shared" si="622"/>
        <v>Savannah</v>
      </c>
    </row>
    <row r="625" spans="1:5">
      <c r="A625" s="111" t="s">
        <v>10410</v>
      </c>
      <c r="B625" s="111" t="s">
        <v>1329</v>
      </c>
      <c r="C625" s="111" t="s">
        <v>10411</v>
      </c>
      <c r="D625" s="2" t="str">
        <f t="shared" ref="D625:E625" si="623">TRIM(B625)</f>
        <v>Georgia</v>
      </c>
      <c r="E625" s="2" t="str">
        <f t="shared" si="623"/>
        <v>Newnan</v>
      </c>
    </row>
    <row r="626" spans="1:5">
      <c r="A626" s="76" t="s">
        <v>9659</v>
      </c>
      <c r="B626" s="111" t="s">
        <v>1329</v>
      </c>
      <c r="C626" s="111" t="s">
        <v>8792</v>
      </c>
      <c r="D626" s="2" t="str">
        <f t="shared" ref="D626:E626" si="624">TRIM(B626)</f>
        <v>Georgia</v>
      </c>
      <c r="E626" s="2" t="str">
        <f t="shared" si="624"/>
        <v>Woodstock</v>
      </c>
    </row>
    <row r="627" spans="1:5">
      <c r="A627" s="111" t="s">
        <v>10413</v>
      </c>
      <c r="B627" s="111" t="s">
        <v>1329</v>
      </c>
      <c r="C627" s="111" t="s">
        <v>149</v>
      </c>
      <c r="D627" s="2" t="str">
        <f t="shared" ref="D627:E627" si="625">TRIM(B627)</f>
        <v>Georgia</v>
      </c>
      <c r="E627" s="2" t="str">
        <f t="shared" si="625"/>
        <v>Atlanta</v>
      </c>
    </row>
    <row r="628" spans="1:5">
      <c r="A628" s="111" t="s">
        <v>10415</v>
      </c>
      <c r="B628" s="111" t="s">
        <v>1329</v>
      </c>
      <c r="C628" s="111" t="s">
        <v>149</v>
      </c>
      <c r="D628" s="2" t="str">
        <f t="shared" ref="D628:E628" si="626">TRIM(B628)</f>
        <v>Georgia</v>
      </c>
      <c r="E628" s="2" t="str">
        <f t="shared" si="626"/>
        <v>Atlanta</v>
      </c>
    </row>
    <row r="629" spans="1:5">
      <c r="A629" s="111" t="s">
        <v>10418</v>
      </c>
      <c r="B629" s="111" t="s">
        <v>1329</v>
      </c>
      <c r="C629" s="111" t="s">
        <v>149</v>
      </c>
      <c r="D629" s="2" t="str">
        <f t="shared" ref="D629:E629" si="627">TRIM(B629)</f>
        <v>Georgia</v>
      </c>
      <c r="E629" s="2" t="str">
        <f t="shared" si="627"/>
        <v>Atlanta</v>
      </c>
    </row>
    <row r="630" spans="1:5">
      <c r="A630" s="111" t="s">
        <v>10421</v>
      </c>
      <c r="B630" s="111" t="s">
        <v>1329</v>
      </c>
      <c r="C630" s="111" t="s">
        <v>581</v>
      </c>
      <c r="D630" s="2" t="str">
        <f t="shared" ref="D630:E630" si="628">TRIM(B630)</f>
        <v>Georgia</v>
      </c>
      <c r="E630" s="2" t="str">
        <f t="shared" si="628"/>
        <v>Mableton</v>
      </c>
    </row>
    <row r="631" spans="1:5">
      <c r="A631" s="111" t="s">
        <v>10423</v>
      </c>
      <c r="B631" s="111" t="s">
        <v>1329</v>
      </c>
      <c r="C631" s="111" t="s">
        <v>836</v>
      </c>
      <c r="D631" s="2" t="str">
        <f t="shared" ref="D631:E631" si="629">TRIM(B631)</f>
        <v>Georgia</v>
      </c>
      <c r="E631" s="2" t="str">
        <f t="shared" si="629"/>
        <v>Marietta</v>
      </c>
    </row>
    <row r="632" spans="1:5">
      <c r="A632" s="111" t="s">
        <v>10426</v>
      </c>
      <c r="B632" s="111" t="s">
        <v>1329</v>
      </c>
      <c r="C632" s="111" t="s">
        <v>494</v>
      </c>
      <c r="D632" s="2" t="str">
        <f t="shared" ref="D632:E632" si="630">TRIM(B632)</f>
        <v>Georgia</v>
      </c>
      <c r="E632" s="2" t="str">
        <f t="shared" si="630"/>
        <v>Louisville</v>
      </c>
    </row>
    <row r="633" spans="1:5">
      <c r="A633" s="111" t="s">
        <v>10431</v>
      </c>
      <c r="B633" s="111" t="s">
        <v>1329</v>
      </c>
      <c r="C633" s="111" t="s">
        <v>10433</v>
      </c>
      <c r="D633" s="2" t="str">
        <f t="shared" ref="D633:E633" si="631">TRIM(B633)</f>
        <v>Georgia</v>
      </c>
      <c r="E633" s="2" t="str">
        <f t="shared" si="631"/>
        <v>Hahira</v>
      </c>
    </row>
    <row r="634" spans="1:5">
      <c r="A634" s="111" t="s">
        <v>10436</v>
      </c>
      <c r="B634" s="111" t="s">
        <v>1329</v>
      </c>
      <c r="C634" s="111" t="s">
        <v>149</v>
      </c>
      <c r="D634" s="2" t="str">
        <f t="shared" ref="D634:E634" si="632">TRIM(B634)</f>
        <v>Georgia</v>
      </c>
      <c r="E634" s="2" t="str">
        <f t="shared" si="632"/>
        <v>Atlanta</v>
      </c>
    </row>
    <row r="635" spans="1:5">
      <c r="A635" s="111" t="s">
        <v>10438</v>
      </c>
      <c r="B635" s="111" t="s">
        <v>1329</v>
      </c>
      <c r="C635" s="111" t="s">
        <v>337</v>
      </c>
      <c r="D635" s="2" t="str">
        <f t="shared" ref="D635:E635" si="633">TRIM(B635)</f>
        <v>Georgia</v>
      </c>
      <c r="E635" s="2" t="str">
        <f t="shared" si="633"/>
        <v>Augusta</v>
      </c>
    </row>
    <row r="636" spans="1:5">
      <c r="A636" s="111" t="s">
        <v>10441</v>
      </c>
      <c r="B636" s="111" t="s">
        <v>1329</v>
      </c>
      <c r="C636" s="111" t="s">
        <v>10442</v>
      </c>
      <c r="D636" s="2" t="str">
        <f t="shared" ref="D636:E636" si="634">TRIM(B636)</f>
        <v>Georgia</v>
      </c>
      <c r="E636" s="2" t="str">
        <f t="shared" si="634"/>
        <v>Camilla</v>
      </c>
    </row>
    <row r="637" spans="1:5">
      <c r="A637" s="111" t="s">
        <v>10445</v>
      </c>
      <c r="B637" s="111" t="s">
        <v>1329</v>
      </c>
      <c r="C637" s="111" t="s">
        <v>581</v>
      </c>
      <c r="D637" s="2" t="str">
        <f t="shared" ref="D637:E637" si="635">TRIM(B637)</f>
        <v>Georgia</v>
      </c>
      <c r="E637" s="2" t="str">
        <f t="shared" si="635"/>
        <v>Mableton</v>
      </c>
    </row>
    <row r="638" spans="1:5">
      <c r="A638" s="111" t="s">
        <v>10448</v>
      </c>
      <c r="B638" s="111" t="s">
        <v>1329</v>
      </c>
      <c r="C638" s="111" t="s">
        <v>10396</v>
      </c>
      <c r="D638" s="2" t="str">
        <f t="shared" ref="D638:E638" si="636">TRIM(B638)</f>
        <v>Georgia</v>
      </c>
      <c r="E638" s="2" t="str">
        <f t="shared" si="636"/>
        <v>Macon</v>
      </c>
    </row>
    <row r="639" spans="1:5">
      <c r="A639" s="111" t="s">
        <v>10450</v>
      </c>
      <c r="B639" s="111" t="s">
        <v>1330</v>
      </c>
      <c r="C639" s="112" t="s">
        <v>10452</v>
      </c>
      <c r="D639" s="2" t="str">
        <f t="shared" ref="D639:E639" si="637">TRIM(B639)</f>
        <v>Hawaii</v>
      </c>
      <c r="E639" s="2" t="str">
        <f t="shared" si="637"/>
        <v>Kaunakakai</v>
      </c>
    </row>
    <row r="640" spans="1:5">
      <c r="A640" s="111" t="s">
        <v>10454</v>
      </c>
      <c r="B640" s="111" t="s">
        <v>1330</v>
      </c>
      <c r="C640" s="111" t="s">
        <v>10455</v>
      </c>
      <c r="D640" s="2" t="str">
        <f t="shared" ref="D640:E640" si="638">TRIM(B640)</f>
        <v>Hawaii</v>
      </c>
      <c r="E640" s="2" t="str">
        <f t="shared" si="638"/>
        <v>Kapolei</v>
      </c>
    </row>
    <row r="641" spans="1:5">
      <c r="A641" s="111" t="s">
        <v>10457</v>
      </c>
      <c r="B641" s="111" t="s">
        <v>1330</v>
      </c>
      <c r="C641" s="111" t="s">
        <v>432</v>
      </c>
      <c r="D641" s="2" t="str">
        <f t="shared" ref="D641:E641" si="639">TRIM(B641)</f>
        <v>Hawaii</v>
      </c>
      <c r="E641" s="2" t="str">
        <f t="shared" si="639"/>
        <v>Honolulu</v>
      </c>
    </row>
    <row r="642" spans="1:5">
      <c r="A642" s="111" t="s">
        <v>10459</v>
      </c>
      <c r="B642" s="111" t="s">
        <v>1330</v>
      </c>
      <c r="C642" s="111" t="s">
        <v>10461</v>
      </c>
      <c r="D642" s="2" t="str">
        <f t="shared" ref="D642:E642" si="640">TRIM(B642)</f>
        <v>Hawaii</v>
      </c>
      <c r="E642" s="2" t="str">
        <f t="shared" si="640"/>
        <v>Kula</v>
      </c>
    </row>
    <row r="643" spans="1:5">
      <c r="A643" s="111" t="s">
        <v>10464</v>
      </c>
      <c r="B643" s="111" t="s">
        <v>1330</v>
      </c>
      <c r="C643" s="111" t="s">
        <v>10465</v>
      </c>
      <c r="D643" s="2" t="str">
        <f t="shared" ref="D643:E643" si="641">TRIM(B643)</f>
        <v>Hawaii</v>
      </c>
      <c r="E643" s="2" t="str">
        <f t="shared" si="641"/>
        <v>Mililani</v>
      </c>
    </row>
    <row r="644" spans="1:5">
      <c r="A644" s="111" t="s">
        <v>10468</v>
      </c>
      <c r="B644" s="111" t="s">
        <v>1330</v>
      </c>
      <c r="C644" s="111" t="s">
        <v>10469</v>
      </c>
      <c r="D644" s="2" t="str">
        <f t="shared" ref="D644:E644" si="642">TRIM(B644)</f>
        <v>Hawaii</v>
      </c>
      <c r="E644" s="2" t="str">
        <f t="shared" si="642"/>
        <v>Kamuela</v>
      </c>
    </row>
    <row r="645" spans="1:5">
      <c r="A645" s="111" t="s">
        <v>10471</v>
      </c>
      <c r="B645" s="111" t="s">
        <v>1330</v>
      </c>
      <c r="C645" s="111" t="s">
        <v>432</v>
      </c>
      <c r="D645" s="2" t="str">
        <f t="shared" ref="D645:E645" si="643">TRIM(B645)</f>
        <v>Hawaii</v>
      </c>
      <c r="E645" s="2" t="str">
        <f t="shared" si="643"/>
        <v>Honolulu</v>
      </c>
    </row>
    <row r="646" spans="1:5">
      <c r="A646" s="111" t="s">
        <v>10474</v>
      </c>
      <c r="B646" s="111" t="s">
        <v>1330</v>
      </c>
      <c r="C646" s="111" t="s">
        <v>10475</v>
      </c>
      <c r="D646" s="2" t="str">
        <f t="shared" ref="D646:E646" si="644">TRIM(B646)</f>
        <v>Hawaii</v>
      </c>
      <c r="E646" s="2" t="str">
        <f t="shared" si="644"/>
        <v>Wahiawa</v>
      </c>
    </row>
    <row r="647" spans="1:5">
      <c r="A647" s="111" t="s">
        <v>10477</v>
      </c>
      <c r="B647" s="111" t="s">
        <v>1330</v>
      </c>
      <c r="C647" s="111" t="s">
        <v>432</v>
      </c>
      <c r="D647" s="2" t="str">
        <f t="shared" ref="D647:E647" si="645">TRIM(B647)</f>
        <v>Hawaii</v>
      </c>
      <c r="E647" s="2" t="str">
        <f t="shared" si="645"/>
        <v>Honolulu</v>
      </c>
    </row>
    <row r="648" spans="1:5">
      <c r="A648" s="111" t="s">
        <v>10479</v>
      </c>
      <c r="B648" s="111" t="s">
        <v>1330</v>
      </c>
      <c r="C648" s="111" t="s">
        <v>432</v>
      </c>
      <c r="D648" s="2" t="str">
        <f t="shared" ref="D648:E648" si="646">TRIM(B648)</f>
        <v>Hawaii</v>
      </c>
      <c r="E648" s="2" t="str">
        <f t="shared" si="646"/>
        <v>Honolulu</v>
      </c>
    </row>
    <row r="649" spans="1:5">
      <c r="A649" s="111" t="s">
        <v>10480</v>
      </c>
      <c r="B649" s="111" t="s">
        <v>1330</v>
      </c>
      <c r="C649" s="111" t="s">
        <v>10481</v>
      </c>
      <c r="D649" s="2" t="str">
        <f t="shared" ref="D649:E649" si="647">TRIM(B649)</f>
        <v>Hawaii</v>
      </c>
      <c r="E649" s="2" t="str">
        <f t="shared" si="647"/>
        <v>Kailua</v>
      </c>
    </row>
    <row r="650" spans="1:5">
      <c r="A650" s="111" t="s">
        <v>10482</v>
      </c>
      <c r="B650" s="111" t="s">
        <v>1330</v>
      </c>
      <c r="C650" s="111" t="s">
        <v>432</v>
      </c>
      <c r="D650" s="2" t="str">
        <f t="shared" ref="D650:E650" si="648">TRIM(B650)</f>
        <v>Hawaii</v>
      </c>
      <c r="E650" s="2" t="str">
        <f t="shared" si="648"/>
        <v>Honolulu</v>
      </c>
    </row>
    <row r="651" spans="1:5">
      <c r="A651" s="111" t="s">
        <v>10482</v>
      </c>
      <c r="B651" s="111" t="s">
        <v>1330</v>
      </c>
      <c r="C651" s="111" t="s">
        <v>432</v>
      </c>
      <c r="D651" s="2" t="str">
        <f t="shared" ref="D651:E651" si="649">TRIM(B651)</f>
        <v>Hawaii</v>
      </c>
      <c r="E651" s="2" t="str">
        <f t="shared" si="649"/>
        <v>Honolulu</v>
      </c>
    </row>
    <row r="652" spans="1:5">
      <c r="A652" s="111" t="s">
        <v>10485</v>
      </c>
      <c r="B652" s="111" t="s">
        <v>1330</v>
      </c>
      <c r="C652" s="111" t="s">
        <v>10486</v>
      </c>
      <c r="D652" s="2" t="str">
        <f t="shared" ref="D652:E652" si="650">TRIM(B652)</f>
        <v>Hawaii</v>
      </c>
      <c r="E652" s="2" t="str">
        <f t="shared" si="650"/>
        <v>Lahaina</v>
      </c>
    </row>
    <row r="653" spans="1:5">
      <c r="A653" s="111" t="s">
        <v>10488</v>
      </c>
      <c r="B653" s="111" t="s">
        <v>1330</v>
      </c>
      <c r="C653" s="111" t="s">
        <v>432</v>
      </c>
      <c r="D653" s="2" t="str">
        <f t="shared" ref="D653:E653" si="651">TRIM(B653)</f>
        <v>Hawaii</v>
      </c>
      <c r="E653" s="2" t="str">
        <f t="shared" si="651"/>
        <v>Honolulu</v>
      </c>
    </row>
    <row r="654" spans="1:5">
      <c r="A654" s="111" t="s">
        <v>10490</v>
      </c>
      <c r="B654" s="111" t="s">
        <v>1330</v>
      </c>
      <c r="C654" s="111" t="s">
        <v>10469</v>
      </c>
      <c r="D654" s="2" t="str">
        <f t="shared" ref="D654:E654" si="652">TRIM(B654)</f>
        <v>Hawaii</v>
      </c>
      <c r="E654" s="2" t="str">
        <f t="shared" si="652"/>
        <v>Kamuela</v>
      </c>
    </row>
    <row r="655" spans="1:5">
      <c r="A655" s="111" t="s">
        <v>10492</v>
      </c>
      <c r="B655" s="111" t="s">
        <v>1330</v>
      </c>
      <c r="C655" s="111" t="s">
        <v>432</v>
      </c>
      <c r="D655" s="2" t="str">
        <f t="shared" ref="D655:E655" si="653">TRIM(B655)</f>
        <v>Hawaii</v>
      </c>
      <c r="E655" s="2" t="str">
        <f t="shared" si="653"/>
        <v>Honolulu</v>
      </c>
    </row>
    <row r="656" spans="1:5">
      <c r="A656" s="111" t="s">
        <v>10493</v>
      </c>
      <c r="B656" s="111" t="s">
        <v>1330</v>
      </c>
      <c r="C656" s="111" t="s">
        <v>10494</v>
      </c>
      <c r="D656" s="2" t="str">
        <f t="shared" ref="D656:E656" si="654">TRIM(B656)</f>
        <v>Hawaii</v>
      </c>
      <c r="E656" s="2" t="str">
        <f t="shared" si="654"/>
        <v>Makawao</v>
      </c>
    </row>
    <row r="657" spans="1:5">
      <c r="A657" s="111" t="s">
        <v>10496</v>
      </c>
      <c r="B657" s="111" t="s">
        <v>1330</v>
      </c>
      <c r="C657" s="111" t="s">
        <v>10497</v>
      </c>
      <c r="D657" s="2" t="str">
        <f t="shared" ref="D657:E657" si="655">TRIM(B657)</f>
        <v>Hawaii</v>
      </c>
      <c r="E657" s="2" t="str">
        <f t="shared" si="655"/>
        <v>Wailuku</v>
      </c>
    </row>
    <row r="658" spans="1:5">
      <c r="A658" s="111" t="s">
        <v>10499</v>
      </c>
      <c r="B658" s="111" t="s">
        <v>1330</v>
      </c>
      <c r="C658" s="111" t="s">
        <v>10500</v>
      </c>
      <c r="D658" s="2" t="str">
        <f t="shared" ref="D658:E658" si="656">TRIM(B658)</f>
        <v>Hawaii</v>
      </c>
      <c r="E658" s="2" t="str">
        <f t="shared" si="656"/>
        <v>Hilo</v>
      </c>
    </row>
    <row r="659" spans="1:5">
      <c r="A659" s="111" t="s">
        <v>10503</v>
      </c>
      <c r="B659" s="111" t="s">
        <v>1332</v>
      </c>
      <c r="C659" s="111" t="s">
        <v>10504</v>
      </c>
      <c r="D659" s="2" t="str">
        <f t="shared" ref="D659:E659" si="657">TRIM(B659)</f>
        <v>Idaho</v>
      </c>
      <c r="E659" s="2" t="str">
        <f t="shared" si="657"/>
        <v>Boise</v>
      </c>
    </row>
    <row r="660" spans="1:5">
      <c r="A660" s="111" t="s">
        <v>10507</v>
      </c>
      <c r="B660" s="111" t="s">
        <v>1332</v>
      </c>
      <c r="C660" s="111" t="s">
        <v>4576</v>
      </c>
      <c r="D660" s="2" t="str">
        <f t="shared" ref="D660:E660" si="658">TRIM(B660)</f>
        <v>Idaho</v>
      </c>
      <c r="E660" s="2" t="str">
        <f t="shared" si="658"/>
        <v>Post Falls</v>
      </c>
    </row>
    <row r="661" spans="1:5">
      <c r="A661" s="111" t="s">
        <v>10508</v>
      </c>
      <c r="B661" s="111" t="s">
        <v>1332</v>
      </c>
      <c r="C661" s="111" t="s">
        <v>10509</v>
      </c>
      <c r="D661" s="2" t="str">
        <f t="shared" ref="D661:E661" si="659">TRIM(B661)</f>
        <v>Idaho</v>
      </c>
      <c r="E661" s="2" t="str">
        <f t="shared" si="659"/>
        <v>Greenleaf</v>
      </c>
    </row>
    <row r="662" spans="1:5">
      <c r="A662" s="111" t="s">
        <v>10510</v>
      </c>
      <c r="B662" s="111" t="s">
        <v>1332</v>
      </c>
      <c r="C662" s="111" t="s">
        <v>10512</v>
      </c>
      <c r="D662" s="2" t="str">
        <f t="shared" ref="D662:E662" si="660">TRIM(B662)</f>
        <v>Idaho</v>
      </c>
      <c r="E662" s="2" t="str">
        <f t="shared" si="660"/>
        <v>Moscow</v>
      </c>
    </row>
    <row r="663" spans="1:5">
      <c r="A663" s="111" t="s">
        <v>10513</v>
      </c>
      <c r="B663" s="111" t="s">
        <v>1332</v>
      </c>
      <c r="C663" s="111" t="s">
        <v>5136</v>
      </c>
      <c r="D663" s="2" t="str">
        <f t="shared" ref="D663:E663" si="661">TRIM(B663)</f>
        <v>Idaho</v>
      </c>
      <c r="E663" s="2" t="str">
        <f t="shared" si="661"/>
        <v>Garden Valley</v>
      </c>
    </row>
    <row r="664" spans="1:5">
      <c r="A664" s="111" t="s">
        <v>10516</v>
      </c>
      <c r="B664" s="111" t="s">
        <v>1332</v>
      </c>
      <c r="C664" s="111" t="s">
        <v>4053</v>
      </c>
      <c r="D664" s="2" t="str">
        <f t="shared" ref="D664:E664" si="662">TRIM(B664)</f>
        <v>Idaho</v>
      </c>
      <c r="E664" s="2" t="str">
        <f t="shared" si="662"/>
        <v>Mountain Home</v>
      </c>
    </row>
    <row r="665" spans="1:5">
      <c r="A665" s="111" t="s">
        <v>10517</v>
      </c>
      <c r="B665" s="111" t="s">
        <v>1332</v>
      </c>
      <c r="C665" s="111" t="s">
        <v>2048</v>
      </c>
      <c r="D665" s="2" t="str">
        <f t="shared" ref="D665:E665" si="663">TRIM(B665)</f>
        <v>Idaho</v>
      </c>
      <c r="E665" s="2" t="str">
        <f t="shared" si="663"/>
        <v>Meridian</v>
      </c>
    </row>
    <row r="666" spans="1:5">
      <c r="A666" s="76" t="s">
        <v>10520</v>
      </c>
      <c r="B666" s="111" t="s">
        <v>1332</v>
      </c>
      <c r="C666" s="111" t="s">
        <v>4576</v>
      </c>
      <c r="D666" s="2" t="str">
        <f t="shared" ref="D666:E666" si="664">TRIM(B666)</f>
        <v>Idaho</v>
      </c>
      <c r="E666" s="2" t="str">
        <f t="shared" si="664"/>
        <v>Post Falls</v>
      </c>
    </row>
    <row r="667" spans="1:5">
      <c r="A667" s="111" t="s">
        <v>10522</v>
      </c>
      <c r="B667" s="111" t="s">
        <v>1332</v>
      </c>
      <c r="C667" s="111" t="s">
        <v>10523</v>
      </c>
      <c r="D667" s="2" t="str">
        <f t="shared" ref="D667:E667" si="665">TRIM(B667)</f>
        <v>Idaho</v>
      </c>
      <c r="E667" s="2" t="str">
        <f t="shared" si="665"/>
        <v>Rathdrum</v>
      </c>
    </row>
    <row r="668" spans="1:5">
      <c r="A668" s="111" t="s">
        <v>10526</v>
      </c>
      <c r="B668" s="111" t="s">
        <v>1332</v>
      </c>
      <c r="C668" s="111" t="s">
        <v>2582</v>
      </c>
      <c r="D668" s="2" t="str">
        <f t="shared" ref="D668:E668" si="666">TRIM(B668)</f>
        <v>Idaho</v>
      </c>
      <c r="E668" s="2" t="str">
        <f t="shared" si="666"/>
        <v>Cottonwood</v>
      </c>
    </row>
    <row r="669" spans="1:5">
      <c r="A669" s="111" t="s">
        <v>10528</v>
      </c>
      <c r="B669" s="111" t="s">
        <v>1332</v>
      </c>
      <c r="C669" s="111" t="s">
        <v>2048</v>
      </c>
      <c r="D669" s="2" t="str">
        <f t="shared" ref="D669:E669" si="667">TRIM(B669)</f>
        <v>Idaho</v>
      </c>
      <c r="E669" s="2" t="str">
        <f t="shared" si="667"/>
        <v>Meridian</v>
      </c>
    </row>
    <row r="670" spans="1:5">
      <c r="A670" s="111" t="s">
        <v>10530</v>
      </c>
      <c r="B670" s="111" t="s">
        <v>1332</v>
      </c>
      <c r="C670" s="111" t="s">
        <v>10531</v>
      </c>
      <c r="D670" s="2" t="str">
        <f t="shared" ref="D670:E670" si="668">TRIM(B670)</f>
        <v>Idaho</v>
      </c>
      <c r="E670" s="2" t="str">
        <f t="shared" si="668"/>
        <v>Hailey</v>
      </c>
    </row>
    <row r="671" spans="1:5">
      <c r="A671" s="111" t="s">
        <v>10534</v>
      </c>
      <c r="B671" s="111" t="s">
        <v>1332</v>
      </c>
      <c r="C671" s="111" t="s">
        <v>10535</v>
      </c>
      <c r="D671" s="2" t="str">
        <f t="shared" ref="D671:E671" si="669">TRIM(B671)</f>
        <v>Idaho</v>
      </c>
      <c r="E671" s="2" t="str">
        <f t="shared" si="669"/>
        <v>Idaho Falls</v>
      </c>
    </row>
    <row r="672" spans="1:5">
      <c r="A672" s="111" t="s">
        <v>10537</v>
      </c>
      <c r="B672" s="111" t="s">
        <v>1333</v>
      </c>
      <c r="C672" s="111" t="s">
        <v>268</v>
      </c>
      <c r="D672" s="2" t="str">
        <f t="shared" ref="D672:E672" si="670">TRIM(B672)</f>
        <v>Illinois</v>
      </c>
      <c r="E672" s="2" t="str">
        <f t="shared" si="670"/>
        <v>Chicago</v>
      </c>
    </row>
    <row r="673" spans="1:5">
      <c r="A673" s="111" t="s">
        <v>10540</v>
      </c>
      <c r="B673" s="111" t="s">
        <v>1333</v>
      </c>
      <c r="C673" s="111" t="s">
        <v>6494</v>
      </c>
      <c r="D673" s="2" t="str">
        <f t="shared" ref="D673:E673" si="671">TRIM(B673)</f>
        <v>Illinois</v>
      </c>
      <c r="E673" s="2" t="str">
        <f t="shared" si="671"/>
        <v>Rock Island</v>
      </c>
    </row>
    <row r="674" spans="1:5">
      <c r="A674" s="111" t="s">
        <v>10542</v>
      </c>
      <c r="B674" s="111" t="s">
        <v>1333</v>
      </c>
      <c r="C674" s="111" t="s">
        <v>10544</v>
      </c>
      <c r="D674" s="2" t="str">
        <f t="shared" ref="D674:E674" si="672">TRIM(B674)</f>
        <v>Illinois</v>
      </c>
      <c r="E674" s="2" t="str">
        <f t="shared" si="672"/>
        <v>Lansing</v>
      </c>
    </row>
    <row r="675" spans="1:5">
      <c r="A675" s="111" t="s">
        <v>10546</v>
      </c>
      <c r="B675" s="111" t="s">
        <v>1333</v>
      </c>
      <c r="C675" s="111" t="s">
        <v>268</v>
      </c>
      <c r="D675" s="2" t="str">
        <f t="shared" ref="D675:E675" si="673">TRIM(B675)</f>
        <v>Illinois</v>
      </c>
      <c r="E675" s="2" t="str">
        <f t="shared" si="673"/>
        <v>Chicago</v>
      </c>
    </row>
    <row r="676" spans="1:5">
      <c r="A676" s="111" t="s">
        <v>9114</v>
      </c>
      <c r="B676" s="111" t="s">
        <v>1333</v>
      </c>
      <c r="C676" s="111" t="s">
        <v>416</v>
      </c>
      <c r="D676" s="2" t="str">
        <f t="shared" ref="D676:E676" si="674">TRIM(B676)</f>
        <v>Illinois</v>
      </c>
      <c r="E676" s="2" t="str">
        <f t="shared" si="674"/>
        <v>Springfield</v>
      </c>
    </row>
    <row r="677" spans="1:5">
      <c r="A677" s="111" t="s">
        <v>10549</v>
      </c>
      <c r="B677" s="111" t="s">
        <v>1333</v>
      </c>
      <c r="C677" s="111" t="s">
        <v>10551</v>
      </c>
      <c r="D677" s="2" t="str">
        <f t="shared" ref="D677:E677" si="675">TRIM(B677)</f>
        <v>Illinois</v>
      </c>
      <c r="E677" s="2" t="str">
        <f t="shared" si="675"/>
        <v>Hazel Crest</v>
      </c>
    </row>
    <row r="678" spans="1:5">
      <c r="A678" s="111" t="s">
        <v>10552</v>
      </c>
      <c r="B678" s="111" t="s">
        <v>1333</v>
      </c>
      <c r="C678" s="111" t="s">
        <v>10554</v>
      </c>
      <c r="D678" s="2" t="str">
        <f t="shared" ref="D678:E678" si="676">TRIM(B678)</f>
        <v>Illinois</v>
      </c>
      <c r="E678" s="2" t="str">
        <f t="shared" si="676"/>
        <v>Lisle</v>
      </c>
    </row>
    <row r="679" spans="1:5">
      <c r="A679" s="111" t="s">
        <v>10555</v>
      </c>
      <c r="B679" s="111" t="s">
        <v>1333</v>
      </c>
      <c r="C679" s="111" t="s">
        <v>268</v>
      </c>
      <c r="D679" s="2" t="str">
        <f t="shared" ref="D679:E679" si="677">TRIM(B679)</f>
        <v>Illinois</v>
      </c>
      <c r="E679" s="2" t="str">
        <f t="shared" si="677"/>
        <v>Chicago</v>
      </c>
    </row>
    <row r="680" spans="1:5">
      <c r="A680" s="111" t="s">
        <v>10557</v>
      </c>
      <c r="B680" s="111" t="s">
        <v>1333</v>
      </c>
      <c r="C680" s="111" t="s">
        <v>10558</v>
      </c>
      <c r="D680" s="2" t="str">
        <f t="shared" ref="D680:E680" si="678">TRIM(B680)</f>
        <v>Illinois</v>
      </c>
      <c r="E680" s="2" t="str">
        <f t="shared" si="678"/>
        <v>Lombard</v>
      </c>
    </row>
    <row r="681" spans="1:5">
      <c r="A681" s="111" t="s">
        <v>9965</v>
      </c>
      <c r="B681" s="111" t="s">
        <v>1333</v>
      </c>
      <c r="C681" s="111" t="s">
        <v>268</v>
      </c>
      <c r="D681" s="2" t="str">
        <f t="shared" ref="D681:E681" si="679">TRIM(B681)</f>
        <v>Illinois</v>
      </c>
      <c r="E681" s="2" t="str">
        <f t="shared" si="679"/>
        <v>Chicago</v>
      </c>
    </row>
    <row r="682" spans="1:5">
      <c r="A682" s="111" t="s">
        <v>10561</v>
      </c>
      <c r="B682" s="111" t="s">
        <v>1333</v>
      </c>
      <c r="C682" s="111" t="s">
        <v>268</v>
      </c>
      <c r="D682" s="2" t="str">
        <f t="shared" ref="D682:E682" si="680">TRIM(B682)</f>
        <v>Illinois</v>
      </c>
      <c r="E682" s="2" t="str">
        <f t="shared" si="680"/>
        <v>Chicago</v>
      </c>
    </row>
    <row r="683" spans="1:5">
      <c r="A683" s="111" t="s">
        <v>10562</v>
      </c>
      <c r="B683" s="111" t="s">
        <v>1333</v>
      </c>
      <c r="C683" s="111" t="s">
        <v>268</v>
      </c>
      <c r="D683" s="2" t="str">
        <f t="shared" ref="D683:E683" si="681">TRIM(B683)</f>
        <v>Illinois</v>
      </c>
      <c r="E683" s="2" t="str">
        <f t="shared" si="681"/>
        <v>Chicago</v>
      </c>
    </row>
    <row r="684" spans="1:5">
      <c r="A684" s="111" t="s">
        <v>10564</v>
      </c>
      <c r="B684" s="111" t="s">
        <v>1333</v>
      </c>
      <c r="C684" s="111" t="s">
        <v>268</v>
      </c>
      <c r="D684" s="2" t="str">
        <f t="shared" ref="D684:E684" si="682">TRIM(B684)</f>
        <v>Illinois</v>
      </c>
      <c r="E684" s="2" t="str">
        <f t="shared" si="682"/>
        <v>Chicago</v>
      </c>
    </row>
    <row r="685" spans="1:5">
      <c r="A685" s="111" t="s">
        <v>10566</v>
      </c>
      <c r="B685" s="111" t="s">
        <v>1333</v>
      </c>
      <c r="C685" s="111" t="s">
        <v>1731</v>
      </c>
      <c r="D685" s="2" t="str">
        <f t="shared" ref="D685:E685" si="683">TRIM(B685)</f>
        <v>Illinois</v>
      </c>
      <c r="E685" s="2" t="str">
        <f t="shared" si="683"/>
        <v>Oak Park</v>
      </c>
    </row>
    <row r="686" spans="1:5">
      <c r="A686" s="111" t="s">
        <v>10568</v>
      </c>
      <c r="B686" s="111" t="s">
        <v>1333</v>
      </c>
      <c r="C686" s="111" t="s">
        <v>10569</v>
      </c>
      <c r="D686" s="2" t="str">
        <f t="shared" ref="D686:E686" si="684">TRIM(B686)</f>
        <v>Illinois</v>
      </c>
      <c r="E686" s="2" t="str">
        <f t="shared" si="684"/>
        <v>Belleville</v>
      </c>
    </row>
    <row r="687" spans="1:5">
      <c r="A687" s="111" t="s">
        <v>10571</v>
      </c>
      <c r="B687" s="111" t="s">
        <v>1333</v>
      </c>
      <c r="C687" s="111" t="s">
        <v>268</v>
      </c>
      <c r="D687" s="2" t="str">
        <f t="shared" ref="D687:E687" si="685">TRIM(B687)</f>
        <v>Illinois</v>
      </c>
      <c r="E687" s="2" t="str">
        <f t="shared" si="685"/>
        <v>Chicago</v>
      </c>
    </row>
    <row r="688" spans="1:5">
      <c r="A688" s="111" t="s">
        <v>10573</v>
      </c>
      <c r="B688" s="111" t="s">
        <v>1333</v>
      </c>
      <c r="C688" s="111" t="s">
        <v>5438</v>
      </c>
      <c r="D688" s="2" t="str">
        <f t="shared" ref="D688:E688" si="686">TRIM(B688)</f>
        <v>Illinois</v>
      </c>
      <c r="E688" s="2" t="str">
        <f t="shared" si="686"/>
        <v>Lake Forest</v>
      </c>
    </row>
    <row r="689" spans="1:5">
      <c r="A689" s="111" t="s">
        <v>10574</v>
      </c>
      <c r="B689" s="111" t="s">
        <v>1333</v>
      </c>
      <c r="C689" s="111" t="s">
        <v>353</v>
      </c>
      <c r="D689" s="2" t="str">
        <f t="shared" ref="D689:E689" si="687">TRIM(B689)</f>
        <v>Illinois</v>
      </c>
      <c r="E689" s="2" t="str">
        <f t="shared" si="687"/>
        <v>Aurora</v>
      </c>
    </row>
    <row r="690" spans="1:5">
      <c r="A690" s="111" t="s">
        <v>9425</v>
      </c>
      <c r="B690" s="111" t="s">
        <v>1333</v>
      </c>
      <c r="C690" s="111" t="s">
        <v>10576</v>
      </c>
      <c r="D690" s="2" t="str">
        <f t="shared" ref="D690:E690" si="688">TRIM(B690)</f>
        <v>Illinois</v>
      </c>
      <c r="E690" s="2" t="str">
        <f t="shared" si="688"/>
        <v>Breese</v>
      </c>
    </row>
    <row r="691" spans="1:5">
      <c r="A691" s="111" t="s">
        <v>10578</v>
      </c>
      <c r="B691" s="111" t="s">
        <v>1333</v>
      </c>
      <c r="C691" s="111" t="s">
        <v>10579</v>
      </c>
      <c r="D691" s="2" t="str">
        <f t="shared" ref="D691:E691" si="689">TRIM(B691)</f>
        <v>Illinois</v>
      </c>
      <c r="E691" s="2" t="str">
        <f t="shared" si="689"/>
        <v>Herrick</v>
      </c>
    </row>
    <row r="692" spans="1:5">
      <c r="A692" s="111" t="s">
        <v>10581</v>
      </c>
      <c r="B692" s="111" t="s">
        <v>1333</v>
      </c>
      <c r="C692" s="111" t="s">
        <v>268</v>
      </c>
      <c r="D692" s="2" t="str">
        <f t="shared" ref="D692:E692" si="690">TRIM(B692)</f>
        <v>Illinois</v>
      </c>
      <c r="E692" s="2" t="str">
        <f t="shared" si="690"/>
        <v>Chicago</v>
      </c>
    </row>
    <row r="693" spans="1:5">
      <c r="A693" s="111" t="s">
        <v>10583</v>
      </c>
      <c r="B693" s="111" t="s">
        <v>1333</v>
      </c>
      <c r="C693" s="111" t="s">
        <v>268</v>
      </c>
      <c r="D693" s="2" t="str">
        <f t="shared" ref="D693:E693" si="691">TRIM(B693)</f>
        <v>Illinois</v>
      </c>
      <c r="E693" s="2" t="str">
        <f t="shared" si="691"/>
        <v>Chicago</v>
      </c>
    </row>
    <row r="694" spans="1:5">
      <c r="A694" s="111" t="s">
        <v>10585</v>
      </c>
      <c r="B694" s="111" t="s">
        <v>1333</v>
      </c>
      <c r="C694" s="111" t="s">
        <v>268</v>
      </c>
      <c r="D694" s="2" t="str">
        <f t="shared" ref="D694:E694" si="692">TRIM(B694)</f>
        <v>Illinois</v>
      </c>
      <c r="E694" s="2" t="str">
        <f t="shared" si="692"/>
        <v>Chicago</v>
      </c>
    </row>
    <row r="695" spans="1:5">
      <c r="A695" s="111" t="s">
        <v>10586</v>
      </c>
      <c r="B695" s="111" t="s">
        <v>1333</v>
      </c>
      <c r="C695" s="111" t="s">
        <v>10587</v>
      </c>
      <c r="D695" s="2" t="str">
        <f t="shared" ref="D695:E695" si="693">TRIM(B695)</f>
        <v>Illinois</v>
      </c>
      <c r="E695" s="2" t="str">
        <f t="shared" si="693"/>
        <v>La Grange Park</v>
      </c>
    </row>
    <row r="696" spans="1:5">
      <c r="A696" s="111" t="s">
        <v>10589</v>
      </c>
      <c r="B696" s="111" t="s">
        <v>1333</v>
      </c>
      <c r="C696" s="111" t="s">
        <v>10590</v>
      </c>
      <c r="D696" s="2" t="str">
        <f t="shared" ref="D696:E696" si="694">TRIM(B696)</f>
        <v>Illinois</v>
      </c>
      <c r="E696" s="2" t="str">
        <f t="shared" si="694"/>
        <v>Winnetka</v>
      </c>
    </row>
    <row r="697" spans="1:5">
      <c r="A697" s="111" t="s">
        <v>10591</v>
      </c>
      <c r="B697" s="111" t="s">
        <v>1333</v>
      </c>
      <c r="C697" s="112" t="s">
        <v>10592</v>
      </c>
      <c r="D697" s="2" t="str">
        <f t="shared" ref="D697:E697" si="695">TRIM(B697)</f>
        <v>Illinois</v>
      </c>
      <c r="E697" s="2" t="str">
        <f t="shared" si="695"/>
        <v>Niles</v>
      </c>
    </row>
    <row r="698" spans="1:5">
      <c r="A698" s="111" t="s">
        <v>10594</v>
      </c>
      <c r="B698" s="111" t="s">
        <v>1333</v>
      </c>
      <c r="C698" s="111" t="s">
        <v>10592</v>
      </c>
      <c r="D698" s="2" t="str">
        <f t="shared" ref="D698:E698" si="696">TRIM(B698)</f>
        <v>Illinois</v>
      </c>
      <c r="E698" s="2" t="str">
        <f t="shared" si="696"/>
        <v>Niles</v>
      </c>
    </row>
    <row r="699" spans="1:5">
      <c r="A699" s="111" t="s">
        <v>10596</v>
      </c>
      <c r="B699" s="111" t="s">
        <v>1333</v>
      </c>
      <c r="C699" s="111" t="s">
        <v>8818</v>
      </c>
      <c r="D699" s="2" t="str">
        <f t="shared" ref="D699:E699" si="697">TRIM(B699)</f>
        <v>Illinois</v>
      </c>
      <c r="E699" s="2" t="str">
        <f t="shared" si="697"/>
        <v>Georgetown</v>
      </c>
    </row>
    <row r="700" spans="1:5">
      <c r="A700" s="111" t="s">
        <v>10598</v>
      </c>
      <c r="B700" s="111" t="s">
        <v>1333</v>
      </c>
      <c r="C700" s="111" t="s">
        <v>268</v>
      </c>
      <c r="D700" s="2" t="str">
        <f t="shared" ref="D700:E700" si="698">TRIM(B700)</f>
        <v>Illinois</v>
      </c>
      <c r="E700" s="2" t="str">
        <f t="shared" si="698"/>
        <v>Chicago</v>
      </c>
    </row>
    <row r="701" spans="1:5">
      <c r="A701" s="111" t="s">
        <v>10599</v>
      </c>
      <c r="B701" s="111" t="s">
        <v>1333</v>
      </c>
      <c r="C701" s="111" t="s">
        <v>2134</v>
      </c>
      <c r="D701" s="2" t="str">
        <f t="shared" ref="D701:E701" si="699">TRIM(B701)</f>
        <v>Illinois</v>
      </c>
      <c r="E701" s="2" t="str">
        <f t="shared" si="699"/>
        <v>Rockford</v>
      </c>
    </row>
    <row r="702" spans="1:5">
      <c r="A702" s="111" t="s">
        <v>10601</v>
      </c>
      <c r="B702" s="111" t="s">
        <v>1333</v>
      </c>
      <c r="C702" s="111" t="s">
        <v>1105</v>
      </c>
      <c r="D702" s="2" t="str">
        <f t="shared" ref="D702:E702" si="700">TRIM(B702)</f>
        <v>Illinois</v>
      </c>
      <c r="E702" s="2" t="str">
        <f t="shared" si="700"/>
        <v>Peoria</v>
      </c>
    </row>
    <row r="703" spans="1:5">
      <c r="A703" s="111" t="s">
        <v>10604</v>
      </c>
      <c r="B703" s="111" t="s">
        <v>1333</v>
      </c>
      <c r="C703" s="111" t="s">
        <v>268</v>
      </c>
      <c r="D703" s="2" t="str">
        <f t="shared" ref="D703:E703" si="701">TRIM(B703)</f>
        <v>Illinois</v>
      </c>
      <c r="E703" s="2" t="str">
        <f t="shared" si="701"/>
        <v>Chicago</v>
      </c>
    </row>
    <row r="704" spans="1:5">
      <c r="A704" s="111" t="s">
        <v>10606</v>
      </c>
      <c r="B704" s="111" t="s">
        <v>1333</v>
      </c>
      <c r="C704" s="111" t="s">
        <v>6455</v>
      </c>
      <c r="D704" s="2" t="str">
        <f t="shared" ref="D704:E704" si="702">TRIM(B704)</f>
        <v>Illinois</v>
      </c>
      <c r="E704" s="2" t="str">
        <f t="shared" si="702"/>
        <v>Quincy</v>
      </c>
    </row>
    <row r="705" spans="1:5">
      <c r="A705" s="111" t="s">
        <v>10608</v>
      </c>
      <c r="B705" s="111" t="s">
        <v>1333</v>
      </c>
      <c r="C705" s="111" t="s">
        <v>10609</v>
      </c>
      <c r="D705" s="2" t="str">
        <f t="shared" ref="D705:E705" si="703">TRIM(B705)</f>
        <v>Illinois</v>
      </c>
      <c r="E705" s="2" t="str">
        <f t="shared" si="703"/>
        <v>Wilmette</v>
      </c>
    </row>
    <row r="706" spans="1:5">
      <c r="A706" s="111" t="s">
        <v>10611</v>
      </c>
      <c r="B706" s="111" t="s">
        <v>1333</v>
      </c>
      <c r="C706" s="111" t="s">
        <v>268</v>
      </c>
      <c r="D706" s="2" t="str">
        <f t="shared" ref="D706:E706" si="704">TRIM(B706)</f>
        <v>Illinois</v>
      </c>
      <c r="E706" s="2" t="str">
        <f t="shared" si="704"/>
        <v>Chicago</v>
      </c>
    </row>
    <row r="707" spans="1:5">
      <c r="A707" s="111" t="s">
        <v>10612</v>
      </c>
      <c r="B707" s="111" t="s">
        <v>1333</v>
      </c>
      <c r="C707" s="111" t="s">
        <v>2134</v>
      </c>
      <c r="D707" s="2" t="str">
        <f t="shared" ref="D707:E707" si="705">TRIM(B707)</f>
        <v>Illinois</v>
      </c>
      <c r="E707" s="2" t="str">
        <f t="shared" si="705"/>
        <v>Rockford</v>
      </c>
    </row>
    <row r="708" spans="1:5">
      <c r="A708" s="111" t="s">
        <v>10615</v>
      </c>
      <c r="B708" s="111" t="s">
        <v>1333</v>
      </c>
      <c r="C708" s="111" t="s">
        <v>353</v>
      </c>
      <c r="D708" s="2" t="str">
        <f t="shared" ref="D708:E708" si="706">TRIM(B708)</f>
        <v>Illinois</v>
      </c>
      <c r="E708" s="2" t="str">
        <f t="shared" si="706"/>
        <v>Aurora</v>
      </c>
    </row>
    <row r="709" spans="1:5">
      <c r="A709" s="111" t="s">
        <v>10618</v>
      </c>
      <c r="B709" s="111" t="s">
        <v>1333</v>
      </c>
      <c r="C709" s="111" t="s">
        <v>1141</v>
      </c>
      <c r="D709" s="2" t="str">
        <f t="shared" ref="D709:E709" si="707">TRIM(B709)</f>
        <v>Illinois</v>
      </c>
      <c r="E709" s="2" t="str">
        <f t="shared" si="707"/>
        <v>Evanston</v>
      </c>
    </row>
    <row r="710" spans="1:5">
      <c r="A710" s="111" t="s">
        <v>10621</v>
      </c>
      <c r="B710" s="111" t="s">
        <v>1333</v>
      </c>
      <c r="C710" s="111" t="s">
        <v>416</v>
      </c>
      <c r="D710" s="2" t="str">
        <f t="shared" ref="D710:E710" si="708">TRIM(B710)</f>
        <v>Illinois</v>
      </c>
      <c r="E710" s="2" t="str">
        <f t="shared" si="708"/>
        <v>Springfield</v>
      </c>
    </row>
    <row r="711" spans="1:5">
      <c r="A711" s="111" t="s">
        <v>10624</v>
      </c>
      <c r="B711" s="111" t="s">
        <v>1333</v>
      </c>
      <c r="C711" s="111" t="s">
        <v>10625</v>
      </c>
      <c r="D711" s="2" t="str">
        <f t="shared" ref="D711:E711" si="709">TRIM(B711)</f>
        <v>Illinois</v>
      </c>
      <c r="E711" s="2" t="str">
        <f t="shared" si="709"/>
        <v>Flanagan</v>
      </c>
    </row>
    <row r="712" spans="1:5">
      <c r="A712" s="111" t="s">
        <v>9584</v>
      </c>
      <c r="B712" s="111" t="s">
        <v>1333</v>
      </c>
      <c r="C712" s="111" t="s">
        <v>462</v>
      </c>
      <c r="D712" s="2" t="str">
        <f t="shared" ref="D712:E712" si="710">TRIM(B712)</f>
        <v>Illinois</v>
      </c>
      <c r="E712" s="2" t="str">
        <f t="shared" si="710"/>
        <v>Effingham</v>
      </c>
    </row>
    <row r="713" spans="1:5">
      <c r="A713" s="111" t="s">
        <v>10628</v>
      </c>
      <c r="B713" s="111" t="s">
        <v>1333</v>
      </c>
      <c r="C713" s="111" t="s">
        <v>10629</v>
      </c>
      <c r="D713" s="2" t="str">
        <f t="shared" ref="D713:E713" si="711">TRIM(B713)</f>
        <v>Illinois</v>
      </c>
      <c r="E713" s="2" t="str">
        <f t="shared" si="711"/>
        <v>Peru</v>
      </c>
    </row>
    <row r="714" spans="1:5">
      <c r="A714" s="111" t="s">
        <v>10630</v>
      </c>
      <c r="B714" s="111" t="s">
        <v>1333</v>
      </c>
      <c r="C714" s="111" t="s">
        <v>268</v>
      </c>
      <c r="D714" s="2" t="str">
        <f t="shared" ref="D714:E714" si="712">TRIM(B714)</f>
        <v>Illinois</v>
      </c>
      <c r="E714" s="2" t="str">
        <f t="shared" si="712"/>
        <v>Chicago</v>
      </c>
    </row>
    <row r="715" spans="1:5">
      <c r="A715" s="111" t="s">
        <v>9595</v>
      </c>
      <c r="B715" s="111" t="s">
        <v>1333</v>
      </c>
      <c r="C715" s="111" t="s">
        <v>10632</v>
      </c>
      <c r="D715" s="2" t="str">
        <f t="shared" ref="D715:E715" si="713">TRIM(B715)</f>
        <v>Illinois</v>
      </c>
      <c r="E715" s="2" t="str">
        <f t="shared" si="713"/>
        <v>Wheaton</v>
      </c>
    </row>
    <row r="716" spans="1:5">
      <c r="A716" s="111" t="s">
        <v>10634</v>
      </c>
      <c r="B716" s="111" t="s">
        <v>1333</v>
      </c>
      <c r="C716" s="111" t="s">
        <v>268</v>
      </c>
      <c r="D716" s="2" t="str">
        <f t="shared" ref="D716:E716" si="714">TRIM(B716)</f>
        <v>Illinois</v>
      </c>
      <c r="E716" s="2" t="str">
        <f t="shared" si="714"/>
        <v>Chicago</v>
      </c>
    </row>
    <row r="717" spans="1:5">
      <c r="A717" s="111" t="s">
        <v>10637</v>
      </c>
      <c r="B717" s="111" t="s">
        <v>1333</v>
      </c>
      <c r="C717" s="111" t="s">
        <v>4526</v>
      </c>
      <c r="D717" s="2" t="str">
        <f t="shared" ref="D717:E717" si="715">TRIM(B717)</f>
        <v>Illinois</v>
      </c>
      <c r="E717" s="2" t="str">
        <f t="shared" si="715"/>
        <v>Burbank</v>
      </c>
    </row>
    <row r="718" spans="1:5">
      <c r="A718" s="111" t="s">
        <v>10638</v>
      </c>
      <c r="B718" s="111" t="s">
        <v>1333</v>
      </c>
      <c r="C718" s="111" t="s">
        <v>268</v>
      </c>
      <c r="D718" s="2" t="str">
        <f t="shared" ref="D718:E718" si="716">TRIM(B718)</f>
        <v>Illinois</v>
      </c>
      <c r="E718" s="2" t="str">
        <f t="shared" si="716"/>
        <v>Chicago</v>
      </c>
    </row>
    <row r="719" spans="1:5">
      <c r="A719" s="111" t="s">
        <v>10640</v>
      </c>
      <c r="B719" s="111" t="s">
        <v>1333</v>
      </c>
      <c r="C719" s="113" t="s">
        <v>10641</v>
      </c>
      <c r="D719" s="2" t="str">
        <f t="shared" ref="D719:E719" si="717">TRIM(B719)</f>
        <v>Illinois</v>
      </c>
      <c r="E719" s="2" t="str">
        <f t="shared" si="717"/>
        <v>Arlington Heights</v>
      </c>
    </row>
    <row r="720" spans="1:5">
      <c r="A720" s="111" t="s">
        <v>10643</v>
      </c>
      <c r="B720" s="111" t="s">
        <v>1333</v>
      </c>
      <c r="C720" s="113" t="s">
        <v>10644</v>
      </c>
      <c r="D720" s="2" t="str">
        <f t="shared" ref="D720:E720" si="718">TRIM(B720)</f>
        <v>Illinois</v>
      </c>
      <c r="E720" s="2" t="str">
        <f t="shared" si="718"/>
        <v>Elk Grove Village</v>
      </c>
    </row>
    <row r="721" spans="1:5">
      <c r="A721" s="111" t="s">
        <v>10646</v>
      </c>
      <c r="B721" s="111" t="s">
        <v>1333</v>
      </c>
      <c r="C721" s="111" t="s">
        <v>268</v>
      </c>
      <c r="D721" s="2" t="str">
        <f t="shared" ref="D721:E721" si="719">TRIM(B721)</f>
        <v>Illinois</v>
      </c>
      <c r="E721" s="2" t="str">
        <f t="shared" si="719"/>
        <v>Chicago</v>
      </c>
    </row>
    <row r="722" spans="1:5">
      <c r="A722" s="111" t="s">
        <v>10649</v>
      </c>
      <c r="B722" s="111" t="s">
        <v>1333</v>
      </c>
      <c r="C722" s="111" t="s">
        <v>400</v>
      </c>
      <c r="D722" s="2" t="str">
        <f t="shared" ref="D722:E722" si="720">TRIM(B722)</f>
        <v>Illinois</v>
      </c>
      <c r="E722" s="2" t="str">
        <f t="shared" si="720"/>
        <v>Champaign</v>
      </c>
    </row>
    <row r="723" spans="1:5">
      <c r="A723" s="111" t="s">
        <v>10651</v>
      </c>
      <c r="B723" s="111" t="s">
        <v>1333</v>
      </c>
      <c r="C723" s="111" t="s">
        <v>10652</v>
      </c>
      <c r="D723" s="2" t="str">
        <f t="shared" ref="D723:E723" si="721">TRIM(B723)</f>
        <v>Illinois</v>
      </c>
      <c r="E723" s="2" t="str">
        <f t="shared" si="721"/>
        <v>Des Plaines</v>
      </c>
    </row>
    <row r="724" spans="1:5">
      <c r="A724" s="111" t="s">
        <v>10655</v>
      </c>
      <c r="B724" s="111" t="s">
        <v>1333</v>
      </c>
      <c r="C724" s="111" t="s">
        <v>10632</v>
      </c>
      <c r="D724" s="2" t="str">
        <f t="shared" ref="D724:E724" si="722">TRIM(B724)</f>
        <v>Illinois</v>
      </c>
      <c r="E724" s="2" t="str">
        <f t="shared" si="722"/>
        <v>Wheaton</v>
      </c>
    </row>
    <row r="725" spans="1:5">
      <c r="A725" s="111" t="s">
        <v>10658</v>
      </c>
      <c r="B725" s="111" t="s">
        <v>1333</v>
      </c>
      <c r="C725" s="111" t="s">
        <v>268</v>
      </c>
      <c r="D725" s="2" t="str">
        <f t="shared" ref="D725:E725" si="723">TRIM(B725)</f>
        <v>Illinois</v>
      </c>
      <c r="E725" s="2" t="str">
        <f t="shared" si="723"/>
        <v>Chicago</v>
      </c>
    </row>
    <row r="726" spans="1:5">
      <c r="A726" s="111" t="s">
        <v>10659</v>
      </c>
      <c r="B726" s="111" t="s">
        <v>1333</v>
      </c>
      <c r="C726" s="111" t="s">
        <v>10660</v>
      </c>
      <c r="D726" s="2" t="str">
        <f t="shared" ref="D726:E726" si="724">TRIM(B726)</f>
        <v>Illinois</v>
      </c>
      <c r="E726" s="2" t="str">
        <f t="shared" si="724"/>
        <v>Bridgeview</v>
      </c>
    </row>
    <row r="727" spans="1:5">
      <c r="A727" s="111" t="s">
        <v>10661</v>
      </c>
      <c r="B727" s="111" t="s">
        <v>1333</v>
      </c>
      <c r="C727" s="111" t="s">
        <v>10662</v>
      </c>
      <c r="D727" s="2" t="str">
        <f t="shared" ref="D727:E727" si="725">TRIM(B727)</f>
        <v>Illinois</v>
      </c>
      <c r="E727" s="2" t="str">
        <f t="shared" si="725"/>
        <v>Yorkville</v>
      </c>
    </row>
    <row r="728" spans="1:5">
      <c r="A728" s="111" t="s">
        <v>10664</v>
      </c>
      <c r="B728" s="111" t="s">
        <v>1334</v>
      </c>
      <c r="C728" s="111" t="s">
        <v>10665</v>
      </c>
      <c r="D728" s="2" t="str">
        <f t="shared" ref="D728:E728" si="726">TRIM(B728)</f>
        <v>Indiana</v>
      </c>
      <c r="E728" s="2" t="str">
        <f t="shared" si="726"/>
        <v>Merrillville</v>
      </c>
    </row>
    <row r="729" spans="1:5">
      <c r="A729" s="111" t="s">
        <v>10667</v>
      </c>
      <c r="B729" s="111" t="s">
        <v>1334</v>
      </c>
      <c r="C729" s="111" t="s">
        <v>294</v>
      </c>
      <c r="D729" s="2" t="str">
        <f t="shared" ref="D729:E729" si="727">TRIM(B729)</f>
        <v>Indiana</v>
      </c>
      <c r="E729" s="2" t="str">
        <f t="shared" si="727"/>
        <v>Indianapolis</v>
      </c>
    </row>
    <row r="730" spans="1:5">
      <c r="A730" s="111" t="s">
        <v>10670</v>
      </c>
      <c r="B730" s="111" t="s">
        <v>1334</v>
      </c>
      <c r="C730" s="111" t="s">
        <v>10672</v>
      </c>
      <c r="D730" s="2" t="str">
        <f t="shared" ref="D730:E730" si="728">TRIM(B730)</f>
        <v>Indiana</v>
      </c>
      <c r="E730" s="2" t="str">
        <f t="shared" si="728"/>
        <v>Fort Wayne</v>
      </c>
    </row>
    <row r="731" spans="1:5">
      <c r="A731" s="111" t="s">
        <v>10673</v>
      </c>
      <c r="B731" s="111" t="s">
        <v>1334</v>
      </c>
      <c r="C731" s="111" t="s">
        <v>10672</v>
      </c>
      <c r="D731" s="2" t="str">
        <f t="shared" ref="D731:E731" si="729">TRIM(B731)</f>
        <v>Indiana</v>
      </c>
      <c r="E731" s="2" t="str">
        <f t="shared" si="729"/>
        <v>Fort Wayne</v>
      </c>
    </row>
    <row r="732" spans="1:5">
      <c r="A732" s="111" t="s">
        <v>9754</v>
      </c>
      <c r="B732" s="111" t="s">
        <v>1334</v>
      </c>
      <c r="C732" s="111" t="s">
        <v>10672</v>
      </c>
      <c r="D732" s="2" t="str">
        <f t="shared" ref="D732:E732" si="730">TRIM(B732)</f>
        <v>Indiana</v>
      </c>
      <c r="E732" s="2" t="str">
        <f t="shared" si="730"/>
        <v>Fort Wayne</v>
      </c>
    </row>
    <row r="733" spans="1:5">
      <c r="A733" s="111" t="s">
        <v>10678</v>
      </c>
      <c r="B733" s="111" t="s">
        <v>1334</v>
      </c>
      <c r="C733" s="111" t="s">
        <v>8782</v>
      </c>
      <c r="D733" s="2" t="str">
        <f t="shared" ref="D733:E733" si="731">TRIM(B733)</f>
        <v>Indiana</v>
      </c>
      <c r="E733" s="2" t="str">
        <f t="shared" si="731"/>
        <v>Wolcott</v>
      </c>
    </row>
    <row r="734" spans="1:5">
      <c r="A734" s="111" t="s">
        <v>10680</v>
      </c>
      <c r="B734" s="111" t="s">
        <v>1334</v>
      </c>
      <c r="C734" s="111" t="s">
        <v>10681</v>
      </c>
      <c r="D734" s="2" t="str">
        <f t="shared" ref="D734:E734" si="732">TRIM(B734)</f>
        <v>Indiana</v>
      </c>
      <c r="E734" s="2" t="str">
        <f t="shared" si="732"/>
        <v>Culver</v>
      </c>
    </row>
    <row r="735" spans="1:5">
      <c r="A735" s="111" t="s">
        <v>10683</v>
      </c>
      <c r="B735" s="111" t="s">
        <v>1334</v>
      </c>
      <c r="C735" s="111" t="s">
        <v>4564</v>
      </c>
      <c r="D735" s="2" t="str">
        <f t="shared" ref="D735:E735" si="733">TRIM(B735)</f>
        <v>Indiana</v>
      </c>
      <c r="E735" s="2" t="str">
        <f t="shared" si="733"/>
        <v>Fishers</v>
      </c>
    </row>
    <row r="736" spans="1:5">
      <c r="A736" s="111" t="s">
        <v>10684</v>
      </c>
      <c r="B736" s="111" t="s">
        <v>1334</v>
      </c>
      <c r="C736" s="111" t="s">
        <v>10685</v>
      </c>
      <c r="D736" s="2" t="str">
        <f t="shared" ref="D736:E736" si="734">TRIM(B736)</f>
        <v>Indiana</v>
      </c>
      <c r="E736" s="2" t="str">
        <f t="shared" si="734"/>
        <v>Evansville</v>
      </c>
    </row>
    <row r="737" spans="1:5">
      <c r="A737" s="111" t="s">
        <v>10688</v>
      </c>
      <c r="B737" s="111" t="s">
        <v>1334</v>
      </c>
      <c r="C737" s="111" t="s">
        <v>506</v>
      </c>
      <c r="D737" s="2" t="str">
        <f t="shared" ref="D737:E737" si="735">TRIM(B737)</f>
        <v>Indiana</v>
      </c>
      <c r="E737" s="2" t="str">
        <f t="shared" si="735"/>
        <v>Lexington</v>
      </c>
    </row>
    <row r="738" spans="1:5">
      <c r="A738" s="111" t="s">
        <v>10690</v>
      </c>
      <c r="B738" s="111" t="s">
        <v>1334</v>
      </c>
      <c r="C738" s="111" t="s">
        <v>10691</v>
      </c>
      <c r="D738" s="2" t="str">
        <f t="shared" ref="D738:E738" si="736">TRIM(B738)</f>
        <v>Indiana</v>
      </c>
      <c r="E738" s="2" t="str">
        <f t="shared" si="736"/>
        <v>Cicero</v>
      </c>
    </row>
    <row r="739" spans="1:5">
      <c r="A739" s="111" t="s">
        <v>10692</v>
      </c>
      <c r="B739" s="111" t="s">
        <v>1334</v>
      </c>
      <c r="C739" s="111" t="s">
        <v>294</v>
      </c>
      <c r="D739" s="2" t="str">
        <f t="shared" ref="D739:E739" si="737">TRIM(B739)</f>
        <v>Indiana</v>
      </c>
      <c r="E739" s="2" t="str">
        <f t="shared" si="737"/>
        <v>Indianapolis</v>
      </c>
    </row>
    <row r="740" spans="1:5">
      <c r="A740" s="76" t="s">
        <v>10694</v>
      </c>
      <c r="B740" s="111" t="s">
        <v>1334</v>
      </c>
      <c r="C740" s="111" t="s">
        <v>3903</v>
      </c>
      <c r="D740" s="2" t="str">
        <f t="shared" ref="D740:E740" si="738">TRIM(B740)</f>
        <v>Indiana</v>
      </c>
      <c r="E740" s="2" t="str">
        <f t="shared" si="738"/>
        <v>Jonesboro</v>
      </c>
    </row>
    <row r="741" spans="1:5">
      <c r="A741" s="111" t="s">
        <v>10696</v>
      </c>
      <c r="B741" s="111" t="s">
        <v>1334</v>
      </c>
      <c r="C741" s="111" t="s">
        <v>10697</v>
      </c>
      <c r="D741" s="2" t="str">
        <f t="shared" ref="D741:E741" si="739">TRIM(B741)</f>
        <v>Indiana</v>
      </c>
      <c r="E741" s="2" t="str">
        <f t="shared" si="739"/>
        <v>Laporte</v>
      </c>
    </row>
    <row r="742" spans="1:5">
      <c r="A742" s="111" t="s">
        <v>10698</v>
      </c>
      <c r="B742" s="111" t="s">
        <v>1334</v>
      </c>
      <c r="C742" s="111" t="s">
        <v>10699</v>
      </c>
      <c r="D742" s="2" t="str">
        <f t="shared" ref="D742:E742" si="740">TRIM(B742)</f>
        <v>Indiana</v>
      </c>
      <c r="E742" s="2" t="str">
        <f t="shared" si="740"/>
        <v>Mishawaka</v>
      </c>
    </row>
    <row r="743" spans="1:5">
      <c r="A743" s="111" t="s">
        <v>9425</v>
      </c>
      <c r="B743" s="111" t="s">
        <v>1334</v>
      </c>
      <c r="C743" s="111" t="s">
        <v>10685</v>
      </c>
      <c r="D743" s="2" t="str">
        <f t="shared" ref="D743:E743" si="741">TRIM(B743)</f>
        <v>Indiana</v>
      </c>
      <c r="E743" s="2" t="str">
        <f t="shared" si="741"/>
        <v>Evansville</v>
      </c>
    </row>
    <row r="744" spans="1:5">
      <c r="A744" s="111" t="s">
        <v>10702</v>
      </c>
      <c r="B744" s="111" t="s">
        <v>1334</v>
      </c>
      <c r="C744" s="111" t="s">
        <v>10703</v>
      </c>
      <c r="D744" s="2" t="str">
        <f t="shared" ref="D744:E744" si="742">TRIM(B744)</f>
        <v>Indiana</v>
      </c>
      <c r="E744" s="2" t="str">
        <f t="shared" si="742"/>
        <v>Rossville</v>
      </c>
    </row>
    <row r="745" spans="1:5">
      <c r="A745" s="111" t="s">
        <v>10705</v>
      </c>
      <c r="B745" s="111" t="s">
        <v>1334</v>
      </c>
      <c r="C745" s="111" t="s">
        <v>10706</v>
      </c>
      <c r="D745" s="2" t="str">
        <f t="shared" ref="D745:E745" si="743">TRIM(B745)</f>
        <v>Indiana</v>
      </c>
      <c r="E745" s="2" t="str">
        <f t="shared" si="743"/>
        <v>Oldenburg</v>
      </c>
    </row>
    <row r="746" spans="1:5">
      <c r="A746" s="111" t="s">
        <v>10708</v>
      </c>
      <c r="B746" s="111" t="s">
        <v>1334</v>
      </c>
      <c r="C746" s="111" t="s">
        <v>3693</v>
      </c>
      <c r="D746" s="2" t="str">
        <f t="shared" ref="D746:E746" si="744">TRIM(B746)</f>
        <v>Indiana</v>
      </c>
      <c r="E746" s="2" t="str">
        <f t="shared" si="744"/>
        <v>Clarksville</v>
      </c>
    </row>
    <row r="747" spans="1:5">
      <c r="A747" s="111" t="s">
        <v>10709</v>
      </c>
      <c r="B747" s="111" t="s">
        <v>1334</v>
      </c>
      <c r="C747" s="111" t="s">
        <v>294</v>
      </c>
      <c r="D747" s="2" t="str">
        <f t="shared" ref="D747:E747" si="745">TRIM(B747)</f>
        <v>Indiana</v>
      </c>
      <c r="E747" s="2" t="str">
        <f t="shared" si="745"/>
        <v>Indianapolis</v>
      </c>
    </row>
    <row r="748" spans="1:5">
      <c r="A748" s="111" t="s">
        <v>10711</v>
      </c>
      <c r="B748" s="111" t="s">
        <v>1334</v>
      </c>
      <c r="C748" s="111" t="s">
        <v>10685</v>
      </c>
      <c r="D748" s="2" t="str">
        <f t="shared" ref="D748:E748" si="746">TRIM(B748)</f>
        <v>Indiana</v>
      </c>
      <c r="E748" s="2" t="str">
        <f t="shared" si="746"/>
        <v>Evansville</v>
      </c>
    </row>
    <row r="749" spans="1:5">
      <c r="A749" s="111" t="s">
        <v>10712</v>
      </c>
      <c r="B749" s="111" t="s">
        <v>1334</v>
      </c>
      <c r="C749" s="111" t="s">
        <v>10713</v>
      </c>
      <c r="D749" s="2" t="str">
        <f t="shared" ref="D749:E749" si="747">TRIM(B749)</f>
        <v>Indiana</v>
      </c>
      <c r="E749" s="2" t="str">
        <f t="shared" si="747"/>
        <v>Vincennes</v>
      </c>
    </row>
    <row r="750" spans="1:5">
      <c r="A750" s="111" t="s">
        <v>10716</v>
      </c>
      <c r="B750" s="111" t="s">
        <v>1334</v>
      </c>
      <c r="C750" s="111" t="s">
        <v>294</v>
      </c>
      <c r="D750" s="2" t="str">
        <f t="shared" ref="D750:E750" si="748">TRIM(B750)</f>
        <v>Indiana</v>
      </c>
      <c r="E750" s="2" t="str">
        <f t="shared" si="748"/>
        <v>Indianapolis</v>
      </c>
    </row>
    <row r="751" spans="1:5">
      <c r="A751" s="111" t="s">
        <v>10719</v>
      </c>
      <c r="B751" s="111" t="s">
        <v>1334</v>
      </c>
      <c r="C751" s="111" t="s">
        <v>294</v>
      </c>
      <c r="D751" s="2" t="str">
        <f t="shared" ref="D751:E751" si="749">TRIM(B751)</f>
        <v>Indiana</v>
      </c>
      <c r="E751" s="2" t="str">
        <f t="shared" si="749"/>
        <v>Indianapolis</v>
      </c>
    </row>
    <row r="752" spans="1:5">
      <c r="A752" s="111" t="s">
        <v>10721</v>
      </c>
      <c r="B752" s="111" t="s">
        <v>1334</v>
      </c>
      <c r="C752" s="111" t="s">
        <v>294</v>
      </c>
      <c r="D752" s="2" t="str">
        <f t="shared" ref="D752:E752" si="750">TRIM(B752)</f>
        <v>Indiana</v>
      </c>
      <c r="E752" s="2" t="str">
        <f t="shared" si="750"/>
        <v>Indianapolis</v>
      </c>
    </row>
    <row r="753" spans="1:5">
      <c r="A753" s="111" t="s">
        <v>10724</v>
      </c>
      <c r="B753" s="111" t="s">
        <v>1334</v>
      </c>
      <c r="C753" s="111" t="s">
        <v>488</v>
      </c>
      <c r="D753" s="2" t="str">
        <f t="shared" ref="D753:E753" si="751">TRIM(B753)</f>
        <v>Indiana</v>
      </c>
      <c r="E753" s="2" t="str">
        <f t="shared" si="751"/>
        <v>Madison</v>
      </c>
    </row>
    <row r="754" spans="1:5">
      <c r="A754" s="111" t="s">
        <v>9606</v>
      </c>
      <c r="B754" s="111" t="s">
        <v>1334</v>
      </c>
      <c r="C754" s="111" t="s">
        <v>10727</v>
      </c>
      <c r="D754" s="2" t="str">
        <f t="shared" ref="D754:E754" si="752">TRIM(B754)</f>
        <v>Indiana</v>
      </c>
      <c r="E754" s="2" t="str">
        <f t="shared" si="752"/>
        <v>South Bend</v>
      </c>
    </row>
    <row r="755" spans="1:5">
      <c r="A755" s="111" t="s">
        <v>10728</v>
      </c>
      <c r="B755" s="111" t="s">
        <v>1334</v>
      </c>
      <c r="C755" s="111" t="s">
        <v>10730</v>
      </c>
      <c r="D755" s="2" t="str">
        <f t="shared" ref="D755:E755" si="753">TRIM(B755)</f>
        <v>Indiana</v>
      </c>
      <c r="E755" s="2" t="str">
        <f t="shared" si="753"/>
        <v>Noblesville</v>
      </c>
    </row>
    <row r="756" spans="1:5">
      <c r="A756" s="111" t="s">
        <v>10731</v>
      </c>
      <c r="B756" s="111" t="s">
        <v>1334</v>
      </c>
      <c r="C756" s="111" t="s">
        <v>542</v>
      </c>
      <c r="D756" s="2" t="str">
        <f t="shared" ref="D756:E756" si="754">TRIM(B756)</f>
        <v>Indiana</v>
      </c>
      <c r="E756" s="2" t="str">
        <f t="shared" si="754"/>
        <v>Carmel</v>
      </c>
    </row>
    <row r="757" spans="1:5">
      <c r="A757" s="111" t="s">
        <v>10734</v>
      </c>
      <c r="B757" s="111" t="s">
        <v>1335</v>
      </c>
      <c r="C757" s="111" t="s">
        <v>10735</v>
      </c>
      <c r="D757" s="2" t="str">
        <f t="shared" ref="D757:E757" si="755">TRIM(B757)</f>
        <v>Iowa</v>
      </c>
      <c r="E757" s="2" t="str">
        <f t="shared" si="755"/>
        <v>Algona</v>
      </c>
    </row>
    <row r="758" spans="1:5">
      <c r="A758" s="111" t="s">
        <v>10738</v>
      </c>
      <c r="B758" s="111" t="s">
        <v>1335</v>
      </c>
      <c r="C758" s="111" t="s">
        <v>10739</v>
      </c>
      <c r="D758" s="2" t="str">
        <f t="shared" ref="D758:E758" si="756">TRIM(B758)</f>
        <v>Iowa</v>
      </c>
      <c r="E758" s="2" t="str">
        <f t="shared" si="756"/>
        <v>Council Bluffs</v>
      </c>
    </row>
    <row r="759" spans="1:5">
      <c r="A759" s="111" t="s">
        <v>10743</v>
      </c>
      <c r="B759" s="111" t="s">
        <v>1335</v>
      </c>
      <c r="C759" s="111" t="s">
        <v>7667</v>
      </c>
      <c r="D759" s="2" t="str">
        <f t="shared" ref="D759:E759" si="757">TRIM(B759)</f>
        <v>Iowa</v>
      </c>
      <c r="E759" s="2" t="str">
        <f t="shared" si="757"/>
        <v>Burlington</v>
      </c>
    </row>
    <row r="760" spans="1:5">
      <c r="A760" s="111" t="s">
        <v>10746</v>
      </c>
      <c r="B760" s="111" t="s">
        <v>1335</v>
      </c>
      <c r="C760" s="111" t="s">
        <v>7667</v>
      </c>
      <c r="D760" s="2" t="str">
        <f t="shared" ref="D760:E760" si="758">TRIM(B760)</f>
        <v>Iowa</v>
      </c>
      <c r="E760" s="2" t="str">
        <f t="shared" si="758"/>
        <v>Burlington</v>
      </c>
    </row>
    <row r="761" spans="1:5">
      <c r="A761" s="111" t="s">
        <v>10749</v>
      </c>
      <c r="B761" s="111" t="s">
        <v>1335</v>
      </c>
      <c r="C761" s="111" t="s">
        <v>10750</v>
      </c>
      <c r="D761" s="2" t="str">
        <f t="shared" ref="D761:E761" si="759">TRIM(B761)</f>
        <v>Iowa</v>
      </c>
      <c r="E761" s="2" t="str">
        <f t="shared" si="759"/>
        <v>Clarinda</v>
      </c>
    </row>
    <row r="762" spans="1:5">
      <c r="A762" s="111" t="s">
        <v>10752</v>
      </c>
      <c r="B762" s="111" t="s">
        <v>1335</v>
      </c>
      <c r="C762" s="111" t="s">
        <v>10753</v>
      </c>
      <c r="D762" s="2" t="str">
        <f t="shared" ref="D762:E762" si="760">TRIM(B762)</f>
        <v>Iowa</v>
      </c>
      <c r="E762" s="2" t="str">
        <f t="shared" si="760"/>
        <v>Kalona</v>
      </c>
    </row>
    <row r="763" spans="1:5">
      <c r="A763" s="111" t="s">
        <v>10754</v>
      </c>
      <c r="B763" s="111" t="s">
        <v>1335</v>
      </c>
      <c r="C763" s="111" t="s">
        <v>10755</v>
      </c>
      <c r="D763" s="2" t="str">
        <f t="shared" ref="D763:E763" si="761">TRIM(B763)</f>
        <v>Iowa</v>
      </c>
      <c r="E763" s="2" t="str">
        <f t="shared" si="761"/>
        <v>Bettendorf</v>
      </c>
    </row>
    <row r="764" spans="1:5">
      <c r="A764" s="111" t="s">
        <v>10756</v>
      </c>
      <c r="B764" s="111" t="s">
        <v>1335</v>
      </c>
      <c r="C764" s="111" t="s">
        <v>10755</v>
      </c>
      <c r="D764" s="2" t="str">
        <f t="shared" ref="D764:E764" si="762">TRIM(B764)</f>
        <v>Iowa</v>
      </c>
      <c r="E764" s="2" t="str">
        <f t="shared" si="762"/>
        <v>Bettendorf</v>
      </c>
    </row>
    <row r="765" spans="1:5">
      <c r="A765" s="111" t="s">
        <v>10757</v>
      </c>
      <c r="B765" s="111" t="s">
        <v>1335</v>
      </c>
      <c r="C765" s="111" t="s">
        <v>10759</v>
      </c>
      <c r="D765" s="2" t="str">
        <f t="shared" ref="D765:E765" si="763">TRIM(B765)</f>
        <v>Iowa</v>
      </c>
      <c r="E765" s="2" t="str">
        <f t="shared" si="763"/>
        <v>Remsen</v>
      </c>
    </row>
    <row r="766" spans="1:5">
      <c r="A766" s="111" t="s">
        <v>10761</v>
      </c>
      <c r="B766" s="111" t="s">
        <v>1335</v>
      </c>
      <c r="C766" s="111" t="s">
        <v>10759</v>
      </c>
      <c r="D766" s="2" t="str">
        <f t="shared" ref="D766:E766" si="764">TRIM(B766)</f>
        <v>Iowa</v>
      </c>
      <c r="E766" s="2" t="str">
        <f t="shared" si="764"/>
        <v>Remsen</v>
      </c>
    </row>
    <row r="767" spans="1:5">
      <c r="A767" s="111" t="s">
        <v>9842</v>
      </c>
      <c r="B767" s="111" t="s">
        <v>1335</v>
      </c>
      <c r="C767" s="111" t="s">
        <v>10762</v>
      </c>
      <c r="D767" s="2" t="str">
        <f t="shared" ref="D767:E767" si="765">TRIM(B767)</f>
        <v>Iowa</v>
      </c>
      <c r="E767" s="2" t="str">
        <f t="shared" si="765"/>
        <v>Cedar Rapids</v>
      </c>
    </row>
    <row r="768" spans="1:5">
      <c r="A768" s="111" t="s">
        <v>10763</v>
      </c>
      <c r="B768" s="111" t="s">
        <v>1337</v>
      </c>
      <c r="C768" s="111" t="s">
        <v>10765</v>
      </c>
      <c r="D768" s="2" t="str">
        <f t="shared" ref="D768:E768" si="766">TRIM(B768)</f>
        <v>Kansas</v>
      </c>
      <c r="E768" s="2" t="str">
        <f t="shared" si="766"/>
        <v>Elbing</v>
      </c>
    </row>
    <row r="769" spans="1:5">
      <c r="A769" s="111" t="s">
        <v>10766</v>
      </c>
      <c r="B769" s="111" t="s">
        <v>1337</v>
      </c>
      <c r="C769" s="111" t="s">
        <v>10767</v>
      </c>
      <c r="D769" s="2" t="str">
        <f t="shared" ref="D769:E769" si="767">TRIM(B769)</f>
        <v>Kansas</v>
      </c>
      <c r="E769" s="2" t="str">
        <f t="shared" si="767"/>
        <v>Roeland Park</v>
      </c>
    </row>
    <row r="770" spans="1:5">
      <c r="A770" s="111" t="s">
        <v>10769</v>
      </c>
      <c r="B770" s="111" t="s">
        <v>1337</v>
      </c>
      <c r="C770" s="111" t="s">
        <v>5267</v>
      </c>
      <c r="D770" s="2" t="str">
        <f t="shared" ref="D770:E770" si="768">TRIM(B770)</f>
        <v>Kansas</v>
      </c>
      <c r="E770" s="2" t="str">
        <f t="shared" si="768"/>
        <v>Lawrence</v>
      </c>
    </row>
    <row r="771" spans="1:5">
      <c r="A771" s="111" t="s">
        <v>10772</v>
      </c>
      <c r="B771" s="111" t="s">
        <v>1337</v>
      </c>
      <c r="C771" s="111" t="s">
        <v>351</v>
      </c>
      <c r="D771" s="2" t="str">
        <f t="shared" ref="D771:E771" si="769">TRIM(B771)</f>
        <v>Kansas</v>
      </c>
      <c r="E771" s="2" t="str">
        <f t="shared" si="769"/>
        <v>Kansas City</v>
      </c>
    </row>
    <row r="772" spans="1:5">
      <c r="A772" s="111" t="s">
        <v>10776</v>
      </c>
      <c r="B772" s="111" t="s">
        <v>1337</v>
      </c>
      <c r="C772" s="111" t="s">
        <v>1202</v>
      </c>
      <c r="D772" s="2" t="str">
        <f t="shared" ref="D772:E772" si="770">TRIM(B772)</f>
        <v>Kansas</v>
      </c>
      <c r="E772" s="2" t="str">
        <f t="shared" si="770"/>
        <v>Wichita</v>
      </c>
    </row>
    <row r="773" spans="1:5">
      <c r="A773" s="111" t="s">
        <v>10778</v>
      </c>
      <c r="B773" s="111" t="s">
        <v>1337</v>
      </c>
      <c r="C773" s="111" t="s">
        <v>1227</v>
      </c>
      <c r="D773" s="2" t="str">
        <f t="shared" ref="D773:E773" si="771">TRIM(B773)</f>
        <v>Kansas</v>
      </c>
      <c r="E773" s="2" t="str">
        <f t="shared" si="771"/>
        <v>Overland Park</v>
      </c>
    </row>
    <row r="774" spans="1:5">
      <c r="A774" s="111" t="s">
        <v>10781</v>
      </c>
      <c r="B774" s="111" t="s">
        <v>1337</v>
      </c>
      <c r="C774" s="111" t="s">
        <v>1202</v>
      </c>
      <c r="D774" s="2" t="str">
        <f t="shared" ref="D774:E774" si="772">TRIM(B774)</f>
        <v>Kansas</v>
      </c>
      <c r="E774" s="2" t="str">
        <f t="shared" si="772"/>
        <v>Wichita</v>
      </c>
    </row>
    <row r="775" spans="1:5">
      <c r="A775" s="111" t="s">
        <v>10783</v>
      </c>
      <c r="B775" s="111" t="s">
        <v>1337</v>
      </c>
      <c r="C775" s="111" t="s">
        <v>10784</v>
      </c>
      <c r="D775" s="2" t="str">
        <f t="shared" ref="D775:E775" si="773">TRIM(B775)</f>
        <v>Kansas</v>
      </c>
      <c r="E775" s="2" t="str">
        <f t="shared" si="773"/>
        <v>Atchison</v>
      </c>
    </row>
    <row r="776" spans="1:5">
      <c r="A776" s="111" t="s">
        <v>10785</v>
      </c>
      <c r="B776" s="111" t="s">
        <v>1337</v>
      </c>
      <c r="C776" s="111" t="s">
        <v>10786</v>
      </c>
      <c r="D776" s="2" t="str">
        <f t="shared" ref="D776:E776" si="774">TRIM(B776)</f>
        <v>Kansas</v>
      </c>
      <c r="E776" s="2" t="str">
        <f t="shared" si="774"/>
        <v>Lenexa</v>
      </c>
    </row>
    <row r="777" spans="1:5">
      <c r="A777" s="76" t="s">
        <v>10789</v>
      </c>
      <c r="B777" s="111" t="s">
        <v>1337</v>
      </c>
      <c r="C777" s="111" t="s">
        <v>7735</v>
      </c>
      <c r="D777" s="2" t="str">
        <f t="shared" ref="D777:E777" si="775">TRIM(B777)</f>
        <v>Kansas</v>
      </c>
      <c r="E777" s="2" t="str">
        <f t="shared" si="775"/>
        <v>Beloit</v>
      </c>
    </row>
    <row r="778" spans="1:5">
      <c r="A778" s="76" t="s">
        <v>10792</v>
      </c>
      <c r="B778" s="111" t="s">
        <v>1337</v>
      </c>
      <c r="C778" s="111" t="s">
        <v>10793</v>
      </c>
      <c r="D778" s="2" t="str">
        <f t="shared" ref="D778:E778" si="776">TRIM(B778)</f>
        <v>Kansas</v>
      </c>
      <c r="E778" s="2" t="str">
        <f t="shared" si="776"/>
        <v>Salina</v>
      </c>
    </row>
    <row r="779" spans="1:5">
      <c r="A779" s="111" t="s">
        <v>10796</v>
      </c>
      <c r="B779" s="111" t="s">
        <v>1337</v>
      </c>
      <c r="C779" s="111" t="s">
        <v>6388</v>
      </c>
      <c r="D779" s="2" t="str">
        <f t="shared" ref="D779:E779" si="777">TRIM(B779)</f>
        <v>Kansas</v>
      </c>
      <c r="E779" s="2" t="str">
        <f t="shared" si="777"/>
        <v>Pittsburg</v>
      </c>
    </row>
    <row r="780" spans="1:5">
      <c r="A780" s="111" t="s">
        <v>10798</v>
      </c>
      <c r="B780" s="111" t="s">
        <v>1337</v>
      </c>
      <c r="C780" s="111" t="s">
        <v>1227</v>
      </c>
      <c r="D780" s="2" t="str">
        <f t="shared" ref="D780:E780" si="778">TRIM(B780)</f>
        <v>Kansas</v>
      </c>
      <c r="E780" s="2" t="str">
        <f t="shared" si="778"/>
        <v>Overland Park</v>
      </c>
    </row>
    <row r="781" spans="1:5">
      <c r="A781" s="111" t="s">
        <v>10800</v>
      </c>
      <c r="B781" s="111" t="s">
        <v>1337</v>
      </c>
      <c r="C781" s="111" t="s">
        <v>1202</v>
      </c>
      <c r="D781" s="2" t="str">
        <f t="shared" ref="D781:E781" si="779">TRIM(B781)</f>
        <v>Kansas</v>
      </c>
      <c r="E781" s="2" t="str">
        <f t="shared" si="779"/>
        <v>Wichita</v>
      </c>
    </row>
    <row r="782" spans="1:5">
      <c r="A782" s="111" t="s">
        <v>10802</v>
      </c>
      <c r="B782" s="111" t="s">
        <v>1337</v>
      </c>
      <c r="C782" s="111" t="s">
        <v>8447</v>
      </c>
      <c r="D782" s="2" t="str">
        <f t="shared" ref="D782:E782" si="780">TRIM(B782)</f>
        <v>Kansas</v>
      </c>
      <c r="E782" s="2" t="str">
        <f t="shared" si="780"/>
        <v>Hays</v>
      </c>
    </row>
    <row r="783" spans="1:5">
      <c r="A783" s="111" t="s">
        <v>10804</v>
      </c>
      <c r="B783" s="111" t="s">
        <v>1337</v>
      </c>
      <c r="C783" s="111" t="s">
        <v>1202</v>
      </c>
      <c r="D783" s="2" t="str">
        <f t="shared" ref="D783:E783" si="781">TRIM(B783)</f>
        <v>Kansas</v>
      </c>
      <c r="E783" s="2" t="str">
        <f t="shared" si="781"/>
        <v>Wichita</v>
      </c>
    </row>
    <row r="784" spans="1:5">
      <c r="A784" s="111" t="s">
        <v>10805</v>
      </c>
      <c r="B784" s="111" t="s">
        <v>1338</v>
      </c>
      <c r="C784" s="111" t="s">
        <v>494</v>
      </c>
      <c r="D784" s="2" t="str">
        <f t="shared" ref="D784:E784" si="782">TRIM(B784)</f>
        <v>Kentucky</v>
      </c>
      <c r="E784" s="2" t="str">
        <f t="shared" si="782"/>
        <v>Louisville</v>
      </c>
    </row>
    <row r="785" spans="1:5">
      <c r="A785" s="111" t="s">
        <v>10807</v>
      </c>
      <c r="B785" s="111" t="s">
        <v>1338</v>
      </c>
      <c r="C785" s="111" t="s">
        <v>831</v>
      </c>
      <c r="D785" s="2" t="str">
        <f t="shared" ref="D785:E785" si="783">TRIM(B785)</f>
        <v>Kentucky</v>
      </c>
      <c r="E785" s="2" t="str">
        <f t="shared" si="783"/>
        <v>Alexandria</v>
      </c>
    </row>
    <row r="786" spans="1:5">
      <c r="A786" s="111" t="s">
        <v>10810</v>
      </c>
      <c r="B786" s="111" t="s">
        <v>1338</v>
      </c>
      <c r="C786" s="111" t="s">
        <v>494</v>
      </c>
      <c r="D786" s="2" t="str">
        <f t="shared" ref="D786:E786" si="784">TRIM(B786)</f>
        <v>Kentucky</v>
      </c>
      <c r="E786" s="2" t="str">
        <f t="shared" si="784"/>
        <v>Louisville</v>
      </c>
    </row>
    <row r="787" spans="1:5">
      <c r="A787" s="111" t="s">
        <v>2835</v>
      </c>
      <c r="B787" s="111" t="s">
        <v>1338</v>
      </c>
      <c r="C787" s="111" t="s">
        <v>1756</v>
      </c>
      <c r="D787" s="2" t="str">
        <f t="shared" ref="D787:E787" si="785">TRIM(B787)</f>
        <v>Kentucky</v>
      </c>
      <c r="E787" s="2" t="str">
        <f t="shared" si="785"/>
        <v>Florence</v>
      </c>
    </row>
    <row r="788" spans="1:5">
      <c r="A788" s="111" t="s">
        <v>10812</v>
      </c>
      <c r="B788" s="111" t="s">
        <v>1338</v>
      </c>
      <c r="C788" s="111" t="s">
        <v>10597</v>
      </c>
      <c r="D788" s="2" t="str">
        <f t="shared" ref="D788:E788" si="786">TRIM(B788)</f>
        <v>Kentucky</v>
      </c>
      <c r="E788" s="2" t="str">
        <f t="shared" si="786"/>
        <v>Covington</v>
      </c>
    </row>
    <row r="789" spans="1:5">
      <c r="A789" s="111" t="s">
        <v>9772</v>
      </c>
      <c r="B789" s="111" t="s">
        <v>1338</v>
      </c>
      <c r="C789" s="111" t="s">
        <v>494</v>
      </c>
      <c r="D789" s="2" t="str">
        <f t="shared" ref="D789:E789" si="787">TRIM(B789)</f>
        <v>Kentucky</v>
      </c>
      <c r="E789" s="2" t="str">
        <f t="shared" si="787"/>
        <v>Louisville</v>
      </c>
    </row>
    <row r="790" spans="1:5">
      <c r="A790" s="111" t="s">
        <v>10816</v>
      </c>
      <c r="B790" s="111" t="s">
        <v>1338</v>
      </c>
      <c r="C790" s="111" t="s">
        <v>10817</v>
      </c>
      <c r="D790" s="2" t="str">
        <f t="shared" ref="D790:E790" si="788">TRIM(B790)</f>
        <v>Kentucky</v>
      </c>
      <c r="E790" s="2" t="str">
        <f t="shared" si="788"/>
        <v>Ashland</v>
      </c>
    </row>
    <row r="791" spans="1:5">
      <c r="A791" s="111" t="s">
        <v>10820</v>
      </c>
      <c r="B791" s="111" t="s">
        <v>1338</v>
      </c>
      <c r="C791" s="111" t="s">
        <v>10821</v>
      </c>
      <c r="D791" s="2" t="str">
        <f t="shared" ref="D791:E791" si="789">TRIM(B791)</f>
        <v>Kentucky</v>
      </c>
      <c r="E791" s="2" t="str">
        <f t="shared" si="789"/>
        <v>Pippa Passes</v>
      </c>
    </row>
    <row r="792" spans="1:5">
      <c r="A792" s="111" t="s">
        <v>10822</v>
      </c>
      <c r="B792" s="111" t="s">
        <v>1338</v>
      </c>
      <c r="C792" s="111" t="s">
        <v>494</v>
      </c>
      <c r="D792" s="2" t="str">
        <f t="shared" ref="D792:E792" si="790">TRIM(B792)</f>
        <v>Kentucky</v>
      </c>
      <c r="E792" s="2" t="str">
        <f t="shared" si="790"/>
        <v>Louisville</v>
      </c>
    </row>
    <row r="793" spans="1:5">
      <c r="A793" s="111" t="s">
        <v>10823</v>
      </c>
      <c r="B793" s="111" t="s">
        <v>1338</v>
      </c>
      <c r="C793" s="111" t="s">
        <v>494</v>
      </c>
      <c r="D793" s="2" t="str">
        <f t="shared" ref="D793:E793" si="791">TRIM(B793)</f>
        <v>Kentucky</v>
      </c>
      <c r="E793" s="2" t="str">
        <f t="shared" si="791"/>
        <v>Louisville</v>
      </c>
    </row>
    <row r="794" spans="1:5">
      <c r="A794" s="111" t="s">
        <v>10824</v>
      </c>
      <c r="B794" s="111" t="s">
        <v>1338</v>
      </c>
      <c r="C794" s="111" t="s">
        <v>297</v>
      </c>
      <c r="D794" s="2" t="str">
        <f t="shared" ref="D794:E794" si="792">TRIM(B794)</f>
        <v>Kentucky</v>
      </c>
      <c r="E794" s="2" t="str">
        <f t="shared" si="792"/>
        <v>Jackson</v>
      </c>
    </row>
    <row r="795" spans="1:5">
      <c r="A795" s="111" t="s">
        <v>10360</v>
      </c>
      <c r="B795" s="111" t="s">
        <v>1338</v>
      </c>
      <c r="C795" s="111" t="s">
        <v>10828</v>
      </c>
      <c r="D795" s="2" t="str">
        <f t="shared" ref="D795:E795" si="793">TRIM(B795)</f>
        <v>Kentucky</v>
      </c>
      <c r="E795" s="2" t="str">
        <f t="shared" si="793"/>
        <v>Park Hills</v>
      </c>
    </row>
    <row r="796" spans="1:5">
      <c r="A796" s="111" t="s">
        <v>9798</v>
      </c>
      <c r="B796" s="111" t="s">
        <v>1338</v>
      </c>
      <c r="C796" s="111" t="s">
        <v>494</v>
      </c>
      <c r="D796" s="2" t="str">
        <f t="shared" ref="D796:E796" si="794">TRIM(B796)</f>
        <v>Kentucky</v>
      </c>
      <c r="E796" s="2" t="str">
        <f t="shared" si="794"/>
        <v>Louisville</v>
      </c>
    </row>
    <row r="797" spans="1:5">
      <c r="A797" s="111" t="s">
        <v>10830</v>
      </c>
      <c r="B797" s="111" t="s">
        <v>1338</v>
      </c>
      <c r="C797" s="111" t="s">
        <v>506</v>
      </c>
      <c r="D797" s="2" t="str">
        <f t="shared" ref="D797:E797" si="795">TRIM(B797)</f>
        <v>Kentucky</v>
      </c>
      <c r="E797" s="2" t="str">
        <f t="shared" si="795"/>
        <v>Lexington</v>
      </c>
    </row>
    <row r="798" spans="1:5">
      <c r="A798" s="111" t="s">
        <v>10833</v>
      </c>
      <c r="B798" s="111" t="s">
        <v>1338</v>
      </c>
      <c r="C798" s="111" t="s">
        <v>506</v>
      </c>
      <c r="D798" s="2" t="str">
        <f t="shared" ref="D798:E798" si="796">TRIM(B798)</f>
        <v>Kentucky</v>
      </c>
      <c r="E798" s="2" t="str">
        <f t="shared" si="796"/>
        <v>Lexington</v>
      </c>
    </row>
    <row r="799" spans="1:5">
      <c r="A799" s="111" t="s">
        <v>10836</v>
      </c>
      <c r="B799" s="111" t="s">
        <v>1338</v>
      </c>
      <c r="C799" s="111" t="s">
        <v>1796</v>
      </c>
      <c r="D799" s="2" t="str">
        <f t="shared" ref="D799:E799" si="797">TRIM(B799)</f>
        <v>Kentucky</v>
      </c>
      <c r="E799" s="2" t="str">
        <f t="shared" si="797"/>
        <v>Goshen</v>
      </c>
    </row>
    <row r="800" spans="1:5">
      <c r="A800" s="111" t="s">
        <v>10839</v>
      </c>
      <c r="B800" s="111" t="s">
        <v>1338</v>
      </c>
      <c r="C800" s="111" t="s">
        <v>10840</v>
      </c>
      <c r="D800" s="2" t="str">
        <f t="shared" ref="D800:E800" si="798">TRIM(B800)</f>
        <v>Kentucky</v>
      </c>
      <c r="E800" s="2" t="str">
        <f t="shared" si="798"/>
        <v>Erlanger</v>
      </c>
    </row>
    <row r="801" spans="1:5">
      <c r="A801" s="111" t="s">
        <v>10841</v>
      </c>
      <c r="B801" s="111" t="s">
        <v>1338</v>
      </c>
      <c r="C801" s="111" t="s">
        <v>10843</v>
      </c>
      <c r="D801" s="2" t="str">
        <f t="shared" ref="D801:E801" si="799">TRIM(B801)</f>
        <v>Kentucky</v>
      </c>
      <c r="E801" s="2" t="str">
        <f t="shared" si="799"/>
        <v>Maysville</v>
      </c>
    </row>
    <row r="802" spans="1:5">
      <c r="A802" s="111" t="s">
        <v>10844</v>
      </c>
      <c r="B802" s="111" t="s">
        <v>1338</v>
      </c>
      <c r="C802" s="111" t="s">
        <v>494</v>
      </c>
      <c r="D802" s="2" t="str">
        <f t="shared" ref="D802:E802" si="800">TRIM(B802)</f>
        <v>Kentucky</v>
      </c>
      <c r="E802" s="2" t="str">
        <f t="shared" si="800"/>
        <v>Louisville</v>
      </c>
    </row>
    <row r="803" spans="1:5">
      <c r="A803" s="111" t="s">
        <v>10845</v>
      </c>
      <c r="B803" s="111" t="s">
        <v>1338</v>
      </c>
      <c r="C803" s="112" t="s">
        <v>10847</v>
      </c>
      <c r="D803" s="2" t="str">
        <f t="shared" ref="D803:E803" si="801">TRIM(B803)</f>
        <v>Kentucky</v>
      </c>
      <c r="E803" s="2" t="str">
        <f t="shared" si="801"/>
        <v>David</v>
      </c>
    </row>
    <row r="804" spans="1:5">
      <c r="A804" s="111" t="s">
        <v>10850</v>
      </c>
      <c r="B804" s="111" t="s">
        <v>1338</v>
      </c>
      <c r="C804" s="111" t="s">
        <v>494</v>
      </c>
      <c r="D804" s="2" t="str">
        <f t="shared" ref="D804:E804" si="802">TRIM(B804)</f>
        <v>Kentucky</v>
      </c>
      <c r="E804" s="2" t="str">
        <f t="shared" si="802"/>
        <v>Louisville</v>
      </c>
    </row>
    <row r="805" spans="1:5">
      <c r="A805" s="111" t="s">
        <v>10445</v>
      </c>
      <c r="B805" s="111" t="s">
        <v>1338</v>
      </c>
      <c r="C805" s="111" t="s">
        <v>494</v>
      </c>
      <c r="D805" s="2" t="str">
        <f t="shared" ref="D805:E805" si="803">TRIM(B805)</f>
        <v>Kentucky</v>
      </c>
      <c r="E805" s="2" t="str">
        <f t="shared" si="803"/>
        <v>Louisville</v>
      </c>
    </row>
    <row r="806" spans="1:5">
      <c r="A806" s="111" t="s">
        <v>10854</v>
      </c>
      <c r="B806" s="111" t="s">
        <v>1340</v>
      </c>
      <c r="C806" s="111" t="s">
        <v>10855</v>
      </c>
      <c r="D806" s="2" t="str">
        <f t="shared" ref="D806:E806" si="804">TRIM(B806)</f>
        <v>Louisiana</v>
      </c>
      <c r="E806" s="2" t="str">
        <f t="shared" si="804"/>
        <v>Gretna</v>
      </c>
    </row>
    <row r="807" spans="1:5">
      <c r="A807" s="111" t="s">
        <v>10858</v>
      </c>
      <c r="B807" s="111" t="s">
        <v>1340</v>
      </c>
      <c r="C807" s="111" t="s">
        <v>10859</v>
      </c>
      <c r="D807" s="2" t="str">
        <f t="shared" ref="D807:E807" si="805">TRIM(B807)</f>
        <v>Louisiana</v>
      </c>
      <c r="E807" s="2" t="str">
        <f t="shared" si="805"/>
        <v>Marrero</v>
      </c>
    </row>
    <row r="808" spans="1:5">
      <c r="A808" s="111" t="s">
        <v>10862</v>
      </c>
      <c r="B808" s="111" t="s">
        <v>1340</v>
      </c>
      <c r="C808" s="111" t="s">
        <v>1279</v>
      </c>
      <c r="D808" s="2" t="str">
        <f t="shared" ref="D808:E808" si="806">TRIM(B808)</f>
        <v>Louisiana</v>
      </c>
      <c r="E808" s="2" t="str">
        <f t="shared" si="806"/>
        <v>New Orleans</v>
      </c>
    </row>
    <row r="809" spans="1:5">
      <c r="A809" s="111" t="s">
        <v>10864</v>
      </c>
      <c r="B809" s="111" t="s">
        <v>1340</v>
      </c>
      <c r="C809" s="111" t="s">
        <v>10865</v>
      </c>
      <c r="D809" s="2" t="str">
        <f t="shared" ref="D809:E809" si="807">TRIM(B809)</f>
        <v>Louisiana</v>
      </c>
      <c r="E809" s="2" t="str">
        <f t="shared" si="807"/>
        <v>Metairie</v>
      </c>
    </row>
    <row r="810" spans="1:5">
      <c r="A810" s="111" t="s">
        <v>10866</v>
      </c>
      <c r="B810" s="111" t="s">
        <v>1340</v>
      </c>
      <c r="C810" s="111" t="s">
        <v>10597</v>
      </c>
      <c r="D810" s="2" t="str">
        <f t="shared" ref="D810:E810" si="808">TRIM(B810)</f>
        <v>Louisiana</v>
      </c>
      <c r="E810" s="2" t="str">
        <f t="shared" si="808"/>
        <v>Covington</v>
      </c>
    </row>
    <row r="811" spans="1:5">
      <c r="A811" s="111" t="s">
        <v>10869</v>
      </c>
      <c r="B811" s="111" t="s">
        <v>1340</v>
      </c>
      <c r="C811" s="111" t="s">
        <v>10865</v>
      </c>
      <c r="D811" s="2" t="str">
        <f t="shared" ref="D811:E811" si="809">TRIM(B811)</f>
        <v>Louisiana</v>
      </c>
      <c r="E811" s="2" t="str">
        <f t="shared" si="809"/>
        <v>Metairie</v>
      </c>
    </row>
    <row r="812" spans="1:5">
      <c r="A812" s="111" t="s">
        <v>10871</v>
      </c>
      <c r="B812" s="111" t="s">
        <v>1340</v>
      </c>
      <c r="C812" s="111" t="s">
        <v>10859</v>
      </c>
      <c r="D812" s="2" t="str">
        <f t="shared" ref="D812:E812" si="810">TRIM(B812)</f>
        <v>Louisiana</v>
      </c>
      <c r="E812" s="2" t="str">
        <f t="shared" si="810"/>
        <v>Marrero</v>
      </c>
    </row>
    <row r="813" spans="1:5">
      <c r="A813" s="111" t="s">
        <v>10873</v>
      </c>
      <c r="B813" s="111" t="s">
        <v>1340</v>
      </c>
      <c r="C813" s="111" t="s">
        <v>10874</v>
      </c>
      <c r="D813" s="2" t="str">
        <f t="shared" ref="D813:E813" si="811">TRIM(B813)</f>
        <v>Louisiana</v>
      </c>
      <c r="E813" s="2" t="str">
        <f t="shared" si="811"/>
        <v>Lake Providence</v>
      </c>
    </row>
    <row r="814" spans="1:5">
      <c r="A814" s="111" t="s">
        <v>10877</v>
      </c>
      <c r="B814" s="111" t="s">
        <v>1340</v>
      </c>
      <c r="C814" s="111" t="s">
        <v>1279</v>
      </c>
      <c r="D814" s="2" t="str">
        <f t="shared" ref="D814:E814" si="812">TRIM(B814)</f>
        <v>Louisiana</v>
      </c>
      <c r="E814" s="2" t="str">
        <f t="shared" si="812"/>
        <v>New Orleans</v>
      </c>
    </row>
    <row r="815" spans="1:5">
      <c r="A815" s="111" t="s">
        <v>10879</v>
      </c>
      <c r="B815" s="111" t="s">
        <v>1340</v>
      </c>
      <c r="C815" s="111" t="s">
        <v>10880</v>
      </c>
      <c r="D815" s="2" t="str">
        <f t="shared" ref="D815:E815" si="813">TRIM(B815)</f>
        <v>Louisiana</v>
      </c>
      <c r="E815" s="2" t="str">
        <f t="shared" si="813"/>
        <v>Ruston</v>
      </c>
    </row>
    <row r="816" spans="1:5">
      <c r="A816" s="111" t="s">
        <v>10882</v>
      </c>
      <c r="B816" s="111" t="s">
        <v>1340</v>
      </c>
      <c r="C816" s="111" t="s">
        <v>4415</v>
      </c>
      <c r="D816" s="2" t="str">
        <f t="shared" ref="D816:E816" si="814">TRIM(B816)</f>
        <v>Louisiana</v>
      </c>
      <c r="E816" s="2" t="str">
        <f t="shared" si="814"/>
        <v>Baker</v>
      </c>
    </row>
    <row r="817" spans="1:5">
      <c r="A817" s="111" t="s">
        <v>10886</v>
      </c>
      <c r="B817" s="111" t="s">
        <v>1340</v>
      </c>
      <c r="C817" s="111" t="s">
        <v>10887</v>
      </c>
      <c r="D817" s="2" t="str">
        <f t="shared" ref="D817:E817" si="815">TRIM(B817)</f>
        <v>Louisiana</v>
      </c>
      <c r="E817" s="2" t="str">
        <f t="shared" si="815"/>
        <v>Grand Cane</v>
      </c>
    </row>
    <row r="818" spans="1:5">
      <c r="A818" s="111" t="s">
        <v>10890</v>
      </c>
      <c r="B818" s="111" t="s">
        <v>1340</v>
      </c>
      <c r="C818" s="111" t="s">
        <v>10891</v>
      </c>
      <c r="D818" s="2" t="str">
        <f t="shared" ref="D818:E818" si="816">TRIM(B818)</f>
        <v>Louisiana</v>
      </c>
      <c r="E818" s="2" t="str">
        <f t="shared" si="816"/>
        <v>Haynesville</v>
      </c>
    </row>
    <row r="819" spans="1:5">
      <c r="A819" s="111" t="s">
        <v>9284</v>
      </c>
      <c r="B819" s="111" t="s">
        <v>1340</v>
      </c>
      <c r="C819" s="111" t="s">
        <v>1279</v>
      </c>
      <c r="D819" s="2" t="str">
        <f t="shared" ref="D819:E819" si="817">TRIM(B819)</f>
        <v>Louisiana</v>
      </c>
      <c r="E819" s="2" t="str">
        <f t="shared" si="817"/>
        <v>New Orleans</v>
      </c>
    </row>
    <row r="820" spans="1:5">
      <c r="A820" s="111" t="s">
        <v>10892</v>
      </c>
      <c r="B820" s="111" t="s">
        <v>1340</v>
      </c>
      <c r="C820" s="111" t="s">
        <v>10893</v>
      </c>
      <c r="D820" s="2" t="str">
        <f t="shared" ref="D820:E820" si="818">TRIM(B820)</f>
        <v>Louisiana</v>
      </c>
      <c r="E820" s="2" t="str">
        <f t="shared" si="818"/>
        <v>New Roads</v>
      </c>
    </row>
    <row r="821" spans="1:5">
      <c r="A821" s="111" t="s">
        <v>10895</v>
      </c>
      <c r="B821" s="111" t="s">
        <v>1340</v>
      </c>
      <c r="C821" s="111" t="s">
        <v>10896</v>
      </c>
      <c r="D821" s="2" t="str">
        <f t="shared" ref="D821:E821" si="819">TRIM(B821)</f>
        <v>Louisiana</v>
      </c>
      <c r="E821" s="2" t="str">
        <f t="shared" si="819"/>
        <v>Winnsboro</v>
      </c>
    </row>
    <row r="822" spans="1:5">
      <c r="A822" s="111" t="s">
        <v>10897</v>
      </c>
      <c r="B822" s="111" t="s">
        <v>1340</v>
      </c>
      <c r="C822" s="111" t="s">
        <v>10898</v>
      </c>
      <c r="D822" s="2" t="str">
        <f t="shared" ref="D822:E822" si="820">TRIM(B822)</f>
        <v>Louisiana</v>
      </c>
      <c r="E822" s="2" t="str">
        <f t="shared" si="820"/>
        <v>Minden</v>
      </c>
    </row>
    <row r="823" spans="1:5">
      <c r="A823" s="111" t="s">
        <v>10900</v>
      </c>
      <c r="B823" s="111" t="s">
        <v>1340</v>
      </c>
      <c r="C823" s="111" t="s">
        <v>525</v>
      </c>
      <c r="D823" s="2" t="str">
        <f t="shared" ref="D823:E823" si="821">TRIM(B823)</f>
        <v>Louisiana</v>
      </c>
      <c r="E823" s="2" t="str">
        <f t="shared" si="821"/>
        <v>Franklin</v>
      </c>
    </row>
    <row r="824" spans="1:5">
      <c r="A824" s="111" t="s">
        <v>10901</v>
      </c>
      <c r="B824" s="111" t="s">
        <v>1340</v>
      </c>
      <c r="C824" s="111" t="s">
        <v>1279</v>
      </c>
      <c r="D824" s="2" t="str">
        <f t="shared" ref="D824:E824" si="822">TRIM(B824)</f>
        <v>Louisiana</v>
      </c>
      <c r="E824" s="2" t="str">
        <f t="shared" si="822"/>
        <v>New Orleans</v>
      </c>
    </row>
    <row r="825" spans="1:5">
      <c r="A825" s="111" t="s">
        <v>10904</v>
      </c>
      <c r="B825" s="111" t="s">
        <v>1340</v>
      </c>
      <c r="C825" s="111" t="s">
        <v>831</v>
      </c>
      <c r="D825" s="2" t="str">
        <f t="shared" ref="D825:E825" si="823">TRIM(B825)</f>
        <v>Louisiana</v>
      </c>
      <c r="E825" s="2" t="str">
        <f t="shared" si="823"/>
        <v>Alexandria</v>
      </c>
    </row>
    <row r="826" spans="1:5">
      <c r="A826" s="111" t="s">
        <v>10907</v>
      </c>
      <c r="B826" s="111" t="s">
        <v>1340</v>
      </c>
      <c r="C826" s="112" t="s">
        <v>236</v>
      </c>
      <c r="D826" s="2" t="str">
        <f t="shared" ref="D826:E826" si="824">TRIM(B826)</f>
        <v>Louisiana</v>
      </c>
      <c r="E826" s="2" t="str">
        <f t="shared" si="824"/>
        <v>Lafayette</v>
      </c>
    </row>
    <row r="827" spans="1:5">
      <c r="A827" s="111" t="s">
        <v>10910</v>
      </c>
      <c r="B827" s="111" t="s">
        <v>1340</v>
      </c>
      <c r="C827" s="111" t="s">
        <v>536</v>
      </c>
      <c r="D827" s="2" t="str">
        <f t="shared" ref="D827:E827" si="825">TRIM(B827)</f>
        <v>Louisiana</v>
      </c>
      <c r="E827" s="2" t="str">
        <f t="shared" si="825"/>
        <v>Harvey</v>
      </c>
    </row>
    <row r="828" spans="1:5">
      <c r="A828" s="111" t="s">
        <v>10912</v>
      </c>
      <c r="B828" s="111" t="s">
        <v>1340</v>
      </c>
      <c r="C828" s="111" t="s">
        <v>1279</v>
      </c>
      <c r="D828" s="2" t="str">
        <f t="shared" ref="D828:E828" si="826">TRIM(B828)</f>
        <v>Louisiana</v>
      </c>
      <c r="E828" s="2" t="str">
        <f t="shared" si="826"/>
        <v>New Orleans</v>
      </c>
    </row>
    <row r="829" spans="1:5">
      <c r="A829" s="111" t="s">
        <v>10914</v>
      </c>
      <c r="B829" s="111" t="s">
        <v>1340</v>
      </c>
      <c r="C829" s="111" t="s">
        <v>10915</v>
      </c>
      <c r="D829" s="2" t="str">
        <f t="shared" ref="D829:E829" si="827">TRIM(B829)</f>
        <v>Louisiana</v>
      </c>
      <c r="E829" s="2" t="str">
        <f t="shared" si="827"/>
        <v>Shreveport</v>
      </c>
    </row>
    <row r="830" spans="1:5">
      <c r="A830" s="111" t="s">
        <v>10917</v>
      </c>
      <c r="B830" s="111" t="s">
        <v>1340</v>
      </c>
      <c r="C830" s="111" t="s">
        <v>10865</v>
      </c>
      <c r="D830" s="2" t="str">
        <f t="shared" ref="D830:E830" si="828">TRIM(B830)</f>
        <v>Louisiana</v>
      </c>
      <c r="E830" s="2" t="str">
        <f t="shared" si="828"/>
        <v>Metairie</v>
      </c>
    </row>
    <row r="831" spans="1:5">
      <c r="A831" s="111" t="s">
        <v>10919</v>
      </c>
      <c r="B831" s="111" t="s">
        <v>1340</v>
      </c>
      <c r="C831" s="111" t="s">
        <v>1279</v>
      </c>
      <c r="D831" s="2" t="str">
        <f t="shared" ref="D831:E831" si="829">TRIM(B831)</f>
        <v>Louisiana</v>
      </c>
      <c r="E831" s="2" t="str">
        <f t="shared" si="829"/>
        <v>New Orleans</v>
      </c>
    </row>
    <row r="832" spans="1:5">
      <c r="A832" s="111" t="s">
        <v>10921</v>
      </c>
      <c r="B832" s="111" t="s">
        <v>1340</v>
      </c>
      <c r="C832" s="111" t="s">
        <v>10855</v>
      </c>
      <c r="D832" s="2" t="str">
        <f t="shared" ref="D832:E832" si="830">TRIM(B832)</f>
        <v>Louisiana</v>
      </c>
      <c r="E832" s="2" t="str">
        <f t="shared" si="830"/>
        <v>Gretna</v>
      </c>
    </row>
    <row r="833" spans="1:5">
      <c r="A833" s="111" t="s">
        <v>10924</v>
      </c>
      <c r="B833" s="111" t="s">
        <v>1340</v>
      </c>
      <c r="C833" s="111" t="s">
        <v>10880</v>
      </c>
      <c r="D833" s="2" t="str">
        <f t="shared" ref="D833:E833" si="831">TRIM(B833)</f>
        <v>Louisiana</v>
      </c>
      <c r="E833" s="2" t="str">
        <f t="shared" si="831"/>
        <v>Ruston</v>
      </c>
    </row>
    <row r="834" spans="1:5">
      <c r="A834" s="111" t="s">
        <v>9466</v>
      </c>
      <c r="B834" s="111" t="s">
        <v>1340</v>
      </c>
      <c r="C834" s="111" t="s">
        <v>10926</v>
      </c>
      <c r="D834" s="2" t="str">
        <f t="shared" ref="D834:E834" si="832">TRIM(B834)</f>
        <v>Louisiana</v>
      </c>
      <c r="E834" s="2" t="str">
        <f t="shared" si="832"/>
        <v>Crowley</v>
      </c>
    </row>
    <row r="835" spans="1:5">
      <c r="A835" s="111" t="s">
        <v>10928</v>
      </c>
      <c r="B835" s="111" t="s">
        <v>1340</v>
      </c>
      <c r="C835" s="111" t="s">
        <v>10929</v>
      </c>
      <c r="D835" s="2" t="str">
        <f t="shared" ref="D835:E835" si="833">TRIM(B835)</f>
        <v>Louisiana</v>
      </c>
      <c r="E835" s="2" t="str">
        <f t="shared" si="833"/>
        <v>Amite</v>
      </c>
    </row>
    <row r="836" spans="1:5">
      <c r="A836" s="111" t="s">
        <v>10931</v>
      </c>
      <c r="B836" s="111" t="s">
        <v>1340</v>
      </c>
      <c r="C836" s="111" t="s">
        <v>1279</v>
      </c>
      <c r="D836" s="2" t="str">
        <f t="shared" ref="D836:E836" si="834">TRIM(B836)</f>
        <v>Louisiana</v>
      </c>
      <c r="E836" s="2" t="str">
        <f t="shared" si="834"/>
        <v>New Orleans</v>
      </c>
    </row>
    <row r="837" spans="1:5">
      <c r="A837" s="111" t="s">
        <v>10934</v>
      </c>
      <c r="B837" s="111" t="s">
        <v>1340</v>
      </c>
      <c r="C837" s="111" t="s">
        <v>10935</v>
      </c>
      <c r="D837" s="2" t="str">
        <f t="shared" ref="D837:E837" si="835">TRIM(B837)</f>
        <v>Louisiana</v>
      </c>
      <c r="E837" s="2" t="str">
        <f t="shared" si="835"/>
        <v>Bastrop</v>
      </c>
    </row>
    <row r="838" spans="1:5">
      <c r="A838" s="111" t="s">
        <v>10937</v>
      </c>
      <c r="B838" s="111" t="s">
        <v>1340</v>
      </c>
      <c r="C838" s="111" t="s">
        <v>853</v>
      </c>
      <c r="D838" s="2" t="str">
        <f t="shared" ref="D838:E838" si="836">TRIM(B838)</f>
        <v>Louisiana</v>
      </c>
      <c r="E838" s="2" t="str">
        <f t="shared" si="836"/>
        <v>Bossier City</v>
      </c>
    </row>
    <row r="839" spans="1:5">
      <c r="A839" s="111" t="s">
        <v>10939</v>
      </c>
      <c r="B839" s="111" t="s">
        <v>1340</v>
      </c>
      <c r="C839" s="111" t="s">
        <v>10865</v>
      </c>
      <c r="D839" s="2" t="str">
        <f t="shared" ref="D839:E839" si="837">TRIM(B839)</f>
        <v>Louisiana</v>
      </c>
      <c r="E839" s="2" t="str">
        <f t="shared" si="837"/>
        <v>Metairie</v>
      </c>
    </row>
    <row r="840" spans="1:5">
      <c r="A840" s="111" t="s">
        <v>10941</v>
      </c>
      <c r="B840" s="111" t="s">
        <v>1340</v>
      </c>
      <c r="C840" s="111" t="s">
        <v>380</v>
      </c>
      <c r="D840" s="2" t="str">
        <f t="shared" ref="D840:E840" si="838">TRIM(B840)</f>
        <v>Louisiana</v>
      </c>
      <c r="E840" s="2" t="str">
        <f t="shared" si="838"/>
        <v>Monroe</v>
      </c>
    </row>
    <row r="841" spans="1:5">
      <c r="A841" s="111" t="s">
        <v>10944</v>
      </c>
      <c r="B841" s="111" t="s">
        <v>1340</v>
      </c>
      <c r="C841" s="111" t="s">
        <v>10945</v>
      </c>
      <c r="D841" s="2" t="str">
        <f t="shared" ref="D841:E841" si="839">TRIM(B841)</f>
        <v>Louisiana</v>
      </c>
      <c r="E841" s="2" t="str">
        <f t="shared" si="839"/>
        <v>Reserve</v>
      </c>
    </row>
    <row r="842" spans="1:5">
      <c r="A842" s="111" t="s">
        <v>9588</v>
      </c>
      <c r="B842" s="111" t="s">
        <v>1340</v>
      </c>
      <c r="C842" s="111" t="s">
        <v>1279</v>
      </c>
      <c r="D842" s="2" t="str">
        <f t="shared" ref="D842:E842" si="840">TRIM(B842)</f>
        <v>Louisiana</v>
      </c>
      <c r="E842" s="2" t="str">
        <f t="shared" si="840"/>
        <v>New Orleans</v>
      </c>
    </row>
    <row r="843" spans="1:5">
      <c r="A843" s="111" t="s">
        <v>10948</v>
      </c>
      <c r="B843" s="111" t="s">
        <v>1340</v>
      </c>
      <c r="C843" s="111" t="s">
        <v>380</v>
      </c>
      <c r="D843" s="2" t="str">
        <f t="shared" ref="D843:E843" si="841">TRIM(B843)</f>
        <v>Louisiana</v>
      </c>
      <c r="E843" s="2" t="str">
        <f t="shared" si="841"/>
        <v>Monroe</v>
      </c>
    </row>
    <row r="844" spans="1:5">
      <c r="A844" s="111" t="s">
        <v>10949</v>
      </c>
      <c r="B844" s="111" t="s">
        <v>1340</v>
      </c>
      <c r="C844" s="111" t="s">
        <v>10950</v>
      </c>
      <c r="D844" s="2" t="str">
        <f t="shared" ref="D844:E844" si="842">TRIM(B844)</f>
        <v>Louisiana</v>
      </c>
      <c r="E844" s="2" t="str">
        <f t="shared" si="842"/>
        <v>Plaquemine</v>
      </c>
    </row>
    <row r="845" spans="1:5">
      <c r="A845" s="76" t="s">
        <v>10952</v>
      </c>
      <c r="B845" s="111" t="s">
        <v>1340</v>
      </c>
      <c r="C845" s="111" t="s">
        <v>523</v>
      </c>
      <c r="D845" s="2" t="str">
        <f t="shared" ref="D845:E845" si="843">TRIM(B845)</f>
        <v>Louisiana</v>
      </c>
      <c r="E845" s="2" t="str">
        <f t="shared" si="843"/>
        <v>Baton Rouge</v>
      </c>
    </row>
    <row r="846" spans="1:5">
      <c r="A846" s="111" t="s">
        <v>10954</v>
      </c>
      <c r="B846" s="111" t="s">
        <v>1340</v>
      </c>
      <c r="C846" s="111" t="s">
        <v>1279</v>
      </c>
      <c r="D846" s="2" t="str">
        <f t="shared" ref="D846:E846" si="844">TRIM(B846)</f>
        <v>Louisiana</v>
      </c>
      <c r="E846" s="2" t="str">
        <f t="shared" si="844"/>
        <v>New Orleans</v>
      </c>
    </row>
    <row r="847" spans="1:5">
      <c r="A847" s="111" t="s">
        <v>10955</v>
      </c>
      <c r="B847" s="111" t="s">
        <v>1340</v>
      </c>
      <c r="C847" s="111" t="s">
        <v>1279</v>
      </c>
      <c r="D847" s="2" t="str">
        <f t="shared" ref="D847:E847" si="845">TRIM(B847)</f>
        <v>Louisiana</v>
      </c>
      <c r="E847" s="2" t="str">
        <f t="shared" si="845"/>
        <v>New Orleans</v>
      </c>
    </row>
    <row r="848" spans="1:5">
      <c r="A848" s="111" t="s">
        <v>10957</v>
      </c>
      <c r="B848" s="111" t="s">
        <v>1340</v>
      </c>
      <c r="C848" s="111" t="s">
        <v>523</v>
      </c>
      <c r="D848" s="2" t="str">
        <f t="shared" ref="D848:E848" si="846">TRIM(B848)</f>
        <v>Louisiana</v>
      </c>
      <c r="E848" s="2" t="str">
        <f t="shared" si="846"/>
        <v>Baton Rouge</v>
      </c>
    </row>
    <row r="849" spans="1:5">
      <c r="A849" s="111" t="s">
        <v>10960</v>
      </c>
      <c r="B849" s="111" t="s">
        <v>1340</v>
      </c>
      <c r="C849" s="111" t="s">
        <v>10597</v>
      </c>
      <c r="D849" s="2" t="str">
        <f t="shared" ref="D849:E849" si="847">TRIM(B849)</f>
        <v>Louisiana</v>
      </c>
      <c r="E849" s="2" t="str">
        <f t="shared" si="847"/>
        <v>Covington</v>
      </c>
    </row>
    <row r="850" spans="1:5">
      <c r="A850" s="111" t="s">
        <v>10962</v>
      </c>
      <c r="B850" s="111" t="s">
        <v>1340</v>
      </c>
      <c r="C850" s="111" t="s">
        <v>10597</v>
      </c>
      <c r="D850" s="2" t="str">
        <f t="shared" ref="D850:E850" si="848">TRIM(B850)</f>
        <v>Louisiana</v>
      </c>
      <c r="E850" s="2" t="str">
        <f t="shared" si="848"/>
        <v>Covington</v>
      </c>
    </row>
    <row r="851" spans="1:5">
      <c r="A851" s="111" t="s">
        <v>10964</v>
      </c>
      <c r="B851" s="111" t="s">
        <v>1340</v>
      </c>
      <c r="C851" s="111" t="s">
        <v>236</v>
      </c>
      <c r="D851" s="2" t="str">
        <f t="shared" ref="D851:E851" si="849">TRIM(B851)</f>
        <v>Louisiana</v>
      </c>
      <c r="E851" s="2" t="str">
        <f t="shared" si="849"/>
        <v>Lafayette</v>
      </c>
    </row>
    <row r="852" spans="1:5">
      <c r="A852" s="111" t="s">
        <v>10967</v>
      </c>
      <c r="B852" s="111" t="s">
        <v>1340</v>
      </c>
      <c r="C852" s="111" t="s">
        <v>10968</v>
      </c>
      <c r="D852" s="2" t="str">
        <f t="shared" ref="D852:E852" si="850">TRIM(B852)</f>
        <v>Louisiana</v>
      </c>
      <c r="E852" s="2" t="str">
        <f t="shared" si="850"/>
        <v>Tallulah</v>
      </c>
    </row>
    <row r="853" spans="1:5">
      <c r="A853" s="111" t="s">
        <v>10971</v>
      </c>
      <c r="B853" s="111" t="s">
        <v>1340</v>
      </c>
      <c r="C853" s="111" t="s">
        <v>10972</v>
      </c>
      <c r="D853" s="2" t="str">
        <f t="shared" ref="D853:E853" si="851">TRIM(B853)</f>
        <v>Louisiana</v>
      </c>
      <c r="E853" s="2" t="str">
        <f t="shared" si="851"/>
        <v>Saint Joseph</v>
      </c>
    </row>
    <row r="854" spans="1:5">
      <c r="A854" s="111" t="s">
        <v>10973</v>
      </c>
      <c r="B854" s="111" t="s">
        <v>1340</v>
      </c>
      <c r="C854" s="111" t="s">
        <v>831</v>
      </c>
      <c r="D854" s="2" t="str">
        <f t="shared" ref="D854:E854" si="852">TRIM(B854)</f>
        <v>Louisiana</v>
      </c>
      <c r="E854" s="2" t="str">
        <f t="shared" si="852"/>
        <v>Alexandria</v>
      </c>
    </row>
    <row r="855" spans="1:5">
      <c r="A855" s="111" t="s">
        <v>10976</v>
      </c>
      <c r="B855" s="111" t="s">
        <v>1340</v>
      </c>
      <c r="C855" s="111" t="s">
        <v>831</v>
      </c>
      <c r="D855" s="2" t="str">
        <f t="shared" ref="D855:E855" si="853">TRIM(B855)</f>
        <v>Louisiana</v>
      </c>
      <c r="E855" s="2" t="str">
        <f t="shared" si="853"/>
        <v>Alexandria</v>
      </c>
    </row>
    <row r="856" spans="1:5">
      <c r="A856" s="111" t="s">
        <v>10978</v>
      </c>
      <c r="B856" s="111" t="s">
        <v>1340</v>
      </c>
      <c r="C856" s="111" t="s">
        <v>1279</v>
      </c>
      <c r="D856" s="2" t="str">
        <f t="shared" ref="D856:E856" si="854">TRIM(B856)</f>
        <v>Louisiana</v>
      </c>
      <c r="E856" s="2" t="str">
        <f t="shared" si="854"/>
        <v>New Orleans</v>
      </c>
    </row>
    <row r="857" spans="1:5">
      <c r="A857" s="111" t="s">
        <v>10980</v>
      </c>
      <c r="B857" s="111" t="s">
        <v>1341</v>
      </c>
      <c r="C857" s="111" t="s">
        <v>10981</v>
      </c>
      <c r="D857" s="2" t="str">
        <f t="shared" ref="D857:E857" si="855">TRIM(B857)</f>
        <v>Maine</v>
      </c>
      <c r="E857" s="2" t="str">
        <f t="shared" si="855"/>
        <v>South Berwick</v>
      </c>
    </row>
    <row r="858" spans="1:5">
      <c r="A858" s="111" t="s">
        <v>10983</v>
      </c>
      <c r="B858" s="111" t="s">
        <v>1341</v>
      </c>
      <c r="C858" s="111" t="s">
        <v>10984</v>
      </c>
      <c r="D858" s="2" t="str">
        <f t="shared" ref="D858:E858" si="856">TRIM(B858)</f>
        <v>Maine</v>
      </c>
      <c r="E858" s="2" t="str">
        <f t="shared" si="856"/>
        <v>Blue Hill</v>
      </c>
    </row>
    <row r="859" spans="1:5">
      <c r="A859" s="111" t="s">
        <v>10986</v>
      </c>
      <c r="B859" s="111" t="s">
        <v>1341</v>
      </c>
      <c r="C859" s="113" t="s">
        <v>10988</v>
      </c>
      <c r="D859" s="2" t="str">
        <f t="shared" ref="D859:E859" si="857">TRIM(B859)</f>
        <v>Maine</v>
      </c>
      <c r="E859" s="2" t="str">
        <f t="shared" si="857"/>
        <v>Carrabassett Valley</v>
      </c>
    </row>
    <row r="860" spans="1:5">
      <c r="A860" s="111" t="s">
        <v>10989</v>
      </c>
      <c r="B860" s="111" t="s">
        <v>1341</v>
      </c>
      <c r="C860" s="111" t="s">
        <v>8643</v>
      </c>
      <c r="D860" s="2" t="str">
        <f t="shared" ref="D860:E860" si="858">TRIM(B860)</f>
        <v>Maine</v>
      </c>
      <c r="E860" s="2" t="str">
        <f t="shared" si="858"/>
        <v>Portland</v>
      </c>
    </row>
    <row r="861" spans="1:5">
      <c r="A861" s="111" t="s">
        <v>10991</v>
      </c>
      <c r="B861" s="111" t="s">
        <v>1341</v>
      </c>
      <c r="C861" s="111" t="s">
        <v>10993</v>
      </c>
      <c r="D861" s="2" t="str">
        <f t="shared" ref="D861:E861" si="859">TRIM(B861)</f>
        <v>Maine</v>
      </c>
      <c r="E861" s="2" t="str">
        <f t="shared" si="859"/>
        <v>Woolwich</v>
      </c>
    </row>
    <row r="862" spans="1:5">
      <c r="A862" s="111" t="s">
        <v>10994</v>
      </c>
      <c r="B862" s="111" t="s">
        <v>1341</v>
      </c>
      <c r="C862" s="111" t="s">
        <v>10995</v>
      </c>
      <c r="D862" s="2" t="str">
        <f t="shared" ref="D862:E862" si="860">TRIM(B862)</f>
        <v>Maine</v>
      </c>
      <c r="E862" s="2" t="str">
        <f t="shared" si="860"/>
        <v>South China</v>
      </c>
    </row>
    <row r="863" spans="1:5">
      <c r="A863" s="111" t="s">
        <v>10997</v>
      </c>
      <c r="B863" s="111" t="s">
        <v>1341</v>
      </c>
      <c r="C863" s="111" t="s">
        <v>10998</v>
      </c>
      <c r="D863" s="2" t="str">
        <f t="shared" ref="D863:E863" si="861">TRIM(B863)</f>
        <v>Maine</v>
      </c>
      <c r="E863" s="2" t="str">
        <f t="shared" si="861"/>
        <v>Dover Foxcroft</v>
      </c>
    </row>
    <row r="864" spans="1:5">
      <c r="A864" s="111" t="s">
        <v>11000</v>
      </c>
      <c r="B864" s="111" t="s">
        <v>1341</v>
      </c>
      <c r="C864" s="111" t="s">
        <v>10984</v>
      </c>
      <c r="D864" s="2" t="str">
        <f t="shared" ref="D864:E864" si="862">TRIM(B864)</f>
        <v>Maine</v>
      </c>
      <c r="E864" s="2" t="str">
        <f t="shared" si="862"/>
        <v>Blue Hill</v>
      </c>
    </row>
    <row r="865" spans="1:5">
      <c r="A865" s="111" t="s">
        <v>11002</v>
      </c>
      <c r="B865" s="111" t="s">
        <v>1341</v>
      </c>
      <c r="C865" s="111" t="s">
        <v>2309</v>
      </c>
      <c r="D865" s="2" t="str">
        <f t="shared" ref="D865:E865" si="863">TRIM(B865)</f>
        <v>Maine</v>
      </c>
      <c r="E865" s="2" t="str">
        <f t="shared" si="863"/>
        <v>Bethel</v>
      </c>
    </row>
    <row r="866" spans="1:5">
      <c r="A866" s="111" t="s">
        <v>11005</v>
      </c>
      <c r="B866" s="111" t="s">
        <v>1341</v>
      </c>
      <c r="C866" s="111" t="s">
        <v>8519</v>
      </c>
      <c r="D866" s="2" t="str">
        <f t="shared" ref="D866:E866" si="864">TRIM(B866)</f>
        <v>Maine</v>
      </c>
      <c r="E866" s="2" t="str">
        <f t="shared" si="864"/>
        <v>Hebron</v>
      </c>
    </row>
    <row r="867" spans="1:5">
      <c r="A867" s="111" t="s">
        <v>11008</v>
      </c>
      <c r="B867" s="111" t="s">
        <v>1341</v>
      </c>
      <c r="C867" s="111" t="s">
        <v>7717</v>
      </c>
      <c r="D867" s="2" t="str">
        <f t="shared" ref="D867:E867" si="865">TRIM(B867)</f>
        <v>Maine</v>
      </c>
      <c r="E867" s="2" t="str">
        <f t="shared" si="865"/>
        <v>Bangor</v>
      </c>
    </row>
    <row r="868" spans="1:5">
      <c r="A868" s="111" t="s">
        <v>11011</v>
      </c>
      <c r="B868" s="111" t="s">
        <v>1341</v>
      </c>
      <c r="C868" s="111" t="s">
        <v>11012</v>
      </c>
      <c r="D868" s="2" t="str">
        <f t="shared" ref="D868:E868" si="866">TRIM(B868)</f>
        <v>Maine</v>
      </c>
      <c r="E868" s="2" t="str">
        <f t="shared" si="866"/>
        <v>Kents Hill</v>
      </c>
    </row>
    <row r="869" spans="1:5">
      <c r="A869" s="111" t="s">
        <v>9123</v>
      </c>
      <c r="B869" s="111" t="s">
        <v>1341</v>
      </c>
      <c r="C869" s="111" t="s">
        <v>11014</v>
      </c>
      <c r="D869" s="2" t="str">
        <f t="shared" ref="D869:E869" si="867">TRIM(B869)</f>
        <v>Maine</v>
      </c>
      <c r="E869" s="2" t="str">
        <f t="shared" si="867"/>
        <v>Lee</v>
      </c>
    </row>
    <row r="870" spans="1:5">
      <c r="A870" s="111" t="s">
        <v>11015</v>
      </c>
      <c r="B870" s="111" t="s">
        <v>1341</v>
      </c>
      <c r="C870" s="111" t="s">
        <v>11016</v>
      </c>
      <c r="D870" s="2" t="str">
        <f t="shared" ref="D870:E870" si="868">TRIM(B870)</f>
        <v>Maine</v>
      </c>
      <c r="E870" s="2" t="str">
        <f t="shared" si="868"/>
        <v>Newcastle</v>
      </c>
    </row>
    <row r="871" spans="1:5">
      <c r="A871" s="111" t="s">
        <v>11018</v>
      </c>
      <c r="B871" s="111" t="s">
        <v>1341</v>
      </c>
      <c r="C871" s="111" t="s">
        <v>11019</v>
      </c>
      <c r="D871" s="2" t="str">
        <f t="shared" ref="D871:E871" si="869">TRIM(B871)</f>
        <v>Maine</v>
      </c>
      <c r="E871" s="2" t="str">
        <f t="shared" si="869"/>
        <v>Pittsfield</v>
      </c>
    </row>
    <row r="872" spans="1:5">
      <c r="A872" s="111" t="s">
        <v>11020</v>
      </c>
      <c r="B872" s="111" t="s">
        <v>1341</v>
      </c>
      <c r="C872" s="112" t="s">
        <v>11021</v>
      </c>
      <c r="D872" s="2" t="str">
        <f t="shared" ref="D872:E872" si="870">TRIM(B872)</f>
        <v>Maine</v>
      </c>
      <c r="E872" s="2" t="str">
        <f t="shared" si="870"/>
        <v>Yarmouth</v>
      </c>
    </row>
    <row r="873" spans="1:5">
      <c r="A873" s="111" t="s">
        <v>11023</v>
      </c>
      <c r="B873" s="111" t="s">
        <v>1341</v>
      </c>
      <c r="C873" s="111" t="s">
        <v>9246</v>
      </c>
      <c r="D873" s="2" t="str">
        <f t="shared" ref="D873:E873" si="871">TRIM(B873)</f>
        <v>Maine</v>
      </c>
      <c r="E873" s="2" t="str">
        <f t="shared" si="871"/>
        <v>Freeport</v>
      </c>
    </row>
    <row r="874" spans="1:5">
      <c r="A874" s="111" t="s">
        <v>11024</v>
      </c>
      <c r="B874" s="111" t="s">
        <v>1341</v>
      </c>
      <c r="C874" s="111" t="s">
        <v>11025</v>
      </c>
      <c r="D874" s="2" t="str">
        <f t="shared" ref="D874:E874" si="872">TRIM(B874)</f>
        <v>Maine</v>
      </c>
      <c r="E874" s="2" t="str">
        <f t="shared" si="872"/>
        <v>Bucksport</v>
      </c>
    </row>
    <row r="875" spans="1:5">
      <c r="A875" s="111" t="s">
        <v>11026</v>
      </c>
      <c r="B875" s="111" t="s">
        <v>1341</v>
      </c>
      <c r="C875" s="111" t="s">
        <v>211</v>
      </c>
      <c r="D875" s="2" t="str">
        <f t="shared" ref="D875:E875" si="873">TRIM(B875)</f>
        <v>Maine</v>
      </c>
      <c r="E875" s="2" t="str">
        <f t="shared" si="873"/>
        <v>Auburn</v>
      </c>
    </row>
    <row r="876" spans="1:5">
      <c r="A876" s="111" t="s">
        <v>11027</v>
      </c>
      <c r="B876" s="111" t="s">
        <v>1341</v>
      </c>
      <c r="C876" s="111" t="s">
        <v>11028</v>
      </c>
      <c r="D876" s="2" t="str">
        <f t="shared" ref="D876:E876" si="874">TRIM(B876)</f>
        <v>Maine</v>
      </c>
      <c r="E876" s="2" t="str">
        <f t="shared" si="874"/>
        <v>Waterville</v>
      </c>
    </row>
    <row r="877" spans="1:5">
      <c r="A877" s="111" t="s">
        <v>11030</v>
      </c>
      <c r="B877" s="111" t="s">
        <v>1341</v>
      </c>
      <c r="C877" s="111" t="s">
        <v>11031</v>
      </c>
      <c r="D877" s="2" t="str">
        <f t="shared" ref="D877:E877" si="875">TRIM(B877)</f>
        <v>Maine</v>
      </c>
      <c r="E877" s="2" t="str">
        <f t="shared" si="875"/>
        <v>Edgecomb</v>
      </c>
    </row>
    <row r="878" spans="1:5">
      <c r="A878" s="111" t="s">
        <v>11032</v>
      </c>
      <c r="B878" s="111" t="s">
        <v>1341</v>
      </c>
      <c r="C878" s="111" t="s">
        <v>11033</v>
      </c>
      <c r="D878" s="2" t="str">
        <f t="shared" ref="D878:E878" si="876">TRIM(B878)</f>
        <v>Maine</v>
      </c>
      <c r="E878" s="2" t="str">
        <f t="shared" si="876"/>
        <v>Saco</v>
      </c>
    </row>
    <row r="879" spans="1:5">
      <c r="A879" s="111" t="s">
        <v>11035</v>
      </c>
      <c r="B879" s="111" t="s">
        <v>1341</v>
      </c>
      <c r="C879" s="111" t="s">
        <v>11036</v>
      </c>
      <c r="D879" s="2" t="str">
        <f t="shared" ref="D879:E879" si="877">TRIM(B879)</f>
        <v>Maine</v>
      </c>
      <c r="E879" s="2" t="str">
        <f t="shared" si="877"/>
        <v>East Machias</v>
      </c>
    </row>
    <row r="880" spans="1:5">
      <c r="A880" s="111" t="s">
        <v>11038</v>
      </c>
      <c r="B880" s="111" t="s">
        <v>1341</v>
      </c>
      <c r="C880" s="111" t="s">
        <v>773</v>
      </c>
      <c r="D880" s="2" t="str">
        <f t="shared" ref="D880:E880" si="878">TRIM(B880)</f>
        <v>Maine</v>
      </c>
      <c r="E880" s="2" t="str">
        <f t="shared" si="878"/>
        <v>Camden</v>
      </c>
    </row>
    <row r="881" spans="1:5">
      <c r="A881" s="111" t="s">
        <v>11040</v>
      </c>
      <c r="B881" s="111" t="s">
        <v>1341</v>
      </c>
      <c r="C881" s="111" t="s">
        <v>8643</v>
      </c>
      <c r="D881" s="2" t="str">
        <f t="shared" ref="D881:E881" si="879">TRIM(B881)</f>
        <v>Maine</v>
      </c>
      <c r="E881" s="2" t="str">
        <f t="shared" si="879"/>
        <v>Portland</v>
      </c>
    </row>
    <row r="882" spans="1:5">
      <c r="A882" s="111" t="s">
        <v>11042</v>
      </c>
      <c r="B882" s="111" t="s">
        <v>1342</v>
      </c>
      <c r="C882" s="111" t="s">
        <v>11043</v>
      </c>
      <c r="D882" s="2" t="str">
        <f t="shared" ref="D882:E882" si="880">TRIM(B882)</f>
        <v>Maryland</v>
      </c>
      <c r="E882" s="2" t="str">
        <f t="shared" si="880"/>
        <v>Kensington</v>
      </c>
    </row>
    <row r="883" spans="1:5">
      <c r="A883" s="111" t="s">
        <v>11045</v>
      </c>
      <c r="B883" s="111" t="s">
        <v>1342</v>
      </c>
      <c r="C883" s="111" t="s">
        <v>242</v>
      </c>
      <c r="D883" s="2" t="str">
        <f t="shared" ref="D883:E883" si="881">TRIM(B883)</f>
        <v>Maryland</v>
      </c>
      <c r="E883" s="2" t="str">
        <f t="shared" si="881"/>
        <v>Baltimore</v>
      </c>
    </row>
    <row r="884" spans="1:5">
      <c r="A884" s="111" t="s">
        <v>11047</v>
      </c>
      <c r="B884" s="111" t="s">
        <v>1342</v>
      </c>
      <c r="C884" s="111" t="s">
        <v>11048</v>
      </c>
      <c r="D884" s="2" t="str">
        <f t="shared" ref="D884:E884" si="882">TRIM(B884)</f>
        <v>Maryland</v>
      </c>
      <c r="E884" s="2" t="str">
        <f t="shared" si="882"/>
        <v>Severn</v>
      </c>
    </row>
    <row r="885" spans="1:5">
      <c r="A885" s="111" t="s">
        <v>11050</v>
      </c>
      <c r="B885" s="111" t="s">
        <v>1342</v>
      </c>
      <c r="C885" s="111" t="s">
        <v>11051</v>
      </c>
      <c r="D885" s="2" t="str">
        <f t="shared" ref="D885:E885" si="883">TRIM(B885)</f>
        <v>Maryland</v>
      </c>
      <c r="E885" s="2" t="str">
        <f t="shared" si="883"/>
        <v>Gaithersburg</v>
      </c>
    </row>
    <row r="886" spans="1:5">
      <c r="A886" s="111" t="s">
        <v>11053</v>
      </c>
      <c r="B886" s="111" t="s">
        <v>1342</v>
      </c>
      <c r="C886" s="111" t="s">
        <v>11054</v>
      </c>
      <c r="D886" s="2" t="str">
        <f t="shared" ref="D886:E886" si="884">TRIM(B886)</f>
        <v>Maryland</v>
      </c>
      <c r="E886" s="2" t="str">
        <f t="shared" si="884"/>
        <v>Silver Spring</v>
      </c>
    </row>
    <row r="887" spans="1:5">
      <c r="A887" s="111" t="s">
        <v>11056</v>
      </c>
      <c r="B887" s="111" t="s">
        <v>1342</v>
      </c>
      <c r="C887" s="111" t="s">
        <v>5048</v>
      </c>
      <c r="D887" s="2" t="str">
        <f t="shared" ref="D887:E887" si="885">TRIM(B887)</f>
        <v>Maryland</v>
      </c>
      <c r="E887" s="2" t="str">
        <f t="shared" si="885"/>
        <v>Forestville</v>
      </c>
    </row>
    <row r="888" spans="1:5">
      <c r="A888" s="111" t="s">
        <v>11057</v>
      </c>
      <c r="B888" s="111" t="s">
        <v>1342</v>
      </c>
      <c r="C888" s="111" t="s">
        <v>11058</v>
      </c>
      <c r="D888" s="2" t="str">
        <f t="shared" ref="D888:E888" si="886">TRIM(B888)</f>
        <v>Maryland</v>
      </c>
      <c r="E888" s="2" t="str">
        <f t="shared" si="886"/>
        <v>Cumberland</v>
      </c>
    </row>
    <row r="889" spans="1:5">
      <c r="A889" s="111" t="s">
        <v>11059</v>
      </c>
      <c r="B889" s="111" t="s">
        <v>1342</v>
      </c>
      <c r="C889" s="111" t="s">
        <v>11060</v>
      </c>
      <c r="D889" s="2" t="str">
        <f t="shared" ref="D889:E889" si="887">TRIM(B889)</f>
        <v>Maryland</v>
      </c>
      <c r="E889" s="2" t="str">
        <f t="shared" si="887"/>
        <v>Potomac</v>
      </c>
    </row>
    <row r="890" spans="1:5">
      <c r="A890" s="111" t="s">
        <v>11063</v>
      </c>
      <c r="B890" s="111" t="s">
        <v>1342</v>
      </c>
      <c r="C890" s="111" t="s">
        <v>242</v>
      </c>
      <c r="D890" s="2" t="str">
        <f t="shared" ref="D890:E890" si="888">TRIM(B890)</f>
        <v>Maryland</v>
      </c>
      <c r="E890" s="2" t="str">
        <f t="shared" si="888"/>
        <v>Baltimore</v>
      </c>
    </row>
    <row r="891" spans="1:5">
      <c r="A891" s="111" t="s">
        <v>11066</v>
      </c>
      <c r="B891" s="111" t="s">
        <v>1342</v>
      </c>
      <c r="C891" s="111" t="s">
        <v>11067</v>
      </c>
      <c r="D891" s="2" t="str">
        <f t="shared" ref="D891:E891" si="889">TRIM(B891)</f>
        <v>Maryland</v>
      </c>
      <c r="E891" s="2" t="str">
        <f t="shared" si="889"/>
        <v>Towson</v>
      </c>
    </row>
    <row r="892" spans="1:5">
      <c r="A892" s="111" t="s">
        <v>11069</v>
      </c>
      <c r="B892" s="111" t="s">
        <v>1342</v>
      </c>
      <c r="C892" s="111" t="s">
        <v>11060</v>
      </c>
      <c r="D892" s="2" t="str">
        <f t="shared" ref="D892:E892" si="890">TRIM(B892)</f>
        <v>Maryland</v>
      </c>
      <c r="E892" s="2" t="str">
        <f t="shared" si="890"/>
        <v>Potomac</v>
      </c>
    </row>
    <row r="893" spans="1:5">
      <c r="A893" s="111" t="s">
        <v>11071</v>
      </c>
      <c r="B893" s="111" t="s">
        <v>1342</v>
      </c>
      <c r="C893" s="111" t="s">
        <v>11072</v>
      </c>
      <c r="D893" s="2" t="str">
        <f t="shared" ref="D893:E893" si="891">TRIM(B893)</f>
        <v>Maryland</v>
      </c>
      <c r="E893" s="2" t="str">
        <f t="shared" si="891"/>
        <v>Bladensburg</v>
      </c>
    </row>
    <row r="894" spans="1:5">
      <c r="A894" s="111" t="s">
        <v>11074</v>
      </c>
      <c r="B894" s="111" t="s">
        <v>1342</v>
      </c>
      <c r="C894" s="111" t="s">
        <v>1300</v>
      </c>
      <c r="D894" s="2" t="str">
        <f t="shared" ref="D894:E894" si="892">TRIM(B894)</f>
        <v>Maryland</v>
      </c>
      <c r="E894" s="2" t="str">
        <f t="shared" si="892"/>
        <v>Upper Marlboro</v>
      </c>
    </row>
    <row r="895" spans="1:5">
      <c r="A895" s="111" t="s">
        <v>11076</v>
      </c>
      <c r="B895" s="111" t="s">
        <v>1342</v>
      </c>
      <c r="C895" s="111" t="s">
        <v>11077</v>
      </c>
      <c r="D895" s="2" t="str">
        <f t="shared" ref="D895:E895" si="893">TRIM(B895)</f>
        <v>Maryland</v>
      </c>
      <c r="E895" s="2" t="str">
        <f t="shared" si="893"/>
        <v>Ijamsville</v>
      </c>
    </row>
    <row r="896" spans="1:5">
      <c r="A896" s="111" t="s">
        <v>11080</v>
      </c>
      <c r="B896" s="111" t="s">
        <v>1342</v>
      </c>
      <c r="C896" s="111" t="s">
        <v>11081</v>
      </c>
      <c r="D896" s="2" t="str">
        <f t="shared" ref="D896:E896" si="894">TRIM(B896)</f>
        <v>Maryland</v>
      </c>
      <c r="E896" s="2" t="str">
        <f t="shared" si="894"/>
        <v>North Bethesda</v>
      </c>
    </row>
    <row r="897" spans="1:6">
      <c r="A897" s="111" t="s">
        <v>11083</v>
      </c>
      <c r="B897" s="111" t="s">
        <v>1342</v>
      </c>
      <c r="C897" s="111" t="s">
        <v>11084</v>
      </c>
      <c r="D897" s="2" t="str">
        <f t="shared" ref="D897:E897" si="895">TRIM(B897)</f>
        <v>Maryland</v>
      </c>
      <c r="E897" s="2" t="str">
        <f t="shared" si="895"/>
        <v>Finksburg</v>
      </c>
    </row>
    <row r="898" spans="1:6">
      <c r="A898" s="111" t="s">
        <v>11087</v>
      </c>
      <c r="B898" s="111" t="s">
        <v>1342</v>
      </c>
      <c r="C898" s="111" t="s">
        <v>242</v>
      </c>
      <c r="D898" s="2" t="str">
        <f t="shared" ref="D898:E898" si="896">TRIM(B898)</f>
        <v>Maryland</v>
      </c>
      <c r="E898" s="2" t="str">
        <f t="shared" si="896"/>
        <v>Baltimore</v>
      </c>
    </row>
    <row r="899" spans="1:6">
      <c r="A899" s="111" t="s">
        <v>11088</v>
      </c>
      <c r="B899" s="111" t="s">
        <v>1342</v>
      </c>
      <c r="C899" s="111" t="s">
        <v>11089</v>
      </c>
      <c r="D899" s="2" t="str">
        <f t="shared" ref="D899:E899" si="897">TRIM(B899)</f>
        <v>Maryland</v>
      </c>
      <c r="E899" s="2" t="str">
        <f t="shared" si="897"/>
        <v>Ellicott City</v>
      </c>
    </row>
    <row r="900" spans="1:6">
      <c r="A900" s="111" t="s">
        <v>11092</v>
      </c>
      <c r="B900" s="111" t="s">
        <v>1342</v>
      </c>
      <c r="C900" s="111" t="s">
        <v>11093</v>
      </c>
      <c r="D900" s="2" t="str">
        <f t="shared" ref="D900:E900" si="898">TRIM(B900)</f>
        <v>Maryland</v>
      </c>
      <c r="E900" s="2" t="str">
        <f t="shared" si="898"/>
        <v>Hagerstown</v>
      </c>
    </row>
    <row r="901" spans="1:6">
      <c r="A901" s="111" t="s">
        <v>2835</v>
      </c>
      <c r="B901" s="111" t="s">
        <v>1342</v>
      </c>
      <c r="C901" s="111" t="s">
        <v>11093</v>
      </c>
      <c r="D901" s="2" t="str">
        <f t="shared" ref="D901:E901" si="899">TRIM(B901)</f>
        <v>Maryland</v>
      </c>
      <c r="E901" s="2" t="str">
        <f t="shared" si="899"/>
        <v>Hagerstown</v>
      </c>
    </row>
    <row r="902" spans="1:6">
      <c r="A902" s="111" t="s">
        <v>11096</v>
      </c>
      <c r="B902" s="111" t="s">
        <v>1342</v>
      </c>
      <c r="C902" s="111" t="s">
        <v>11097</v>
      </c>
      <c r="D902" s="2" t="str">
        <f t="shared" ref="D902:E902" si="900">TRIM(B902)</f>
        <v>Maryland</v>
      </c>
      <c r="E902" s="2" t="str">
        <f t="shared" si="900"/>
        <v>Lanham Md</v>
      </c>
    </row>
    <row r="903" spans="1:6">
      <c r="A903" s="111" t="s">
        <v>11100</v>
      </c>
      <c r="B903" s="111" t="s">
        <v>1342</v>
      </c>
      <c r="C903" s="111" t="s">
        <v>11101</v>
      </c>
      <c r="D903" s="2" t="str">
        <f t="shared" ref="D903:E903" si="901">TRIM(B903)</f>
        <v>Maryland</v>
      </c>
      <c r="E903" s="2" t="str">
        <f t="shared" si="901"/>
        <v>Bethesda</v>
      </c>
    </row>
    <row r="904" spans="1:6">
      <c r="A904" s="111" t="s">
        <v>11103</v>
      </c>
      <c r="B904" s="111" t="s">
        <v>1342</v>
      </c>
      <c r="C904" s="111" t="s">
        <v>11093</v>
      </c>
      <c r="D904" s="2" t="str">
        <f t="shared" ref="D904:E904" si="902">TRIM(B904)</f>
        <v>Maryland</v>
      </c>
      <c r="E904" s="2" t="str">
        <f t="shared" si="902"/>
        <v>Hagerstown</v>
      </c>
    </row>
    <row r="905" spans="1:6">
      <c r="A905" s="111" t="s">
        <v>11106</v>
      </c>
      <c r="B905" s="111" t="s">
        <v>1342</v>
      </c>
      <c r="C905" s="111" t="s">
        <v>11107</v>
      </c>
      <c r="D905" s="2" t="str">
        <f t="shared" ref="D905:E905" si="903">TRIM(B905)</f>
        <v>Maryland</v>
      </c>
      <c r="E905" s="2" t="str">
        <f t="shared" si="903"/>
        <v>Crownsville</v>
      </c>
    </row>
    <row r="906" spans="1:6">
      <c r="A906" s="111" t="s">
        <v>11110</v>
      </c>
      <c r="B906" s="111" t="s">
        <v>1342</v>
      </c>
      <c r="C906" s="111" t="s">
        <v>242</v>
      </c>
      <c r="D906" s="2" t="str">
        <f t="shared" ref="D906:E906" si="904">TRIM(B906)</f>
        <v>Maryland</v>
      </c>
      <c r="E906" s="2" t="str">
        <f t="shared" si="904"/>
        <v>Baltimore</v>
      </c>
    </row>
    <row r="907" spans="1:6">
      <c r="A907" s="111" t="s">
        <v>11113</v>
      </c>
      <c r="B907" s="111" t="s">
        <v>1342</v>
      </c>
      <c r="C907" s="111" t="s">
        <v>11114</v>
      </c>
      <c r="D907" s="2" t="str">
        <f t="shared" ref="D907:E907" si="905">TRIM(B907)</f>
        <v>Maryland</v>
      </c>
      <c r="E907" s="2" t="str">
        <f t="shared" si="905"/>
        <v>Owings Mills</v>
      </c>
    </row>
    <row r="908" spans="1:6">
      <c r="A908" s="111" t="s">
        <v>11116</v>
      </c>
      <c r="B908" s="111" t="s">
        <v>1342</v>
      </c>
      <c r="C908" s="111" t="s">
        <v>11117</v>
      </c>
      <c r="D908" s="2" t="str">
        <f t="shared" ref="D908:E908" si="906">TRIM(B908)</f>
        <v>Maryland</v>
      </c>
      <c r="E908" s="2" t="str">
        <f t="shared" si="906"/>
        <v>Bel Air</v>
      </c>
    </row>
    <row r="909" spans="1:6">
      <c r="A909" s="111" t="s">
        <v>11120</v>
      </c>
      <c r="B909" s="111" t="s">
        <v>1342</v>
      </c>
      <c r="C909" s="111" t="s">
        <v>11121</v>
      </c>
      <c r="D909" s="2" t="str">
        <f t="shared" ref="D909:E909" si="907">TRIM(B909)</f>
        <v>Maryland</v>
      </c>
      <c r="E909" s="2" t="str">
        <f t="shared" si="907"/>
        <v>Annapolis</v>
      </c>
    </row>
    <row r="910" spans="1:6">
      <c r="A910" s="111" t="s">
        <v>11124</v>
      </c>
      <c r="B910" s="111" t="s">
        <v>1342</v>
      </c>
      <c r="C910" s="111" t="s">
        <v>11125</v>
      </c>
      <c r="D910" s="2" t="str">
        <f t="shared" ref="D910:E910" si="908">TRIM(B910)</f>
        <v>Maryland</v>
      </c>
      <c r="E910" s="2" t="str">
        <f t="shared" si="908"/>
        <v>Leonardtown</v>
      </c>
    </row>
    <row r="911" spans="1:6">
      <c r="A911" s="111" t="s">
        <v>11127</v>
      </c>
      <c r="B911" s="111" t="s">
        <v>1342</v>
      </c>
      <c r="C911" s="111" t="s">
        <v>242</v>
      </c>
      <c r="D911" s="2" t="str">
        <f t="shared" ref="D911:E911" si="909">TRIM(B911)</f>
        <v>Maryland</v>
      </c>
      <c r="E911" s="2" t="str">
        <f t="shared" si="909"/>
        <v>Baltimore</v>
      </c>
      <c r="F911" s="122"/>
    </row>
    <row r="912" spans="1:6">
      <c r="A912" s="111" t="s">
        <v>11129</v>
      </c>
      <c r="B912" s="111" t="s">
        <v>1342</v>
      </c>
      <c r="C912" s="111" t="s">
        <v>11130</v>
      </c>
      <c r="D912" s="2" t="str">
        <f t="shared" ref="D912:E912" si="910">TRIM(B912)</f>
        <v>Maryland</v>
      </c>
      <c r="E912" s="2" t="str">
        <f t="shared" si="910"/>
        <v>Lutherville</v>
      </c>
      <c r="F912" s="122"/>
    </row>
    <row r="913" spans="1:5">
      <c r="A913" s="111" t="s">
        <v>11132</v>
      </c>
      <c r="B913" s="111" t="s">
        <v>1342</v>
      </c>
      <c r="C913" s="111" t="s">
        <v>11060</v>
      </c>
      <c r="D913" s="2" t="str">
        <f t="shared" ref="D913:E913" si="911">TRIM(B913)</f>
        <v>Maryland</v>
      </c>
      <c r="E913" s="2" t="str">
        <f t="shared" si="911"/>
        <v>Potomac</v>
      </c>
    </row>
    <row r="914" spans="1:5">
      <c r="A914" s="111" t="s">
        <v>11134</v>
      </c>
      <c r="B914" s="111" t="s">
        <v>1342</v>
      </c>
      <c r="C914" s="111" t="s">
        <v>11114</v>
      </c>
      <c r="D914" s="2" t="str">
        <f t="shared" ref="D914:E914" si="912">TRIM(B914)</f>
        <v>Maryland</v>
      </c>
      <c r="E914" s="2" t="str">
        <f t="shared" si="912"/>
        <v>Owings Mills</v>
      </c>
    </row>
    <row r="915" spans="1:5">
      <c r="A915" s="111" t="s">
        <v>9435</v>
      </c>
      <c r="B915" s="111" t="s">
        <v>1342</v>
      </c>
      <c r="C915" s="111" t="s">
        <v>242</v>
      </c>
      <c r="D915" s="2" t="str">
        <f t="shared" ref="D915:E915" si="913">TRIM(B915)</f>
        <v>Maryland</v>
      </c>
      <c r="E915" s="2" t="str">
        <f t="shared" si="913"/>
        <v>Baltimore</v>
      </c>
    </row>
    <row r="916" spans="1:5">
      <c r="A916" s="111" t="s">
        <v>11136</v>
      </c>
      <c r="B916" s="111" t="s">
        <v>1342</v>
      </c>
      <c r="C916" s="111" t="s">
        <v>242</v>
      </c>
      <c r="D916" s="2" t="str">
        <f t="shared" ref="D916:E916" si="914">TRIM(B916)</f>
        <v>Maryland</v>
      </c>
      <c r="E916" s="2" t="str">
        <f t="shared" si="914"/>
        <v>Baltimore</v>
      </c>
    </row>
    <row r="917" spans="1:5">
      <c r="A917" s="111" t="s">
        <v>11138</v>
      </c>
      <c r="B917" s="111" t="s">
        <v>1342</v>
      </c>
      <c r="C917" s="111" t="s">
        <v>242</v>
      </c>
      <c r="D917" s="2" t="str">
        <f t="shared" ref="D917:E917" si="915">TRIM(B917)</f>
        <v>Maryland</v>
      </c>
      <c r="E917" s="2" t="str">
        <f t="shared" si="915"/>
        <v>Baltimore</v>
      </c>
    </row>
    <row r="918" spans="1:5">
      <c r="A918" s="111" t="s">
        <v>11140</v>
      </c>
      <c r="B918" s="111" t="s">
        <v>1342</v>
      </c>
      <c r="C918" s="111" t="s">
        <v>11141</v>
      </c>
      <c r="D918" s="2" t="str">
        <f t="shared" ref="D918:E918" si="916">TRIM(B918)</f>
        <v>Maryland</v>
      </c>
      <c r="E918" s="2" t="str">
        <f t="shared" si="916"/>
        <v>Landover Hills</v>
      </c>
    </row>
    <row r="919" spans="1:5">
      <c r="A919" s="111" t="s">
        <v>11144</v>
      </c>
      <c r="B919" s="111" t="s">
        <v>1342</v>
      </c>
      <c r="C919" s="111" t="s">
        <v>11067</v>
      </c>
      <c r="D919" s="2" t="str">
        <f t="shared" ref="D919:E919" si="917">TRIM(B919)</f>
        <v>Maryland</v>
      </c>
      <c r="E919" s="2" t="str">
        <f t="shared" si="917"/>
        <v>Towson</v>
      </c>
    </row>
    <row r="920" spans="1:5">
      <c r="A920" s="111" t="s">
        <v>11146</v>
      </c>
      <c r="B920" s="111" t="s">
        <v>1342</v>
      </c>
      <c r="C920" s="111" t="s">
        <v>11147</v>
      </c>
      <c r="D920" s="2" t="str">
        <f t="shared" ref="D920:E920" si="918">TRIM(B920)</f>
        <v>Maryland</v>
      </c>
      <c r="E920" s="2" t="str">
        <f t="shared" si="918"/>
        <v>Sparks Glencoe</v>
      </c>
    </row>
    <row r="921" spans="1:5">
      <c r="A921" s="111" t="s">
        <v>11150</v>
      </c>
      <c r="B921" s="111" t="s">
        <v>1342</v>
      </c>
      <c r="C921" s="111" t="s">
        <v>11151</v>
      </c>
      <c r="D921" s="2" t="str">
        <f t="shared" ref="D921:E921" si="919">TRIM(B921)</f>
        <v>Maryland</v>
      </c>
      <c r="E921" s="2" t="str">
        <f t="shared" si="919"/>
        <v>Essex</v>
      </c>
    </row>
    <row r="922" spans="1:5">
      <c r="A922" s="111" t="s">
        <v>11152</v>
      </c>
      <c r="B922" s="111" t="s">
        <v>1342</v>
      </c>
      <c r="C922" s="111" t="s">
        <v>242</v>
      </c>
      <c r="D922" s="2" t="str">
        <f t="shared" ref="D922:E922" si="920">TRIM(B922)</f>
        <v>Maryland</v>
      </c>
      <c r="E922" s="2" t="str">
        <f t="shared" si="920"/>
        <v>Baltimore</v>
      </c>
    </row>
    <row r="923" spans="1:5">
      <c r="A923" s="111" t="s">
        <v>11155</v>
      </c>
      <c r="B923" s="111" t="s">
        <v>1342</v>
      </c>
      <c r="C923" s="111" t="s">
        <v>11156</v>
      </c>
      <c r="D923" s="2" t="str">
        <f t="shared" ref="D923:E923" si="921">TRIM(B923)</f>
        <v>Maryland</v>
      </c>
      <c r="E923" s="2" t="str">
        <f t="shared" si="921"/>
        <v>Sandy Spring</v>
      </c>
    </row>
    <row r="924" spans="1:5">
      <c r="A924" s="111" t="s">
        <v>11158</v>
      </c>
      <c r="B924" s="111" t="s">
        <v>1342</v>
      </c>
      <c r="C924" s="111" t="s">
        <v>11159</v>
      </c>
      <c r="D924" s="2" t="str">
        <f t="shared" ref="D924:E924" si="922">TRIM(B924)</f>
        <v>Maryland</v>
      </c>
      <c r="E924" s="2" t="str">
        <f t="shared" si="922"/>
        <v>Keymar</v>
      </c>
    </row>
    <row r="925" spans="1:5">
      <c r="A925" s="111" t="s">
        <v>11162</v>
      </c>
      <c r="B925" s="111" t="s">
        <v>1342</v>
      </c>
      <c r="C925" s="111" t="s">
        <v>11163</v>
      </c>
      <c r="D925" s="2" t="str">
        <f t="shared" ref="D925:E925" si="923">TRIM(B925)</f>
        <v>Maryland</v>
      </c>
      <c r="E925" s="2" t="str">
        <f t="shared" si="923"/>
        <v>White Plains</v>
      </c>
    </row>
    <row r="926" spans="1:5">
      <c r="A926" s="111" t="s">
        <v>11164</v>
      </c>
      <c r="B926" s="111" t="s">
        <v>1342</v>
      </c>
      <c r="C926" s="111" t="s">
        <v>9761</v>
      </c>
      <c r="D926" s="2" t="str">
        <f t="shared" ref="D926:E926" si="924">TRIM(B926)</f>
        <v>Maryland</v>
      </c>
      <c r="E926" s="2" t="str">
        <f t="shared" si="924"/>
        <v>Easton</v>
      </c>
    </row>
    <row r="927" spans="1:5">
      <c r="A927" s="111" t="s">
        <v>11167</v>
      </c>
      <c r="B927" s="111" t="s">
        <v>1342</v>
      </c>
      <c r="C927" s="111" t="s">
        <v>242</v>
      </c>
      <c r="D927" s="2" t="str">
        <f t="shared" ref="D927:E927" si="925">TRIM(B927)</f>
        <v>Maryland</v>
      </c>
      <c r="E927" s="2" t="str">
        <f t="shared" si="925"/>
        <v>Baltimore</v>
      </c>
    </row>
    <row r="928" spans="1:5">
      <c r="A928" s="111" t="s">
        <v>11169</v>
      </c>
      <c r="B928" s="111" t="s">
        <v>1342</v>
      </c>
      <c r="C928" s="111" t="s">
        <v>242</v>
      </c>
      <c r="D928" s="2" t="str">
        <f t="shared" ref="D928:E928" si="926">TRIM(B928)</f>
        <v>Maryland</v>
      </c>
      <c r="E928" s="2" t="str">
        <f t="shared" si="926"/>
        <v>Baltimore</v>
      </c>
    </row>
    <row r="929" spans="1:5">
      <c r="A929" s="111" t="s">
        <v>11171</v>
      </c>
      <c r="B929" s="111" t="s">
        <v>1342</v>
      </c>
      <c r="C929" s="111" t="s">
        <v>11093</v>
      </c>
      <c r="D929" s="2" t="str">
        <f t="shared" ref="D929:E929" si="927">TRIM(B929)</f>
        <v>Maryland</v>
      </c>
      <c r="E929" s="2" t="str">
        <f t="shared" si="927"/>
        <v>Hagerstown</v>
      </c>
    </row>
    <row r="930" spans="1:5">
      <c r="A930" s="111" t="s">
        <v>11173</v>
      </c>
      <c r="B930" s="111" t="s">
        <v>1342</v>
      </c>
      <c r="C930" s="111" t="s">
        <v>11093</v>
      </c>
      <c r="D930" s="2" t="str">
        <f t="shared" ref="D930:E930" si="928">TRIM(B930)</f>
        <v>Maryland</v>
      </c>
      <c r="E930" s="2" t="str">
        <f t="shared" si="928"/>
        <v>Hagerstown</v>
      </c>
    </row>
    <row r="931" spans="1:5">
      <c r="A931" s="111" t="s">
        <v>11175</v>
      </c>
      <c r="B931" s="111" t="s">
        <v>1342</v>
      </c>
      <c r="C931" s="111" t="s">
        <v>11125</v>
      </c>
      <c r="D931" s="2" t="str">
        <f t="shared" ref="D931:E931" si="929">TRIM(B931)</f>
        <v>Maryland</v>
      </c>
      <c r="E931" s="2" t="str">
        <f t="shared" si="929"/>
        <v>Leonardtown</v>
      </c>
    </row>
    <row r="932" spans="1:5">
      <c r="A932" s="111" t="s">
        <v>9096</v>
      </c>
      <c r="B932" s="111" t="s">
        <v>1342</v>
      </c>
      <c r="C932" s="111" t="s">
        <v>11121</v>
      </c>
      <c r="D932" s="2" t="str">
        <f t="shared" ref="D932:E932" si="930">TRIM(B932)</f>
        <v>Maryland</v>
      </c>
      <c r="E932" s="2" t="str">
        <f t="shared" si="930"/>
        <v>Annapolis</v>
      </c>
    </row>
    <row r="933" spans="1:5">
      <c r="A933" s="76" t="s">
        <v>11179</v>
      </c>
      <c r="B933" s="111" t="s">
        <v>1342</v>
      </c>
      <c r="C933" s="111" t="s">
        <v>11180</v>
      </c>
      <c r="D933" s="2" t="str">
        <f t="shared" ref="D933:E933" si="931">TRIM(B933)</f>
        <v>Maryland</v>
      </c>
      <c r="E933" s="2" t="str">
        <f t="shared" si="931"/>
        <v>Brooklandville</v>
      </c>
    </row>
    <row r="934" spans="1:5">
      <c r="A934" s="111" t="s">
        <v>11183</v>
      </c>
      <c r="B934" s="111" t="s">
        <v>1342</v>
      </c>
      <c r="C934" s="111" t="s">
        <v>8825</v>
      </c>
      <c r="D934" s="2" t="str">
        <f t="shared" ref="D934:E934" si="932">TRIM(B934)</f>
        <v>Maryland</v>
      </c>
      <c r="E934" s="2" t="str">
        <f t="shared" si="932"/>
        <v>Laurel</v>
      </c>
    </row>
    <row r="935" spans="1:5">
      <c r="A935" s="111" t="s">
        <v>11186</v>
      </c>
      <c r="B935" s="111" t="s">
        <v>1342</v>
      </c>
      <c r="C935" s="111" t="s">
        <v>11187</v>
      </c>
      <c r="D935" s="2" t="str">
        <f t="shared" ref="D935:E935" si="933">TRIM(B935)</f>
        <v>Maryland</v>
      </c>
      <c r="E935" s="2" t="str">
        <f t="shared" si="933"/>
        <v>Fruitland</v>
      </c>
    </row>
    <row r="936" spans="1:5">
      <c r="A936" s="111" t="s">
        <v>11188</v>
      </c>
      <c r="B936" s="111" t="s">
        <v>1342</v>
      </c>
      <c r="C936" s="111" t="s">
        <v>11190</v>
      </c>
      <c r="D936" s="2" t="str">
        <f t="shared" ref="D936:E936" si="934">TRIM(B936)</f>
        <v>Maryland</v>
      </c>
      <c r="E936" s="2" t="str">
        <f t="shared" si="934"/>
        <v>Joppa</v>
      </c>
    </row>
    <row r="937" spans="1:5">
      <c r="A937" s="111" t="s">
        <v>11191</v>
      </c>
      <c r="B937" s="111" t="s">
        <v>1342</v>
      </c>
      <c r="C937" s="111" t="s">
        <v>11101</v>
      </c>
      <c r="D937" s="2" t="str">
        <f t="shared" ref="D937:E937" si="935">TRIM(B937)</f>
        <v>Maryland</v>
      </c>
      <c r="E937" s="2" t="str">
        <f t="shared" si="935"/>
        <v>Bethesda</v>
      </c>
    </row>
    <row r="938" spans="1:5">
      <c r="A938" s="111" t="s">
        <v>11193</v>
      </c>
      <c r="B938" s="111" t="s">
        <v>1342</v>
      </c>
      <c r="C938" s="111" t="s">
        <v>11195</v>
      </c>
      <c r="D938" s="2" t="str">
        <f t="shared" ref="D938:E938" si="936">TRIM(B938)</f>
        <v>Maryland</v>
      </c>
      <c r="E938" s="2" t="str">
        <f t="shared" si="936"/>
        <v>Takoma Park</v>
      </c>
    </row>
    <row r="939" spans="1:5">
      <c r="A939" s="111" t="s">
        <v>11197</v>
      </c>
      <c r="B939" s="111" t="s">
        <v>1342</v>
      </c>
      <c r="C939" s="111" t="s">
        <v>242</v>
      </c>
      <c r="D939" s="2" t="str">
        <f t="shared" ref="D939:E939" si="937">TRIM(B939)</f>
        <v>Maryland</v>
      </c>
      <c r="E939" s="2" t="str">
        <f t="shared" si="937"/>
        <v>Baltimore</v>
      </c>
    </row>
    <row r="940" spans="1:5">
      <c r="A940" s="111" t="s">
        <v>11198</v>
      </c>
      <c r="B940" s="111" t="s">
        <v>1342</v>
      </c>
      <c r="C940" s="111" t="s">
        <v>242</v>
      </c>
      <c r="D940" s="2" t="str">
        <f t="shared" ref="D940:E940" si="938">TRIM(B940)</f>
        <v>Maryland</v>
      </c>
      <c r="E940" s="2" t="str">
        <f t="shared" si="938"/>
        <v>Baltimore</v>
      </c>
    </row>
    <row r="941" spans="1:5">
      <c r="A941" s="111" t="s">
        <v>11201</v>
      </c>
      <c r="B941" s="111" t="s">
        <v>1342</v>
      </c>
      <c r="C941" s="111" t="s">
        <v>11202</v>
      </c>
      <c r="D941" s="2" t="str">
        <f t="shared" ref="D941:E941" si="939">TRIM(B941)</f>
        <v>Maryland</v>
      </c>
      <c r="E941" s="2" t="str">
        <f t="shared" si="939"/>
        <v>Huntingtown</v>
      </c>
    </row>
    <row r="942" spans="1:5">
      <c r="A942" s="111" t="s">
        <v>11204</v>
      </c>
      <c r="B942" s="111" t="s">
        <v>1342</v>
      </c>
      <c r="C942" s="111" t="s">
        <v>1619</v>
      </c>
      <c r="D942" s="2" t="str">
        <f t="shared" ref="D942:E942" si="940">TRIM(B942)</f>
        <v>Maryland</v>
      </c>
      <c r="E942" s="2" t="str">
        <f t="shared" si="940"/>
        <v>Centreville</v>
      </c>
    </row>
    <row r="943" spans="1:5">
      <c r="A943" s="111" t="s">
        <v>11206</v>
      </c>
      <c r="B943" s="111" t="s">
        <v>1342</v>
      </c>
      <c r="C943" s="111" t="s">
        <v>11060</v>
      </c>
      <c r="D943" s="2" t="str">
        <f t="shared" ref="D943:E943" si="941">TRIM(B943)</f>
        <v>Maryland</v>
      </c>
      <c r="E943" s="2" t="str">
        <f t="shared" si="941"/>
        <v>Potomac</v>
      </c>
    </row>
    <row r="944" spans="1:5">
      <c r="A944" s="111" t="s">
        <v>11209</v>
      </c>
      <c r="B944" s="111" t="s">
        <v>1342</v>
      </c>
      <c r="C944" s="111" t="s">
        <v>422</v>
      </c>
      <c r="D944" s="2" t="str">
        <f t="shared" ref="D944:E944" si="942">TRIM(B944)</f>
        <v>Maryland</v>
      </c>
      <c r="E944" s="2" t="str">
        <f t="shared" si="942"/>
        <v>Salisbury</v>
      </c>
    </row>
    <row r="945" spans="1:5">
      <c r="A945" s="111" t="s">
        <v>11211</v>
      </c>
      <c r="B945" s="111" t="s">
        <v>1342</v>
      </c>
      <c r="C945" s="111" t="s">
        <v>11212</v>
      </c>
      <c r="D945" s="2" t="str">
        <f t="shared" ref="D945:E945" si="943">TRIM(B945)</f>
        <v>Maryland</v>
      </c>
      <c r="E945" s="2" t="str">
        <f t="shared" si="943"/>
        <v>North East</v>
      </c>
    </row>
    <row r="946" spans="1:5">
      <c r="A946" s="111" t="s">
        <v>11213</v>
      </c>
      <c r="B946" s="111" t="s">
        <v>1342</v>
      </c>
      <c r="C946" s="111" t="s">
        <v>11214</v>
      </c>
      <c r="D946" s="2" t="str">
        <f t="shared" ref="D946:E946" si="944">TRIM(B946)</f>
        <v>Maryland</v>
      </c>
      <c r="E946" s="2" t="str">
        <f t="shared" si="944"/>
        <v>Gwynn Oak</v>
      </c>
    </row>
    <row r="947" spans="1:5">
      <c r="A947" s="111" t="s">
        <v>11216</v>
      </c>
      <c r="B947" s="111" t="s">
        <v>1342</v>
      </c>
      <c r="C947" s="111" t="s">
        <v>11217</v>
      </c>
      <c r="D947" s="2" t="str">
        <f t="shared" ref="D947:E947" si="945">TRIM(B947)</f>
        <v>Maryland</v>
      </c>
      <c r="E947" s="2" t="str">
        <f t="shared" si="945"/>
        <v>Colora</v>
      </c>
    </row>
    <row r="948" spans="1:5">
      <c r="A948" s="111" t="s">
        <v>11219</v>
      </c>
      <c r="B948" s="111" t="s">
        <v>1342</v>
      </c>
      <c r="C948" s="111" t="s">
        <v>242</v>
      </c>
      <c r="D948" s="2" t="str">
        <f t="shared" ref="D948:E948" si="946">TRIM(B948)</f>
        <v>Maryland</v>
      </c>
      <c r="E948" s="2" t="str">
        <f t="shared" si="946"/>
        <v>Baltimore</v>
      </c>
    </row>
    <row r="949" spans="1:5">
      <c r="A949" s="111" t="s">
        <v>11221</v>
      </c>
      <c r="B949" s="111" t="s">
        <v>1342</v>
      </c>
      <c r="C949" s="111" t="s">
        <v>8338</v>
      </c>
      <c r="D949" s="2" t="str">
        <f t="shared" ref="D949:E949" si="947">TRIM(B949)</f>
        <v>Maryland</v>
      </c>
      <c r="E949" s="2" t="str">
        <f t="shared" si="947"/>
        <v>Berlin</v>
      </c>
    </row>
    <row r="950" spans="1:5">
      <c r="A950" s="111" t="s">
        <v>11223</v>
      </c>
      <c r="B950" s="111" t="s">
        <v>1342</v>
      </c>
      <c r="C950" s="111" t="s">
        <v>1619</v>
      </c>
      <c r="D950" s="2" t="str">
        <f t="shared" ref="D950:E950" si="948">TRIM(B950)</f>
        <v>Maryland</v>
      </c>
      <c r="E950" s="2" t="str">
        <f t="shared" si="948"/>
        <v>Centreville</v>
      </c>
    </row>
    <row r="951" spans="1:5">
      <c r="A951" s="111" t="s">
        <v>11224</v>
      </c>
      <c r="B951" s="111" t="s">
        <v>1343</v>
      </c>
      <c r="C951" s="111" t="s">
        <v>11225</v>
      </c>
      <c r="D951" s="2" t="str">
        <f t="shared" ref="D951:E951" si="949">TRIM(B951)</f>
        <v>Massachusetts</v>
      </c>
      <c r="E951" s="2" t="str">
        <f t="shared" si="949"/>
        <v>Tyngsboro</v>
      </c>
    </row>
    <row r="952" spans="1:5">
      <c r="A952" s="111" t="s">
        <v>11227</v>
      </c>
      <c r="B952" s="111" t="s">
        <v>1343</v>
      </c>
      <c r="C952" s="111" t="s">
        <v>11228</v>
      </c>
      <c r="D952" s="2" t="str">
        <f t="shared" ref="D952:E952" si="950">TRIM(B952)</f>
        <v>Massachusetts</v>
      </c>
      <c r="E952" s="2" t="str">
        <f t="shared" si="950"/>
        <v>Braintree</v>
      </c>
    </row>
    <row r="953" spans="1:5">
      <c r="A953" s="111" t="s">
        <v>11229</v>
      </c>
      <c r="B953" s="111" t="s">
        <v>1343</v>
      </c>
      <c r="C953" s="111" t="s">
        <v>769</v>
      </c>
      <c r="D953" s="2" t="str">
        <f t="shared" ref="D953:E953" si="951">TRIM(B953)</f>
        <v>Massachusetts</v>
      </c>
      <c r="E953" s="2" t="str">
        <f t="shared" si="951"/>
        <v>Reading</v>
      </c>
    </row>
    <row r="954" spans="1:5">
      <c r="A954" s="111" t="s">
        <v>11232</v>
      </c>
      <c r="B954" s="111" t="s">
        <v>1343</v>
      </c>
      <c r="C954" s="111" t="s">
        <v>358</v>
      </c>
      <c r="D954" s="2" t="str">
        <f t="shared" ref="D954:E954" si="952">TRIM(B954)</f>
        <v>Massachusetts</v>
      </c>
      <c r="E954" s="2" t="str">
        <f t="shared" si="952"/>
        <v>Worcester</v>
      </c>
    </row>
    <row r="955" spans="1:5">
      <c r="A955" s="111" t="s">
        <v>11233</v>
      </c>
      <c r="B955" s="111" t="s">
        <v>1343</v>
      </c>
      <c r="C955" s="111" t="s">
        <v>11235</v>
      </c>
      <c r="D955" s="2" t="str">
        <f t="shared" ref="D955:E955" si="953">TRIM(B955)</f>
        <v>Massachusetts</v>
      </c>
      <c r="E955" s="2" t="str">
        <f t="shared" si="953"/>
        <v>Chestnut Hill</v>
      </c>
    </row>
    <row r="956" spans="1:5">
      <c r="A956" s="111" t="s">
        <v>11236</v>
      </c>
      <c r="B956" s="111" t="s">
        <v>1343</v>
      </c>
      <c r="C956" s="111" t="s">
        <v>4471</v>
      </c>
      <c r="D956" s="2" t="str">
        <f t="shared" ref="D956:E956" si="954">TRIM(B956)</f>
        <v>Massachusetts</v>
      </c>
      <c r="E956" s="2" t="str">
        <f t="shared" si="954"/>
        <v>Belmont</v>
      </c>
    </row>
    <row r="957" spans="1:5">
      <c r="A957" s="111" t="s">
        <v>11238</v>
      </c>
      <c r="B957" s="111" t="s">
        <v>1343</v>
      </c>
      <c r="C957" s="111" t="s">
        <v>2166</v>
      </c>
      <c r="D957" s="2" t="str">
        <f t="shared" ref="D957:E957" si="955">TRIM(B957)</f>
        <v>Massachusetts</v>
      </c>
      <c r="E957" s="2" t="str">
        <f t="shared" si="955"/>
        <v>Sheffield</v>
      </c>
    </row>
    <row r="958" spans="1:5">
      <c r="A958" s="111" t="s">
        <v>11240</v>
      </c>
      <c r="B958" s="111" t="s">
        <v>1343</v>
      </c>
      <c r="C958" s="111" t="s">
        <v>11241</v>
      </c>
      <c r="D958" s="2" t="str">
        <f t="shared" ref="D958:E958" si="956">TRIM(B958)</f>
        <v>Massachusetts</v>
      </c>
      <c r="E958" s="2" t="str">
        <f t="shared" si="956"/>
        <v>Fall River</v>
      </c>
    </row>
    <row r="959" spans="1:5">
      <c r="A959" s="111" t="s">
        <v>11242</v>
      </c>
      <c r="B959" s="111" t="s">
        <v>1343</v>
      </c>
      <c r="C959" s="111" t="s">
        <v>11243</v>
      </c>
      <c r="D959" s="2" t="str">
        <f t="shared" ref="D959:E959" si="957">TRIM(B959)</f>
        <v>Massachusetts</v>
      </c>
      <c r="E959" s="2" t="str">
        <f t="shared" si="957"/>
        <v>Attleboro</v>
      </c>
    </row>
    <row r="960" spans="1:5">
      <c r="A960" s="111" t="s">
        <v>11245</v>
      </c>
      <c r="B960" s="111" t="s">
        <v>1343</v>
      </c>
      <c r="C960" s="111" t="s">
        <v>11246</v>
      </c>
      <c r="D960" s="2" t="str">
        <f t="shared" ref="D960:E960" si="958">TRIM(B960)</f>
        <v>Massachusetts</v>
      </c>
      <c r="E960" s="2" t="str">
        <f t="shared" si="958"/>
        <v>Peabody</v>
      </c>
    </row>
    <row r="961" spans="1:5">
      <c r="A961" s="111" t="s">
        <v>11248</v>
      </c>
      <c r="B961" s="111" t="s">
        <v>1343</v>
      </c>
      <c r="C961" s="111" t="s">
        <v>11249</v>
      </c>
      <c r="D961" s="2" t="str">
        <f t="shared" ref="D961:E961" si="959">TRIM(B961)</f>
        <v>Massachusetts</v>
      </c>
      <c r="E961" s="2" t="str">
        <f t="shared" si="959"/>
        <v>Dorchester</v>
      </c>
    </row>
    <row r="962" spans="1:5">
      <c r="A962" s="111" t="s">
        <v>11251</v>
      </c>
      <c r="B962" s="111" t="s">
        <v>1343</v>
      </c>
      <c r="C962" s="111" t="s">
        <v>11235</v>
      </c>
      <c r="D962" s="2" t="str">
        <f t="shared" ref="D962:E962" si="960">TRIM(B962)</f>
        <v>Massachusetts</v>
      </c>
      <c r="E962" s="2" t="str">
        <f t="shared" si="960"/>
        <v>Chestnut Hill</v>
      </c>
    </row>
    <row r="963" spans="1:5">
      <c r="A963" s="111" t="s">
        <v>11252</v>
      </c>
      <c r="B963" s="111" t="s">
        <v>1343</v>
      </c>
      <c r="C963" s="111" t="s">
        <v>222</v>
      </c>
      <c r="D963" s="2" t="str">
        <f t="shared" ref="D963:E963" si="961">TRIM(B963)</f>
        <v>Massachusetts</v>
      </c>
      <c r="E963" s="2" t="str">
        <f t="shared" si="961"/>
        <v>Boston</v>
      </c>
    </row>
    <row r="964" spans="1:5">
      <c r="A964" s="111" t="s">
        <v>11254</v>
      </c>
      <c r="B964" s="111" t="s">
        <v>1343</v>
      </c>
      <c r="C964" s="111" t="s">
        <v>11256</v>
      </c>
      <c r="D964" s="2" t="str">
        <f t="shared" ref="D964:E964" si="962">TRIM(B964)</f>
        <v>Massachusetts</v>
      </c>
      <c r="E964" s="2" t="str">
        <f t="shared" si="962"/>
        <v>North Andover</v>
      </c>
    </row>
    <row r="965" spans="1:5">
      <c r="A965" s="111" t="s">
        <v>11257</v>
      </c>
      <c r="B965" s="111" t="s">
        <v>1343</v>
      </c>
      <c r="C965" s="112" t="s">
        <v>11260</v>
      </c>
      <c r="D965" s="2" t="str">
        <f t="shared" ref="D965:E965" si="963">TRIM(B965)</f>
        <v>Massachusetts</v>
      </c>
      <c r="E965" s="2" t="str">
        <f t="shared" si="963"/>
        <v>Cambridge</v>
      </c>
    </row>
    <row r="966" spans="1:5">
      <c r="A966" s="111" t="s">
        <v>11262</v>
      </c>
      <c r="B966" s="111" t="s">
        <v>1343</v>
      </c>
      <c r="C966" s="111" t="s">
        <v>11263</v>
      </c>
      <c r="D966" s="2" t="str">
        <f t="shared" ref="D966:E966" si="964">TRIM(B966)</f>
        <v>Massachusetts</v>
      </c>
      <c r="E966" s="2" t="str">
        <f t="shared" si="964"/>
        <v>Williamstown</v>
      </c>
    </row>
    <row r="967" spans="1:5">
      <c r="A967" s="111" t="s">
        <v>11265</v>
      </c>
      <c r="B967" s="111" t="s">
        <v>1343</v>
      </c>
      <c r="C967" s="111" t="s">
        <v>11266</v>
      </c>
      <c r="D967" s="2" t="str">
        <f t="shared" ref="D967:E967" si="965">TRIM(B967)</f>
        <v>Massachusetts</v>
      </c>
      <c r="E967" s="2" t="str">
        <f t="shared" si="965"/>
        <v>Rockland</v>
      </c>
    </row>
    <row r="968" spans="1:5">
      <c r="A968" s="111" t="s">
        <v>11267</v>
      </c>
      <c r="B968" s="111" t="s">
        <v>1343</v>
      </c>
      <c r="C968" s="111" t="s">
        <v>11268</v>
      </c>
      <c r="D968" s="2" t="str">
        <f t="shared" ref="D968:E968" si="966">TRIM(B968)</f>
        <v>Massachusetts</v>
      </c>
      <c r="E968" s="2" t="str">
        <f t="shared" si="966"/>
        <v>Osterville</v>
      </c>
    </row>
    <row r="969" spans="1:5">
      <c r="A969" s="111" t="s">
        <v>11270</v>
      </c>
      <c r="B969" s="111" t="s">
        <v>1343</v>
      </c>
      <c r="C969" s="111" t="s">
        <v>222</v>
      </c>
      <c r="D969" s="2" t="str">
        <f t="shared" ref="D969:E969" si="967">TRIM(B969)</f>
        <v>Massachusetts</v>
      </c>
      <c r="E969" s="2" t="str">
        <f t="shared" si="967"/>
        <v>Boston</v>
      </c>
    </row>
    <row r="970" spans="1:5">
      <c r="A970" s="111" t="s">
        <v>11272</v>
      </c>
      <c r="B970" s="111" t="s">
        <v>1343</v>
      </c>
      <c r="C970" s="111" t="s">
        <v>11228</v>
      </c>
      <c r="D970" s="2" t="str">
        <f t="shared" ref="D970:E970" si="968">TRIM(B970)</f>
        <v>Massachusetts</v>
      </c>
      <c r="E970" s="2" t="str">
        <f t="shared" si="968"/>
        <v>Braintree</v>
      </c>
    </row>
    <row r="971" spans="1:5">
      <c r="A971" s="111" t="s">
        <v>11275</v>
      </c>
      <c r="B971" s="111" t="s">
        <v>1343</v>
      </c>
      <c r="C971" s="111" t="s">
        <v>11276</v>
      </c>
      <c r="D971" s="2" t="str">
        <f t="shared" ref="D971:E971" si="969">TRIM(B971)</f>
        <v>Massachusetts</v>
      </c>
      <c r="E971" s="2" t="str">
        <f t="shared" si="969"/>
        <v>Waltham</v>
      </c>
    </row>
    <row r="972" spans="1:5">
      <c r="A972" s="111" t="s">
        <v>11279</v>
      </c>
      <c r="B972" s="111" t="s">
        <v>1343</v>
      </c>
      <c r="C972" s="111" t="s">
        <v>11280</v>
      </c>
      <c r="D972" s="2" t="str">
        <f t="shared" ref="D972:E972" si="970">TRIM(B972)</f>
        <v>Massachusetts</v>
      </c>
      <c r="E972" s="2" t="str">
        <f t="shared" si="970"/>
        <v>Rowley</v>
      </c>
    </row>
    <row r="973" spans="1:5">
      <c r="A973" s="111" t="s">
        <v>11282</v>
      </c>
      <c r="B973" s="111" t="s">
        <v>1343</v>
      </c>
      <c r="C973" s="111" t="s">
        <v>11283</v>
      </c>
      <c r="D973" s="2" t="str">
        <f t="shared" ref="D973:E973" si="971">TRIM(B973)</f>
        <v>Massachusetts</v>
      </c>
      <c r="E973" s="2" t="str">
        <f t="shared" si="971"/>
        <v>Taunton</v>
      </c>
    </row>
    <row r="974" spans="1:5">
      <c r="A974" s="111" t="s">
        <v>11285</v>
      </c>
      <c r="B974" s="111" t="s">
        <v>1343</v>
      </c>
      <c r="C974" s="111" t="s">
        <v>11286</v>
      </c>
      <c r="D974" s="2" t="str">
        <f t="shared" ref="D974:E974" si="972">TRIM(B974)</f>
        <v>Massachusetts</v>
      </c>
      <c r="E974" s="2" t="str">
        <f t="shared" si="972"/>
        <v>Falmouth</v>
      </c>
    </row>
    <row r="975" spans="1:5">
      <c r="A975" s="111" t="s">
        <v>11288</v>
      </c>
      <c r="B975" s="111" t="s">
        <v>1343</v>
      </c>
      <c r="C975" s="111" t="s">
        <v>503</v>
      </c>
      <c r="D975" s="2" t="str">
        <f t="shared" ref="D975:E975" si="973">TRIM(B975)</f>
        <v>Massachusetts</v>
      </c>
      <c r="E975" s="2" t="str">
        <f t="shared" si="973"/>
        <v>Milton</v>
      </c>
    </row>
    <row r="976" spans="1:5">
      <c r="A976" s="111" t="s">
        <v>11290</v>
      </c>
      <c r="B976" s="111" t="s">
        <v>1343</v>
      </c>
      <c r="C976" s="111" t="s">
        <v>222</v>
      </c>
      <c r="D976" s="2" t="str">
        <f t="shared" ref="D976:E976" si="974">TRIM(B976)</f>
        <v>Massachusetts</v>
      </c>
      <c r="E976" s="2" t="str">
        <f t="shared" si="974"/>
        <v>Boston</v>
      </c>
    </row>
    <row r="977" spans="1:5">
      <c r="A977" s="111" t="s">
        <v>11293</v>
      </c>
      <c r="B977" s="111" t="s">
        <v>1343</v>
      </c>
      <c r="C977" s="111" t="s">
        <v>11294</v>
      </c>
      <c r="D977" s="2" t="str">
        <f t="shared" ref="D977:E977" si="975">TRIM(B977)</f>
        <v>Massachusetts</v>
      </c>
      <c r="E977" s="2" t="str">
        <f t="shared" si="975"/>
        <v>Stoneham</v>
      </c>
    </row>
    <row r="978" spans="1:5">
      <c r="A978" s="111" t="s">
        <v>11297</v>
      </c>
      <c r="B978" s="111" t="s">
        <v>1343</v>
      </c>
      <c r="C978" s="111" t="s">
        <v>358</v>
      </c>
      <c r="D978" s="2" t="str">
        <f t="shared" ref="D978:E978" si="976">TRIM(B978)</f>
        <v>Massachusetts</v>
      </c>
      <c r="E978" s="2" t="str">
        <f t="shared" si="976"/>
        <v>Worcester</v>
      </c>
    </row>
    <row r="979" spans="1:5">
      <c r="A979" s="111" t="s">
        <v>11298</v>
      </c>
      <c r="B979" s="111" t="s">
        <v>1343</v>
      </c>
      <c r="C979" s="111" t="s">
        <v>8481</v>
      </c>
      <c r="D979" s="2" t="str">
        <f t="shared" ref="D979:E979" si="977">TRIM(B979)</f>
        <v>Massachusetts</v>
      </c>
      <c r="E979" s="2" t="str">
        <f t="shared" si="977"/>
        <v>Groton</v>
      </c>
    </row>
    <row r="980" spans="1:5">
      <c r="A980" s="111" t="s">
        <v>10698</v>
      </c>
      <c r="B980" s="111" t="s">
        <v>1343</v>
      </c>
      <c r="C980" s="111" t="s">
        <v>11302</v>
      </c>
      <c r="D980" s="2" t="str">
        <f t="shared" ref="D980:E980" si="978">TRIM(B980)</f>
        <v>Massachusetts</v>
      </c>
      <c r="E980" s="2" t="str">
        <f t="shared" si="978"/>
        <v>Framingham</v>
      </c>
    </row>
    <row r="981" spans="1:5">
      <c r="A981" s="111" t="s">
        <v>11304</v>
      </c>
      <c r="B981" s="111" t="s">
        <v>1343</v>
      </c>
      <c r="C981" s="111" t="s">
        <v>11260</v>
      </c>
      <c r="D981" s="2" t="str">
        <f t="shared" ref="D981:E981" si="979">TRIM(B981)</f>
        <v>Massachusetts</v>
      </c>
      <c r="E981" s="2" t="str">
        <f t="shared" si="979"/>
        <v>Cambridge</v>
      </c>
    </row>
    <row r="982" spans="1:5">
      <c r="A982" s="111" t="s">
        <v>11306</v>
      </c>
      <c r="B982" s="111" t="s">
        <v>1343</v>
      </c>
      <c r="C982" s="111" t="s">
        <v>11307</v>
      </c>
      <c r="D982" s="2" t="str">
        <f t="shared" ref="D982:E982" si="980">TRIM(B982)</f>
        <v>Massachusetts</v>
      </c>
      <c r="E982" s="2" t="str">
        <f t="shared" si="980"/>
        <v>Jamaica Plain</v>
      </c>
    </row>
    <row r="983" spans="1:5">
      <c r="A983" s="111" t="s">
        <v>11309</v>
      </c>
      <c r="B983" s="111" t="s">
        <v>1343</v>
      </c>
      <c r="C983" s="111" t="s">
        <v>11310</v>
      </c>
      <c r="D983" s="2" t="str">
        <f t="shared" ref="D983:E983" si="981">TRIM(B983)</f>
        <v>Massachusetts</v>
      </c>
      <c r="E983" s="2" t="str">
        <f t="shared" si="981"/>
        <v>Medfield</v>
      </c>
    </row>
    <row r="984" spans="1:5">
      <c r="A984" s="111" t="s">
        <v>11312</v>
      </c>
      <c r="B984" s="111" t="s">
        <v>1343</v>
      </c>
      <c r="C984" s="111" t="s">
        <v>11313</v>
      </c>
      <c r="D984" s="2" t="str">
        <f t="shared" ref="D984:E984" si="982">TRIM(B984)</f>
        <v>Massachusetts</v>
      </c>
      <c r="E984" s="2" t="str">
        <f t="shared" si="982"/>
        <v>Newton</v>
      </c>
    </row>
    <row r="985" spans="1:5">
      <c r="A985" s="111" t="s">
        <v>11316</v>
      </c>
      <c r="B985" s="111" t="s">
        <v>1343</v>
      </c>
      <c r="C985" s="111" t="s">
        <v>11317</v>
      </c>
      <c r="D985" s="2" t="str">
        <f t="shared" ref="D985:E985" si="983">TRIM(B985)</f>
        <v>Massachusetts</v>
      </c>
      <c r="E985" s="2" t="str">
        <f t="shared" si="983"/>
        <v>Dedham</v>
      </c>
    </row>
    <row r="986" spans="1:5">
      <c r="A986" s="111" t="s">
        <v>11320</v>
      </c>
      <c r="B986" s="111" t="s">
        <v>1343</v>
      </c>
      <c r="C986" s="111" t="s">
        <v>11321</v>
      </c>
      <c r="D986" s="2" t="str">
        <f t="shared" ref="D986:E986" si="984">TRIM(B986)</f>
        <v>Massachusetts</v>
      </c>
      <c r="E986" s="2" t="str">
        <f t="shared" si="984"/>
        <v>Mount Hermon</v>
      </c>
    </row>
    <row r="987" spans="1:5">
      <c r="A987" s="111" t="s">
        <v>10360</v>
      </c>
      <c r="B987" s="111" t="s">
        <v>1343</v>
      </c>
      <c r="C987" s="111" t="s">
        <v>358</v>
      </c>
      <c r="D987" s="2" t="str">
        <f t="shared" ref="D987:E987" si="985">TRIM(B987)</f>
        <v>Massachusetts</v>
      </c>
      <c r="E987" s="2" t="str">
        <f t="shared" si="985"/>
        <v>Worcester</v>
      </c>
    </row>
    <row r="988" spans="1:5">
      <c r="A988" s="111" t="s">
        <v>10360</v>
      </c>
      <c r="B988" s="111" t="s">
        <v>1343</v>
      </c>
      <c r="C988" s="111" t="s">
        <v>11324</v>
      </c>
      <c r="D988" s="2" t="str">
        <f t="shared" ref="D988:E988" si="986">TRIM(B988)</f>
        <v>Massachusetts</v>
      </c>
      <c r="E988" s="2" t="str">
        <f t="shared" si="986"/>
        <v>Hingham</v>
      </c>
    </row>
    <row r="989" spans="1:5">
      <c r="A989" s="111" t="s">
        <v>11326</v>
      </c>
      <c r="B989" s="111" t="s">
        <v>1343</v>
      </c>
      <c r="C989" s="111" t="s">
        <v>5267</v>
      </c>
      <c r="D989" s="2" t="str">
        <f t="shared" ref="D989:E989" si="987">TRIM(B989)</f>
        <v>Massachusetts</v>
      </c>
      <c r="E989" s="2" t="str">
        <f t="shared" si="987"/>
        <v>Lawrence</v>
      </c>
    </row>
    <row r="990" spans="1:5">
      <c r="A990" s="111" t="s">
        <v>11144</v>
      </c>
      <c r="B990" s="111" t="s">
        <v>1343</v>
      </c>
      <c r="C990" s="111" t="s">
        <v>11328</v>
      </c>
      <c r="D990" s="2" t="str">
        <f t="shared" ref="D990:E990" si="988">TRIM(B990)</f>
        <v>Massachusetts</v>
      </c>
      <c r="E990" s="2" t="str">
        <f t="shared" si="988"/>
        <v>Fitchburg</v>
      </c>
    </row>
    <row r="991" spans="1:5">
      <c r="A991" s="111" t="s">
        <v>11330</v>
      </c>
      <c r="B991" s="111" t="s">
        <v>1343</v>
      </c>
      <c r="C991" s="111" t="s">
        <v>1096</v>
      </c>
      <c r="D991" s="2" t="str">
        <f t="shared" ref="D991:E991" si="989">TRIM(B991)</f>
        <v>Massachusetts</v>
      </c>
      <c r="E991" s="2" t="str">
        <f t="shared" si="989"/>
        <v>Andover</v>
      </c>
    </row>
    <row r="992" spans="1:5">
      <c r="A992" s="111" t="s">
        <v>11333</v>
      </c>
      <c r="B992" s="111" t="s">
        <v>1343</v>
      </c>
      <c r="C992" s="111" t="s">
        <v>11334</v>
      </c>
      <c r="D992" s="2" t="str">
        <f t="shared" ref="D992:E992" si="990">TRIM(B992)</f>
        <v>Massachusetts</v>
      </c>
      <c r="E992" s="2" t="str">
        <f t="shared" si="990"/>
        <v>South Hamilton</v>
      </c>
    </row>
    <row r="993" spans="1:5">
      <c r="A993" s="111" t="s">
        <v>11337</v>
      </c>
      <c r="B993" s="111" t="s">
        <v>1343</v>
      </c>
      <c r="C993" s="111" t="s">
        <v>7356</v>
      </c>
      <c r="D993" s="2" t="str">
        <f t="shared" ref="D993:E993" si="991">TRIM(B993)</f>
        <v>Massachusetts</v>
      </c>
      <c r="E993" s="2" t="str">
        <f t="shared" si="991"/>
        <v>Chicopee</v>
      </c>
    </row>
    <row r="994" spans="1:5">
      <c r="A994" s="111" t="s">
        <v>11339</v>
      </c>
      <c r="B994" s="111" t="s">
        <v>1343</v>
      </c>
      <c r="C994" s="111" t="s">
        <v>11340</v>
      </c>
      <c r="D994" s="2" t="str">
        <f t="shared" ref="D994:E994" si="992">TRIM(B994)</f>
        <v>Massachusetts</v>
      </c>
      <c r="E994" s="2" t="str">
        <f t="shared" si="992"/>
        <v>Everett</v>
      </c>
    </row>
    <row r="995" spans="1:5">
      <c r="A995" s="111" t="s">
        <v>11343</v>
      </c>
      <c r="B995" s="111" t="s">
        <v>1343</v>
      </c>
      <c r="C995" s="111" t="s">
        <v>3917</v>
      </c>
      <c r="D995" s="2" t="str">
        <f t="shared" ref="D995:E995" si="993">TRIM(B995)</f>
        <v>Massachusetts</v>
      </c>
      <c r="E995" s="2" t="str">
        <f t="shared" si="993"/>
        <v>Kingston</v>
      </c>
    </row>
    <row r="996" spans="1:5">
      <c r="A996" s="111" t="s">
        <v>11345</v>
      </c>
      <c r="B996" s="111" t="s">
        <v>1343</v>
      </c>
      <c r="C996" s="111" t="s">
        <v>11346</v>
      </c>
      <c r="D996" s="2" t="str">
        <f t="shared" ref="D996:E996" si="994">TRIM(B996)</f>
        <v>Massachusetts</v>
      </c>
      <c r="E996" s="2" t="str">
        <f t="shared" si="994"/>
        <v>South Lancaster</v>
      </c>
    </row>
    <row r="997" spans="1:5">
      <c r="A997" s="111" t="s">
        <v>11348</v>
      </c>
      <c r="B997" s="111" t="s">
        <v>1343</v>
      </c>
      <c r="C997" s="111" t="s">
        <v>416</v>
      </c>
      <c r="D997" s="2" t="str">
        <f t="shared" ref="D997:E997" si="995">TRIM(B997)</f>
        <v>Massachusetts</v>
      </c>
      <c r="E997" s="2" t="str">
        <f t="shared" si="995"/>
        <v>Springfield</v>
      </c>
    </row>
    <row r="998" spans="1:5">
      <c r="A998" s="111" t="s">
        <v>11350</v>
      </c>
      <c r="B998" s="111" t="s">
        <v>1343</v>
      </c>
      <c r="C998" s="111" t="s">
        <v>11328</v>
      </c>
      <c r="D998" s="2" t="str">
        <f t="shared" ref="D998:E998" si="996">TRIM(B998)</f>
        <v>Massachusetts</v>
      </c>
      <c r="E998" s="2" t="str">
        <f t="shared" si="996"/>
        <v>Fitchburg</v>
      </c>
    </row>
    <row r="999" spans="1:5">
      <c r="A999" s="76" t="s">
        <v>11352</v>
      </c>
      <c r="B999" s="111" t="s">
        <v>1343</v>
      </c>
      <c r="C999" s="111" t="s">
        <v>1184</v>
      </c>
      <c r="D999" s="2" t="str">
        <f t="shared" ref="D999:E999" si="997">TRIM(B999)</f>
        <v>Massachusetts</v>
      </c>
      <c r="E999" s="2" t="str">
        <f t="shared" si="997"/>
        <v>Shrewsbury</v>
      </c>
    </row>
    <row r="1000" spans="1:5">
      <c r="A1000" s="111" t="s">
        <v>11353</v>
      </c>
      <c r="B1000" s="111" t="s">
        <v>1343</v>
      </c>
      <c r="C1000" s="111" t="s">
        <v>11355</v>
      </c>
      <c r="D1000" s="2" t="str">
        <f t="shared" ref="D1000:E1000" si="998">TRIM(B1000)</f>
        <v>Massachusetts</v>
      </c>
      <c r="E1000" s="2" t="str">
        <f t="shared" si="998"/>
        <v>Danvers</v>
      </c>
    </row>
    <row r="1001" spans="1:5">
      <c r="A1001" s="111" t="s">
        <v>11358</v>
      </c>
      <c r="B1001" s="111" t="s">
        <v>1343</v>
      </c>
      <c r="C1001" s="111" t="s">
        <v>222</v>
      </c>
      <c r="D1001" s="2" t="str">
        <f t="shared" ref="D1001:E1001" si="999">TRIM(B1001)</f>
        <v>Massachusetts</v>
      </c>
      <c r="E1001" s="2" t="str">
        <f t="shared" si="999"/>
        <v>Boston</v>
      </c>
    </row>
    <row r="1002" spans="1:5">
      <c r="A1002" s="76" t="s">
        <v>11361</v>
      </c>
      <c r="B1002" s="111" t="s">
        <v>1343</v>
      </c>
      <c r="C1002" s="111" t="s">
        <v>11362</v>
      </c>
      <c r="D1002" s="2" t="str">
        <f t="shared" ref="D1002:E1002" si="1000">TRIM(B1002)</f>
        <v>Massachusetts</v>
      </c>
      <c r="E1002" s="2" t="str">
        <f t="shared" si="1000"/>
        <v>Southborough</v>
      </c>
    </row>
    <row r="1003" spans="1:5">
      <c r="A1003" s="111" t="s">
        <v>9096</v>
      </c>
      <c r="B1003" s="111" t="s">
        <v>1343</v>
      </c>
      <c r="C1003" s="111" t="s">
        <v>1939</v>
      </c>
      <c r="D1003" s="2" t="str">
        <f t="shared" ref="D1003:E1003" si="1001">TRIM(B1003)</f>
        <v>Massachusetts</v>
      </c>
      <c r="E1003" s="2" t="str">
        <f t="shared" si="1001"/>
        <v>Lynn</v>
      </c>
    </row>
    <row r="1004" spans="1:5">
      <c r="A1004" s="111" t="s">
        <v>11367</v>
      </c>
      <c r="B1004" s="111" t="s">
        <v>1343</v>
      </c>
      <c r="C1004" s="111" t="s">
        <v>358</v>
      </c>
      <c r="D1004" s="2" t="str">
        <f t="shared" ref="D1004:E1004" si="1002">TRIM(B1004)</f>
        <v>Massachusetts</v>
      </c>
      <c r="E1004" s="2" t="str">
        <f t="shared" si="1002"/>
        <v>Worcester</v>
      </c>
    </row>
    <row r="1005" spans="1:5">
      <c r="A1005" s="111" t="s">
        <v>11369</v>
      </c>
      <c r="B1005" s="111" t="s">
        <v>1343</v>
      </c>
      <c r="C1005" s="111" t="s">
        <v>6626</v>
      </c>
      <c r="D1005" s="2" t="str">
        <f t="shared" ref="D1005:E1005" si="1003">TRIM(B1005)</f>
        <v>Massachusetts</v>
      </c>
      <c r="E1005" s="2" t="str">
        <f t="shared" si="1003"/>
        <v>Westwood</v>
      </c>
    </row>
    <row r="1006" spans="1:5">
      <c r="A1006" s="111" t="s">
        <v>11370</v>
      </c>
      <c r="B1006" s="111" t="s">
        <v>1343</v>
      </c>
      <c r="C1006" s="111" t="s">
        <v>5188</v>
      </c>
      <c r="D1006" s="2" t="str">
        <f t="shared" ref="D1006:E1006" si="1004">TRIM(B1006)</f>
        <v>Massachusetts</v>
      </c>
      <c r="E1006" s="2" t="str">
        <f t="shared" si="1004"/>
        <v>Greenfield</v>
      </c>
    </row>
    <row r="1007" spans="1:5">
      <c r="A1007" s="111" t="s">
        <v>11374</v>
      </c>
      <c r="B1007" s="111" t="s">
        <v>1343</v>
      </c>
      <c r="C1007" s="111" t="s">
        <v>3995</v>
      </c>
      <c r="D1007" s="2" t="str">
        <f t="shared" ref="D1007:E1007" si="1005">TRIM(B1007)</f>
        <v>Massachusetts</v>
      </c>
      <c r="E1007" s="2" t="str">
        <f t="shared" si="1005"/>
        <v>Marion</v>
      </c>
    </row>
    <row r="1008" spans="1:5">
      <c r="A1008" s="111" t="s">
        <v>11376</v>
      </c>
      <c r="B1008" s="111" t="s">
        <v>1343</v>
      </c>
      <c r="C1008" s="111" t="s">
        <v>11228</v>
      </c>
      <c r="D1008" s="2" t="str">
        <f t="shared" ref="D1008:E1008" si="1006">TRIM(B1008)</f>
        <v>Massachusetts</v>
      </c>
      <c r="E1008" s="2" t="str">
        <f t="shared" si="1006"/>
        <v>Braintree</v>
      </c>
    </row>
    <row r="1009" spans="1:5">
      <c r="A1009" s="111" t="s">
        <v>11379</v>
      </c>
      <c r="B1009" s="111" t="s">
        <v>1343</v>
      </c>
      <c r="C1009" s="111" t="s">
        <v>11380</v>
      </c>
      <c r="D1009" s="2" t="str">
        <f t="shared" ref="D1009:E1009" si="1007">TRIM(B1009)</f>
        <v>Massachusetts</v>
      </c>
      <c r="E1009" s="2" t="str">
        <f t="shared" si="1007"/>
        <v>Wenham</v>
      </c>
    </row>
    <row r="1010" spans="1:5">
      <c r="A1010" s="111" t="s">
        <v>11383</v>
      </c>
      <c r="B1010" s="111" t="s">
        <v>1343</v>
      </c>
      <c r="C1010" s="111" t="s">
        <v>8298</v>
      </c>
      <c r="D1010" s="2" t="str">
        <f t="shared" ref="D1010:E1010" si="1008">TRIM(B1010)</f>
        <v>Massachusetts</v>
      </c>
      <c r="E1010" s="2" t="str">
        <f t="shared" si="1008"/>
        <v>Weston</v>
      </c>
    </row>
    <row r="1011" spans="1:5">
      <c r="A1011" s="111" t="s">
        <v>11386</v>
      </c>
      <c r="B1011" s="111" t="s">
        <v>1343</v>
      </c>
      <c r="C1011" s="111" t="s">
        <v>481</v>
      </c>
      <c r="D1011" s="2" t="str">
        <f t="shared" ref="D1011:E1011" si="1009">TRIM(B1011)</f>
        <v>Massachusetts</v>
      </c>
      <c r="E1011" s="2" t="str">
        <f t="shared" si="1009"/>
        <v>Byfield</v>
      </c>
    </row>
    <row r="1012" spans="1:5">
      <c r="A1012" s="111" t="s">
        <v>11387</v>
      </c>
      <c r="B1012" s="111" t="s">
        <v>1343</v>
      </c>
      <c r="C1012" s="111" t="s">
        <v>7939</v>
      </c>
      <c r="D1012" s="2" t="str">
        <f t="shared" ref="D1012:E1012" si="1010">TRIM(B1012)</f>
        <v>Massachusetts</v>
      </c>
      <c r="E1012" s="2" t="str">
        <f t="shared" si="1010"/>
        <v>Granby</v>
      </c>
    </row>
    <row r="1013" spans="1:5">
      <c r="A1013" s="111" t="s">
        <v>11389</v>
      </c>
      <c r="B1013" s="111" t="s">
        <v>1343</v>
      </c>
      <c r="C1013" s="111" t="s">
        <v>222</v>
      </c>
      <c r="D1013" s="2" t="str">
        <f t="shared" ref="D1013:E1013" si="1011">TRIM(B1013)</f>
        <v>Massachusetts</v>
      </c>
      <c r="E1013" s="2" t="str">
        <f t="shared" si="1011"/>
        <v>Boston</v>
      </c>
    </row>
    <row r="1014" spans="1:5">
      <c r="A1014" s="111" t="s">
        <v>11391</v>
      </c>
      <c r="B1014" s="111" t="s">
        <v>1343</v>
      </c>
      <c r="C1014" s="111" t="s">
        <v>222</v>
      </c>
      <c r="D1014" s="2" t="str">
        <f t="shared" ref="D1014:E1014" si="1012">TRIM(B1014)</f>
        <v>Massachusetts</v>
      </c>
      <c r="E1014" s="2" t="str">
        <f t="shared" si="1012"/>
        <v>Boston</v>
      </c>
    </row>
    <row r="1015" spans="1:5">
      <c r="A1015" s="111" t="s">
        <v>11392</v>
      </c>
      <c r="B1015" s="111" t="s">
        <v>1343</v>
      </c>
      <c r="C1015" s="111" t="s">
        <v>8298</v>
      </c>
      <c r="D1015" s="2" t="str">
        <f t="shared" ref="D1015:E1015" si="1013">TRIM(B1015)</f>
        <v>Massachusetts</v>
      </c>
      <c r="E1015" s="2" t="str">
        <f t="shared" si="1013"/>
        <v>Weston</v>
      </c>
    </row>
    <row r="1016" spans="1:5">
      <c r="A1016" s="111" t="s">
        <v>11394</v>
      </c>
      <c r="B1016" s="111" t="s">
        <v>1343</v>
      </c>
      <c r="C1016" s="111" t="s">
        <v>506</v>
      </c>
      <c r="D1016" s="2" t="str">
        <f t="shared" ref="D1016:E1016" si="1014">TRIM(B1016)</f>
        <v>Massachusetts</v>
      </c>
      <c r="E1016" s="2" t="str">
        <f t="shared" si="1014"/>
        <v>Lexington</v>
      </c>
    </row>
    <row r="1017" spans="1:5">
      <c r="A1017" s="111" t="s">
        <v>11396</v>
      </c>
      <c r="B1017" s="111" t="s">
        <v>1343</v>
      </c>
      <c r="C1017" s="111" t="s">
        <v>11398</v>
      </c>
      <c r="D1017" s="2" t="str">
        <f t="shared" ref="D1017:E1017" si="1015">TRIM(B1017)</f>
        <v>Massachusetts</v>
      </c>
      <c r="E1017" s="2" t="str">
        <f t="shared" si="1015"/>
        <v>Easthampton</v>
      </c>
    </row>
    <row r="1018" spans="1:5">
      <c r="A1018" s="111" t="s">
        <v>11399</v>
      </c>
      <c r="B1018" s="111" t="s">
        <v>1343</v>
      </c>
      <c r="C1018" s="111" t="s">
        <v>6455</v>
      </c>
      <c r="D1018" s="2" t="str">
        <f t="shared" ref="D1018:E1018" si="1016">TRIM(B1018)</f>
        <v>Massachusetts</v>
      </c>
      <c r="E1018" s="2" t="str">
        <f t="shared" si="1016"/>
        <v>Quincy</v>
      </c>
    </row>
    <row r="1019" spans="1:5">
      <c r="A1019" s="111" t="s">
        <v>11401</v>
      </c>
      <c r="B1019" s="111" t="s">
        <v>1343</v>
      </c>
      <c r="C1019" s="111" t="s">
        <v>61</v>
      </c>
      <c r="D1019" s="2" t="str">
        <f t="shared" ref="D1019:E1019" si="1017">TRIM(B1019)</f>
        <v>Massachusetts</v>
      </c>
      <c r="E1019" s="2" t="str">
        <f t="shared" si="1017"/>
        <v>Lancaster</v>
      </c>
    </row>
    <row r="1020" spans="1:5">
      <c r="A1020" s="111" t="s">
        <v>11402</v>
      </c>
      <c r="B1020" s="111" t="s">
        <v>1343</v>
      </c>
      <c r="C1020" s="111" t="s">
        <v>11317</v>
      </c>
      <c r="D1020" s="2" t="str">
        <f t="shared" ref="D1020:E1020" si="1018">TRIM(B1020)</f>
        <v>Massachusetts</v>
      </c>
      <c r="E1020" s="2" t="str">
        <f t="shared" si="1018"/>
        <v>Dedham</v>
      </c>
    </row>
    <row r="1021" spans="1:5">
      <c r="A1021" s="111" t="s">
        <v>11405</v>
      </c>
      <c r="B1021" s="111" t="s">
        <v>1343</v>
      </c>
      <c r="C1021" s="111" t="s">
        <v>7494</v>
      </c>
      <c r="D1021" s="2" t="str">
        <f t="shared" ref="D1021:E1021" si="1019">TRIM(B1021)</f>
        <v>Massachusetts</v>
      </c>
      <c r="E1021" s="2" t="str">
        <f t="shared" si="1019"/>
        <v>Beverly</v>
      </c>
    </row>
    <row r="1022" spans="1:5">
      <c r="A1022" s="111" t="s">
        <v>11407</v>
      </c>
      <c r="B1022" s="111" t="s">
        <v>1343</v>
      </c>
      <c r="C1022" s="111" t="s">
        <v>11408</v>
      </c>
      <c r="D1022" s="2" t="str">
        <f t="shared" ref="D1022:E1022" si="1020">TRIM(B1022)</f>
        <v>Massachusetts</v>
      </c>
      <c r="E1022" s="2" t="str">
        <f t="shared" si="1020"/>
        <v>Wilbraham</v>
      </c>
    </row>
    <row r="1023" spans="1:5">
      <c r="A1023" s="111" t="s">
        <v>11409</v>
      </c>
      <c r="B1023" s="111" t="s">
        <v>1343</v>
      </c>
      <c r="C1023" s="111" t="s">
        <v>222</v>
      </c>
      <c r="D1023" s="2" t="str">
        <f t="shared" ref="D1023:E1023" si="1021">TRIM(B1023)</f>
        <v>Massachusetts</v>
      </c>
      <c r="E1023" s="2" t="str">
        <f t="shared" si="1021"/>
        <v>Boston</v>
      </c>
    </row>
    <row r="1024" spans="1:5">
      <c r="A1024" s="111" t="s">
        <v>11411</v>
      </c>
      <c r="B1024" s="111" t="s">
        <v>1343</v>
      </c>
      <c r="C1024" s="111" t="s">
        <v>358</v>
      </c>
      <c r="D1024" s="2" t="str">
        <f t="shared" ref="D1024:E1024" si="1022">TRIM(B1024)</f>
        <v>Massachusetts</v>
      </c>
      <c r="E1024" s="2" t="str">
        <f t="shared" si="1022"/>
        <v>Worcester</v>
      </c>
    </row>
    <row r="1025" spans="1:5">
      <c r="A1025" s="111" t="s">
        <v>11413</v>
      </c>
      <c r="B1025" s="111" t="s">
        <v>1343</v>
      </c>
      <c r="C1025" s="111" t="s">
        <v>6626</v>
      </c>
      <c r="D1025" s="2" t="str">
        <f t="shared" ref="D1025:E1025" si="1023">TRIM(B1025)</f>
        <v>Massachusetts</v>
      </c>
      <c r="E1025" s="2" t="str">
        <f t="shared" si="1023"/>
        <v>Westwood</v>
      </c>
    </row>
    <row r="1026" spans="1:5">
      <c r="A1026" s="111" t="s">
        <v>11414</v>
      </c>
      <c r="B1026" s="111" t="s">
        <v>1344</v>
      </c>
      <c r="C1026" s="113" t="s">
        <v>11415</v>
      </c>
      <c r="D1026" s="2" t="str">
        <f t="shared" ref="D1026:E1026" si="1024">TRIM(B1026)</f>
        <v>Michigan</v>
      </c>
      <c r="E1026" s="2" t="str">
        <f t="shared" si="1024"/>
        <v>Bloomfield Township</v>
      </c>
    </row>
    <row r="1027" spans="1:5">
      <c r="A1027" s="111" t="s">
        <v>11417</v>
      </c>
      <c r="B1027" s="111" t="s">
        <v>1344</v>
      </c>
      <c r="C1027" s="111" t="s">
        <v>11418</v>
      </c>
      <c r="D1027" s="2" t="str">
        <f t="shared" ref="D1027:E1027" si="1025">TRIM(B1027)</f>
        <v>Michigan</v>
      </c>
      <c r="E1027" s="2" t="str">
        <f t="shared" si="1025"/>
        <v>Bay City</v>
      </c>
    </row>
    <row r="1028" spans="1:5">
      <c r="A1028" s="111" t="s">
        <v>11420</v>
      </c>
      <c r="B1028" s="111" t="s">
        <v>1344</v>
      </c>
      <c r="C1028" s="111" t="s">
        <v>11421</v>
      </c>
      <c r="D1028" s="2" t="str">
        <f t="shared" ref="D1028:E1028" si="1026">TRIM(B1028)</f>
        <v>Michigan</v>
      </c>
      <c r="E1028" s="2" t="str">
        <f t="shared" si="1026"/>
        <v>Berrien Springs</v>
      </c>
    </row>
    <row r="1029" spans="1:5">
      <c r="A1029" s="111" t="s">
        <v>11422</v>
      </c>
      <c r="B1029" s="111" t="s">
        <v>1344</v>
      </c>
      <c r="C1029" s="111" t="s">
        <v>1731</v>
      </c>
      <c r="D1029" s="2" t="str">
        <f t="shared" ref="D1029:E1029" si="1027">TRIM(B1029)</f>
        <v>Michigan</v>
      </c>
      <c r="E1029" s="2" t="str">
        <f t="shared" si="1027"/>
        <v>Oak Park</v>
      </c>
    </row>
    <row r="1030" spans="1:5">
      <c r="A1030" s="111" t="s">
        <v>11423</v>
      </c>
      <c r="B1030" s="111" t="s">
        <v>1344</v>
      </c>
      <c r="C1030" s="111" t="s">
        <v>11424</v>
      </c>
      <c r="D1030" s="2" t="str">
        <f t="shared" ref="D1030:E1030" si="1028">TRIM(B1030)</f>
        <v>Michigan</v>
      </c>
      <c r="E1030" s="2" t="str">
        <f t="shared" si="1028"/>
        <v>Bloomfield Hills</v>
      </c>
    </row>
    <row r="1031" spans="1:5">
      <c r="A1031" s="111" t="s">
        <v>10877</v>
      </c>
      <c r="B1031" s="111" t="s">
        <v>1344</v>
      </c>
      <c r="C1031" s="111" t="s">
        <v>11427</v>
      </c>
      <c r="D1031" s="2" t="str">
        <f t="shared" ref="D1031:E1031" si="1029">TRIM(B1031)</f>
        <v>Michigan</v>
      </c>
      <c r="E1031" s="2" t="str">
        <f t="shared" si="1029"/>
        <v>Allen Park</v>
      </c>
    </row>
    <row r="1032" spans="1:5">
      <c r="A1032" s="111" t="s">
        <v>11428</v>
      </c>
      <c r="B1032" s="111" t="s">
        <v>1344</v>
      </c>
      <c r="C1032" s="111" t="s">
        <v>11430</v>
      </c>
      <c r="D1032" s="2" t="str">
        <f t="shared" ref="D1032:E1032" si="1030">TRIM(B1032)</f>
        <v>Michigan</v>
      </c>
      <c r="E1032" s="2" t="str">
        <f t="shared" si="1030"/>
        <v>Holland</v>
      </c>
    </row>
    <row r="1033" spans="1:5">
      <c r="A1033" s="111" t="s">
        <v>11432</v>
      </c>
      <c r="B1033" s="111" t="s">
        <v>1344</v>
      </c>
      <c r="C1033" s="113" t="s">
        <v>11433</v>
      </c>
      <c r="D1033" s="2" t="str">
        <f t="shared" ref="D1033:E1033" si="1031">TRIM(B1033)</f>
        <v>Michigan</v>
      </c>
      <c r="E1033" s="2" t="str">
        <f t="shared" si="1031"/>
        <v>Dearborn Heights</v>
      </c>
    </row>
    <row r="1034" spans="1:5">
      <c r="A1034" s="111" t="s">
        <v>11435</v>
      </c>
      <c r="B1034" s="111" t="s">
        <v>1344</v>
      </c>
      <c r="C1034" s="111" t="s">
        <v>11424</v>
      </c>
      <c r="D1034" s="2" t="str">
        <f t="shared" ref="D1034:E1034" si="1032">TRIM(B1034)</f>
        <v>Michigan</v>
      </c>
      <c r="E1034" s="2" t="str">
        <f t="shared" si="1032"/>
        <v>Bloomfield Hills</v>
      </c>
    </row>
    <row r="1035" spans="1:5">
      <c r="A1035" s="111" t="s">
        <v>11436</v>
      </c>
      <c r="B1035" s="111" t="s">
        <v>1344</v>
      </c>
      <c r="C1035" s="111" t="s">
        <v>4265</v>
      </c>
      <c r="D1035" s="2" t="str">
        <f t="shared" ref="D1035:E1035" si="1033">TRIM(B1035)</f>
        <v>Michigan</v>
      </c>
      <c r="E1035" s="2" t="str">
        <f t="shared" si="1033"/>
        <v>Warren</v>
      </c>
    </row>
    <row r="1036" spans="1:5">
      <c r="A1036" s="111" t="s">
        <v>11437</v>
      </c>
      <c r="B1036" s="111" t="s">
        <v>1344</v>
      </c>
      <c r="C1036" s="111" t="s">
        <v>3492</v>
      </c>
      <c r="D1036" s="2" t="str">
        <f t="shared" ref="D1036:E1036" si="1034">TRIM(B1036)</f>
        <v>Michigan</v>
      </c>
      <c r="E1036" s="2" t="str">
        <f t="shared" si="1034"/>
        <v>Beverly Hills</v>
      </c>
    </row>
    <row r="1037" spans="1:5">
      <c r="A1037" s="111" t="s">
        <v>11437</v>
      </c>
      <c r="B1037" s="111" t="s">
        <v>1344</v>
      </c>
      <c r="C1037" s="111" t="s">
        <v>3492</v>
      </c>
      <c r="D1037" s="2" t="str">
        <f t="shared" ref="D1037:E1037" si="1035">TRIM(B1037)</f>
        <v>Michigan</v>
      </c>
      <c r="E1037" s="2" t="str">
        <f t="shared" si="1035"/>
        <v>Beverly Hills</v>
      </c>
    </row>
    <row r="1038" spans="1:5">
      <c r="A1038" s="111" t="s">
        <v>11440</v>
      </c>
      <c r="B1038" s="111" t="s">
        <v>1344</v>
      </c>
      <c r="C1038" s="111" t="s">
        <v>24</v>
      </c>
      <c r="D1038" s="2" t="str">
        <f t="shared" ref="D1038:E1038" si="1036">TRIM(B1038)</f>
        <v>Michigan</v>
      </c>
      <c r="E1038" s="2" t="str">
        <f t="shared" si="1036"/>
        <v>Detroit</v>
      </c>
    </row>
    <row r="1039" spans="1:5">
      <c r="A1039" s="111" t="s">
        <v>11443</v>
      </c>
      <c r="B1039" s="111" t="s">
        <v>1344</v>
      </c>
      <c r="C1039" s="111" t="s">
        <v>11444</v>
      </c>
      <c r="D1039" s="2" t="str">
        <f t="shared" ref="D1039:E1039" si="1037">TRIM(B1039)</f>
        <v>Michigan</v>
      </c>
      <c r="E1039" s="2" t="str">
        <f t="shared" si="1037"/>
        <v>Dearborn</v>
      </c>
    </row>
    <row r="1040" spans="1:5">
      <c r="A1040" s="111" t="s">
        <v>11445</v>
      </c>
      <c r="B1040" s="111" t="s">
        <v>1344</v>
      </c>
      <c r="C1040" s="111" t="s">
        <v>11446</v>
      </c>
      <c r="D1040" s="2" t="str">
        <f t="shared" ref="D1040:E1040" si="1038">TRIM(B1040)</f>
        <v>Michigan</v>
      </c>
      <c r="E1040" s="2" t="str">
        <f t="shared" si="1038"/>
        <v>Carson City</v>
      </c>
    </row>
    <row r="1041" spans="1:5">
      <c r="A1041" s="111" t="s">
        <v>11448</v>
      </c>
      <c r="B1041" s="111" t="s">
        <v>1344</v>
      </c>
      <c r="C1041" s="111" t="s">
        <v>347</v>
      </c>
      <c r="D1041" s="2" t="str">
        <f t="shared" ref="D1041:E1041" si="1039">TRIM(B1041)</f>
        <v>Michigan</v>
      </c>
      <c r="E1041" s="2" t="str">
        <f t="shared" si="1039"/>
        <v>Ann Arbor</v>
      </c>
    </row>
    <row r="1042" spans="1:5">
      <c r="A1042" s="111" t="s">
        <v>11449</v>
      </c>
      <c r="B1042" s="111" t="s">
        <v>1344</v>
      </c>
      <c r="C1042" s="111" t="s">
        <v>11450</v>
      </c>
      <c r="D1042" s="2" t="str">
        <f t="shared" ref="D1042:E1042" si="1040">TRIM(B1042)</f>
        <v>Michigan</v>
      </c>
      <c r="E1042" s="2" t="str">
        <f t="shared" si="1040"/>
        <v>Swartz Creek</v>
      </c>
    </row>
    <row r="1043" spans="1:5">
      <c r="A1043" s="111" t="s">
        <v>11451</v>
      </c>
      <c r="B1043" s="111" t="s">
        <v>1344</v>
      </c>
      <c r="C1043" s="111" t="s">
        <v>11054</v>
      </c>
      <c r="D1043" s="2" t="str">
        <f t="shared" ref="D1043:E1043" si="1041">TRIM(B1043)</f>
        <v>Michigan</v>
      </c>
      <c r="E1043" s="2" t="str">
        <f t="shared" si="1041"/>
        <v>Silver Spring</v>
      </c>
    </row>
    <row r="1044" spans="1:5">
      <c r="A1044" s="111" t="s">
        <v>11451</v>
      </c>
      <c r="B1044" s="111" t="s">
        <v>1344</v>
      </c>
      <c r="C1044" s="111" t="s">
        <v>11421</v>
      </c>
      <c r="D1044" s="2" t="str">
        <f t="shared" ref="D1044:E1044" si="1042">TRIM(B1044)</f>
        <v>Michigan</v>
      </c>
      <c r="E1044" s="2" t="str">
        <f t="shared" si="1042"/>
        <v>Berrien Springs</v>
      </c>
    </row>
    <row r="1045" spans="1:5">
      <c r="A1045" s="111" t="s">
        <v>11456</v>
      </c>
      <c r="B1045" s="111" t="s">
        <v>1344</v>
      </c>
      <c r="C1045" s="111" t="s">
        <v>11457</v>
      </c>
      <c r="D1045" s="2" t="str">
        <f t="shared" ref="D1045:E1045" si="1043">TRIM(B1045)</f>
        <v>Michigan</v>
      </c>
      <c r="E1045" s="2" t="str">
        <f t="shared" si="1043"/>
        <v>Hillsdale</v>
      </c>
    </row>
    <row r="1046" spans="1:5">
      <c r="A1046" s="111" t="s">
        <v>9414</v>
      </c>
      <c r="B1046" s="111" t="s">
        <v>1344</v>
      </c>
      <c r="C1046" s="111" t="s">
        <v>24</v>
      </c>
      <c r="D1046" s="2" t="str">
        <f t="shared" ref="D1046:E1046" si="1044">TRIM(B1046)</f>
        <v>Michigan</v>
      </c>
      <c r="E1046" s="2" t="str">
        <f t="shared" si="1044"/>
        <v>Detroit</v>
      </c>
    </row>
    <row r="1047" spans="1:5">
      <c r="A1047" s="111" t="s">
        <v>10698</v>
      </c>
      <c r="B1047" s="111" t="s">
        <v>1344</v>
      </c>
      <c r="C1047" s="111" t="s">
        <v>11424</v>
      </c>
      <c r="D1047" s="2" t="str">
        <f t="shared" ref="D1047:E1047" si="1045">TRIM(B1047)</f>
        <v>Michigan</v>
      </c>
      <c r="E1047" s="2" t="str">
        <f t="shared" si="1045"/>
        <v>Bloomfield Hills</v>
      </c>
    </row>
    <row r="1048" spans="1:5">
      <c r="A1048" s="111" t="s">
        <v>11462</v>
      </c>
      <c r="B1048" s="111" t="s">
        <v>1344</v>
      </c>
      <c r="C1048" s="111" t="s">
        <v>11463</v>
      </c>
      <c r="D1048" s="2" t="str">
        <f t="shared" ref="D1048:E1048" si="1046">TRIM(B1048)</f>
        <v>Michigan</v>
      </c>
      <c r="E1048" s="2" t="str">
        <f t="shared" si="1046"/>
        <v>Holt</v>
      </c>
    </row>
    <row r="1049" spans="1:5">
      <c r="A1049" s="111" t="s">
        <v>9435</v>
      </c>
      <c r="B1049" s="111" t="s">
        <v>1344</v>
      </c>
      <c r="C1049" s="111" t="s">
        <v>11466</v>
      </c>
      <c r="D1049" s="2" t="str">
        <f t="shared" ref="D1049:E1049" si="1047">TRIM(B1049)</f>
        <v>Michigan</v>
      </c>
      <c r="E1049" s="2" t="str">
        <f t="shared" si="1047"/>
        <v>Farmington Hills</v>
      </c>
    </row>
    <row r="1050" spans="1:5">
      <c r="A1050" s="111" t="s">
        <v>11468</v>
      </c>
      <c r="B1050" s="111" t="s">
        <v>1344</v>
      </c>
      <c r="C1050" s="111" t="s">
        <v>1380</v>
      </c>
      <c r="D1050" s="2" t="str">
        <f t="shared" ref="D1050:E1050" si="1048">TRIM(B1050)</f>
        <v>Michigan</v>
      </c>
      <c r="E1050" s="2" t="str">
        <f t="shared" si="1048"/>
        <v>Wyoming</v>
      </c>
    </row>
    <row r="1051" spans="1:5">
      <c r="A1051" s="111" t="s">
        <v>11470</v>
      </c>
      <c r="B1051" s="111" t="s">
        <v>1344</v>
      </c>
      <c r="C1051" s="111" t="s">
        <v>4265</v>
      </c>
      <c r="D1051" s="2" t="str">
        <f t="shared" ref="D1051:E1051" si="1049">TRIM(B1051)</f>
        <v>Michigan</v>
      </c>
      <c r="E1051" s="2" t="str">
        <f t="shared" si="1049"/>
        <v>Warren</v>
      </c>
    </row>
    <row r="1052" spans="1:5">
      <c r="A1052" s="111" t="s">
        <v>9798</v>
      </c>
      <c r="B1052" s="111" t="s">
        <v>1344</v>
      </c>
      <c r="C1052" s="111" t="s">
        <v>11472</v>
      </c>
      <c r="D1052" s="2" t="str">
        <f t="shared" ref="D1052:E1052" si="1050">TRIM(B1052)</f>
        <v>Michigan</v>
      </c>
      <c r="E1052" s="2" t="str">
        <f t="shared" si="1050"/>
        <v>Grand Rapids</v>
      </c>
    </row>
    <row r="1053" spans="1:5">
      <c r="A1053" s="111" t="s">
        <v>9798</v>
      </c>
      <c r="B1053" s="111" t="s">
        <v>1344</v>
      </c>
      <c r="C1053" s="111" t="s">
        <v>398</v>
      </c>
      <c r="D1053" s="2" t="str">
        <f t="shared" ref="D1053:E1053" si="1051">TRIM(B1053)</f>
        <v>Michigan</v>
      </c>
      <c r="E1053" s="2" t="str">
        <f t="shared" si="1051"/>
        <v>Mount Pleasant</v>
      </c>
    </row>
    <row r="1054" spans="1:5">
      <c r="A1054" s="111" t="s">
        <v>11476</v>
      </c>
      <c r="B1054" s="111" t="s">
        <v>1344</v>
      </c>
      <c r="C1054" s="111" t="s">
        <v>11477</v>
      </c>
      <c r="D1054" s="2" t="str">
        <f t="shared" ref="D1054:E1054" si="1052">TRIM(B1054)</f>
        <v>Michigan</v>
      </c>
      <c r="E1054" s="2" t="str">
        <f t="shared" si="1052"/>
        <v>Owosso</v>
      </c>
    </row>
    <row r="1055" spans="1:5">
      <c r="A1055" s="111" t="s">
        <v>11478</v>
      </c>
      <c r="B1055" s="111" t="s">
        <v>1344</v>
      </c>
      <c r="C1055" s="111" t="s">
        <v>11480</v>
      </c>
      <c r="D1055" s="2" t="str">
        <f t="shared" ref="D1055:E1055" si="1053">TRIM(B1055)</f>
        <v>Michigan</v>
      </c>
      <c r="E1055" s="2" t="str">
        <f t="shared" si="1053"/>
        <v>Wixom</v>
      </c>
    </row>
    <row r="1056" spans="1:5">
      <c r="A1056" s="111" t="s">
        <v>9595</v>
      </c>
      <c r="B1056" s="111" t="s">
        <v>1344</v>
      </c>
      <c r="C1056" s="111" t="s">
        <v>11482</v>
      </c>
      <c r="D1056" s="2" t="str">
        <f t="shared" ref="D1056:E1056" si="1054">TRIM(B1056)</f>
        <v>Michigan</v>
      </c>
      <c r="E1056" s="2" t="str">
        <f t="shared" si="1054"/>
        <v>Traverse City</v>
      </c>
    </row>
    <row r="1057" spans="1:5">
      <c r="A1057" s="111" t="s">
        <v>11484</v>
      </c>
      <c r="B1057" s="111" t="s">
        <v>1344</v>
      </c>
      <c r="C1057" s="111" t="s">
        <v>11485</v>
      </c>
      <c r="D1057" s="2" t="str">
        <f t="shared" ref="D1057:E1057" si="1055">TRIM(B1057)</f>
        <v>Michigan</v>
      </c>
      <c r="E1057" s="2" t="str">
        <f t="shared" si="1055"/>
        <v>Gaylord</v>
      </c>
    </row>
    <row r="1058" spans="1:5">
      <c r="A1058" s="111" t="s">
        <v>11486</v>
      </c>
      <c r="B1058" s="111" t="s">
        <v>1344</v>
      </c>
      <c r="C1058" s="111" t="s">
        <v>11487</v>
      </c>
      <c r="D1058" s="2" t="str">
        <f t="shared" ref="D1058:E1058" si="1056">TRIM(B1058)</f>
        <v>Michigan</v>
      </c>
      <c r="E1058" s="2" t="str">
        <f t="shared" si="1056"/>
        <v>Lake Leelanau</v>
      </c>
    </row>
    <row r="1059" spans="1:5">
      <c r="A1059" s="76" t="s">
        <v>11490</v>
      </c>
      <c r="B1059" s="111" t="s">
        <v>1344</v>
      </c>
      <c r="C1059" s="111" t="s">
        <v>11491</v>
      </c>
      <c r="D1059" s="2" t="str">
        <f t="shared" ref="D1059:E1059" si="1057">TRIM(B1059)</f>
        <v>Michigan</v>
      </c>
      <c r="E1059" s="2" t="str">
        <f t="shared" si="1057"/>
        <v>Orchard Lake</v>
      </c>
    </row>
    <row r="1060" spans="1:5">
      <c r="A1060" s="111" t="s">
        <v>10841</v>
      </c>
      <c r="B1060" s="111" t="s">
        <v>1344</v>
      </c>
      <c r="C1060" s="111" t="s">
        <v>8643</v>
      </c>
      <c r="D1060" s="2" t="str">
        <f t="shared" ref="D1060:E1060" si="1058">TRIM(B1060)</f>
        <v>Michigan</v>
      </c>
      <c r="E1060" s="2" t="str">
        <f t="shared" si="1058"/>
        <v>Portland</v>
      </c>
    </row>
    <row r="1061" spans="1:5">
      <c r="A1061" s="111" t="s">
        <v>11494</v>
      </c>
      <c r="B1061" s="111" t="s">
        <v>1344</v>
      </c>
      <c r="C1061" s="111" t="s">
        <v>11495</v>
      </c>
      <c r="D1061" s="2" t="str">
        <f t="shared" ref="D1061:E1061" si="1059">TRIM(B1061)</f>
        <v>Michigan</v>
      </c>
      <c r="E1061" s="2" t="str">
        <f t="shared" si="1059"/>
        <v>Burton</v>
      </c>
    </row>
    <row r="1062" spans="1:5">
      <c r="A1062" s="111" t="s">
        <v>11497</v>
      </c>
      <c r="B1062" s="111" t="s">
        <v>1344</v>
      </c>
      <c r="C1062" s="111" t="s">
        <v>11424</v>
      </c>
      <c r="D1062" s="2" t="str">
        <f t="shared" ref="D1062:E1062" si="1060">TRIM(B1062)</f>
        <v>Michigan</v>
      </c>
      <c r="E1062" s="2" t="str">
        <f t="shared" si="1060"/>
        <v>Bloomfield Hills</v>
      </c>
    </row>
    <row r="1063" spans="1:5">
      <c r="A1063" s="111" t="s">
        <v>11499</v>
      </c>
      <c r="B1063" s="111" t="s">
        <v>1344</v>
      </c>
      <c r="C1063" s="111" t="s">
        <v>11501</v>
      </c>
      <c r="D1063" s="2" t="str">
        <f t="shared" ref="D1063:E1063" si="1061">TRIM(B1063)</f>
        <v>Michigan</v>
      </c>
      <c r="E1063" s="2" t="str">
        <f t="shared" si="1061"/>
        <v>Glen Arbor</v>
      </c>
    </row>
    <row r="1064" spans="1:5">
      <c r="A1064" s="111" t="s">
        <v>11503</v>
      </c>
      <c r="B1064" s="111" t="s">
        <v>1344</v>
      </c>
      <c r="C1064" s="111" t="s">
        <v>383</v>
      </c>
      <c r="D1064" s="2" t="str">
        <f t="shared" ref="D1064:E1064" si="1062">TRIM(B1064)</f>
        <v>Michigan</v>
      </c>
      <c r="E1064" s="2" t="str">
        <f t="shared" si="1062"/>
        <v>Saginaw</v>
      </c>
    </row>
    <row r="1065" spans="1:5">
      <c r="A1065" s="111" t="s">
        <v>11505</v>
      </c>
      <c r="B1065" s="111" t="s">
        <v>1344</v>
      </c>
      <c r="C1065" s="111" t="s">
        <v>11450</v>
      </c>
      <c r="D1065" s="2" t="str">
        <f t="shared" ref="D1065:E1065" si="1063">TRIM(B1065)</f>
        <v>Michigan</v>
      </c>
      <c r="E1065" s="2" t="str">
        <f t="shared" si="1063"/>
        <v>Swartz Creek</v>
      </c>
    </row>
    <row r="1066" spans="1:5">
      <c r="A1066" s="111" t="s">
        <v>11508</v>
      </c>
      <c r="B1066" s="111" t="s">
        <v>1344</v>
      </c>
      <c r="C1066" s="111" t="s">
        <v>11482</v>
      </c>
      <c r="D1066" s="2" t="str">
        <f t="shared" ref="D1066:E1066" si="1064">TRIM(B1066)</f>
        <v>Michigan</v>
      </c>
      <c r="E1066" s="2" t="str">
        <f t="shared" si="1064"/>
        <v>Traverse City</v>
      </c>
    </row>
    <row r="1067" spans="1:5">
      <c r="A1067" s="111" t="s">
        <v>11510</v>
      </c>
      <c r="B1067" s="111" t="s">
        <v>1345</v>
      </c>
      <c r="C1067" s="111" t="s">
        <v>1004</v>
      </c>
      <c r="D1067" s="2" t="str">
        <f t="shared" ref="D1067:E1067" si="1065">TRIM(B1067)</f>
        <v>Minnesota</v>
      </c>
      <c r="E1067" s="2" t="str">
        <f t="shared" si="1065"/>
        <v>Bloomington</v>
      </c>
    </row>
    <row r="1068" spans="1:5">
      <c r="A1068" s="111" t="s">
        <v>11512</v>
      </c>
      <c r="B1068" s="111" t="s">
        <v>1345</v>
      </c>
      <c r="C1068" s="111" t="s">
        <v>11513</v>
      </c>
      <c r="D1068" s="2" t="str">
        <f t="shared" ref="D1068:E1068" si="1066">TRIM(B1068)</f>
        <v>Minnesota</v>
      </c>
      <c r="E1068" s="2" t="str">
        <f t="shared" si="1066"/>
        <v>Faribault</v>
      </c>
    </row>
    <row r="1069" spans="1:5">
      <c r="A1069" s="111" t="s">
        <v>11514</v>
      </c>
      <c r="B1069" s="111" t="s">
        <v>1345</v>
      </c>
      <c r="C1069" s="111" t="s">
        <v>220</v>
      </c>
      <c r="D1069" s="2" t="str">
        <f t="shared" ref="D1069:E1069" si="1067">TRIM(B1069)</f>
        <v>Minnesota</v>
      </c>
      <c r="E1069" s="2" t="str">
        <f t="shared" si="1067"/>
        <v>Minneapolis</v>
      </c>
    </row>
    <row r="1070" spans="1:5">
      <c r="A1070" s="111" t="s">
        <v>11517</v>
      </c>
      <c r="B1070" s="111" t="s">
        <v>1345</v>
      </c>
      <c r="C1070" s="111" t="s">
        <v>11518</v>
      </c>
      <c r="D1070" s="2" t="str">
        <f t="shared" ref="D1070:E1070" si="1068">TRIM(B1070)</f>
        <v>Minnesota</v>
      </c>
      <c r="E1070" s="2" t="str">
        <f t="shared" si="1068"/>
        <v>Plymouth</v>
      </c>
    </row>
    <row r="1071" spans="1:5">
      <c r="A1071" s="111" t="s">
        <v>11520</v>
      </c>
      <c r="B1071" s="111" t="s">
        <v>1345</v>
      </c>
      <c r="C1071" s="112" t="s">
        <v>531</v>
      </c>
      <c r="D1071" s="2" t="str">
        <f t="shared" ref="D1071:E1071" si="1069">TRIM(B1071)</f>
        <v>Minnesota</v>
      </c>
      <c r="E1071" s="2" t="str">
        <f t="shared" si="1069"/>
        <v>Saint Cloud</v>
      </c>
    </row>
    <row r="1072" spans="1:5">
      <c r="A1072" s="111" t="s">
        <v>11270</v>
      </c>
      <c r="B1072" s="111" t="s">
        <v>1345</v>
      </c>
      <c r="C1072" s="111" t="s">
        <v>11523</v>
      </c>
      <c r="D1072" s="2" t="str">
        <f t="shared" ref="D1072:E1072" si="1070">TRIM(B1072)</f>
        <v>Minnesota</v>
      </c>
      <c r="E1072" s="2" t="str">
        <f t="shared" si="1070"/>
        <v>New Ulm</v>
      </c>
    </row>
    <row r="1073" spans="1:5">
      <c r="A1073" s="111" t="s">
        <v>11526</v>
      </c>
      <c r="B1073" s="111" t="s">
        <v>1345</v>
      </c>
      <c r="C1073" s="111" t="s">
        <v>1217</v>
      </c>
      <c r="D1073" s="2" t="str">
        <f t="shared" ref="D1073:E1073" si="1071">TRIM(B1073)</f>
        <v>Minnesota</v>
      </c>
      <c r="E1073" s="2" t="str">
        <f t="shared" si="1071"/>
        <v>Hopkins</v>
      </c>
    </row>
    <row r="1074" spans="1:5">
      <c r="A1074" s="111" t="s">
        <v>11530</v>
      </c>
      <c r="B1074" s="111" t="s">
        <v>1345</v>
      </c>
      <c r="C1074" s="111" t="s">
        <v>6602</v>
      </c>
      <c r="D1074" s="2" t="str">
        <f t="shared" ref="D1074:E1074" si="1072">TRIM(B1074)</f>
        <v>Minnesota</v>
      </c>
      <c r="E1074" s="2" t="str">
        <f t="shared" si="1072"/>
        <v>Roseville</v>
      </c>
    </row>
    <row r="1075" spans="1:5">
      <c r="A1075" s="111" t="s">
        <v>11532</v>
      </c>
      <c r="B1075" s="111" t="s">
        <v>1345</v>
      </c>
      <c r="C1075" s="111" t="s">
        <v>11533</v>
      </c>
      <c r="D1075" s="2" t="str">
        <f t="shared" ref="D1075:E1075" si="1073">TRIM(B1075)</f>
        <v>Minnesota</v>
      </c>
      <c r="E1075" s="2" t="str">
        <f t="shared" si="1073"/>
        <v>Winona</v>
      </c>
    </row>
    <row r="1076" spans="1:5">
      <c r="A1076" s="111" t="s">
        <v>11535</v>
      </c>
      <c r="B1076" s="111" t="s">
        <v>1345</v>
      </c>
      <c r="C1076" s="111" t="s">
        <v>387</v>
      </c>
      <c r="D1076" s="2" t="str">
        <f t="shared" ref="D1076:E1076" si="1074">TRIM(B1076)</f>
        <v>Minnesota</v>
      </c>
      <c r="E1076" s="2" t="str">
        <f t="shared" si="1074"/>
        <v>Saint Paul</v>
      </c>
    </row>
    <row r="1077" spans="1:5">
      <c r="A1077" s="111" t="s">
        <v>11539</v>
      </c>
      <c r="B1077" s="111" t="s">
        <v>1345</v>
      </c>
      <c r="C1077" s="111" t="s">
        <v>220</v>
      </c>
      <c r="D1077" s="2" t="str">
        <f t="shared" ref="D1077:E1077" si="1075">TRIM(B1077)</f>
        <v>Minnesota</v>
      </c>
      <c r="E1077" s="2" t="str">
        <f t="shared" si="1075"/>
        <v>Minneapolis</v>
      </c>
    </row>
    <row r="1078" spans="1:5">
      <c r="A1078" s="111" t="s">
        <v>11541</v>
      </c>
      <c r="B1078" s="111" t="s">
        <v>1345</v>
      </c>
      <c r="C1078" s="111" t="s">
        <v>11518</v>
      </c>
      <c r="D1078" s="2" t="str">
        <f t="shared" ref="D1078:E1078" si="1076">TRIM(B1078)</f>
        <v>Minnesota</v>
      </c>
      <c r="E1078" s="2" t="str">
        <f t="shared" si="1076"/>
        <v>Plymouth</v>
      </c>
    </row>
    <row r="1079" spans="1:5">
      <c r="A1079" s="111" t="s">
        <v>11544</v>
      </c>
      <c r="B1079" s="111" t="s">
        <v>1345</v>
      </c>
      <c r="C1079" s="112" t="s">
        <v>11545</v>
      </c>
      <c r="D1079" s="2" t="str">
        <f t="shared" ref="D1079:E1079" si="1077">TRIM(B1079)</f>
        <v>Minnesota</v>
      </c>
      <c r="E1079" s="2" t="str">
        <f t="shared" si="1077"/>
        <v>Arden Hills</v>
      </c>
    </row>
    <row r="1080" spans="1:5">
      <c r="A1080" s="111" t="s">
        <v>11547</v>
      </c>
      <c r="B1080" s="111" t="s">
        <v>1345</v>
      </c>
      <c r="C1080" s="111" t="s">
        <v>387</v>
      </c>
      <c r="D1080" s="2" t="str">
        <f t="shared" ref="D1080:E1080" si="1078">TRIM(B1080)</f>
        <v>Minnesota</v>
      </c>
      <c r="E1080" s="2" t="str">
        <f t="shared" si="1078"/>
        <v>Saint Paul</v>
      </c>
    </row>
    <row r="1081" spans="1:5">
      <c r="A1081" s="111" t="s">
        <v>11550</v>
      </c>
      <c r="B1081" s="111" t="s">
        <v>1345</v>
      </c>
      <c r="C1081" s="111" t="s">
        <v>11551</v>
      </c>
      <c r="D1081" s="2" t="str">
        <f t="shared" ref="D1081:E1081" si="1079">TRIM(B1081)</f>
        <v>Minnesota</v>
      </c>
      <c r="E1081" s="2" t="str">
        <f t="shared" si="1079"/>
        <v>Waite Park</v>
      </c>
    </row>
    <row r="1082" spans="1:5">
      <c r="A1082" s="111" t="s">
        <v>11554</v>
      </c>
      <c r="B1082" s="111" t="s">
        <v>1345</v>
      </c>
      <c r="C1082" s="111" t="s">
        <v>4040</v>
      </c>
      <c r="D1082" s="2" t="str">
        <f t="shared" ref="D1082:E1082" si="1080">TRIM(B1082)</f>
        <v>Minnesota</v>
      </c>
      <c r="E1082" s="2" t="str">
        <f t="shared" si="1080"/>
        <v>Monticello</v>
      </c>
    </row>
    <row r="1083" spans="1:5">
      <c r="A1083" s="111" t="s">
        <v>11557</v>
      </c>
      <c r="B1083" s="111" t="s">
        <v>1345</v>
      </c>
      <c r="C1083" s="111" t="s">
        <v>220</v>
      </c>
      <c r="D1083" s="2" t="str">
        <f t="shared" ref="D1083:E1083" si="1081">TRIM(B1083)</f>
        <v>Minnesota</v>
      </c>
      <c r="E1083" s="2" t="str">
        <f t="shared" si="1081"/>
        <v>Minneapolis</v>
      </c>
    </row>
    <row r="1084" spans="1:5">
      <c r="A1084" s="111" t="s">
        <v>11559</v>
      </c>
      <c r="B1084" s="111" t="s">
        <v>1345</v>
      </c>
      <c r="C1084" s="111" t="s">
        <v>101</v>
      </c>
      <c r="D1084" s="2" t="str">
        <f t="shared" ref="D1084:E1084" si="1082">TRIM(B1084)</f>
        <v>Minnesota</v>
      </c>
      <c r="E1084" s="2" t="str">
        <f t="shared" si="1082"/>
        <v>Eden Prairie</v>
      </c>
    </row>
    <row r="1085" spans="1:5">
      <c r="A1085" s="111" t="s">
        <v>11561</v>
      </c>
      <c r="B1085" s="111" t="s">
        <v>1345</v>
      </c>
      <c r="C1085" s="111" t="s">
        <v>11563</v>
      </c>
      <c r="D1085" s="2" t="str">
        <f t="shared" ref="D1085:E1085" si="1083">TRIM(B1085)</f>
        <v>Minnesota</v>
      </c>
      <c r="E1085" s="2" t="str">
        <f t="shared" si="1083"/>
        <v>White Bear Lake</v>
      </c>
    </row>
    <row r="1086" spans="1:5">
      <c r="A1086" s="111" t="s">
        <v>11564</v>
      </c>
      <c r="B1086" s="111" t="s">
        <v>1345</v>
      </c>
      <c r="C1086" s="111" t="s">
        <v>11566</v>
      </c>
      <c r="D1086" s="2" t="str">
        <f t="shared" ref="D1086:E1086" si="1084">TRIM(B1086)</f>
        <v>Minnesota</v>
      </c>
      <c r="E1086" s="2" t="str">
        <f t="shared" si="1084"/>
        <v>Rochester</v>
      </c>
    </row>
    <row r="1087" spans="1:5">
      <c r="A1087" s="111" t="s">
        <v>11568</v>
      </c>
      <c r="B1087" s="111" t="s">
        <v>1345</v>
      </c>
      <c r="C1087" s="111" t="s">
        <v>11569</v>
      </c>
      <c r="D1087" s="2" t="str">
        <f t="shared" ref="D1087:E1087" si="1085">TRIM(B1087)</f>
        <v>Minnesota</v>
      </c>
      <c r="E1087" s="2" t="str">
        <f t="shared" si="1085"/>
        <v>Hutchinson</v>
      </c>
    </row>
    <row r="1088" spans="1:5">
      <c r="A1088" s="111" t="s">
        <v>11462</v>
      </c>
      <c r="B1088" s="111" t="s">
        <v>1345</v>
      </c>
      <c r="C1088" s="111" t="s">
        <v>11571</v>
      </c>
      <c r="D1088" s="2" t="str">
        <f t="shared" ref="D1088:E1088" si="1086">TRIM(B1088)</f>
        <v>Minnesota</v>
      </c>
      <c r="E1088" s="2" t="str">
        <f t="shared" si="1086"/>
        <v>Northrop</v>
      </c>
    </row>
    <row r="1089" spans="1:5">
      <c r="A1089" s="111" t="s">
        <v>11574</v>
      </c>
      <c r="B1089" s="111" t="s">
        <v>1345</v>
      </c>
      <c r="C1089" s="111" t="s">
        <v>220</v>
      </c>
      <c r="D1089" s="2" t="str">
        <f t="shared" ref="D1089:E1089" si="1087">TRIM(B1089)</f>
        <v>Minnesota</v>
      </c>
      <c r="E1089" s="2" t="str">
        <f t="shared" si="1087"/>
        <v>Minneapolis</v>
      </c>
    </row>
    <row r="1090" spans="1:5">
      <c r="A1090" s="111" t="s">
        <v>11577</v>
      </c>
      <c r="B1090" s="111" t="s">
        <v>1345</v>
      </c>
      <c r="C1090" s="111" t="s">
        <v>387</v>
      </c>
      <c r="D1090" s="2" t="str">
        <f t="shared" ref="D1090:E1090" si="1088">TRIM(B1090)</f>
        <v>Minnesota</v>
      </c>
      <c r="E1090" s="2" t="str">
        <f t="shared" si="1088"/>
        <v>Saint Paul</v>
      </c>
    </row>
    <row r="1091" spans="1:5">
      <c r="A1091" s="111" t="s">
        <v>11580</v>
      </c>
      <c r="B1091" s="111" t="s">
        <v>1345</v>
      </c>
      <c r="C1091" s="111" t="s">
        <v>387</v>
      </c>
      <c r="D1091" s="2" t="str">
        <f t="shared" ref="D1091:E1091" si="1089">TRIM(B1091)</f>
        <v>Minnesota</v>
      </c>
      <c r="E1091" s="2" t="str">
        <f t="shared" si="1089"/>
        <v>Saint Paul</v>
      </c>
    </row>
    <row r="1092" spans="1:5">
      <c r="A1092" s="111" t="s">
        <v>9463</v>
      </c>
      <c r="B1092" s="111" t="s">
        <v>1345</v>
      </c>
      <c r="C1092" s="111" t="s">
        <v>8789</v>
      </c>
      <c r="D1092" s="2" t="str">
        <f t="shared" ref="D1092:E1092" si="1090">TRIM(B1092)</f>
        <v>Minnesota</v>
      </c>
      <c r="E1092" s="2" t="str">
        <f t="shared" si="1090"/>
        <v>Woodbury</v>
      </c>
    </row>
    <row r="1093" spans="1:5">
      <c r="A1093" s="111" t="s">
        <v>11584</v>
      </c>
      <c r="B1093" s="111" t="s">
        <v>1345</v>
      </c>
      <c r="C1093" s="111" t="s">
        <v>11518</v>
      </c>
      <c r="D1093" s="2" t="str">
        <f t="shared" ref="D1093:E1093" si="1091">TRIM(B1093)</f>
        <v>Minnesota</v>
      </c>
      <c r="E1093" s="2" t="str">
        <f t="shared" si="1091"/>
        <v>Plymouth</v>
      </c>
    </row>
    <row r="1094" spans="1:5">
      <c r="A1094" s="111" t="s">
        <v>11586</v>
      </c>
      <c r="B1094" s="111" t="s">
        <v>1345</v>
      </c>
      <c r="C1094" s="111" t="s">
        <v>11518</v>
      </c>
      <c r="D1094" s="2" t="str">
        <f t="shared" ref="D1094:E1094" si="1092">TRIM(B1094)</f>
        <v>Minnesota</v>
      </c>
      <c r="E1094" s="2" t="str">
        <f t="shared" si="1092"/>
        <v>Plymouth</v>
      </c>
    </row>
    <row r="1095" spans="1:5">
      <c r="A1095" s="111" t="s">
        <v>9532</v>
      </c>
      <c r="B1095" s="111" t="s">
        <v>1345</v>
      </c>
      <c r="C1095" s="113" t="s">
        <v>11588</v>
      </c>
      <c r="D1095" s="2" t="str">
        <f t="shared" ref="D1095:E1095" si="1093">TRIM(B1095)</f>
        <v>Minnesota</v>
      </c>
      <c r="E1095" s="2" t="str">
        <f t="shared" si="1093"/>
        <v>East Grand Forks</v>
      </c>
    </row>
    <row r="1096" spans="1:5">
      <c r="A1096" s="111" t="s">
        <v>11591</v>
      </c>
      <c r="B1096" s="111" t="s">
        <v>1345</v>
      </c>
      <c r="C1096" s="111" t="s">
        <v>11566</v>
      </c>
      <c r="D1096" s="2" t="str">
        <f t="shared" ref="D1096:E1096" si="1094">TRIM(B1096)</f>
        <v>Minnesota</v>
      </c>
      <c r="E1096" s="2" t="str">
        <f t="shared" si="1094"/>
        <v>Rochester</v>
      </c>
    </row>
    <row r="1097" spans="1:5">
      <c r="A1097" s="111" t="s">
        <v>11594</v>
      </c>
      <c r="B1097" s="111" t="s">
        <v>1345</v>
      </c>
      <c r="C1097" s="111" t="s">
        <v>387</v>
      </c>
      <c r="D1097" s="2" t="str">
        <f t="shared" ref="D1097:E1097" si="1095">TRIM(B1097)</f>
        <v>Minnesota</v>
      </c>
      <c r="E1097" s="2" t="str">
        <f t="shared" si="1095"/>
        <v>Saint Paul</v>
      </c>
    </row>
    <row r="1098" spans="1:5">
      <c r="A1098" s="111" t="s">
        <v>11594</v>
      </c>
      <c r="B1098" s="111" t="s">
        <v>1345</v>
      </c>
      <c r="C1098" s="111" t="s">
        <v>387</v>
      </c>
      <c r="D1098" s="2" t="str">
        <f t="shared" ref="D1098:E1098" si="1096">TRIM(B1098)</f>
        <v>Minnesota</v>
      </c>
      <c r="E1098" s="2" t="str">
        <f t="shared" si="1096"/>
        <v>Saint Paul</v>
      </c>
    </row>
    <row r="1099" spans="1:5">
      <c r="A1099" s="76" t="s">
        <v>11599</v>
      </c>
      <c r="B1099" s="111" t="s">
        <v>1345</v>
      </c>
      <c r="C1099" s="111" t="s">
        <v>11600</v>
      </c>
      <c r="D1099" s="2" t="str">
        <f t="shared" ref="D1099:E1099" si="1097">TRIM(B1099)</f>
        <v>Minnesota</v>
      </c>
      <c r="E1099" s="2" t="str">
        <f t="shared" si="1097"/>
        <v>Collegeville</v>
      </c>
    </row>
    <row r="1100" spans="1:5">
      <c r="A1100" s="111" t="s">
        <v>11603</v>
      </c>
      <c r="B1100" s="111" t="s">
        <v>1345</v>
      </c>
      <c r="C1100" s="111" t="s">
        <v>387</v>
      </c>
      <c r="D1100" s="2" t="str">
        <f t="shared" ref="D1100:E1100" si="1098">TRIM(B1100)</f>
        <v>Minnesota</v>
      </c>
      <c r="E1100" s="2" t="str">
        <f t="shared" si="1098"/>
        <v>Saint Paul</v>
      </c>
    </row>
    <row r="1101" spans="1:5">
      <c r="A1101" s="111" t="s">
        <v>11605</v>
      </c>
      <c r="B1101" s="111" t="s">
        <v>1345</v>
      </c>
      <c r="C1101" s="111" t="s">
        <v>387</v>
      </c>
      <c r="D1101" s="2" t="str">
        <f t="shared" ref="D1101:E1101" si="1099">TRIM(B1101)</f>
        <v>Minnesota</v>
      </c>
      <c r="E1101" s="2" t="str">
        <f t="shared" si="1099"/>
        <v>Saint Paul</v>
      </c>
    </row>
    <row r="1102" spans="1:5">
      <c r="A1102" s="111" t="s">
        <v>11607</v>
      </c>
      <c r="B1102" s="111" t="s">
        <v>1345</v>
      </c>
      <c r="C1102" s="111" t="s">
        <v>11608</v>
      </c>
      <c r="D1102" s="2" t="str">
        <f t="shared" ref="D1102:E1102" si="1100">TRIM(B1102)</f>
        <v>Minnesota</v>
      </c>
      <c r="E1102" s="2" t="str">
        <f t="shared" si="1100"/>
        <v>Mendota Heights</v>
      </c>
    </row>
    <row r="1103" spans="1:5">
      <c r="A1103" s="111" t="s">
        <v>11610</v>
      </c>
      <c r="B1103" s="111" t="s">
        <v>1345</v>
      </c>
      <c r="C1103" s="111" t="s">
        <v>11611</v>
      </c>
      <c r="D1103" s="2" t="str">
        <f t="shared" ref="D1103:E1103" si="1101">TRIM(B1103)</f>
        <v>Minnesota</v>
      </c>
      <c r="E1103" s="2" t="str">
        <f t="shared" si="1101"/>
        <v>Burnsville</v>
      </c>
    </row>
    <row r="1104" spans="1:5">
      <c r="A1104" s="111" t="s">
        <v>11613</v>
      </c>
      <c r="B1104" s="111" t="s">
        <v>1345</v>
      </c>
      <c r="C1104" s="111" t="s">
        <v>11614</v>
      </c>
      <c r="D1104" s="2" t="str">
        <f t="shared" ref="D1104:E1104" si="1102">TRIM(B1104)</f>
        <v>Minnesota</v>
      </c>
      <c r="E1104" s="2" t="str">
        <f t="shared" si="1102"/>
        <v>Saint Vincent</v>
      </c>
    </row>
    <row r="1105" spans="1:5">
      <c r="A1105" s="111" t="s">
        <v>11617</v>
      </c>
      <c r="B1105" s="111" t="s">
        <v>1345</v>
      </c>
      <c r="C1105" s="111" t="s">
        <v>1217</v>
      </c>
      <c r="D1105" s="2" t="str">
        <f t="shared" ref="D1105:E1105" si="1103">TRIM(B1105)</f>
        <v>Minnesota</v>
      </c>
      <c r="E1105" s="2" t="str">
        <f t="shared" si="1103"/>
        <v>Hopkins</v>
      </c>
    </row>
    <row r="1106" spans="1:5">
      <c r="A1106" s="111" t="s">
        <v>11618</v>
      </c>
      <c r="B1106" s="111" t="s">
        <v>1345</v>
      </c>
      <c r="C1106" s="111" t="s">
        <v>101</v>
      </c>
      <c r="D1106" s="2" t="str">
        <f t="shared" ref="D1106:E1106" si="1104">TRIM(B1106)</f>
        <v>Minnesota</v>
      </c>
      <c r="E1106" s="2" t="str">
        <f t="shared" si="1104"/>
        <v>Eden Prairie</v>
      </c>
    </row>
    <row r="1107" spans="1:5">
      <c r="A1107" s="111" t="s">
        <v>11620</v>
      </c>
      <c r="B1107" s="111" t="s">
        <v>1345</v>
      </c>
      <c r="C1107" s="111" t="s">
        <v>10361</v>
      </c>
      <c r="D1107" s="2" t="str">
        <f t="shared" ref="D1107:E1107" si="1105">TRIM(B1107)</f>
        <v>Minnesota</v>
      </c>
      <c r="E1107" s="2" t="str">
        <f t="shared" si="1105"/>
        <v>Duluth</v>
      </c>
    </row>
    <row r="1108" spans="1:5">
      <c r="A1108" s="111" t="s">
        <v>11625</v>
      </c>
      <c r="B1108" s="111" t="s">
        <v>1345</v>
      </c>
      <c r="C1108" s="111" t="s">
        <v>11626</v>
      </c>
      <c r="D1108" s="2" t="str">
        <f t="shared" ref="D1108:E1108" si="1106">TRIM(B1108)</f>
        <v>Minnesota</v>
      </c>
      <c r="E1108" s="2" t="str">
        <f t="shared" si="1106"/>
        <v>Fridley</v>
      </c>
    </row>
    <row r="1109" spans="1:5">
      <c r="A1109" s="111" t="s">
        <v>11628</v>
      </c>
      <c r="B1109" s="111" t="s">
        <v>1345</v>
      </c>
      <c r="C1109" s="111" t="s">
        <v>11608</v>
      </c>
      <c r="D1109" s="2" t="str">
        <f t="shared" ref="D1109:E1109" si="1107">TRIM(B1109)</f>
        <v>Minnesota</v>
      </c>
      <c r="E1109" s="2" t="str">
        <f t="shared" si="1107"/>
        <v>Mendota Heights</v>
      </c>
    </row>
    <row r="1110" spans="1:5">
      <c r="A1110" s="111" t="s">
        <v>11631</v>
      </c>
      <c r="B1110" s="111" t="s">
        <v>1346</v>
      </c>
      <c r="C1110" s="111" t="s">
        <v>6684</v>
      </c>
      <c r="D1110" s="2" t="str">
        <f t="shared" ref="D1110:E1110" si="1108">TRIM(B1110)</f>
        <v>Mississippi</v>
      </c>
      <c r="E1110" s="2" t="str">
        <f t="shared" si="1108"/>
        <v>Liberty</v>
      </c>
    </row>
    <row r="1111" spans="1:5">
      <c r="A1111" s="111" t="s">
        <v>11633</v>
      </c>
      <c r="B1111" s="111" t="s">
        <v>1346</v>
      </c>
      <c r="C1111" s="111" t="s">
        <v>3247</v>
      </c>
      <c r="D1111" s="2" t="str">
        <f t="shared" ref="D1111:E1111" si="1109">TRIM(B1111)</f>
        <v>Mississippi</v>
      </c>
      <c r="E1111" s="2" t="str">
        <f t="shared" si="1109"/>
        <v>Lumberton</v>
      </c>
    </row>
    <row r="1112" spans="1:5">
      <c r="A1112" s="111" t="s">
        <v>11635</v>
      </c>
      <c r="B1112" s="111" t="s">
        <v>1346</v>
      </c>
      <c r="C1112" s="111" t="s">
        <v>127</v>
      </c>
      <c r="D1112" s="2" t="str">
        <f t="shared" ref="D1112:E1112" si="1110">TRIM(B1112)</f>
        <v>Mississippi</v>
      </c>
      <c r="E1112" s="2" t="str">
        <f t="shared" si="1110"/>
        <v>Cleveland</v>
      </c>
    </row>
    <row r="1113" spans="1:5">
      <c r="A1113" s="111" t="s">
        <v>11637</v>
      </c>
      <c r="B1113" s="111" t="s">
        <v>1346</v>
      </c>
      <c r="C1113" s="111" t="s">
        <v>3604</v>
      </c>
      <c r="D1113" s="2" t="str">
        <f t="shared" ref="D1113:E1113" si="1111">TRIM(B1113)</f>
        <v>Mississippi</v>
      </c>
      <c r="E1113" s="2" t="str">
        <f t="shared" si="1111"/>
        <v>Benton</v>
      </c>
    </row>
    <row r="1114" spans="1:5">
      <c r="A1114" s="111" t="s">
        <v>11639</v>
      </c>
      <c r="B1114" s="111" t="s">
        <v>1346</v>
      </c>
      <c r="C1114" s="111" t="s">
        <v>10460</v>
      </c>
      <c r="D1114" s="2" t="str">
        <f t="shared" ref="D1114:E1114" si="1112">TRIM(B1114)</f>
        <v>Mississippi</v>
      </c>
      <c r="E1114" s="2" t="str">
        <f t="shared" si="1112"/>
        <v>Brookhaven</v>
      </c>
    </row>
    <row r="1115" spans="1:5">
      <c r="A1115" s="111" t="s">
        <v>11642</v>
      </c>
      <c r="B1115" s="111" t="s">
        <v>1346</v>
      </c>
      <c r="C1115" s="111" t="s">
        <v>11643</v>
      </c>
      <c r="D1115" s="2" t="str">
        <f t="shared" ref="D1115:E1115" si="1113">TRIM(B1115)</f>
        <v>Mississippi</v>
      </c>
      <c r="E1115" s="2" t="str">
        <f t="shared" si="1113"/>
        <v>Calhoun City</v>
      </c>
    </row>
    <row r="1116" spans="1:5">
      <c r="A1116" s="111" t="s">
        <v>11646</v>
      </c>
      <c r="B1116" s="111" t="s">
        <v>1346</v>
      </c>
      <c r="C1116" s="111" t="s">
        <v>5618</v>
      </c>
      <c r="D1116" s="2" t="str">
        <f t="shared" ref="D1116:E1116" si="1114">TRIM(B1116)</f>
        <v>Mississippi</v>
      </c>
      <c r="E1116" s="2" t="str">
        <f t="shared" si="1114"/>
        <v>Carrollton</v>
      </c>
    </row>
    <row r="1117" spans="1:5">
      <c r="A1117" s="111" t="s">
        <v>11649</v>
      </c>
      <c r="B1117" s="111" t="s">
        <v>1346</v>
      </c>
      <c r="C1117" s="111" t="s">
        <v>3897</v>
      </c>
      <c r="D1117" s="2" t="str">
        <f t="shared" ref="D1117:E1117" si="1115">TRIM(B1117)</f>
        <v>Mississippi</v>
      </c>
      <c r="E1117" s="2" t="str">
        <f t="shared" si="1115"/>
        <v>Raymond</v>
      </c>
    </row>
    <row r="1118" spans="1:5">
      <c r="A1118" s="111" t="s">
        <v>11653</v>
      </c>
      <c r="B1118" s="111" t="s">
        <v>1346</v>
      </c>
      <c r="C1118" s="111" t="s">
        <v>1619</v>
      </c>
      <c r="D1118" s="2" t="str">
        <f t="shared" ref="D1118:E1118" si="1116">TRIM(B1118)</f>
        <v>Mississippi</v>
      </c>
      <c r="E1118" s="2" t="str">
        <f t="shared" si="1116"/>
        <v>Centreville</v>
      </c>
    </row>
    <row r="1119" spans="1:5">
      <c r="A1119" s="111" t="s">
        <v>11655</v>
      </c>
      <c r="B1119" s="111" t="s">
        <v>1346</v>
      </c>
      <c r="C1119" s="111" t="s">
        <v>356</v>
      </c>
      <c r="D1119" s="2" t="str">
        <f t="shared" ref="D1119:E1119" si="1117">TRIM(B1119)</f>
        <v>Mississippi</v>
      </c>
      <c r="E1119" s="2" t="str">
        <f t="shared" si="1117"/>
        <v>Columbia</v>
      </c>
    </row>
    <row r="1120" spans="1:5">
      <c r="A1120" s="111" t="s">
        <v>11657</v>
      </c>
      <c r="B1120" s="111" t="s">
        <v>1346</v>
      </c>
      <c r="C1120" s="111" t="s">
        <v>11658</v>
      </c>
      <c r="D1120" s="2" t="str">
        <f t="shared" ref="D1120:E1120" si="1118">TRIM(B1120)</f>
        <v>Mississippi</v>
      </c>
      <c r="E1120" s="2" t="str">
        <f t="shared" si="1118"/>
        <v>Gallman</v>
      </c>
    </row>
    <row r="1121" spans="1:5">
      <c r="A1121" s="111" t="s">
        <v>11660</v>
      </c>
      <c r="B1121" s="111" t="s">
        <v>1346</v>
      </c>
      <c r="C1121" s="111" t="s">
        <v>11661</v>
      </c>
      <c r="D1121" s="2" t="str">
        <f t="shared" ref="D1121:E1121" si="1119">TRIM(B1121)</f>
        <v>Mississippi</v>
      </c>
      <c r="E1121" s="2" t="str">
        <f t="shared" si="1119"/>
        <v>Tunica</v>
      </c>
    </row>
    <row r="1122" spans="1:5">
      <c r="A1122" s="111" t="s">
        <v>11664</v>
      </c>
      <c r="B1122" s="111" t="s">
        <v>1346</v>
      </c>
      <c r="C1122" s="111" t="s">
        <v>11665</v>
      </c>
      <c r="D1122" s="2" t="str">
        <f t="shared" ref="D1122:E1122" si="1120">TRIM(B1122)</f>
        <v>Mississippi</v>
      </c>
      <c r="E1122" s="2" t="str">
        <f t="shared" si="1120"/>
        <v>Arcola</v>
      </c>
    </row>
    <row r="1123" spans="1:5">
      <c r="A1123" s="111" t="s">
        <v>11667</v>
      </c>
      <c r="B1123" s="111" t="s">
        <v>1346</v>
      </c>
      <c r="C1123" s="111" t="s">
        <v>11668</v>
      </c>
      <c r="D1123" s="2" t="str">
        <f t="shared" ref="D1123:E1123" si="1121">TRIM(B1123)</f>
        <v>Mississippi</v>
      </c>
      <c r="E1123" s="2" t="str">
        <f t="shared" si="1121"/>
        <v>Marks</v>
      </c>
    </row>
    <row r="1124" spans="1:5">
      <c r="A1124" s="111" t="s">
        <v>11671</v>
      </c>
      <c r="B1124" s="111" t="s">
        <v>1346</v>
      </c>
      <c r="C1124" s="111" t="s">
        <v>3820</v>
      </c>
      <c r="D1124" s="2" t="str">
        <f t="shared" ref="D1124:E1124" si="1122">TRIM(B1124)</f>
        <v>Mississippi</v>
      </c>
      <c r="E1124" s="2" t="str">
        <f t="shared" si="1122"/>
        <v>Greenwood</v>
      </c>
    </row>
    <row r="1125" spans="1:5">
      <c r="A1125" s="111" t="s">
        <v>11674</v>
      </c>
      <c r="B1125" s="111" t="s">
        <v>1346</v>
      </c>
      <c r="C1125" s="111" t="s">
        <v>11675</v>
      </c>
      <c r="D1125" s="2" t="str">
        <f t="shared" ref="D1125:E1125" si="1123">TRIM(B1125)</f>
        <v>Mississippi</v>
      </c>
      <c r="E1125" s="2" t="str">
        <f t="shared" si="1123"/>
        <v>French Camp</v>
      </c>
    </row>
    <row r="1126" spans="1:5">
      <c r="A1126" s="111" t="s">
        <v>11678</v>
      </c>
      <c r="B1126" s="111" t="s">
        <v>1346</v>
      </c>
      <c r="C1126" s="111" t="s">
        <v>8825</v>
      </c>
      <c r="D1126" s="2" t="str">
        <f t="shared" ref="D1126:E1126" si="1124">TRIM(B1126)</f>
        <v>Mississippi</v>
      </c>
      <c r="E1126" s="2" t="str">
        <f t="shared" si="1124"/>
        <v>Laurel</v>
      </c>
    </row>
    <row r="1127" spans="1:5">
      <c r="A1127" s="111" t="s">
        <v>2835</v>
      </c>
      <c r="B1127" s="111" t="s">
        <v>1346</v>
      </c>
      <c r="C1127" s="111" t="s">
        <v>138</v>
      </c>
      <c r="D1127" s="2" t="str">
        <f t="shared" ref="D1127:E1127" si="1125">TRIM(B1127)</f>
        <v>Mississippi</v>
      </c>
      <c r="E1127" s="2" t="str">
        <f t="shared" si="1125"/>
        <v>Columbus</v>
      </c>
    </row>
    <row r="1128" spans="1:5">
      <c r="A1128" s="111" t="s">
        <v>11682</v>
      </c>
      <c r="B1128" s="111" t="s">
        <v>1346</v>
      </c>
      <c r="C1128" s="111" t="s">
        <v>11683</v>
      </c>
      <c r="D1128" s="2" t="str">
        <f t="shared" ref="D1128:E1128" si="1126">TRIM(B1128)</f>
        <v>Mississippi</v>
      </c>
      <c r="E1128" s="2" t="str">
        <f t="shared" si="1126"/>
        <v>Belzoni</v>
      </c>
    </row>
    <row r="1129" spans="1:5">
      <c r="A1129" s="111" t="s">
        <v>11686</v>
      </c>
      <c r="B1129" s="111" t="s">
        <v>1346</v>
      </c>
      <c r="C1129" s="111" t="s">
        <v>297</v>
      </c>
      <c r="D1129" s="2" t="str">
        <f t="shared" ref="D1129:E1129" si="1127">TRIM(B1129)</f>
        <v>Mississippi</v>
      </c>
      <c r="E1129" s="2" t="str">
        <f t="shared" si="1127"/>
        <v>Jackson</v>
      </c>
    </row>
    <row r="1130" spans="1:5">
      <c r="A1130" s="111" t="s">
        <v>11688</v>
      </c>
      <c r="B1130" s="111" t="s">
        <v>1346</v>
      </c>
      <c r="C1130" s="111" t="s">
        <v>297</v>
      </c>
      <c r="D1130" s="2" t="str">
        <f t="shared" ref="D1130:E1130" si="1128">TRIM(B1130)</f>
        <v>Mississippi</v>
      </c>
      <c r="E1130" s="2" t="str">
        <f t="shared" si="1128"/>
        <v>Jackson</v>
      </c>
    </row>
    <row r="1131" spans="1:5">
      <c r="A1131" s="111" t="s">
        <v>11689</v>
      </c>
      <c r="B1131" s="111" t="s">
        <v>1346</v>
      </c>
      <c r="C1131" s="111" t="s">
        <v>11691</v>
      </c>
      <c r="D1131" s="2" t="str">
        <f t="shared" ref="D1131:E1131" si="1129">TRIM(B1131)</f>
        <v>Mississippi</v>
      </c>
      <c r="E1131" s="2" t="str">
        <f t="shared" si="1129"/>
        <v>Grenada</v>
      </c>
    </row>
    <row r="1132" spans="1:5">
      <c r="A1132" s="111" t="s">
        <v>11693</v>
      </c>
      <c r="B1132" s="111" t="s">
        <v>1346</v>
      </c>
      <c r="C1132" s="111" t="s">
        <v>2048</v>
      </c>
      <c r="D1132" s="2" t="str">
        <f t="shared" ref="D1132:E1132" si="1130">TRIM(B1132)</f>
        <v>Mississippi</v>
      </c>
      <c r="E1132" s="2" t="str">
        <f t="shared" si="1130"/>
        <v>Meridian</v>
      </c>
    </row>
    <row r="1133" spans="1:5">
      <c r="A1133" s="111" t="s">
        <v>11696</v>
      </c>
      <c r="B1133" s="111" t="s">
        <v>1346</v>
      </c>
      <c r="C1133" s="111" t="s">
        <v>11698</v>
      </c>
      <c r="D1133" s="2" t="str">
        <f t="shared" ref="D1133:E1133" si="1131">TRIM(B1133)</f>
        <v>Mississippi</v>
      </c>
      <c r="E1133" s="2" t="str">
        <f t="shared" si="1131"/>
        <v>Madden</v>
      </c>
    </row>
    <row r="1134" spans="1:5">
      <c r="A1134" s="111" t="s">
        <v>9123</v>
      </c>
      <c r="B1134" s="111" t="s">
        <v>1346</v>
      </c>
      <c r="C1134" s="111" t="s">
        <v>284</v>
      </c>
      <c r="D1134" s="2" t="str">
        <f t="shared" ref="D1134:E1134" si="1132">TRIM(B1134)</f>
        <v>Mississippi</v>
      </c>
      <c r="E1134" s="2" t="str">
        <f t="shared" si="1132"/>
        <v>Clarksdale</v>
      </c>
    </row>
    <row r="1135" spans="1:5">
      <c r="A1135" s="111" t="s">
        <v>11702</v>
      </c>
      <c r="B1135" s="111" t="s">
        <v>1346</v>
      </c>
      <c r="C1135" s="111" t="s">
        <v>488</v>
      </c>
      <c r="D1135" s="2" t="str">
        <f t="shared" ref="D1135:E1135" si="1133">TRIM(B1135)</f>
        <v>Mississippi</v>
      </c>
      <c r="E1135" s="2" t="str">
        <f t="shared" si="1133"/>
        <v>Madison</v>
      </c>
    </row>
    <row r="1136" spans="1:5">
      <c r="A1136" s="111" t="s">
        <v>11705</v>
      </c>
      <c r="B1136" s="111" t="s">
        <v>1346</v>
      </c>
      <c r="C1136" s="111" t="s">
        <v>11706</v>
      </c>
      <c r="D1136" s="2" t="str">
        <f t="shared" ref="D1136:E1136" si="1134">TRIM(B1136)</f>
        <v>Mississippi</v>
      </c>
      <c r="E1136" s="2" t="str">
        <f t="shared" si="1134"/>
        <v>Senatobia</v>
      </c>
    </row>
    <row r="1137" spans="1:5">
      <c r="A1137" s="111" t="s">
        <v>11707</v>
      </c>
      <c r="B1137" s="111" t="s">
        <v>1346</v>
      </c>
      <c r="C1137" s="112" t="s">
        <v>8131</v>
      </c>
      <c r="D1137" s="2" t="str">
        <f t="shared" ref="D1137:E1137" si="1135">TRIM(B1137)</f>
        <v>Mississippi</v>
      </c>
      <c r="E1137" s="2" t="str">
        <f t="shared" si="1135"/>
        <v>Holly Springs</v>
      </c>
    </row>
    <row r="1138" spans="1:5">
      <c r="A1138" s="111" t="s">
        <v>11710</v>
      </c>
      <c r="B1138" s="111" t="s">
        <v>1346</v>
      </c>
      <c r="C1138" s="111" t="s">
        <v>297</v>
      </c>
      <c r="D1138" s="2" t="str">
        <f t="shared" ref="D1138:E1138" si="1136">TRIM(B1138)</f>
        <v>Mississippi</v>
      </c>
      <c r="E1138" s="2" t="str">
        <f t="shared" si="1136"/>
        <v>Jackson</v>
      </c>
    </row>
    <row r="1139" spans="1:5">
      <c r="A1139" s="111" t="s">
        <v>11713</v>
      </c>
      <c r="B1139" s="111" t="s">
        <v>1346</v>
      </c>
      <c r="C1139" s="111" t="s">
        <v>1686</v>
      </c>
      <c r="D1139" s="2" t="str">
        <f t="shared" ref="D1139:E1139" si="1137">TRIM(B1139)</f>
        <v>Mississippi</v>
      </c>
      <c r="E1139" s="2" t="str">
        <f t="shared" si="1137"/>
        <v>Decatur</v>
      </c>
    </row>
    <row r="1140" spans="1:5">
      <c r="A1140" s="111" t="s">
        <v>11715</v>
      </c>
      <c r="B1140" s="111" t="s">
        <v>1346</v>
      </c>
      <c r="C1140" s="111" t="s">
        <v>3582</v>
      </c>
      <c r="D1140" s="2" t="str">
        <f t="shared" ref="D1140:E1140" si="1138">TRIM(B1140)</f>
        <v>Mississippi</v>
      </c>
      <c r="E1140" s="2" t="str">
        <f t="shared" si="1138"/>
        <v>Batesville</v>
      </c>
    </row>
    <row r="1141" spans="1:5">
      <c r="A1141" s="111" t="s">
        <v>11716</v>
      </c>
      <c r="B1141" s="111" t="s">
        <v>1346</v>
      </c>
      <c r="C1141" s="111" t="s">
        <v>3820</v>
      </c>
      <c r="D1141" s="2" t="str">
        <f t="shared" ref="D1141:E1141" si="1139">TRIM(B1141)</f>
        <v>Mississippi</v>
      </c>
      <c r="E1141" s="2" t="str">
        <f t="shared" si="1139"/>
        <v>Greenwood</v>
      </c>
    </row>
    <row r="1142" spans="1:5">
      <c r="A1142" s="111" t="s">
        <v>11719</v>
      </c>
      <c r="B1142" s="111" t="s">
        <v>1346</v>
      </c>
      <c r="C1142" s="111" t="s">
        <v>11720</v>
      </c>
      <c r="D1142" s="2" t="str">
        <f t="shared" ref="D1142:E1142" si="1140">TRIM(B1142)</f>
        <v>Mississippi</v>
      </c>
      <c r="E1142" s="2" t="str">
        <f t="shared" si="1140"/>
        <v>Drew</v>
      </c>
    </row>
    <row r="1143" spans="1:5">
      <c r="A1143" s="111" t="s">
        <v>11722</v>
      </c>
      <c r="B1143" s="111" t="s">
        <v>1346</v>
      </c>
      <c r="C1143" s="111" t="s">
        <v>11723</v>
      </c>
      <c r="D1143" s="2" t="str">
        <f t="shared" ref="D1143:E1143" si="1141">TRIM(B1143)</f>
        <v>Mississippi</v>
      </c>
      <c r="E1143" s="2" t="str">
        <f t="shared" si="1141"/>
        <v>West Point</v>
      </c>
    </row>
    <row r="1144" spans="1:5">
      <c r="A1144" s="111" t="s">
        <v>11726</v>
      </c>
      <c r="B1144" s="111" t="s">
        <v>1346</v>
      </c>
      <c r="C1144" s="111" t="s">
        <v>11727</v>
      </c>
      <c r="D1144" s="2" t="str">
        <f t="shared" ref="D1144:E1144" si="1142">TRIM(B1144)</f>
        <v>Mississippi</v>
      </c>
      <c r="E1144" s="2" t="str">
        <f t="shared" si="1142"/>
        <v>Bay St Louis</v>
      </c>
    </row>
    <row r="1145" spans="1:5">
      <c r="A1145" s="111" t="s">
        <v>11730</v>
      </c>
      <c r="B1145" s="111" t="s">
        <v>1346</v>
      </c>
      <c r="C1145" s="111" t="s">
        <v>11731</v>
      </c>
      <c r="D1145" s="2" t="str">
        <f t="shared" ref="D1145:E1145" si="1143">TRIM(B1145)</f>
        <v>Mississippi</v>
      </c>
      <c r="E1145" s="2" t="str">
        <f t="shared" si="1143"/>
        <v>Mccomb</v>
      </c>
    </row>
    <row r="1146" spans="1:5">
      <c r="A1146" s="111" t="s">
        <v>11734</v>
      </c>
      <c r="B1146" s="111" t="s">
        <v>1346</v>
      </c>
      <c r="C1146" s="111" t="s">
        <v>3820</v>
      </c>
      <c r="D1146" s="2" t="str">
        <f t="shared" ref="D1146:E1146" si="1144">TRIM(B1146)</f>
        <v>Mississippi</v>
      </c>
      <c r="E1146" s="2" t="str">
        <f t="shared" si="1144"/>
        <v>Greenwood</v>
      </c>
    </row>
    <row r="1147" spans="1:5">
      <c r="A1147" s="111" t="s">
        <v>11736</v>
      </c>
      <c r="B1147" s="111" t="s">
        <v>1346</v>
      </c>
      <c r="C1147" s="111" t="s">
        <v>279</v>
      </c>
      <c r="D1147" s="2" t="str">
        <f t="shared" ref="D1147:E1147" si="1145">TRIM(B1147)</f>
        <v>Mississippi</v>
      </c>
      <c r="E1147" s="2" t="str">
        <f t="shared" si="1145"/>
        <v>Oxford</v>
      </c>
    </row>
    <row r="1148" spans="1:5">
      <c r="A1148" s="111" t="s">
        <v>11738</v>
      </c>
      <c r="B1148" s="111" t="s">
        <v>1346</v>
      </c>
      <c r="C1148" s="111" t="s">
        <v>11739</v>
      </c>
      <c r="D1148" s="2" t="str">
        <f t="shared" ref="D1148:E1148" si="1146">TRIM(B1148)</f>
        <v>Mississippi</v>
      </c>
      <c r="E1148" s="2" t="str">
        <f t="shared" si="1146"/>
        <v>Mendenhall</v>
      </c>
    </row>
    <row r="1149" spans="1:5">
      <c r="A1149" s="111" t="s">
        <v>11741</v>
      </c>
      <c r="B1149" s="111" t="s">
        <v>1346</v>
      </c>
      <c r="C1149" s="111" t="s">
        <v>223</v>
      </c>
      <c r="D1149" s="2" t="str">
        <f t="shared" ref="D1149:E1149" si="1147">TRIM(B1149)</f>
        <v>Mississippi</v>
      </c>
      <c r="E1149" s="2" t="str">
        <f t="shared" si="1147"/>
        <v>Starkville</v>
      </c>
    </row>
    <row r="1150" spans="1:5">
      <c r="A1150" s="111" t="s">
        <v>11743</v>
      </c>
      <c r="B1150" s="111" t="s">
        <v>1346</v>
      </c>
      <c r="C1150" s="111" t="s">
        <v>3684</v>
      </c>
      <c r="D1150" s="2" t="str">
        <f t="shared" ref="D1150:E1150" si="1148">TRIM(B1150)</f>
        <v>Mississippi</v>
      </c>
      <c r="E1150" s="2" t="str">
        <f t="shared" si="1148"/>
        <v>Charleston</v>
      </c>
    </row>
    <row r="1151" spans="1:5">
      <c r="A1151" s="111" t="s">
        <v>11745</v>
      </c>
      <c r="B1151" s="111" t="s">
        <v>1346</v>
      </c>
      <c r="C1151" s="111" t="s">
        <v>11746</v>
      </c>
      <c r="D1151" s="2" t="str">
        <f t="shared" ref="D1151:E1151" si="1149">TRIM(B1151)</f>
        <v>Mississippi</v>
      </c>
      <c r="E1151" s="2" t="str">
        <f t="shared" si="1149"/>
        <v>Bay Springs</v>
      </c>
    </row>
    <row r="1152" spans="1:5">
      <c r="A1152" s="111" t="s">
        <v>11747</v>
      </c>
      <c r="B1152" s="111" t="s">
        <v>1346</v>
      </c>
      <c r="C1152" s="111" t="s">
        <v>11749</v>
      </c>
      <c r="D1152" s="2" t="str">
        <f t="shared" ref="D1152:E1152" si="1150">TRIM(B1152)</f>
        <v>Mississippi</v>
      </c>
      <c r="E1152" s="2" t="str">
        <f t="shared" si="1150"/>
        <v>Flora</v>
      </c>
    </row>
    <row r="1153" spans="1:5">
      <c r="A1153" s="111" t="s">
        <v>11750</v>
      </c>
      <c r="B1153" s="111" t="s">
        <v>1346</v>
      </c>
      <c r="C1153" s="111" t="s">
        <v>3697</v>
      </c>
      <c r="D1153" s="2" t="str">
        <f t="shared" ref="D1153:E1153" si="1151">TRIM(B1153)</f>
        <v>Mississippi</v>
      </c>
      <c r="E1153" s="2" t="str">
        <f t="shared" si="1151"/>
        <v>Clinton</v>
      </c>
    </row>
    <row r="1154" spans="1:5">
      <c r="A1154" s="111" t="s">
        <v>11753</v>
      </c>
      <c r="B1154" s="111" t="s">
        <v>1346</v>
      </c>
      <c r="C1154" s="111" t="s">
        <v>11755</v>
      </c>
      <c r="D1154" s="2" t="str">
        <f t="shared" ref="D1154:E1154" si="1152">TRIM(B1154)</f>
        <v>Mississippi</v>
      </c>
      <c r="E1154" s="2" t="str">
        <f t="shared" si="1152"/>
        <v>New Albany</v>
      </c>
    </row>
    <row r="1155" spans="1:5">
      <c r="A1155" s="111" t="s">
        <v>11757</v>
      </c>
      <c r="B1155" s="111" t="s">
        <v>1346</v>
      </c>
      <c r="C1155" s="111" t="s">
        <v>494</v>
      </c>
      <c r="D1155" s="2" t="str">
        <f t="shared" ref="D1155:E1155" si="1153">TRIM(B1155)</f>
        <v>Mississippi</v>
      </c>
      <c r="E1155" s="2" t="str">
        <f t="shared" si="1153"/>
        <v>Louisville</v>
      </c>
    </row>
    <row r="1156" spans="1:5">
      <c r="A1156" s="111" t="s">
        <v>11760</v>
      </c>
      <c r="B1156" s="111" t="s">
        <v>1347</v>
      </c>
      <c r="C1156" s="111" t="s">
        <v>11762</v>
      </c>
      <c r="D1156" s="2" t="str">
        <f t="shared" ref="D1156:E1156" si="1154">TRIM(B1156)</f>
        <v>Missouri</v>
      </c>
      <c r="E1156" s="2" t="str">
        <f t="shared" si="1154"/>
        <v>Vanduser</v>
      </c>
    </row>
    <row r="1157" spans="1:5">
      <c r="A1157" s="111" t="s">
        <v>11764</v>
      </c>
      <c r="B1157" s="111" t="s">
        <v>1347</v>
      </c>
      <c r="C1157" s="111" t="s">
        <v>11766</v>
      </c>
      <c r="D1157" s="2" t="str">
        <f t="shared" ref="D1157:E1157" si="1155">TRIM(B1157)</f>
        <v>Missouri</v>
      </c>
      <c r="E1157" s="2" t="str">
        <f t="shared" si="1155"/>
        <v>Valley Park</v>
      </c>
    </row>
    <row r="1158" spans="1:5">
      <c r="A1158" s="111" t="s">
        <v>11767</v>
      </c>
      <c r="B1158" s="111" t="s">
        <v>1347</v>
      </c>
      <c r="C1158" s="111" t="s">
        <v>11768</v>
      </c>
      <c r="D1158" s="2" t="str">
        <f t="shared" ref="D1158:E1158" si="1156">TRIM(B1158)</f>
        <v>Missouri</v>
      </c>
      <c r="E1158" s="2" t="str">
        <f t="shared" si="1156"/>
        <v>Chesterfield</v>
      </c>
    </row>
    <row r="1159" spans="1:5">
      <c r="A1159" s="111" t="s">
        <v>11767</v>
      </c>
      <c r="B1159" s="111" t="s">
        <v>1347</v>
      </c>
      <c r="C1159" s="111" t="s">
        <v>11768</v>
      </c>
      <c r="D1159" s="2" t="str">
        <f t="shared" ref="D1159:E1159" si="1157">TRIM(B1159)</f>
        <v>Missouri</v>
      </c>
      <c r="E1159" s="2" t="str">
        <f t="shared" si="1157"/>
        <v>Chesterfield</v>
      </c>
    </row>
    <row r="1160" spans="1:5">
      <c r="A1160" s="111" t="s">
        <v>11773</v>
      </c>
      <c r="B1160" s="111" t="s">
        <v>1347</v>
      </c>
      <c r="C1160" s="111" t="s">
        <v>5323</v>
      </c>
      <c r="D1160" s="2" t="str">
        <f t="shared" ref="D1160:E1160" si="1158">TRIM(B1160)</f>
        <v>Missouri</v>
      </c>
      <c r="E1160" s="2" t="str">
        <f t="shared" si="1158"/>
        <v>Independence</v>
      </c>
    </row>
    <row r="1161" spans="1:5">
      <c r="A1161" s="111" t="s">
        <v>11775</v>
      </c>
      <c r="B1161" s="111" t="s">
        <v>1347</v>
      </c>
      <c r="C1161" s="111" t="s">
        <v>274</v>
      </c>
      <c r="D1161" s="2" t="str">
        <f t="shared" ref="D1161:E1161" si="1159">TRIM(B1161)</f>
        <v>Missouri</v>
      </c>
      <c r="E1161" s="2" t="str">
        <f t="shared" si="1159"/>
        <v>Saint Louis</v>
      </c>
    </row>
    <row r="1162" spans="1:5">
      <c r="A1162" s="111" t="s">
        <v>11777</v>
      </c>
      <c r="B1162" s="111" t="s">
        <v>1347</v>
      </c>
      <c r="C1162" s="111" t="s">
        <v>274</v>
      </c>
      <c r="D1162" s="2" t="str">
        <f t="shared" ref="D1162:E1162" si="1160">TRIM(B1162)</f>
        <v>Missouri</v>
      </c>
      <c r="E1162" s="2" t="str">
        <f t="shared" si="1160"/>
        <v>Saint Louis</v>
      </c>
    </row>
    <row r="1163" spans="1:5">
      <c r="A1163" s="111" t="s">
        <v>11778</v>
      </c>
      <c r="B1163" s="111" t="s">
        <v>1347</v>
      </c>
      <c r="C1163" s="111" t="s">
        <v>356</v>
      </c>
      <c r="D1163" s="2" t="str">
        <f t="shared" ref="D1163:E1163" si="1161">TRIM(B1163)</f>
        <v>Missouri</v>
      </c>
      <c r="E1163" s="2" t="str">
        <f t="shared" si="1161"/>
        <v>Columbia</v>
      </c>
    </row>
    <row r="1164" spans="1:5">
      <c r="A1164" s="111" t="s">
        <v>11781</v>
      </c>
      <c r="B1164" s="111" t="s">
        <v>1347</v>
      </c>
      <c r="C1164" s="111" t="s">
        <v>274</v>
      </c>
      <c r="D1164" s="2" t="str">
        <f t="shared" ref="D1164:E1164" si="1162">TRIM(B1164)</f>
        <v>Missouri</v>
      </c>
      <c r="E1164" s="2" t="str">
        <f t="shared" si="1162"/>
        <v>Saint Louis</v>
      </c>
    </row>
    <row r="1165" spans="1:5">
      <c r="A1165" s="111" t="s">
        <v>11782</v>
      </c>
      <c r="B1165" s="111" t="s">
        <v>1347</v>
      </c>
      <c r="C1165" s="111" t="s">
        <v>11784</v>
      </c>
      <c r="D1165" s="2" t="str">
        <f t="shared" ref="D1165:E1165" si="1163">TRIM(B1165)</f>
        <v>Missouri</v>
      </c>
      <c r="E1165" s="2" t="str">
        <f t="shared" si="1163"/>
        <v>Saint Charles</v>
      </c>
    </row>
    <row r="1166" spans="1:5">
      <c r="A1166" s="111" t="s">
        <v>11788</v>
      </c>
      <c r="B1166" s="111" t="s">
        <v>1347</v>
      </c>
      <c r="C1166" s="111" t="s">
        <v>274</v>
      </c>
      <c r="D1166" s="2" t="str">
        <f t="shared" ref="D1166:E1166" si="1164">TRIM(B1166)</f>
        <v>Missouri</v>
      </c>
      <c r="E1166" s="2" t="str">
        <f t="shared" si="1164"/>
        <v>Saint Louis</v>
      </c>
    </row>
    <row r="1167" spans="1:5">
      <c r="A1167" s="111" t="s">
        <v>11790</v>
      </c>
      <c r="B1167" s="111" t="s">
        <v>1347</v>
      </c>
      <c r="C1167" s="111" t="s">
        <v>416</v>
      </c>
      <c r="D1167" s="2" t="str">
        <f t="shared" ref="D1167:E1167" si="1165">TRIM(B1167)</f>
        <v>Missouri</v>
      </c>
      <c r="E1167" s="2" t="str">
        <f t="shared" si="1165"/>
        <v>Springfield</v>
      </c>
    </row>
    <row r="1168" spans="1:5">
      <c r="A1168" s="111" t="s">
        <v>11792</v>
      </c>
      <c r="B1168" s="111" t="s">
        <v>1347</v>
      </c>
      <c r="C1168" s="111" t="s">
        <v>351</v>
      </c>
      <c r="D1168" s="2" t="str">
        <f t="shared" ref="D1168:E1168" si="1166">TRIM(B1168)</f>
        <v>Missouri</v>
      </c>
      <c r="E1168" s="2" t="str">
        <f t="shared" si="1166"/>
        <v>Kansas City</v>
      </c>
    </row>
    <row r="1169" spans="1:5">
      <c r="A1169" s="111" t="s">
        <v>11795</v>
      </c>
      <c r="B1169" s="111" t="s">
        <v>1347</v>
      </c>
      <c r="C1169" s="111" t="s">
        <v>274</v>
      </c>
      <c r="D1169" s="2" t="str">
        <f t="shared" ref="D1169:E1169" si="1167">TRIM(B1169)</f>
        <v>Missouri</v>
      </c>
      <c r="E1169" s="2" t="str">
        <f t="shared" si="1167"/>
        <v>Saint Louis</v>
      </c>
    </row>
    <row r="1170" spans="1:5">
      <c r="A1170" s="111" t="s">
        <v>11798</v>
      </c>
      <c r="B1170" s="111" t="s">
        <v>1347</v>
      </c>
      <c r="C1170" s="111" t="s">
        <v>351</v>
      </c>
      <c r="D1170" s="2" t="str">
        <f t="shared" ref="D1170:E1170" si="1168">TRIM(B1170)</f>
        <v>Missouri</v>
      </c>
      <c r="E1170" s="2" t="str">
        <f t="shared" si="1168"/>
        <v>Kansas City</v>
      </c>
    </row>
    <row r="1171" spans="1:5">
      <c r="A1171" s="111" t="s">
        <v>11801</v>
      </c>
      <c r="B1171" s="111" t="s">
        <v>1347</v>
      </c>
      <c r="C1171" s="111" t="s">
        <v>416</v>
      </c>
      <c r="D1171" s="2" t="str">
        <f t="shared" ref="D1171:E1171" si="1169">TRIM(B1171)</f>
        <v>Missouri</v>
      </c>
      <c r="E1171" s="2" t="str">
        <f t="shared" si="1169"/>
        <v>Springfield</v>
      </c>
    </row>
    <row r="1172" spans="1:5">
      <c r="A1172" s="111" t="s">
        <v>11803</v>
      </c>
      <c r="B1172" s="111" t="s">
        <v>1347</v>
      </c>
      <c r="C1172" s="111" t="s">
        <v>11804</v>
      </c>
      <c r="D1172" s="2" t="str">
        <f t="shared" ref="D1172:E1172" si="1170">TRIM(B1172)</f>
        <v>Missouri</v>
      </c>
      <c r="E1172" s="2" t="str">
        <f t="shared" si="1170"/>
        <v>Lees Summit</v>
      </c>
    </row>
    <row r="1173" spans="1:5">
      <c r="A1173" s="111" t="s">
        <v>11806</v>
      </c>
      <c r="B1173" s="111" t="s">
        <v>1347</v>
      </c>
      <c r="C1173" s="111" t="s">
        <v>274</v>
      </c>
      <c r="D1173" s="2" t="str">
        <f t="shared" ref="D1173:E1173" si="1171">TRIM(B1173)</f>
        <v>Missouri</v>
      </c>
      <c r="E1173" s="2" t="str">
        <f t="shared" si="1171"/>
        <v>Saint Louis</v>
      </c>
    </row>
    <row r="1174" spans="1:5">
      <c r="A1174" s="111" t="s">
        <v>11807</v>
      </c>
      <c r="B1174" s="111" t="s">
        <v>1347</v>
      </c>
      <c r="C1174" s="111" t="s">
        <v>11808</v>
      </c>
      <c r="D1174" s="2" t="str">
        <f t="shared" ref="D1174:E1174" si="1172">TRIM(B1174)</f>
        <v>Missouri</v>
      </c>
      <c r="E1174" s="2" t="str">
        <f t="shared" si="1172"/>
        <v>Mexico</v>
      </c>
    </row>
    <row r="1175" spans="1:5">
      <c r="A1175" s="111" t="s">
        <v>11811</v>
      </c>
      <c r="B1175" s="111" t="s">
        <v>1347</v>
      </c>
      <c r="C1175" s="111" t="s">
        <v>356</v>
      </c>
      <c r="D1175" s="2" t="str">
        <f t="shared" ref="D1175:E1175" si="1173">TRIM(B1175)</f>
        <v>Missouri</v>
      </c>
      <c r="E1175" s="2" t="str">
        <f t="shared" si="1173"/>
        <v>Columbia</v>
      </c>
    </row>
    <row r="1176" spans="1:5">
      <c r="A1176" s="111" t="s">
        <v>11812</v>
      </c>
      <c r="B1176" s="111" t="s">
        <v>1347</v>
      </c>
      <c r="C1176" s="111" t="s">
        <v>11813</v>
      </c>
      <c r="D1176" s="2" t="str">
        <f t="shared" ref="D1176:E1176" si="1174">TRIM(B1176)</f>
        <v>Missouri</v>
      </c>
      <c r="E1176" s="2" t="str">
        <f t="shared" si="1174"/>
        <v>Webster Groves</v>
      </c>
    </row>
    <row r="1177" spans="1:5">
      <c r="A1177" s="111" t="s">
        <v>11816</v>
      </c>
      <c r="B1177" s="111" t="s">
        <v>1347</v>
      </c>
      <c r="C1177" s="111" t="s">
        <v>351</v>
      </c>
      <c r="D1177" s="2" t="str">
        <f t="shared" ref="D1177:E1177" si="1175">TRIM(B1177)</f>
        <v>Missouri</v>
      </c>
      <c r="E1177" s="2" t="str">
        <f t="shared" si="1175"/>
        <v>Kansas City</v>
      </c>
    </row>
    <row r="1178" spans="1:5">
      <c r="A1178" s="111" t="s">
        <v>9466</v>
      </c>
      <c r="B1178" s="111" t="s">
        <v>1347</v>
      </c>
      <c r="C1178" s="111" t="s">
        <v>274</v>
      </c>
      <c r="D1178" s="2" t="str">
        <f t="shared" ref="D1178:E1178" si="1176">TRIM(B1178)</f>
        <v>Missouri</v>
      </c>
      <c r="E1178" s="2" t="str">
        <f t="shared" si="1176"/>
        <v>Saint Louis</v>
      </c>
    </row>
    <row r="1179" spans="1:5">
      <c r="A1179" s="111" t="s">
        <v>11819</v>
      </c>
      <c r="B1179" s="111" t="s">
        <v>1347</v>
      </c>
      <c r="C1179" s="111" t="s">
        <v>11820</v>
      </c>
      <c r="D1179" s="2" t="str">
        <f t="shared" ref="D1179:E1179" si="1177">TRIM(B1179)</f>
        <v>Missouri</v>
      </c>
      <c r="E1179" s="2" t="str">
        <f t="shared" si="1177"/>
        <v>Cape Girardeau</v>
      </c>
    </row>
    <row r="1180" spans="1:5">
      <c r="A1180" s="111" t="s">
        <v>11822</v>
      </c>
      <c r="B1180" s="111" t="s">
        <v>1347</v>
      </c>
      <c r="C1180" s="111" t="s">
        <v>274</v>
      </c>
      <c r="D1180" s="2" t="str">
        <f t="shared" ref="D1180:E1180" si="1178">TRIM(B1180)</f>
        <v>Missouri</v>
      </c>
      <c r="E1180" s="2" t="str">
        <f t="shared" si="1178"/>
        <v>Saint Louis</v>
      </c>
    </row>
    <row r="1181" spans="1:5">
      <c r="A1181" s="111" t="s">
        <v>11824</v>
      </c>
      <c r="B1181" s="111" t="s">
        <v>1347</v>
      </c>
      <c r="C1181" s="111" t="s">
        <v>351</v>
      </c>
      <c r="D1181" s="2" t="str">
        <f t="shared" ref="D1181:E1181" si="1179">TRIM(B1181)</f>
        <v>Missouri</v>
      </c>
      <c r="E1181" s="2" t="str">
        <f t="shared" si="1179"/>
        <v>Kansas City</v>
      </c>
    </row>
    <row r="1182" spans="1:5">
      <c r="A1182" s="111" t="s">
        <v>11826</v>
      </c>
      <c r="B1182" s="111" t="s">
        <v>1347</v>
      </c>
      <c r="C1182" s="111" t="s">
        <v>274</v>
      </c>
      <c r="D1182" s="2" t="str">
        <f t="shared" ref="D1182:E1182" si="1180">TRIM(B1182)</f>
        <v>Missouri</v>
      </c>
      <c r="E1182" s="2" t="str">
        <f t="shared" si="1180"/>
        <v>Saint Louis</v>
      </c>
    </row>
    <row r="1183" spans="1:5">
      <c r="A1183" s="111" t="s">
        <v>11828</v>
      </c>
      <c r="B1183" s="111" t="s">
        <v>1347</v>
      </c>
      <c r="C1183" s="111" t="s">
        <v>11829</v>
      </c>
      <c r="D1183" s="2" t="str">
        <f t="shared" ref="D1183:E1183" si="1181">TRIM(B1183)</f>
        <v>Missouri</v>
      </c>
      <c r="E1183" s="2" t="str">
        <f t="shared" si="1181"/>
        <v>Sedalia</v>
      </c>
    </row>
    <row r="1184" spans="1:5">
      <c r="A1184" s="111" t="s">
        <v>11831</v>
      </c>
      <c r="B1184" s="111" t="s">
        <v>1347</v>
      </c>
      <c r="C1184" s="111" t="s">
        <v>11832</v>
      </c>
      <c r="D1184" s="2" t="str">
        <f t="shared" ref="D1184:E1184" si="1182">TRIM(B1184)</f>
        <v>Missouri</v>
      </c>
      <c r="E1184" s="2" t="str">
        <f t="shared" si="1182"/>
        <v>Point Lookout</v>
      </c>
    </row>
    <row r="1185" spans="1:5">
      <c r="A1185" s="111" t="s">
        <v>11834</v>
      </c>
      <c r="B1185" s="111" t="s">
        <v>1347</v>
      </c>
      <c r="C1185" s="111" t="s">
        <v>5323</v>
      </c>
      <c r="D1185" s="2" t="str">
        <f t="shared" ref="D1185:E1185" si="1183">TRIM(B1185)</f>
        <v>Missouri</v>
      </c>
      <c r="E1185" s="2" t="str">
        <f t="shared" si="1183"/>
        <v>Independence</v>
      </c>
    </row>
    <row r="1186" spans="1:5">
      <c r="A1186" s="111" t="s">
        <v>11835</v>
      </c>
      <c r="B1186" s="111" t="s">
        <v>1347</v>
      </c>
      <c r="C1186" s="111" t="s">
        <v>2619</v>
      </c>
      <c r="D1186" s="2" t="str">
        <f t="shared" ref="D1186:E1186" si="1184">TRIM(B1186)</f>
        <v>Missouri</v>
      </c>
      <c r="E1186" s="2" t="str">
        <f t="shared" si="1184"/>
        <v>O'Fallon</v>
      </c>
    </row>
    <row r="1187" spans="1:5">
      <c r="A1187" s="111" t="s">
        <v>11837</v>
      </c>
      <c r="B1187" s="111" t="s">
        <v>1347</v>
      </c>
      <c r="C1187" s="111" t="s">
        <v>276</v>
      </c>
      <c r="D1187" s="2" t="str">
        <f t="shared" ref="D1187:E1187" si="1185">TRIM(B1187)</f>
        <v>Missouri</v>
      </c>
      <c r="E1187" s="2" t="str">
        <f t="shared" si="1185"/>
        <v>Washington</v>
      </c>
    </row>
    <row r="1188" spans="1:5">
      <c r="A1188" s="111" t="s">
        <v>11839</v>
      </c>
      <c r="B1188" s="111" t="s">
        <v>1347</v>
      </c>
      <c r="C1188" s="111" t="s">
        <v>547</v>
      </c>
      <c r="D1188" s="2" t="str">
        <f t="shared" ref="D1188:E1188" si="1186">TRIM(B1188)</f>
        <v>Missouri</v>
      </c>
      <c r="E1188" s="2" t="str">
        <f t="shared" si="1186"/>
        <v>Kirkwood</v>
      </c>
    </row>
    <row r="1189" spans="1:5">
      <c r="A1189" s="76" t="s">
        <v>10952</v>
      </c>
      <c r="B1189" s="111" t="s">
        <v>1347</v>
      </c>
      <c r="C1189" s="111" t="s">
        <v>274</v>
      </c>
      <c r="D1189" s="2" t="str">
        <f t="shared" ref="D1189:E1189" si="1187">TRIM(B1189)</f>
        <v>Missouri</v>
      </c>
      <c r="E1189" s="2" t="str">
        <f t="shared" si="1187"/>
        <v>Saint Louis</v>
      </c>
    </row>
    <row r="1190" spans="1:5">
      <c r="A1190" s="111" t="s">
        <v>11841</v>
      </c>
      <c r="B1190" s="111" t="s">
        <v>1347</v>
      </c>
      <c r="C1190" s="111" t="s">
        <v>274</v>
      </c>
      <c r="D1190" s="2" t="str">
        <f t="shared" ref="D1190:E1190" si="1188">TRIM(B1190)</f>
        <v>Missouri</v>
      </c>
      <c r="E1190" s="2" t="str">
        <f t="shared" si="1188"/>
        <v>Saint Louis</v>
      </c>
    </row>
    <row r="1191" spans="1:5">
      <c r="A1191" s="76" t="s">
        <v>9614</v>
      </c>
      <c r="B1191" s="111" t="s">
        <v>1347</v>
      </c>
      <c r="C1191" s="111" t="s">
        <v>274</v>
      </c>
      <c r="D1191" s="2" t="str">
        <f t="shared" ref="D1191:E1191" si="1189">TRIM(B1191)</f>
        <v>Missouri</v>
      </c>
      <c r="E1191" s="2" t="str">
        <f t="shared" si="1189"/>
        <v>Saint Louis</v>
      </c>
    </row>
    <row r="1192" spans="1:5">
      <c r="A1192" s="111" t="s">
        <v>11845</v>
      </c>
      <c r="B1192" s="111" t="s">
        <v>1347</v>
      </c>
      <c r="C1192" s="111" t="s">
        <v>11846</v>
      </c>
      <c r="D1192" s="2" t="str">
        <f t="shared" ref="D1192:E1192" si="1190">TRIM(B1192)</f>
        <v>Missouri</v>
      </c>
      <c r="E1192" s="2" t="str">
        <f t="shared" si="1190"/>
        <v>Festus</v>
      </c>
    </row>
    <row r="1193" spans="1:5">
      <c r="A1193" s="111" t="s">
        <v>11845</v>
      </c>
      <c r="B1193" s="111" t="s">
        <v>1347</v>
      </c>
      <c r="C1193" s="111" t="s">
        <v>351</v>
      </c>
      <c r="D1193" s="2" t="str">
        <f t="shared" ref="D1193:E1193" si="1191">TRIM(B1193)</f>
        <v>Missouri</v>
      </c>
      <c r="E1193" s="2" t="str">
        <f t="shared" si="1191"/>
        <v>Kansas City</v>
      </c>
    </row>
    <row r="1194" spans="1:5">
      <c r="A1194" s="76" t="s">
        <v>11851</v>
      </c>
      <c r="B1194" s="111" t="s">
        <v>1347</v>
      </c>
      <c r="C1194" s="111" t="s">
        <v>351</v>
      </c>
      <c r="D1194" s="2" t="str">
        <f t="shared" ref="D1194:E1194" si="1192">TRIM(B1194)</f>
        <v>Missouri</v>
      </c>
      <c r="E1194" s="2" t="str">
        <f t="shared" si="1192"/>
        <v>Kansas City</v>
      </c>
    </row>
    <row r="1195" spans="1:5">
      <c r="A1195" s="111" t="s">
        <v>11853</v>
      </c>
      <c r="B1195" s="111" t="s">
        <v>1347</v>
      </c>
      <c r="C1195" s="111" t="s">
        <v>351</v>
      </c>
      <c r="D1195" s="2" t="str">
        <f t="shared" ref="D1195:E1195" si="1193">TRIM(B1195)</f>
        <v>Missouri</v>
      </c>
      <c r="E1195" s="2" t="str">
        <f t="shared" si="1193"/>
        <v>Kansas City</v>
      </c>
    </row>
    <row r="1196" spans="1:5">
      <c r="A1196" s="111" t="s">
        <v>11855</v>
      </c>
      <c r="B1196" s="111" t="s">
        <v>1347</v>
      </c>
      <c r="C1196" s="111" t="s">
        <v>416</v>
      </c>
      <c r="D1196" s="2" t="str">
        <f t="shared" ref="D1196:E1196" si="1194">TRIM(B1196)</f>
        <v>Missouri</v>
      </c>
      <c r="E1196" s="2" t="str">
        <f t="shared" si="1194"/>
        <v>Springfield</v>
      </c>
    </row>
    <row r="1197" spans="1:5">
      <c r="A1197" s="111" t="s">
        <v>11857</v>
      </c>
      <c r="B1197" s="111" t="s">
        <v>1347</v>
      </c>
      <c r="C1197" s="111" t="s">
        <v>11858</v>
      </c>
      <c r="D1197" s="2" t="str">
        <f t="shared" ref="D1197:E1197" si="1195">TRIM(B1197)</f>
        <v>Missouri</v>
      </c>
      <c r="E1197" s="2" t="str">
        <f t="shared" si="1195"/>
        <v>Joplin</v>
      </c>
    </row>
    <row r="1198" spans="1:5">
      <c r="A1198" s="111" t="s">
        <v>11860</v>
      </c>
      <c r="B1198" s="111" t="s">
        <v>1347</v>
      </c>
      <c r="C1198" s="111" t="s">
        <v>274</v>
      </c>
      <c r="D1198" s="2" t="str">
        <f t="shared" ref="D1198:E1198" si="1196">TRIM(B1198)</f>
        <v>Missouri</v>
      </c>
      <c r="E1198" s="2" t="str">
        <f t="shared" si="1196"/>
        <v>Saint Louis</v>
      </c>
    </row>
    <row r="1199" spans="1:5">
      <c r="A1199" s="111" t="s">
        <v>10218</v>
      </c>
      <c r="B1199" s="111" t="s">
        <v>1347</v>
      </c>
      <c r="C1199" s="111" t="s">
        <v>6650</v>
      </c>
      <c r="D1199" s="2" t="str">
        <f t="shared" ref="D1199:E1199" si="1197">TRIM(B1199)</f>
        <v>Missouri</v>
      </c>
      <c r="E1199" s="2" t="str">
        <f t="shared" si="1197"/>
        <v>Seymour</v>
      </c>
    </row>
    <row r="1200" spans="1:5">
      <c r="A1200" s="111" t="s">
        <v>11861</v>
      </c>
      <c r="B1200" s="111" t="s">
        <v>1347</v>
      </c>
      <c r="C1200" s="111" t="s">
        <v>274</v>
      </c>
      <c r="D1200" s="2" t="str">
        <f t="shared" ref="D1200:E1200" si="1198">TRIM(B1200)</f>
        <v>Missouri</v>
      </c>
      <c r="E1200" s="2" t="str">
        <f t="shared" si="1198"/>
        <v>Saint Louis</v>
      </c>
    </row>
    <row r="1201" spans="1:5">
      <c r="A1201" s="111" t="s">
        <v>11863</v>
      </c>
      <c r="B1201" s="111" t="s">
        <v>1347</v>
      </c>
      <c r="C1201" s="111" t="s">
        <v>274</v>
      </c>
      <c r="D1201" s="2" t="str">
        <f t="shared" ref="D1201:E1201" si="1199">TRIM(B1201)</f>
        <v>Missouri</v>
      </c>
      <c r="E1201" s="2" t="str">
        <f t="shared" si="1199"/>
        <v>Saint Louis</v>
      </c>
    </row>
    <row r="1202" spans="1:5">
      <c r="A1202" s="111" t="s">
        <v>10445</v>
      </c>
      <c r="B1202" s="111" t="s">
        <v>1347</v>
      </c>
      <c r="C1202" s="111" t="s">
        <v>351</v>
      </c>
      <c r="D1202" s="2" t="str">
        <f t="shared" ref="D1202:E1202" si="1200">TRIM(B1202)</f>
        <v>Missouri</v>
      </c>
      <c r="E1202" s="2" t="str">
        <f t="shared" si="1200"/>
        <v>Kansas City</v>
      </c>
    </row>
    <row r="1203" spans="1:5">
      <c r="A1203" s="111" t="s">
        <v>11865</v>
      </c>
      <c r="B1203" s="111" t="s">
        <v>1349</v>
      </c>
      <c r="C1203" s="111" t="s">
        <v>4989</v>
      </c>
      <c r="D1203" s="2" t="str">
        <f t="shared" ref="D1203:E1203" si="1201">TRIM(B1203)</f>
        <v>Montana</v>
      </c>
      <c r="E1203" s="2" t="str">
        <f t="shared" si="1201"/>
        <v>Eureka</v>
      </c>
    </row>
    <row r="1204" spans="1:5">
      <c r="A1204" s="111" t="s">
        <v>11867</v>
      </c>
      <c r="B1204" s="111" t="s">
        <v>1349</v>
      </c>
      <c r="C1204" s="111" t="s">
        <v>649</v>
      </c>
      <c r="D1204" s="2" t="str">
        <f t="shared" ref="D1204:E1204" si="1202">TRIM(B1204)</f>
        <v>Montana</v>
      </c>
      <c r="E1204" s="2" t="str">
        <f t="shared" si="1202"/>
        <v>Missoula</v>
      </c>
    </row>
    <row r="1205" spans="1:5">
      <c r="A1205" s="111" t="s">
        <v>11869</v>
      </c>
      <c r="B1205" s="111" t="s">
        <v>1349</v>
      </c>
      <c r="C1205" s="111" t="s">
        <v>11870</v>
      </c>
      <c r="D1205" s="2" t="str">
        <f t="shared" ref="D1205:E1205" si="1203">TRIM(B1205)</f>
        <v>Montana</v>
      </c>
      <c r="E1205" s="2" t="str">
        <f t="shared" si="1203"/>
        <v>Bozeman</v>
      </c>
    </row>
    <row r="1206" spans="1:5">
      <c r="A1206" s="111" t="s">
        <v>11871</v>
      </c>
      <c r="B1206" s="111" t="s">
        <v>1349</v>
      </c>
      <c r="C1206" s="111" t="s">
        <v>11870</v>
      </c>
      <c r="D1206" s="2" t="str">
        <f t="shared" ref="D1206:E1206" si="1204">TRIM(B1206)</f>
        <v>Montana</v>
      </c>
      <c r="E1206" s="2" t="str">
        <f t="shared" si="1204"/>
        <v>Bozeman</v>
      </c>
    </row>
    <row r="1207" spans="1:5">
      <c r="A1207" s="111" t="s">
        <v>11874</v>
      </c>
      <c r="B1207" s="111" t="s">
        <v>1349</v>
      </c>
      <c r="C1207" s="111" t="s">
        <v>493</v>
      </c>
      <c r="D1207" s="2" t="str">
        <f t="shared" ref="D1207:E1207" si="1205">TRIM(B1207)</f>
        <v>Montana</v>
      </c>
      <c r="E1207" s="2" t="str">
        <f t="shared" si="1205"/>
        <v>Helena</v>
      </c>
    </row>
    <row r="1208" spans="1:5">
      <c r="A1208" s="111" t="s">
        <v>10526</v>
      </c>
      <c r="B1208" s="111" t="s">
        <v>1349</v>
      </c>
      <c r="C1208" s="111" t="s">
        <v>5527</v>
      </c>
      <c r="D1208" s="2" t="str">
        <f t="shared" ref="D1208:E1208" si="1206">TRIM(B1208)</f>
        <v>Montana</v>
      </c>
      <c r="E1208" s="2" t="str">
        <f t="shared" si="1206"/>
        <v>Livingston</v>
      </c>
    </row>
    <row r="1209" spans="1:5">
      <c r="A1209" s="111" t="s">
        <v>11875</v>
      </c>
      <c r="B1209" s="111" t="s">
        <v>1349</v>
      </c>
      <c r="C1209" s="111" t="s">
        <v>11876</v>
      </c>
      <c r="D1209" s="2" t="str">
        <f t="shared" ref="D1209:E1209" si="1207">TRIM(B1209)</f>
        <v>Montana</v>
      </c>
      <c r="E1209" s="2" t="str">
        <f t="shared" si="1207"/>
        <v>Kalispell</v>
      </c>
    </row>
    <row r="1210" spans="1:5">
      <c r="A1210" s="111" t="s">
        <v>11878</v>
      </c>
      <c r="B1210" s="111" t="s">
        <v>1349</v>
      </c>
      <c r="C1210" s="111" t="s">
        <v>2228</v>
      </c>
      <c r="D1210" s="2" t="str">
        <f t="shared" ref="D1210:E1210" si="1208">TRIM(B1210)</f>
        <v>Montana</v>
      </c>
      <c r="E1210" s="2" t="str">
        <f t="shared" si="1208"/>
        <v>Troy</v>
      </c>
    </row>
    <row r="1211" spans="1:5">
      <c r="A1211" s="111" t="s">
        <v>11880</v>
      </c>
      <c r="B1211" s="111" t="s">
        <v>1350</v>
      </c>
      <c r="C1211" s="111" t="s">
        <v>11882</v>
      </c>
      <c r="D1211" s="2" t="str">
        <f t="shared" ref="D1211:E1211" si="1209">TRIM(B1211)</f>
        <v>Nebraska</v>
      </c>
      <c r="E1211" s="2" t="str">
        <f t="shared" si="1209"/>
        <v>David City</v>
      </c>
    </row>
    <row r="1212" spans="1:5">
      <c r="A1212" s="111" t="s">
        <v>11884</v>
      </c>
      <c r="B1212" s="111" t="s">
        <v>1350</v>
      </c>
      <c r="C1212" s="111" t="s">
        <v>6557</v>
      </c>
      <c r="D1212" s="2" t="str">
        <f t="shared" ref="D1212:E1212" si="1210">TRIM(B1212)</f>
        <v>Nebraska</v>
      </c>
      <c r="E1212" s="2" t="str">
        <f t="shared" si="1210"/>
        <v>Wahoo</v>
      </c>
    </row>
    <row r="1213" spans="1:5">
      <c r="A1213" s="111" t="s">
        <v>11887</v>
      </c>
      <c r="B1213" s="111" t="s">
        <v>1350</v>
      </c>
      <c r="C1213" s="111" t="s">
        <v>218</v>
      </c>
      <c r="D1213" s="2" t="str">
        <f t="shared" ref="D1213:E1213" si="1211">TRIM(B1213)</f>
        <v>Nebraska</v>
      </c>
      <c r="E1213" s="2" t="str">
        <f t="shared" si="1211"/>
        <v>Omaha</v>
      </c>
    </row>
    <row r="1214" spans="1:5">
      <c r="A1214" s="111" t="s">
        <v>11890</v>
      </c>
      <c r="B1214" s="111" t="s">
        <v>1350</v>
      </c>
      <c r="C1214" s="111" t="s">
        <v>1283</v>
      </c>
      <c r="D1214" s="2" t="str">
        <f t="shared" ref="D1214:E1214" si="1212">TRIM(B1214)</f>
        <v>Nebraska</v>
      </c>
      <c r="E1214" s="2" t="str">
        <f t="shared" si="1212"/>
        <v>Lincoln</v>
      </c>
    </row>
    <row r="1215" spans="1:5">
      <c r="A1215" s="111" t="s">
        <v>11893</v>
      </c>
      <c r="B1215" s="111" t="s">
        <v>1350</v>
      </c>
      <c r="C1215" s="111" t="s">
        <v>218</v>
      </c>
      <c r="D1215" s="2" t="str">
        <f t="shared" ref="D1215:E1215" si="1213">TRIM(B1215)</f>
        <v>Nebraska</v>
      </c>
      <c r="E1215" s="2" t="str">
        <f t="shared" si="1213"/>
        <v>Omaha</v>
      </c>
    </row>
    <row r="1216" spans="1:5">
      <c r="A1216" s="111" t="s">
        <v>11896</v>
      </c>
      <c r="B1216" s="111" t="s">
        <v>1350</v>
      </c>
      <c r="C1216" s="111" t="s">
        <v>218</v>
      </c>
      <c r="D1216" s="2" t="str">
        <f t="shared" ref="D1216:E1216" si="1214">TRIM(B1216)</f>
        <v>Nebraska</v>
      </c>
      <c r="E1216" s="2" t="str">
        <f t="shared" si="1214"/>
        <v>Omaha</v>
      </c>
    </row>
    <row r="1217" spans="1:5">
      <c r="A1217" s="111" t="s">
        <v>11898</v>
      </c>
      <c r="B1217" s="111" t="s">
        <v>1350</v>
      </c>
      <c r="C1217" s="111" t="s">
        <v>218</v>
      </c>
      <c r="D1217" s="2" t="str">
        <f t="shared" ref="D1217:E1217" si="1215">TRIM(B1217)</f>
        <v>Nebraska</v>
      </c>
      <c r="E1217" s="2" t="str">
        <f t="shared" si="1215"/>
        <v>Omaha</v>
      </c>
    </row>
    <row r="1218" spans="1:5">
      <c r="A1218" s="111" t="s">
        <v>11900</v>
      </c>
      <c r="B1218" s="111" t="s">
        <v>1350</v>
      </c>
      <c r="C1218" s="111" t="s">
        <v>11723</v>
      </c>
      <c r="D1218" s="2" t="str">
        <f t="shared" ref="D1218:E1218" si="1216">TRIM(B1218)</f>
        <v>Nebraska</v>
      </c>
      <c r="E1218" s="2" t="str">
        <f t="shared" si="1216"/>
        <v>West Point</v>
      </c>
    </row>
    <row r="1219" spans="1:5">
      <c r="A1219" s="111" t="s">
        <v>10816</v>
      </c>
      <c r="B1219" s="111" t="s">
        <v>1350</v>
      </c>
      <c r="C1219" s="111" t="s">
        <v>5512</v>
      </c>
      <c r="D1219" s="2" t="str">
        <f t="shared" ref="D1219:E1219" si="1217">TRIM(B1219)</f>
        <v>Nebraska</v>
      </c>
      <c r="E1219" s="2" t="str">
        <f t="shared" si="1217"/>
        <v>Lindsay</v>
      </c>
    </row>
    <row r="1220" spans="1:5">
      <c r="A1220" s="111" t="s">
        <v>10698</v>
      </c>
      <c r="B1220" s="111" t="s">
        <v>1350</v>
      </c>
      <c r="C1220" s="111" t="s">
        <v>218</v>
      </c>
      <c r="D1220" s="2" t="str">
        <f t="shared" ref="D1220:E1220" si="1218">TRIM(B1220)</f>
        <v>Nebraska</v>
      </c>
      <c r="E1220" s="2" t="str">
        <f t="shared" si="1218"/>
        <v>Omaha</v>
      </c>
    </row>
    <row r="1221" spans="1:5">
      <c r="A1221" s="111" t="s">
        <v>11906</v>
      </c>
      <c r="B1221" s="111" t="s">
        <v>1350</v>
      </c>
      <c r="C1221" s="111" t="s">
        <v>11907</v>
      </c>
      <c r="D1221" s="2" t="str">
        <f t="shared" ref="D1221:E1221" si="1219">TRIM(B1221)</f>
        <v>Nebraska</v>
      </c>
      <c r="E1221" s="2" t="str">
        <f t="shared" si="1219"/>
        <v>Elkhorn</v>
      </c>
    </row>
    <row r="1222" spans="1:5">
      <c r="A1222" s="111" t="s">
        <v>11910</v>
      </c>
      <c r="B1222" s="111" t="s">
        <v>1350</v>
      </c>
      <c r="C1222" s="111" t="s">
        <v>1283</v>
      </c>
      <c r="D1222" s="2" t="str">
        <f t="shared" ref="D1222:E1222" si="1220">TRIM(B1222)</f>
        <v>Nebraska</v>
      </c>
      <c r="E1222" s="2" t="str">
        <f t="shared" si="1220"/>
        <v>Lincoln</v>
      </c>
    </row>
    <row r="1223" spans="1:5">
      <c r="A1223" s="111" t="s">
        <v>11343</v>
      </c>
      <c r="B1223" s="111" t="s">
        <v>1350</v>
      </c>
      <c r="C1223" s="111" t="s">
        <v>11913</v>
      </c>
      <c r="D1223" s="2" t="str">
        <f t="shared" ref="D1223:E1223" si="1221">TRIM(B1223)</f>
        <v>Nebraska</v>
      </c>
      <c r="E1223" s="2" t="str">
        <f t="shared" si="1221"/>
        <v>Falls City</v>
      </c>
    </row>
    <row r="1224" spans="1:5">
      <c r="A1224" s="111" t="s">
        <v>11915</v>
      </c>
      <c r="B1224" s="111" t="s">
        <v>1350</v>
      </c>
      <c r="C1224" s="111" t="s">
        <v>5100</v>
      </c>
      <c r="D1224" s="2" t="str">
        <f t="shared" ref="D1224:E1224" si="1222">TRIM(B1224)</f>
        <v>Nebraska</v>
      </c>
      <c r="E1224" s="2" t="str">
        <f t="shared" si="1222"/>
        <v>Hastings</v>
      </c>
    </row>
    <row r="1225" spans="1:5">
      <c r="A1225" s="111" t="s">
        <v>11917</v>
      </c>
      <c r="B1225" s="111" t="s">
        <v>1350</v>
      </c>
      <c r="C1225" s="111" t="s">
        <v>11919</v>
      </c>
      <c r="D1225" s="2" t="str">
        <f t="shared" ref="D1225:E1225" si="1223">TRIM(B1225)</f>
        <v>Nebraska</v>
      </c>
      <c r="E1225" s="2" t="str">
        <f t="shared" si="1223"/>
        <v>Humphrey</v>
      </c>
    </row>
    <row r="1226" spans="1:5">
      <c r="A1226" s="111" t="s">
        <v>11367</v>
      </c>
      <c r="B1226" s="111" t="s">
        <v>1350</v>
      </c>
      <c r="C1226" s="111" t="s">
        <v>11922</v>
      </c>
      <c r="D1226" s="2" t="str">
        <f t="shared" ref="D1226:E1226" si="1224">TRIM(B1226)</f>
        <v>Nebraska</v>
      </c>
      <c r="E1226" s="2" t="str">
        <f t="shared" si="1224"/>
        <v>O'Neill</v>
      </c>
    </row>
    <row r="1227" spans="1:5">
      <c r="A1227" s="111" t="s">
        <v>11931</v>
      </c>
      <c r="B1227" s="111" t="s">
        <v>1350</v>
      </c>
      <c r="C1227" s="111" t="s">
        <v>269</v>
      </c>
      <c r="D1227" s="2" t="str">
        <f t="shared" ref="D1227:E1227" si="1225">TRIM(B1227)</f>
        <v>Nebraska</v>
      </c>
      <c r="E1227" s="2" t="str">
        <f t="shared" si="1225"/>
        <v>North Platte</v>
      </c>
    </row>
    <row r="1228" spans="1:5">
      <c r="A1228" s="111" t="s">
        <v>11933</v>
      </c>
      <c r="B1228" s="111" t="s">
        <v>1350</v>
      </c>
      <c r="C1228" s="111" t="s">
        <v>269</v>
      </c>
      <c r="D1228" s="2" t="str">
        <f t="shared" ref="D1228:E1228" si="1226">TRIM(B1228)</f>
        <v>Nebraska</v>
      </c>
      <c r="E1228" s="2" t="str">
        <f t="shared" si="1226"/>
        <v>North Platte</v>
      </c>
    </row>
    <row r="1229" spans="1:5">
      <c r="A1229" s="111" t="s">
        <v>11936</v>
      </c>
      <c r="B1229" s="111" t="s">
        <v>1350</v>
      </c>
      <c r="C1229" s="111" t="s">
        <v>11937</v>
      </c>
      <c r="D1229" s="2" t="str">
        <f t="shared" ref="D1229:E1229" si="1227">TRIM(B1229)</f>
        <v>Nebraska</v>
      </c>
      <c r="E1229" s="2" t="str">
        <f t="shared" si="1227"/>
        <v>Gothenburg</v>
      </c>
    </row>
    <row r="1230" spans="1:5">
      <c r="A1230" s="111" t="s">
        <v>11940</v>
      </c>
      <c r="B1230" s="111" t="s">
        <v>1352</v>
      </c>
      <c r="C1230" s="111" t="s">
        <v>315</v>
      </c>
      <c r="D1230" s="2" t="str">
        <f t="shared" ref="D1230:E1230" si="1228">TRIM(B1230)</f>
        <v>Nevada</v>
      </c>
      <c r="E1230" s="2" t="str">
        <f t="shared" si="1228"/>
        <v>Las Vegas</v>
      </c>
    </row>
    <row r="1231" spans="1:5">
      <c r="A1231" s="111" t="s">
        <v>11943</v>
      </c>
      <c r="B1231" s="111" t="s">
        <v>1352</v>
      </c>
      <c r="C1231" s="111" t="s">
        <v>7970</v>
      </c>
      <c r="D1231" s="2" t="str">
        <f t="shared" ref="D1231:E1231" si="1229">TRIM(B1231)</f>
        <v>Nevada</v>
      </c>
      <c r="E1231" s="2" t="str">
        <f t="shared" si="1229"/>
        <v>Henderson</v>
      </c>
    </row>
    <row r="1232" spans="1:5">
      <c r="A1232" s="111" t="s">
        <v>11946</v>
      </c>
      <c r="B1232" s="111" t="s">
        <v>1352</v>
      </c>
      <c r="C1232" s="111" t="s">
        <v>315</v>
      </c>
      <c r="D1232" s="2" t="str">
        <f t="shared" ref="D1232:E1232" si="1230">TRIM(B1232)</f>
        <v>Nevada</v>
      </c>
      <c r="E1232" s="2" t="str">
        <f t="shared" si="1230"/>
        <v>Las Vegas</v>
      </c>
    </row>
    <row r="1233" spans="1:5">
      <c r="A1233" s="111" t="s">
        <v>11948</v>
      </c>
      <c r="B1233" s="111" t="s">
        <v>1352</v>
      </c>
      <c r="C1233" s="111" t="s">
        <v>7970</v>
      </c>
      <c r="D1233" s="2" t="str">
        <f t="shared" ref="D1233:E1233" si="1231">TRIM(B1233)</f>
        <v>Nevada</v>
      </c>
      <c r="E1233" s="2" t="str">
        <f t="shared" si="1231"/>
        <v>Henderson</v>
      </c>
    </row>
    <row r="1234" spans="1:5">
      <c r="A1234" s="111" t="s">
        <v>11951</v>
      </c>
      <c r="B1234" s="111" t="s">
        <v>1352</v>
      </c>
      <c r="C1234" s="111" t="s">
        <v>315</v>
      </c>
      <c r="D1234" s="2" t="str">
        <f t="shared" ref="D1234:E1234" si="1232">TRIM(B1234)</f>
        <v>Nevada</v>
      </c>
      <c r="E1234" s="2" t="str">
        <f t="shared" si="1232"/>
        <v>Las Vegas</v>
      </c>
    </row>
    <row r="1235" spans="1:5">
      <c r="A1235" s="111" t="s">
        <v>11954</v>
      </c>
      <c r="B1235" s="111" t="s">
        <v>1352</v>
      </c>
      <c r="C1235" s="111" t="s">
        <v>578</v>
      </c>
      <c r="D1235" s="2" t="str">
        <f t="shared" ref="D1235:E1235" si="1233">TRIM(B1235)</f>
        <v>Nevada</v>
      </c>
      <c r="E1235" s="2" t="str">
        <f t="shared" si="1233"/>
        <v>Reno</v>
      </c>
    </row>
    <row r="1236" spans="1:5">
      <c r="A1236" s="111" t="s">
        <v>11957</v>
      </c>
      <c r="B1236" s="111" t="s">
        <v>1352</v>
      </c>
      <c r="C1236" s="111" t="s">
        <v>315</v>
      </c>
      <c r="D1236" s="2" t="str">
        <f t="shared" ref="D1236:E1236" si="1234">TRIM(B1236)</f>
        <v>Nevada</v>
      </c>
      <c r="E1236" s="2" t="str">
        <f t="shared" si="1234"/>
        <v>Las Vegas</v>
      </c>
    </row>
    <row r="1237" spans="1:5">
      <c r="A1237" s="111" t="s">
        <v>11960</v>
      </c>
      <c r="B1237" s="111" t="s">
        <v>1354</v>
      </c>
      <c r="C1237" s="111" t="s">
        <v>286</v>
      </c>
      <c r="D1237" s="2" t="str">
        <f t="shared" ref="D1237:E1237" si="1235">TRIM(B1237)</f>
        <v>New Hampshire</v>
      </c>
      <c r="E1237" s="2" t="str">
        <f t="shared" si="1235"/>
        <v>Concord</v>
      </c>
    </row>
    <row r="1238" spans="1:5">
      <c r="A1238" s="111" t="s">
        <v>11961</v>
      </c>
      <c r="B1238" s="111" t="s">
        <v>1354</v>
      </c>
      <c r="C1238" s="111" t="s">
        <v>11963</v>
      </c>
      <c r="D1238" s="2" t="str">
        <f t="shared" ref="D1238:E1238" si="1236">TRIM(B1238)</f>
        <v>New Hampshire</v>
      </c>
      <c r="E1238" s="2" t="str">
        <f t="shared" si="1236"/>
        <v>Nashua</v>
      </c>
    </row>
    <row r="1239" spans="1:5">
      <c r="A1239" s="111" t="s">
        <v>11964</v>
      </c>
      <c r="B1239" s="111" t="s">
        <v>1354</v>
      </c>
      <c r="C1239" s="111" t="s">
        <v>11965</v>
      </c>
      <c r="D1239" s="2" t="str">
        <f t="shared" ref="D1239:E1239" si="1237">TRIM(B1239)</f>
        <v>New Hampshire</v>
      </c>
      <c r="E1239" s="2" t="str">
        <f t="shared" si="1237"/>
        <v>Wolfeboro</v>
      </c>
    </row>
    <row r="1240" spans="1:5">
      <c r="A1240" s="111" t="s">
        <v>11968</v>
      </c>
      <c r="B1240" s="111" t="s">
        <v>1354</v>
      </c>
      <c r="C1240" s="111" t="s">
        <v>850</v>
      </c>
      <c r="D1240" s="2" t="str">
        <f t="shared" ref="D1240:E1240" si="1238">TRIM(B1240)</f>
        <v>New Hampshire</v>
      </c>
      <c r="E1240" s="2" t="str">
        <f t="shared" si="1238"/>
        <v>Dublin</v>
      </c>
    </row>
    <row r="1241" spans="1:5">
      <c r="A1241" s="111" t="s">
        <v>11972</v>
      </c>
      <c r="B1241" s="111" t="s">
        <v>1354</v>
      </c>
      <c r="C1241" s="111" t="s">
        <v>8540</v>
      </c>
      <c r="D1241" s="2" t="str">
        <f t="shared" ref="D1241:E1241" si="1239">TRIM(B1241)</f>
        <v>New Hampshire</v>
      </c>
      <c r="E1241" s="2" t="str">
        <f t="shared" si="1239"/>
        <v>Manchester</v>
      </c>
    </row>
    <row r="1242" spans="1:5">
      <c r="A1242" s="111" t="s">
        <v>11975</v>
      </c>
      <c r="B1242" s="111" t="s">
        <v>1354</v>
      </c>
      <c r="C1242" s="111" t="s">
        <v>8544</v>
      </c>
      <c r="D1242" s="2" t="str">
        <f t="shared" ref="D1242:E1242" si="1240">TRIM(B1242)</f>
        <v>New Hampshire</v>
      </c>
      <c r="E1242" s="2" t="str">
        <f t="shared" si="1240"/>
        <v>Meriden</v>
      </c>
    </row>
    <row r="1243" spans="1:5">
      <c r="A1243" s="111" t="s">
        <v>11977</v>
      </c>
      <c r="B1243" s="111" t="s">
        <v>1354</v>
      </c>
      <c r="C1243" s="111" t="s">
        <v>11978</v>
      </c>
      <c r="D1243" s="2" t="str">
        <f t="shared" ref="D1243:E1243" si="1241">TRIM(B1243)</f>
        <v>New Hampshire</v>
      </c>
      <c r="E1243" s="2" t="str">
        <f t="shared" si="1241"/>
        <v>Keene</v>
      </c>
    </row>
    <row r="1244" spans="1:5">
      <c r="A1244" s="111" t="s">
        <v>11980</v>
      </c>
      <c r="B1244" s="111" t="s">
        <v>1354</v>
      </c>
      <c r="C1244" s="111" t="s">
        <v>11981</v>
      </c>
      <c r="D1244" s="2" t="str">
        <f t="shared" ref="D1244:E1244" si="1242">TRIM(B1244)</f>
        <v>New Hampshire</v>
      </c>
      <c r="E1244" s="2" t="str">
        <f t="shared" si="1242"/>
        <v>Sunapee</v>
      </c>
    </row>
    <row r="1245" spans="1:5">
      <c r="A1245" s="111" t="s">
        <v>11982</v>
      </c>
      <c r="B1245" s="111" t="s">
        <v>1354</v>
      </c>
      <c r="C1245" s="111" t="s">
        <v>4991</v>
      </c>
      <c r="D1245" s="2" t="str">
        <f t="shared" ref="D1245:E1245" si="1243">TRIM(B1245)</f>
        <v>New Hampshire</v>
      </c>
      <c r="E1245" s="2" t="str">
        <f t="shared" si="1243"/>
        <v>Exeter</v>
      </c>
    </row>
    <row r="1246" spans="1:5">
      <c r="A1246" s="111" t="s">
        <v>11986</v>
      </c>
      <c r="B1246" s="111" t="s">
        <v>1354</v>
      </c>
      <c r="C1246" s="111" t="s">
        <v>1096</v>
      </c>
      <c r="D1246" s="2" t="str">
        <f t="shared" ref="D1246:E1246" si="1244">TRIM(B1246)</f>
        <v>New Hampshire</v>
      </c>
      <c r="E1246" s="2" t="str">
        <f t="shared" si="1244"/>
        <v>Andover</v>
      </c>
    </row>
    <row r="1247" spans="1:5">
      <c r="A1247" s="76" t="s">
        <v>11179</v>
      </c>
      <c r="B1247" s="111" t="s">
        <v>1354</v>
      </c>
      <c r="C1247" s="111" t="s">
        <v>286</v>
      </c>
      <c r="D1247" s="2" t="str">
        <f t="shared" ref="D1247:E1247" si="1245">TRIM(B1247)</f>
        <v>New Hampshire</v>
      </c>
      <c r="E1247" s="2" t="str">
        <f t="shared" si="1245"/>
        <v>Concord</v>
      </c>
    </row>
    <row r="1248" spans="1:5">
      <c r="A1248" s="111" t="s">
        <v>10156</v>
      </c>
      <c r="B1248" s="111" t="s">
        <v>1354</v>
      </c>
      <c r="C1248" s="111" t="s">
        <v>3744</v>
      </c>
      <c r="D1248" s="2" t="str">
        <f t="shared" ref="D1248:E1248" si="1246">TRIM(B1248)</f>
        <v>New Hampshire</v>
      </c>
      <c r="E1248" s="2" t="str">
        <f t="shared" si="1246"/>
        <v>Dover</v>
      </c>
    </row>
    <row r="1249" spans="1:5">
      <c r="A1249" s="111" t="s">
        <v>11989</v>
      </c>
      <c r="B1249" s="111" t="s">
        <v>1354</v>
      </c>
      <c r="C1249" s="111" t="s">
        <v>8540</v>
      </c>
      <c r="D1249" s="2" t="str">
        <f t="shared" ref="D1249:E1249" si="1247">TRIM(B1249)</f>
        <v>New Hampshire</v>
      </c>
      <c r="E1249" s="2" t="str">
        <f t="shared" si="1247"/>
        <v>Manchester</v>
      </c>
    </row>
    <row r="1250" spans="1:5">
      <c r="A1250" s="111" t="s">
        <v>11991</v>
      </c>
      <c r="B1250" s="111" t="s">
        <v>1354</v>
      </c>
      <c r="C1250" s="111" t="s">
        <v>11992</v>
      </c>
      <c r="D1250" s="2" t="str">
        <f t="shared" ref="D1250:E1250" si="1248">TRIM(B1250)</f>
        <v>New Hampshire</v>
      </c>
      <c r="E1250" s="2" t="str">
        <f t="shared" si="1248"/>
        <v>New Hampton</v>
      </c>
    </row>
    <row r="1251" spans="1:5">
      <c r="A1251" s="111" t="s">
        <v>11993</v>
      </c>
      <c r="B1251" s="111" t="s">
        <v>1354</v>
      </c>
      <c r="C1251" s="111" t="s">
        <v>11994</v>
      </c>
      <c r="D1251" s="2" t="str">
        <f t="shared" ref="D1251:E1251" si="1249">TRIM(B1251)</f>
        <v>New Hampshire</v>
      </c>
      <c r="E1251" s="2" t="str">
        <f t="shared" si="1249"/>
        <v>Tilton</v>
      </c>
    </row>
    <row r="1252" spans="1:5">
      <c r="A1252" s="111" t="s">
        <v>11997</v>
      </c>
      <c r="B1252" s="111" t="s">
        <v>1354</v>
      </c>
      <c r="C1252" s="111" t="s">
        <v>9833</v>
      </c>
      <c r="D1252" s="2" t="str">
        <f t="shared" ref="D1252:E1252" si="1250">TRIM(B1252)</f>
        <v>New Hampshire</v>
      </c>
      <c r="E1252" s="2" t="str">
        <f t="shared" si="1250"/>
        <v>Bethlehem</v>
      </c>
    </row>
    <row r="1253" spans="1:5">
      <c r="A1253" s="111" t="s">
        <v>12000</v>
      </c>
      <c r="B1253" s="111" t="s">
        <v>1355</v>
      </c>
      <c r="C1253" s="111" t="s">
        <v>12001</v>
      </c>
      <c r="D1253" s="2" t="str">
        <f t="shared" ref="D1253:E1253" si="1251">TRIM(B1253)</f>
        <v>New Jersey</v>
      </c>
      <c r="E1253" s="2" t="str">
        <f t="shared" si="1251"/>
        <v>Nutlex</v>
      </c>
    </row>
    <row r="1254" spans="1:5">
      <c r="A1254" s="111" t="s">
        <v>12003</v>
      </c>
      <c r="B1254" s="111" t="s">
        <v>1355</v>
      </c>
      <c r="C1254" s="111" t="s">
        <v>12004</v>
      </c>
      <c r="D1254" s="2" t="str">
        <f t="shared" ref="D1254:E1254" si="1252">TRIM(B1254)</f>
        <v>New Jersey</v>
      </c>
      <c r="E1254" s="2" t="str">
        <f t="shared" si="1252"/>
        <v>Morristown</v>
      </c>
    </row>
    <row r="1255" spans="1:5">
      <c r="A1255" s="111" t="s">
        <v>12007</v>
      </c>
      <c r="B1255" s="111" t="s">
        <v>1355</v>
      </c>
      <c r="C1255" s="111" t="s">
        <v>12008</v>
      </c>
      <c r="D1255" s="2" t="str">
        <f t="shared" ref="D1255:E1255" si="1253">TRIM(B1255)</f>
        <v>New Jersey</v>
      </c>
      <c r="E1255" s="2" t="str">
        <f t="shared" si="1253"/>
        <v>Demarest</v>
      </c>
    </row>
    <row r="1256" spans="1:5">
      <c r="A1256" s="111" t="s">
        <v>12011</v>
      </c>
      <c r="B1256" s="111" t="s">
        <v>1355</v>
      </c>
      <c r="C1256" s="111" t="s">
        <v>499</v>
      </c>
      <c r="D1256" s="2" t="str">
        <f t="shared" ref="D1256:E1256" si="1254">TRIM(B1256)</f>
        <v>New Jersey</v>
      </c>
      <c r="E1256" s="2" t="str">
        <f t="shared" si="1254"/>
        <v>Newark</v>
      </c>
    </row>
    <row r="1257" spans="1:5">
      <c r="A1257" s="111" t="s">
        <v>12014</v>
      </c>
      <c r="B1257" s="111" t="s">
        <v>1355</v>
      </c>
      <c r="C1257" s="111" t="s">
        <v>12015</v>
      </c>
      <c r="D1257" s="2" t="str">
        <f t="shared" ref="D1257:E1257" si="1255">TRIM(B1257)</f>
        <v>New Jersey</v>
      </c>
      <c r="E1257" s="2" t="str">
        <f t="shared" si="1255"/>
        <v>Piscataway</v>
      </c>
    </row>
    <row r="1258" spans="1:5">
      <c r="A1258" s="111" t="s">
        <v>12016</v>
      </c>
      <c r="B1258" s="111" t="s">
        <v>1355</v>
      </c>
      <c r="C1258" s="111" t="s">
        <v>4775</v>
      </c>
      <c r="D1258" s="2" t="str">
        <f t="shared" ref="D1258:E1258" si="1256">TRIM(B1258)</f>
        <v>New Jersey</v>
      </c>
      <c r="E1258" s="2" t="str">
        <f t="shared" si="1256"/>
        <v>Howell</v>
      </c>
    </row>
    <row r="1259" spans="1:5">
      <c r="A1259" s="111" t="s">
        <v>12018</v>
      </c>
      <c r="B1259" s="111" t="s">
        <v>1355</v>
      </c>
      <c r="C1259" s="111" t="s">
        <v>662</v>
      </c>
      <c r="D1259" s="2" t="str">
        <f t="shared" ref="D1259:E1259" si="1257">TRIM(B1259)</f>
        <v>New Jersey</v>
      </c>
      <c r="E1259" s="2" t="str">
        <f t="shared" si="1257"/>
        <v>Oakland</v>
      </c>
    </row>
    <row r="1260" spans="1:5">
      <c r="A1260" s="111" t="s">
        <v>12019</v>
      </c>
      <c r="B1260" s="111" t="s">
        <v>1355</v>
      </c>
      <c r="C1260" s="111" t="s">
        <v>854</v>
      </c>
      <c r="D1260" s="2" t="str">
        <f t="shared" ref="D1260:E1260" si="1258">TRIM(B1260)</f>
        <v>New Jersey</v>
      </c>
      <c r="E1260" s="2" t="str">
        <f t="shared" si="1258"/>
        <v>Elizabeth</v>
      </c>
    </row>
    <row r="1261" spans="1:5">
      <c r="A1261" s="111" t="s">
        <v>12021</v>
      </c>
      <c r="B1261" s="111" t="s">
        <v>1355</v>
      </c>
      <c r="C1261" s="111" t="s">
        <v>12022</v>
      </c>
      <c r="D1261" s="2" t="str">
        <f t="shared" ref="D1261:E1261" si="1259">TRIM(B1261)</f>
        <v>New Jersey</v>
      </c>
      <c r="E1261" s="2" t="str">
        <f t="shared" si="1259"/>
        <v>Pennsauken</v>
      </c>
    </row>
    <row r="1262" spans="1:5">
      <c r="A1262" s="111" t="s">
        <v>12023</v>
      </c>
      <c r="B1262" s="111" t="s">
        <v>1355</v>
      </c>
      <c r="C1262" s="111" t="s">
        <v>12024</v>
      </c>
      <c r="D1262" s="2" t="str">
        <f t="shared" ref="D1262:E1262" si="1260">TRIM(B1262)</f>
        <v>New Jersey</v>
      </c>
      <c r="E1262" s="2" t="str">
        <f t="shared" si="1260"/>
        <v>Blairstown</v>
      </c>
    </row>
    <row r="1263" spans="1:5">
      <c r="A1263" s="111" t="s">
        <v>9114</v>
      </c>
      <c r="B1263" s="111" t="s">
        <v>1355</v>
      </c>
      <c r="C1263" s="111" t="s">
        <v>609</v>
      </c>
      <c r="D1263" s="2" t="str">
        <f t="shared" ref="D1263:E1263" si="1261">TRIM(B1263)</f>
        <v>New Jersey</v>
      </c>
      <c r="E1263" s="2" t="str">
        <f t="shared" si="1261"/>
        <v>Lakewood</v>
      </c>
    </row>
    <row r="1264" spans="1:5">
      <c r="A1264" s="111" t="s">
        <v>12027</v>
      </c>
      <c r="B1264" s="111" t="s">
        <v>1355</v>
      </c>
      <c r="C1264" s="111" t="s">
        <v>12028</v>
      </c>
      <c r="D1264" s="2" t="str">
        <f t="shared" ref="D1264:E1264" si="1262">TRIM(B1264)</f>
        <v>New Jersey</v>
      </c>
      <c r="E1264" s="2" t="str">
        <f t="shared" si="1262"/>
        <v>Passaic</v>
      </c>
    </row>
    <row r="1265" spans="1:5">
      <c r="A1265" s="111" t="s">
        <v>12029</v>
      </c>
      <c r="B1265" s="111" t="s">
        <v>1355</v>
      </c>
      <c r="C1265" s="111" t="s">
        <v>12031</v>
      </c>
      <c r="D1265" s="2" t="str">
        <f t="shared" ref="D1265:E1265" si="1263">TRIM(B1265)</f>
        <v>New Jersey</v>
      </c>
      <c r="E1265" s="2" t="str">
        <f t="shared" si="1263"/>
        <v>South River</v>
      </c>
    </row>
    <row r="1266" spans="1:5">
      <c r="A1266" s="111" t="s">
        <v>12033</v>
      </c>
      <c r="B1266" s="111" t="s">
        <v>1355</v>
      </c>
      <c r="C1266" s="111" t="s">
        <v>12004</v>
      </c>
      <c r="D1266" s="2" t="str">
        <f t="shared" ref="D1266:E1266" si="1264">TRIM(B1266)</f>
        <v>New Jersey</v>
      </c>
      <c r="E1266" s="2" t="str">
        <f t="shared" si="1264"/>
        <v>Morristown</v>
      </c>
    </row>
    <row r="1267" spans="1:5">
      <c r="A1267" s="111" t="s">
        <v>12035</v>
      </c>
      <c r="B1267" s="111" t="s">
        <v>1355</v>
      </c>
      <c r="C1267" s="111" t="s">
        <v>7667</v>
      </c>
      <c r="D1267" s="2" t="str">
        <f t="shared" ref="D1267:E1267" si="1265">TRIM(B1267)</f>
        <v>New Jersey</v>
      </c>
      <c r="E1267" s="2" t="str">
        <f t="shared" si="1265"/>
        <v>Burlington</v>
      </c>
    </row>
    <row r="1268" spans="1:5">
      <c r="A1268" s="111" t="s">
        <v>12039</v>
      </c>
      <c r="B1268" s="111" t="s">
        <v>1355</v>
      </c>
      <c r="C1268" s="111" t="s">
        <v>280</v>
      </c>
      <c r="D1268" s="2" t="str">
        <f t="shared" ref="D1268:E1268" si="1266">TRIM(B1268)</f>
        <v>New Jersey</v>
      </c>
      <c r="E1268" s="2" t="str">
        <f t="shared" si="1266"/>
        <v>Ramsey</v>
      </c>
    </row>
    <row r="1269" spans="1:5">
      <c r="A1269" s="111" t="s">
        <v>12042</v>
      </c>
      <c r="B1269" s="111" t="s">
        <v>1355</v>
      </c>
      <c r="C1269" s="111" t="s">
        <v>7884</v>
      </c>
      <c r="D1269" s="2" t="str">
        <f t="shared" ref="D1269:E1269" si="1267">TRIM(B1269)</f>
        <v>New Jersey</v>
      </c>
      <c r="E1269" s="2" t="str">
        <f t="shared" si="1267"/>
        <v>Englewood</v>
      </c>
    </row>
    <row r="1270" spans="1:5">
      <c r="A1270" s="111" t="s">
        <v>12047</v>
      </c>
      <c r="B1270" s="111" t="s">
        <v>1355</v>
      </c>
      <c r="C1270" s="111" t="s">
        <v>1068</v>
      </c>
      <c r="D1270" s="2" t="str">
        <f t="shared" ref="D1270:E1270" si="1268">TRIM(B1270)</f>
        <v>New Jersey</v>
      </c>
      <c r="E1270" s="2" t="str">
        <f t="shared" si="1268"/>
        <v>Somerset</v>
      </c>
    </row>
    <row r="1271" spans="1:5">
      <c r="A1271" s="111" t="s">
        <v>12050</v>
      </c>
      <c r="B1271" s="111" t="s">
        <v>1355</v>
      </c>
      <c r="C1271" s="111" t="s">
        <v>12051</v>
      </c>
      <c r="D1271" s="2" t="str">
        <f t="shared" ref="D1271:E1271" si="1269">TRIM(B1271)</f>
        <v>New Jersey</v>
      </c>
      <c r="E1271" s="2" t="str">
        <f t="shared" si="1269"/>
        <v>Berkeley Heights</v>
      </c>
    </row>
    <row r="1272" spans="1:5">
      <c r="A1272" s="111" t="s">
        <v>12053</v>
      </c>
      <c r="B1272" s="111" t="s">
        <v>1355</v>
      </c>
      <c r="C1272" s="111" t="s">
        <v>6448</v>
      </c>
      <c r="D1272" s="2" t="str">
        <f t="shared" ref="D1272:E1272" si="1270">TRIM(B1272)</f>
        <v>New Jersey</v>
      </c>
      <c r="E1272" s="2" t="str">
        <f t="shared" si="1270"/>
        <v>Princeton</v>
      </c>
    </row>
    <row r="1273" spans="1:5">
      <c r="A1273" s="111" t="s">
        <v>12054</v>
      </c>
      <c r="B1273" s="111" t="s">
        <v>1355</v>
      </c>
      <c r="C1273" s="111" t="s">
        <v>12055</v>
      </c>
      <c r="D1273" s="2" t="str">
        <f t="shared" ref="D1273:E1273" si="1271">TRIM(B1273)</f>
        <v>New Jersey</v>
      </c>
      <c r="E1273" s="2" t="str">
        <f t="shared" si="1271"/>
        <v>Gladstone</v>
      </c>
    </row>
    <row r="1274" spans="1:5">
      <c r="A1274" s="111" t="s">
        <v>12056</v>
      </c>
      <c r="B1274" s="111" t="s">
        <v>1355</v>
      </c>
      <c r="C1274" s="111" t="s">
        <v>12057</v>
      </c>
      <c r="D1274" s="2" t="str">
        <f t="shared" ref="D1274:E1274" si="1272">TRIM(B1274)</f>
        <v>New Jersey</v>
      </c>
      <c r="E1274" s="2" t="str">
        <f t="shared" si="1272"/>
        <v>Teaneck</v>
      </c>
    </row>
    <row r="1275" spans="1:5">
      <c r="A1275" s="111" t="s">
        <v>12059</v>
      </c>
      <c r="B1275" s="111" t="s">
        <v>1355</v>
      </c>
      <c r="C1275" s="111" t="s">
        <v>12060</v>
      </c>
      <c r="D1275" s="2" t="str">
        <f t="shared" ref="D1275:E1275" si="1273">TRIM(B1275)</f>
        <v>New Jersey</v>
      </c>
      <c r="E1275" s="2" t="str">
        <f t="shared" si="1273"/>
        <v>Absecon</v>
      </c>
    </row>
    <row r="1276" spans="1:5">
      <c r="A1276" s="111" t="s">
        <v>12062</v>
      </c>
      <c r="B1276" s="111" t="s">
        <v>1355</v>
      </c>
      <c r="C1276" s="111" t="s">
        <v>12063</v>
      </c>
      <c r="D1276" s="2" t="str">
        <f t="shared" ref="D1276:E1276" si="1274">TRIM(B1276)</f>
        <v>New Jersey</v>
      </c>
      <c r="E1276" s="2" t="str">
        <f t="shared" si="1274"/>
        <v>Ocean</v>
      </c>
    </row>
    <row r="1277" spans="1:5">
      <c r="A1277" s="111" t="s">
        <v>12067</v>
      </c>
      <c r="B1277" s="111" t="s">
        <v>1355</v>
      </c>
      <c r="C1277" s="111" t="s">
        <v>12068</v>
      </c>
      <c r="D1277" s="2" t="str">
        <f t="shared" ref="D1277:E1277" si="1275">TRIM(B1277)</f>
        <v>New Jersey</v>
      </c>
      <c r="E1277" s="2" t="str">
        <f t="shared" si="1275"/>
        <v>Summit</v>
      </c>
    </row>
    <row r="1278" spans="1:5">
      <c r="A1278" s="111" t="s">
        <v>12071</v>
      </c>
      <c r="B1278" s="111" t="s">
        <v>1355</v>
      </c>
      <c r="C1278" s="111" t="s">
        <v>12015</v>
      </c>
      <c r="D1278" s="2" t="str">
        <f t="shared" ref="D1278:E1278" si="1276">TRIM(B1278)</f>
        <v>New Jersey</v>
      </c>
      <c r="E1278" s="2" t="str">
        <f t="shared" si="1276"/>
        <v>Piscataway</v>
      </c>
    </row>
    <row r="1279" spans="1:5">
      <c r="A1279" s="111" t="s">
        <v>12075</v>
      </c>
      <c r="B1279" s="111" t="s">
        <v>1355</v>
      </c>
      <c r="C1279" s="111" t="s">
        <v>7667</v>
      </c>
      <c r="D1279" s="2" t="str">
        <f t="shared" ref="D1279:E1279" si="1277">TRIM(B1279)</f>
        <v>New Jersey</v>
      </c>
      <c r="E1279" s="2" t="str">
        <f t="shared" si="1277"/>
        <v>Burlington</v>
      </c>
    </row>
    <row r="1280" spans="1:5">
      <c r="A1280" s="111" t="s">
        <v>12077</v>
      </c>
      <c r="B1280" s="111" t="s">
        <v>1355</v>
      </c>
      <c r="C1280" s="111" t="s">
        <v>12078</v>
      </c>
      <c r="D1280" s="2" t="str">
        <f t="shared" ref="D1280:E1280" si="1278">TRIM(B1280)</f>
        <v>New Jersey</v>
      </c>
      <c r="E1280" s="2" t="str">
        <f t="shared" si="1278"/>
        <v>Bayonne</v>
      </c>
    </row>
    <row r="1281" spans="1:5">
      <c r="A1281" s="111" t="s">
        <v>12081</v>
      </c>
      <c r="B1281" s="111" t="s">
        <v>1355</v>
      </c>
      <c r="C1281" s="111" t="s">
        <v>500</v>
      </c>
      <c r="D1281" s="2" t="str">
        <f t="shared" ref="D1281:E1281" si="1279">TRIM(B1281)</f>
        <v>New Jersey</v>
      </c>
      <c r="E1281" s="2" t="str">
        <f t="shared" si="1279"/>
        <v>Middletown</v>
      </c>
    </row>
    <row r="1282" spans="1:5">
      <c r="A1282" s="111" t="s">
        <v>12083</v>
      </c>
      <c r="B1282" s="111" t="s">
        <v>1355</v>
      </c>
      <c r="C1282" s="111" t="s">
        <v>8926</v>
      </c>
      <c r="D1282" s="2" t="str">
        <f t="shared" ref="D1282:E1282" si="1280">TRIM(B1282)</f>
        <v>New Jersey</v>
      </c>
      <c r="E1282" s="2" t="str">
        <f t="shared" si="1280"/>
        <v>Moorestown</v>
      </c>
    </row>
    <row r="1283" spans="1:5">
      <c r="A1283" s="111" t="s">
        <v>12087</v>
      </c>
      <c r="B1283" s="111" t="s">
        <v>1355</v>
      </c>
      <c r="C1283" s="111" t="s">
        <v>12088</v>
      </c>
      <c r="D1283" s="2" t="str">
        <f t="shared" ref="D1283:E1283" si="1281">TRIM(B1283)</f>
        <v>New Jersey</v>
      </c>
      <c r="E1283" s="2" t="str">
        <f t="shared" si="1281"/>
        <v>Clark</v>
      </c>
    </row>
    <row r="1284" spans="1:5">
      <c r="A1284" s="111" t="s">
        <v>12090</v>
      </c>
      <c r="B1284" s="111" t="s">
        <v>1355</v>
      </c>
      <c r="C1284" s="111" t="s">
        <v>271</v>
      </c>
      <c r="D1284" s="2" t="str">
        <f t="shared" ref="D1284:E1284" si="1282">TRIM(B1284)</f>
        <v>New Jersey</v>
      </c>
      <c r="E1284" s="2" t="str">
        <f t="shared" si="1282"/>
        <v>Caldwell</v>
      </c>
    </row>
    <row r="1285" spans="1:5">
      <c r="A1285" s="111" t="s">
        <v>9129</v>
      </c>
      <c r="B1285" s="111" t="s">
        <v>1355</v>
      </c>
      <c r="C1285" s="111" t="s">
        <v>12091</v>
      </c>
      <c r="D1285" s="2" t="str">
        <f t="shared" ref="D1285:E1285" si="1283">TRIM(B1285)</f>
        <v>New Jersey</v>
      </c>
      <c r="E1285" s="2" t="str">
        <f t="shared" si="1283"/>
        <v>Watchung</v>
      </c>
    </row>
    <row r="1286" spans="1:5">
      <c r="A1286" s="111" t="s">
        <v>12094</v>
      </c>
      <c r="B1286" s="111" t="s">
        <v>1355</v>
      </c>
      <c r="C1286" s="111" t="s">
        <v>12028</v>
      </c>
      <c r="D1286" s="2" t="str">
        <f t="shared" ref="D1286:E1286" si="1284">TRIM(B1286)</f>
        <v>New Jersey</v>
      </c>
      <c r="E1286" s="2" t="str">
        <f t="shared" si="1284"/>
        <v>Passaic</v>
      </c>
    </row>
    <row r="1287" spans="1:5">
      <c r="A1287" s="111" t="s">
        <v>12096</v>
      </c>
      <c r="B1287" s="111" t="s">
        <v>1355</v>
      </c>
      <c r="C1287" s="113" t="s">
        <v>12098</v>
      </c>
      <c r="D1287" s="2" t="str">
        <f t="shared" ref="D1287:E1287" si="1285">TRIM(B1287)</f>
        <v>New Jersey</v>
      </c>
      <c r="E1287" s="2" t="str">
        <f t="shared" si="1285"/>
        <v>Monmouth Junction</v>
      </c>
    </row>
    <row r="1288" spans="1:5">
      <c r="A1288" s="111" t="s">
        <v>9466</v>
      </c>
      <c r="B1288" s="111" t="s">
        <v>1355</v>
      </c>
      <c r="C1288" s="111" t="s">
        <v>421</v>
      </c>
      <c r="D1288" s="2" t="str">
        <f t="shared" ref="D1288:E1288" si="1286">TRIM(B1288)</f>
        <v>New Jersey</v>
      </c>
      <c r="E1288" s="2" t="str">
        <f t="shared" si="1286"/>
        <v>Lawrenceville</v>
      </c>
    </row>
    <row r="1289" spans="1:5">
      <c r="A1289" s="111" t="s">
        <v>12102</v>
      </c>
      <c r="B1289" s="111" t="s">
        <v>1355</v>
      </c>
      <c r="C1289" s="111" t="s">
        <v>12068</v>
      </c>
      <c r="D1289" s="2" t="str">
        <f t="shared" ref="D1289:E1289" si="1287">TRIM(B1289)</f>
        <v>New Jersey</v>
      </c>
      <c r="E1289" s="2" t="str">
        <f t="shared" si="1287"/>
        <v>Summit</v>
      </c>
    </row>
    <row r="1290" spans="1:5">
      <c r="A1290" s="111" t="s">
        <v>12104</v>
      </c>
      <c r="B1290" s="111" t="s">
        <v>1355</v>
      </c>
      <c r="C1290" s="111" t="s">
        <v>8356</v>
      </c>
      <c r="D1290" s="2" t="str">
        <f t="shared" ref="D1290:E1290" si="1288">TRIM(B1290)</f>
        <v>New Jersey</v>
      </c>
      <c r="E1290" s="2" t="str">
        <f t="shared" si="1288"/>
        <v>Newfield</v>
      </c>
    </row>
    <row r="1291" spans="1:5">
      <c r="A1291" s="111" t="s">
        <v>12107</v>
      </c>
      <c r="B1291" s="111" t="s">
        <v>1355</v>
      </c>
      <c r="C1291" s="111" t="s">
        <v>12109</v>
      </c>
      <c r="D1291" s="2" t="str">
        <f t="shared" ref="D1291:E1291" si="1289">TRIM(B1291)</f>
        <v>New Jersey</v>
      </c>
      <c r="E1291" s="2" t="str">
        <f t="shared" si="1289"/>
        <v>Haddonfield</v>
      </c>
    </row>
    <row r="1292" spans="1:5">
      <c r="A1292" s="111" t="s">
        <v>12111</v>
      </c>
      <c r="B1292" s="111" t="s">
        <v>1355</v>
      </c>
      <c r="C1292" s="111" t="s">
        <v>12112</v>
      </c>
      <c r="D1292" s="2" t="str">
        <f t="shared" ref="D1292:E1292" si="1290">TRIM(B1292)</f>
        <v>New Jersey</v>
      </c>
      <c r="E1292" s="2" t="str">
        <f t="shared" si="1290"/>
        <v>Hightstown</v>
      </c>
    </row>
    <row r="1293" spans="1:5">
      <c r="A1293" s="111" t="s">
        <v>12113</v>
      </c>
      <c r="B1293" s="111" t="s">
        <v>1355</v>
      </c>
      <c r="C1293" s="111" t="s">
        <v>413</v>
      </c>
      <c r="D1293" s="2" t="str">
        <f t="shared" ref="D1293:E1293" si="1291">TRIM(B1293)</f>
        <v>New Jersey</v>
      </c>
      <c r="E1293" s="2" t="str">
        <f t="shared" si="1291"/>
        <v>Wayne</v>
      </c>
    </row>
    <row r="1294" spans="1:5">
      <c r="A1294" s="111" t="s">
        <v>12115</v>
      </c>
      <c r="B1294" s="111" t="s">
        <v>1355</v>
      </c>
      <c r="C1294" s="111" t="s">
        <v>6448</v>
      </c>
      <c r="D1294" s="2" t="str">
        <f t="shared" ref="D1294:E1294" si="1292">TRIM(B1294)</f>
        <v>New Jersey</v>
      </c>
      <c r="E1294" s="2" t="str">
        <f t="shared" si="1292"/>
        <v>Princeton</v>
      </c>
    </row>
    <row r="1295" spans="1:5">
      <c r="A1295" s="111" t="s">
        <v>12118</v>
      </c>
      <c r="B1295" s="111" t="s">
        <v>1355</v>
      </c>
      <c r="C1295" s="111" t="s">
        <v>12119</v>
      </c>
      <c r="D1295" s="2" t="str">
        <f t="shared" ref="D1295:E1295" si="1293">TRIM(B1295)</f>
        <v>New Jersey</v>
      </c>
      <c r="E1295" s="2" t="str">
        <f t="shared" si="1293"/>
        <v>Pottersville</v>
      </c>
    </row>
    <row r="1296" spans="1:5">
      <c r="A1296" s="111" t="s">
        <v>12121</v>
      </c>
      <c r="B1296" s="111" t="s">
        <v>1355</v>
      </c>
      <c r="C1296" s="111" t="s">
        <v>12124</v>
      </c>
      <c r="D1296" s="2" t="str">
        <f t="shared" ref="D1296:E1296" si="1294">TRIM(B1296)</f>
        <v>New Jersey</v>
      </c>
      <c r="E1296" s="2" t="str">
        <f t="shared" si="1294"/>
        <v>Tinton Falls</v>
      </c>
    </row>
    <row r="1297" spans="1:5">
      <c r="A1297" s="111" t="s">
        <v>12127</v>
      </c>
      <c r="B1297" s="111" t="s">
        <v>1355</v>
      </c>
      <c r="C1297" s="111" t="s">
        <v>1068</v>
      </c>
      <c r="D1297" s="2" t="str">
        <f t="shared" ref="D1297:E1297" si="1295">TRIM(B1297)</f>
        <v>New Jersey</v>
      </c>
      <c r="E1297" s="2" t="str">
        <f t="shared" si="1295"/>
        <v>Somerset</v>
      </c>
    </row>
    <row r="1298" spans="1:5">
      <c r="A1298" s="111" t="s">
        <v>12131</v>
      </c>
      <c r="B1298" s="111" t="s">
        <v>1355</v>
      </c>
      <c r="C1298" s="111" t="s">
        <v>12132</v>
      </c>
      <c r="D1298" s="2" t="str">
        <f t="shared" ref="D1298:E1298" si="1296">TRIM(B1298)</f>
        <v>New Jersey</v>
      </c>
      <c r="E1298" s="2" t="str">
        <f t="shared" si="1296"/>
        <v>Saddle River</v>
      </c>
    </row>
    <row r="1299" spans="1:5">
      <c r="A1299" s="111" t="s">
        <v>12136</v>
      </c>
      <c r="B1299" s="111" t="s">
        <v>1355</v>
      </c>
      <c r="C1299" s="111" t="s">
        <v>12137</v>
      </c>
      <c r="D1299" s="2" t="str">
        <f t="shared" ref="D1299:E1299" si="1297">TRIM(B1299)</f>
        <v>New Jersey</v>
      </c>
      <c r="E1299" s="2" t="str">
        <f t="shared" si="1297"/>
        <v>West Orange</v>
      </c>
    </row>
    <row r="1300" spans="1:5">
      <c r="A1300" s="111" t="s">
        <v>12138</v>
      </c>
      <c r="B1300" s="111" t="s">
        <v>1355</v>
      </c>
      <c r="C1300" s="111" t="s">
        <v>12139</v>
      </c>
      <c r="D1300" s="2" t="str">
        <f t="shared" ref="D1300:E1300" si="1298">TRIM(B1300)</f>
        <v>New Jersey</v>
      </c>
      <c r="E1300" s="2" t="str">
        <f t="shared" si="1298"/>
        <v>Richland</v>
      </c>
    </row>
    <row r="1301" spans="1:5">
      <c r="A1301" s="76" t="s">
        <v>12143</v>
      </c>
      <c r="B1301" s="111" t="s">
        <v>1355</v>
      </c>
      <c r="C1301" s="111" t="s">
        <v>499</v>
      </c>
      <c r="D1301" s="2" t="str">
        <f t="shared" ref="D1301:E1301" si="1299">TRIM(B1301)</f>
        <v>New Jersey</v>
      </c>
      <c r="E1301" s="2" t="str">
        <f t="shared" si="1299"/>
        <v>Newark</v>
      </c>
    </row>
    <row r="1302" spans="1:5">
      <c r="A1302" s="111" t="s">
        <v>12146</v>
      </c>
      <c r="B1302" s="111" t="s">
        <v>1355</v>
      </c>
      <c r="C1302" s="111" t="s">
        <v>12147</v>
      </c>
      <c r="D1302" s="2" t="str">
        <f t="shared" ref="D1302:E1302" si="1300">TRIM(B1302)</f>
        <v>New Jersey</v>
      </c>
      <c r="E1302" s="2" t="str">
        <f t="shared" si="1300"/>
        <v>Jersey City</v>
      </c>
    </row>
    <row r="1303" spans="1:5">
      <c r="A1303" s="111" t="s">
        <v>12150</v>
      </c>
      <c r="B1303" s="111" t="s">
        <v>1355</v>
      </c>
      <c r="C1303" s="111" t="s">
        <v>8012</v>
      </c>
      <c r="D1303" s="2" t="str">
        <f t="shared" ref="D1303:E1303" si="1301">TRIM(B1303)</f>
        <v>New Jersey</v>
      </c>
      <c r="E1303" s="2" t="str">
        <f t="shared" si="1301"/>
        <v>Holmdel</v>
      </c>
    </row>
    <row r="1304" spans="1:5">
      <c r="A1304" s="111" t="s">
        <v>9606</v>
      </c>
      <c r="B1304" s="111" t="s">
        <v>1355</v>
      </c>
      <c r="C1304" s="111" t="s">
        <v>12155</v>
      </c>
      <c r="D1304" s="2" t="str">
        <f t="shared" ref="D1304:E1304" si="1302">TRIM(B1304)</f>
        <v>New Jersey</v>
      </c>
      <c r="E1304" s="2" t="str">
        <f t="shared" si="1302"/>
        <v>Hammonton</v>
      </c>
    </row>
    <row r="1305" spans="1:5">
      <c r="A1305" s="111" t="s">
        <v>9606</v>
      </c>
      <c r="B1305" s="111" t="s">
        <v>1355</v>
      </c>
      <c r="C1305" s="111" t="s">
        <v>12157</v>
      </c>
      <c r="D1305" s="2" t="str">
        <f t="shared" ref="D1305:E1305" si="1303">TRIM(B1305)</f>
        <v>New Jersey</v>
      </c>
      <c r="E1305" s="2" t="str">
        <f t="shared" si="1303"/>
        <v>Metuchen</v>
      </c>
    </row>
    <row r="1306" spans="1:5">
      <c r="A1306" s="111" t="s">
        <v>12159</v>
      </c>
      <c r="B1306" s="111" t="s">
        <v>1355</v>
      </c>
      <c r="C1306" s="111" t="s">
        <v>12160</v>
      </c>
      <c r="D1306" s="2" t="str">
        <f t="shared" ref="D1306:E1306" si="1304">TRIM(B1306)</f>
        <v>New Jersey</v>
      </c>
      <c r="E1306" s="2" t="str">
        <f t="shared" si="1304"/>
        <v>Rutherford</v>
      </c>
    </row>
    <row r="1307" spans="1:5">
      <c r="A1307" s="111" t="s">
        <v>12163</v>
      </c>
      <c r="B1307" s="111" t="s">
        <v>1355</v>
      </c>
      <c r="C1307" s="111" t="s">
        <v>854</v>
      </c>
      <c r="D1307" s="2" t="str">
        <f t="shared" ref="D1307:E1307" si="1305">TRIM(B1307)</f>
        <v>New Jersey</v>
      </c>
      <c r="E1307" s="2" t="str">
        <f t="shared" si="1305"/>
        <v>Elizabeth</v>
      </c>
    </row>
    <row r="1308" spans="1:5">
      <c r="A1308" s="111" t="s">
        <v>12165</v>
      </c>
      <c r="B1308" s="111" t="s">
        <v>1355</v>
      </c>
      <c r="C1308" s="111" t="s">
        <v>12147</v>
      </c>
      <c r="D1308" s="2" t="str">
        <f t="shared" ref="D1308:E1308" si="1306">TRIM(B1308)</f>
        <v>New Jersey</v>
      </c>
      <c r="E1308" s="2" t="str">
        <f t="shared" si="1306"/>
        <v>Jersey City</v>
      </c>
    </row>
    <row r="1309" spans="1:5">
      <c r="A1309" s="111" t="s">
        <v>12168</v>
      </c>
      <c r="B1309" s="111" t="s">
        <v>1355</v>
      </c>
      <c r="C1309" s="111" t="s">
        <v>499</v>
      </c>
      <c r="D1309" s="2" t="str">
        <f t="shared" ref="D1309:E1309" si="1307">TRIM(B1309)</f>
        <v>New Jersey</v>
      </c>
      <c r="E1309" s="2" t="str">
        <f t="shared" si="1307"/>
        <v>Newark</v>
      </c>
    </row>
    <row r="1310" spans="1:5">
      <c r="A1310" s="111" t="s">
        <v>12173</v>
      </c>
      <c r="B1310" s="111" t="s">
        <v>1355</v>
      </c>
      <c r="C1310" s="111" t="s">
        <v>12174</v>
      </c>
      <c r="D1310" s="2" t="str">
        <f t="shared" ref="D1310:E1310" si="1308">TRIM(B1310)</f>
        <v>New Jersey</v>
      </c>
      <c r="E1310" s="2" t="str">
        <f t="shared" si="1308"/>
        <v>Paramus</v>
      </c>
    </row>
    <row r="1311" spans="1:5">
      <c r="A1311" s="111" t="s">
        <v>12177</v>
      </c>
      <c r="B1311" s="111" t="s">
        <v>1355</v>
      </c>
      <c r="C1311" s="111" t="s">
        <v>12180</v>
      </c>
      <c r="D1311" s="2" t="str">
        <f t="shared" ref="D1311:E1311" si="1309">TRIM(B1311)</f>
        <v>New Jersey</v>
      </c>
      <c r="E1311" s="2" t="str">
        <f t="shared" si="1309"/>
        <v>Hoboken</v>
      </c>
    </row>
    <row r="1312" spans="1:5">
      <c r="A1312" s="111" t="s">
        <v>12183</v>
      </c>
      <c r="B1312" s="111" t="s">
        <v>1355</v>
      </c>
      <c r="C1312" s="111" t="s">
        <v>6448</v>
      </c>
      <c r="D1312" s="2" t="str">
        <f t="shared" ref="D1312:E1312" si="1310">TRIM(B1312)</f>
        <v>New Jersey</v>
      </c>
      <c r="E1312" s="2" t="str">
        <f t="shared" si="1310"/>
        <v>Princeton</v>
      </c>
    </row>
    <row r="1313" spans="1:5">
      <c r="A1313" s="111" t="s">
        <v>12185</v>
      </c>
      <c r="B1313" s="111" t="s">
        <v>1355</v>
      </c>
      <c r="C1313" s="111" t="s">
        <v>421</v>
      </c>
      <c r="D1313" s="2" t="str">
        <f t="shared" ref="D1313:E1313" si="1311">TRIM(B1313)</f>
        <v>New Jersey</v>
      </c>
      <c r="E1313" s="2" t="str">
        <f t="shared" si="1311"/>
        <v>Lawrenceville</v>
      </c>
    </row>
    <row r="1314" spans="1:5">
      <c r="A1314" s="111" t="s">
        <v>12188</v>
      </c>
      <c r="B1314" s="111" t="s">
        <v>1355</v>
      </c>
      <c r="C1314" s="112" t="s">
        <v>374</v>
      </c>
      <c r="D1314" s="2" t="str">
        <f t="shared" ref="D1314:E1314" si="1312">TRIM(B1314)</f>
        <v>New Jersey</v>
      </c>
      <c r="E1314" s="2" t="str">
        <f t="shared" si="1312"/>
        <v>Montclair</v>
      </c>
    </row>
    <row r="1315" spans="1:5">
      <c r="A1315" s="111" t="s">
        <v>12192</v>
      </c>
      <c r="B1315" s="111" t="s">
        <v>1355</v>
      </c>
      <c r="C1315" s="111" t="s">
        <v>12004</v>
      </c>
      <c r="D1315" s="2" t="str">
        <f t="shared" ref="D1315:E1315" si="1313">TRIM(B1315)</f>
        <v>New Jersey</v>
      </c>
      <c r="E1315" s="2" t="str">
        <f t="shared" si="1313"/>
        <v>Morristown</v>
      </c>
    </row>
    <row r="1316" spans="1:5">
      <c r="A1316" s="111" t="s">
        <v>12195</v>
      </c>
      <c r="B1316" s="111" t="s">
        <v>1355</v>
      </c>
      <c r="C1316" s="111" t="s">
        <v>12196</v>
      </c>
      <c r="D1316" s="2" t="str">
        <f t="shared" ref="D1316:E1316" si="1314">TRIM(B1316)</f>
        <v>New Jersey</v>
      </c>
      <c r="E1316" s="2" t="str">
        <f t="shared" si="1314"/>
        <v>Pennington</v>
      </c>
    </row>
    <row r="1317" spans="1:5">
      <c r="A1317" s="111" t="s">
        <v>12200</v>
      </c>
      <c r="B1317" s="111" t="s">
        <v>1355</v>
      </c>
      <c r="C1317" s="111" t="s">
        <v>12201</v>
      </c>
      <c r="D1317" s="2" t="str">
        <f t="shared" ref="D1317:E1317" si="1315">TRIM(B1317)</f>
        <v>New Jersey</v>
      </c>
      <c r="E1317" s="2" t="str">
        <f t="shared" si="1315"/>
        <v>Egg Harbor City</v>
      </c>
    </row>
    <row r="1318" spans="1:5">
      <c r="A1318" s="111" t="s">
        <v>12202</v>
      </c>
      <c r="B1318" s="111" t="s">
        <v>1355</v>
      </c>
      <c r="C1318" s="111" t="s">
        <v>12203</v>
      </c>
      <c r="D1318" s="2" t="str">
        <f t="shared" ref="D1318:E1318" si="1316">TRIM(B1318)</f>
        <v>New Jersey</v>
      </c>
      <c r="E1318" s="2" t="str">
        <f t="shared" si="1316"/>
        <v>Basking Ridge</v>
      </c>
    </row>
    <row r="1319" spans="1:5">
      <c r="A1319" s="111" t="s">
        <v>12206</v>
      </c>
      <c r="B1319" s="111" t="s">
        <v>1355</v>
      </c>
      <c r="C1319" s="111" t="s">
        <v>773</v>
      </c>
      <c r="D1319" s="2" t="str">
        <f t="shared" ref="D1319:E1319" si="1317">TRIM(B1319)</f>
        <v>New Jersey</v>
      </c>
      <c r="E1319" s="2" t="str">
        <f t="shared" si="1317"/>
        <v>Camden</v>
      </c>
    </row>
    <row r="1320" spans="1:5">
      <c r="A1320" s="111" t="s">
        <v>12209</v>
      </c>
      <c r="B1320" s="111" t="s">
        <v>1355</v>
      </c>
      <c r="C1320" s="111" t="s">
        <v>12210</v>
      </c>
      <c r="D1320" s="2" t="str">
        <f t="shared" ref="D1320:E1320" si="1318">TRIM(B1320)</f>
        <v>New Jersey</v>
      </c>
      <c r="E1320" s="2" t="str">
        <f t="shared" si="1318"/>
        <v>Ewing</v>
      </c>
    </row>
    <row r="1321" spans="1:5">
      <c r="A1321" s="111" t="s">
        <v>12211</v>
      </c>
      <c r="B1321" s="111" t="s">
        <v>1355</v>
      </c>
      <c r="C1321" s="111" t="s">
        <v>12004</v>
      </c>
      <c r="D1321" s="2" t="str">
        <f t="shared" ref="D1321:E1321" si="1319">TRIM(B1321)</f>
        <v>New Jersey</v>
      </c>
      <c r="E1321" s="2" t="str">
        <f t="shared" si="1319"/>
        <v>Morristown</v>
      </c>
    </row>
    <row r="1322" spans="1:5">
      <c r="A1322" s="76" t="s">
        <v>12212</v>
      </c>
      <c r="B1322" s="111" t="s">
        <v>1355</v>
      </c>
      <c r="C1322" s="111" t="s">
        <v>12213</v>
      </c>
      <c r="D1322" s="2" t="str">
        <f t="shared" ref="D1322:E1322" si="1320">TRIM(B1322)</f>
        <v>New Jersey</v>
      </c>
      <c r="E1322" s="2" t="str">
        <f t="shared" si="1320"/>
        <v>Eatontown</v>
      </c>
    </row>
    <row r="1323" spans="1:5">
      <c r="A1323" s="111" t="s">
        <v>12215</v>
      </c>
      <c r="B1323" s="111" t="s">
        <v>1355</v>
      </c>
      <c r="C1323" s="113" t="s">
        <v>12216</v>
      </c>
      <c r="D1323" s="2" t="str">
        <f t="shared" ref="D1323:E1323" si="1321">TRIM(B1323)</f>
        <v>New Jersey</v>
      </c>
      <c r="E1323" s="2" t="str">
        <f t="shared" si="1321"/>
        <v>Princeton Junction</v>
      </c>
    </row>
    <row r="1324" spans="1:5">
      <c r="A1324" s="111" t="s">
        <v>12217</v>
      </c>
      <c r="B1324" s="111" t="s">
        <v>1356</v>
      </c>
      <c r="C1324" s="111" t="s">
        <v>12218</v>
      </c>
      <c r="D1324" s="2" t="str">
        <f t="shared" ref="D1324:E1324" si="1322">TRIM(B1324)</f>
        <v>New Mexico</v>
      </c>
      <c r="E1324" s="2" t="str">
        <f t="shared" si="1322"/>
        <v>Albuquerque</v>
      </c>
    </row>
    <row r="1325" spans="1:5">
      <c r="A1325" s="111" t="s">
        <v>12221</v>
      </c>
      <c r="B1325" s="111" t="s">
        <v>1356</v>
      </c>
      <c r="C1325" s="111" t="s">
        <v>12222</v>
      </c>
      <c r="D1325" s="2" t="str">
        <f t="shared" ref="D1325:E1325" si="1323">TRIM(B1325)</f>
        <v>New Mexico</v>
      </c>
      <c r="E1325" s="2" t="str">
        <f t="shared" si="1323"/>
        <v>Eunice</v>
      </c>
    </row>
    <row r="1326" spans="1:5">
      <c r="A1326" s="111" t="s">
        <v>12224</v>
      </c>
      <c r="B1326" s="111" t="s">
        <v>1356</v>
      </c>
      <c r="C1326" s="111" t="s">
        <v>12218</v>
      </c>
      <c r="D1326" s="2" t="str">
        <f t="shared" ref="D1326:E1326" si="1324">TRIM(B1326)</f>
        <v>New Mexico</v>
      </c>
      <c r="E1326" s="2" t="str">
        <f t="shared" si="1324"/>
        <v>Albuquerque</v>
      </c>
    </row>
    <row r="1327" spans="1:5">
      <c r="A1327" s="111" t="s">
        <v>12226</v>
      </c>
      <c r="B1327" s="111" t="s">
        <v>1356</v>
      </c>
      <c r="C1327" s="111" t="s">
        <v>12218</v>
      </c>
      <c r="D1327" s="2" t="str">
        <f t="shared" ref="D1327:E1327" si="1325">TRIM(B1327)</f>
        <v>New Mexico</v>
      </c>
      <c r="E1327" s="2" t="str">
        <f t="shared" si="1325"/>
        <v>Albuquerque</v>
      </c>
    </row>
    <row r="1328" spans="1:5">
      <c r="A1328" s="111" t="s">
        <v>12228</v>
      </c>
      <c r="B1328" s="111" t="s">
        <v>1356</v>
      </c>
      <c r="C1328" s="111" t="s">
        <v>12218</v>
      </c>
      <c r="D1328" s="2" t="str">
        <f t="shared" ref="D1328:E1328" si="1326">TRIM(B1328)</f>
        <v>New Mexico</v>
      </c>
      <c r="E1328" s="2" t="str">
        <f t="shared" si="1326"/>
        <v>Albuquerque</v>
      </c>
    </row>
    <row r="1329" spans="1:5">
      <c r="A1329" s="111" t="s">
        <v>12229</v>
      </c>
      <c r="B1329" s="111" t="s">
        <v>1356</v>
      </c>
      <c r="C1329" s="111" t="s">
        <v>12230</v>
      </c>
      <c r="D1329" s="2" t="str">
        <f t="shared" ref="D1329:E1329" si="1327">TRIM(B1329)</f>
        <v>New Mexico</v>
      </c>
      <c r="E1329" s="2" t="str">
        <f t="shared" si="1327"/>
        <v>Corrales</v>
      </c>
    </row>
    <row r="1330" spans="1:5">
      <c r="A1330" s="111" t="s">
        <v>12232</v>
      </c>
      <c r="B1330" s="111" t="s">
        <v>1356</v>
      </c>
      <c r="C1330" s="111" t="s">
        <v>2892</v>
      </c>
      <c r="D1330" s="2" t="str">
        <f t="shared" ref="D1330:E1330" si="1328">TRIM(B1330)</f>
        <v>New Mexico</v>
      </c>
      <c r="E1330" s="2" t="str">
        <f t="shared" si="1328"/>
        <v>Santa Fe</v>
      </c>
    </row>
    <row r="1331" spans="1:5">
      <c r="A1331" s="111" t="s">
        <v>11845</v>
      </c>
      <c r="B1331" s="111" t="s">
        <v>1356</v>
      </c>
      <c r="C1331" s="112" t="s">
        <v>12218</v>
      </c>
      <c r="D1331" s="2" t="str">
        <f t="shared" ref="D1331:E1331" si="1329">TRIM(B1331)</f>
        <v>New Mexico</v>
      </c>
      <c r="E1331" s="2" t="str">
        <f t="shared" si="1329"/>
        <v>Albuquerque</v>
      </c>
    </row>
    <row r="1332" spans="1:5">
      <c r="A1332" s="111" t="s">
        <v>12237</v>
      </c>
      <c r="B1332" s="111" t="s">
        <v>1356</v>
      </c>
      <c r="C1332" s="111" t="s">
        <v>11099</v>
      </c>
      <c r="D1332" s="2" t="str">
        <f t="shared" ref="D1332:E1332" si="1330">TRIM(B1332)</f>
        <v>New Mexico</v>
      </c>
      <c r="E1332" s="2" t="str">
        <f t="shared" si="1330"/>
        <v>Montezuma</v>
      </c>
    </row>
    <row r="1333" spans="1:5">
      <c r="A1333" s="111" t="s">
        <v>12239</v>
      </c>
      <c r="B1333" s="111" t="s">
        <v>188</v>
      </c>
      <c r="C1333" s="111" t="s">
        <v>188</v>
      </c>
      <c r="D1333" s="2" t="str">
        <f t="shared" ref="D1333:E1333" si="1331">TRIM(B1333)</f>
        <v>New York</v>
      </c>
      <c r="E1333" s="2" t="str">
        <f t="shared" si="1331"/>
        <v>New York</v>
      </c>
    </row>
    <row r="1334" spans="1:5">
      <c r="A1334" s="111" t="s">
        <v>12240</v>
      </c>
      <c r="B1334" s="111" t="s">
        <v>188</v>
      </c>
      <c r="C1334" s="111" t="s">
        <v>553</v>
      </c>
      <c r="D1334" s="2" t="str">
        <f t="shared" ref="D1334:E1334" si="1332">TRIM(B1334)</f>
        <v>New York</v>
      </c>
      <c r="E1334" s="2" t="str">
        <f t="shared" si="1332"/>
        <v>Bronx</v>
      </c>
    </row>
    <row r="1335" spans="1:5">
      <c r="A1335" s="111" t="s">
        <v>12242</v>
      </c>
      <c r="B1335" s="111" t="s">
        <v>188</v>
      </c>
      <c r="C1335" s="111" t="s">
        <v>182</v>
      </c>
      <c r="D1335" s="2" t="str">
        <f t="shared" ref="D1335:E1335" si="1333">TRIM(B1335)</f>
        <v>New York</v>
      </c>
      <c r="E1335" s="2" t="str">
        <f t="shared" si="1333"/>
        <v>Albany</v>
      </c>
    </row>
    <row r="1336" spans="1:5">
      <c r="A1336" s="111" t="s">
        <v>12242</v>
      </c>
      <c r="B1336" s="111" t="s">
        <v>188</v>
      </c>
      <c r="C1336" s="111" t="s">
        <v>182</v>
      </c>
      <c r="D1336" s="2" t="str">
        <f t="shared" ref="D1336:E1336" si="1334">TRIM(B1336)</f>
        <v>New York</v>
      </c>
      <c r="E1336" s="2" t="str">
        <f t="shared" si="1334"/>
        <v>Albany</v>
      </c>
    </row>
    <row r="1337" spans="1:5">
      <c r="A1337" s="111" t="s">
        <v>12245</v>
      </c>
      <c r="B1337" s="111" t="s">
        <v>188</v>
      </c>
      <c r="C1337" s="111" t="s">
        <v>12246</v>
      </c>
      <c r="D1337" s="2" t="str">
        <f t="shared" ref="D1337:E1337" si="1335">TRIM(B1337)</f>
        <v>New York</v>
      </c>
      <c r="E1337" s="2" t="str">
        <f t="shared" si="1335"/>
        <v>Bardonia</v>
      </c>
    </row>
    <row r="1338" spans="1:5">
      <c r="A1338" s="111" t="s">
        <v>12248</v>
      </c>
      <c r="B1338" s="111" t="s">
        <v>188</v>
      </c>
      <c r="C1338" s="111" t="s">
        <v>553</v>
      </c>
      <c r="D1338" s="2" t="str">
        <f t="shared" ref="D1338:E1338" si="1336">TRIM(B1338)</f>
        <v>New York</v>
      </c>
      <c r="E1338" s="2" t="str">
        <f t="shared" si="1336"/>
        <v>Bronx</v>
      </c>
    </row>
    <row r="1339" spans="1:5">
      <c r="A1339" s="111" t="s">
        <v>12250</v>
      </c>
      <c r="B1339" s="111" t="s">
        <v>188</v>
      </c>
      <c r="C1339" s="111" t="s">
        <v>11566</v>
      </c>
      <c r="D1339" s="2" t="str">
        <f t="shared" ref="D1339:E1339" si="1337">TRIM(B1339)</f>
        <v>New York</v>
      </c>
      <c r="E1339" s="2" t="str">
        <f t="shared" si="1337"/>
        <v>Rochester</v>
      </c>
    </row>
    <row r="1340" spans="1:5">
      <c r="A1340" s="111" t="s">
        <v>12252</v>
      </c>
      <c r="B1340" s="111" t="s">
        <v>188</v>
      </c>
      <c r="C1340" s="111" t="s">
        <v>12254</v>
      </c>
      <c r="D1340" s="2" t="str">
        <f t="shared" ref="D1340:E1340" si="1338">TRIM(B1340)</f>
        <v>New York</v>
      </c>
      <c r="E1340" s="2" t="str">
        <f t="shared" si="1338"/>
        <v>Yonkers</v>
      </c>
    </row>
    <row r="1341" spans="1:5">
      <c r="A1341" s="111" t="s">
        <v>9163</v>
      </c>
      <c r="B1341" s="111" t="s">
        <v>188</v>
      </c>
      <c r="C1341" s="111" t="s">
        <v>553</v>
      </c>
      <c r="D1341" s="2" t="str">
        <f t="shared" ref="D1341:E1341" si="1339">TRIM(B1341)</f>
        <v>New York</v>
      </c>
      <c r="E1341" s="2" t="str">
        <f t="shared" si="1339"/>
        <v>Bronx</v>
      </c>
    </row>
    <row r="1342" spans="1:5">
      <c r="A1342" s="111" t="s">
        <v>12257</v>
      </c>
      <c r="B1342" s="111" t="s">
        <v>188</v>
      </c>
      <c r="C1342" s="111" t="s">
        <v>11566</v>
      </c>
      <c r="D1342" s="2" t="str">
        <f t="shared" ref="D1342:E1342" si="1340">TRIM(B1342)</f>
        <v>New York</v>
      </c>
      <c r="E1342" s="2" t="str">
        <f t="shared" si="1340"/>
        <v>Rochester</v>
      </c>
    </row>
    <row r="1343" spans="1:5">
      <c r="A1343" s="111" t="s">
        <v>12259</v>
      </c>
      <c r="B1343" s="111" t="s">
        <v>188</v>
      </c>
      <c r="C1343" s="111" t="s">
        <v>12260</v>
      </c>
      <c r="D1343" s="2" t="str">
        <f t="shared" ref="D1343:E1343" si="1341">TRIM(B1343)</f>
        <v>New York</v>
      </c>
      <c r="E1343" s="2" t="str">
        <f t="shared" si="1341"/>
        <v>Briarwood</v>
      </c>
    </row>
    <row r="1344" spans="1:5">
      <c r="A1344" s="111" t="s">
        <v>12262</v>
      </c>
      <c r="B1344" s="111" t="s">
        <v>188</v>
      </c>
      <c r="C1344" s="111" t="s">
        <v>11163</v>
      </c>
      <c r="D1344" s="2" t="str">
        <f t="shared" ref="D1344:E1344" si="1342">TRIM(B1344)</f>
        <v>New York</v>
      </c>
      <c r="E1344" s="2" t="str">
        <f t="shared" si="1342"/>
        <v>White Plains</v>
      </c>
    </row>
    <row r="1345" spans="1:5">
      <c r="A1345" s="111" t="s">
        <v>12264</v>
      </c>
      <c r="B1345" s="111" t="s">
        <v>188</v>
      </c>
      <c r="C1345" s="111" t="s">
        <v>326</v>
      </c>
      <c r="D1345" s="2" t="str">
        <f t="shared" ref="D1345:E1345" si="1343">TRIM(B1345)</f>
        <v>New York</v>
      </c>
      <c r="E1345" s="2" t="str">
        <f t="shared" si="1343"/>
        <v>Brooklyn</v>
      </c>
    </row>
    <row r="1346" spans="1:5">
      <c r="A1346" s="111" t="s">
        <v>12266</v>
      </c>
      <c r="B1346" s="111" t="s">
        <v>188</v>
      </c>
      <c r="C1346" s="111" t="s">
        <v>12267</v>
      </c>
      <c r="D1346" s="2" t="str">
        <f t="shared" ref="D1346:E1346" si="1344">TRIM(B1346)</f>
        <v>New York</v>
      </c>
      <c r="E1346" s="2" t="str">
        <f t="shared" si="1344"/>
        <v>Mechanicville</v>
      </c>
    </row>
    <row r="1347" spans="1:5">
      <c r="A1347" s="111" t="s">
        <v>12269</v>
      </c>
      <c r="B1347" s="111" t="s">
        <v>188</v>
      </c>
      <c r="C1347" s="111" t="s">
        <v>188</v>
      </c>
      <c r="D1347" s="2" t="str">
        <f t="shared" ref="D1347:E1347" si="1345">TRIM(B1347)</f>
        <v>New York</v>
      </c>
      <c r="E1347" s="2" t="str">
        <f t="shared" si="1345"/>
        <v>New York</v>
      </c>
    </row>
    <row r="1348" spans="1:5">
      <c r="A1348" s="111" t="s">
        <v>12271</v>
      </c>
      <c r="B1348" s="111" t="s">
        <v>188</v>
      </c>
      <c r="C1348" s="111" t="s">
        <v>326</v>
      </c>
      <c r="D1348" s="2" t="str">
        <f t="shared" ref="D1348:E1348" si="1346">TRIM(B1348)</f>
        <v>New York</v>
      </c>
      <c r="E1348" s="2" t="str">
        <f t="shared" si="1346"/>
        <v>Brooklyn</v>
      </c>
    </row>
    <row r="1349" spans="1:5">
      <c r="A1349" s="111" t="s">
        <v>12273</v>
      </c>
      <c r="B1349" s="111" t="s">
        <v>188</v>
      </c>
      <c r="C1349" s="111" t="s">
        <v>326</v>
      </c>
      <c r="D1349" s="2" t="str">
        <f t="shared" ref="D1349:E1349" si="1347">TRIM(B1349)</f>
        <v>New York</v>
      </c>
      <c r="E1349" s="2" t="str">
        <f t="shared" si="1347"/>
        <v>Brooklyn</v>
      </c>
    </row>
    <row r="1350" spans="1:5">
      <c r="A1350" s="111" t="s">
        <v>12276</v>
      </c>
      <c r="B1350" s="111" t="s">
        <v>188</v>
      </c>
      <c r="C1350" s="111" t="s">
        <v>326</v>
      </c>
      <c r="D1350" s="2" t="str">
        <f t="shared" ref="D1350:E1350" si="1348">TRIM(B1350)</f>
        <v>New York</v>
      </c>
      <c r="E1350" s="2" t="str">
        <f t="shared" si="1348"/>
        <v>Brooklyn</v>
      </c>
    </row>
    <row r="1351" spans="1:5">
      <c r="A1351" s="111" t="s">
        <v>12278</v>
      </c>
      <c r="B1351" s="111" t="s">
        <v>188</v>
      </c>
      <c r="C1351" s="111" t="s">
        <v>326</v>
      </c>
      <c r="D1351" s="2" t="str">
        <f t="shared" ref="D1351:E1351" si="1349">TRIM(B1351)</f>
        <v>New York</v>
      </c>
      <c r="E1351" s="2" t="str">
        <f t="shared" si="1349"/>
        <v>Brooklyn</v>
      </c>
    </row>
    <row r="1352" spans="1:5">
      <c r="A1352" s="111" t="s">
        <v>12280</v>
      </c>
      <c r="B1352" s="111" t="s">
        <v>188</v>
      </c>
      <c r="C1352" s="111" t="s">
        <v>326</v>
      </c>
      <c r="D1352" s="2" t="str">
        <f t="shared" ref="D1352:E1352" si="1350">TRIM(B1352)</f>
        <v>New York</v>
      </c>
      <c r="E1352" s="2" t="str">
        <f t="shared" si="1350"/>
        <v>Brooklyn</v>
      </c>
    </row>
    <row r="1353" spans="1:5">
      <c r="A1353" s="111" t="s">
        <v>12282</v>
      </c>
      <c r="B1353" s="111" t="s">
        <v>188</v>
      </c>
      <c r="C1353" s="111" t="s">
        <v>12283</v>
      </c>
      <c r="D1353" s="2" t="str">
        <f t="shared" ref="D1353:E1353" si="1351">TRIM(B1353)</f>
        <v>New York</v>
      </c>
      <c r="E1353" s="2" t="str">
        <f t="shared" si="1351"/>
        <v>Rock Tavern</v>
      </c>
    </row>
    <row r="1354" spans="1:5">
      <c r="A1354" s="111" t="s">
        <v>12285</v>
      </c>
      <c r="B1354" s="111" t="s">
        <v>188</v>
      </c>
      <c r="C1354" s="111" t="s">
        <v>12286</v>
      </c>
      <c r="D1354" s="2" t="str">
        <f t="shared" ref="D1354:E1354" si="1352">TRIM(B1354)</f>
        <v>New York</v>
      </c>
      <c r="E1354" s="2" t="str">
        <f t="shared" si="1352"/>
        <v>East Syracuse</v>
      </c>
    </row>
    <row r="1355" spans="1:5">
      <c r="A1355" s="111" t="s">
        <v>12288</v>
      </c>
      <c r="B1355" s="111" t="s">
        <v>188</v>
      </c>
      <c r="C1355" s="111" t="s">
        <v>11566</v>
      </c>
      <c r="D1355" s="2" t="str">
        <f t="shared" ref="D1355:E1355" si="1353">TRIM(B1355)</f>
        <v>New York</v>
      </c>
      <c r="E1355" s="2" t="str">
        <f t="shared" si="1353"/>
        <v>Rochester</v>
      </c>
    </row>
    <row r="1356" spans="1:5">
      <c r="A1356" s="111" t="s">
        <v>12288</v>
      </c>
      <c r="B1356" s="111" t="s">
        <v>188</v>
      </c>
      <c r="C1356" s="111" t="s">
        <v>326</v>
      </c>
      <c r="D1356" s="2" t="str">
        <f t="shared" ref="D1356:E1356" si="1354">TRIM(B1356)</f>
        <v>New York</v>
      </c>
      <c r="E1356" s="2" t="str">
        <f t="shared" si="1354"/>
        <v>Brooklyn</v>
      </c>
    </row>
    <row r="1357" spans="1:5">
      <c r="A1357" s="111" t="s">
        <v>12290</v>
      </c>
      <c r="B1357" s="111" t="s">
        <v>188</v>
      </c>
      <c r="C1357" s="111" t="s">
        <v>326</v>
      </c>
      <c r="D1357" s="2" t="str">
        <f t="shared" ref="D1357:E1357" si="1355">TRIM(B1357)</f>
        <v>New York</v>
      </c>
      <c r="E1357" s="2" t="str">
        <f t="shared" si="1355"/>
        <v>Brooklyn</v>
      </c>
    </row>
    <row r="1358" spans="1:5">
      <c r="A1358" s="111" t="s">
        <v>12292</v>
      </c>
      <c r="B1358" s="111" t="s">
        <v>188</v>
      </c>
      <c r="C1358" s="111" t="s">
        <v>12293</v>
      </c>
      <c r="D1358" s="2" t="str">
        <f t="shared" ref="D1358:E1358" si="1356">TRIM(B1358)</f>
        <v>New York</v>
      </c>
      <c r="E1358" s="2" t="str">
        <f t="shared" si="1356"/>
        <v>Syracuse</v>
      </c>
    </row>
    <row r="1359" spans="1:5">
      <c r="A1359" s="111" t="s">
        <v>12295</v>
      </c>
      <c r="B1359" s="111" t="s">
        <v>188</v>
      </c>
      <c r="C1359" s="111" t="s">
        <v>182</v>
      </c>
      <c r="D1359" s="2" t="str">
        <f t="shared" ref="D1359:E1359" si="1357">TRIM(B1359)</f>
        <v>New York</v>
      </c>
      <c r="E1359" s="2" t="str">
        <f t="shared" si="1357"/>
        <v>Albany</v>
      </c>
    </row>
    <row r="1360" spans="1:5">
      <c r="A1360" s="111" t="s">
        <v>12297</v>
      </c>
      <c r="B1360" s="111" t="s">
        <v>188</v>
      </c>
      <c r="C1360" s="111" t="s">
        <v>579</v>
      </c>
      <c r="D1360" s="2" t="str">
        <f t="shared" ref="D1360:E1360" si="1358">TRIM(B1360)</f>
        <v>New York</v>
      </c>
      <c r="E1360" s="2" t="str">
        <f t="shared" si="1358"/>
        <v>Riverhead</v>
      </c>
    </row>
    <row r="1361" spans="1:5">
      <c r="A1361" s="111" t="s">
        <v>12299</v>
      </c>
      <c r="B1361" s="111" t="s">
        <v>188</v>
      </c>
      <c r="C1361" s="111" t="s">
        <v>12129</v>
      </c>
      <c r="D1361" s="2" t="str">
        <f t="shared" ref="D1361:E1361" si="1359">TRIM(B1361)</f>
        <v>New York</v>
      </c>
      <c r="E1361" s="2" t="str">
        <f t="shared" si="1359"/>
        <v>Buffalo</v>
      </c>
    </row>
    <row r="1362" spans="1:5">
      <c r="A1362" s="111" t="s">
        <v>12300</v>
      </c>
      <c r="B1362" s="111" t="s">
        <v>188</v>
      </c>
      <c r="C1362" s="111" t="s">
        <v>326</v>
      </c>
      <c r="D1362" s="2" t="str">
        <f t="shared" ref="D1362:E1362" si="1360">TRIM(B1362)</f>
        <v>New York</v>
      </c>
      <c r="E1362" s="2" t="str">
        <f t="shared" si="1360"/>
        <v>Brooklyn</v>
      </c>
    </row>
    <row r="1363" spans="1:5">
      <c r="A1363" s="111" t="s">
        <v>12302</v>
      </c>
      <c r="B1363" s="111" t="s">
        <v>188</v>
      </c>
      <c r="C1363" s="111" t="s">
        <v>326</v>
      </c>
      <c r="D1363" s="2" t="str">
        <f t="shared" ref="D1363:E1363" si="1361">TRIM(B1363)</f>
        <v>New York</v>
      </c>
      <c r="E1363" s="2" t="str">
        <f t="shared" si="1361"/>
        <v>Brooklyn</v>
      </c>
    </row>
    <row r="1364" spans="1:5">
      <c r="A1364" s="111" t="s">
        <v>12304</v>
      </c>
      <c r="B1364" s="111" t="s">
        <v>188</v>
      </c>
      <c r="C1364" s="111" t="s">
        <v>12129</v>
      </c>
      <c r="D1364" s="2" t="str">
        <f t="shared" ref="D1364:E1364" si="1362">TRIM(B1364)</f>
        <v>New York</v>
      </c>
      <c r="E1364" s="2" t="str">
        <f t="shared" si="1362"/>
        <v>Buffalo</v>
      </c>
    </row>
    <row r="1365" spans="1:5">
      <c r="A1365" s="111" t="s">
        <v>12305</v>
      </c>
      <c r="B1365" s="111" t="s">
        <v>188</v>
      </c>
      <c r="C1365" s="111" t="s">
        <v>12129</v>
      </c>
      <c r="D1365" s="2" t="str">
        <f t="shared" ref="D1365:E1365" si="1363">TRIM(B1365)</f>
        <v>New York</v>
      </c>
      <c r="E1365" s="2" t="str">
        <f t="shared" si="1363"/>
        <v>Buffalo</v>
      </c>
    </row>
    <row r="1366" spans="1:5">
      <c r="A1366" s="111" t="s">
        <v>12306</v>
      </c>
      <c r="B1366" s="111" t="s">
        <v>188</v>
      </c>
      <c r="C1366" s="111" t="s">
        <v>188</v>
      </c>
      <c r="D1366" s="2" t="str">
        <f t="shared" ref="D1366:E1366" si="1364">TRIM(B1366)</f>
        <v>New York</v>
      </c>
      <c r="E1366" s="2" t="str">
        <f t="shared" si="1364"/>
        <v>New York</v>
      </c>
    </row>
    <row r="1367" spans="1:5">
      <c r="A1367" s="111" t="s">
        <v>12307</v>
      </c>
      <c r="B1367" s="111" t="s">
        <v>188</v>
      </c>
      <c r="C1367" s="111" t="s">
        <v>12129</v>
      </c>
      <c r="D1367" s="2" t="str">
        <f t="shared" ref="D1367:E1367" si="1365">TRIM(B1367)</f>
        <v>New York</v>
      </c>
      <c r="E1367" s="2" t="str">
        <f t="shared" si="1365"/>
        <v>Buffalo</v>
      </c>
    </row>
    <row r="1368" spans="1:5">
      <c r="A1368" s="111" t="s">
        <v>12308</v>
      </c>
      <c r="B1368" s="111" t="s">
        <v>188</v>
      </c>
      <c r="C1368" s="111" t="s">
        <v>12309</v>
      </c>
      <c r="D1368" s="2" t="str">
        <f t="shared" ref="D1368:E1368" si="1366">TRIM(B1368)</f>
        <v>New York</v>
      </c>
      <c r="E1368" s="2" t="str">
        <f t="shared" si="1366"/>
        <v>Ithaca</v>
      </c>
    </row>
    <row r="1369" spans="1:5">
      <c r="A1369" s="111" t="s">
        <v>12311</v>
      </c>
      <c r="B1369" s="111" t="s">
        <v>188</v>
      </c>
      <c r="C1369" s="111" t="s">
        <v>12312</v>
      </c>
      <c r="D1369" s="2" t="str">
        <f t="shared" ref="D1369:E1369" si="1367">TRIM(B1369)</f>
        <v>New York</v>
      </c>
      <c r="E1369" s="2" t="str">
        <f t="shared" si="1367"/>
        <v>Elmhurst</v>
      </c>
    </row>
    <row r="1370" spans="1:5">
      <c r="A1370" s="111" t="s">
        <v>12313</v>
      </c>
      <c r="B1370" s="111" t="s">
        <v>188</v>
      </c>
      <c r="C1370" s="111" t="s">
        <v>12314</v>
      </c>
      <c r="D1370" s="2" t="str">
        <f t="shared" ref="D1370:E1370" si="1368">TRIM(B1370)</f>
        <v>New York</v>
      </c>
      <c r="E1370" s="2" t="str">
        <f t="shared" si="1368"/>
        <v>Penfield</v>
      </c>
    </row>
    <row r="1371" spans="1:5">
      <c r="A1371" s="111" t="s">
        <v>12316</v>
      </c>
      <c r="B1371" s="111" t="s">
        <v>188</v>
      </c>
      <c r="C1371" s="111" t="s">
        <v>12317</v>
      </c>
      <c r="D1371" s="2" t="str">
        <f t="shared" ref="D1371:E1371" si="1369">TRIM(B1371)</f>
        <v>New York</v>
      </c>
      <c r="E1371" s="2" t="str">
        <f t="shared" si="1369"/>
        <v>Hempstead</v>
      </c>
    </row>
    <row r="1372" spans="1:5">
      <c r="A1372" s="111" t="s">
        <v>12319</v>
      </c>
      <c r="B1372" s="111" t="s">
        <v>188</v>
      </c>
      <c r="C1372" s="111" t="s">
        <v>326</v>
      </c>
      <c r="D1372" s="2" t="str">
        <f t="shared" ref="D1372:E1372" si="1370">TRIM(B1372)</f>
        <v>New York</v>
      </c>
      <c r="E1372" s="2" t="str">
        <f t="shared" si="1370"/>
        <v>Brooklyn</v>
      </c>
    </row>
    <row r="1373" spans="1:5">
      <c r="A1373" s="111" t="s">
        <v>12321</v>
      </c>
      <c r="B1373" s="111" t="s">
        <v>188</v>
      </c>
      <c r="C1373" s="111" t="s">
        <v>188</v>
      </c>
      <c r="D1373" s="2" t="str">
        <f t="shared" ref="D1373:E1373" si="1371">TRIM(B1373)</f>
        <v>New York</v>
      </c>
      <c r="E1373" s="2" t="str">
        <f t="shared" si="1371"/>
        <v>New York</v>
      </c>
    </row>
    <row r="1374" spans="1:5">
      <c r="A1374" s="111" t="s">
        <v>12323</v>
      </c>
      <c r="B1374" s="111" t="s">
        <v>188</v>
      </c>
      <c r="C1374" s="111" t="s">
        <v>12324</v>
      </c>
      <c r="D1374" s="2" t="str">
        <f t="shared" ref="D1374:E1374" si="1372">TRIM(B1374)</f>
        <v>New York</v>
      </c>
      <c r="E1374" s="2" t="str">
        <f t="shared" si="1372"/>
        <v>New Lebanon</v>
      </c>
    </row>
    <row r="1375" spans="1:5">
      <c r="A1375" s="111" t="s">
        <v>12326</v>
      </c>
      <c r="B1375" s="111" t="s">
        <v>188</v>
      </c>
      <c r="C1375" s="111" t="s">
        <v>12327</v>
      </c>
      <c r="D1375" s="2" t="str">
        <f t="shared" ref="D1375:E1375" si="1373">TRIM(B1375)</f>
        <v>New York</v>
      </c>
      <c r="E1375" s="2" t="str">
        <f t="shared" si="1373"/>
        <v>Rensselaer</v>
      </c>
    </row>
    <row r="1376" spans="1:5">
      <c r="A1376" s="111" t="s">
        <v>12330</v>
      </c>
      <c r="B1376" s="111" t="s">
        <v>188</v>
      </c>
      <c r="C1376" s="111" t="s">
        <v>188</v>
      </c>
      <c r="D1376" s="2" t="str">
        <f t="shared" ref="D1376:E1376" si="1374">TRIM(B1376)</f>
        <v>New York</v>
      </c>
      <c r="E1376" s="2" t="str">
        <f t="shared" si="1374"/>
        <v>New York</v>
      </c>
    </row>
    <row r="1377" spans="1:5">
      <c r="A1377" s="111" t="s">
        <v>12332</v>
      </c>
      <c r="B1377" s="111" t="s">
        <v>188</v>
      </c>
      <c r="C1377" s="111" t="s">
        <v>188</v>
      </c>
      <c r="D1377" s="2" t="str">
        <f t="shared" ref="D1377:E1377" si="1375">TRIM(B1377)</f>
        <v>New York</v>
      </c>
      <c r="E1377" s="2" t="str">
        <f t="shared" si="1375"/>
        <v>New York</v>
      </c>
    </row>
    <row r="1378" spans="1:5">
      <c r="A1378" s="111" t="s">
        <v>12332</v>
      </c>
      <c r="B1378" s="111" t="s">
        <v>188</v>
      </c>
      <c r="C1378" s="111" t="s">
        <v>188</v>
      </c>
      <c r="D1378" s="2" t="str">
        <f t="shared" ref="D1378:E1378" si="1376">TRIM(B1378)</f>
        <v>New York</v>
      </c>
      <c r="E1378" s="2" t="str">
        <f t="shared" si="1376"/>
        <v>New York</v>
      </c>
    </row>
    <row r="1379" spans="1:5">
      <c r="A1379" s="111" t="s">
        <v>12334</v>
      </c>
      <c r="B1379" s="111" t="s">
        <v>188</v>
      </c>
      <c r="C1379" s="111" t="s">
        <v>326</v>
      </c>
      <c r="D1379" s="2" t="str">
        <f t="shared" ref="D1379:E1379" si="1377">TRIM(B1379)</f>
        <v>New York</v>
      </c>
      <c r="E1379" s="2" t="str">
        <f t="shared" si="1377"/>
        <v>Brooklyn</v>
      </c>
    </row>
    <row r="1380" spans="1:5">
      <c r="A1380" s="111" t="s">
        <v>12335</v>
      </c>
      <c r="B1380" s="111" t="s">
        <v>188</v>
      </c>
      <c r="C1380" s="111" t="s">
        <v>326</v>
      </c>
      <c r="D1380" s="2" t="str">
        <f t="shared" ref="D1380:E1380" si="1378">TRIM(B1380)</f>
        <v>New York</v>
      </c>
      <c r="E1380" s="2" t="str">
        <f t="shared" si="1378"/>
        <v>Brooklyn</v>
      </c>
    </row>
    <row r="1381" spans="1:5">
      <c r="A1381" s="111" t="s">
        <v>12336</v>
      </c>
      <c r="B1381" s="111" t="s">
        <v>188</v>
      </c>
      <c r="C1381" s="111" t="s">
        <v>2228</v>
      </c>
      <c r="D1381" s="2" t="str">
        <f t="shared" ref="D1381:E1381" si="1379">TRIM(B1381)</f>
        <v>New York</v>
      </c>
      <c r="E1381" s="2" t="str">
        <f t="shared" si="1379"/>
        <v>Troy</v>
      </c>
    </row>
    <row r="1382" spans="1:5">
      <c r="A1382" s="111" t="s">
        <v>12338</v>
      </c>
      <c r="B1382" s="111" t="s">
        <v>188</v>
      </c>
      <c r="C1382" s="111" t="s">
        <v>326</v>
      </c>
      <c r="D1382" s="2" t="str">
        <f t="shared" ref="D1382:E1382" si="1380">TRIM(B1382)</f>
        <v>New York</v>
      </c>
      <c r="E1382" s="2" t="str">
        <f t="shared" si="1380"/>
        <v>Brooklyn</v>
      </c>
    </row>
    <row r="1383" spans="1:5">
      <c r="A1383" s="111" t="s">
        <v>12339</v>
      </c>
      <c r="B1383" s="111" t="s">
        <v>188</v>
      </c>
      <c r="C1383" s="111" t="s">
        <v>553</v>
      </c>
      <c r="D1383" s="2" t="str">
        <f t="shared" ref="D1383:E1383" si="1381">TRIM(B1383)</f>
        <v>New York</v>
      </c>
      <c r="E1383" s="2" t="str">
        <f t="shared" si="1381"/>
        <v>Bronx</v>
      </c>
    </row>
    <row r="1384" spans="1:5">
      <c r="A1384" s="111" t="s">
        <v>12342</v>
      </c>
      <c r="B1384" s="111" t="s">
        <v>188</v>
      </c>
      <c r="C1384" s="111" t="s">
        <v>12343</v>
      </c>
      <c r="D1384" s="2" t="str">
        <f t="shared" ref="D1384:E1384" si="1382">TRIM(B1384)</f>
        <v>New York</v>
      </c>
      <c r="E1384" s="2" t="str">
        <f t="shared" si="1382"/>
        <v>Locust Valley</v>
      </c>
    </row>
    <row r="1385" spans="1:5">
      <c r="A1385" s="111" t="s">
        <v>12345</v>
      </c>
      <c r="B1385" s="111" t="s">
        <v>188</v>
      </c>
      <c r="C1385" s="111" t="s">
        <v>188</v>
      </c>
      <c r="D1385" s="2" t="str">
        <f t="shared" ref="D1385:E1385" si="1383">TRIM(B1385)</f>
        <v>New York</v>
      </c>
      <c r="E1385" s="2" t="str">
        <f t="shared" si="1383"/>
        <v>New York</v>
      </c>
    </row>
    <row r="1386" spans="1:5">
      <c r="A1386" s="111" t="s">
        <v>12347</v>
      </c>
      <c r="B1386" s="111" t="s">
        <v>188</v>
      </c>
      <c r="C1386" s="111" t="s">
        <v>188</v>
      </c>
      <c r="D1386" s="2" t="str">
        <f t="shared" ref="D1386:E1386" si="1384">TRIM(B1386)</f>
        <v>New York</v>
      </c>
      <c r="E1386" s="2" t="str">
        <f t="shared" si="1384"/>
        <v>New York</v>
      </c>
    </row>
    <row r="1387" spans="1:5">
      <c r="A1387" s="111" t="s">
        <v>12348</v>
      </c>
      <c r="B1387" s="111" t="s">
        <v>188</v>
      </c>
      <c r="C1387" s="111" t="s">
        <v>8789</v>
      </c>
      <c r="D1387" s="2" t="str">
        <f t="shared" ref="D1387:E1387" si="1385">TRIM(B1387)</f>
        <v>New York</v>
      </c>
      <c r="E1387" s="2" t="str">
        <f t="shared" si="1385"/>
        <v>Woodbury</v>
      </c>
    </row>
    <row r="1388" spans="1:5">
      <c r="A1388" s="111" t="s">
        <v>12350</v>
      </c>
      <c r="B1388" s="111" t="s">
        <v>188</v>
      </c>
      <c r="C1388" s="111" t="s">
        <v>11163</v>
      </c>
      <c r="D1388" s="2" t="str">
        <f t="shared" ref="D1388:E1388" si="1386">TRIM(B1388)</f>
        <v>New York</v>
      </c>
      <c r="E1388" s="2" t="str">
        <f t="shared" si="1386"/>
        <v>White Plains</v>
      </c>
    </row>
    <row r="1389" spans="1:5">
      <c r="A1389" s="111" t="s">
        <v>12353</v>
      </c>
      <c r="B1389" s="111" t="s">
        <v>188</v>
      </c>
      <c r="C1389" s="111" t="s">
        <v>188</v>
      </c>
      <c r="D1389" s="2" t="str">
        <f t="shared" ref="D1389:E1389" si="1387">TRIM(B1389)</f>
        <v>New York</v>
      </c>
      <c r="E1389" s="2" t="str">
        <f t="shared" si="1387"/>
        <v>New York</v>
      </c>
    </row>
    <row r="1390" spans="1:5">
      <c r="A1390" s="111" t="s">
        <v>12355</v>
      </c>
      <c r="B1390" s="111" t="s">
        <v>188</v>
      </c>
      <c r="C1390" s="111" t="s">
        <v>7546</v>
      </c>
      <c r="D1390" s="2" t="str">
        <f t="shared" ref="D1390:E1390" si="1388">TRIM(B1390)</f>
        <v>New York</v>
      </c>
      <c r="E1390" s="2" t="str">
        <f t="shared" si="1388"/>
        <v>Woodside</v>
      </c>
    </row>
    <row r="1391" spans="1:5">
      <c r="A1391" s="111" t="s">
        <v>12358</v>
      </c>
      <c r="B1391" s="111" t="s">
        <v>188</v>
      </c>
      <c r="C1391" s="111" t="s">
        <v>12360</v>
      </c>
      <c r="D1391" s="2" t="str">
        <f t="shared" ref="D1391:E1391" si="1389">TRIM(B1391)</f>
        <v>New York</v>
      </c>
      <c r="E1391" s="2" t="str">
        <f t="shared" si="1389"/>
        <v>Uniondale</v>
      </c>
    </row>
    <row r="1392" spans="1:5">
      <c r="A1392" s="111" t="s">
        <v>12362</v>
      </c>
      <c r="B1392" s="111" t="s">
        <v>188</v>
      </c>
      <c r="C1392" s="111" t="s">
        <v>12363</v>
      </c>
      <c r="D1392" s="2" t="str">
        <f t="shared" ref="D1392:E1392" si="1390">TRIM(B1392)</f>
        <v>New York</v>
      </c>
      <c r="E1392" s="2" t="str">
        <f t="shared" si="1390"/>
        <v>Ghent</v>
      </c>
    </row>
    <row r="1393" spans="1:5">
      <c r="A1393" s="111" t="s">
        <v>12365</v>
      </c>
      <c r="B1393" s="111" t="s">
        <v>188</v>
      </c>
      <c r="C1393" s="111" t="s">
        <v>12367</v>
      </c>
      <c r="D1393" s="2" t="str">
        <f t="shared" ref="D1393:E1393" si="1391">TRIM(B1393)</f>
        <v>New York</v>
      </c>
      <c r="E1393" s="2" t="str">
        <f t="shared" si="1391"/>
        <v>Lockport</v>
      </c>
    </row>
    <row r="1394" spans="1:5">
      <c r="A1394" s="111" t="s">
        <v>12368</v>
      </c>
      <c r="B1394" s="111" t="s">
        <v>188</v>
      </c>
      <c r="C1394" s="111" t="s">
        <v>12369</v>
      </c>
      <c r="D1394" s="2" t="str">
        <f t="shared" ref="D1394:E1394" si="1392">TRIM(B1394)</f>
        <v>New York</v>
      </c>
      <c r="E1394" s="2" t="str">
        <f t="shared" si="1392"/>
        <v>Oneida</v>
      </c>
    </row>
    <row r="1395" spans="1:5">
      <c r="A1395" s="111" t="s">
        <v>12371</v>
      </c>
      <c r="B1395" s="111" t="s">
        <v>188</v>
      </c>
      <c r="C1395" s="111" t="s">
        <v>12372</v>
      </c>
      <c r="D1395" s="2" t="str">
        <f t="shared" ref="D1395:E1395" si="1393">TRIM(B1395)</f>
        <v>New York</v>
      </c>
      <c r="E1395" s="2" t="str">
        <f t="shared" si="1393"/>
        <v>Hoosick</v>
      </c>
    </row>
    <row r="1396" spans="1:5">
      <c r="A1396" s="111" t="s">
        <v>12374</v>
      </c>
      <c r="B1396" s="111" t="s">
        <v>188</v>
      </c>
      <c r="C1396" s="111" t="s">
        <v>11566</v>
      </c>
      <c r="D1396" s="2" t="str">
        <f t="shared" ref="D1396:E1396" si="1394">TRIM(B1396)</f>
        <v>New York</v>
      </c>
      <c r="E1396" s="2" t="str">
        <f t="shared" si="1394"/>
        <v>Rochester</v>
      </c>
    </row>
    <row r="1397" spans="1:5">
      <c r="A1397" s="111" t="s">
        <v>12375</v>
      </c>
      <c r="B1397" s="111" t="s">
        <v>188</v>
      </c>
      <c r="C1397" s="111" t="s">
        <v>553</v>
      </c>
      <c r="D1397" s="2" t="str">
        <f t="shared" ref="D1397:E1397" si="1395">TRIM(B1397)</f>
        <v>New York</v>
      </c>
      <c r="E1397" s="2" t="str">
        <f t="shared" si="1395"/>
        <v>Bronx</v>
      </c>
    </row>
    <row r="1398" spans="1:5">
      <c r="A1398" s="111" t="s">
        <v>12377</v>
      </c>
      <c r="B1398" s="111" t="s">
        <v>188</v>
      </c>
      <c r="C1398" s="111" t="s">
        <v>553</v>
      </c>
      <c r="D1398" s="2" t="str">
        <f t="shared" ref="D1398:E1398" si="1396">TRIM(B1398)</f>
        <v>New York</v>
      </c>
      <c r="E1398" s="2" t="str">
        <f t="shared" si="1396"/>
        <v>Bronx</v>
      </c>
    </row>
    <row r="1399" spans="1:5">
      <c r="A1399" s="111" t="s">
        <v>12379</v>
      </c>
      <c r="B1399" s="111" t="s">
        <v>188</v>
      </c>
      <c r="C1399" s="111" t="s">
        <v>12380</v>
      </c>
      <c r="D1399" s="2" t="str">
        <f t="shared" ref="D1399:E1399" si="1397">TRIM(B1399)</f>
        <v>New York</v>
      </c>
      <c r="E1399" s="2" t="str">
        <f t="shared" si="1397"/>
        <v>Houghton</v>
      </c>
    </row>
    <row r="1400" spans="1:5">
      <c r="A1400" s="111" t="s">
        <v>12382</v>
      </c>
      <c r="B1400" s="111" t="s">
        <v>188</v>
      </c>
      <c r="C1400" s="111" t="s">
        <v>8159</v>
      </c>
      <c r="D1400" s="2" t="str">
        <f t="shared" ref="D1400:E1400" si="1398">TRIM(B1400)</f>
        <v>New York</v>
      </c>
      <c r="E1400" s="2" t="str">
        <f t="shared" si="1398"/>
        <v>New Rochelle</v>
      </c>
    </row>
    <row r="1401" spans="1:5">
      <c r="A1401" s="111" t="s">
        <v>12384</v>
      </c>
      <c r="B1401" s="111" t="s">
        <v>188</v>
      </c>
      <c r="C1401" s="111" t="s">
        <v>12385</v>
      </c>
      <c r="D1401" s="2" t="str">
        <f t="shared" ref="D1401:E1401" si="1399">TRIM(B1401)</f>
        <v>New York</v>
      </c>
      <c r="E1401" s="2" t="str">
        <f t="shared" si="1399"/>
        <v>Purchase</v>
      </c>
    </row>
    <row r="1402" spans="1:5">
      <c r="A1402" s="111" t="s">
        <v>12387</v>
      </c>
      <c r="B1402" s="111" t="s">
        <v>188</v>
      </c>
      <c r="C1402" s="111" t="s">
        <v>12360</v>
      </c>
      <c r="D1402" s="2" t="str">
        <f t="shared" ref="D1402:E1402" si="1400">TRIM(B1402)</f>
        <v>New York</v>
      </c>
      <c r="E1402" s="2" t="str">
        <f t="shared" si="1400"/>
        <v>Uniondale</v>
      </c>
    </row>
    <row r="1403" spans="1:5">
      <c r="A1403" s="111" t="s">
        <v>12389</v>
      </c>
      <c r="B1403" s="111" t="s">
        <v>188</v>
      </c>
      <c r="C1403" s="111" t="s">
        <v>2228</v>
      </c>
      <c r="D1403" s="2" t="str">
        <f t="shared" ref="D1403:E1403" si="1401">TRIM(B1403)</f>
        <v>New York</v>
      </c>
      <c r="E1403" s="2" t="str">
        <f t="shared" si="1401"/>
        <v>Troy</v>
      </c>
    </row>
    <row r="1404" spans="1:5">
      <c r="A1404" s="111" t="s">
        <v>12391</v>
      </c>
      <c r="B1404" s="111" t="s">
        <v>188</v>
      </c>
      <c r="C1404" s="111" t="s">
        <v>12392</v>
      </c>
      <c r="D1404" s="2" t="str">
        <f t="shared" ref="D1404:E1404" si="1402">TRIM(B1404)</f>
        <v>New York</v>
      </c>
      <c r="E1404" s="2" t="str">
        <f t="shared" si="1402"/>
        <v>Webster</v>
      </c>
    </row>
    <row r="1405" spans="1:5">
      <c r="A1405" s="111" t="s">
        <v>12394</v>
      </c>
      <c r="B1405" s="111" t="s">
        <v>188</v>
      </c>
      <c r="C1405" s="111" t="s">
        <v>188</v>
      </c>
      <c r="D1405" s="2" t="str">
        <f t="shared" ref="D1405:E1405" si="1403">TRIM(B1405)</f>
        <v>New York</v>
      </c>
      <c r="E1405" s="2" t="str">
        <f t="shared" si="1403"/>
        <v>New York</v>
      </c>
    </row>
    <row r="1406" spans="1:5">
      <c r="A1406" s="111" t="s">
        <v>12397</v>
      </c>
      <c r="B1406" s="111" t="s">
        <v>188</v>
      </c>
      <c r="C1406" s="111" t="s">
        <v>12398</v>
      </c>
      <c r="D1406" s="2" t="str">
        <f t="shared" ref="D1406:E1406" si="1404">TRIM(B1406)</f>
        <v>New York</v>
      </c>
      <c r="E1406" s="2" t="str">
        <f t="shared" si="1404"/>
        <v>Woodmere</v>
      </c>
    </row>
    <row r="1407" spans="1:5">
      <c r="A1407" s="111" t="s">
        <v>9070</v>
      </c>
      <c r="B1407" s="111" t="s">
        <v>188</v>
      </c>
      <c r="C1407" s="111" t="s">
        <v>12293</v>
      </c>
      <c r="D1407" s="2" t="str">
        <f t="shared" ref="D1407:E1407" si="1405">TRIM(B1407)</f>
        <v>New York</v>
      </c>
      <c r="E1407" s="2" t="str">
        <f t="shared" si="1405"/>
        <v>Syracuse</v>
      </c>
    </row>
    <row r="1408" spans="1:5">
      <c r="A1408" s="111" t="s">
        <v>12401</v>
      </c>
      <c r="B1408" s="111" t="s">
        <v>188</v>
      </c>
      <c r="C1408" s="111" t="s">
        <v>7198</v>
      </c>
      <c r="D1408" s="2" t="str">
        <f t="shared" ref="D1408:E1408" si="1406">TRIM(B1408)</f>
        <v>New York</v>
      </c>
      <c r="E1408" s="2" t="str">
        <f t="shared" si="1406"/>
        <v>Brewster</v>
      </c>
    </row>
    <row r="1409" spans="1:5">
      <c r="A1409" s="111" t="s">
        <v>9414</v>
      </c>
      <c r="B1409" s="111" t="s">
        <v>188</v>
      </c>
      <c r="C1409" s="111" t="s">
        <v>188</v>
      </c>
      <c r="D1409" s="2" t="str">
        <f t="shared" ref="D1409:E1409" si="1407">TRIM(B1409)</f>
        <v>New York</v>
      </c>
      <c r="E1409" s="2" t="str">
        <f t="shared" si="1407"/>
        <v>New York</v>
      </c>
    </row>
    <row r="1410" spans="1:5">
      <c r="A1410" s="111" t="s">
        <v>12404</v>
      </c>
      <c r="B1410" s="111" t="s">
        <v>188</v>
      </c>
      <c r="C1410" s="111" t="s">
        <v>12293</v>
      </c>
      <c r="D1410" s="2" t="str">
        <f t="shared" ref="D1410:E1410" si="1408">TRIM(B1410)</f>
        <v>New York</v>
      </c>
      <c r="E1410" s="2" t="str">
        <f t="shared" si="1408"/>
        <v>Syracuse</v>
      </c>
    </row>
    <row r="1411" spans="1:5">
      <c r="A1411" s="111" t="s">
        <v>12407</v>
      </c>
      <c r="B1411" s="111" t="s">
        <v>188</v>
      </c>
      <c r="C1411" s="111" t="s">
        <v>12408</v>
      </c>
      <c r="D1411" s="2" t="str">
        <f t="shared" ref="D1411:E1411" si="1409">TRIM(B1411)</f>
        <v>New York</v>
      </c>
      <c r="E1411" s="2" t="str">
        <f t="shared" si="1409"/>
        <v>Hartsdale</v>
      </c>
    </row>
    <row r="1412" spans="1:5">
      <c r="A1412" s="111" t="s">
        <v>12409</v>
      </c>
      <c r="B1412" s="111" t="s">
        <v>188</v>
      </c>
      <c r="C1412" s="111" t="s">
        <v>12411</v>
      </c>
      <c r="D1412" s="2" t="str">
        <f t="shared" ref="D1412:E1412" si="1410">TRIM(B1412)</f>
        <v>New York</v>
      </c>
      <c r="E1412" s="2" t="str">
        <f t="shared" si="1410"/>
        <v>Maspeth</v>
      </c>
    </row>
    <row r="1413" spans="1:5">
      <c r="A1413" s="111" t="s">
        <v>12413</v>
      </c>
      <c r="B1413" s="111" t="s">
        <v>188</v>
      </c>
      <c r="C1413" s="111" t="s">
        <v>188</v>
      </c>
      <c r="D1413" s="2" t="str">
        <f t="shared" ref="D1413:E1413" si="1411">TRIM(B1413)</f>
        <v>New York</v>
      </c>
      <c r="E1413" s="2" t="str">
        <f t="shared" si="1411"/>
        <v>New York</v>
      </c>
    </row>
    <row r="1414" spans="1:5">
      <c r="A1414" s="111" t="s">
        <v>12414</v>
      </c>
      <c r="B1414" s="111" t="s">
        <v>188</v>
      </c>
      <c r="C1414" s="111" t="s">
        <v>1957</v>
      </c>
      <c r="D1414" s="2" t="str">
        <f t="shared" ref="D1414:E1414" si="1412">TRIM(B1414)</f>
        <v>New York</v>
      </c>
      <c r="E1414" s="2" t="str">
        <f t="shared" si="1412"/>
        <v>Millbrook</v>
      </c>
    </row>
    <row r="1415" spans="1:5">
      <c r="A1415" s="111" t="s">
        <v>12415</v>
      </c>
      <c r="B1415" s="111" t="s">
        <v>188</v>
      </c>
      <c r="C1415" s="112" t="s">
        <v>12416</v>
      </c>
      <c r="D1415" s="2" t="str">
        <f t="shared" ref="D1415:E1415" si="1413">TRIM(B1415)</f>
        <v>New York</v>
      </c>
      <c r="E1415" s="2" t="str">
        <f t="shared" si="1413"/>
        <v>East Elmhurst</v>
      </c>
    </row>
    <row r="1416" spans="1:5">
      <c r="A1416" s="111" t="s">
        <v>12417</v>
      </c>
      <c r="B1416" s="111" t="s">
        <v>188</v>
      </c>
      <c r="C1416" s="111" t="s">
        <v>12129</v>
      </c>
      <c r="D1416" s="2" t="str">
        <f t="shared" ref="D1416:E1416" si="1414">TRIM(B1416)</f>
        <v>New York</v>
      </c>
      <c r="E1416" s="2" t="str">
        <f t="shared" si="1414"/>
        <v>Buffalo</v>
      </c>
    </row>
    <row r="1417" spans="1:5">
      <c r="A1417" s="111" t="s">
        <v>12418</v>
      </c>
      <c r="B1417" s="111" t="s">
        <v>188</v>
      </c>
      <c r="C1417" s="111" t="s">
        <v>553</v>
      </c>
      <c r="D1417" s="2" t="str">
        <f t="shared" ref="D1417:E1417" si="1415">TRIM(B1417)</f>
        <v>New York</v>
      </c>
      <c r="E1417" s="2" t="str">
        <f t="shared" si="1415"/>
        <v>Bronx</v>
      </c>
    </row>
    <row r="1418" spans="1:5">
      <c r="A1418" s="111" t="s">
        <v>12419</v>
      </c>
      <c r="B1418" s="111" t="s">
        <v>188</v>
      </c>
      <c r="C1418" s="111" t="s">
        <v>12129</v>
      </c>
      <c r="D1418" s="2" t="str">
        <f t="shared" ref="D1418:E1418" si="1416">TRIM(B1418)</f>
        <v>New York</v>
      </c>
      <c r="E1418" s="2" t="str">
        <f t="shared" si="1416"/>
        <v>Buffalo</v>
      </c>
    </row>
    <row r="1419" spans="1:5">
      <c r="A1419" s="111" t="s">
        <v>12420</v>
      </c>
      <c r="B1419" s="111" t="s">
        <v>188</v>
      </c>
      <c r="C1419" s="111" t="s">
        <v>9494</v>
      </c>
      <c r="D1419" s="2" t="str">
        <f t="shared" ref="D1419:E1419" si="1417">TRIM(B1419)</f>
        <v>New York</v>
      </c>
      <c r="E1419" s="2" t="str">
        <f t="shared" si="1417"/>
        <v>Lake Placid</v>
      </c>
    </row>
    <row r="1420" spans="1:5">
      <c r="A1420" s="111" t="s">
        <v>12422</v>
      </c>
      <c r="B1420" s="111" t="s">
        <v>188</v>
      </c>
      <c r="C1420" s="111" t="s">
        <v>553</v>
      </c>
      <c r="D1420" s="2" t="str">
        <f t="shared" ref="D1420:E1420" si="1418">TRIM(B1420)</f>
        <v>New York</v>
      </c>
      <c r="E1420" s="2" t="str">
        <f t="shared" si="1418"/>
        <v>Bronx</v>
      </c>
    </row>
    <row r="1421" spans="1:5">
      <c r="A1421" s="111" t="s">
        <v>12423</v>
      </c>
      <c r="B1421" s="111" t="s">
        <v>188</v>
      </c>
      <c r="C1421" s="112" t="s">
        <v>12424</v>
      </c>
      <c r="D1421" s="2" t="str">
        <f t="shared" ref="D1421:E1421" si="1419">TRIM(B1421)</f>
        <v>New York</v>
      </c>
      <c r="E1421" s="2" t="str">
        <f t="shared" si="1419"/>
        <v>Glenmont</v>
      </c>
    </row>
    <row r="1422" spans="1:5">
      <c r="A1422" s="111" t="s">
        <v>12425</v>
      </c>
      <c r="B1422" s="111" t="s">
        <v>188</v>
      </c>
      <c r="C1422" s="111" t="s">
        <v>12129</v>
      </c>
      <c r="D1422" s="2" t="str">
        <f t="shared" ref="D1422:E1422" si="1420">TRIM(B1422)</f>
        <v>New York</v>
      </c>
      <c r="E1422" s="2" t="str">
        <f t="shared" si="1420"/>
        <v>Buffalo</v>
      </c>
    </row>
    <row r="1423" spans="1:5">
      <c r="A1423" s="111" t="s">
        <v>12426</v>
      </c>
      <c r="B1423" s="111" t="s">
        <v>188</v>
      </c>
      <c r="C1423" s="111" t="s">
        <v>326</v>
      </c>
      <c r="D1423" s="2" t="str">
        <f t="shared" ref="D1423:E1423" si="1421">TRIM(B1423)</f>
        <v>New York</v>
      </c>
      <c r="E1423" s="2" t="str">
        <f t="shared" si="1421"/>
        <v>Brooklyn</v>
      </c>
    </row>
    <row r="1424" spans="1:5">
      <c r="A1424" s="111" t="s">
        <v>12428</v>
      </c>
      <c r="B1424" s="111" t="s">
        <v>188</v>
      </c>
      <c r="C1424" s="111" t="s">
        <v>12129</v>
      </c>
      <c r="D1424" s="2" t="str">
        <f t="shared" ref="D1424:E1424" si="1422">TRIM(B1424)</f>
        <v>New York</v>
      </c>
      <c r="E1424" s="2" t="str">
        <f t="shared" si="1422"/>
        <v>Buffalo</v>
      </c>
    </row>
    <row r="1425" spans="1:5">
      <c r="A1425" s="111" t="s">
        <v>12430</v>
      </c>
      <c r="B1425" s="111" t="s">
        <v>188</v>
      </c>
      <c r="C1425" s="111" t="s">
        <v>188</v>
      </c>
      <c r="D1425" s="2" t="str">
        <f t="shared" ref="D1425:E1425" si="1423">TRIM(B1425)</f>
        <v>New York</v>
      </c>
      <c r="E1425" s="2" t="str">
        <f t="shared" si="1423"/>
        <v>New York</v>
      </c>
    </row>
    <row r="1426" spans="1:5">
      <c r="A1426" s="111" t="s">
        <v>12432</v>
      </c>
      <c r="B1426" s="111" t="s">
        <v>188</v>
      </c>
      <c r="C1426" s="111" t="s">
        <v>188</v>
      </c>
      <c r="D1426" s="2" t="str">
        <f t="shared" ref="D1426:E1426" si="1424">TRIM(B1426)</f>
        <v>New York</v>
      </c>
      <c r="E1426" s="2" t="str">
        <f t="shared" si="1424"/>
        <v>New York</v>
      </c>
    </row>
    <row r="1427" spans="1:5">
      <c r="A1427" s="111" t="s">
        <v>12434</v>
      </c>
      <c r="B1427" s="111" t="s">
        <v>188</v>
      </c>
      <c r="C1427" s="111" t="s">
        <v>9494</v>
      </c>
      <c r="D1427" s="2" t="str">
        <f t="shared" ref="D1427:E1427" si="1425">TRIM(B1427)</f>
        <v>New York</v>
      </c>
      <c r="E1427" s="2" t="str">
        <f t="shared" si="1425"/>
        <v>Lake Placid</v>
      </c>
    </row>
    <row r="1428" spans="1:5">
      <c r="A1428" s="111" t="s">
        <v>12436</v>
      </c>
      <c r="B1428" s="111" t="s">
        <v>188</v>
      </c>
      <c r="C1428" s="111" t="s">
        <v>12437</v>
      </c>
      <c r="D1428" s="2" t="str">
        <f t="shared" ref="D1428:E1428" si="1426">TRIM(B1428)</f>
        <v>New York</v>
      </c>
      <c r="E1428" s="2" t="str">
        <f t="shared" si="1426"/>
        <v>Staten Island</v>
      </c>
    </row>
    <row r="1429" spans="1:5">
      <c r="A1429" s="111" t="s">
        <v>9466</v>
      </c>
      <c r="B1429" s="111" t="s">
        <v>188</v>
      </c>
      <c r="C1429" s="111" t="s">
        <v>12041</v>
      </c>
      <c r="D1429" s="2" t="str">
        <f t="shared" ref="D1429:E1429" si="1427">TRIM(B1429)</f>
        <v>New York</v>
      </c>
      <c r="E1429" s="2" t="str">
        <f t="shared" si="1427"/>
        <v>Batavia</v>
      </c>
    </row>
    <row r="1430" spans="1:5">
      <c r="A1430" s="111" t="s">
        <v>12440</v>
      </c>
      <c r="B1430" s="111" t="s">
        <v>188</v>
      </c>
      <c r="C1430" s="111" t="s">
        <v>12442</v>
      </c>
      <c r="D1430" s="2" t="str">
        <f t="shared" ref="D1430:E1430" si="1428">TRIM(B1430)</f>
        <v>New York</v>
      </c>
      <c r="E1430" s="2" t="str">
        <f t="shared" si="1428"/>
        <v>Poughkeepsie</v>
      </c>
    </row>
    <row r="1431" spans="1:5">
      <c r="A1431" s="111" t="s">
        <v>12104</v>
      </c>
      <c r="B1431" s="111" t="s">
        <v>188</v>
      </c>
      <c r="C1431" s="111" t="s">
        <v>12444</v>
      </c>
      <c r="D1431" s="2" t="str">
        <f t="shared" ref="D1431:E1431" si="1429">TRIM(B1431)</f>
        <v>New York</v>
      </c>
      <c r="E1431" s="2" t="str">
        <f t="shared" si="1429"/>
        <v>Syosset</v>
      </c>
    </row>
    <row r="1432" spans="1:5">
      <c r="A1432" s="111" t="s">
        <v>12445</v>
      </c>
      <c r="B1432" s="111" t="s">
        <v>188</v>
      </c>
      <c r="C1432" s="111" t="s">
        <v>326</v>
      </c>
      <c r="D1432" s="2" t="str">
        <f t="shared" ref="D1432:E1432" si="1430">TRIM(B1432)</f>
        <v>New York</v>
      </c>
      <c r="E1432" s="2" t="str">
        <f t="shared" si="1430"/>
        <v>Brooklyn</v>
      </c>
    </row>
    <row r="1433" spans="1:5">
      <c r="A1433" s="111" t="s">
        <v>12447</v>
      </c>
      <c r="B1433" s="111" t="s">
        <v>188</v>
      </c>
      <c r="C1433" s="111" t="s">
        <v>12448</v>
      </c>
      <c r="D1433" s="2" t="str">
        <f t="shared" ref="D1433:E1433" si="1431">TRIM(B1433)</f>
        <v>New York</v>
      </c>
      <c r="E1433" s="2" t="str">
        <f t="shared" si="1431"/>
        <v>Airmont</v>
      </c>
    </row>
    <row r="1434" spans="1:5">
      <c r="A1434" s="111" t="s">
        <v>12450</v>
      </c>
      <c r="B1434" s="111" t="s">
        <v>188</v>
      </c>
      <c r="C1434" s="111" t="s">
        <v>326</v>
      </c>
      <c r="D1434" s="2" t="str">
        <f t="shared" ref="D1434:E1434" si="1432">TRIM(B1434)</f>
        <v>New York</v>
      </c>
      <c r="E1434" s="2" t="str">
        <f t="shared" si="1432"/>
        <v>Brooklyn</v>
      </c>
    </row>
    <row r="1435" spans="1:5">
      <c r="A1435" s="111" t="s">
        <v>12452</v>
      </c>
      <c r="B1435" s="111" t="s">
        <v>188</v>
      </c>
      <c r="C1435" s="111" t="s">
        <v>12343</v>
      </c>
      <c r="D1435" s="2" t="str">
        <f t="shared" ref="D1435:E1435" si="1433">TRIM(B1435)</f>
        <v>New York</v>
      </c>
      <c r="E1435" s="2" t="str">
        <f t="shared" si="1433"/>
        <v>Locust Valley</v>
      </c>
    </row>
    <row r="1436" spans="1:5">
      <c r="A1436" s="111" t="s">
        <v>12453</v>
      </c>
      <c r="B1436" s="111" t="s">
        <v>188</v>
      </c>
      <c r="C1436" s="111" t="s">
        <v>12442</v>
      </c>
      <c r="D1436" s="2" t="str">
        <f t="shared" ref="D1436:E1436" si="1434">TRIM(B1436)</f>
        <v>New York</v>
      </c>
      <c r="E1436" s="2" t="str">
        <f t="shared" si="1434"/>
        <v>Poughkeepsie</v>
      </c>
    </row>
    <row r="1437" spans="1:5">
      <c r="A1437" s="111" t="s">
        <v>12455</v>
      </c>
      <c r="B1437" s="111" t="s">
        <v>188</v>
      </c>
      <c r="C1437" s="111" t="s">
        <v>188</v>
      </c>
      <c r="D1437" s="2" t="str">
        <f t="shared" ref="D1437:E1437" si="1435">TRIM(B1437)</f>
        <v>New York</v>
      </c>
      <c r="E1437" s="2" t="str">
        <f t="shared" si="1435"/>
        <v>New York</v>
      </c>
    </row>
    <row r="1438" spans="1:5">
      <c r="A1438" s="111" t="s">
        <v>12457</v>
      </c>
      <c r="B1438" s="111" t="s">
        <v>188</v>
      </c>
      <c r="C1438" s="111" t="s">
        <v>7546</v>
      </c>
      <c r="D1438" s="2" t="str">
        <f t="shared" ref="D1438:E1438" si="1436">TRIM(B1438)</f>
        <v>New York</v>
      </c>
      <c r="E1438" s="2" t="str">
        <f t="shared" si="1436"/>
        <v>Woodside</v>
      </c>
    </row>
    <row r="1439" spans="1:5">
      <c r="A1439" s="111" t="s">
        <v>12459</v>
      </c>
      <c r="B1439" s="111" t="s">
        <v>188</v>
      </c>
      <c r="C1439" s="111" t="s">
        <v>12460</v>
      </c>
      <c r="D1439" s="2" t="str">
        <f t="shared" ref="D1439:E1439" si="1437">TRIM(B1439)</f>
        <v>New York</v>
      </c>
      <c r="E1439" s="2" t="str">
        <f t="shared" si="1437"/>
        <v>Castorland</v>
      </c>
    </row>
    <row r="1440" spans="1:5">
      <c r="A1440" s="111" t="s">
        <v>12461</v>
      </c>
      <c r="B1440" s="111" t="s">
        <v>188</v>
      </c>
      <c r="C1440" s="111" t="s">
        <v>553</v>
      </c>
      <c r="D1440" s="2" t="str">
        <f t="shared" ref="D1440:E1440" si="1438">TRIM(B1440)</f>
        <v>New York</v>
      </c>
      <c r="E1440" s="2" t="str">
        <f t="shared" si="1438"/>
        <v>Bronx</v>
      </c>
    </row>
    <row r="1441" spans="1:5">
      <c r="A1441" s="111" t="s">
        <v>12463</v>
      </c>
      <c r="B1441" s="111" t="s">
        <v>188</v>
      </c>
      <c r="C1441" s="111" t="s">
        <v>12465</v>
      </c>
      <c r="D1441" s="2" t="str">
        <f t="shared" ref="D1441:E1441" si="1439">TRIM(B1441)</f>
        <v>New York</v>
      </c>
      <c r="E1441" s="2" t="str">
        <f t="shared" si="1439"/>
        <v>Bridgehampton</v>
      </c>
    </row>
    <row r="1442" spans="1:5">
      <c r="A1442" s="111" t="s">
        <v>12467</v>
      </c>
      <c r="B1442" s="111" t="s">
        <v>188</v>
      </c>
      <c r="C1442" s="111" t="s">
        <v>6220</v>
      </c>
      <c r="D1442" s="2" t="str">
        <f t="shared" ref="D1442:E1442" si="1440">TRIM(B1442)</f>
        <v>New York</v>
      </c>
      <c r="E1442" s="2" t="str">
        <f t="shared" si="1440"/>
        <v>Rye</v>
      </c>
    </row>
    <row r="1443" spans="1:5">
      <c r="A1443" s="111" t="s">
        <v>9798</v>
      </c>
      <c r="B1443" s="111" t="s">
        <v>188</v>
      </c>
      <c r="C1443" s="111" t="s">
        <v>12317</v>
      </c>
      <c r="D1443" s="2" t="str">
        <f t="shared" ref="D1443:E1443" si="1441">TRIM(B1443)</f>
        <v>New York</v>
      </c>
      <c r="E1443" s="2" t="str">
        <f t="shared" si="1441"/>
        <v>Hempstead</v>
      </c>
    </row>
    <row r="1444" spans="1:5">
      <c r="A1444" s="111" t="s">
        <v>12470</v>
      </c>
      <c r="B1444" s="111" t="s">
        <v>188</v>
      </c>
      <c r="C1444" s="111" t="s">
        <v>12129</v>
      </c>
      <c r="D1444" s="2" t="str">
        <f t="shared" ref="D1444:E1444" si="1442">TRIM(B1444)</f>
        <v>New York</v>
      </c>
      <c r="E1444" s="2" t="str">
        <f t="shared" si="1442"/>
        <v>Buffalo</v>
      </c>
    </row>
    <row r="1445" spans="1:5">
      <c r="A1445" s="111" t="s">
        <v>9538</v>
      </c>
      <c r="B1445" s="111" t="s">
        <v>188</v>
      </c>
      <c r="C1445" s="111" t="s">
        <v>8159</v>
      </c>
      <c r="D1445" s="2" t="str">
        <f t="shared" ref="D1445:E1445" si="1443">TRIM(B1445)</f>
        <v>New York</v>
      </c>
      <c r="E1445" s="2" t="str">
        <f t="shared" si="1443"/>
        <v>New Rochelle</v>
      </c>
    </row>
    <row r="1446" spans="1:5">
      <c r="A1446" s="111" t="s">
        <v>12473</v>
      </c>
      <c r="B1446" s="111" t="s">
        <v>188</v>
      </c>
      <c r="C1446" s="111" t="s">
        <v>12474</v>
      </c>
      <c r="D1446" s="2" t="str">
        <f t="shared" ref="D1446:E1446" si="1444">TRIM(B1446)</f>
        <v>New York</v>
      </c>
      <c r="E1446" s="2" t="str">
        <f t="shared" si="1444"/>
        <v>College Point</v>
      </c>
    </row>
    <row r="1447" spans="1:5">
      <c r="A1447" s="76" t="s">
        <v>12475</v>
      </c>
      <c r="B1447" s="111" t="s">
        <v>188</v>
      </c>
      <c r="C1447" s="113" t="s">
        <v>12476</v>
      </c>
      <c r="D1447" s="2" t="str">
        <f t="shared" ref="D1447:E1447" si="1445">TRIM(B1447)</f>
        <v>New York</v>
      </c>
      <c r="E1447" s="2" t="str">
        <f t="shared" si="1445"/>
        <v>Huntington Station</v>
      </c>
    </row>
    <row r="1448" spans="1:5">
      <c r="A1448" s="111" t="s">
        <v>12478</v>
      </c>
      <c r="B1448" s="111" t="s">
        <v>188</v>
      </c>
      <c r="C1448" s="111" t="s">
        <v>553</v>
      </c>
      <c r="D1448" s="2" t="str">
        <f t="shared" ref="D1448:E1448" si="1446">TRIM(B1448)</f>
        <v>New York</v>
      </c>
      <c r="E1448" s="2" t="str">
        <f t="shared" si="1446"/>
        <v>Bronx</v>
      </c>
    </row>
    <row r="1449" spans="1:5">
      <c r="A1449" s="111" t="s">
        <v>12481</v>
      </c>
      <c r="B1449" s="111" t="s">
        <v>188</v>
      </c>
      <c r="C1449" s="111" t="s">
        <v>553</v>
      </c>
      <c r="D1449" s="2" t="str">
        <f t="shared" ref="D1449:E1449" si="1447">TRIM(B1449)</f>
        <v>New York</v>
      </c>
      <c r="E1449" s="2" t="str">
        <f t="shared" si="1447"/>
        <v>Bronx</v>
      </c>
    </row>
    <row r="1450" spans="1:5">
      <c r="A1450" s="111" t="s">
        <v>12483</v>
      </c>
      <c r="B1450" s="111" t="s">
        <v>188</v>
      </c>
      <c r="C1450" s="111" t="s">
        <v>12013</v>
      </c>
      <c r="D1450" s="2" t="str">
        <f t="shared" ref="D1450:E1450" si="1448">TRIM(B1450)</f>
        <v>New York</v>
      </c>
      <c r="E1450" s="2" t="str">
        <f t="shared" si="1448"/>
        <v>Astoria</v>
      </c>
    </row>
    <row r="1451" spans="1:5">
      <c r="A1451" s="111" t="s">
        <v>12485</v>
      </c>
      <c r="B1451" s="111" t="s">
        <v>188</v>
      </c>
      <c r="C1451" s="111" t="s">
        <v>326</v>
      </c>
      <c r="D1451" s="2" t="str">
        <f t="shared" ref="D1451:E1451" si="1449">TRIM(B1451)</f>
        <v>New York</v>
      </c>
      <c r="E1451" s="2" t="str">
        <f t="shared" si="1449"/>
        <v>Brooklyn</v>
      </c>
    </row>
    <row r="1452" spans="1:5">
      <c r="A1452" s="111" t="s">
        <v>9595</v>
      </c>
      <c r="B1452" s="111" t="s">
        <v>188</v>
      </c>
      <c r="C1452" s="111" t="s">
        <v>3836</v>
      </c>
      <c r="D1452" s="2" t="str">
        <f t="shared" ref="D1452:E1452" si="1450">TRIM(B1452)</f>
        <v>New York</v>
      </c>
      <c r="E1452" s="2" t="str">
        <f t="shared" si="1450"/>
        <v>Hamburg</v>
      </c>
    </row>
    <row r="1453" spans="1:5">
      <c r="A1453" s="111" t="s">
        <v>12488</v>
      </c>
      <c r="B1453" s="111" t="s">
        <v>188</v>
      </c>
      <c r="C1453" s="111" t="s">
        <v>12489</v>
      </c>
      <c r="D1453" s="2" t="str">
        <f t="shared" ref="D1453:E1453" si="1451">TRIM(B1453)</f>
        <v>New York</v>
      </c>
      <c r="E1453" s="2" t="str">
        <f t="shared" si="1451"/>
        <v>Fresh Meadows</v>
      </c>
    </row>
    <row r="1454" spans="1:5">
      <c r="A1454" s="111" t="s">
        <v>12491</v>
      </c>
      <c r="B1454" s="111" t="s">
        <v>188</v>
      </c>
      <c r="C1454" s="111" t="s">
        <v>188</v>
      </c>
      <c r="D1454" s="2" t="str">
        <f t="shared" ref="D1454:E1454" si="1452">TRIM(B1454)</f>
        <v>New York</v>
      </c>
      <c r="E1454" s="2" t="str">
        <f t="shared" si="1452"/>
        <v>New York</v>
      </c>
    </row>
    <row r="1455" spans="1:5">
      <c r="A1455" s="111" t="s">
        <v>12493</v>
      </c>
      <c r="B1455" s="111" t="s">
        <v>188</v>
      </c>
      <c r="C1455" s="111" t="s">
        <v>12494</v>
      </c>
      <c r="D1455" s="2" t="str">
        <f t="shared" ref="D1455:E1455" si="1453">TRIM(B1455)</f>
        <v>New York</v>
      </c>
      <c r="E1455" s="2" t="str">
        <f t="shared" si="1453"/>
        <v>East Rochester</v>
      </c>
    </row>
    <row r="1456" spans="1:5">
      <c r="A1456" s="111" t="s">
        <v>12497</v>
      </c>
      <c r="B1456" s="111" t="s">
        <v>188</v>
      </c>
      <c r="C1456" s="111" t="s">
        <v>12437</v>
      </c>
      <c r="D1456" s="2" t="str">
        <f t="shared" ref="D1456:E1456" si="1454">TRIM(B1456)</f>
        <v>New York</v>
      </c>
      <c r="E1456" s="2" t="str">
        <f t="shared" si="1454"/>
        <v>Staten Island</v>
      </c>
    </row>
    <row r="1457" spans="1:5">
      <c r="A1457" s="76" t="s">
        <v>11599</v>
      </c>
      <c r="B1457" s="111" t="s">
        <v>188</v>
      </c>
      <c r="C1457" s="111" t="s">
        <v>12013</v>
      </c>
      <c r="D1457" s="2" t="str">
        <f t="shared" ref="D1457:E1457" si="1455">TRIM(B1457)</f>
        <v>New York</v>
      </c>
      <c r="E1457" s="2" t="str">
        <f t="shared" si="1455"/>
        <v>Astoria</v>
      </c>
    </row>
    <row r="1458" spans="1:5">
      <c r="A1458" s="111" t="s">
        <v>9606</v>
      </c>
      <c r="B1458" s="111" t="s">
        <v>188</v>
      </c>
      <c r="C1458" s="111" t="s">
        <v>326</v>
      </c>
      <c r="D1458" s="2" t="str">
        <f t="shared" ref="D1458:E1458" si="1456">TRIM(B1458)</f>
        <v>New York</v>
      </c>
      <c r="E1458" s="2" t="str">
        <f t="shared" si="1456"/>
        <v>Brooklyn</v>
      </c>
    </row>
    <row r="1459" spans="1:5">
      <c r="A1459" s="111" t="s">
        <v>9606</v>
      </c>
      <c r="B1459" s="111" t="s">
        <v>188</v>
      </c>
      <c r="C1459" s="111" t="s">
        <v>326</v>
      </c>
      <c r="D1459" s="2" t="str">
        <f t="shared" ref="D1459:E1459" si="1457">TRIM(B1459)</f>
        <v>New York</v>
      </c>
      <c r="E1459" s="2" t="str">
        <f t="shared" si="1457"/>
        <v>Brooklyn</v>
      </c>
    </row>
    <row r="1460" spans="1:5">
      <c r="A1460" s="111" t="s">
        <v>12502</v>
      </c>
      <c r="B1460" s="111" t="s">
        <v>188</v>
      </c>
      <c r="C1460" s="111" t="s">
        <v>12437</v>
      </c>
      <c r="D1460" s="2" t="str">
        <f t="shared" ref="D1460:E1460" si="1458">TRIM(B1460)</f>
        <v>New York</v>
      </c>
      <c r="E1460" s="2" t="str">
        <f t="shared" si="1458"/>
        <v>Staten Island</v>
      </c>
    </row>
    <row r="1461" spans="1:5">
      <c r="A1461" s="76" t="s">
        <v>12504</v>
      </c>
      <c r="B1461" s="111" t="s">
        <v>188</v>
      </c>
      <c r="C1461" s="111" t="s">
        <v>12129</v>
      </c>
      <c r="D1461" s="2" t="str">
        <f t="shared" ref="D1461:E1461" si="1459">TRIM(B1461)</f>
        <v>New York</v>
      </c>
      <c r="E1461" s="2" t="str">
        <f t="shared" si="1459"/>
        <v>Buffalo</v>
      </c>
    </row>
    <row r="1462" spans="1:5">
      <c r="A1462" s="111" t="s">
        <v>9096</v>
      </c>
      <c r="B1462" s="111" t="s">
        <v>188</v>
      </c>
      <c r="C1462" s="111" t="s">
        <v>61</v>
      </c>
      <c r="D1462" s="2" t="str">
        <f t="shared" ref="D1462:E1462" si="1460">TRIM(B1462)</f>
        <v>New York</v>
      </c>
      <c r="E1462" s="2" t="str">
        <f t="shared" si="1460"/>
        <v>Lancaster</v>
      </c>
    </row>
    <row r="1463" spans="1:5">
      <c r="A1463" s="111" t="s">
        <v>12508</v>
      </c>
      <c r="B1463" s="111" t="s">
        <v>188</v>
      </c>
      <c r="C1463" s="111" t="s">
        <v>12437</v>
      </c>
      <c r="D1463" s="2" t="str">
        <f t="shared" ref="D1463:E1463" si="1461">TRIM(B1463)</f>
        <v>New York</v>
      </c>
      <c r="E1463" s="2" t="str">
        <f t="shared" si="1461"/>
        <v>Staten Island</v>
      </c>
    </row>
    <row r="1464" spans="1:5">
      <c r="A1464" s="111" t="s">
        <v>12510</v>
      </c>
      <c r="B1464" s="111" t="s">
        <v>188</v>
      </c>
      <c r="C1464" s="111" t="s">
        <v>553</v>
      </c>
      <c r="D1464" s="2" t="str">
        <f t="shared" ref="D1464:E1464" si="1462">TRIM(B1464)</f>
        <v>New York</v>
      </c>
      <c r="E1464" s="2" t="str">
        <f t="shared" si="1462"/>
        <v>Bronx</v>
      </c>
    </row>
    <row r="1465" spans="1:5">
      <c r="A1465" s="111" t="s">
        <v>12512</v>
      </c>
      <c r="B1465" s="111" t="s">
        <v>188</v>
      </c>
      <c r="C1465" s="111" t="s">
        <v>326</v>
      </c>
      <c r="D1465" s="2" t="str">
        <f t="shared" ref="D1465:E1465" si="1463">TRIM(B1465)</f>
        <v>New York</v>
      </c>
      <c r="E1465" s="2" t="str">
        <f t="shared" si="1463"/>
        <v>Brooklyn</v>
      </c>
    </row>
    <row r="1466" spans="1:5">
      <c r="A1466" s="111" t="s">
        <v>12513</v>
      </c>
      <c r="B1466" s="111" t="s">
        <v>188</v>
      </c>
      <c r="C1466" s="111" t="s">
        <v>188</v>
      </c>
      <c r="D1466" s="2" t="str">
        <f t="shared" ref="D1466:E1466" si="1464">TRIM(B1466)</f>
        <v>New York</v>
      </c>
      <c r="E1466" s="2" t="str">
        <f t="shared" si="1464"/>
        <v>New York</v>
      </c>
    </row>
    <row r="1467" spans="1:5">
      <c r="A1467" s="111" t="s">
        <v>12514</v>
      </c>
      <c r="B1467" s="111" t="s">
        <v>188</v>
      </c>
      <c r="C1467" s="111" t="s">
        <v>12515</v>
      </c>
      <c r="D1467" s="2" t="str">
        <f t="shared" ref="D1467:E1467" si="1465">TRIM(B1467)</f>
        <v>New York</v>
      </c>
      <c r="E1467" s="2" t="str">
        <f t="shared" si="1465"/>
        <v>Far Rockaway</v>
      </c>
    </row>
    <row r="1468" spans="1:5">
      <c r="A1468" s="111" t="s">
        <v>12517</v>
      </c>
      <c r="B1468" s="111" t="s">
        <v>188</v>
      </c>
      <c r="C1468" s="111" t="s">
        <v>11566</v>
      </c>
      <c r="D1468" s="2" t="str">
        <f t="shared" ref="D1468:E1468" si="1466">TRIM(B1468)</f>
        <v>New York</v>
      </c>
      <c r="E1468" s="2" t="str">
        <f t="shared" si="1466"/>
        <v>Rochester</v>
      </c>
    </row>
    <row r="1469" spans="1:5">
      <c r="A1469" s="111" t="s">
        <v>12519</v>
      </c>
      <c r="B1469" s="111" t="s">
        <v>188</v>
      </c>
      <c r="C1469" s="111" t="s">
        <v>188</v>
      </c>
      <c r="D1469" s="2" t="str">
        <f t="shared" ref="D1469:E1469" si="1467">TRIM(B1469)</f>
        <v>New York</v>
      </c>
      <c r="E1469" s="2" t="str">
        <f t="shared" si="1467"/>
        <v>New York</v>
      </c>
    </row>
    <row r="1470" spans="1:5">
      <c r="A1470" s="111" t="s">
        <v>12520</v>
      </c>
      <c r="B1470" s="111" t="s">
        <v>188</v>
      </c>
      <c r="C1470" s="111" t="s">
        <v>188</v>
      </c>
      <c r="D1470" s="2" t="str">
        <f t="shared" ref="D1470:E1470" si="1468">TRIM(B1470)</f>
        <v>New York</v>
      </c>
      <c r="E1470" s="2" t="str">
        <f t="shared" si="1468"/>
        <v>New York</v>
      </c>
    </row>
    <row r="1471" spans="1:5">
      <c r="A1471" s="111" t="s">
        <v>12523</v>
      </c>
      <c r="B1471" s="111" t="s">
        <v>188</v>
      </c>
      <c r="C1471" s="111" t="s">
        <v>188</v>
      </c>
      <c r="D1471" s="2" t="str">
        <f t="shared" ref="D1471:E1471" si="1469">TRIM(B1471)</f>
        <v>New York</v>
      </c>
      <c r="E1471" s="2" t="str">
        <f t="shared" si="1469"/>
        <v>New York</v>
      </c>
    </row>
    <row r="1472" spans="1:5">
      <c r="A1472" s="111" t="s">
        <v>12523</v>
      </c>
      <c r="B1472" s="111" t="s">
        <v>188</v>
      </c>
      <c r="C1472" s="111" t="s">
        <v>188</v>
      </c>
      <c r="D1472" s="2" t="str">
        <f t="shared" ref="D1472:E1472" si="1470">TRIM(B1472)</f>
        <v>New York</v>
      </c>
      <c r="E1472" s="2" t="str">
        <f t="shared" si="1470"/>
        <v>New York</v>
      </c>
    </row>
    <row r="1473" spans="1:5">
      <c r="A1473" s="111" t="s">
        <v>12525</v>
      </c>
      <c r="B1473" s="111" t="s">
        <v>188</v>
      </c>
      <c r="C1473" s="111" t="s">
        <v>188</v>
      </c>
      <c r="D1473" s="2" t="str">
        <f t="shared" ref="D1473:E1473" si="1471">TRIM(B1473)</f>
        <v>New York</v>
      </c>
      <c r="E1473" s="2" t="str">
        <f t="shared" si="1471"/>
        <v>New York</v>
      </c>
    </row>
    <row r="1474" spans="1:5">
      <c r="A1474" s="111" t="s">
        <v>12527</v>
      </c>
      <c r="B1474" s="111" t="s">
        <v>188</v>
      </c>
      <c r="C1474" s="111" t="s">
        <v>11566</v>
      </c>
      <c r="D1474" s="2" t="str">
        <f t="shared" ref="D1474:E1474" si="1472">TRIM(B1474)</f>
        <v>New York</v>
      </c>
      <c r="E1474" s="2" t="str">
        <f t="shared" si="1472"/>
        <v>Rochester</v>
      </c>
    </row>
    <row r="1475" spans="1:5">
      <c r="A1475" s="111" t="s">
        <v>12529</v>
      </c>
      <c r="B1475" s="111" t="s">
        <v>188</v>
      </c>
      <c r="C1475" s="111" t="s">
        <v>12530</v>
      </c>
      <c r="D1475" s="2" t="str">
        <f t="shared" ref="D1475:E1475" si="1473">TRIM(B1475)</f>
        <v>New York</v>
      </c>
      <c r="E1475" s="2" t="str">
        <f t="shared" si="1473"/>
        <v>Katonah</v>
      </c>
    </row>
    <row r="1476" spans="1:5">
      <c r="A1476" s="111" t="s">
        <v>12531</v>
      </c>
      <c r="B1476" s="111" t="s">
        <v>188</v>
      </c>
      <c r="C1476" s="111" t="s">
        <v>188</v>
      </c>
      <c r="D1476" s="2" t="str">
        <f t="shared" ref="D1476:E1476" si="1474">TRIM(B1476)</f>
        <v>New York</v>
      </c>
      <c r="E1476" s="2" t="str">
        <f t="shared" si="1474"/>
        <v>New York</v>
      </c>
    </row>
    <row r="1477" spans="1:5">
      <c r="A1477" s="111" t="s">
        <v>12533</v>
      </c>
      <c r="B1477" s="111" t="s">
        <v>188</v>
      </c>
      <c r="C1477" s="111" t="s">
        <v>12534</v>
      </c>
      <c r="D1477" s="2" t="str">
        <f t="shared" ref="D1477:E1477" si="1475">TRIM(B1477)</f>
        <v>New York</v>
      </c>
      <c r="E1477" s="2" t="str">
        <f t="shared" si="1475"/>
        <v>Saint James</v>
      </c>
    </row>
    <row r="1478" spans="1:5">
      <c r="A1478" s="111" t="s">
        <v>12535</v>
      </c>
      <c r="B1478" s="111" t="s">
        <v>188</v>
      </c>
      <c r="C1478" s="111" t="s">
        <v>12536</v>
      </c>
      <c r="D1478" s="2" t="str">
        <f t="shared" ref="D1478:E1478" si="1476">TRIM(B1478)</f>
        <v>New York</v>
      </c>
      <c r="E1478" s="2" t="str">
        <f t="shared" si="1476"/>
        <v>Jamaica</v>
      </c>
    </row>
    <row r="1479" spans="1:5">
      <c r="A1479" s="111" t="s">
        <v>12538</v>
      </c>
      <c r="B1479" s="111" t="s">
        <v>188</v>
      </c>
      <c r="C1479" s="111" t="s">
        <v>12539</v>
      </c>
      <c r="D1479" s="2" t="str">
        <f t="shared" ref="D1479:E1479" si="1477">TRIM(B1479)</f>
        <v>New York</v>
      </c>
      <c r="E1479" s="2" t="str">
        <f t="shared" si="1477"/>
        <v>Dobbs Ferry</v>
      </c>
    </row>
    <row r="1480" spans="1:5">
      <c r="A1480" s="111" t="s">
        <v>12541</v>
      </c>
      <c r="B1480" s="111" t="s">
        <v>188</v>
      </c>
      <c r="C1480" s="111" t="s">
        <v>532</v>
      </c>
      <c r="D1480" s="2" t="str">
        <f t="shared" ref="D1480:E1480" si="1478">TRIM(B1480)</f>
        <v>New York</v>
      </c>
      <c r="E1480" s="2" t="str">
        <f t="shared" si="1478"/>
        <v>Snyder</v>
      </c>
    </row>
    <row r="1481" spans="1:5">
      <c r="A1481" s="111" t="s">
        <v>12543</v>
      </c>
      <c r="B1481" s="111" t="s">
        <v>188</v>
      </c>
      <c r="C1481" s="111" t="s">
        <v>12408</v>
      </c>
      <c r="D1481" s="2" t="str">
        <f t="shared" ref="D1481:E1481" si="1479">TRIM(B1481)</f>
        <v>New York</v>
      </c>
      <c r="E1481" s="2" t="str">
        <f t="shared" si="1479"/>
        <v>Hartsdale</v>
      </c>
    </row>
    <row r="1482" spans="1:5">
      <c r="A1482" s="111" t="s">
        <v>12544</v>
      </c>
      <c r="B1482" s="111" t="s">
        <v>188</v>
      </c>
      <c r="C1482" s="111" t="s">
        <v>188</v>
      </c>
      <c r="D1482" s="2" t="str">
        <f t="shared" ref="D1482:E1482" si="1480">TRIM(B1482)</f>
        <v>New York</v>
      </c>
      <c r="E1482" s="2" t="str">
        <f t="shared" si="1480"/>
        <v>New York</v>
      </c>
    </row>
    <row r="1483" spans="1:5">
      <c r="A1483" s="111" t="s">
        <v>12547</v>
      </c>
      <c r="B1483" s="111" t="s">
        <v>188</v>
      </c>
      <c r="C1483" s="111" t="s">
        <v>12548</v>
      </c>
      <c r="D1483" s="2" t="str">
        <f t="shared" ref="D1483:E1483" si="1481">TRIM(B1483)</f>
        <v>New York</v>
      </c>
      <c r="E1483" s="2" t="str">
        <f t="shared" si="1481"/>
        <v>Stony Brook</v>
      </c>
    </row>
    <row r="1484" spans="1:5">
      <c r="A1484" s="111" t="s">
        <v>12550</v>
      </c>
      <c r="B1484" s="111" t="s">
        <v>188</v>
      </c>
      <c r="C1484" s="113" t="s">
        <v>12551</v>
      </c>
      <c r="D1484" s="2" t="str">
        <f t="shared" ref="D1484:E1484" si="1482">TRIM(B1484)</f>
        <v>New York</v>
      </c>
      <c r="E1484" s="2" t="str">
        <f t="shared" si="1482"/>
        <v>Cornwall On Hudson</v>
      </c>
    </row>
    <row r="1485" spans="1:5">
      <c r="A1485" s="111" t="s">
        <v>12553</v>
      </c>
      <c r="B1485" s="111" t="s">
        <v>188</v>
      </c>
      <c r="C1485" s="111" t="s">
        <v>8159</v>
      </c>
      <c r="D1485" s="2" t="str">
        <f t="shared" ref="D1485:E1485" si="1483">TRIM(B1485)</f>
        <v>New York</v>
      </c>
      <c r="E1485" s="2" t="str">
        <f t="shared" si="1483"/>
        <v>New Rochelle</v>
      </c>
    </row>
    <row r="1486" spans="1:5">
      <c r="A1486" s="111" t="s">
        <v>12555</v>
      </c>
      <c r="B1486" s="111" t="s">
        <v>188</v>
      </c>
      <c r="C1486" s="111" t="s">
        <v>326</v>
      </c>
      <c r="D1486" s="2" t="str">
        <f t="shared" ref="D1486:E1486" si="1484">TRIM(B1486)</f>
        <v>New York</v>
      </c>
      <c r="E1486" s="2" t="str">
        <f t="shared" si="1484"/>
        <v>Brooklyn</v>
      </c>
    </row>
    <row r="1487" spans="1:5">
      <c r="A1487" s="111" t="s">
        <v>12558</v>
      </c>
      <c r="B1487" s="111" t="s">
        <v>188</v>
      </c>
      <c r="C1487" s="111" t="s">
        <v>188</v>
      </c>
      <c r="D1487" s="2" t="str">
        <f t="shared" ref="D1487:E1487" si="1485">TRIM(B1487)</f>
        <v>New York</v>
      </c>
      <c r="E1487" s="2" t="str">
        <f t="shared" si="1485"/>
        <v>New York</v>
      </c>
    </row>
    <row r="1488" spans="1:5">
      <c r="A1488" s="111" t="s">
        <v>12560</v>
      </c>
      <c r="B1488" s="111" t="s">
        <v>188</v>
      </c>
      <c r="C1488" s="111" t="s">
        <v>188</v>
      </c>
      <c r="D1488" s="2" t="str">
        <f t="shared" ref="D1488:E1488" si="1486">TRIM(B1488)</f>
        <v>New York</v>
      </c>
      <c r="E1488" s="2" t="str">
        <f t="shared" si="1486"/>
        <v>New York</v>
      </c>
    </row>
    <row r="1489" spans="1:5">
      <c r="A1489" s="111" t="s">
        <v>12562</v>
      </c>
      <c r="B1489" s="111" t="s">
        <v>188</v>
      </c>
      <c r="C1489" s="111" t="s">
        <v>326</v>
      </c>
      <c r="D1489" s="2" t="str">
        <f t="shared" ref="D1489:E1489" si="1487">TRIM(B1489)</f>
        <v>New York</v>
      </c>
      <c r="E1489" s="2" t="str">
        <f t="shared" si="1487"/>
        <v>Brooklyn</v>
      </c>
    </row>
    <row r="1490" spans="1:5">
      <c r="A1490" s="111" t="s">
        <v>10242</v>
      </c>
      <c r="B1490" s="111" t="s">
        <v>188</v>
      </c>
      <c r="C1490" s="111" t="s">
        <v>12564</v>
      </c>
      <c r="D1490" s="2" t="str">
        <f t="shared" ref="D1490:E1490" si="1488">TRIM(B1490)</f>
        <v>New York</v>
      </c>
      <c r="E1490" s="2" t="str">
        <f t="shared" si="1488"/>
        <v>Whitestone</v>
      </c>
    </row>
    <row r="1491" spans="1:5">
      <c r="A1491" s="111" t="s">
        <v>12566</v>
      </c>
      <c r="B1491" s="111" t="s">
        <v>188</v>
      </c>
      <c r="C1491" s="111" t="s">
        <v>318</v>
      </c>
      <c r="D1491" s="2" t="str">
        <f t="shared" ref="D1491:E1491" si="1489">TRIM(B1491)</f>
        <v>New York</v>
      </c>
      <c r="E1491" s="2" t="str">
        <f t="shared" si="1489"/>
        <v>Flushing</v>
      </c>
    </row>
    <row r="1492" spans="1:5">
      <c r="A1492" s="111" t="s">
        <v>12568</v>
      </c>
      <c r="B1492" s="111" t="s">
        <v>188</v>
      </c>
      <c r="C1492" s="111" t="s">
        <v>8792</v>
      </c>
      <c r="D1492" s="2" t="str">
        <f t="shared" ref="D1492:E1492" si="1490">TRIM(B1492)</f>
        <v>New York</v>
      </c>
      <c r="E1492" s="2" t="str">
        <f t="shared" si="1490"/>
        <v>Woodstock</v>
      </c>
    </row>
    <row r="1493" spans="1:5">
      <c r="A1493" s="111" t="s">
        <v>12570</v>
      </c>
      <c r="B1493" s="111" t="s">
        <v>188</v>
      </c>
      <c r="C1493" s="111" t="s">
        <v>326</v>
      </c>
      <c r="D1493" s="2" t="str">
        <f t="shared" ref="D1493:E1493" si="1491">TRIM(B1493)</f>
        <v>New York</v>
      </c>
      <c r="E1493" s="2" t="str">
        <f t="shared" si="1491"/>
        <v>Brooklyn</v>
      </c>
    </row>
    <row r="1494" spans="1:5">
      <c r="A1494" s="111" t="s">
        <v>9842</v>
      </c>
      <c r="B1494" s="111" t="s">
        <v>188</v>
      </c>
      <c r="C1494" s="111" t="s">
        <v>188</v>
      </c>
      <c r="D1494" s="2" t="str">
        <f t="shared" ref="D1494:E1494" si="1492">TRIM(B1494)</f>
        <v>New York</v>
      </c>
      <c r="E1494" s="2" t="str">
        <f t="shared" si="1492"/>
        <v>New York</v>
      </c>
    </row>
    <row r="1495" spans="1:5">
      <c r="A1495" s="111" t="s">
        <v>12573</v>
      </c>
      <c r="B1495" s="111" t="s">
        <v>188</v>
      </c>
      <c r="C1495" s="111" t="s">
        <v>188</v>
      </c>
      <c r="D1495" s="2" t="str">
        <f t="shared" ref="D1495:E1495" si="1493">TRIM(B1495)</f>
        <v>New York</v>
      </c>
      <c r="E1495" s="2" t="str">
        <f t="shared" si="1493"/>
        <v>New York</v>
      </c>
    </row>
    <row r="1496" spans="1:5">
      <c r="A1496" s="111" t="s">
        <v>12574</v>
      </c>
      <c r="B1496" s="111" t="s">
        <v>1357</v>
      </c>
      <c r="C1496" s="111" t="s">
        <v>12576</v>
      </c>
      <c r="D1496" s="2" t="str">
        <f t="shared" ref="D1496:E1496" si="1494">TRIM(B1496)</f>
        <v>North Carolina</v>
      </c>
      <c r="E1496" s="2" t="str">
        <f t="shared" si="1494"/>
        <v>Shallotte</v>
      </c>
    </row>
    <row r="1497" spans="1:5">
      <c r="A1497" s="111" t="s">
        <v>12577</v>
      </c>
      <c r="B1497" s="111" t="s">
        <v>1357</v>
      </c>
      <c r="C1497" s="111" t="s">
        <v>12578</v>
      </c>
      <c r="D1497" s="2" t="str">
        <f t="shared" ref="D1497:E1497" si="1495">TRIM(B1497)</f>
        <v>North Carolina</v>
      </c>
      <c r="E1497" s="2" t="str">
        <f t="shared" si="1495"/>
        <v>Statesville</v>
      </c>
    </row>
    <row r="1498" spans="1:5">
      <c r="A1498" s="111" t="s">
        <v>12580</v>
      </c>
      <c r="B1498" s="111" t="s">
        <v>1357</v>
      </c>
      <c r="C1498" s="111" t="s">
        <v>4081</v>
      </c>
      <c r="D1498" s="2" t="str">
        <f t="shared" ref="D1498:E1498" si="1496">TRIM(B1498)</f>
        <v>North Carolina</v>
      </c>
      <c r="E1498" s="2" t="str">
        <f t="shared" si="1496"/>
        <v>Kinston</v>
      </c>
    </row>
    <row r="1499" spans="1:5">
      <c r="A1499" s="111" t="s">
        <v>12582</v>
      </c>
      <c r="B1499" s="111" t="s">
        <v>1357</v>
      </c>
      <c r="C1499" s="111" t="s">
        <v>12583</v>
      </c>
      <c r="D1499" s="2" t="str">
        <f t="shared" ref="D1499:E1499" si="1497">TRIM(B1499)</f>
        <v>North Carolina</v>
      </c>
      <c r="E1499" s="2" t="str">
        <f t="shared" si="1497"/>
        <v>Asheville</v>
      </c>
    </row>
    <row r="1500" spans="1:5">
      <c r="A1500" s="111" t="s">
        <v>12585</v>
      </c>
      <c r="B1500" s="111" t="s">
        <v>1357</v>
      </c>
      <c r="C1500" s="111" t="s">
        <v>12586</v>
      </c>
      <c r="D1500" s="2" t="str">
        <f t="shared" ref="D1500:E1500" si="1498">TRIM(B1500)</f>
        <v>North Carolina</v>
      </c>
      <c r="E1500" s="2" t="str">
        <f t="shared" si="1498"/>
        <v>High Point</v>
      </c>
    </row>
    <row r="1501" spans="1:5">
      <c r="A1501" s="111" t="s">
        <v>12587</v>
      </c>
      <c r="B1501" s="111" t="s">
        <v>1357</v>
      </c>
      <c r="C1501" s="111" t="s">
        <v>178</v>
      </c>
      <c r="D1501" s="2" t="str">
        <f t="shared" ref="D1501:E1501" si="1499">TRIM(B1501)</f>
        <v>North Carolina</v>
      </c>
      <c r="E1501" s="2" t="str">
        <f t="shared" si="1499"/>
        <v>Greensboro</v>
      </c>
    </row>
    <row r="1502" spans="1:5">
      <c r="A1502" s="111" t="s">
        <v>10292</v>
      </c>
      <c r="B1502" s="111" t="s">
        <v>1357</v>
      </c>
      <c r="C1502" s="111" t="s">
        <v>12588</v>
      </c>
      <c r="D1502" s="2" t="str">
        <f t="shared" ref="D1502:E1502" si="1500">TRIM(B1502)</f>
        <v>North Carolina</v>
      </c>
      <c r="E1502" s="2" t="str">
        <f t="shared" si="1500"/>
        <v>Winston Salem</v>
      </c>
    </row>
    <row r="1503" spans="1:5">
      <c r="A1503" s="111" t="s">
        <v>12590</v>
      </c>
      <c r="B1503" s="111" t="s">
        <v>1357</v>
      </c>
      <c r="C1503" s="111" t="s">
        <v>12591</v>
      </c>
      <c r="D1503" s="2" t="str">
        <f t="shared" ref="D1503:E1503" si="1501">TRIM(B1503)</f>
        <v>North Carolina</v>
      </c>
      <c r="E1503" s="2" t="str">
        <f t="shared" si="1501"/>
        <v>Lemon Springs</v>
      </c>
    </row>
    <row r="1504" spans="1:5">
      <c r="A1504" s="111" t="s">
        <v>12592</v>
      </c>
      <c r="B1504" s="111" t="s">
        <v>1357</v>
      </c>
      <c r="C1504" s="111" t="s">
        <v>286</v>
      </c>
      <c r="D1504" s="2" t="str">
        <f t="shared" ref="D1504:E1504" si="1502">TRIM(B1504)</f>
        <v>North Carolina</v>
      </c>
      <c r="E1504" s="2" t="str">
        <f t="shared" si="1502"/>
        <v>Concord</v>
      </c>
    </row>
    <row r="1505" spans="1:5">
      <c r="A1505" s="111" t="s">
        <v>12594</v>
      </c>
      <c r="B1505" s="111" t="s">
        <v>1357</v>
      </c>
      <c r="C1505" s="111" t="s">
        <v>272</v>
      </c>
      <c r="D1505" s="2" t="str">
        <f t="shared" ref="D1505:E1505" si="1503">TRIM(B1505)</f>
        <v>North Carolina</v>
      </c>
      <c r="E1505" s="2" t="str">
        <f t="shared" si="1503"/>
        <v>Wilmington</v>
      </c>
    </row>
    <row r="1506" spans="1:5">
      <c r="A1506" s="111" t="s">
        <v>12596</v>
      </c>
      <c r="B1506" s="111" t="s">
        <v>1357</v>
      </c>
      <c r="C1506" s="111" t="s">
        <v>12583</v>
      </c>
      <c r="D1506" s="2" t="str">
        <f t="shared" ref="D1506:E1506" si="1504">TRIM(B1506)</f>
        <v>North Carolina</v>
      </c>
      <c r="E1506" s="2" t="str">
        <f t="shared" si="1504"/>
        <v>Asheville</v>
      </c>
    </row>
    <row r="1507" spans="1:5">
      <c r="A1507" s="111" t="s">
        <v>12599</v>
      </c>
      <c r="B1507" s="111" t="s">
        <v>1357</v>
      </c>
      <c r="C1507" s="111" t="s">
        <v>12191</v>
      </c>
      <c r="D1507" s="2" t="str">
        <f t="shared" ref="D1507:E1507" si="1505">TRIM(B1507)</f>
        <v>North Carolina</v>
      </c>
      <c r="E1507" s="2" t="str">
        <f t="shared" si="1505"/>
        <v>Cary</v>
      </c>
    </row>
    <row r="1508" spans="1:5">
      <c r="A1508" s="111" t="s">
        <v>12601</v>
      </c>
      <c r="B1508" s="111" t="s">
        <v>1357</v>
      </c>
      <c r="C1508" s="111" t="s">
        <v>286</v>
      </c>
      <c r="D1508" s="2" t="str">
        <f t="shared" ref="D1508:E1508" si="1506">TRIM(B1508)</f>
        <v>North Carolina</v>
      </c>
      <c r="E1508" s="2" t="str">
        <f t="shared" si="1506"/>
        <v>Concord</v>
      </c>
    </row>
    <row r="1509" spans="1:5">
      <c r="A1509" s="111" t="s">
        <v>12603</v>
      </c>
      <c r="B1509" s="111" t="s">
        <v>1357</v>
      </c>
      <c r="C1509" s="111" t="s">
        <v>12605</v>
      </c>
      <c r="D1509" s="2" t="str">
        <f t="shared" ref="D1509:E1509" si="1507">TRIM(B1509)</f>
        <v>North Carolina</v>
      </c>
      <c r="E1509" s="2" t="str">
        <f t="shared" si="1507"/>
        <v>Beulaville</v>
      </c>
    </row>
    <row r="1510" spans="1:5">
      <c r="A1510" s="111" t="s">
        <v>12607</v>
      </c>
      <c r="B1510" s="111" t="s">
        <v>1357</v>
      </c>
      <c r="C1510" s="111" t="s">
        <v>283</v>
      </c>
      <c r="D1510" s="2" t="str">
        <f t="shared" ref="D1510:E1510" si="1508">TRIM(B1510)</f>
        <v>North Carolina</v>
      </c>
      <c r="E1510" s="2" t="str">
        <f t="shared" si="1508"/>
        <v>Charlotte</v>
      </c>
    </row>
    <row r="1511" spans="1:5">
      <c r="A1511" s="111" t="s">
        <v>12609</v>
      </c>
      <c r="B1511" s="111" t="s">
        <v>1357</v>
      </c>
      <c r="C1511" s="111" t="s">
        <v>283</v>
      </c>
      <c r="D1511" s="2" t="str">
        <f t="shared" ref="D1511:E1511" si="1509">TRIM(B1511)</f>
        <v>North Carolina</v>
      </c>
      <c r="E1511" s="2" t="str">
        <f t="shared" si="1509"/>
        <v>Charlotte</v>
      </c>
    </row>
    <row r="1512" spans="1:5">
      <c r="A1512" s="111" t="s">
        <v>12610</v>
      </c>
      <c r="B1512" s="111" t="s">
        <v>1357</v>
      </c>
      <c r="C1512" s="111" t="s">
        <v>286</v>
      </c>
      <c r="D1512" s="2" t="str">
        <f t="shared" ref="D1512:E1512" si="1510">TRIM(B1512)</f>
        <v>North Carolina</v>
      </c>
      <c r="E1512" s="2" t="str">
        <f t="shared" si="1510"/>
        <v>Concord</v>
      </c>
    </row>
    <row r="1513" spans="1:5">
      <c r="A1513" s="111" t="s">
        <v>12612</v>
      </c>
      <c r="B1513" s="111" t="s">
        <v>1357</v>
      </c>
      <c r="C1513" s="111" t="s">
        <v>990</v>
      </c>
      <c r="D1513" s="2" t="str">
        <f t="shared" ref="D1513:E1513" si="1511">TRIM(B1513)</f>
        <v>North Carolina</v>
      </c>
      <c r="E1513" s="2" t="str">
        <f t="shared" si="1511"/>
        <v>Davidson</v>
      </c>
    </row>
    <row r="1514" spans="1:5">
      <c r="A1514" s="111" t="s">
        <v>12615</v>
      </c>
      <c r="B1514" s="111" t="s">
        <v>1357</v>
      </c>
      <c r="C1514" s="111" t="s">
        <v>4872</v>
      </c>
      <c r="D1514" s="2" t="str">
        <f t="shared" ref="D1514:E1514" si="1512">TRIM(B1514)</f>
        <v>North Carolina</v>
      </c>
      <c r="E1514" s="2" t="str">
        <f t="shared" si="1512"/>
        <v>Durham</v>
      </c>
    </row>
    <row r="1515" spans="1:5">
      <c r="A1515" s="111" t="s">
        <v>12617</v>
      </c>
      <c r="B1515" s="111" t="s">
        <v>1357</v>
      </c>
      <c r="C1515" s="111" t="s">
        <v>554</v>
      </c>
      <c r="D1515" s="2" t="str">
        <f t="shared" ref="D1515:E1515" si="1513">TRIM(B1515)</f>
        <v>North Carolina</v>
      </c>
      <c r="E1515" s="2" t="str">
        <f t="shared" si="1513"/>
        <v>Fayetteville</v>
      </c>
    </row>
    <row r="1516" spans="1:5">
      <c r="A1516" s="111" t="s">
        <v>12619</v>
      </c>
      <c r="B1516" s="111" t="s">
        <v>1357</v>
      </c>
      <c r="C1516" s="111" t="s">
        <v>12620</v>
      </c>
      <c r="D1516" s="2" t="str">
        <f t="shared" ref="D1516:E1516" si="1514">TRIM(B1516)</f>
        <v>North Carolina</v>
      </c>
      <c r="E1516" s="2" t="str">
        <f t="shared" si="1514"/>
        <v>Fletcher</v>
      </c>
    </row>
    <row r="1517" spans="1:5">
      <c r="A1517" s="111" t="s">
        <v>12622</v>
      </c>
      <c r="B1517" s="111" t="s">
        <v>1357</v>
      </c>
      <c r="C1517" s="111" t="s">
        <v>12623</v>
      </c>
      <c r="D1517" s="2" t="str">
        <f t="shared" ref="D1517:E1517" si="1515">TRIM(B1517)</f>
        <v>North Carolina</v>
      </c>
      <c r="E1517" s="2" t="str">
        <f t="shared" si="1515"/>
        <v>Elizabeth City</v>
      </c>
    </row>
    <row r="1518" spans="1:5">
      <c r="A1518" s="111" t="s">
        <v>12625</v>
      </c>
      <c r="B1518" s="111" t="s">
        <v>1357</v>
      </c>
      <c r="C1518" s="111" t="s">
        <v>12626</v>
      </c>
      <c r="D1518" s="2" t="str">
        <f t="shared" ref="D1518:E1518" si="1516">TRIM(B1518)</f>
        <v>North Carolina</v>
      </c>
      <c r="E1518" s="2" t="str">
        <f t="shared" si="1516"/>
        <v>Gastonia</v>
      </c>
    </row>
    <row r="1519" spans="1:5">
      <c r="A1519" s="111" t="s">
        <v>12628</v>
      </c>
      <c r="B1519" s="111" t="s">
        <v>1357</v>
      </c>
      <c r="C1519" s="111" t="s">
        <v>12629</v>
      </c>
      <c r="D1519" s="2" t="str">
        <f t="shared" ref="D1519:E1519" si="1517">TRIM(B1519)</f>
        <v>North Carolina</v>
      </c>
      <c r="E1519" s="2" t="str">
        <f t="shared" si="1517"/>
        <v>Gibsonville</v>
      </c>
    </row>
    <row r="1520" spans="1:5">
      <c r="A1520" s="111" t="s">
        <v>12631</v>
      </c>
      <c r="B1520" s="111" t="s">
        <v>1357</v>
      </c>
      <c r="C1520" s="111" t="s">
        <v>4278</v>
      </c>
      <c r="D1520" s="2" t="str">
        <f t="shared" ref="D1520:E1520" si="1518">TRIM(B1520)</f>
        <v>North Carolina</v>
      </c>
      <c r="E1520" s="2" t="str">
        <f t="shared" si="1518"/>
        <v>Wilson</v>
      </c>
    </row>
    <row r="1521" spans="1:5">
      <c r="A1521" s="111" t="s">
        <v>12632</v>
      </c>
      <c r="B1521" s="111" t="s">
        <v>1357</v>
      </c>
      <c r="C1521" s="111" t="s">
        <v>178</v>
      </c>
      <c r="D1521" s="2" t="str">
        <f t="shared" ref="D1521:E1521" si="1519">TRIM(B1521)</f>
        <v>North Carolina</v>
      </c>
      <c r="E1521" s="2" t="str">
        <f t="shared" si="1519"/>
        <v>Greensboro</v>
      </c>
    </row>
    <row r="1522" spans="1:5">
      <c r="A1522" s="111" t="s">
        <v>12633</v>
      </c>
      <c r="B1522" s="111" t="s">
        <v>1357</v>
      </c>
      <c r="C1522" s="111" t="s">
        <v>12634</v>
      </c>
      <c r="D1522" s="2" t="str">
        <f t="shared" ref="D1522:E1522" si="1520">TRIM(B1522)</f>
        <v>North Carolina</v>
      </c>
      <c r="E1522" s="2" t="str">
        <f t="shared" si="1520"/>
        <v>Matthews</v>
      </c>
    </row>
    <row r="1523" spans="1:5">
      <c r="A1523" s="111" t="s">
        <v>10025</v>
      </c>
      <c r="B1523" s="111" t="s">
        <v>1357</v>
      </c>
      <c r="C1523" s="111" t="s">
        <v>12637</v>
      </c>
      <c r="D1523" s="2" t="str">
        <f t="shared" ref="D1523:E1523" si="1521">TRIM(B1523)</f>
        <v>North Carolina</v>
      </c>
      <c r="E1523" s="2" t="str">
        <f t="shared" si="1521"/>
        <v>Roanoke Rapids</v>
      </c>
    </row>
    <row r="1524" spans="1:5">
      <c r="A1524" s="111" t="s">
        <v>12640</v>
      </c>
      <c r="B1524" s="111" t="s">
        <v>1357</v>
      </c>
      <c r="C1524" s="111" t="s">
        <v>12641</v>
      </c>
      <c r="D1524" s="2" t="str">
        <f t="shared" ref="D1524:E1524" si="1522">TRIM(B1524)</f>
        <v>North Carolina</v>
      </c>
      <c r="E1524" s="2" t="str">
        <f t="shared" si="1522"/>
        <v>Red Springs</v>
      </c>
    </row>
    <row r="1525" spans="1:5">
      <c r="A1525" s="111" t="s">
        <v>12643</v>
      </c>
      <c r="B1525" s="111" t="s">
        <v>1357</v>
      </c>
      <c r="C1525" s="111" t="s">
        <v>12644</v>
      </c>
      <c r="D1525" s="2" t="str">
        <f t="shared" ref="D1525:E1525" si="1523">TRIM(B1525)</f>
        <v>North Carolina</v>
      </c>
      <c r="E1525" s="2" t="str">
        <f t="shared" si="1523"/>
        <v>Hobgood</v>
      </c>
    </row>
    <row r="1526" spans="1:5">
      <c r="A1526" s="111" t="s">
        <v>12645</v>
      </c>
      <c r="B1526" s="111" t="s">
        <v>1357</v>
      </c>
      <c r="C1526" s="111" t="s">
        <v>12191</v>
      </c>
      <c r="D1526" s="2" t="str">
        <f t="shared" ref="D1526:E1526" si="1524">TRIM(B1526)</f>
        <v>North Carolina</v>
      </c>
      <c r="E1526" s="2" t="str">
        <f t="shared" si="1524"/>
        <v>Cary</v>
      </c>
    </row>
    <row r="1527" spans="1:5">
      <c r="A1527" s="111" t="s">
        <v>12646</v>
      </c>
      <c r="B1527" s="111" t="s">
        <v>1357</v>
      </c>
      <c r="C1527" s="111" t="s">
        <v>7970</v>
      </c>
      <c r="D1527" s="2" t="str">
        <f t="shared" ref="D1527:E1527" si="1525">TRIM(B1527)</f>
        <v>North Carolina</v>
      </c>
      <c r="E1527" s="2" t="str">
        <f t="shared" si="1525"/>
        <v>Henderson</v>
      </c>
    </row>
    <row r="1528" spans="1:5">
      <c r="A1528" s="111" t="s">
        <v>12647</v>
      </c>
      <c r="B1528" s="111" t="s">
        <v>1357</v>
      </c>
      <c r="C1528" s="111" t="s">
        <v>8404</v>
      </c>
      <c r="D1528" s="2" t="str">
        <f t="shared" ref="D1528:E1528" si="1526">TRIM(B1528)</f>
        <v>North Carolina</v>
      </c>
      <c r="E1528" s="2" t="str">
        <f t="shared" si="1526"/>
        <v>Danbury</v>
      </c>
    </row>
    <row r="1529" spans="1:5">
      <c r="A1529" s="76" t="s">
        <v>10694</v>
      </c>
      <c r="B1529" s="111" t="s">
        <v>1357</v>
      </c>
      <c r="C1529" s="111" t="s">
        <v>283</v>
      </c>
      <c r="D1529" s="2" t="str">
        <f t="shared" ref="D1529:E1529" si="1527">TRIM(B1529)</f>
        <v>North Carolina</v>
      </c>
      <c r="E1529" s="2" t="str">
        <f t="shared" si="1527"/>
        <v>Charlotte</v>
      </c>
    </row>
    <row r="1530" spans="1:5">
      <c r="A1530" s="111" t="s">
        <v>12648</v>
      </c>
      <c r="B1530" s="111" t="s">
        <v>1357</v>
      </c>
      <c r="C1530" s="111" t="s">
        <v>12649</v>
      </c>
      <c r="D1530" s="2" t="str">
        <f t="shared" ref="D1530:E1530" si="1528">TRIM(B1530)</f>
        <v>North Carolina</v>
      </c>
      <c r="E1530" s="2" t="str">
        <f t="shared" si="1528"/>
        <v>Laurinburg</v>
      </c>
    </row>
    <row r="1531" spans="1:5">
      <c r="A1531" s="111" t="s">
        <v>11298</v>
      </c>
      <c r="B1531" s="111" t="s">
        <v>1357</v>
      </c>
      <c r="C1531" s="111" t="s">
        <v>12650</v>
      </c>
      <c r="D1531" s="2" t="str">
        <f t="shared" ref="D1531:E1531" si="1529">TRIM(B1531)</f>
        <v>North Carolina</v>
      </c>
      <c r="E1531" s="2" t="str">
        <f t="shared" si="1529"/>
        <v>Merry Hill</v>
      </c>
    </row>
    <row r="1532" spans="1:5">
      <c r="A1532" s="111" t="s">
        <v>12652</v>
      </c>
      <c r="B1532" s="111" t="s">
        <v>1357</v>
      </c>
      <c r="C1532" s="111" t="s">
        <v>1045</v>
      </c>
      <c r="D1532" s="2" t="str">
        <f t="shared" ref="D1532:E1532" si="1530">TRIM(B1532)</f>
        <v>North Carolina</v>
      </c>
      <c r="E1532" s="2" t="str">
        <f t="shared" si="1530"/>
        <v>Jacksonville</v>
      </c>
    </row>
    <row r="1533" spans="1:5">
      <c r="A1533" s="111" t="s">
        <v>12653</v>
      </c>
      <c r="B1533" s="111" t="s">
        <v>1357</v>
      </c>
      <c r="C1533" s="111" t="s">
        <v>12654</v>
      </c>
      <c r="D1533" s="2" t="str">
        <f t="shared" ref="D1533:E1533" si="1531">TRIM(B1533)</f>
        <v>North Carolina</v>
      </c>
      <c r="E1533" s="2" t="str">
        <f t="shared" si="1531"/>
        <v>Candler</v>
      </c>
    </row>
    <row r="1534" spans="1:5">
      <c r="A1534" s="111" t="s">
        <v>12656</v>
      </c>
      <c r="B1534" s="111" t="s">
        <v>1357</v>
      </c>
      <c r="C1534" s="111" t="s">
        <v>12658</v>
      </c>
      <c r="D1534" s="2" t="str">
        <f t="shared" ref="D1534:E1534" si="1532">TRIM(B1534)</f>
        <v>North Carolina</v>
      </c>
      <c r="E1534" s="2" t="str">
        <f t="shared" si="1532"/>
        <v>Convoer</v>
      </c>
    </row>
    <row r="1535" spans="1:5">
      <c r="A1535" s="111" t="s">
        <v>12661</v>
      </c>
      <c r="B1535" s="111" t="s">
        <v>1357</v>
      </c>
      <c r="C1535" s="111" t="s">
        <v>12662</v>
      </c>
      <c r="D1535" s="2" t="str">
        <f t="shared" ref="D1535:E1535" si="1533">TRIM(B1535)</f>
        <v>North Carolina</v>
      </c>
      <c r="E1535" s="2" t="str">
        <f t="shared" si="1533"/>
        <v>Lasker</v>
      </c>
    </row>
    <row r="1536" spans="1:5">
      <c r="A1536" s="111" t="s">
        <v>12665</v>
      </c>
      <c r="B1536" s="111" t="s">
        <v>1357</v>
      </c>
      <c r="C1536" s="111" t="s">
        <v>554</v>
      </c>
      <c r="D1536" s="2" t="str">
        <f t="shared" ref="D1536:E1536" si="1534">TRIM(B1536)</f>
        <v>North Carolina</v>
      </c>
      <c r="E1536" s="2" t="str">
        <f t="shared" si="1534"/>
        <v>Fayetteville</v>
      </c>
    </row>
    <row r="1537" spans="1:5">
      <c r="A1537" s="111" t="s">
        <v>12667</v>
      </c>
      <c r="B1537" s="111" t="s">
        <v>1357</v>
      </c>
      <c r="C1537" s="111" t="s">
        <v>6284</v>
      </c>
      <c r="D1537" s="2" t="str">
        <f t="shared" ref="D1537:E1537" si="1535">TRIM(B1537)</f>
        <v>North Carolina</v>
      </c>
      <c r="E1537" s="2" t="str">
        <f t="shared" si="1535"/>
        <v>Oak Ridge</v>
      </c>
    </row>
    <row r="1538" spans="1:5">
      <c r="A1538" s="111" t="s">
        <v>12668</v>
      </c>
      <c r="B1538" s="111" t="s">
        <v>1357</v>
      </c>
      <c r="C1538" s="111" t="s">
        <v>12583</v>
      </c>
      <c r="D1538" s="2" t="str">
        <f t="shared" ref="D1538:E1538" si="1536">TRIM(B1538)</f>
        <v>North Carolina</v>
      </c>
      <c r="E1538" s="2" t="str">
        <f t="shared" si="1536"/>
        <v>Asheville</v>
      </c>
    </row>
    <row r="1539" spans="1:5">
      <c r="A1539" s="111" t="s">
        <v>12669</v>
      </c>
      <c r="B1539" s="111" t="s">
        <v>1357</v>
      </c>
      <c r="C1539" s="111" t="s">
        <v>272</v>
      </c>
      <c r="D1539" s="2" t="str">
        <f t="shared" ref="D1539:E1539" si="1537">TRIM(B1539)</f>
        <v>North Carolina</v>
      </c>
      <c r="E1539" s="2" t="str">
        <f t="shared" si="1537"/>
        <v>Wilmington</v>
      </c>
    </row>
    <row r="1540" spans="1:5">
      <c r="A1540" s="111" t="s">
        <v>12670</v>
      </c>
      <c r="B1540" s="111" t="s">
        <v>1357</v>
      </c>
      <c r="C1540" s="111" t="s">
        <v>283</v>
      </c>
      <c r="D1540" s="2" t="str">
        <f t="shared" ref="D1540:E1540" si="1538">TRIM(B1540)</f>
        <v>North Carolina</v>
      </c>
      <c r="E1540" s="2" t="str">
        <f t="shared" si="1538"/>
        <v>Charlotte</v>
      </c>
    </row>
    <row r="1541" spans="1:5">
      <c r="A1541" s="111" t="s">
        <v>12671</v>
      </c>
      <c r="B1541" s="111" t="s">
        <v>1357</v>
      </c>
      <c r="C1541" s="111" t="s">
        <v>12672</v>
      </c>
      <c r="D1541" s="2" t="str">
        <f t="shared" ref="D1541:E1541" si="1539">TRIM(B1541)</f>
        <v>North Carolina</v>
      </c>
      <c r="E1541" s="2" t="str">
        <f t="shared" si="1539"/>
        <v>Raleigh</v>
      </c>
    </row>
    <row r="1542" spans="1:5">
      <c r="A1542" s="111" t="s">
        <v>12673</v>
      </c>
      <c r="B1542" s="111" t="s">
        <v>1357</v>
      </c>
      <c r="C1542" s="111" t="s">
        <v>12674</v>
      </c>
      <c r="D1542" s="2" t="str">
        <f t="shared" ref="D1542:E1542" si="1540">TRIM(B1542)</f>
        <v>North Carolina</v>
      </c>
      <c r="E1542" s="2" t="str">
        <f t="shared" si="1540"/>
        <v>Ahoskie</v>
      </c>
    </row>
    <row r="1543" spans="1:5">
      <c r="A1543" s="111" t="s">
        <v>12675</v>
      </c>
      <c r="B1543" s="111" t="s">
        <v>1357</v>
      </c>
      <c r="C1543" s="111" t="s">
        <v>12676</v>
      </c>
      <c r="D1543" s="2" t="str">
        <f t="shared" ref="D1543:E1543" si="1541">TRIM(B1543)</f>
        <v>North Carolina</v>
      </c>
      <c r="E1543" s="2" t="str">
        <f t="shared" si="1541"/>
        <v>Rocky Mount</v>
      </c>
    </row>
    <row r="1544" spans="1:5">
      <c r="A1544" s="111" t="s">
        <v>12677</v>
      </c>
      <c r="B1544" s="111" t="s">
        <v>1357</v>
      </c>
      <c r="C1544" s="111" t="s">
        <v>12588</v>
      </c>
      <c r="D1544" s="2" t="str">
        <f t="shared" ref="D1544:E1544" si="1542">TRIM(B1544)</f>
        <v>North Carolina</v>
      </c>
      <c r="E1544" s="2" t="str">
        <f t="shared" si="1542"/>
        <v>Winston Salem</v>
      </c>
    </row>
    <row r="1545" spans="1:5">
      <c r="A1545" s="76" t="s">
        <v>12678</v>
      </c>
      <c r="B1545" s="111" t="s">
        <v>1357</v>
      </c>
      <c r="C1545" s="111" t="s">
        <v>12672</v>
      </c>
      <c r="D1545" s="2" t="str">
        <f t="shared" ref="D1545:E1545" si="1543">TRIM(B1545)</f>
        <v>North Carolina</v>
      </c>
      <c r="E1545" s="2" t="str">
        <f t="shared" si="1543"/>
        <v>Raleigh</v>
      </c>
    </row>
    <row r="1546" spans="1:5">
      <c r="A1546" s="111" t="s">
        <v>9604</v>
      </c>
      <c r="B1546" s="111" t="s">
        <v>1357</v>
      </c>
      <c r="C1546" s="111" t="s">
        <v>12679</v>
      </c>
      <c r="D1546" s="2" t="str">
        <f t="shared" ref="D1546:E1546" si="1544">TRIM(B1546)</f>
        <v>North Carolina</v>
      </c>
      <c r="E1546" s="2" t="str">
        <f t="shared" si="1544"/>
        <v>Maggie Valley</v>
      </c>
    </row>
    <row r="1547" spans="1:5">
      <c r="A1547" s="76" t="s">
        <v>12680</v>
      </c>
      <c r="B1547" s="111" t="s">
        <v>1357</v>
      </c>
      <c r="C1547" s="111" t="s">
        <v>12672</v>
      </c>
      <c r="D1547" s="2" t="str">
        <f t="shared" ref="D1547:E1547" si="1545">TRIM(B1547)</f>
        <v>North Carolina</v>
      </c>
      <c r="E1547" s="2" t="str">
        <f t="shared" si="1545"/>
        <v>Raleigh</v>
      </c>
    </row>
    <row r="1548" spans="1:5">
      <c r="A1548" s="111" t="s">
        <v>11494</v>
      </c>
      <c r="B1548" s="111" t="s">
        <v>1357</v>
      </c>
      <c r="C1548" s="111" t="s">
        <v>12672</v>
      </c>
      <c r="D1548" s="2" t="str">
        <f t="shared" ref="D1548:E1548" si="1546">TRIM(B1548)</f>
        <v>North Carolina</v>
      </c>
      <c r="E1548" s="2" t="str">
        <f t="shared" si="1546"/>
        <v>Raleigh</v>
      </c>
    </row>
    <row r="1549" spans="1:5">
      <c r="A1549" s="111" t="s">
        <v>12681</v>
      </c>
      <c r="B1549" s="111" t="s">
        <v>1357</v>
      </c>
      <c r="C1549" s="111" t="s">
        <v>12682</v>
      </c>
      <c r="D1549" s="2" t="str">
        <f t="shared" ref="D1549:E1549" si="1547">TRIM(B1549)</f>
        <v>North Carolina</v>
      </c>
      <c r="E1549" s="2" t="str">
        <f t="shared" si="1547"/>
        <v>Garner</v>
      </c>
    </row>
    <row r="1550" spans="1:5">
      <c r="A1550" s="111" t="s">
        <v>12683</v>
      </c>
      <c r="B1550" s="111" t="s">
        <v>1357</v>
      </c>
      <c r="C1550" s="111" t="s">
        <v>12684</v>
      </c>
      <c r="D1550" s="2" t="str">
        <f t="shared" ref="D1550:E1550" si="1548">TRIM(B1550)</f>
        <v>North Carolina</v>
      </c>
      <c r="E1550" s="2" t="str">
        <f t="shared" si="1548"/>
        <v>Rolesville</v>
      </c>
    </row>
    <row r="1551" spans="1:5">
      <c r="A1551" s="111" t="s">
        <v>12685</v>
      </c>
      <c r="B1551" s="111" t="s">
        <v>1357</v>
      </c>
      <c r="C1551" s="111" t="s">
        <v>7667</v>
      </c>
      <c r="D1551" s="2" t="str">
        <f t="shared" ref="D1551:E1551" si="1549">TRIM(B1551)</f>
        <v>North Carolina</v>
      </c>
      <c r="E1551" s="2" t="str">
        <f t="shared" si="1549"/>
        <v>Burlington</v>
      </c>
    </row>
    <row r="1552" spans="1:5">
      <c r="A1552" s="111" t="s">
        <v>12686</v>
      </c>
      <c r="B1552" s="111" t="s">
        <v>1357</v>
      </c>
      <c r="C1552" s="111" t="s">
        <v>12687</v>
      </c>
      <c r="D1552" s="2" t="str">
        <f t="shared" ref="D1552:E1552" si="1550">TRIM(B1552)</f>
        <v>North Carolina</v>
      </c>
      <c r="E1552" s="2" t="str">
        <f t="shared" si="1550"/>
        <v>New Bern</v>
      </c>
    </row>
    <row r="1553" spans="1:5">
      <c r="A1553" s="111" t="s">
        <v>12690</v>
      </c>
      <c r="B1553" s="111" t="s">
        <v>1357</v>
      </c>
      <c r="C1553" s="111" t="s">
        <v>12691</v>
      </c>
      <c r="D1553" s="2" t="str">
        <f t="shared" ref="D1553:E1553" si="1551">TRIM(B1553)</f>
        <v>North Carolina</v>
      </c>
      <c r="E1553" s="2" t="str">
        <f t="shared" si="1551"/>
        <v>Southern Pines</v>
      </c>
    </row>
    <row r="1554" spans="1:5">
      <c r="A1554" s="111" t="s">
        <v>12694</v>
      </c>
      <c r="B1554" s="111" t="s">
        <v>1357</v>
      </c>
      <c r="C1554" s="111" t="s">
        <v>1804</v>
      </c>
      <c r="D1554" s="2" t="str">
        <f t="shared" ref="D1554:E1554" si="1552">TRIM(B1554)</f>
        <v>North Carolina</v>
      </c>
      <c r="E1554" s="2" t="str">
        <f t="shared" si="1552"/>
        <v>Greenville</v>
      </c>
    </row>
    <row r="1555" spans="1:5">
      <c r="A1555" s="111" t="s">
        <v>12695</v>
      </c>
      <c r="B1555" s="111" t="s">
        <v>1357</v>
      </c>
      <c r="C1555" s="111" t="s">
        <v>7461</v>
      </c>
      <c r="D1555" s="2" t="str">
        <f t="shared" ref="D1555:E1555" si="1553">TRIM(B1555)</f>
        <v>North Carolina</v>
      </c>
      <c r="E1555" s="2" t="str">
        <f t="shared" si="1553"/>
        <v>Weaverville</v>
      </c>
    </row>
    <row r="1556" spans="1:5">
      <c r="A1556" s="111" t="s">
        <v>12697</v>
      </c>
      <c r="B1556" s="111" t="s">
        <v>1357</v>
      </c>
      <c r="C1556" s="111" t="s">
        <v>12698</v>
      </c>
      <c r="D1556" s="2" t="str">
        <f t="shared" ref="D1556:E1556" si="1554">TRIM(B1556)</f>
        <v>North Carolina</v>
      </c>
      <c r="E1556" s="2" t="str">
        <f t="shared" si="1554"/>
        <v>Wake Forest</v>
      </c>
    </row>
    <row r="1557" spans="1:5">
      <c r="A1557" s="111" t="s">
        <v>12699</v>
      </c>
      <c r="B1557" s="111" t="s">
        <v>1357</v>
      </c>
      <c r="C1557" s="111" t="s">
        <v>272</v>
      </c>
      <c r="D1557" s="2" t="str">
        <f t="shared" ref="D1557:E1557" si="1555">TRIM(B1557)</f>
        <v>North Carolina</v>
      </c>
      <c r="E1557" s="2" t="str">
        <f t="shared" si="1555"/>
        <v>Wilmington</v>
      </c>
    </row>
    <row r="1558" spans="1:5">
      <c r="A1558" s="111" t="s">
        <v>12701</v>
      </c>
      <c r="B1558" s="111" t="s">
        <v>1357</v>
      </c>
      <c r="C1558" s="111" t="s">
        <v>12702</v>
      </c>
      <c r="D1558" s="2" t="str">
        <f t="shared" ref="D1558:E1558" si="1556">TRIM(B1558)</f>
        <v>North Carolina</v>
      </c>
      <c r="E1558" s="2" t="str">
        <f t="shared" si="1556"/>
        <v>Goldsboro</v>
      </c>
    </row>
    <row r="1559" spans="1:5">
      <c r="A1559" s="111" t="s">
        <v>12703</v>
      </c>
      <c r="B1559" s="111" t="s">
        <v>1357</v>
      </c>
      <c r="C1559" s="111" t="s">
        <v>12586</v>
      </c>
      <c r="D1559" s="2" t="str">
        <f t="shared" ref="D1559:E1559" si="1557">TRIM(B1559)</f>
        <v>North Carolina</v>
      </c>
      <c r="E1559" s="2" t="str">
        <f t="shared" si="1557"/>
        <v>High Point</v>
      </c>
    </row>
    <row r="1560" spans="1:5">
      <c r="A1560" s="111" t="s">
        <v>12705</v>
      </c>
      <c r="B1560" s="111" t="s">
        <v>1357</v>
      </c>
      <c r="C1560" s="111" t="s">
        <v>12706</v>
      </c>
      <c r="D1560" s="2" t="str">
        <f t="shared" ref="D1560:E1560" si="1558">TRIM(B1560)</f>
        <v>North Carolina</v>
      </c>
      <c r="E1560" s="2" t="str">
        <f t="shared" si="1558"/>
        <v>Mars Hill</v>
      </c>
    </row>
    <row r="1561" spans="1:5">
      <c r="A1561" s="111" t="s">
        <v>12708</v>
      </c>
      <c r="B1561" s="111" t="s">
        <v>1357</v>
      </c>
      <c r="C1561" s="111" t="s">
        <v>990</v>
      </c>
      <c r="D1561" s="2" t="str">
        <f t="shared" ref="D1561:E1561" si="1559">TRIM(B1561)</f>
        <v>North Carolina</v>
      </c>
      <c r="E1561" s="2" t="str">
        <f t="shared" si="1559"/>
        <v>Davidson</v>
      </c>
    </row>
    <row r="1562" spans="1:5">
      <c r="A1562" s="111" t="s">
        <v>12710</v>
      </c>
      <c r="B1562" s="111" t="s">
        <v>1359</v>
      </c>
      <c r="C1562" s="111" t="s">
        <v>3626</v>
      </c>
      <c r="D1562" s="2" t="str">
        <f t="shared" ref="D1562:E1562" si="1560">TRIM(B1562)</f>
        <v>North Dakota</v>
      </c>
      <c r="E1562" s="2" t="str">
        <f t="shared" si="1560"/>
        <v>Bismarck</v>
      </c>
    </row>
    <row r="1563" spans="1:5">
      <c r="A1563" s="111" t="s">
        <v>12713</v>
      </c>
      <c r="B1563" s="111" t="s">
        <v>1359</v>
      </c>
      <c r="C1563" s="111" t="s">
        <v>3626</v>
      </c>
      <c r="D1563" s="2" t="str">
        <f t="shared" ref="D1563:E1563" si="1561">TRIM(B1563)</f>
        <v>North Dakota</v>
      </c>
      <c r="E1563" s="2" t="str">
        <f t="shared" si="1561"/>
        <v>Bismarck</v>
      </c>
    </row>
    <row r="1564" spans="1:5">
      <c r="A1564" s="111" t="s">
        <v>12716</v>
      </c>
      <c r="B1564" s="111" t="s">
        <v>1359</v>
      </c>
      <c r="C1564" s="111" t="s">
        <v>12717</v>
      </c>
      <c r="D1564" s="2" t="str">
        <f t="shared" ref="D1564:E1564" si="1562">TRIM(B1564)</f>
        <v>North Dakota</v>
      </c>
      <c r="E1564" s="2" t="str">
        <f t="shared" si="1562"/>
        <v>Fort Yates</v>
      </c>
    </row>
    <row r="1565" spans="1:5">
      <c r="A1565" s="111" t="s">
        <v>12719</v>
      </c>
      <c r="B1565" s="111" t="s">
        <v>1361</v>
      </c>
      <c r="C1565" s="111" t="s">
        <v>9246</v>
      </c>
      <c r="D1565" s="2" t="str">
        <f t="shared" ref="D1565:E1565" si="1563">TRIM(B1565)</f>
        <v>Ohio</v>
      </c>
      <c r="E1565" s="2" t="str">
        <f t="shared" si="1563"/>
        <v>Freeport</v>
      </c>
    </row>
    <row r="1566" spans="1:5">
      <c r="A1566" s="111" t="s">
        <v>12721</v>
      </c>
      <c r="B1566" s="111" t="s">
        <v>1361</v>
      </c>
      <c r="C1566" s="111" t="s">
        <v>665</v>
      </c>
      <c r="D1566" s="2" t="str">
        <f t="shared" ref="D1566:E1566" si="1564">TRIM(B1566)</f>
        <v>Ohio</v>
      </c>
      <c r="E1566" s="2" t="str">
        <f t="shared" si="1564"/>
        <v>Cincinnati</v>
      </c>
    </row>
    <row r="1567" spans="1:5">
      <c r="A1567" s="111" t="s">
        <v>12722</v>
      </c>
      <c r="B1567" s="111" t="s">
        <v>1361</v>
      </c>
      <c r="C1567" s="111" t="s">
        <v>12723</v>
      </c>
      <c r="D1567" s="2" t="str">
        <f t="shared" ref="D1567:E1567" si="1565">TRIM(B1567)</f>
        <v>Ohio</v>
      </c>
      <c r="E1567" s="2" t="str">
        <f t="shared" si="1565"/>
        <v>Kettering</v>
      </c>
    </row>
    <row r="1568" spans="1:5">
      <c r="A1568" s="111" t="s">
        <v>12725</v>
      </c>
      <c r="B1568" s="111" t="s">
        <v>1361</v>
      </c>
      <c r="C1568" s="111" t="s">
        <v>614</v>
      </c>
      <c r="D1568" s="2" t="str">
        <f t="shared" ref="D1568:E1568" si="1566">TRIM(B1568)</f>
        <v>Ohio</v>
      </c>
      <c r="E1568" s="2" t="str">
        <f t="shared" si="1566"/>
        <v>Akron</v>
      </c>
    </row>
    <row r="1569" spans="1:5">
      <c r="A1569" s="111" t="s">
        <v>12728</v>
      </c>
      <c r="B1569" s="111" t="s">
        <v>1361</v>
      </c>
      <c r="C1569" s="111" t="s">
        <v>665</v>
      </c>
      <c r="D1569" s="2" t="str">
        <f t="shared" ref="D1569:E1569" si="1567">TRIM(B1569)</f>
        <v>Ohio</v>
      </c>
      <c r="E1569" s="2" t="str">
        <f t="shared" si="1567"/>
        <v>Cincinnati</v>
      </c>
    </row>
    <row r="1570" spans="1:5">
      <c r="A1570" s="111" t="s">
        <v>12731</v>
      </c>
      <c r="B1570" s="111" t="s">
        <v>1361</v>
      </c>
      <c r="C1570" s="111" t="s">
        <v>127</v>
      </c>
      <c r="D1570" s="2" t="str">
        <f t="shared" ref="D1570:E1570" si="1568">TRIM(B1570)</f>
        <v>Ohio</v>
      </c>
      <c r="E1570" s="2" t="str">
        <f t="shared" si="1568"/>
        <v>Cleveland</v>
      </c>
    </row>
    <row r="1571" spans="1:5">
      <c r="A1571" s="111" t="s">
        <v>11245</v>
      </c>
      <c r="B1571" s="111" t="s">
        <v>1361</v>
      </c>
      <c r="C1571" s="111" t="s">
        <v>500</v>
      </c>
      <c r="D1571" s="2" t="str">
        <f t="shared" ref="D1571:E1571" si="1569">TRIM(B1571)</f>
        <v>Ohio</v>
      </c>
      <c r="E1571" s="2" t="str">
        <f t="shared" si="1569"/>
        <v>Middletown</v>
      </c>
    </row>
    <row r="1572" spans="1:5">
      <c r="A1572" s="111" t="s">
        <v>12734</v>
      </c>
      <c r="B1572" s="111" t="s">
        <v>1361</v>
      </c>
      <c r="C1572" s="111" t="s">
        <v>138</v>
      </c>
      <c r="D1572" s="2" t="str">
        <f t="shared" ref="D1572:E1572" si="1570">TRIM(B1572)</f>
        <v>Ohio</v>
      </c>
      <c r="E1572" s="2" t="str">
        <f t="shared" si="1570"/>
        <v>Columbus</v>
      </c>
    </row>
    <row r="1573" spans="1:5">
      <c r="A1573" s="111" t="s">
        <v>12736</v>
      </c>
      <c r="B1573" s="111" t="s">
        <v>1361</v>
      </c>
      <c r="C1573" s="111" t="s">
        <v>138</v>
      </c>
      <c r="D1573" s="2" t="str">
        <f t="shared" ref="D1573:E1573" si="1571">TRIM(B1573)</f>
        <v>Ohio</v>
      </c>
      <c r="E1573" s="2" t="str">
        <f t="shared" si="1571"/>
        <v>Columbus</v>
      </c>
    </row>
    <row r="1574" spans="1:5">
      <c r="A1574" s="111" t="s">
        <v>12737</v>
      </c>
      <c r="B1574" s="111" t="s">
        <v>1361</v>
      </c>
      <c r="C1574" s="111" t="s">
        <v>12738</v>
      </c>
      <c r="D1574" s="2" t="str">
        <f t="shared" ref="D1574:E1574" si="1572">TRIM(B1574)</f>
        <v>Ohio</v>
      </c>
      <c r="E1574" s="2" t="str">
        <f t="shared" si="1572"/>
        <v>Zanesville</v>
      </c>
    </row>
    <row r="1575" spans="1:5">
      <c r="A1575" s="111" t="s">
        <v>12740</v>
      </c>
      <c r="B1575" s="111" t="s">
        <v>1361</v>
      </c>
      <c r="C1575" s="111" t="s">
        <v>138</v>
      </c>
      <c r="D1575" s="2" t="str">
        <f t="shared" ref="D1575:E1575" si="1573">TRIM(B1575)</f>
        <v>Ohio</v>
      </c>
      <c r="E1575" s="2" t="str">
        <f t="shared" si="1573"/>
        <v>Columbus</v>
      </c>
    </row>
    <row r="1576" spans="1:5">
      <c r="A1576" s="111" t="s">
        <v>12741</v>
      </c>
      <c r="B1576" s="111" t="s">
        <v>1361</v>
      </c>
      <c r="C1576" s="111" t="s">
        <v>1585</v>
      </c>
      <c r="D1576" s="2" t="str">
        <f t="shared" ref="D1576:E1576" si="1574">TRIM(B1576)</f>
        <v>Ohio</v>
      </c>
      <c r="E1576" s="2" t="str">
        <f t="shared" si="1574"/>
        <v>Bremen</v>
      </c>
    </row>
    <row r="1577" spans="1:5">
      <c r="A1577" s="76" t="s">
        <v>12743</v>
      </c>
      <c r="B1577" s="111" t="s">
        <v>1361</v>
      </c>
      <c r="C1577" s="111" t="s">
        <v>665</v>
      </c>
      <c r="D1577" s="2" t="str">
        <f t="shared" ref="D1577:E1577" si="1575">TRIM(B1577)</f>
        <v>Ohio</v>
      </c>
      <c r="E1577" s="2" t="str">
        <f t="shared" si="1575"/>
        <v>Cincinnati</v>
      </c>
    </row>
    <row r="1578" spans="1:5">
      <c r="A1578" s="111" t="s">
        <v>2074</v>
      </c>
      <c r="B1578" s="111" t="s">
        <v>1361</v>
      </c>
      <c r="C1578" s="111" t="s">
        <v>568</v>
      </c>
      <c r="D1578" s="2" t="str">
        <f t="shared" ref="D1578:E1578" si="1576">TRIM(B1578)</f>
        <v>Ohio</v>
      </c>
      <c r="E1578" s="2" t="str">
        <f t="shared" si="1576"/>
        <v>Dayton</v>
      </c>
    </row>
    <row r="1579" spans="1:5">
      <c r="A1579" s="111" t="s">
        <v>12747</v>
      </c>
      <c r="B1579" s="111" t="s">
        <v>1361</v>
      </c>
      <c r="C1579" s="111" t="s">
        <v>568</v>
      </c>
      <c r="D1579" s="2" t="str">
        <f t="shared" ref="D1579:E1579" si="1577">TRIM(B1579)</f>
        <v>Ohio</v>
      </c>
      <c r="E1579" s="2" t="str">
        <f t="shared" si="1577"/>
        <v>Dayton</v>
      </c>
    </row>
    <row r="1580" spans="1:5">
      <c r="A1580" s="111" t="s">
        <v>12750</v>
      </c>
      <c r="B1580" s="111" t="s">
        <v>1361</v>
      </c>
      <c r="C1580" s="111" t="s">
        <v>568</v>
      </c>
      <c r="D1580" s="2" t="str">
        <f t="shared" ref="D1580:E1580" si="1578">TRIM(B1580)</f>
        <v>Ohio</v>
      </c>
      <c r="E1580" s="2" t="str">
        <f t="shared" si="1578"/>
        <v>Dayton</v>
      </c>
    </row>
    <row r="1581" spans="1:5">
      <c r="A1581" s="111" t="s">
        <v>12752</v>
      </c>
      <c r="B1581" s="111" t="s">
        <v>1361</v>
      </c>
      <c r="C1581" s="111" t="s">
        <v>665</v>
      </c>
      <c r="D1581" s="2" t="str">
        <f t="shared" ref="D1581:E1581" si="1579">TRIM(B1581)</f>
        <v>Ohio</v>
      </c>
      <c r="E1581" s="2" t="str">
        <f t="shared" si="1579"/>
        <v>Cincinnati</v>
      </c>
    </row>
    <row r="1582" spans="1:5">
      <c r="A1582" s="111" t="s">
        <v>12756</v>
      </c>
      <c r="B1582" s="111" t="s">
        <v>1361</v>
      </c>
      <c r="C1582" s="111" t="s">
        <v>12757</v>
      </c>
      <c r="D1582" s="2" t="str">
        <f t="shared" ref="D1582:E1582" si="1580">TRIM(B1582)</f>
        <v>Ohio</v>
      </c>
      <c r="E1582" s="2" t="str">
        <f t="shared" si="1580"/>
        <v>Beachwood</v>
      </c>
    </row>
    <row r="1583" spans="1:5">
      <c r="A1583" s="111" t="s">
        <v>12760</v>
      </c>
      <c r="B1583" s="111" t="s">
        <v>1361</v>
      </c>
      <c r="C1583" s="111" t="s">
        <v>12761</v>
      </c>
      <c r="D1583" s="2" t="str">
        <f t="shared" ref="D1583:E1583" si="1581">TRIM(B1583)</f>
        <v>Ohio</v>
      </c>
      <c r="E1583" s="2" t="str">
        <f t="shared" si="1581"/>
        <v>Gates Mills</v>
      </c>
    </row>
    <row r="1584" spans="1:5">
      <c r="A1584" s="111" t="s">
        <v>12763</v>
      </c>
      <c r="B1584" s="111" t="s">
        <v>1361</v>
      </c>
      <c r="C1584" s="111" t="s">
        <v>12764</v>
      </c>
      <c r="D1584" s="2" t="str">
        <f t="shared" ref="D1584:E1584" si="1582">TRIM(B1584)</f>
        <v>Ohio</v>
      </c>
      <c r="E1584" s="2" t="str">
        <f t="shared" si="1582"/>
        <v>Austinburg</v>
      </c>
    </row>
    <row r="1585" spans="1:5">
      <c r="A1585" s="111" t="s">
        <v>12765</v>
      </c>
      <c r="B1585" s="111" t="s">
        <v>1361</v>
      </c>
      <c r="C1585" s="113" t="s">
        <v>12767</v>
      </c>
      <c r="D1585" s="2" t="str">
        <f t="shared" ref="D1585:E1585" si="1583">TRIM(B1585)</f>
        <v>Ohio</v>
      </c>
      <c r="E1585" s="2" t="str">
        <f t="shared" si="1583"/>
        <v>Canal Winchester</v>
      </c>
    </row>
    <row r="1586" spans="1:5">
      <c r="A1586" s="111" t="s">
        <v>12769</v>
      </c>
      <c r="B1586" s="111" t="s">
        <v>1361</v>
      </c>
      <c r="C1586" s="111" t="s">
        <v>1142</v>
      </c>
      <c r="D1586" s="2" t="str">
        <f t="shared" ref="D1586:E1586" si="1584">TRIM(B1586)</f>
        <v>Ohio</v>
      </c>
      <c r="E1586" s="2" t="str">
        <f t="shared" si="1584"/>
        <v>Shaker Heights</v>
      </c>
    </row>
    <row r="1587" spans="1:5">
      <c r="A1587" s="111" t="s">
        <v>12770</v>
      </c>
      <c r="B1587" s="111" t="s">
        <v>1361</v>
      </c>
      <c r="C1587" s="111" t="s">
        <v>12761</v>
      </c>
      <c r="D1587" s="2" t="str">
        <f t="shared" ref="D1587:E1587" si="1585">TRIM(B1587)</f>
        <v>Ohio</v>
      </c>
      <c r="E1587" s="2" t="str">
        <f t="shared" si="1585"/>
        <v>Gates Mills</v>
      </c>
    </row>
    <row r="1588" spans="1:5">
      <c r="A1588" s="111" t="s">
        <v>11297</v>
      </c>
      <c r="B1588" s="111" t="s">
        <v>1361</v>
      </c>
      <c r="C1588" s="111" t="s">
        <v>12774</v>
      </c>
      <c r="D1588" s="2" t="str">
        <f t="shared" ref="D1588:E1588" si="1586">TRIM(B1588)</f>
        <v>Ohio</v>
      </c>
      <c r="E1588" s="2" t="str">
        <f t="shared" si="1586"/>
        <v>Parma Heights</v>
      </c>
    </row>
    <row r="1589" spans="1:5">
      <c r="A1589" s="111" t="s">
        <v>12777</v>
      </c>
      <c r="B1589" s="111" t="s">
        <v>1361</v>
      </c>
      <c r="C1589" s="111" t="s">
        <v>12778</v>
      </c>
      <c r="D1589" s="2" t="str">
        <f t="shared" ref="D1589:E1589" si="1587">TRIM(B1589)</f>
        <v>Ohio</v>
      </c>
      <c r="E1589" s="2" t="str">
        <f t="shared" si="1587"/>
        <v>North Ridgeville</v>
      </c>
    </row>
    <row r="1590" spans="1:5">
      <c r="A1590" s="111" t="s">
        <v>12781</v>
      </c>
      <c r="B1590" s="111" t="s">
        <v>1361</v>
      </c>
      <c r="C1590" s="111" t="s">
        <v>1142</v>
      </c>
      <c r="D1590" s="2" t="str">
        <f t="shared" ref="D1590:E1590" si="1588">TRIM(B1590)</f>
        <v>Ohio</v>
      </c>
      <c r="E1590" s="2" t="str">
        <f t="shared" si="1588"/>
        <v>Shaker Heights</v>
      </c>
    </row>
    <row r="1591" spans="1:5">
      <c r="A1591" s="111" t="s">
        <v>12784</v>
      </c>
      <c r="B1591" s="111" t="s">
        <v>1361</v>
      </c>
      <c r="C1591" s="111" t="s">
        <v>12785</v>
      </c>
      <c r="D1591" s="2" t="str">
        <f t="shared" ref="D1591:E1591" si="1589">TRIM(B1591)</f>
        <v>Ohio</v>
      </c>
      <c r="E1591" s="2" t="str">
        <f t="shared" si="1589"/>
        <v>South Euclid</v>
      </c>
    </row>
    <row r="1592" spans="1:5">
      <c r="A1592" s="111" t="s">
        <v>12787</v>
      </c>
      <c r="B1592" s="111" t="s">
        <v>1361</v>
      </c>
      <c r="C1592" s="111" t="s">
        <v>12788</v>
      </c>
      <c r="D1592" s="2" t="str">
        <f t="shared" ref="D1592:E1592" si="1590">TRIM(B1592)</f>
        <v>Ohio</v>
      </c>
      <c r="E1592" s="2" t="str">
        <f t="shared" si="1590"/>
        <v>Rocky River</v>
      </c>
    </row>
    <row r="1593" spans="1:5">
      <c r="A1593" s="111" t="s">
        <v>12790</v>
      </c>
      <c r="B1593" s="111" t="s">
        <v>1361</v>
      </c>
      <c r="C1593" s="112" t="s">
        <v>12792</v>
      </c>
      <c r="D1593" s="2" t="str">
        <f t="shared" ref="D1593:E1593" si="1591">TRIM(B1593)</f>
        <v>Ohio</v>
      </c>
      <c r="E1593" s="2" t="str">
        <f t="shared" si="1591"/>
        <v>Mason</v>
      </c>
    </row>
    <row r="1594" spans="1:5">
      <c r="A1594" s="111" t="s">
        <v>12795</v>
      </c>
      <c r="B1594" s="111" t="s">
        <v>1361</v>
      </c>
      <c r="C1594" s="111" t="s">
        <v>309</v>
      </c>
      <c r="D1594" s="2" t="str">
        <f t="shared" ref="D1594:E1594" si="1592">TRIM(B1594)</f>
        <v>Ohio</v>
      </c>
      <c r="E1594" s="2" t="str">
        <f t="shared" si="1592"/>
        <v>Toledo</v>
      </c>
    </row>
    <row r="1595" spans="1:5">
      <c r="A1595" s="111" t="s">
        <v>12797</v>
      </c>
      <c r="B1595" s="111" t="s">
        <v>1361</v>
      </c>
      <c r="C1595" s="111" t="s">
        <v>665</v>
      </c>
      <c r="D1595" s="2" t="str">
        <f t="shared" ref="D1595:E1595" si="1593">TRIM(B1595)</f>
        <v>Ohio</v>
      </c>
      <c r="E1595" s="2" t="str">
        <f t="shared" si="1593"/>
        <v>Cincinnati</v>
      </c>
    </row>
    <row r="1596" spans="1:5">
      <c r="A1596" s="111" t="s">
        <v>12799</v>
      </c>
      <c r="B1596" s="111" t="s">
        <v>1361</v>
      </c>
      <c r="C1596" s="111" t="s">
        <v>665</v>
      </c>
      <c r="D1596" s="2" t="str">
        <f t="shared" ref="D1596:E1596" si="1594">TRIM(B1596)</f>
        <v>Ohio</v>
      </c>
      <c r="E1596" s="2" t="str">
        <f t="shared" si="1594"/>
        <v>Cincinnati</v>
      </c>
    </row>
    <row r="1597" spans="1:5">
      <c r="A1597" s="111" t="s">
        <v>10360</v>
      </c>
      <c r="B1597" s="111" t="s">
        <v>1361</v>
      </c>
      <c r="C1597" s="111" t="s">
        <v>309</v>
      </c>
      <c r="D1597" s="2" t="str">
        <f t="shared" ref="D1597:E1597" si="1595">TRIM(B1597)</f>
        <v>Ohio</v>
      </c>
      <c r="E1597" s="2" t="str">
        <f t="shared" si="1595"/>
        <v>Toledo</v>
      </c>
    </row>
    <row r="1598" spans="1:5">
      <c r="A1598" s="111" t="s">
        <v>12804</v>
      </c>
      <c r="B1598" s="111" t="s">
        <v>1361</v>
      </c>
      <c r="C1598" s="111" t="s">
        <v>12806</v>
      </c>
      <c r="D1598" s="2" t="str">
        <f t="shared" ref="D1598:E1598" si="1596">TRIM(B1598)</f>
        <v>Ohio</v>
      </c>
      <c r="E1598" s="2" t="str">
        <f t="shared" si="1596"/>
        <v>Portsmouth</v>
      </c>
    </row>
    <row r="1599" spans="1:5">
      <c r="A1599" s="111" t="s">
        <v>12809</v>
      </c>
      <c r="B1599" s="111" t="s">
        <v>1361</v>
      </c>
      <c r="C1599" s="111" t="s">
        <v>10425</v>
      </c>
      <c r="D1599" s="2" t="str">
        <f t="shared" ref="D1599:E1599" si="1597">TRIM(B1599)</f>
        <v>Ohio</v>
      </c>
      <c r="E1599" s="2" t="str">
        <f t="shared" si="1597"/>
        <v>Barnesville</v>
      </c>
    </row>
    <row r="1600" spans="1:5">
      <c r="A1600" s="111" t="s">
        <v>12811</v>
      </c>
      <c r="B1600" s="111" t="s">
        <v>1361</v>
      </c>
      <c r="C1600" s="111" t="s">
        <v>614</v>
      </c>
      <c r="D1600" s="2" t="str">
        <f t="shared" ref="D1600:E1600" si="1598">TRIM(B1600)</f>
        <v>Ohio</v>
      </c>
      <c r="E1600" s="2" t="str">
        <f t="shared" si="1598"/>
        <v>Akron</v>
      </c>
    </row>
    <row r="1601" spans="1:5">
      <c r="A1601" s="111" t="s">
        <v>12815</v>
      </c>
      <c r="B1601" s="111" t="s">
        <v>1361</v>
      </c>
      <c r="C1601" s="111" t="s">
        <v>11850</v>
      </c>
      <c r="D1601" s="2" t="str">
        <f t="shared" ref="D1601:E1601" si="1599">TRIM(B1601)</f>
        <v>Ohio</v>
      </c>
      <c r="E1601" s="2" t="str">
        <f t="shared" si="1599"/>
        <v>Parma</v>
      </c>
    </row>
    <row r="1602" spans="1:5">
      <c r="A1602" s="111" t="s">
        <v>12818</v>
      </c>
      <c r="B1602" s="111" t="s">
        <v>1361</v>
      </c>
      <c r="C1602" s="111" t="s">
        <v>10420</v>
      </c>
      <c r="D1602" s="2" t="str">
        <f t="shared" ref="D1602:E1602" si="1600">TRIM(B1602)</f>
        <v>Ohio</v>
      </c>
      <c r="E1602" s="2" t="str">
        <f t="shared" si="1600"/>
        <v>Bainbridge</v>
      </c>
    </row>
    <row r="1603" spans="1:5">
      <c r="A1603" s="111" t="s">
        <v>12821</v>
      </c>
      <c r="B1603" s="111" t="s">
        <v>1361</v>
      </c>
      <c r="C1603" s="111" t="s">
        <v>12806</v>
      </c>
      <c r="D1603" s="2" t="str">
        <f t="shared" ref="D1603:E1603" si="1601">TRIM(B1603)</f>
        <v>Ohio</v>
      </c>
      <c r="E1603" s="2" t="str">
        <f t="shared" si="1601"/>
        <v>Portsmouth</v>
      </c>
    </row>
    <row r="1604" spans="1:5">
      <c r="A1604" s="111" t="s">
        <v>12822</v>
      </c>
      <c r="B1604" s="111" t="s">
        <v>1361</v>
      </c>
      <c r="C1604" s="111" t="s">
        <v>665</v>
      </c>
      <c r="D1604" s="2" t="str">
        <f t="shared" ref="D1604:E1604" si="1602">TRIM(B1604)</f>
        <v>Ohio</v>
      </c>
      <c r="E1604" s="2" t="str">
        <f t="shared" si="1602"/>
        <v>Cincinnati</v>
      </c>
    </row>
    <row r="1605" spans="1:5">
      <c r="A1605" s="111" t="s">
        <v>12824</v>
      </c>
      <c r="B1605" s="111" t="s">
        <v>1361</v>
      </c>
      <c r="C1605" s="111" t="s">
        <v>665</v>
      </c>
      <c r="D1605" s="2" t="str">
        <f t="shared" ref="D1605:E1605" si="1603">TRIM(B1605)</f>
        <v>Ohio</v>
      </c>
      <c r="E1605" s="2" t="str">
        <f t="shared" si="1603"/>
        <v>Cincinnati</v>
      </c>
    </row>
    <row r="1606" spans="1:5">
      <c r="A1606" s="111" t="s">
        <v>12826</v>
      </c>
      <c r="B1606" s="111" t="s">
        <v>1361</v>
      </c>
      <c r="C1606" s="111" t="s">
        <v>12792</v>
      </c>
      <c r="D1606" s="2" t="str">
        <f t="shared" ref="D1606:E1606" si="1604">TRIM(B1606)</f>
        <v>Ohio</v>
      </c>
      <c r="E1606" s="2" t="str">
        <f t="shared" si="1604"/>
        <v>Mason</v>
      </c>
    </row>
    <row r="1607" spans="1:5">
      <c r="A1607" s="111" t="s">
        <v>12829</v>
      </c>
      <c r="B1607" s="111" t="s">
        <v>1361</v>
      </c>
      <c r="C1607" s="111" t="s">
        <v>12830</v>
      </c>
      <c r="D1607" s="2" t="str">
        <f t="shared" ref="D1607:E1607" si="1605">TRIM(B1607)</f>
        <v>Ohio</v>
      </c>
      <c r="E1607" s="2" t="str">
        <f t="shared" si="1605"/>
        <v>Centerville</v>
      </c>
    </row>
    <row r="1608" spans="1:5">
      <c r="A1608" s="111" t="s">
        <v>12832</v>
      </c>
      <c r="B1608" s="111" t="s">
        <v>1361</v>
      </c>
      <c r="C1608" s="111" t="s">
        <v>665</v>
      </c>
      <c r="D1608" s="2" t="str">
        <f t="shared" ref="D1608:E1608" si="1606">TRIM(B1608)</f>
        <v>Ohio</v>
      </c>
      <c r="E1608" s="2" t="str">
        <f t="shared" si="1606"/>
        <v>Cincinnati</v>
      </c>
    </row>
    <row r="1609" spans="1:5">
      <c r="A1609" s="111" t="s">
        <v>12835</v>
      </c>
      <c r="B1609" s="111" t="s">
        <v>1361</v>
      </c>
      <c r="C1609" s="111" t="s">
        <v>609</v>
      </c>
      <c r="D1609" s="2" t="str">
        <f t="shared" ref="D1609:E1609" si="1607">TRIM(B1609)</f>
        <v>Ohio</v>
      </c>
      <c r="E1609" s="2" t="str">
        <f t="shared" si="1607"/>
        <v>Lakewood</v>
      </c>
    </row>
    <row r="1610" spans="1:5">
      <c r="A1610" s="111" t="s">
        <v>12837</v>
      </c>
      <c r="B1610" s="111" t="s">
        <v>1361</v>
      </c>
      <c r="C1610" s="112" t="s">
        <v>138</v>
      </c>
      <c r="D1610" s="2" t="str">
        <f t="shared" ref="D1610:E1610" si="1608">TRIM(B1610)</f>
        <v>Ohio</v>
      </c>
      <c r="E1610" s="2" t="str">
        <f t="shared" si="1608"/>
        <v>Columbus</v>
      </c>
    </row>
    <row r="1611" spans="1:5">
      <c r="A1611" s="111" t="s">
        <v>12841</v>
      </c>
      <c r="B1611" s="111" t="s">
        <v>1361</v>
      </c>
      <c r="C1611" s="111" t="s">
        <v>309</v>
      </c>
      <c r="D1611" s="2" t="str">
        <f t="shared" ref="D1611:E1611" si="1609">TRIM(B1611)</f>
        <v>Ohio</v>
      </c>
      <c r="E1611" s="2" t="str">
        <f t="shared" si="1609"/>
        <v>Toledo</v>
      </c>
    </row>
    <row r="1612" spans="1:5">
      <c r="A1612" s="111" t="s">
        <v>12844</v>
      </c>
      <c r="B1612" s="111" t="s">
        <v>1361</v>
      </c>
      <c r="C1612" s="111" t="s">
        <v>127</v>
      </c>
      <c r="D1612" s="2" t="str">
        <f t="shared" ref="D1612:E1612" si="1610">TRIM(B1612)</f>
        <v>Ohio</v>
      </c>
      <c r="E1612" s="2" t="str">
        <f t="shared" si="1610"/>
        <v>Cleveland</v>
      </c>
    </row>
    <row r="1613" spans="1:5">
      <c r="A1613" s="111" t="s">
        <v>12847</v>
      </c>
      <c r="B1613" s="111" t="s">
        <v>1361</v>
      </c>
      <c r="C1613" s="111" t="s">
        <v>4281</v>
      </c>
      <c r="D1613" s="2" t="str">
        <f t="shared" ref="D1613:E1613" si="1611">TRIM(B1613)</f>
        <v>Ohio</v>
      </c>
      <c r="E1613" s="2" t="str">
        <f t="shared" si="1611"/>
        <v>Bellaire</v>
      </c>
    </row>
    <row r="1614" spans="1:5">
      <c r="A1614" s="111" t="s">
        <v>10949</v>
      </c>
      <c r="B1614" s="111" t="s">
        <v>1361</v>
      </c>
      <c r="C1614" s="111" t="s">
        <v>12849</v>
      </c>
      <c r="D1614" s="2" t="str">
        <f t="shared" ref="D1614:E1614" si="1612">TRIM(B1614)</f>
        <v>Ohio</v>
      </c>
      <c r="E1614" s="2" t="str">
        <f t="shared" si="1612"/>
        <v>Delphos</v>
      </c>
    </row>
    <row r="1615" spans="1:5">
      <c r="A1615" s="111" t="s">
        <v>12851</v>
      </c>
      <c r="B1615" s="111" t="s">
        <v>1361</v>
      </c>
      <c r="C1615" s="111" t="s">
        <v>12852</v>
      </c>
      <c r="D1615" s="2" t="str">
        <f t="shared" ref="D1615:E1615" si="1613">TRIM(B1615)</f>
        <v>Ohio</v>
      </c>
      <c r="E1615" s="2" t="str">
        <f t="shared" si="1613"/>
        <v>Ashtabula</v>
      </c>
    </row>
    <row r="1616" spans="1:5">
      <c r="A1616" s="111" t="s">
        <v>9604</v>
      </c>
      <c r="B1616" s="111" t="s">
        <v>1361</v>
      </c>
      <c r="C1616" s="111" t="s">
        <v>127</v>
      </c>
      <c r="D1616" s="2" t="str">
        <f t="shared" ref="D1616:E1616" si="1614">TRIM(B1616)</f>
        <v>Ohio</v>
      </c>
      <c r="E1616" s="2" t="str">
        <f t="shared" si="1614"/>
        <v>Cleveland</v>
      </c>
    </row>
    <row r="1617" spans="1:5">
      <c r="A1617" s="111" t="s">
        <v>9606</v>
      </c>
      <c r="B1617" s="111" t="s">
        <v>1361</v>
      </c>
      <c r="C1617" s="111" t="s">
        <v>12854</v>
      </c>
      <c r="D1617" s="2" t="str">
        <f t="shared" ref="D1617:E1617" si="1615">TRIM(B1617)</f>
        <v>Ohio</v>
      </c>
      <c r="E1617" s="2" t="str">
        <f t="shared" si="1615"/>
        <v>Ironton</v>
      </c>
    </row>
    <row r="1618" spans="1:5">
      <c r="A1618" s="111" t="s">
        <v>12855</v>
      </c>
      <c r="B1618" s="111" t="s">
        <v>1361</v>
      </c>
      <c r="C1618" s="111" t="s">
        <v>127</v>
      </c>
      <c r="D1618" s="2" t="str">
        <f t="shared" ref="D1618:E1618" si="1616">TRIM(B1618)</f>
        <v>Ohio</v>
      </c>
      <c r="E1618" s="2" t="str">
        <f t="shared" si="1616"/>
        <v>Cleveland</v>
      </c>
    </row>
    <row r="1619" spans="1:5">
      <c r="A1619" s="111" t="s">
        <v>12858</v>
      </c>
      <c r="B1619" s="111" t="s">
        <v>1361</v>
      </c>
      <c r="C1619" s="111" t="s">
        <v>12859</v>
      </c>
      <c r="D1619" s="2" t="str">
        <f t="shared" ref="D1619:E1619" si="1617">TRIM(B1619)</f>
        <v>Ohio</v>
      </c>
      <c r="E1619" s="2" t="str">
        <f t="shared" si="1617"/>
        <v>Richfield</v>
      </c>
    </row>
    <row r="1620" spans="1:5">
      <c r="A1620" s="111" t="s">
        <v>10156</v>
      </c>
      <c r="B1620" s="111" t="s">
        <v>1361</v>
      </c>
      <c r="C1620" s="111" t="s">
        <v>494</v>
      </c>
      <c r="D1620" s="2" t="str">
        <f t="shared" ref="D1620:E1620" si="1618">TRIM(B1620)</f>
        <v>Ohio</v>
      </c>
      <c r="E1620" s="2" t="str">
        <f t="shared" si="1618"/>
        <v>Louisville</v>
      </c>
    </row>
    <row r="1621" spans="1:5">
      <c r="A1621" s="111" t="s">
        <v>12863</v>
      </c>
      <c r="B1621" s="111" t="s">
        <v>1361</v>
      </c>
      <c r="C1621" s="111" t="s">
        <v>665</v>
      </c>
      <c r="D1621" s="2" t="str">
        <f t="shared" ref="D1621:E1621" si="1619">TRIM(B1621)</f>
        <v>Ohio</v>
      </c>
      <c r="E1621" s="2" t="str">
        <f t="shared" si="1619"/>
        <v>Cincinnati</v>
      </c>
    </row>
    <row r="1622" spans="1:5">
      <c r="A1622" s="111" t="s">
        <v>12863</v>
      </c>
      <c r="B1622" s="111" t="s">
        <v>1361</v>
      </c>
      <c r="C1622" s="112" t="s">
        <v>309</v>
      </c>
      <c r="D1622" s="2" t="str">
        <f t="shared" ref="D1622:E1622" si="1620">TRIM(B1622)</f>
        <v>Ohio</v>
      </c>
      <c r="E1622" s="2" t="str">
        <f t="shared" si="1620"/>
        <v>Toledo</v>
      </c>
    </row>
    <row r="1623" spans="1:5">
      <c r="A1623" s="111" t="s">
        <v>12863</v>
      </c>
      <c r="B1623" s="111" t="s">
        <v>1361</v>
      </c>
      <c r="C1623" s="111" t="s">
        <v>665</v>
      </c>
      <c r="D1623" s="2" t="str">
        <f t="shared" ref="D1623:E1623" si="1621">TRIM(B1623)</f>
        <v>Ohio</v>
      </c>
      <c r="E1623" s="2" t="str">
        <f t="shared" si="1621"/>
        <v>Cincinnati</v>
      </c>
    </row>
    <row r="1624" spans="1:5">
      <c r="A1624" s="111" t="s">
        <v>12868</v>
      </c>
      <c r="B1624" s="111" t="s">
        <v>1361</v>
      </c>
      <c r="C1624" s="111" t="s">
        <v>614</v>
      </c>
      <c r="D1624" s="2" t="str">
        <f t="shared" ref="D1624:E1624" si="1622">TRIM(B1624)</f>
        <v>Ohio</v>
      </c>
      <c r="E1624" s="2" t="str">
        <f t="shared" si="1622"/>
        <v>Akron</v>
      </c>
    </row>
    <row r="1625" spans="1:5">
      <c r="A1625" s="111" t="s">
        <v>10844</v>
      </c>
      <c r="B1625" s="111" t="s">
        <v>1361</v>
      </c>
      <c r="C1625" s="111" t="s">
        <v>665</v>
      </c>
      <c r="D1625" s="2" t="str">
        <f t="shared" ref="D1625:E1625" si="1623">TRIM(B1625)</f>
        <v>Ohio</v>
      </c>
      <c r="E1625" s="2" t="str">
        <f t="shared" si="1623"/>
        <v>Cincinnati</v>
      </c>
    </row>
    <row r="1626" spans="1:5">
      <c r="A1626" s="76" t="s">
        <v>12872</v>
      </c>
      <c r="B1626" s="111" t="s">
        <v>1361</v>
      </c>
      <c r="C1626" s="112" t="s">
        <v>2997</v>
      </c>
      <c r="D1626" s="2" t="str">
        <f t="shared" ref="D1626:E1626" si="1624">TRIM(B1626)</f>
        <v>Ohio</v>
      </c>
      <c r="E1626" s="2" t="str">
        <f t="shared" si="1624"/>
        <v>Mansfield</v>
      </c>
    </row>
    <row r="1627" spans="1:5">
      <c r="A1627" s="111" t="s">
        <v>12875</v>
      </c>
      <c r="B1627" s="111" t="s">
        <v>1361</v>
      </c>
      <c r="C1627" s="111" t="s">
        <v>344</v>
      </c>
      <c r="D1627" s="2" t="str">
        <f t="shared" ref="D1627:E1627" si="1625">TRIM(B1627)</f>
        <v>Ohio</v>
      </c>
      <c r="E1627" s="2" t="str">
        <f t="shared" si="1625"/>
        <v>Hamilton</v>
      </c>
    </row>
    <row r="1628" spans="1:5">
      <c r="A1628" s="111" t="s">
        <v>10646</v>
      </c>
      <c r="B1628" s="111" t="s">
        <v>1361</v>
      </c>
      <c r="C1628" s="111" t="s">
        <v>12877</v>
      </c>
      <c r="D1628" s="2" t="str">
        <f t="shared" ref="D1628:E1628" si="1626">TRIM(B1628)</f>
        <v>Ohio</v>
      </c>
      <c r="E1628" s="2" t="str">
        <f t="shared" si="1626"/>
        <v>Wickliffe</v>
      </c>
    </row>
    <row r="1629" spans="1:5">
      <c r="A1629" s="111" t="s">
        <v>12880</v>
      </c>
      <c r="B1629" s="111" t="s">
        <v>1361</v>
      </c>
      <c r="C1629" s="111" t="s">
        <v>12881</v>
      </c>
      <c r="D1629" s="2" t="str">
        <f t="shared" ref="D1629:E1629" si="1627">TRIM(B1629)</f>
        <v>Ohio</v>
      </c>
      <c r="E1629" s="2" t="str">
        <f t="shared" si="1627"/>
        <v>Springboro</v>
      </c>
    </row>
    <row r="1630" spans="1:5">
      <c r="A1630" s="111" t="s">
        <v>12883</v>
      </c>
      <c r="B1630" s="111" t="s">
        <v>1361</v>
      </c>
      <c r="C1630" s="111" t="s">
        <v>665</v>
      </c>
      <c r="D1630" s="2" t="str">
        <f t="shared" ref="D1630:E1630" si="1628">TRIM(B1630)</f>
        <v>Ohio</v>
      </c>
      <c r="E1630" s="2" t="str">
        <f t="shared" si="1628"/>
        <v>Cincinnati</v>
      </c>
    </row>
    <row r="1631" spans="1:5">
      <c r="A1631" s="111" t="s">
        <v>12885</v>
      </c>
      <c r="B1631" s="111" t="s">
        <v>1361</v>
      </c>
      <c r="C1631" s="111" t="s">
        <v>138</v>
      </c>
      <c r="D1631" s="2" t="str">
        <f t="shared" ref="D1631:E1631" si="1629">TRIM(B1631)</f>
        <v>Ohio</v>
      </c>
      <c r="E1631" s="2" t="str">
        <f t="shared" si="1629"/>
        <v>Columbus</v>
      </c>
    </row>
    <row r="1632" spans="1:5">
      <c r="A1632" s="111" t="s">
        <v>12888</v>
      </c>
      <c r="B1632" s="111" t="s">
        <v>1361</v>
      </c>
      <c r="C1632" s="111" t="s">
        <v>12889</v>
      </c>
      <c r="D1632" s="2" t="str">
        <f t="shared" ref="D1632:E1632" si="1630">TRIM(B1632)</f>
        <v>Ohio</v>
      </c>
      <c r="E1632" s="2" t="str">
        <f t="shared" si="1630"/>
        <v>Chagrin Falls</v>
      </c>
    </row>
    <row r="1633" spans="1:5">
      <c r="A1633" s="111" t="s">
        <v>12892</v>
      </c>
      <c r="B1633" s="111" t="s">
        <v>1361</v>
      </c>
      <c r="C1633" s="112" t="s">
        <v>665</v>
      </c>
      <c r="D1633" s="2" t="str">
        <f t="shared" ref="D1633:E1633" si="1631">TRIM(B1633)</f>
        <v>Ohio</v>
      </c>
      <c r="E1633" s="2" t="str">
        <f t="shared" si="1631"/>
        <v>Cincinnati</v>
      </c>
    </row>
    <row r="1634" spans="1:5">
      <c r="A1634" s="111" t="s">
        <v>12894</v>
      </c>
      <c r="B1634" s="111" t="s">
        <v>1361</v>
      </c>
      <c r="C1634" s="111" t="s">
        <v>12895</v>
      </c>
      <c r="D1634" s="2" t="str">
        <f t="shared" ref="D1634:E1634" si="1632">TRIM(B1634)</f>
        <v>Ohio</v>
      </c>
      <c r="E1634" s="2" t="str">
        <f t="shared" si="1632"/>
        <v>Youngstown</v>
      </c>
    </row>
    <row r="1635" spans="1:5">
      <c r="A1635" s="111" t="s">
        <v>12897</v>
      </c>
      <c r="B1635" s="111" t="s">
        <v>1361</v>
      </c>
      <c r="C1635" s="111" t="s">
        <v>12898</v>
      </c>
      <c r="D1635" s="2" t="str">
        <f t="shared" ref="D1635:E1635" si="1633">TRIM(B1635)</f>
        <v>Ohio</v>
      </c>
      <c r="E1635" s="2" t="str">
        <f t="shared" si="1633"/>
        <v>Powell</v>
      </c>
    </row>
    <row r="1636" spans="1:5">
      <c r="A1636" s="111" t="s">
        <v>12902</v>
      </c>
      <c r="B1636" s="111" t="s">
        <v>1361</v>
      </c>
      <c r="C1636" s="111" t="s">
        <v>886</v>
      </c>
      <c r="D1636" s="2" t="str">
        <f t="shared" ref="D1636:E1636" si="1634">TRIM(B1636)</f>
        <v>Ohio</v>
      </c>
      <c r="E1636" s="2" t="str">
        <f t="shared" si="1634"/>
        <v>Hudson</v>
      </c>
    </row>
    <row r="1637" spans="1:5">
      <c r="A1637" s="111" t="s">
        <v>12904</v>
      </c>
      <c r="B1637" s="111" t="s">
        <v>1362</v>
      </c>
      <c r="C1637" s="111" t="s">
        <v>12905</v>
      </c>
      <c r="D1637" s="2" t="str">
        <f t="shared" ref="D1637:E1637" si="1635">TRIM(B1637)</f>
        <v>Oklahoma</v>
      </c>
      <c r="E1637" s="2" t="str">
        <f t="shared" si="1635"/>
        <v>Oklahoma City</v>
      </c>
    </row>
    <row r="1638" spans="1:5">
      <c r="A1638" s="111" t="s">
        <v>12908</v>
      </c>
      <c r="B1638" s="111" t="s">
        <v>1362</v>
      </c>
      <c r="C1638" s="111" t="s">
        <v>12905</v>
      </c>
      <c r="D1638" s="2" t="str">
        <f t="shared" ref="D1638:E1638" si="1636">TRIM(B1638)</f>
        <v>Oklahoma</v>
      </c>
      <c r="E1638" s="2" t="str">
        <f t="shared" si="1636"/>
        <v>Oklahoma City</v>
      </c>
    </row>
    <row r="1639" spans="1:5">
      <c r="A1639" s="111" t="s">
        <v>12911</v>
      </c>
      <c r="B1639" s="111" t="s">
        <v>1362</v>
      </c>
      <c r="C1639" s="111" t="s">
        <v>1220</v>
      </c>
      <c r="D1639" s="2" t="str">
        <f t="shared" ref="D1639:E1639" si="1637">TRIM(B1639)</f>
        <v>Oklahoma</v>
      </c>
      <c r="E1639" s="2" t="str">
        <f t="shared" si="1637"/>
        <v>Tulsa</v>
      </c>
    </row>
    <row r="1640" spans="1:5">
      <c r="A1640" s="111" t="s">
        <v>12914</v>
      </c>
      <c r="B1640" s="111" t="s">
        <v>1362</v>
      </c>
      <c r="C1640" s="111" t="s">
        <v>12916</v>
      </c>
      <c r="D1640" s="2" t="str">
        <f t="shared" ref="D1640:E1640" si="1638">TRIM(B1640)</f>
        <v>Oklahoma</v>
      </c>
      <c r="E1640" s="2" t="str">
        <f t="shared" si="1638"/>
        <v>Shawnee</v>
      </c>
    </row>
    <row r="1641" spans="1:5">
      <c r="A1641" s="111" t="s">
        <v>12918</v>
      </c>
      <c r="B1641" s="111" t="s">
        <v>1362</v>
      </c>
      <c r="C1641" s="111" t="s">
        <v>12919</v>
      </c>
      <c r="D1641" s="2" t="str">
        <f t="shared" ref="D1641:E1641" si="1639">TRIM(B1641)</f>
        <v>Oklahoma</v>
      </c>
      <c r="E1641" s="2" t="str">
        <f t="shared" si="1639"/>
        <v>Edmond</v>
      </c>
    </row>
    <row r="1642" spans="1:5">
      <c r="A1642" s="111" t="s">
        <v>12922</v>
      </c>
      <c r="B1642" s="111" t="s">
        <v>1362</v>
      </c>
      <c r="C1642" s="111" t="s">
        <v>12905</v>
      </c>
      <c r="D1642" s="2" t="str">
        <f t="shared" ref="D1642:E1642" si="1640">TRIM(B1642)</f>
        <v>Oklahoma</v>
      </c>
      <c r="E1642" s="2" t="str">
        <f t="shared" si="1640"/>
        <v>Oklahoma City</v>
      </c>
    </row>
    <row r="1643" spans="1:5">
      <c r="A1643" s="111" t="s">
        <v>12924</v>
      </c>
      <c r="B1643" s="111" t="s">
        <v>1362</v>
      </c>
      <c r="C1643" s="111" t="s">
        <v>1220</v>
      </c>
      <c r="D1643" s="2" t="str">
        <f t="shared" ref="D1643:E1643" si="1641">TRIM(B1643)</f>
        <v>Oklahoma</v>
      </c>
      <c r="E1643" s="2" t="str">
        <f t="shared" si="1641"/>
        <v>Tulsa</v>
      </c>
    </row>
    <row r="1644" spans="1:5">
      <c r="A1644" s="111" t="s">
        <v>12927</v>
      </c>
      <c r="B1644" s="111" t="s">
        <v>1362</v>
      </c>
      <c r="C1644" s="111" t="s">
        <v>1220</v>
      </c>
      <c r="D1644" s="2" t="str">
        <f t="shared" ref="D1644:E1644" si="1642">TRIM(B1644)</f>
        <v>Oklahoma</v>
      </c>
      <c r="E1644" s="2" t="str">
        <f t="shared" si="1642"/>
        <v>Tulsa</v>
      </c>
    </row>
    <row r="1645" spans="1:5">
      <c r="A1645" s="111" t="s">
        <v>12930</v>
      </c>
      <c r="B1645" s="111" t="s">
        <v>1363</v>
      </c>
      <c r="C1645" s="111" t="s">
        <v>12931</v>
      </c>
      <c r="D1645" s="2" t="str">
        <f t="shared" ref="D1645:E1645" si="1643">TRIM(B1645)</f>
        <v>Oregon</v>
      </c>
      <c r="E1645" s="2" t="str">
        <f t="shared" si="1643"/>
        <v>Bend</v>
      </c>
    </row>
    <row r="1646" spans="1:5">
      <c r="A1646" s="111" t="s">
        <v>12933</v>
      </c>
      <c r="B1646" s="111" t="s">
        <v>1363</v>
      </c>
      <c r="C1646" s="111" t="s">
        <v>12934</v>
      </c>
      <c r="D1646" s="2" t="str">
        <f t="shared" ref="D1646:E1646" si="1644">TRIM(B1646)</f>
        <v>Oregon</v>
      </c>
      <c r="E1646" s="2" t="str">
        <f t="shared" si="1644"/>
        <v>Newberg</v>
      </c>
    </row>
    <row r="1647" spans="1:5">
      <c r="A1647" s="111" t="s">
        <v>12936</v>
      </c>
      <c r="B1647" s="111" t="s">
        <v>1363</v>
      </c>
      <c r="C1647" s="111" t="s">
        <v>4187</v>
      </c>
      <c r="D1647" s="2" t="str">
        <f t="shared" ref="D1647:E1647" si="1645">TRIM(B1647)</f>
        <v>Oregon</v>
      </c>
      <c r="E1647" s="2" t="str">
        <f t="shared" si="1645"/>
        <v>Sheridan</v>
      </c>
    </row>
    <row r="1648" spans="1:5">
      <c r="A1648" s="111" t="s">
        <v>12939</v>
      </c>
      <c r="B1648" s="111" t="s">
        <v>1363</v>
      </c>
      <c r="C1648" s="111" t="s">
        <v>12940</v>
      </c>
      <c r="D1648" s="2" t="str">
        <f t="shared" ref="D1648:E1648" si="1646">TRIM(B1648)</f>
        <v>Oregon</v>
      </c>
      <c r="E1648" s="2" t="str">
        <f t="shared" si="1646"/>
        <v>La Grande</v>
      </c>
    </row>
    <row r="1649" spans="1:5">
      <c r="A1649" s="111" t="s">
        <v>12943</v>
      </c>
      <c r="B1649" s="111" t="s">
        <v>1363</v>
      </c>
      <c r="C1649" s="111" t="s">
        <v>8643</v>
      </c>
      <c r="D1649" s="2" t="str">
        <f t="shared" ref="D1649:E1649" si="1647">TRIM(B1649)</f>
        <v>Oregon</v>
      </c>
      <c r="E1649" s="2" t="str">
        <f t="shared" si="1647"/>
        <v>Portland</v>
      </c>
    </row>
    <row r="1650" spans="1:5">
      <c r="A1650" s="111" t="s">
        <v>12947</v>
      </c>
      <c r="B1650" s="111" t="s">
        <v>1363</v>
      </c>
      <c r="C1650" s="111" t="s">
        <v>8643</v>
      </c>
      <c r="D1650" s="2" t="str">
        <f t="shared" ref="D1650:E1650" si="1648">TRIM(B1650)</f>
        <v>Oregon</v>
      </c>
      <c r="E1650" s="2" t="str">
        <f t="shared" si="1648"/>
        <v>Portland</v>
      </c>
    </row>
    <row r="1651" spans="1:5">
      <c r="A1651" s="111" t="s">
        <v>12950</v>
      </c>
      <c r="B1651" s="111" t="s">
        <v>1363</v>
      </c>
      <c r="C1651" s="111" t="s">
        <v>265</v>
      </c>
      <c r="D1651" s="2" t="str">
        <f t="shared" ref="D1651:E1651" si="1649">TRIM(B1651)</f>
        <v>Oregon</v>
      </c>
      <c r="E1651" s="2" t="str">
        <f t="shared" si="1649"/>
        <v>Eugene</v>
      </c>
    </row>
    <row r="1652" spans="1:5">
      <c r="A1652" s="111" t="s">
        <v>12951</v>
      </c>
      <c r="B1652" s="111" t="s">
        <v>1363</v>
      </c>
      <c r="C1652" s="111" t="s">
        <v>8643</v>
      </c>
      <c r="D1652" s="2" t="str">
        <f t="shared" ref="D1652:E1652" si="1650">TRIM(B1652)</f>
        <v>Oregon</v>
      </c>
      <c r="E1652" s="2" t="str">
        <f t="shared" si="1650"/>
        <v>Portland</v>
      </c>
    </row>
    <row r="1653" spans="1:5">
      <c r="A1653" s="111" t="s">
        <v>12677</v>
      </c>
      <c r="B1653" s="111" t="s">
        <v>1363</v>
      </c>
      <c r="C1653" s="111" t="s">
        <v>451</v>
      </c>
      <c r="D1653" s="2" t="str">
        <f t="shared" ref="D1653:E1653" si="1651">TRIM(B1653)</f>
        <v>Oregon</v>
      </c>
      <c r="E1653" s="2" t="str">
        <f t="shared" si="1651"/>
        <v>Salem</v>
      </c>
    </row>
    <row r="1654" spans="1:5">
      <c r="A1654" s="111" t="s">
        <v>12966</v>
      </c>
      <c r="B1654" s="111" t="s">
        <v>1363</v>
      </c>
      <c r="C1654" s="111" t="s">
        <v>12967</v>
      </c>
      <c r="D1654" s="2" t="str">
        <f t="shared" ref="D1654:E1654" si="1652">TRIM(B1654)</f>
        <v>Oregon</v>
      </c>
      <c r="E1654" s="2" t="str">
        <f t="shared" si="1652"/>
        <v>The Dalles</v>
      </c>
    </row>
    <row r="1655" spans="1:5">
      <c r="A1655" s="76" t="s">
        <v>12971</v>
      </c>
      <c r="B1655" s="111" t="s">
        <v>1363</v>
      </c>
      <c r="C1655" s="111" t="s">
        <v>549</v>
      </c>
      <c r="D1655" s="2" t="str">
        <f t="shared" ref="D1655:E1655" si="1653">TRIM(B1655)</f>
        <v>Oregon</v>
      </c>
      <c r="E1655" s="2" t="str">
        <f t="shared" si="1653"/>
        <v>Medford</v>
      </c>
    </row>
    <row r="1656" spans="1:5">
      <c r="A1656" s="111" t="s">
        <v>12974</v>
      </c>
      <c r="B1656" s="111" t="s">
        <v>1363</v>
      </c>
      <c r="C1656" s="111" t="s">
        <v>8643</v>
      </c>
      <c r="D1656" s="2" t="str">
        <f t="shared" ref="D1656:E1656" si="1654">TRIM(B1656)</f>
        <v>Oregon</v>
      </c>
      <c r="E1656" s="2" t="str">
        <f t="shared" si="1654"/>
        <v>Portland</v>
      </c>
    </row>
    <row r="1657" spans="1:5">
      <c r="A1657" s="111" t="s">
        <v>12976</v>
      </c>
      <c r="B1657" s="111" t="s">
        <v>1363</v>
      </c>
      <c r="C1657" s="111" t="s">
        <v>12978</v>
      </c>
      <c r="D1657" s="2" t="str">
        <f t="shared" ref="D1657:E1657" si="1655">TRIM(B1657)</f>
        <v>Oregon</v>
      </c>
      <c r="E1657" s="2" t="str">
        <f t="shared" si="1655"/>
        <v>Klamath Falls</v>
      </c>
    </row>
    <row r="1658" spans="1:5">
      <c r="A1658" s="111" t="s">
        <v>12981</v>
      </c>
      <c r="B1658" s="111" t="s">
        <v>1363</v>
      </c>
      <c r="C1658" s="111" t="s">
        <v>12934</v>
      </c>
      <c r="D1658" s="2" t="str">
        <f t="shared" ref="D1658:E1658" si="1656">TRIM(B1658)</f>
        <v>Oregon</v>
      </c>
      <c r="E1658" s="2" t="str">
        <f t="shared" si="1656"/>
        <v>Newberg</v>
      </c>
    </row>
    <row r="1659" spans="1:5">
      <c r="A1659" s="111" t="s">
        <v>12984</v>
      </c>
      <c r="B1659" s="111" t="s">
        <v>1363</v>
      </c>
      <c r="C1659" s="111" t="s">
        <v>265</v>
      </c>
      <c r="D1659" s="2" t="str">
        <f t="shared" ref="D1659:E1659" si="1657">TRIM(B1659)</f>
        <v>Oregon</v>
      </c>
      <c r="E1659" s="2" t="str">
        <f t="shared" si="1657"/>
        <v>Eugene</v>
      </c>
    </row>
    <row r="1660" spans="1:5">
      <c r="A1660" s="111" t="s">
        <v>12987</v>
      </c>
      <c r="B1660" s="111" t="s">
        <v>1363</v>
      </c>
      <c r="C1660" s="111" t="s">
        <v>451</v>
      </c>
      <c r="D1660" s="2" t="str">
        <f t="shared" ref="D1660:E1660" si="1658">TRIM(B1660)</f>
        <v>Oregon</v>
      </c>
      <c r="E1660" s="2" t="str">
        <f t="shared" si="1658"/>
        <v>Salem</v>
      </c>
    </row>
    <row r="1661" spans="1:5">
      <c r="A1661" s="111" t="s">
        <v>12989</v>
      </c>
      <c r="B1661" s="111" t="s">
        <v>1364</v>
      </c>
      <c r="C1661" s="111" t="s">
        <v>12991</v>
      </c>
      <c r="D1661" s="2" t="str">
        <f t="shared" ref="D1661:E1661" si="1659">TRIM(B1661)</f>
        <v>Pennsylvania</v>
      </c>
      <c r="E1661" s="2" t="str">
        <f t="shared" si="1659"/>
        <v>Jenkintown</v>
      </c>
    </row>
    <row r="1662" spans="1:5">
      <c r="A1662" s="111" t="s">
        <v>12993</v>
      </c>
      <c r="B1662" s="111" t="s">
        <v>1364</v>
      </c>
      <c r="C1662" s="111" t="s">
        <v>12994</v>
      </c>
      <c r="D1662" s="2" t="str">
        <f t="shared" ref="D1662:E1662" si="1660">TRIM(B1662)</f>
        <v>Pennsylvania</v>
      </c>
      <c r="E1662" s="2" t="str">
        <f t="shared" si="1660"/>
        <v>Villanova</v>
      </c>
    </row>
    <row r="1663" spans="1:5">
      <c r="A1663" s="111" t="s">
        <v>12997</v>
      </c>
      <c r="B1663" s="111" t="s">
        <v>1364</v>
      </c>
      <c r="C1663" s="111" t="s">
        <v>539</v>
      </c>
      <c r="D1663" s="2" t="str">
        <f t="shared" ref="D1663:E1663" si="1661">TRIM(B1663)</f>
        <v>Pennsylvania</v>
      </c>
      <c r="E1663" s="2" t="str">
        <f t="shared" si="1661"/>
        <v>Philadelphia</v>
      </c>
    </row>
    <row r="1664" spans="1:5">
      <c r="A1664" s="111" t="s">
        <v>13000</v>
      </c>
      <c r="B1664" s="111" t="s">
        <v>1364</v>
      </c>
      <c r="C1664" s="111" t="s">
        <v>10569</v>
      </c>
      <c r="D1664" s="2" t="str">
        <f t="shared" ref="D1664:E1664" si="1662">TRIM(B1664)</f>
        <v>Pennsylvania</v>
      </c>
      <c r="E1664" s="2" t="str">
        <f t="shared" si="1662"/>
        <v>Belleville</v>
      </c>
    </row>
    <row r="1665" spans="1:5">
      <c r="A1665" s="111" t="s">
        <v>13002</v>
      </c>
      <c r="B1665" s="111" t="s">
        <v>1364</v>
      </c>
      <c r="C1665" s="111" t="s">
        <v>336</v>
      </c>
      <c r="D1665" s="2" t="str">
        <f t="shared" ref="D1665:E1665" si="1663">TRIM(B1665)</f>
        <v>Pennsylvania</v>
      </c>
      <c r="E1665" s="2" t="str">
        <f t="shared" si="1663"/>
        <v>Pittsburgh</v>
      </c>
    </row>
    <row r="1666" spans="1:5">
      <c r="A1666" s="111" t="s">
        <v>13005</v>
      </c>
      <c r="B1666" s="111" t="s">
        <v>1364</v>
      </c>
      <c r="C1666" s="111" t="s">
        <v>13006</v>
      </c>
      <c r="D1666" s="2" t="str">
        <f t="shared" ref="D1666:E1666" si="1664">TRIM(B1666)</f>
        <v>Pennsylvania</v>
      </c>
      <c r="E1666" s="2" t="str">
        <f t="shared" si="1664"/>
        <v>Wyncote</v>
      </c>
    </row>
    <row r="1667" spans="1:5">
      <c r="A1667" s="111" t="s">
        <v>13009</v>
      </c>
      <c r="B1667" s="111" t="s">
        <v>1364</v>
      </c>
      <c r="C1667" s="111" t="s">
        <v>13010</v>
      </c>
      <c r="D1667" s="2" t="str">
        <f t="shared" ref="D1667:E1667" si="1665">TRIM(B1667)</f>
        <v>Pennsylvania</v>
      </c>
      <c r="E1667" s="2" t="str">
        <f t="shared" si="1665"/>
        <v>Downingtown</v>
      </c>
    </row>
    <row r="1668" spans="1:5">
      <c r="A1668" s="111" t="s">
        <v>13012</v>
      </c>
      <c r="B1668" s="111" t="s">
        <v>1364</v>
      </c>
      <c r="C1668" s="111" t="s">
        <v>3836</v>
      </c>
      <c r="D1668" s="2" t="str">
        <f t="shared" ref="D1668:E1668" si="1666">TRIM(B1668)</f>
        <v>Pennsylvania</v>
      </c>
      <c r="E1668" s="2" t="str">
        <f t="shared" si="1666"/>
        <v>Hamburg</v>
      </c>
    </row>
    <row r="1669" spans="1:5">
      <c r="A1669" s="111" t="s">
        <v>13013</v>
      </c>
      <c r="B1669" s="111" t="s">
        <v>1364</v>
      </c>
      <c r="C1669" s="111" t="s">
        <v>13016</v>
      </c>
      <c r="D1669" s="2" t="str">
        <f t="shared" ref="D1669:E1669" si="1667">TRIM(B1669)</f>
        <v>Pennsylvania</v>
      </c>
      <c r="E1669" s="2" t="str">
        <f t="shared" si="1667"/>
        <v>Pipersville</v>
      </c>
    </row>
    <row r="1670" spans="1:5">
      <c r="A1670" s="111" t="s">
        <v>13017</v>
      </c>
      <c r="B1670" s="111" t="s">
        <v>1364</v>
      </c>
      <c r="C1670" s="111" t="s">
        <v>13018</v>
      </c>
      <c r="D1670" s="2" t="str">
        <f t="shared" ref="D1670:E1670" si="1668">TRIM(B1670)</f>
        <v>Pennsylvania</v>
      </c>
      <c r="E1670" s="2" t="str">
        <f t="shared" si="1668"/>
        <v>New Bloomfield</v>
      </c>
    </row>
    <row r="1671" spans="1:5">
      <c r="A1671" s="111" t="s">
        <v>13020</v>
      </c>
      <c r="B1671" s="111" t="s">
        <v>1364</v>
      </c>
      <c r="C1671" s="111" t="s">
        <v>1160</v>
      </c>
      <c r="D1671" s="2" t="str">
        <f t="shared" ref="D1671:E1671" si="1669">TRIM(B1671)</f>
        <v>Pennsylvania</v>
      </c>
      <c r="E1671" s="2" t="str">
        <f t="shared" si="1669"/>
        <v>Erie</v>
      </c>
    </row>
    <row r="1672" spans="1:5">
      <c r="A1672" s="111" t="s">
        <v>13021</v>
      </c>
      <c r="B1672" s="111" t="s">
        <v>1364</v>
      </c>
      <c r="C1672" s="111" t="s">
        <v>1160</v>
      </c>
      <c r="D1672" s="2" t="str">
        <f t="shared" ref="D1672:E1672" si="1670">TRIM(B1672)</f>
        <v>Pennsylvania</v>
      </c>
      <c r="E1672" s="2" t="str">
        <f t="shared" si="1670"/>
        <v>Erie</v>
      </c>
    </row>
    <row r="1673" spans="1:5">
      <c r="A1673" s="111" t="s">
        <v>13024</v>
      </c>
      <c r="B1673" s="111" t="s">
        <v>1364</v>
      </c>
      <c r="C1673" s="111" t="s">
        <v>13025</v>
      </c>
      <c r="D1673" s="2" t="str">
        <f t="shared" ref="D1673:E1673" si="1671">TRIM(B1673)</f>
        <v>Pennsylvania</v>
      </c>
      <c r="E1673" s="2" t="str">
        <f t="shared" si="1671"/>
        <v>Burgettstown</v>
      </c>
    </row>
    <row r="1674" spans="1:5">
      <c r="A1674" s="111" t="s">
        <v>13027</v>
      </c>
      <c r="B1674" s="111" t="s">
        <v>1364</v>
      </c>
      <c r="C1674" s="111" t="s">
        <v>539</v>
      </c>
      <c r="D1674" s="2" t="str">
        <f t="shared" ref="D1674:E1674" si="1672">TRIM(B1674)</f>
        <v>Pennsylvania</v>
      </c>
      <c r="E1674" s="2" t="str">
        <f t="shared" si="1672"/>
        <v>Philadelphia</v>
      </c>
    </row>
    <row r="1675" spans="1:5">
      <c r="A1675" s="111" t="s">
        <v>13029</v>
      </c>
      <c r="B1675" s="111" t="s">
        <v>1364</v>
      </c>
      <c r="C1675" s="111" t="s">
        <v>13031</v>
      </c>
      <c r="D1675" s="2" t="str">
        <f t="shared" ref="D1675:E1675" si="1673">TRIM(B1675)</f>
        <v>Pennsylvania</v>
      </c>
      <c r="E1675" s="2" t="str">
        <f t="shared" si="1673"/>
        <v>Farrell</v>
      </c>
    </row>
    <row r="1676" spans="1:5">
      <c r="A1676" s="111" t="s">
        <v>13033</v>
      </c>
      <c r="B1676" s="111" t="s">
        <v>1364</v>
      </c>
      <c r="C1676" s="111" t="s">
        <v>2309</v>
      </c>
      <c r="D1676" s="2" t="str">
        <f t="shared" ref="D1676:E1676" si="1674">TRIM(B1676)</f>
        <v>Pennsylvania</v>
      </c>
      <c r="E1676" s="2" t="str">
        <f t="shared" si="1674"/>
        <v>Bethel</v>
      </c>
    </row>
    <row r="1677" spans="1:5">
      <c r="A1677" s="111" t="s">
        <v>13035</v>
      </c>
      <c r="B1677" s="111" t="s">
        <v>1364</v>
      </c>
      <c r="C1677" s="111" t="s">
        <v>13036</v>
      </c>
      <c r="D1677" s="2" t="str">
        <f t="shared" ref="D1677:E1677" si="1675">TRIM(B1677)</f>
        <v>Pennsylvania</v>
      </c>
      <c r="E1677" s="2" t="str">
        <f t="shared" si="1675"/>
        <v>Devon</v>
      </c>
    </row>
    <row r="1678" spans="1:5">
      <c r="A1678" s="111" t="s">
        <v>13038</v>
      </c>
      <c r="B1678" s="111" t="s">
        <v>1364</v>
      </c>
      <c r="C1678" s="111" t="s">
        <v>13039</v>
      </c>
      <c r="D1678" s="2" t="str">
        <f t="shared" ref="D1678:E1678" si="1676">TRIM(B1678)</f>
        <v>Pennsylvania</v>
      </c>
      <c r="E1678" s="2" t="str">
        <f t="shared" si="1676"/>
        <v>Lansdale</v>
      </c>
    </row>
    <row r="1679" spans="1:5">
      <c r="A1679" s="111" t="s">
        <v>13041</v>
      </c>
      <c r="B1679" s="111" t="s">
        <v>1364</v>
      </c>
      <c r="C1679" s="111" t="s">
        <v>13042</v>
      </c>
      <c r="D1679" s="2" t="str">
        <f t="shared" ref="D1679:E1679" si="1677">TRIM(B1679)</f>
        <v>Pennsylvania</v>
      </c>
      <c r="E1679" s="2" t="str">
        <f t="shared" si="1677"/>
        <v>Tunkhannock</v>
      </c>
    </row>
    <row r="1680" spans="1:5">
      <c r="A1680" s="111" t="s">
        <v>13043</v>
      </c>
      <c r="B1680" s="111" t="s">
        <v>1364</v>
      </c>
      <c r="C1680" s="111" t="s">
        <v>13044</v>
      </c>
      <c r="D1680" s="2" t="str">
        <f t="shared" ref="D1680:E1680" si="1678">TRIM(B1680)</f>
        <v>Pennsylvania</v>
      </c>
      <c r="E1680" s="2" t="str">
        <f t="shared" si="1678"/>
        <v>Ephrata</v>
      </c>
    </row>
    <row r="1681" spans="1:5">
      <c r="A1681" s="111" t="s">
        <v>13047</v>
      </c>
      <c r="B1681" s="111" t="s">
        <v>1364</v>
      </c>
      <c r="C1681" s="111" t="s">
        <v>539</v>
      </c>
      <c r="D1681" s="2" t="str">
        <f t="shared" ref="D1681:E1681" si="1679">TRIM(B1681)</f>
        <v>Pennsylvania</v>
      </c>
      <c r="E1681" s="2" t="str">
        <f t="shared" si="1679"/>
        <v>Philadelphia</v>
      </c>
    </row>
    <row r="1682" spans="1:5">
      <c r="A1682" s="111" t="s">
        <v>13050</v>
      </c>
      <c r="B1682" s="111" t="s">
        <v>1364</v>
      </c>
      <c r="C1682" s="111" t="s">
        <v>13051</v>
      </c>
      <c r="D1682" s="2" t="str">
        <f t="shared" ref="D1682:E1682" si="1680">TRIM(B1682)</f>
        <v>Pennsylvania</v>
      </c>
      <c r="E1682" s="2" t="str">
        <f t="shared" si="1680"/>
        <v>Wynnewood</v>
      </c>
    </row>
    <row r="1683" spans="1:5">
      <c r="A1683" s="111" t="s">
        <v>13053</v>
      </c>
      <c r="B1683" s="111" t="s">
        <v>1364</v>
      </c>
      <c r="C1683" s="111" t="s">
        <v>539</v>
      </c>
      <c r="D1683" s="2" t="str">
        <f t="shared" ref="D1683:E1683" si="1681">TRIM(B1683)</f>
        <v>Pennsylvania</v>
      </c>
      <c r="E1683" s="2" t="str">
        <f t="shared" si="1681"/>
        <v>Philadelphia</v>
      </c>
    </row>
    <row r="1684" spans="1:5">
      <c r="A1684" s="111" t="s">
        <v>13055</v>
      </c>
      <c r="B1684" s="111" t="s">
        <v>1364</v>
      </c>
      <c r="C1684" s="111" t="s">
        <v>13056</v>
      </c>
      <c r="D1684" s="2" t="str">
        <f t="shared" ref="D1684:E1684" si="1682">TRIM(B1684)</f>
        <v>Pennsylvania</v>
      </c>
      <c r="E1684" s="2" t="str">
        <f t="shared" si="1682"/>
        <v>Spring Grove</v>
      </c>
    </row>
    <row r="1685" spans="1:5">
      <c r="A1685" s="111" t="s">
        <v>13059</v>
      </c>
      <c r="B1685" s="111" t="s">
        <v>1364</v>
      </c>
      <c r="C1685" s="111" t="s">
        <v>13060</v>
      </c>
      <c r="D1685" s="2" t="str">
        <f t="shared" ref="D1685:E1685" si="1683">TRIM(B1685)</f>
        <v>Pennsylvania</v>
      </c>
      <c r="E1685" s="2" t="str">
        <f t="shared" si="1683"/>
        <v>Newtown</v>
      </c>
    </row>
    <row r="1686" spans="1:5">
      <c r="A1686" s="111" t="s">
        <v>13061</v>
      </c>
      <c r="B1686" s="111" t="s">
        <v>1364</v>
      </c>
      <c r="C1686" s="111" t="s">
        <v>13062</v>
      </c>
      <c r="D1686" s="2" t="str">
        <f t="shared" ref="D1686:E1686" si="1684">TRIM(B1686)</f>
        <v>Pennsylvania</v>
      </c>
      <c r="E1686" s="2" t="str">
        <f t="shared" si="1684"/>
        <v>Fort Washington</v>
      </c>
    </row>
    <row r="1687" spans="1:5">
      <c r="A1687" s="111" t="s">
        <v>13063</v>
      </c>
      <c r="B1687" s="111" t="s">
        <v>1364</v>
      </c>
      <c r="C1687" s="111" t="s">
        <v>539</v>
      </c>
      <c r="D1687" s="2" t="str">
        <f t="shared" ref="D1687:E1687" si="1685">TRIM(B1687)</f>
        <v>Pennsylvania</v>
      </c>
      <c r="E1687" s="2" t="str">
        <f t="shared" si="1685"/>
        <v>Philadelphia</v>
      </c>
    </row>
    <row r="1688" spans="1:5">
      <c r="A1688" s="111" t="s">
        <v>13067</v>
      </c>
      <c r="B1688" s="111" t="s">
        <v>1364</v>
      </c>
      <c r="C1688" s="111" t="s">
        <v>13069</v>
      </c>
      <c r="D1688" s="2" t="str">
        <f t="shared" ref="D1688:E1688" si="1686">TRIM(B1688)</f>
        <v>Pennsylvania</v>
      </c>
      <c r="E1688" s="2" t="str">
        <f t="shared" si="1686"/>
        <v>Altoona</v>
      </c>
    </row>
    <row r="1689" spans="1:5">
      <c r="A1689" s="111" t="s">
        <v>13071</v>
      </c>
      <c r="B1689" s="111" t="s">
        <v>1364</v>
      </c>
      <c r="C1689" s="111" t="s">
        <v>539</v>
      </c>
      <c r="D1689" s="2" t="str">
        <f t="shared" ref="D1689:E1689" si="1687">TRIM(B1689)</f>
        <v>Pennsylvania</v>
      </c>
      <c r="E1689" s="2" t="str">
        <f t="shared" si="1687"/>
        <v>Philadelphia</v>
      </c>
    </row>
    <row r="1690" spans="1:5">
      <c r="A1690" s="111" t="s">
        <v>13073</v>
      </c>
      <c r="B1690" s="111" t="s">
        <v>1364</v>
      </c>
      <c r="C1690" s="113" t="s">
        <v>13074</v>
      </c>
      <c r="D1690" s="2" t="str">
        <f t="shared" ref="D1690:E1690" si="1688">TRIM(B1690)</f>
        <v>Pennsylvania</v>
      </c>
      <c r="E1690" s="2" t="str">
        <f t="shared" si="1688"/>
        <v>Elmhurst Township</v>
      </c>
    </row>
    <row r="1691" spans="1:5">
      <c r="A1691" s="111" t="s">
        <v>13077</v>
      </c>
      <c r="B1691" s="111" t="s">
        <v>1364</v>
      </c>
      <c r="C1691" s="111" t="s">
        <v>13078</v>
      </c>
      <c r="D1691" s="2" t="str">
        <f t="shared" ref="D1691:E1691" si="1689">TRIM(B1691)</f>
        <v>Pennsylvania</v>
      </c>
      <c r="E1691" s="2" t="str">
        <f t="shared" si="1689"/>
        <v>Gwynedd Valley</v>
      </c>
    </row>
    <row r="1692" spans="1:5">
      <c r="A1692" s="111" t="s">
        <v>13083</v>
      </c>
      <c r="B1692" s="111" t="s">
        <v>1364</v>
      </c>
      <c r="C1692" s="111" t="s">
        <v>13084</v>
      </c>
      <c r="D1692" s="2" t="str">
        <f t="shared" ref="D1692:E1692" si="1690">TRIM(B1692)</f>
        <v>Pennsylvania</v>
      </c>
      <c r="E1692" s="2" t="str">
        <f t="shared" si="1690"/>
        <v>Wormleysburg</v>
      </c>
    </row>
    <row r="1693" spans="1:5">
      <c r="A1693" s="111" t="s">
        <v>13086</v>
      </c>
      <c r="B1693" s="111" t="s">
        <v>1364</v>
      </c>
      <c r="C1693" s="111" t="s">
        <v>336</v>
      </c>
      <c r="D1693" s="2" t="str">
        <f t="shared" ref="D1693:E1693" si="1691">TRIM(B1693)</f>
        <v>Pennsylvania</v>
      </c>
      <c r="E1693" s="2" t="str">
        <f t="shared" si="1691"/>
        <v>Pittsburgh</v>
      </c>
    </row>
    <row r="1694" spans="1:5">
      <c r="A1694" s="111" t="s">
        <v>9772</v>
      </c>
      <c r="B1694" s="111" t="s">
        <v>1364</v>
      </c>
      <c r="C1694" s="111" t="s">
        <v>13088</v>
      </c>
      <c r="D1694" s="2" t="str">
        <f t="shared" ref="D1694:E1694" si="1692">TRIM(B1694)</f>
        <v>Pennsylvania</v>
      </c>
      <c r="E1694" s="2" t="str">
        <f t="shared" si="1692"/>
        <v>Dunmore</v>
      </c>
    </row>
    <row r="1695" spans="1:5">
      <c r="A1695" s="111" t="s">
        <v>13089</v>
      </c>
      <c r="B1695" s="111" t="s">
        <v>1364</v>
      </c>
      <c r="C1695" s="111" t="s">
        <v>13090</v>
      </c>
      <c r="D1695" s="2" t="str">
        <f t="shared" ref="D1695:E1695" si="1693">TRIM(B1695)</f>
        <v>Pennsylvania</v>
      </c>
      <c r="E1695" s="2" t="str">
        <f t="shared" si="1693"/>
        <v>Bensalem</v>
      </c>
    </row>
    <row r="1696" spans="1:5">
      <c r="A1696" s="111" t="s">
        <v>13093</v>
      </c>
      <c r="B1696" s="111" t="s">
        <v>1364</v>
      </c>
      <c r="C1696" s="111" t="s">
        <v>13094</v>
      </c>
      <c r="D1696" s="2" t="str">
        <f t="shared" ref="D1696:E1696" si="1694">TRIM(B1696)</f>
        <v>Pennsylvania</v>
      </c>
      <c r="E1696" s="2" t="str">
        <f t="shared" si="1694"/>
        <v>Wilkes Barre</v>
      </c>
    </row>
    <row r="1697" spans="1:5">
      <c r="A1697" s="111" t="s">
        <v>13096</v>
      </c>
      <c r="B1697" s="111" t="s">
        <v>1364</v>
      </c>
      <c r="C1697" s="111" t="s">
        <v>13097</v>
      </c>
      <c r="D1697" s="2" t="str">
        <f t="shared" ref="D1697:E1697" si="1695">TRIM(B1697)</f>
        <v>Pennsylvania</v>
      </c>
      <c r="E1697" s="2" t="str">
        <f t="shared" si="1695"/>
        <v>Harrisonville</v>
      </c>
    </row>
    <row r="1698" spans="1:5">
      <c r="A1698" s="111" t="s">
        <v>13098</v>
      </c>
      <c r="B1698" s="111" t="s">
        <v>1364</v>
      </c>
      <c r="C1698" s="111" t="s">
        <v>13099</v>
      </c>
      <c r="D1698" s="2" t="str">
        <f t="shared" ref="D1698:E1698" si="1696">TRIM(B1698)</f>
        <v>Pennsylvania</v>
      </c>
      <c r="E1698" s="2" t="str">
        <f t="shared" si="1696"/>
        <v>Mc Alisterville</v>
      </c>
    </row>
    <row r="1699" spans="1:5">
      <c r="A1699" s="111" t="s">
        <v>13101</v>
      </c>
      <c r="B1699" s="111" t="s">
        <v>1364</v>
      </c>
      <c r="C1699" s="111" t="s">
        <v>539</v>
      </c>
      <c r="D1699" s="2" t="str">
        <f t="shared" ref="D1699:E1699" si="1697">TRIM(B1699)</f>
        <v>Pennsylvania</v>
      </c>
      <c r="E1699" s="2" t="str">
        <f t="shared" si="1697"/>
        <v>Philadelphia</v>
      </c>
    </row>
    <row r="1700" spans="1:5">
      <c r="A1700" s="111" t="s">
        <v>13104</v>
      </c>
      <c r="B1700" s="111" t="s">
        <v>1364</v>
      </c>
      <c r="C1700" s="112" t="s">
        <v>13105</v>
      </c>
      <c r="D1700" s="2" t="str">
        <f t="shared" ref="D1700:E1700" si="1698">TRIM(B1700)</f>
        <v>Pennsylvania</v>
      </c>
      <c r="E1700" s="2" t="str">
        <f t="shared" si="1698"/>
        <v>Wyndmoor</v>
      </c>
    </row>
    <row r="1701" spans="1:5">
      <c r="A1701" s="111" t="s">
        <v>13106</v>
      </c>
      <c r="B1701" s="111" t="s">
        <v>1364</v>
      </c>
      <c r="C1701" s="111" t="s">
        <v>61</v>
      </c>
      <c r="D1701" s="2" t="str">
        <f t="shared" ref="D1701:E1701" si="1699">TRIM(B1701)</f>
        <v>Pennsylvania</v>
      </c>
      <c r="E1701" s="2" t="str">
        <f t="shared" si="1699"/>
        <v>Lancaster</v>
      </c>
    </row>
    <row r="1702" spans="1:5">
      <c r="A1702" s="111" t="s">
        <v>13111</v>
      </c>
      <c r="B1702" s="111" t="s">
        <v>1364</v>
      </c>
      <c r="C1702" s="111" t="s">
        <v>539</v>
      </c>
      <c r="D1702" s="2" t="str">
        <f t="shared" ref="D1702:E1702" si="1700">TRIM(B1702)</f>
        <v>Pennsylvania</v>
      </c>
      <c r="E1702" s="2" t="str">
        <f t="shared" si="1700"/>
        <v>Philadelphia</v>
      </c>
    </row>
    <row r="1703" spans="1:5">
      <c r="A1703" s="111" t="s">
        <v>13115</v>
      </c>
      <c r="B1703" s="111" t="s">
        <v>1364</v>
      </c>
      <c r="C1703" s="111" t="s">
        <v>13117</v>
      </c>
      <c r="D1703" s="2" t="str">
        <f t="shared" ref="D1703:E1703" si="1701">TRIM(B1703)</f>
        <v>Pennsylvania</v>
      </c>
      <c r="E1703" s="2" t="str">
        <f t="shared" si="1701"/>
        <v>Lititz</v>
      </c>
    </row>
    <row r="1704" spans="1:5">
      <c r="A1704" s="111" t="s">
        <v>13119</v>
      </c>
      <c r="B1704" s="111" t="s">
        <v>1364</v>
      </c>
      <c r="C1704" s="111" t="s">
        <v>13121</v>
      </c>
      <c r="D1704" s="2" t="str">
        <f t="shared" ref="D1704:E1704" si="1702">TRIM(B1704)</f>
        <v>Pennsylvania</v>
      </c>
      <c r="E1704" s="2" t="str">
        <f t="shared" si="1702"/>
        <v>Mars</v>
      </c>
    </row>
    <row r="1705" spans="1:5">
      <c r="A1705" s="111" t="s">
        <v>13122</v>
      </c>
      <c r="B1705" s="111" t="s">
        <v>1364</v>
      </c>
      <c r="C1705" s="111" t="s">
        <v>3979</v>
      </c>
      <c r="D1705" s="2" t="str">
        <f t="shared" ref="D1705:E1705" si="1703">TRIM(B1705)</f>
        <v>Pennsylvania</v>
      </c>
      <c r="E1705" s="2" t="str">
        <f t="shared" si="1703"/>
        <v>Malvern</v>
      </c>
    </row>
    <row r="1706" spans="1:5">
      <c r="A1706" s="111" t="s">
        <v>13124</v>
      </c>
      <c r="B1706" s="111" t="s">
        <v>1364</v>
      </c>
      <c r="C1706" s="111" t="s">
        <v>13125</v>
      </c>
      <c r="D1706" s="2" t="str">
        <f t="shared" ref="D1706:E1706" si="1704">TRIM(B1706)</f>
        <v>Pennsylvania</v>
      </c>
      <c r="E1706" s="2" t="str">
        <f t="shared" si="1704"/>
        <v>Mercersburg</v>
      </c>
    </row>
    <row r="1707" spans="1:5">
      <c r="A1707" s="111" t="s">
        <v>13127</v>
      </c>
      <c r="B1707" s="111" t="s">
        <v>1364</v>
      </c>
      <c r="C1707" s="111" t="s">
        <v>1160</v>
      </c>
      <c r="D1707" s="2" t="str">
        <f t="shared" ref="D1707:E1707" si="1705">TRIM(B1707)</f>
        <v>Pennsylvania</v>
      </c>
      <c r="E1707" s="2" t="str">
        <f t="shared" si="1705"/>
        <v>Erie</v>
      </c>
    </row>
    <row r="1708" spans="1:5">
      <c r="A1708" s="111" t="s">
        <v>13129</v>
      </c>
      <c r="B1708" s="111" t="s">
        <v>1364</v>
      </c>
      <c r="C1708" s="111" t="s">
        <v>13130</v>
      </c>
      <c r="D1708" s="2" t="str">
        <f t="shared" ref="D1708:E1708" si="1706">TRIM(B1708)</f>
        <v>Pennsylvania</v>
      </c>
      <c r="E1708" s="2" t="str">
        <f t="shared" si="1706"/>
        <v>Merion Station</v>
      </c>
    </row>
    <row r="1709" spans="1:5">
      <c r="A1709" s="111" t="s">
        <v>13131</v>
      </c>
      <c r="B1709" s="111" t="s">
        <v>1364</v>
      </c>
      <c r="C1709" s="111" t="s">
        <v>12991</v>
      </c>
      <c r="D1709" s="2" t="str">
        <f t="shared" ref="D1709:E1709" si="1707">TRIM(B1709)</f>
        <v>Pennsylvania</v>
      </c>
      <c r="E1709" s="2" t="str">
        <f t="shared" si="1707"/>
        <v>Jenkintown</v>
      </c>
    </row>
    <row r="1710" spans="1:5">
      <c r="A1710" s="111" t="s">
        <v>13135</v>
      </c>
      <c r="B1710" s="111" t="s">
        <v>1364</v>
      </c>
      <c r="C1710" s="111" t="s">
        <v>13136</v>
      </c>
      <c r="D1710" s="2" t="str">
        <f t="shared" ref="D1710:E1710" si="1708">TRIM(B1710)</f>
        <v>Pennsylvania</v>
      </c>
      <c r="E1710" s="2" t="str">
        <f t="shared" si="1708"/>
        <v>Hershey</v>
      </c>
    </row>
    <row r="1711" spans="1:5">
      <c r="A1711" s="111" t="s">
        <v>13137</v>
      </c>
      <c r="B1711" s="111" t="s">
        <v>1364</v>
      </c>
      <c r="C1711" s="111" t="s">
        <v>522</v>
      </c>
      <c r="D1711" s="2" t="str">
        <f t="shared" ref="D1711:E1711" si="1709">TRIM(B1711)</f>
        <v>Pennsylvania</v>
      </c>
      <c r="E1711" s="2" t="str">
        <f t="shared" si="1709"/>
        <v>Drexel Hill</v>
      </c>
    </row>
    <row r="1712" spans="1:5">
      <c r="A1712" s="111" t="s">
        <v>13139</v>
      </c>
      <c r="B1712" s="111" t="s">
        <v>1364</v>
      </c>
      <c r="C1712" s="111" t="s">
        <v>13140</v>
      </c>
      <c r="D1712" s="2" t="str">
        <f t="shared" ref="D1712:E1712" si="1710">TRIM(B1712)</f>
        <v>Pennsylvania</v>
      </c>
      <c r="E1712" s="2" t="str">
        <f t="shared" si="1710"/>
        <v>Flourtown</v>
      </c>
    </row>
    <row r="1713" spans="1:5">
      <c r="A1713" s="111" t="s">
        <v>13142</v>
      </c>
      <c r="B1713" s="111" t="s">
        <v>1364</v>
      </c>
      <c r="C1713" s="111" t="s">
        <v>539</v>
      </c>
      <c r="D1713" s="2" t="str">
        <f t="shared" ref="D1713:E1713" si="1711">TRIM(B1713)</f>
        <v>Pennsylvania</v>
      </c>
      <c r="E1713" s="2" t="str">
        <f t="shared" si="1711"/>
        <v>Philadelphia</v>
      </c>
    </row>
    <row r="1714" spans="1:5">
      <c r="A1714" s="111" t="s">
        <v>11140</v>
      </c>
      <c r="B1714" s="111" t="s">
        <v>1364</v>
      </c>
      <c r="C1714" s="111" t="s">
        <v>13146</v>
      </c>
      <c r="D1714" s="2" t="str">
        <f t="shared" ref="D1714:E1714" si="1712">TRIM(B1714)</f>
        <v>Pennsylvania</v>
      </c>
      <c r="E1714" s="2" t="str">
        <f t="shared" si="1712"/>
        <v>Yardley</v>
      </c>
    </row>
    <row r="1715" spans="1:5">
      <c r="A1715" s="111" t="s">
        <v>9466</v>
      </c>
      <c r="B1715" s="111" t="s">
        <v>1364</v>
      </c>
      <c r="C1715" s="111" t="s">
        <v>9761</v>
      </c>
      <c r="D1715" s="2" t="str">
        <f t="shared" ref="D1715:E1715" si="1713">TRIM(B1715)</f>
        <v>Pennsylvania</v>
      </c>
      <c r="E1715" s="2" t="str">
        <f t="shared" si="1713"/>
        <v>Easton</v>
      </c>
    </row>
    <row r="1716" spans="1:5">
      <c r="A1716" s="111" t="s">
        <v>13152</v>
      </c>
      <c r="B1716" s="111" t="s">
        <v>1364</v>
      </c>
      <c r="C1716" s="113" t="s">
        <v>13153</v>
      </c>
      <c r="D1716" s="2" t="str">
        <f t="shared" ref="D1716:E1716" si="1714">TRIM(B1716)</f>
        <v>Pennsylvania</v>
      </c>
      <c r="E1716" s="2" t="str">
        <f t="shared" si="1714"/>
        <v>East Stroudsburg</v>
      </c>
    </row>
    <row r="1717" spans="1:5">
      <c r="A1717" s="111" t="s">
        <v>13156</v>
      </c>
      <c r="B1717" s="111" t="s">
        <v>1364</v>
      </c>
      <c r="C1717" s="111" t="s">
        <v>13157</v>
      </c>
      <c r="D1717" s="2" t="str">
        <f t="shared" ref="D1717:E1717" si="1715">TRIM(B1717)</f>
        <v>Pennsylvania</v>
      </c>
      <c r="E1717" s="2" t="str">
        <f t="shared" si="1715"/>
        <v>Coraopolis</v>
      </c>
    </row>
    <row r="1718" spans="1:5">
      <c r="A1718" s="111" t="s">
        <v>13159</v>
      </c>
      <c r="B1718" s="111" t="s">
        <v>1364</v>
      </c>
      <c r="C1718" s="111" t="s">
        <v>13160</v>
      </c>
      <c r="D1718" s="2" t="str">
        <f t="shared" ref="D1718:E1718" si="1716">TRIM(B1718)</f>
        <v>Pennsylvania</v>
      </c>
      <c r="E1718" s="2" t="str">
        <f t="shared" si="1716"/>
        <v>Lehighton</v>
      </c>
    </row>
    <row r="1719" spans="1:5">
      <c r="A1719" s="111" t="s">
        <v>13163</v>
      </c>
      <c r="B1719" s="111" t="s">
        <v>1364</v>
      </c>
      <c r="C1719" s="111" t="s">
        <v>13164</v>
      </c>
      <c r="D1719" s="2" t="str">
        <f t="shared" ref="D1719:E1719" si="1717">TRIM(B1719)</f>
        <v>Pennsylvania</v>
      </c>
      <c r="E1719" s="2" t="str">
        <f t="shared" si="1717"/>
        <v>Pennsburg</v>
      </c>
    </row>
    <row r="1720" spans="1:5">
      <c r="A1720" s="111" t="s">
        <v>13167</v>
      </c>
      <c r="B1720" s="111" t="s">
        <v>1364</v>
      </c>
      <c r="C1720" s="111" t="s">
        <v>13168</v>
      </c>
      <c r="D1720" s="2" t="str">
        <f t="shared" ref="D1720:E1720" si="1718">TRIM(B1720)</f>
        <v>Pennsylvania</v>
      </c>
      <c r="E1720" s="2" t="str">
        <f t="shared" si="1718"/>
        <v>Pine Forge</v>
      </c>
    </row>
    <row r="1721" spans="1:5">
      <c r="A1721" s="111" t="s">
        <v>13170</v>
      </c>
      <c r="B1721" s="111" t="s">
        <v>1364</v>
      </c>
      <c r="C1721" s="111" t="s">
        <v>13044</v>
      </c>
      <c r="D1721" s="2" t="str">
        <f t="shared" ref="D1721:E1721" si="1719">TRIM(B1721)</f>
        <v>Pennsylvania</v>
      </c>
      <c r="E1721" s="2" t="str">
        <f t="shared" si="1719"/>
        <v>Ephrata</v>
      </c>
    </row>
    <row r="1722" spans="1:5">
      <c r="A1722" s="111" t="s">
        <v>13172</v>
      </c>
      <c r="B1722" s="111" t="s">
        <v>1364</v>
      </c>
      <c r="C1722" s="111" t="s">
        <v>13174</v>
      </c>
      <c r="D1722" s="2" t="str">
        <f t="shared" ref="D1722:E1722" si="1720">TRIM(B1722)</f>
        <v>Pennsylvania</v>
      </c>
      <c r="E1722" s="2" t="str">
        <f t="shared" si="1720"/>
        <v>Royersford</v>
      </c>
    </row>
    <row r="1723" spans="1:5">
      <c r="A1723" s="111" t="s">
        <v>13176</v>
      </c>
      <c r="B1723" s="111" t="s">
        <v>1364</v>
      </c>
      <c r="C1723" s="111" t="s">
        <v>13177</v>
      </c>
      <c r="D1723" s="2" t="str">
        <f t="shared" ref="D1723:E1723" si="1721">TRIM(B1723)</f>
        <v>Pennsylvania</v>
      </c>
      <c r="E1723" s="2" t="str">
        <f t="shared" si="1721"/>
        <v>Larksville</v>
      </c>
    </row>
    <row r="1724" spans="1:5">
      <c r="A1724" s="111" t="s">
        <v>13180</v>
      </c>
      <c r="B1724" s="111" t="s">
        <v>1364</v>
      </c>
      <c r="C1724" s="111" t="s">
        <v>13182</v>
      </c>
      <c r="D1724" s="2" t="str">
        <f t="shared" ref="D1724:E1724" si="1722">TRIM(B1724)</f>
        <v>Pennsylvania</v>
      </c>
      <c r="E1724" s="2" t="str">
        <f t="shared" si="1722"/>
        <v>Bryn Mawr</v>
      </c>
    </row>
    <row r="1725" spans="1:5">
      <c r="A1725" s="111" t="s">
        <v>13183</v>
      </c>
      <c r="B1725" s="111" t="s">
        <v>1364</v>
      </c>
      <c r="C1725" s="111" t="s">
        <v>13184</v>
      </c>
      <c r="D1725" s="2" t="str">
        <f t="shared" ref="D1725:E1725" si="1723">TRIM(B1725)</f>
        <v>Pennsylvania</v>
      </c>
      <c r="E1725" s="2" t="str">
        <f t="shared" si="1723"/>
        <v>Schaefferstown</v>
      </c>
    </row>
    <row r="1726" spans="1:5">
      <c r="A1726" s="111" t="s">
        <v>13186</v>
      </c>
      <c r="B1726" s="111" t="s">
        <v>1364</v>
      </c>
      <c r="C1726" s="111" t="s">
        <v>4180</v>
      </c>
      <c r="D1726" s="2" t="str">
        <f t="shared" ref="D1726:E1726" si="1724">TRIM(B1726)</f>
        <v>Pennsylvania</v>
      </c>
      <c r="E1726" s="2" t="str">
        <f t="shared" si="1724"/>
        <v>Scranton</v>
      </c>
    </row>
    <row r="1727" spans="1:5">
      <c r="A1727" s="111" t="s">
        <v>13189</v>
      </c>
      <c r="B1727" s="111" t="s">
        <v>1364</v>
      </c>
      <c r="C1727" s="111" t="s">
        <v>13190</v>
      </c>
      <c r="D1727" s="2" t="str">
        <f t="shared" ref="D1727:E1727" si="1725">TRIM(B1727)</f>
        <v>Pennsylvania</v>
      </c>
      <c r="E1727" s="2" t="str">
        <f t="shared" si="1725"/>
        <v>Bridgeville</v>
      </c>
    </row>
    <row r="1728" spans="1:5">
      <c r="A1728" s="111" t="s">
        <v>13192</v>
      </c>
      <c r="B1728" s="111" t="s">
        <v>1364</v>
      </c>
      <c r="C1728" s="111" t="s">
        <v>13193</v>
      </c>
      <c r="D1728" s="2" t="str">
        <f t="shared" ref="D1728:E1728" si="1726">TRIM(B1728)</f>
        <v>Pennsylvania</v>
      </c>
      <c r="E1728" s="2" t="str">
        <f t="shared" si="1726"/>
        <v>Sewickley</v>
      </c>
    </row>
    <row r="1729" spans="1:5">
      <c r="A1729" s="111" t="s">
        <v>13196</v>
      </c>
      <c r="B1729" s="111" t="s">
        <v>1364</v>
      </c>
      <c r="C1729" s="111" t="s">
        <v>336</v>
      </c>
      <c r="D1729" s="2" t="str">
        <f t="shared" ref="D1729:E1729" si="1727">TRIM(B1729)</f>
        <v>Pennsylvania</v>
      </c>
      <c r="E1729" s="2" t="str">
        <f t="shared" si="1727"/>
        <v>Pittsburgh</v>
      </c>
    </row>
    <row r="1730" spans="1:5">
      <c r="A1730" s="111" t="s">
        <v>13199</v>
      </c>
      <c r="B1730" s="111" t="s">
        <v>1364</v>
      </c>
      <c r="C1730" s="111" t="s">
        <v>2020</v>
      </c>
      <c r="D1730" s="2" t="str">
        <f t="shared" ref="D1730:E1730" si="1728">TRIM(B1730)</f>
        <v>Pennsylvania</v>
      </c>
      <c r="E1730" s="2" t="str">
        <f t="shared" si="1728"/>
        <v>New Hope</v>
      </c>
    </row>
    <row r="1731" spans="1:5">
      <c r="A1731" s="111" t="s">
        <v>13200</v>
      </c>
      <c r="B1731" s="111" t="s">
        <v>1364</v>
      </c>
      <c r="C1731" s="111" t="s">
        <v>13202</v>
      </c>
      <c r="D1731" s="2" t="str">
        <f t="shared" ref="D1731:E1731" si="1729">TRIM(B1731)</f>
        <v>Pennsylvania</v>
      </c>
      <c r="E1731" s="2" t="str">
        <f t="shared" si="1729"/>
        <v>Mount Joy</v>
      </c>
    </row>
    <row r="1732" spans="1:5">
      <c r="A1732" s="111" t="s">
        <v>13204</v>
      </c>
      <c r="B1732" s="111" t="s">
        <v>1364</v>
      </c>
      <c r="C1732" s="111" t="s">
        <v>539</v>
      </c>
      <c r="D1732" s="2" t="str">
        <f t="shared" ref="D1732:E1732" si="1730">TRIM(B1732)</f>
        <v>Pennsylvania</v>
      </c>
      <c r="E1732" s="2" t="str">
        <f t="shared" si="1730"/>
        <v>Philadelphia</v>
      </c>
    </row>
    <row r="1733" spans="1:5">
      <c r="A1733" s="111" t="s">
        <v>13207</v>
      </c>
      <c r="B1733" s="111" t="s">
        <v>1364</v>
      </c>
      <c r="C1733" s="111" t="s">
        <v>12991</v>
      </c>
      <c r="D1733" s="2" t="str">
        <f t="shared" ref="D1733:E1733" si="1731">TRIM(B1733)</f>
        <v>Pennsylvania</v>
      </c>
      <c r="E1733" s="2" t="str">
        <f t="shared" si="1731"/>
        <v>Jenkintown</v>
      </c>
    </row>
    <row r="1734" spans="1:5">
      <c r="A1734" s="111" t="s">
        <v>13209</v>
      </c>
      <c r="B1734" s="111" t="s">
        <v>1364</v>
      </c>
      <c r="C1734" s="111" t="s">
        <v>12312</v>
      </c>
      <c r="D1734" s="2" t="str">
        <f t="shared" ref="D1734:E1734" si="1732">TRIM(B1734)</f>
        <v>Pennsylvania</v>
      </c>
      <c r="E1734" s="2" t="str">
        <f t="shared" si="1732"/>
        <v>Elmhurst</v>
      </c>
    </row>
    <row r="1735" spans="1:5">
      <c r="A1735" s="111" t="s">
        <v>13210</v>
      </c>
      <c r="B1735" s="111" t="s">
        <v>1364</v>
      </c>
      <c r="C1735" s="111" t="s">
        <v>13211</v>
      </c>
      <c r="D1735" s="2" t="str">
        <f t="shared" ref="D1735:E1735" si="1733">TRIM(B1735)</f>
        <v>Pennsylvania</v>
      </c>
      <c r="E1735" s="2" t="str">
        <f t="shared" si="1733"/>
        <v>Williamsport</v>
      </c>
    </row>
    <row r="1736" spans="1:5">
      <c r="A1736" s="111" t="s">
        <v>9606</v>
      </c>
      <c r="B1736" s="111" t="s">
        <v>1364</v>
      </c>
      <c r="C1736" s="111" t="s">
        <v>13214</v>
      </c>
      <c r="D1736" s="2" t="str">
        <f t="shared" ref="D1736:E1736" si="1734">TRIM(B1736)</f>
        <v>Pennsylvania</v>
      </c>
      <c r="E1736" s="2" t="str">
        <f t="shared" si="1734"/>
        <v>Natrona Heights</v>
      </c>
    </row>
    <row r="1737" spans="1:5">
      <c r="A1737" s="76" t="s">
        <v>13216</v>
      </c>
      <c r="B1737" s="111" t="s">
        <v>1364</v>
      </c>
      <c r="C1737" s="111" t="s">
        <v>539</v>
      </c>
      <c r="D1737" s="2" t="str">
        <f t="shared" ref="D1737:E1737" si="1735">TRIM(B1737)</f>
        <v>Pennsylvania</v>
      </c>
      <c r="E1737" s="2" t="str">
        <f t="shared" si="1735"/>
        <v>Philadelphia</v>
      </c>
    </row>
    <row r="1738" spans="1:5">
      <c r="A1738" s="111" t="s">
        <v>13218</v>
      </c>
      <c r="B1738" s="111" t="s">
        <v>1364</v>
      </c>
      <c r="C1738" s="111" t="s">
        <v>13219</v>
      </c>
      <c r="D1738" s="2" t="str">
        <f t="shared" ref="D1738:E1738" si="1736">TRIM(B1738)</f>
        <v>Pennsylvania</v>
      </c>
      <c r="E1738" s="2" t="str">
        <f t="shared" si="1736"/>
        <v>Terre Hill</v>
      </c>
    </row>
    <row r="1739" spans="1:5">
      <c r="A1739" s="111" t="s">
        <v>13221</v>
      </c>
      <c r="B1739" s="111" t="s">
        <v>1364</v>
      </c>
      <c r="C1739" s="111" t="s">
        <v>13182</v>
      </c>
      <c r="D1739" s="2" t="str">
        <f t="shared" ref="D1739:E1739" si="1737">TRIM(B1739)</f>
        <v>Pennsylvania</v>
      </c>
      <c r="E1739" s="2" t="str">
        <f t="shared" si="1737"/>
        <v>Bryn Mawr</v>
      </c>
    </row>
    <row r="1740" spans="1:5">
      <c r="A1740" s="111" t="s">
        <v>13223</v>
      </c>
      <c r="B1740" s="111" t="s">
        <v>1364</v>
      </c>
      <c r="C1740" s="111" t="s">
        <v>13182</v>
      </c>
      <c r="D1740" s="2" t="str">
        <f t="shared" ref="D1740:E1740" si="1738">TRIM(B1740)</f>
        <v>Pennsylvania</v>
      </c>
      <c r="E1740" s="2" t="str">
        <f t="shared" si="1738"/>
        <v>Bryn Mawr</v>
      </c>
    </row>
    <row r="1741" spans="1:5">
      <c r="A1741" s="111" t="s">
        <v>13224</v>
      </c>
      <c r="B1741" s="111" t="s">
        <v>1364</v>
      </c>
      <c r="C1741" s="111" t="s">
        <v>539</v>
      </c>
      <c r="D1741" s="2" t="str">
        <f t="shared" ref="D1741:E1741" si="1739">TRIM(B1741)</f>
        <v>Pennsylvania</v>
      </c>
      <c r="E1741" s="2" t="str">
        <f t="shared" si="1739"/>
        <v>Philadelphia</v>
      </c>
    </row>
    <row r="1742" spans="1:5">
      <c r="A1742" s="111" t="s">
        <v>13226</v>
      </c>
      <c r="B1742" s="111" t="s">
        <v>1364</v>
      </c>
      <c r="C1742" s="111" t="s">
        <v>3845</v>
      </c>
      <c r="D1742" s="2" t="str">
        <f t="shared" ref="D1742:E1742" si="1740">TRIM(B1742)</f>
        <v>Pennsylvania</v>
      </c>
      <c r="E1742" s="2" t="str">
        <f t="shared" si="1740"/>
        <v>Harrisburg</v>
      </c>
    </row>
    <row r="1743" spans="1:5">
      <c r="A1743" s="111" t="s">
        <v>13228</v>
      </c>
      <c r="B1743" s="111" t="s">
        <v>1364</v>
      </c>
      <c r="C1743" s="111" t="s">
        <v>539</v>
      </c>
      <c r="D1743" s="2" t="str">
        <f t="shared" ref="D1743:E1743" si="1741">TRIM(B1743)</f>
        <v>Pennsylvania</v>
      </c>
      <c r="E1743" s="2" t="str">
        <f t="shared" si="1741"/>
        <v>Philadelphia</v>
      </c>
    </row>
    <row r="1744" spans="1:5">
      <c r="A1744" s="111" t="s">
        <v>13232</v>
      </c>
      <c r="B1744" s="111" t="s">
        <v>1364</v>
      </c>
      <c r="C1744" s="111" t="s">
        <v>539</v>
      </c>
      <c r="D1744" s="2" t="str">
        <f t="shared" ref="D1744:E1744" si="1742">TRIM(B1744)</f>
        <v>Pennsylvania</v>
      </c>
      <c r="E1744" s="2" t="str">
        <f t="shared" si="1742"/>
        <v>Philadelphia</v>
      </c>
    </row>
    <row r="1745" spans="1:5">
      <c r="A1745" s="111" t="s">
        <v>13234</v>
      </c>
      <c r="B1745" s="111" t="s">
        <v>1364</v>
      </c>
      <c r="C1745" s="111" t="s">
        <v>13235</v>
      </c>
      <c r="D1745" s="2" t="str">
        <f t="shared" ref="D1745:E1745" si="1743">TRIM(B1745)</f>
        <v>Pennsylvania</v>
      </c>
      <c r="E1745" s="2" t="str">
        <f t="shared" si="1743"/>
        <v>Haverford</v>
      </c>
    </row>
    <row r="1746" spans="1:5">
      <c r="A1746" s="111" t="s">
        <v>13236</v>
      </c>
      <c r="B1746" s="111" t="s">
        <v>1364</v>
      </c>
      <c r="C1746" s="111" t="s">
        <v>13238</v>
      </c>
      <c r="D1746" s="2" t="str">
        <f t="shared" ref="D1746:E1746" si="1744">TRIM(B1746)</f>
        <v>Pennsylvania</v>
      </c>
      <c r="E1746" s="2" t="str">
        <f t="shared" si="1744"/>
        <v>Pottstown</v>
      </c>
    </row>
    <row r="1747" spans="1:5">
      <c r="A1747" s="76" t="s">
        <v>9659</v>
      </c>
      <c r="B1747" s="111" t="s">
        <v>1364</v>
      </c>
      <c r="C1747" s="111" t="s">
        <v>13240</v>
      </c>
      <c r="D1747" s="2" t="str">
        <f t="shared" ref="D1747:E1747" si="1745">TRIM(B1747)</f>
        <v>Pennsylvania</v>
      </c>
      <c r="E1747" s="2" t="str">
        <f t="shared" si="1745"/>
        <v>Mohrsville</v>
      </c>
    </row>
    <row r="1748" spans="1:5">
      <c r="A1748" s="111" t="s">
        <v>13242</v>
      </c>
      <c r="B1748" s="111" t="s">
        <v>1364</v>
      </c>
      <c r="C1748" s="111" t="s">
        <v>13243</v>
      </c>
      <c r="D1748" s="2" t="str">
        <f t="shared" ref="D1748:E1748" si="1746">TRIM(B1748)</f>
        <v>Pennsylvania</v>
      </c>
      <c r="E1748" s="2" t="str">
        <f t="shared" si="1746"/>
        <v>Saltsburg</v>
      </c>
    </row>
    <row r="1749" spans="1:5">
      <c r="A1749" s="111" t="s">
        <v>13246</v>
      </c>
      <c r="B1749" s="111" t="s">
        <v>1364</v>
      </c>
      <c r="C1749" s="111" t="s">
        <v>336</v>
      </c>
      <c r="D1749" s="2" t="str">
        <f t="shared" ref="D1749:E1749" si="1747">TRIM(B1749)</f>
        <v>Pennsylvania</v>
      </c>
      <c r="E1749" s="2" t="str">
        <f t="shared" si="1747"/>
        <v>Pittsburgh</v>
      </c>
    </row>
    <row r="1750" spans="1:5">
      <c r="A1750" s="111" t="s">
        <v>13248</v>
      </c>
      <c r="B1750" s="111" t="s">
        <v>1364</v>
      </c>
      <c r="C1750" s="111" t="s">
        <v>3979</v>
      </c>
      <c r="D1750" s="2" t="str">
        <f t="shared" ref="D1750:E1750" si="1748">TRIM(B1750)</f>
        <v>Pennsylvania</v>
      </c>
      <c r="E1750" s="2" t="str">
        <f t="shared" si="1748"/>
        <v>Malvern</v>
      </c>
    </row>
    <row r="1751" spans="1:5">
      <c r="A1751" s="111" t="s">
        <v>13250</v>
      </c>
      <c r="B1751" s="111" t="s">
        <v>1364</v>
      </c>
      <c r="C1751" s="111" t="s">
        <v>13182</v>
      </c>
      <c r="D1751" s="2" t="str">
        <f t="shared" ref="D1751:E1751" si="1749">TRIM(B1751)</f>
        <v>Pennsylvania</v>
      </c>
      <c r="E1751" s="2" t="str">
        <f t="shared" si="1749"/>
        <v>Bryn Mawr</v>
      </c>
    </row>
    <row r="1752" spans="1:5">
      <c r="A1752" s="111" t="s">
        <v>9744</v>
      </c>
      <c r="B1752" s="111" t="s">
        <v>1364</v>
      </c>
      <c r="C1752" s="111" t="s">
        <v>336</v>
      </c>
      <c r="D1752" s="2" t="str">
        <f t="shared" ref="D1752:E1752" si="1750">TRIM(B1752)</f>
        <v>Pennsylvania</v>
      </c>
      <c r="E1752" s="2" t="str">
        <f t="shared" si="1750"/>
        <v>Pittsburgh</v>
      </c>
    </row>
    <row r="1753" spans="1:5">
      <c r="A1753" s="111" t="s">
        <v>13251</v>
      </c>
      <c r="B1753" s="111" t="s">
        <v>1364</v>
      </c>
      <c r="C1753" s="111" t="s">
        <v>413</v>
      </c>
      <c r="D1753" s="2" t="str">
        <f t="shared" ref="D1753:E1753" si="1751">TRIM(B1753)</f>
        <v>Pennsylvania</v>
      </c>
      <c r="E1753" s="2" t="str">
        <f t="shared" si="1751"/>
        <v>Wayne</v>
      </c>
    </row>
    <row r="1754" spans="1:5">
      <c r="A1754" s="111" t="s">
        <v>13254</v>
      </c>
      <c r="B1754" s="111" t="s">
        <v>1364</v>
      </c>
      <c r="C1754" s="111" t="s">
        <v>13255</v>
      </c>
      <c r="D1754" s="2" t="str">
        <f t="shared" ref="D1754:E1754" si="1752">TRIM(B1754)</f>
        <v>Pennsylvania</v>
      </c>
      <c r="E1754" s="2" t="str">
        <f t="shared" si="1752"/>
        <v>Leola</v>
      </c>
    </row>
    <row r="1755" spans="1:5">
      <c r="A1755" s="111" t="s">
        <v>13256</v>
      </c>
      <c r="B1755" s="111" t="s">
        <v>1364</v>
      </c>
      <c r="C1755" s="111" t="s">
        <v>11430</v>
      </c>
      <c r="D1755" s="2" t="str">
        <f t="shared" ref="D1755:E1755" si="1753">TRIM(B1755)</f>
        <v>Pennsylvania</v>
      </c>
      <c r="E1755" s="2" t="str">
        <f t="shared" si="1753"/>
        <v>Holland</v>
      </c>
    </row>
    <row r="1756" spans="1:5">
      <c r="A1756" s="111" t="s">
        <v>13259</v>
      </c>
      <c r="B1756" s="111" t="s">
        <v>1364</v>
      </c>
      <c r="C1756" s="111" t="s">
        <v>3979</v>
      </c>
      <c r="D1756" s="2" t="str">
        <f t="shared" ref="D1756:E1756" si="1754">TRIM(B1756)</f>
        <v>Pennsylvania</v>
      </c>
      <c r="E1756" s="2" t="str">
        <f t="shared" si="1754"/>
        <v>Malvern</v>
      </c>
    </row>
    <row r="1757" spans="1:5">
      <c r="A1757" s="111" t="s">
        <v>13262</v>
      </c>
      <c r="B1757" s="111" t="s">
        <v>1364</v>
      </c>
      <c r="C1757" s="111" t="s">
        <v>525</v>
      </c>
      <c r="D1757" s="2" t="str">
        <f t="shared" ref="D1757:E1757" si="1755">TRIM(B1757)</f>
        <v>Pennsylvania</v>
      </c>
      <c r="E1757" s="2" t="str">
        <f t="shared" si="1755"/>
        <v>Franklin</v>
      </c>
    </row>
    <row r="1758" spans="1:5">
      <c r="A1758" s="111" t="s">
        <v>13265</v>
      </c>
      <c r="B1758" s="111" t="s">
        <v>1364</v>
      </c>
      <c r="C1758" s="112" t="s">
        <v>1263</v>
      </c>
      <c r="D1758" s="2" t="str">
        <f t="shared" ref="D1758:E1758" si="1756">TRIM(B1758)</f>
        <v>Pennsylvania</v>
      </c>
      <c r="E1758" s="2" t="str">
        <f t="shared" si="1756"/>
        <v>West Chester</v>
      </c>
    </row>
    <row r="1759" spans="1:5">
      <c r="A1759" s="111" t="s">
        <v>13268</v>
      </c>
      <c r="B1759" s="111" t="s">
        <v>1364</v>
      </c>
      <c r="C1759" s="111" t="s">
        <v>567</v>
      </c>
      <c r="D1759" s="2" t="str">
        <f t="shared" ref="D1759:E1759" si="1757">TRIM(B1759)</f>
        <v>Pennsylvania</v>
      </c>
      <c r="E1759" s="2" t="str">
        <f t="shared" si="1757"/>
        <v>York</v>
      </c>
    </row>
    <row r="1760" spans="1:5">
      <c r="A1760" s="111" t="s">
        <v>13271</v>
      </c>
      <c r="B1760" s="111" t="s">
        <v>1367</v>
      </c>
      <c r="C1760" s="111" t="s">
        <v>13273</v>
      </c>
      <c r="D1760" s="2" t="str">
        <f t="shared" ref="D1760:E1760" si="1758">TRIM(B1760)</f>
        <v>Rhode Island</v>
      </c>
      <c r="E1760" s="2" t="str">
        <f t="shared" si="1758"/>
        <v>Warwick</v>
      </c>
    </row>
    <row r="1761" spans="1:5">
      <c r="A1761" s="111" t="s">
        <v>13275</v>
      </c>
      <c r="B1761" s="111" t="s">
        <v>1367</v>
      </c>
      <c r="C1761" s="111" t="s">
        <v>9512</v>
      </c>
      <c r="D1761" s="2" t="str">
        <f t="shared" ref="D1761:E1761" si="1759">TRIM(B1761)</f>
        <v>Rhode Island</v>
      </c>
      <c r="E1761" s="2" t="str">
        <f t="shared" si="1759"/>
        <v>Providence</v>
      </c>
    </row>
    <row r="1762" spans="1:5">
      <c r="A1762" s="111" t="s">
        <v>13276</v>
      </c>
      <c r="B1762" s="111" t="s">
        <v>1367</v>
      </c>
      <c r="C1762" s="111" t="s">
        <v>9512</v>
      </c>
      <c r="D1762" s="2" t="str">
        <f t="shared" ref="D1762:E1762" si="1760">TRIM(B1762)</f>
        <v>Rhode Island</v>
      </c>
      <c r="E1762" s="2" t="str">
        <f t="shared" si="1760"/>
        <v>Providence</v>
      </c>
    </row>
    <row r="1763" spans="1:5">
      <c r="A1763" s="111" t="s">
        <v>13279</v>
      </c>
      <c r="B1763" s="111" t="s">
        <v>1367</v>
      </c>
      <c r="C1763" s="111" t="s">
        <v>13280</v>
      </c>
      <c r="D1763" s="2" t="str">
        <f t="shared" ref="D1763:E1763" si="1761">TRIM(B1763)</f>
        <v>Rhode Island</v>
      </c>
      <c r="E1763" s="2" t="str">
        <f t="shared" si="1761"/>
        <v>Woonsocket</v>
      </c>
    </row>
    <row r="1764" spans="1:5">
      <c r="A1764" s="111" t="s">
        <v>13283</v>
      </c>
      <c r="B1764" s="111" t="s">
        <v>1367</v>
      </c>
      <c r="C1764" s="111" t="s">
        <v>13284</v>
      </c>
      <c r="D1764" s="2" t="str">
        <f t="shared" ref="D1764:E1764" si="1762">TRIM(B1764)</f>
        <v>Rhode Island</v>
      </c>
      <c r="E1764" s="2" t="str">
        <f t="shared" si="1762"/>
        <v>East Providence</v>
      </c>
    </row>
    <row r="1765" spans="1:5">
      <c r="A1765" s="111" t="s">
        <v>13285</v>
      </c>
      <c r="B1765" s="111" t="s">
        <v>1367</v>
      </c>
      <c r="C1765" s="111" t="s">
        <v>12037</v>
      </c>
      <c r="D1765" s="2" t="str">
        <f t="shared" ref="D1765:E1765" si="1763">TRIM(B1765)</f>
        <v>Rhode Island</v>
      </c>
      <c r="E1765" s="2" t="str">
        <f t="shared" si="1763"/>
        <v>Barrington</v>
      </c>
    </row>
    <row r="1766" spans="1:5">
      <c r="A1766" s="111" t="s">
        <v>13287</v>
      </c>
      <c r="B1766" s="111" t="s">
        <v>1367</v>
      </c>
      <c r="C1766" s="111" t="s">
        <v>260</v>
      </c>
      <c r="D1766" s="2" t="str">
        <f t="shared" ref="D1766:E1766" si="1764">TRIM(B1766)</f>
        <v>Rhode Island</v>
      </c>
      <c r="E1766" s="2" t="str">
        <f t="shared" si="1764"/>
        <v>Riverside</v>
      </c>
    </row>
    <row r="1767" spans="1:5">
      <c r="A1767" s="111" t="s">
        <v>13290</v>
      </c>
      <c r="B1767" s="111" t="s">
        <v>1367</v>
      </c>
      <c r="C1767" s="111" t="s">
        <v>9512</v>
      </c>
      <c r="D1767" s="2" t="str">
        <f t="shared" ref="D1767:E1767" si="1765">TRIM(B1767)</f>
        <v>Rhode Island</v>
      </c>
      <c r="E1767" s="2" t="str">
        <f t="shared" si="1765"/>
        <v>Providence</v>
      </c>
    </row>
    <row r="1768" spans="1:5">
      <c r="A1768" s="111" t="s">
        <v>13293</v>
      </c>
      <c r="B1768" s="111" t="s">
        <v>1367</v>
      </c>
      <c r="C1768" s="111" t="s">
        <v>13294</v>
      </c>
      <c r="D1768" s="2" t="str">
        <f t="shared" ref="D1768:E1768" si="1766">TRIM(B1768)</f>
        <v>Rhode Island</v>
      </c>
      <c r="E1768" s="2" t="str">
        <f t="shared" si="1766"/>
        <v>Pawtucket</v>
      </c>
    </row>
    <row r="1769" spans="1:5">
      <c r="A1769" s="111" t="s">
        <v>13297</v>
      </c>
      <c r="B1769" s="111" t="s">
        <v>1367</v>
      </c>
      <c r="C1769" s="111" t="s">
        <v>9512</v>
      </c>
      <c r="D1769" s="2" t="str">
        <f t="shared" ref="D1769:E1769" si="1767">TRIM(B1769)</f>
        <v>Rhode Island</v>
      </c>
      <c r="E1769" s="2" t="str">
        <f t="shared" si="1767"/>
        <v>Providence</v>
      </c>
    </row>
    <row r="1770" spans="1:5">
      <c r="A1770" s="111" t="s">
        <v>13299</v>
      </c>
      <c r="B1770" s="111" t="s">
        <v>1368</v>
      </c>
      <c r="C1770" s="111" t="s">
        <v>13300</v>
      </c>
      <c r="D1770" s="2" t="str">
        <f t="shared" ref="D1770:E1770" si="1768">TRIM(B1770)</f>
        <v>South Carolina</v>
      </c>
      <c r="E1770" s="2" t="str">
        <f t="shared" si="1768"/>
        <v>Ehrhardt</v>
      </c>
    </row>
    <row r="1771" spans="1:5">
      <c r="A1771" s="111" t="s">
        <v>13301</v>
      </c>
      <c r="B1771" s="111" t="s">
        <v>1368</v>
      </c>
      <c r="C1771" s="111" t="s">
        <v>3684</v>
      </c>
      <c r="D1771" s="2" t="str">
        <f t="shared" ref="D1771:E1771" si="1769">TRIM(B1771)</f>
        <v>South Carolina</v>
      </c>
      <c r="E1771" s="2" t="str">
        <f t="shared" si="1769"/>
        <v>Charleston</v>
      </c>
    </row>
    <row r="1772" spans="1:5">
      <c r="A1772" s="111" t="s">
        <v>13304</v>
      </c>
      <c r="B1772" s="111" t="s">
        <v>1368</v>
      </c>
      <c r="C1772" s="111" t="s">
        <v>13305</v>
      </c>
      <c r="D1772" s="2" t="str">
        <f t="shared" ref="D1772:E1772" si="1770">TRIM(B1772)</f>
        <v>South Carolina</v>
      </c>
      <c r="E1772" s="2" t="str">
        <f t="shared" si="1770"/>
        <v>Beaufort</v>
      </c>
    </row>
    <row r="1773" spans="1:5">
      <c r="A1773" s="111" t="s">
        <v>13308</v>
      </c>
      <c r="B1773" s="111" t="s">
        <v>1368</v>
      </c>
      <c r="C1773" s="111" t="s">
        <v>356</v>
      </c>
      <c r="D1773" s="2" t="str">
        <f t="shared" ref="D1773:E1773" si="1771">TRIM(B1773)</f>
        <v>South Carolina</v>
      </c>
      <c r="E1773" s="2" t="str">
        <f t="shared" si="1771"/>
        <v>Columbia</v>
      </c>
    </row>
    <row r="1774" spans="1:5">
      <c r="A1774" s="111" t="s">
        <v>13310</v>
      </c>
      <c r="B1774" s="111" t="s">
        <v>1368</v>
      </c>
      <c r="C1774" s="111" t="s">
        <v>1804</v>
      </c>
      <c r="D1774" s="2" t="str">
        <f t="shared" ref="D1774:E1774" si="1772">TRIM(B1774)</f>
        <v>South Carolina</v>
      </c>
      <c r="E1774" s="2" t="str">
        <f t="shared" si="1772"/>
        <v>Greenville</v>
      </c>
    </row>
    <row r="1775" spans="1:5">
      <c r="A1775" s="111" t="s">
        <v>11642</v>
      </c>
      <c r="B1775" s="111" t="s">
        <v>1368</v>
      </c>
      <c r="C1775" s="111" t="s">
        <v>13312</v>
      </c>
      <c r="D1775" s="2" t="str">
        <f t="shared" ref="D1775:E1775" si="1773">TRIM(B1775)</f>
        <v>South Carolina</v>
      </c>
      <c r="E1775" s="2" t="str">
        <f t="shared" si="1773"/>
        <v>Saint Matthews</v>
      </c>
    </row>
    <row r="1776" spans="1:5">
      <c r="A1776" s="111" t="s">
        <v>13313</v>
      </c>
      <c r="B1776" s="111" t="s">
        <v>1368</v>
      </c>
      <c r="C1776" s="111" t="s">
        <v>3820</v>
      </c>
      <c r="D1776" s="2" t="str">
        <f t="shared" ref="D1776:E1776" si="1774">TRIM(B1776)</f>
        <v>South Carolina</v>
      </c>
      <c r="E1776" s="2" t="str">
        <f t="shared" si="1774"/>
        <v>Greenwood</v>
      </c>
    </row>
    <row r="1777" spans="1:5">
      <c r="A1777" s="111" t="s">
        <v>13315</v>
      </c>
      <c r="B1777" s="111" t="s">
        <v>1368</v>
      </c>
      <c r="C1777" s="111" t="s">
        <v>773</v>
      </c>
      <c r="D1777" s="2" t="str">
        <f t="shared" ref="D1777:E1777" si="1775">TRIM(B1777)</f>
        <v>South Carolina</v>
      </c>
      <c r="E1777" s="2" t="str">
        <f t="shared" si="1775"/>
        <v>Camden</v>
      </c>
    </row>
    <row r="1778" spans="1:5">
      <c r="A1778" s="111" t="s">
        <v>13318</v>
      </c>
      <c r="B1778" s="111" t="s">
        <v>1368</v>
      </c>
      <c r="C1778" s="111" t="s">
        <v>3684</v>
      </c>
      <c r="D1778" s="2" t="str">
        <f t="shared" ref="D1778:E1778" si="1776">TRIM(B1778)</f>
        <v>South Carolina</v>
      </c>
      <c r="E1778" s="2" t="str">
        <f t="shared" si="1776"/>
        <v>Charleston</v>
      </c>
    </row>
    <row r="1779" spans="1:5">
      <c r="A1779" s="111" t="s">
        <v>13319</v>
      </c>
      <c r="B1779" s="111" t="s">
        <v>1368</v>
      </c>
      <c r="C1779" s="111" t="s">
        <v>13320</v>
      </c>
      <c r="D1779" s="2" t="str">
        <f t="shared" ref="D1779:E1779" si="1777">TRIM(B1779)</f>
        <v>South Carolina</v>
      </c>
      <c r="E1779" s="2" t="str">
        <f t="shared" si="1777"/>
        <v>Johns Island</v>
      </c>
    </row>
    <row r="1780" spans="1:5">
      <c r="A1780" s="111" t="s">
        <v>13323</v>
      </c>
      <c r="B1780" s="111" t="s">
        <v>1368</v>
      </c>
      <c r="C1780" s="111" t="s">
        <v>13324</v>
      </c>
      <c r="D1780" s="2" t="str">
        <f t="shared" ref="D1780:E1780" si="1778">TRIM(B1780)</f>
        <v>South Carolina</v>
      </c>
      <c r="E1780" s="2" t="str">
        <f t="shared" si="1778"/>
        <v>Summerton</v>
      </c>
    </row>
    <row r="1781" spans="1:5">
      <c r="A1781" s="111" t="s">
        <v>13327</v>
      </c>
      <c r="B1781" s="111" t="s">
        <v>1368</v>
      </c>
      <c r="C1781" s="111" t="s">
        <v>1473</v>
      </c>
      <c r="D1781" s="2" t="str">
        <f t="shared" ref="D1781:E1781" si="1779">TRIM(B1781)</f>
        <v>South Carolina</v>
      </c>
      <c r="E1781" s="2" t="str">
        <f t="shared" si="1779"/>
        <v>Abbeville</v>
      </c>
    </row>
    <row r="1782" spans="1:5">
      <c r="A1782" s="111" t="s">
        <v>13328</v>
      </c>
      <c r="B1782" s="111" t="s">
        <v>1368</v>
      </c>
      <c r="C1782" s="111" t="s">
        <v>13330</v>
      </c>
      <c r="D1782" s="2" t="str">
        <f t="shared" ref="D1782:E1782" si="1780">TRIM(B1782)</f>
        <v>South Carolina</v>
      </c>
      <c r="E1782" s="2" t="str">
        <f t="shared" si="1780"/>
        <v>Walterboro</v>
      </c>
    </row>
    <row r="1783" spans="1:5">
      <c r="A1783" s="111" t="s">
        <v>13332</v>
      </c>
      <c r="B1783" s="111" t="s">
        <v>1368</v>
      </c>
      <c r="C1783" s="111" t="s">
        <v>13333</v>
      </c>
      <c r="D1783" s="2" t="str">
        <f t="shared" ref="D1783:E1783" si="1781">TRIM(B1783)</f>
        <v>South Carolina</v>
      </c>
      <c r="E1783" s="2" t="str">
        <f t="shared" si="1781"/>
        <v>Saint George</v>
      </c>
    </row>
    <row r="1784" spans="1:5">
      <c r="A1784" s="111" t="s">
        <v>13335</v>
      </c>
      <c r="B1784" s="111" t="s">
        <v>1368</v>
      </c>
      <c r="C1784" s="111" t="s">
        <v>491</v>
      </c>
      <c r="D1784" s="2" t="str">
        <f t="shared" ref="D1784:E1784" si="1782">TRIM(B1784)</f>
        <v>South Carolina</v>
      </c>
      <c r="E1784" s="2" t="str">
        <f t="shared" si="1782"/>
        <v>Johnston</v>
      </c>
    </row>
    <row r="1785" spans="1:5">
      <c r="A1785" s="111" t="s">
        <v>13339</v>
      </c>
      <c r="B1785" s="111" t="s">
        <v>1368</v>
      </c>
      <c r="C1785" s="111" t="s">
        <v>13341</v>
      </c>
      <c r="D1785" s="2" t="str">
        <f t="shared" ref="D1785:E1785" si="1783">TRIM(B1785)</f>
        <v>South Carolina</v>
      </c>
      <c r="E1785" s="2" t="str">
        <f t="shared" si="1783"/>
        <v>Simpsonville</v>
      </c>
    </row>
    <row r="1786" spans="1:5">
      <c r="A1786" s="111" t="s">
        <v>13343</v>
      </c>
      <c r="B1786" s="111" t="s">
        <v>1368</v>
      </c>
      <c r="C1786" s="111" t="s">
        <v>3684</v>
      </c>
      <c r="D1786" s="2" t="str">
        <f t="shared" ref="D1786:E1786" si="1784">TRIM(B1786)</f>
        <v>South Carolina</v>
      </c>
      <c r="E1786" s="2" t="str">
        <f t="shared" si="1784"/>
        <v>Charleston</v>
      </c>
    </row>
    <row r="1787" spans="1:5">
      <c r="A1787" s="111" t="s">
        <v>2835</v>
      </c>
      <c r="B1787" s="111" t="s">
        <v>1368</v>
      </c>
      <c r="C1787" s="113" t="s">
        <v>13345</v>
      </c>
      <c r="D1787" s="2" t="str">
        <f t="shared" ref="D1787:E1787" si="1785">TRIM(B1787)</f>
        <v>South Carolina</v>
      </c>
      <c r="E1787" s="2" t="str">
        <f t="shared" si="1785"/>
        <v>Hilton Head Island</v>
      </c>
    </row>
    <row r="1788" spans="1:5">
      <c r="A1788" s="111" t="s">
        <v>13347</v>
      </c>
      <c r="B1788" s="111" t="s">
        <v>1368</v>
      </c>
      <c r="C1788" s="113" t="s">
        <v>13345</v>
      </c>
      <c r="D1788" s="2" t="str">
        <f t="shared" ref="D1788:E1788" si="1786">TRIM(B1788)</f>
        <v>South Carolina</v>
      </c>
      <c r="E1788" s="2" t="str">
        <f t="shared" si="1786"/>
        <v>Hilton Head Island</v>
      </c>
    </row>
    <row r="1789" spans="1:5">
      <c r="A1789" s="111" t="s">
        <v>13349</v>
      </c>
      <c r="B1789" s="111" t="s">
        <v>1368</v>
      </c>
      <c r="C1789" s="111" t="s">
        <v>13350</v>
      </c>
      <c r="D1789" s="2" t="str">
        <f t="shared" ref="D1789:E1789" si="1787">TRIM(B1789)</f>
        <v>South Carolina</v>
      </c>
      <c r="E1789" s="2" t="str">
        <f t="shared" si="1787"/>
        <v>Blackville</v>
      </c>
    </row>
    <row r="1790" spans="1:5">
      <c r="A1790" s="111" t="s">
        <v>13352</v>
      </c>
      <c r="B1790" s="111" t="s">
        <v>1368</v>
      </c>
      <c r="C1790" s="111" t="s">
        <v>13353</v>
      </c>
      <c r="D1790" s="2" t="str">
        <f t="shared" ref="D1790:E1790" si="1788">TRIM(B1790)</f>
        <v>South Carolina</v>
      </c>
      <c r="E1790" s="2" t="str">
        <f t="shared" si="1788"/>
        <v>Lake Wylie</v>
      </c>
    </row>
    <row r="1791" spans="1:5">
      <c r="A1791" s="111" t="s">
        <v>13357</v>
      </c>
      <c r="B1791" s="111" t="s">
        <v>1368</v>
      </c>
      <c r="C1791" s="111" t="s">
        <v>13358</v>
      </c>
      <c r="D1791" s="2" t="str">
        <f t="shared" ref="D1791:E1791" si="1789">TRIM(B1791)</f>
        <v>South Carolina</v>
      </c>
      <c r="E1791" s="2" t="str">
        <f t="shared" si="1789"/>
        <v>Manning</v>
      </c>
    </row>
    <row r="1792" spans="1:5">
      <c r="A1792" s="111" t="s">
        <v>13361</v>
      </c>
      <c r="B1792" s="111" t="s">
        <v>1368</v>
      </c>
      <c r="C1792" s="111" t="s">
        <v>13362</v>
      </c>
      <c r="D1792" s="2" t="str">
        <f t="shared" ref="D1792:E1792" si="1790">TRIM(B1792)</f>
        <v>South Carolina</v>
      </c>
      <c r="E1792" s="2" t="str">
        <f t="shared" si="1790"/>
        <v>Bennettsville</v>
      </c>
    </row>
    <row r="1793" spans="1:5">
      <c r="A1793" s="111" t="s">
        <v>13364</v>
      </c>
      <c r="B1793" s="111" t="s">
        <v>1368</v>
      </c>
      <c r="C1793" s="111" t="s">
        <v>13365</v>
      </c>
      <c r="D1793" s="2" t="str">
        <f t="shared" ref="D1793:E1793" si="1791">TRIM(B1793)</f>
        <v>South Carolina</v>
      </c>
      <c r="E1793" s="2" t="str">
        <f t="shared" si="1791"/>
        <v>Batesburg</v>
      </c>
    </row>
    <row r="1794" spans="1:5">
      <c r="A1794" s="111" t="s">
        <v>13366</v>
      </c>
      <c r="B1794" s="111" t="s">
        <v>1368</v>
      </c>
      <c r="C1794" s="111" t="s">
        <v>9773</v>
      </c>
      <c r="D1794" s="2" t="str">
        <f t="shared" ref="D1794:E1794" si="1792">TRIM(B1794)</f>
        <v>South Carolina</v>
      </c>
      <c r="E1794" s="2" t="str">
        <f t="shared" si="1792"/>
        <v>Newberry</v>
      </c>
    </row>
    <row r="1795" spans="1:5">
      <c r="A1795" s="111" t="s">
        <v>13367</v>
      </c>
      <c r="B1795" s="111" t="s">
        <v>1368</v>
      </c>
      <c r="C1795" s="111" t="s">
        <v>11319</v>
      </c>
      <c r="D1795" s="2" t="str">
        <f t="shared" ref="D1795:E1795" si="1793">TRIM(B1795)</f>
        <v>South Carolina</v>
      </c>
      <c r="E1795" s="2" t="str">
        <f t="shared" si="1793"/>
        <v>Summerville</v>
      </c>
    </row>
    <row r="1796" spans="1:5">
      <c r="A1796" s="111" t="s">
        <v>13369</v>
      </c>
      <c r="B1796" s="111" t="s">
        <v>1368</v>
      </c>
      <c r="C1796" s="111" t="s">
        <v>13370</v>
      </c>
      <c r="D1796" s="2" t="str">
        <f t="shared" ref="D1796:E1796" si="1794">TRIM(B1796)</f>
        <v>South Carolina</v>
      </c>
      <c r="E1796" s="2" t="str">
        <f t="shared" si="1794"/>
        <v>Estill</v>
      </c>
    </row>
    <row r="1797" spans="1:5">
      <c r="A1797" s="111" t="s">
        <v>13374</v>
      </c>
      <c r="B1797" s="111" t="s">
        <v>1368</v>
      </c>
      <c r="C1797" s="111" t="s">
        <v>13376</v>
      </c>
      <c r="D1797" s="2" t="str">
        <f t="shared" ref="D1797:E1797" si="1795">TRIM(B1797)</f>
        <v>South Carolina</v>
      </c>
      <c r="E1797" s="2" t="str">
        <f t="shared" si="1795"/>
        <v>Mullins</v>
      </c>
    </row>
    <row r="1798" spans="1:5">
      <c r="A1798" s="111" t="s">
        <v>13379</v>
      </c>
      <c r="B1798" s="111" t="s">
        <v>1368</v>
      </c>
      <c r="C1798" s="112" t="s">
        <v>11319</v>
      </c>
      <c r="D1798" s="2" t="str">
        <f t="shared" ref="D1798:E1798" si="1796">TRIM(B1798)</f>
        <v>South Carolina</v>
      </c>
      <c r="E1798" s="2" t="str">
        <f t="shared" si="1796"/>
        <v>Summerville</v>
      </c>
    </row>
    <row r="1799" spans="1:5">
      <c r="A1799" s="111" t="s">
        <v>13381</v>
      </c>
      <c r="B1799" s="111" t="s">
        <v>1368</v>
      </c>
      <c r="C1799" s="111" t="s">
        <v>3684</v>
      </c>
      <c r="D1799" s="2" t="str">
        <f t="shared" ref="D1799:E1799" si="1797">TRIM(B1799)</f>
        <v>South Carolina</v>
      </c>
      <c r="E1799" s="2" t="str">
        <f t="shared" si="1797"/>
        <v>Charleston</v>
      </c>
    </row>
    <row r="1800" spans="1:5">
      <c r="A1800" s="111" t="s">
        <v>13383</v>
      </c>
      <c r="B1800" s="111" t="s">
        <v>1368</v>
      </c>
      <c r="C1800" s="111" t="s">
        <v>10896</v>
      </c>
      <c r="D1800" s="2" t="str">
        <f t="shared" ref="D1800:E1800" si="1798">TRIM(B1800)</f>
        <v>South Carolina</v>
      </c>
      <c r="E1800" s="2" t="str">
        <f t="shared" si="1798"/>
        <v>Winnsboro</v>
      </c>
    </row>
    <row r="1801" spans="1:5">
      <c r="A1801" s="111" t="s">
        <v>13386</v>
      </c>
      <c r="B1801" s="111" t="s">
        <v>1368</v>
      </c>
      <c r="C1801" s="111" t="s">
        <v>13387</v>
      </c>
      <c r="D1801" s="2" t="str">
        <f t="shared" ref="D1801:E1801" si="1799">TRIM(B1801)</f>
        <v>South Carolina</v>
      </c>
      <c r="E1801" s="2" t="str">
        <f t="shared" si="1799"/>
        <v>Bishopville</v>
      </c>
    </row>
    <row r="1802" spans="1:5">
      <c r="A1802" s="111" t="s">
        <v>13390</v>
      </c>
      <c r="B1802" s="111" t="s">
        <v>1368</v>
      </c>
      <c r="C1802" s="111" t="s">
        <v>466</v>
      </c>
      <c r="D1802" s="2" t="str">
        <f t="shared" ref="D1802:E1802" si="1800">TRIM(B1802)</f>
        <v>South Carolina</v>
      </c>
      <c r="E1802" s="2" t="str">
        <f t="shared" si="1800"/>
        <v>Spartanburg</v>
      </c>
    </row>
    <row r="1803" spans="1:5">
      <c r="A1803" s="111" t="s">
        <v>13392</v>
      </c>
      <c r="B1803" s="111" t="s">
        <v>1368</v>
      </c>
      <c r="C1803" s="111" t="s">
        <v>13394</v>
      </c>
      <c r="D1803" s="2" t="str">
        <f t="shared" ref="D1803:E1803" si="1801">TRIM(B1803)</f>
        <v>South Carolina</v>
      </c>
      <c r="E1803" s="2" t="str">
        <f t="shared" si="1801"/>
        <v>Rock Hill</v>
      </c>
    </row>
    <row r="1804" spans="1:5">
      <c r="A1804" s="111" t="s">
        <v>13396</v>
      </c>
      <c r="B1804" s="111" t="s">
        <v>1368</v>
      </c>
      <c r="C1804" s="111" t="s">
        <v>13397</v>
      </c>
      <c r="D1804" s="2" t="str">
        <f t="shared" ref="D1804:E1804" si="1802">TRIM(B1804)</f>
        <v>South Carolina</v>
      </c>
      <c r="E1804" s="2" t="str">
        <f t="shared" si="1802"/>
        <v>Sumter</v>
      </c>
    </row>
    <row r="1805" spans="1:5">
      <c r="A1805" s="111" t="s">
        <v>13399</v>
      </c>
      <c r="B1805" s="111" t="s">
        <v>1368</v>
      </c>
      <c r="C1805" s="111" t="s">
        <v>3922</v>
      </c>
      <c r="D1805" s="2" t="str">
        <f t="shared" ref="D1805:E1805" si="1803">TRIM(B1805)</f>
        <v>South Carolina</v>
      </c>
      <c r="E1805" s="2" t="str">
        <f t="shared" si="1803"/>
        <v>Lake City</v>
      </c>
    </row>
    <row r="1806" spans="1:5">
      <c r="A1806" s="111" t="s">
        <v>13402</v>
      </c>
      <c r="B1806" s="111" t="s">
        <v>1368</v>
      </c>
      <c r="C1806" s="111" t="s">
        <v>356</v>
      </c>
      <c r="D1806" s="2" t="str">
        <f t="shared" ref="D1806:E1806" si="1804">TRIM(B1806)</f>
        <v>South Carolina</v>
      </c>
      <c r="E1806" s="2" t="str">
        <f t="shared" si="1804"/>
        <v>Columbia</v>
      </c>
    </row>
    <row r="1807" spans="1:5">
      <c r="A1807" s="76" t="s">
        <v>9659</v>
      </c>
      <c r="B1807" s="111" t="s">
        <v>1368</v>
      </c>
      <c r="C1807" s="111" t="s">
        <v>1756</v>
      </c>
      <c r="D1807" s="2" t="str">
        <f t="shared" ref="D1807:E1807" si="1805">TRIM(B1807)</f>
        <v>South Carolina</v>
      </c>
      <c r="E1807" s="2" t="str">
        <f t="shared" si="1805"/>
        <v>Florence</v>
      </c>
    </row>
    <row r="1808" spans="1:5">
      <c r="A1808" s="111" t="s">
        <v>13405</v>
      </c>
      <c r="B1808" s="111" t="s">
        <v>1368</v>
      </c>
      <c r="C1808" s="111" t="s">
        <v>467</v>
      </c>
      <c r="D1808" s="2" t="str">
        <f t="shared" ref="D1808:E1808" si="1806">TRIM(B1808)</f>
        <v>South Carolina</v>
      </c>
      <c r="E1808" s="2" t="str">
        <f t="shared" si="1806"/>
        <v>Ridgeland</v>
      </c>
    </row>
    <row r="1809" spans="1:5">
      <c r="A1809" s="111" t="s">
        <v>13408</v>
      </c>
      <c r="B1809" s="111" t="s">
        <v>1368</v>
      </c>
      <c r="C1809" s="111" t="s">
        <v>13409</v>
      </c>
      <c r="D1809" s="2" t="str">
        <f t="shared" ref="D1809:E1809" si="1807">TRIM(B1809)</f>
        <v>South Carolina</v>
      </c>
      <c r="E1809" s="2" t="str">
        <f t="shared" si="1807"/>
        <v>Rembert</v>
      </c>
    </row>
    <row r="1810" spans="1:5">
      <c r="A1810" s="111" t="s">
        <v>13411</v>
      </c>
      <c r="B1810" s="111" t="s">
        <v>1368</v>
      </c>
      <c r="C1810" s="111" t="s">
        <v>398</v>
      </c>
      <c r="D1810" s="2" t="str">
        <f t="shared" ref="D1810:E1810" si="1808">TRIM(B1810)</f>
        <v>South Carolina</v>
      </c>
      <c r="E1810" s="2" t="str">
        <f t="shared" si="1808"/>
        <v>Mount Pleasant</v>
      </c>
    </row>
    <row r="1811" spans="1:5">
      <c r="A1811" s="111" t="s">
        <v>13415</v>
      </c>
      <c r="B1811" s="111" t="s">
        <v>1368</v>
      </c>
      <c r="C1811" s="111" t="s">
        <v>13365</v>
      </c>
      <c r="D1811" s="2" t="str">
        <f t="shared" ref="D1811:E1811" si="1809">TRIM(B1811)</f>
        <v>South Carolina</v>
      </c>
      <c r="E1811" s="2" t="str">
        <f t="shared" si="1809"/>
        <v>Batesburg</v>
      </c>
    </row>
    <row r="1812" spans="1:5">
      <c r="A1812" s="111" t="s">
        <v>13417</v>
      </c>
      <c r="B1812" s="111" t="s">
        <v>1368</v>
      </c>
      <c r="C1812" s="111" t="s">
        <v>13418</v>
      </c>
      <c r="D1812" s="2" t="str">
        <f t="shared" ref="D1812:E1812" si="1810">TRIM(B1812)</f>
        <v>South Carolina</v>
      </c>
      <c r="E1812" s="2" t="str">
        <f t="shared" si="1810"/>
        <v>Kingstree</v>
      </c>
    </row>
    <row r="1813" spans="1:5">
      <c r="A1813" s="111" t="s">
        <v>13420</v>
      </c>
      <c r="B1813" s="111" t="s">
        <v>1368</v>
      </c>
      <c r="C1813" s="111" t="s">
        <v>13397</v>
      </c>
      <c r="D1813" s="2" t="str">
        <f t="shared" ref="D1813:E1813" si="1811">TRIM(B1813)</f>
        <v>South Carolina</v>
      </c>
      <c r="E1813" s="2" t="str">
        <f t="shared" si="1811"/>
        <v>Sumter</v>
      </c>
    </row>
    <row r="1814" spans="1:5">
      <c r="A1814" s="111" t="s">
        <v>13422</v>
      </c>
      <c r="B1814" s="111" t="s">
        <v>1371</v>
      </c>
      <c r="C1814" s="111" t="s">
        <v>13423</v>
      </c>
      <c r="D1814" s="2" t="str">
        <f t="shared" ref="D1814:E1814" si="1812">TRIM(B1814)</f>
        <v>South Dakota</v>
      </c>
      <c r="E1814" s="2" t="str">
        <f t="shared" si="1812"/>
        <v>Freeman</v>
      </c>
    </row>
    <row r="1815" spans="1:5">
      <c r="A1815" s="111" t="s">
        <v>13425</v>
      </c>
      <c r="B1815" s="111" t="s">
        <v>1371</v>
      </c>
      <c r="C1815" s="111" t="s">
        <v>5209</v>
      </c>
      <c r="D1815" s="2" t="str">
        <f t="shared" ref="D1815:E1815" si="1813">TRIM(B1815)</f>
        <v>South Dakota</v>
      </c>
      <c r="E1815" s="2" t="str">
        <f t="shared" si="1813"/>
        <v>Stratford</v>
      </c>
    </row>
    <row r="1816" spans="1:5">
      <c r="A1816" s="111" t="s">
        <v>13426</v>
      </c>
      <c r="B1816" s="111" t="s">
        <v>1371</v>
      </c>
      <c r="C1816" s="111" t="s">
        <v>13427</v>
      </c>
      <c r="D1816" s="2" t="str">
        <f t="shared" ref="D1816:E1816" si="1814">TRIM(B1816)</f>
        <v>South Dakota</v>
      </c>
      <c r="E1816" s="2" t="str">
        <f t="shared" si="1814"/>
        <v>Sioux Falls</v>
      </c>
    </row>
    <row r="1817" spans="1:5">
      <c r="A1817" s="111" t="s">
        <v>13430</v>
      </c>
      <c r="B1817" s="111" t="s">
        <v>1371</v>
      </c>
      <c r="C1817" s="111" t="s">
        <v>13431</v>
      </c>
      <c r="D1817" s="2" t="str">
        <f t="shared" ref="D1817:E1817" si="1815">TRIM(B1817)</f>
        <v>South Dakota</v>
      </c>
      <c r="E1817" s="2" t="str">
        <f t="shared" si="1815"/>
        <v>Pine Ridge</v>
      </c>
    </row>
    <row r="1818" spans="1:5">
      <c r="A1818" s="111" t="s">
        <v>13434</v>
      </c>
      <c r="B1818" s="111" t="s">
        <v>1371</v>
      </c>
      <c r="C1818" s="111" t="s">
        <v>11582</v>
      </c>
      <c r="D1818" s="2" t="str">
        <f t="shared" ref="D1818:E1818" si="1816">TRIM(B1818)</f>
        <v>South Dakota</v>
      </c>
      <c r="E1818" s="2" t="str">
        <f t="shared" si="1816"/>
        <v>Aberdeen</v>
      </c>
    </row>
    <row r="1819" spans="1:5">
      <c r="A1819" s="111" t="s">
        <v>10964</v>
      </c>
      <c r="B1819" s="111" t="s">
        <v>1371</v>
      </c>
      <c r="C1819" s="111" t="s">
        <v>13437</v>
      </c>
      <c r="D1819" s="2" t="str">
        <f t="shared" ref="D1819:E1819" si="1817">TRIM(B1819)</f>
        <v>South Dakota</v>
      </c>
      <c r="E1819" s="2" t="str">
        <f t="shared" si="1817"/>
        <v>Rapid City</v>
      </c>
    </row>
    <row r="1820" spans="1:5">
      <c r="A1820" s="111" t="s">
        <v>13440</v>
      </c>
      <c r="B1820" s="111" t="s">
        <v>1372</v>
      </c>
      <c r="C1820" s="111" t="s">
        <v>3693</v>
      </c>
      <c r="D1820" s="2" t="str">
        <f t="shared" ref="D1820:E1820" si="1818">TRIM(B1820)</f>
        <v>Tennessee</v>
      </c>
      <c r="E1820" s="2" t="str">
        <f t="shared" si="1818"/>
        <v>Clarksville</v>
      </c>
    </row>
    <row r="1821" spans="1:5">
      <c r="A1821" s="111" t="s">
        <v>13444</v>
      </c>
      <c r="B1821" s="111" t="s">
        <v>1372</v>
      </c>
      <c r="C1821" s="111" t="s">
        <v>356</v>
      </c>
      <c r="D1821" s="2" t="str">
        <f t="shared" ref="D1821:E1821" si="1819">TRIM(B1821)</f>
        <v>Tennessee</v>
      </c>
      <c r="E1821" s="2" t="str">
        <f t="shared" si="1819"/>
        <v>Columbia</v>
      </c>
    </row>
    <row r="1822" spans="1:5">
      <c r="A1822" s="111" t="s">
        <v>13447</v>
      </c>
      <c r="B1822" s="111" t="s">
        <v>1372</v>
      </c>
      <c r="C1822" s="111" t="s">
        <v>297</v>
      </c>
      <c r="D1822" s="2" t="str">
        <f t="shared" ref="D1822:E1822" si="1820">TRIM(B1822)</f>
        <v>Tennessee</v>
      </c>
      <c r="E1822" s="2" t="str">
        <f t="shared" si="1820"/>
        <v>Jackson</v>
      </c>
    </row>
    <row r="1823" spans="1:5">
      <c r="A1823" s="111" t="s">
        <v>13451</v>
      </c>
      <c r="B1823" s="111" t="s">
        <v>1372</v>
      </c>
      <c r="C1823" s="111" t="s">
        <v>525</v>
      </c>
      <c r="D1823" s="2" t="str">
        <f t="shared" ref="D1823:E1823" si="1821">TRIM(B1823)</f>
        <v>Tennessee</v>
      </c>
      <c r="E1823" s="2" t="str">
        <f t="shared" si="1821"/>
        <v>Franklin</v>
      </c>
    </row>
    <row r="1824" spans="1:5">
      <c r="A1824" s="111" t="s">
        <v>13455</v>
      </c>
      <c r="B1824" s="111" t="s">
        <v>1372</v>
      </c>
      <c r="C1824" s="111" t="s">
        <v>780</v>
      </c>
      <c r="D1824" s="2" t="str">
        <f t="shared" ref="D1824:E1824" si="1822">TRIM(B1824)</f>
        <v>Tennessee</v>
      </c>
      <c r="E1824" s="2" t="str">
        <f t="shared" si="1822"/>
        <v>Chattanooga</v>
      </c>
    </row>
    <row r="1825" spans="1:5">
      <c r="A1825" s="111" t="s">
        <v>10763</v>
      </c>
      <c r="B1825" s="111" t="s">
        <v>1372</v>
      </c>
      <c r="C1825" s="111" t="s">
        <v>13458</v>
      </c>
      <c r="D1825" s="2" t="str">
        <f t="shared" ref="D1825:E1825" si="1823">TRIM(B1825)</f>
        <v>Tennessee</v>
      </c>
      <c r="E1825" s="2" t="str">
        <f t="shared" si="1823"/>
        <v>Hixson</v>
      </c>
    </row>
    <row r="1826" spans="1:5">
      <c r="A1826" s="111" t="s">
        <v>13460</v>
      </c>
      <c r="B1826" s="111" t="s">
        <v>1372</v>
      </c>
      <c r="C1826" s="111" t="s">
        <v>780</v>
      </c>
      <c r="D1826" s="2" t="str">
        <f t="shared" ref="D1826:E1826" si="1824">TRIM(B1826)</f>
        <v>Tennessee</v>
      </c>
      <c r="E1826" s="2" t="str">
        <f t="shared" si="1824"/>
        <v>Chattanooga</v>
      </c>
    </row>
    <row r="1827" spans="1:5">
      <c r="A1827" s="111" t="s">
        <v>13463</v>
      </c>
      <c r="B1827" s="111" t="s">
        <v>1372</v>
      </c>
      <c r="C1827" s="111" t="s">
        <v>257</v>
      </c>
      <c r="D1827" s="2" t="str">
        <f t="shared" ref="D1827:E1827" si="1825">TRIM(B1827)</f>
        <v>Tennessee</v>
      </c>
      <c r="E1827" s="2" t="str">
        <f t="shared" si="1825"/>
        <v>Memphis</v>
      </c>
    </row>
    <row r="1828" spans="1:5">
      <c r="A1828" s="111" t="s">
        <v>13466</v>
      </c>
      <c r="B1828" s="111" t="s">
        <v>1372</v>
      </c>
      <c r="C1828" s="111" t="s">
        <v>350</v>
      </c>
      <c r="D1828" s="2" t="str">
        <f t="shared" ref="D1828:E1828" si="1826">TRIM(B1828)</f>
        <v>Tennessee</v>
      </c>
      <c r="E1828" s="2" t="str">
        <f t="shared" si="1826"/>
        <v>Nashville</v>
      </c>
    </row>
    <row r="1829" spans="1:5">
      <c r="A1829" s="111" t="s">
        <v>13468</v>
      </c>
      <c r="B1829" s="111" t="s">
        <v>1372</v>
      </c>
      <c r="C1829" s="111" t="s">
        <v>127</v>
      </c>
      <c r="D1829" s="2" t="str">
        <f t="shared" ref="D1829:E1829" si="1827">TRIM(B1829)</f>
        <v>Tennessee</v>
      </c>
      <c r="E1829" s="2" t="str">
        <f t="shared" si="1827"/>
        <v>Cleveland</v>
      </c>
    </row>
    <row r="1830" spans="1:5">
      <c r="A1830" s="111" t="s">
        <v>13471</v>
      </c>
      <c r="B1830" s="111" t="s">
        <v>1372</v>
      </c>
      <c r="C1830" s="111" t="s">
        <v>13473</v>
      </c>
      <c r="D1830" s="2" t="str">
        <f t="shared" ref="D1830:E1830" si="1828">TRIM(B1830)</f>
        <v>Tennessee</v>
      </c>
      <c r="E1830" s="2" t="str">
        <f t="shared" si="1828"/>
        <v>Collegedale</v>
      </c>
    </row>
    <row r="1831" spans="1:5">
      <c r="A1831" s="111" t="s">
        <v>13474</v>
      </c>
      <c r="B1831" s="111" t="s">
        <v>1372</v>
      </c>
      <c r="C1831" s="111" t="s">
        <v>257</v>
      </c>
      <c r="D1831" s="2" t="str">
        <f t="shared" ref="D1831:E1831" si="1829">TRIM(B1831)</f>
        <v>Tennessee</v>
      </c>
      <c r="E1831" s="2" t="str">
        <f t="shared" si="1829"/>
        <v>Memphis</v>
      </c>
    </row>
    <row r="1832" spans="1:5">
      <c r="A1832" s="111" t="s">
        <v>11655</v>
      </c>
      <c r="B1832" s="111" t="s">
        <v>1372</v>
      </c>
      <c r="C1832" s="111" t="s">
        <v>356</v>
      </c>
      <c r="D1832" s="2" t="str">
        <f t="shared" ref="D1832:E1832" si="1830">TRIM(B1832)</f>
        <v>Tennessee</v>
      </c>
      <c r="E1832" s="2" t="str">
        <f t="shared" si="1830"/>
        <v>Columbia</v>
      </c>
    </row>
    <row r="1833" spans="1:5">
      <c r="A1833" s="111" t="s">
        <v>9965</v>
      </c>
      <c r="B1833" s="111" t="s">
        <v>1372</v>
      </c>
      <c r="C1833" s="111" t="s">
        <v>12004</v>
      </c>
      <c r="D1833" s="2" t="str">
        <f t="shared" ref="D1833:E1833" si="1831">TRIM(B1833)</f>
        <v>Tennessee</v>
      </c>
      <c r="E1833" s="2" t="str">
        <f t="shared" si="1831"/>
        <v>Morristown</v>
      </c>
    </row>
    <row r="1834" spans="1:5">
      <c r="A1834" s="111" t="s">
        <v>13480</v>
      </c>
      <c r="B1834" s="111" t="s">
        <v>1372</v>
      </c>
      <c r="C1834" s="111" t="s">
        <v>350</v>
      </c>
      <c r="D1834" s="2" t="str">
        <f t="shared" ref="D1834:E1834" si="1832">TRIM(B1834)</f>
        <v>Tennessee</v>
      </c>
      <c r="E1834" s="2" t="str">
        <f t="shared" si="1832"/>
        <v>Nashville</v>
      </c>
    </row>
    <row r="1835" spans="1:5">
      <c r="A1835" s="111" t="s">
        <v>13481</v>
      </c>
      <c r="B1835" s="111" t="s">
        <v>1372</v>
      </c>
      <c r="C1835" s="111" t="s">
        <v>13482</v>
      </c>
      <c r="D1835" s="2" t="str">
        <f t="shared" ref="D1835:E1835" si="1833">TRIM(B1835)</f>
        <v>Tennessee</v>
      </c>
      <c r="E1835" s="2" t="str">
        <f t="shared" si="1833"/>
        <v>White House</v>
      </c>
    </row>
    <row r="1836" spans="1:5">
      <c r="A1836" s="111" t="s">
        <v>13484</v>
      </c>
      <c r="B1836" s="111" t="s">
        <v>1372</v>
      </c>
      <c r="C1836" s="111" t="s">
        <v>13155</v>
      </c>
      <c r="D1836" s="2" t="str">
        <f t="shared" ref="D1836:E1836" si="1834">TRIM(B1836)</f>
        <v>Tennessee</v>
      </c>
      <c r="E1836" s="2" t="str">
        <f t="shared" si="1834"/>
        <v>Knoxville</v>
      </c>
    </row>
    <row r="1837" spans="1:5">
      <c r="A1837" s="111" t="s">
        <v>13487</v>
      </c>
      <c r="B1837" s="111" t="s">
        <v>1372</v>
      </c>
      <c r="C1837" s="111" t="s">
        <v>350</v>
      </c>
      <c r="D1837" s="2" t="str">
        <f t="shared" ref="D1837:E1837" si="1835">TRIM(B1837)</f>
        <v>Tennessee</v>
      </c>
      <c r="E1837" s="2" t="str">
        <f t="shared" si="1835"/>
        <v>Nashville</v>
      </c>
    </row>
    <row r="1838" spans="1:5">
      <c r="A1838" s="111" t="s">
        <v>13488</v>
      </c>
      <c r="B1838" s="111" t="s">
        <v>1372</v>
      </c>
      <c r="C1838" s="111" t="s">
        <v>2178</v>
      </c>
      <c r="D1838" s="2" t="str">
        <f t="shared" ref="D1838:E1838" si="1836">TRIM(B1838)</f>
        <v>Tennessee</v>
      </c>
      <c r="E1838" s="2" t="str">
        <f t="shared" si="1836"/>
        <v>Somerville</v>
      </c>
    </row>
    <row r="1839" spans="1:5">
      <c r="A1839" s="111" t="s">
        <v>13489</v>
      </c>
      <c r="B1839" s="111" t="s">
        <v>1372</v>
      </c>
      <c r="C1839" s="111" t="s">
        <v>525</v>
      </c>
      <c r="D1839" s="2" t="str">
        <f t="shared" ref="D1839:E1839" si="1837">TRIM(B1839)</f>
        <v>Tennessee</v>
      </c>
      <c r="E1839" s="2" t="str">
        <f t="shared" si="1837"/>
        <v>Franklin</v>
      </c>
    </row>
    <row r="1840" spans="1:5">
      <c r="A1840" s="111" t="s">
        <v>13492</v>
      </c>
      <c r="B1840" s="111" t="s">
        <v>1372</v>
      </c>
      <c r="C1840" s="111" t="s">
        <v>350</v>
      </c>
      <c r="D1840" s="2" t="str">
        <f t="shared" ref="D1840:E1840" si="1838">TRIM(B1840)</f>
        <v>Tennessee</v>
      </c>
      <c r="E1840" s="2" t="str">
        <f t="shared" si="1838"/>
        <v>Nashville</v>
      </c>
    </row>
    <row r="1841" spans="1:5">
      <c r="A1841" s="111" t="s">
        <v>13495</v>
      </c>
      <c r="B1841" s="111" t="s">
        <v>1372</v>
      </c>
      <c r="C1841" s="111" t="s">
        <v>494</v>
      </c>
      <c r="D1841" s="2" t="str">
        <f t="shared" ref="D1841:E1841" si="1839">TRIM(B1841)</f>
        <v>Tennessee</v>
      </c>
      <c r="E1841" s="2" t="str">
        <f t="shared" si="1839"/>
        <v>Louisville</v>
      </c>
    </row>
    <row r="1842" spans="1:5">
      <c r="A1842" s="111" t="s">
        <v>13496</v>
      </c>
      <c r="B1842" s="111" t="s">
        <v>1372</v>
      </c>
      <c r="C1842" s="111" t="s">
        <v>13497</v>
      </c>
      <c r="D1842" s="2" t="str">
        <f t="shared" ref="D1842:E1842" si="1840">TRIM(B1842)</f>
        <v>Tennessee</v>
      </c>
      <c r="E1842" s="2" t="str">
        <f t="shared" si="1840"/>
        <v>Hohenwald</v>
      </c>
    </row>
    <row r="1843" spans="1:5">
      <c r="A1843" s="111" t="s">
        <v>13499</v>
      </c>
      <c r="B1843" s="111" t="s">
        <v>1372</v>
      </c>
      <c r="C1843" s="111" t="s">
        <v>2099</v>
      </c>
      <c r="D1843" s="2" t="str">
        <f t="shared" ref="D1843:E1843" si="1841">TRIM(B1843)</f>
        <v>Tennessee</v>
      </c>
      <c r="E1843" s="2" t="str">
        <f t="shared" si="1841"/>
        <v>Pinson</v>
      </c>
    </row>
    <row r="1844" spans="1:5">
      <c r="A1844" s="111" t="s">
        <v>13500</v>
      </c>
      <c r="B1844" s="111" t="s">
        <v>1372</v>
      </c>
      <c r="C1844" s="111" t="s">
        <v>10334</v>
      </c>
      <c r="D1844" s="2" t="str">
        <f t="shared" ref="D1844:E1844" si="1842">TRIM(B1844)</f>
        <v>Tennessee</v>
      </c>
      <c r="E1844" s="2" t="str">
        <f t="shared" si="1842"/>
        <v>Sparta</v>
      </c>
    </row>
    <row r="1845" spans="1:5">
      <c r="A1845" s="111" t="s">
        <v>13503</v>
      </c>
      <c r="B1845" s="111" t="s">
        <v>1372</v>
      </c>
      <c r="C1845" s="111" t="s">
        <v>350</v>
      </c>
      <c r="D1845" s="2" t="str">
        <f t="shared" ref="D1845:E1845" si="1843">TRIM(B1845)</f>
        <v>Tennessee</v>
      </c>
      <c r="E1845" s="2" t="str">
        <f t="shared" si="1843"/>
        <v>Nashville</v>
      </c>
    </row>
    <row r="1846" spans="1:5">
      <c r="A1846" s="111" t="s">
        <v>2835</v>
      </c>
      <c r="B1846" s="111" t="s">
        <v>1372</v>
      </c>
      <c r="C1846" s="111" t="s">
        <v>5995</v>
      </c>
      <c r="D1846" s="2" t="str">
        <f t="shared" ref="D1846:E1846" si="1844">TRIM(B1846)</f>
        <v>Tennessee</v>
      </c>
      <c r="E1846" s="2" t="str">
        <f t="shared" si="1844"/>
        <v>Monterey</v>
      </c>
    </row>
    <row r="1847" spans="1:5">
      <c r="A1847" s="111" t="s">
        <v>13508</v>
      </c>
      <c r="B1847" s="111" t="s">
        <v>1372</v>
      </c>
      <c r="C1847" s="111" t="s">
        <v>8643</v>
      </c>
      <c r="D1847" s="2" t="str">
        <f t="shared" ref="D1847:E1847" si="1845">TRIM(B1847)</f>
        <v>Tennessee</v>
      </c>
      <c r="E1847" s="2" t="str">
        <f t="shared" si="1845"/>
        <v>Portland</v>
      </c>
    </row>
    <row r="1848" spans="1:5">
      <c r="A1848" s="111" t="s">
        <v>13512</v>
      </c>
      <c r="B1848" s="111" t="s">
        <v>1372</v>
      </c>
      <c r="C1848" s="111" t="s">
        <v>13513</v>
      </c>
      <c r="D1848" s="2" t="str">
        <f t="shared" ref="D1848:E1848" si="1846">TRIM(B1848)</f>
        <v>Tennessee</v>
      </c>
      <c r="E1848" s="2" t="str">
        <f t="shared" si="1846"/>
        <v>Cookeville</v>
      </c>
    </row>
    <row r="1849" spans="1:5">
      <c r="A1849" s="111" t="s">
        <v>13514</v>
      </c>
      <c r="B1849" s="111" t="s">
        <v>1372</v>
      </c>
      <c r="C1849" s="111" t="s">
        <v>13516</v>
      </c>
      <c r="D1849" s="2" t="str">
        <f t="shared" ref="D1849:E1849" si="1847">TRIM(B1849)</f>
        <v>Tennessee</v>
      </c>
      <c r="E1849" s="2" t="str">
        <f t="shared" si="1847"/>
        <v>Harrogate</v>
      </c>
    </row>
    <row r="1850" spans="1:5">
      <c r="A1850" s="111" t="s">
        <v>13517</v>
      </c>
      <c r="B1850" s="111" t="s">
        <v>1372</v>
      </c>
      <c r="C1850" s="111" t="s">
        <v>13155</v>
      </c>
      <c r="D1850" s="2" t="str">
        <f t="shared" ref="D1850:E1850" si="1848">TRIM(B1850)</f>
        <v>Tennessee</v>
      </c>
      <c r="E1850" s="2" t="str">
        <f t="shared" si="1848"/>
        <v>Knoxville</v>
      </c>
    </row>
    <row r="1851" spans="1:5">
      <c r="A1851" s="111" t="s">
        <v>13520</v>
      </c>
      <c r="B1851" s="111" t="s">
        <v>1372</v>
      </c>
      <c r="C1851" s="111" t="s">
        <v>488</v>
      </c>
      <c r="D1851" s="2" t="str">
        <f t="shared" ref="D1851:E1851" si="1849">TRIM(B1851)</f>
        <v>Tennessee</v>
      </c>
      <c r="E1851" s="2" t="str">
        <f t="shared" si="1849"/>
        <v>Madison</v>
      </c>
    </row>
    <row r="1852" spans="1:5">
      <c r="A1852" s="111" t="s">
        <v>13523</v>
      </c>
      <c r="B1852" s="111" t="s">
        <v>1372</v>
      </c>
      <c r="C1852" s="111" t="s">
        <v>350</v>
      </c>
      <c r="D1852" s="2" t="str">
        <f t="shared" ref="D1852:E1852" si="1850">TRIM(B1852)</f>
        <v>Tennessee</v>
      </c>
      <c r="E1852" s="2" t="str">
        <f t="shared" si="1850"/>
        <v>Nashville</v>
      </c>
    </row>
    <row r="1853" spans="1:5">
      <c r="A1853" s="111" t="s">
        <v>13526</v>
      </c>
      <c r="B1853" s="111" t="s">
        <v>1372</v>
      </c>
      <c r="C1853" s="111" t="s">
        <v>780</v>
      </c>
      <c r="D1853" s="2" t="str">
        <f t="shared" ref="D1853:E1853" si="1851">TRIM(B1853)</f>
        <v>Tennessee</v>
      </c>
      <c r="E1853" s="2" t="str">
        <f t="shared" si="1851"/>
        <v>Chattanooga</v>
      </c>
    </row>
    <row r="1854" spans="1:5">
      <c r="A1854" s="111" t="s">
        <v>13529</v>
      </c>
      <c r="B1854" s="111" t="s">
        <v>1372</v>
      </c>
      <c r="C1854" s="111" t="s">
        <v>257</v>
      </c>
      <c r="D1854" s="2" t="str">
        <f t="shared" ref="D1854:E1854" si="1852">TRIM(B1854)</f>
        <v>Tennessee</v>
      </c>
      <c r="E1854" s="2" t="str">
        <f t="shared" si="1852"/>
        <v>Memphis</v>
      </c>
    </row>
    <row r="1855" spans="1:5">
      <c r="A1855" s="111" t="s">
        <v>13532</v>
      </c>
      <c r="B1855" s="111" t="s">
        <v>1372</v>
      </c>
      <c r="C1855" s="111" t="s">
        <v>350</v>
      </c>
      <c r="D1855" s="2" t="str">
        <f t="shared" ref="D1855:E1855" si="1853">TRIM(B1855)</f>
        <v>Tennessee</v>
      </c>
      <c r="E1855" s="2" t="str">
        <f t="shared" si="1853"/>
        <v>Nashville</v>
      </c>
    </row>
    <row r="1856" spans="1:5">
      <c r="A1856" s="111" t="s">
        <v>13534</v>
      </c>
      <c r="B1856" s="111" t="s">
        <v>1372</v>
      </c>
      <c r="C1856" s="111" t="s">
        <v>1048</v>
      </c>
      <c r="D1856" s="2" t="str">
        <f t="shared" ref="D1856:E1856" si="1854">TRIM(B1856)</f>
        <v>Tennessee</v>
      </c>
      <c r="E1856" s="2" t="str">
        <f t="shared" si="1854"/>
        <v>Arlington</v>
      </c>
    </row>
    <row r="1857" spans="1:5">
      <c r="A1857" s="111" t="s">
        <v>13536</v>
      </c>
      <c r="B1857" s="111" t="s">
        <v>1372</v>
      </c>
      <c r="C1857" s="111" t="s">
        <v>13538</v>
      </c>
      <c r="D1857" s="2" t="str">
        <f t="shared" ref="D1857:E1857" si="1855">TRIM(B1857)</f>
        <v>Tennessee</v>
      </c>
      <c r="E1857" s="2" t="str">
        <f t="shared" si="1855"/>
        <v>Mountain City</v>
      </c>
    </row>
    <row r="1858" spans="1:5">
      <c r="A1858" s="111" t="s">
        <v>13541</v>
      </c>
      <c r="B1858" s="111" t="s">
        <v>1372</v>
      </c>
      <c r="C1858" s="111" t="s">
        <v>13155</v>
      </c>
      <c r="D1858" s="2" t="str">
        <f t="shared" ref="D1858:E1858" si="1856">TRIM(B1858)</f>
        <v>Tennessee</v>
      </c>
      <c r="E1858" s="2" t="str">
        <f t="shared" si="1856"/>
        <v>Knoxville</v>
      </c>
    </row>
    <row r="1859" spans="1:5">
      <c r="A1859" s="111" t="s">
        <v>9466</v>
      </c>
      <c r="B1859" s="111" t="s">
        <v>1372</v>
      </c>
      <c r="C1859" s="111" t="s">
        <v>780</v>
      </c>
      <c r="D1859" s="2" t="str">
        <f t="shared" ref="D1859:E1859" si="1857">TRIM(B1859)</f>
        <v>Tennessee</v>
      </c>
      <c r="E1859" s="2" t="str">
        <f t="shared" si="1857"/>
        <v>Chattanooga</v>
      </c>
    </row>
    <row r="1860" spans="1:5">
      <c r="A1860" s="111" t="s">
        <v>13544</v>
      </c>
      <c r="B1860" s="111" t="s">
        <v>1372</v>
      </c>
      <c r="C1860" s="111" t="s">
        <v>13155</v>
      </c>
      <c r="D1860" s="2" t="str">
        <f t="shared" ref="D1860:E1860" si="1858">TRIM(B1860)</f>
        <v>Tennessee</v>
      </c>
      <c r="E1860" s="2" t="str">
        <f t="shared" si="1858"/>
        <v>Knoxville</v>
      </c>
    </row>
    <row r="1861" spans="1:5">
      <c r="A1861" s="111" t="s">
        <v>13172</v>
      </c>
      <c r="B1861" s="111" t="s">
        <v>1372</v>
      </c>
      <c r="C1861" s="111" t="s">
        <v>13545</v>
      </c>
      <c r="D1861" s="2" t="str">
        <f t="shared" ref="D1861:E1861" si="1859">TRIM(B1861)</f>
        <v>Tennessee</v>
      </c>
      <c r="E1861" s="2" t="str">
        <f t="shared" si="1859"/>
        <v>Hendersonville</v>
      </c>
    </row>
    <row r="1862" spans="1:5">
      <c r="A1862" s="111" t="s">
        <v>13548</v>
      </c>
      <c r="B1862" s="111" t="s">
        <v>1372</v>
      </c>
      <c r="C1862" s="111" t="s">
        <v>278</v>
      </c>
      <c r="D1862" s="2" t="str">
        <f t="shared" ref="D1862:E1862" si="1860">TRIM(B1862)</f>
        <v>Tennessee</v>
      </c>
      <c r="E1862" s="2" t="str">
        <f t="shared" si="1860"/>
        <v>Murfreesboro</v>
      </c>
    </row>
    <row r="1863" spans="1:5">
      <c r="A1863" s="111" t="s">
        <v>13551</v>
      </c>
      <c r="B1863" s="111" t="s">
        <v>1372</v>
      </c>
      <c r="C1863" s="111" t="s">
        <v>568</v>
      </c>
      <c r="D1863" s="2" t="str">
        <f t="shared" ref="D1863:E1863" si="1861">TRIM(B1863)</f>
        <v>Tennessee</v>
      </c>
      <c r="E1863" s="2" t="str">
        <f t="shared" si="1861"/>
        <v>Dayton</v>
      </c>
    </row>
    <row r="1864" spans="1:5">
      <c r="A1864" s="111" t="s">
        <v>13554</v>
      </c>
      <c r="B1864" s="111" t="s">
        <v>1372</v>
      </c>
      <c r="C1864" s="111" t="s">
        <v>13555</v>
      </c>
      <c r="D1864" s="2" t="str">
        <f t="shared" ref="D1864:E1864" si="1862">TRIM(B1864)</f>
        <v>Tennessee</v>
      </c>
      <c r="E1864" s="2" t="str">
        <f t="shared" si="1862"/>
        <v>Mount Juliet</v>
      </c>
    </row>
    <row r="1865" spans="1:5">
      <c r="A1865" s="111" t="s">
        <v>13557</v>
      </c>
      <c r="B1865" s="111" t="s">
        <v>1372</v>
      </c>
      <c r="C1865" s="111" t="s">
        <v>10327</v>
      </c>
      <c r="D1865" s="2" t="str">
        <f t="shared" ref="D1865:E1865" si="1863">TRIM(B1865)</f>
        <v>Tennessee</v>
      </c>
      <c r="E1865" s="2" t="str">
        <f t="shared" si="1863"/>
        <v>Calhoun</v>
      </c>
    </row>
    <row r="1866" spans="1:5">
      <c r="A1866" s="76" t="s">
        <v>13559</v>
      </c>
      <c r="B1866" s="111" t="s">
        <v>1372</v>
      </c>
      <c r="C1866" s="111" t="s">
        <v>13560</v>
      </c>
      <c r="D1866" s="2" t="str">
        <f t="shared" ref="D1866:E1866" si="1864">TRIM(B1866)</f>
        <v>Tennessee</v>
      </c>
      <c r="E1866" s="2" t="str">
        <f t="shared" si="1864"/>
        <v>Sewanee</v>
      </c>
    </row>
    <row r="1867" spans="1:5">
      <c r="A1867" s="111" t="s">
        <v>13562</v>
      </c>
      <c r="B1867" s="111" t="s">
        <v>1372</v>
      </c>
      <c r="C1867" s="111" t="s">
        <v>350</v>
      </c>
      <c r="D1867" s="2" t="str">
        <f t="shared" ref="D1867:E1867" si="1865">TRIM(B1867)</f>
        <v>Tennessee</v>
      </c>
      <c r="E1867" s="2" t="str">
        <f t="shared" si="1865"/>
        <v>Nashville</v>
      </c>
    </row>
    <row r="1868" spans="1:5">
      <c r="A1868" s="76" t="s">
        <v>13564</v>
      </c>
      <c r="B1868" s="111" t="s">
        <v>1372</v>
      </c>
      <c r="C1868" s="111" t="s">
        <v>13565</v>
      </c>
      <c r="D1868" s="2" t="str">
        <f t="shared" ref="D1868:E1868" si="1866">TRIM(B1868)</f>
        <v>Tennessee</v>
      </c>
      <c r="E1868" s="2" t="str">
        <f t="shared" si="1866"/>
        <v>Collierville</v>
      </c>
    </row>
    <row r="1869" spans="1:5">
      <c r="A1869" s="111" t="s">
        <v>13568</v>
      </c>
      <c r="B1869" s="111" t="s">
        <v>1372</v>
      </c>
      <c r="C1869" s="111" t="s">
        <v>13569</v>
      </c>
      <c r="D1869" s="2" t="str">
        <f t="shared" ref="D1869:E1869" si="1867">TRIM(B1869)</f>
        <v>Tennessee</v>
      </c>
      <c r="E1869" s="2" t="str">
        <f t="shared" si="1867"/>
        <v>Limestone</v>
      </c>
    </row>
    <row r="1870" spans="1:5">
      <c r="A1870" s="111" t="s">
        <v>13572</v>
      </c>
      <c r="B1870" s="111" t="s">
        <v>1372</v>
      </c>
      <c r="C1870" s="111" t="s">
        <v>13155</v>
      </c>
      <c r="D1870" s="2" t="str">
        <f t="shared" ref="D1870:E1870" si="1868">TRIM(B1870)</f>
        <v>Tennessee</v>
      </c>
      <c r="E1870" s="2" t="str">
        <f t="shared" si="1868"/>
        <v>Knoxville</v>
      </c>
    </row>
    <row r="1871" spans="1:5">
      <c r="A1871" s="111" t="s">
        <v>13574</v>
      </c>
      <c r="B1871" s="111" t="s">
        <v>1372</v>
      </c>
      <c r="C1871" s="111" t="s">
        <v>350</v>
      </c>
      <c r="D1871" s="2" t="str">
        <f t="shared" ref="D1871:E1871" si="1869">TRIM(B1871)</f>
        <v>Tennessee</v>
      </c>
      <c r="E1871" s="2" t="str">
        <f t="shared" si="1869"/>
        <v>Nashville</v>
      </c>
    </row>
    <row r="1872" spans="1:5">
      <c r="A1872" s="76" t="s">
        <v>9659</v>
      </c>
      <c r="B1872" s="111" t="s">
        <v>1372</v>
      </c>
      <c r="C1872" s="111" t="s">
        <v>6650</v>
      </c>
      <c r="D1872" s="2" t="str">
        <f t="shared" ref="D1872:E1872" si="1870">TRIM(B1872)</f>
        <v>Tennessee</v>
      </c>
      <c r="E1872" s="2" t="str">
        <f t="shared" si="1870"/>
        <v>Seymour</v>
      </c>
    </row>
    <row r="1873" spans="1:5">
      <c r="A1873" s="111" t="s">
        <v>13580</v>
      </c>
      <c r="B1873" s="111" t="s">
        <v>1372</v>
      </c>
      <c r="C1873" s="111" t="s">
        <v>494</v>
      </c>
      <c r="D1873" s="2" t="str">
        <f t="shared" ref="D1873:E1873" si="1871">TRIM(B1873)</f>
        <v>Tennessee</v>
      </c>
      <c r="E1873" s="2" t="str">
        <f t="shared" si="1871"/>
        <v>Louisville</v>
      </c>
    </row>
    <row r="1874" spans="1:5">
      <c r="A1874" s="111" t="s">
        <v>13583</v>
      </c>
      <c r="B1874" s="111" t="s">
        <v>1372</v>
      </c>
      <c r="C1874" s="111" t="s">
        <v>13584</v>
      </c>
      <c r="D1874" s="2" t="str">
        <f t="shared" ref="D1874:E1874" si="1872">TRIM(B1874)</f>
        <v>Tennessee</v>
      </c>
      <c r="E1874" s="2" t="str">
        <f t="shared" si="1872"/>
        <v>Bell Buckle</v>
      </c>
    </row>
    <row r="1875" spans="1:5">
      <c r="A1875" s="111" t="s">
        <v>13587</v>
      </c>
      <c r="B1875" s="111" t="s">
        <v>1372</v>
      </c>
      <c r="C1875" s="111" t="s">
        <v>13588</v>
      </c>
      <c r="D1875" s="2" t="str">
        <f t="shared" ref="D1875:E1875" si="1873">TRIM(B1875)</f>
        <v>Tennessee</v>
      </c>
      <c r="E1875" s="2" t="str">
        <f t="shared" si="1873"/>
        <v>Millington</v>
      </c>
    </row>
    <row r="1876" spans="1:5">
      <c r="A1876" s="111" t="s">
        <v>13589</v>
      </c>
      <c r="B1876" s="111" t="s">
        <v>1372</v>
      </c>
      <c r="C1876" s="111" t="s">
        <v>297</v>
      </c>
      <c r="D1876" s="2" t="str">
        <f t="shared" ref="D1876:E1876" si="1874">TRIM(B1876)</f>
        <v>Tennessee</v>
      </c>
      <c r="E1876" s="2" t="str">
        <f t="shared" si="1874"/>
        <v>Jackson</v>
      </c>
    </row>
    <row r="1877" spans="1:5">
      <c r="A1877" s="111" t="s">
        <v>13590</v>
      </c>
      <c r="B1877" s="111" t="s">
        <v>1372</v>
      </c>
      <c r="C1877" s="111" t="s">
        <v>350</v>
      </c>
      <c r="D1877" s="2" t="str">
        <f t="shared" ref="D1877:E1877" si="1875">TRIM(B1877)</f>
        <v>Tennessee</v>
      </c>
      <c r="E1877" s="2" t="str">
        <f t="shared" si="1875"/>
        <v>Nashville</v>
      </c>
    </row>
    <row r="1878" spans="1:5">
      <c r="A1878" s="111" t="s">
        <v>13592</v>
      </c>
      <c r="B1878" s="111" t="s">
        <v>1372</v>
      </c>
      <c r="C1878" s="112" t="s">
        <v>10314</v>
      </c>
      <c r="D1878" s="2" t="str">
        <f t="shared" ref="D1878:E1878" si="1876">TRIM(B1878)</f>
        <v>Tennessee</v>
      </c>
      <c r="E1878" s="2" t="str">
        <f t="shared" si="1876"/>
        <v>Waynesboro</v>
      </c>
    </row>
    <row r="1879" spans="1:5">
      <c r="A1879" s="111" t="s">
        <v>13594</v>
      </c>
      <c r="B1879" s="111" t="s">
        <v>1372</v>
      </c>
      <c r="C1879" s="111" t="s">
        <v>13155</v>
      </c>
      <c r="D1879" s="2" t="str">
        <f t="shared" ref="D1879:E1879" si="1877">TRIM(B1879)</f>
        <v>Tennessee</v>
      </c>
      <c r="E1879" s="2" t="str">
        <f t="shared" si="1877"/>
        <v>Knoxville</v>
      </c>
    </row>
    <row r="1880" spans="1:5">
      <c r="A1880" s="111" t="s">
        <v>13597</v>
      </c>
      <c r="B1880" s="111" t="s">
        <v>1372</v>
      </c>
      <c r="C1880" s="111" t="s">
        <v>13155</v>
      </c>
      <c r="D1880" s="2" t="str">
        <f t="shared" ref="D1880:E1880" si="1878">TRIM(B1880)</f>
        <v>Tennessee</v>
      </c>
      <c r="E1880" s="2" t="str">
        <f t="shared" si="1878"/>
        <v>Knoxville</v>
      </c>
    </row>
    <row r="1881" spans="1:5">
      <c r="A1881" s="111" t="s">
        <v>13599</v>
      </c>
      <c r="B1881" s="111" t="s">
        <v>1373</v>
      </c>
      <c r="C1881" s="111" t="s">
        <v>574</v>
      </c>
      <c r="D1881" s="2" t="str">
        <f t="shared" ref="D1881:E1881" si="1879">TRIM(B1881)</f>
        <v>Texas</v>
      </c>
      <c r="E1881" s="2" t="str">
        <f t="shared" si="1879"/>
        <v>Austin</v>
      </c>
    </row>
    <row r="1882" spans="1:5">
      <c r="A1882" s="111" t="s">
        <v>13601</v>
      </c>
      <c r="B1882" s="111" t="s">
        <v>1373</v>
      </c>
      <c r="C1882" s="111" t="s">
        <v>252</v>
      </c>
      <c r="D1882" s="2" t="str">
        <f t="shared" ref="D1882:E1882" si="1880">TRIM(B1882)</f>
        <v>Texas</v>
      </c>
      <c r="E1882" s="2" t="str">
        <f t="shared" si="1880"/>
        <v>Dallas</v>
      </c>
    </row>
    <row r="1883" spans="1:5">
      <c r="A1883" s="111" t="s">
        <v>13603</v>
      </c>
      <c r="B1883" s="111" t="s">
        <v>1373</v>
      </c>
      <c r="C1883" s="111" t="s">
        <v>574</v>
      </c>
      <c r="D1883" s="2" t="str">
        <f t="shared" ref="D1883:E1883" si="1881">TRIM(B1883)</f>
        <v>Texas</v>
      </c>
      <c r="E1883" s="2" t="str">
        <f t="shared" si="1881"/>
        <v>Austin</v>
      </c>
    </row>
    <row r="1884" spans="1:5">
      <c r="A1884" s="111" t="s">
        <v>13605</v>
      </c>
      <c r="B1884" s="111" t="s">
        <v>1373</v>
      </c>
      <c r="C1884" s="111" t="s">
        <v>368</v>
      </c>
      <c r="D1884" s="2" t="str">
        <f t="shared" ref="D1884:E1884" si="1882">TRIM(B1884)</f>
        <v>Texas</v>
      </c>
      <c r="E1884" s="2" t="str">
        <f t="shared" si="1882"/>
        <v>Houston</v>
      </c>
    </row>
    <row r="1885" spans="1:5">
      <c r="A1885" s="111" t="s">
        <v>13606</v>
      </c>
      <c r="B1885" s="111" t="s">
        <v>1373</v>
      </c>
      <c r="C1885" s="111" t="s">
        <v>13607</v>
      </c>
      <c r="D1885" s="2" t="str">
        <f t="shared" ref="D1885:E1885" si="1883">TRIM(B1885)</f>
        <v>Texas</v>
      </c>
      <c r="E1885" s="2" t="str">
        <f t="shared" si="1883"/>
        <v>Bryan</v>
      </c>
    </row>
    <row r="1886" spans="1:5">
      <c r="A1886" s="111" t="s">
        <v>13609</v>
      </c>
      <c r="B1886" s="111" t="s">
        <v>1373</v>
      </c>
      <c r="C1886" s="111" t="s">
        <v>472</v>
      </c>
      <c r="D1886" s="2" t="str">
        <f t="shared" ref="D1886:E1886" si="1884">TRIM(B1886)</f>
        <v>Texas</v>
      </c>
      <c r="E1886" s="2" t="str">
        <f t="shared" si="1884"/>
        <v>Huntsville</v>
      </c>
    </row>
    <row r="1887" spans="1:5">
      <c r="A1887" s="111" t="s">
        <v>13611</v>
      </c>
      <c r="B1887" s="111" t="s">
        <v>1373</v>
      </c>
      <c r="C1887" s="111" t="s">
        <v>13612</v>
      </c>
      <c r="D1887" s="2" t="str">
        <f t="shared" ref="D1887:E1887" si="1885">TRIM(B1887)</f>
        <v>Texas</v>
      </c>
      <c r="E1887" s="2" t="str">
        <f t="shared" si="1885"/>
        <v>Fredericksburg</v>
      </c>
    </row>
    <row r="1888" spans="1:5">
      <c r="A1888" s="111" t="s">
        <v>13614</v>
      </c>
      <c r="B1888" s="111" t="s">
        <v>1373</v>
      </c>
      <c r="C1888" s="112" t="s">
        <v>251</v>
      </c>
      <c r="D1888" s="2" t="str">
        <f t="shared" ref="D1888:E1888" si="1886">TRIM(B1888)</f>
        <v>Texas</v>
      </c>
      <c r="E1888" s="2" t="str">
        <f t="shared" si="1886"/>
        <v>San Antonio</v>
      </c>
    </row>
    <row r="1889" spans="1:5">
      <c r="A1889" s="111" t="s">
        <v>13615</v>
      </c>
      <c r="B1889" s="111" t="s">
        <v>1373</v>
      </c>
      <c r="C1889" s="111" t="s">
        <v>574</v>
      </c>
      <c r="D1889" s="2" t="str">
        <f t="shared" ref="D1889:E1889" si="1887">TRIM(B1889)</f>
        <v>Texas</v>
      </c>
      <c r="E1889" s="2" t="str">
        <f t="shared" si="1887"/>
        <v>Austin</v>
      </c>
    </row>
    <row r="1890" spans="1:5">
      <c r="A1890" s="111" t="s">
        <v>13618</v>
      </c>
      <c r="B1890" s="111" t="s">
        <v>1373</v>
      </c>
      <c r="C1890" s="111" t="s">
        <v>13619</v>
      </c>
      <c r="D1890" s="2" t="str">
        <f t="shared" ref="D1890:E1890" si="1888">TRIM(B1890)</f>
        <v>Texas</v>
      </c>
      <c r="E1890" s="2" t="str">
        <f t="shared" si="1888"/>
        <v>Garland</v>
      </c>
    </row>
    <row r="1891" spans="1:5">
      <c r="A1891" s="111" t="s">
        <v>13623</v>
      </c>
      <c r="B1891" s="111" t="s">
        <v>1373</v>
      </c>
      <c r="C1891" s="111" t="s">
        <v>1265</v>
      </c>
      <c r="D1891" s="2" t="str">
        <f t="shared" ref="D1891:E1891" si="1889">TRIM(B1891)</f>
        <v>Texas</v>
      </c>
      <c r="E1891" s="2" t="str">
        <f t="shared" si="1889"/>
        <v>Katy</v>
      </c>
    </row>
    <row r="1892" spans="1:5">
      <c r="A1892" s="111" t="s">
        <v>11270</v>
      </c>
      <c r="B1892" s="111" t="s">
        <v>1373</v>
      </c>
      <c r="C1892" s="111" t="s">
        <v>12840</v>
      </c>
      <c r="D1892" s="2" t="str">
        <f t="shared" ref="D1892:E1892" si="1890">TRIM(B1892)</f>
        <v>Texas</v>
      </c>
      <c r="E1892" s="2" t="str">
        <f t="shared" si="1890"/>
        <v>El Paso</v>
      </c>
    </row>
    <row r="1893" spans="1:5">
      <c r="A1893" s="111" t="s">
        <v>13628</v>
      </c>
      <c r="B1893" s="111" t="s">
        <v>1373</v>
      </c>
      <c r="C1893" s="111" t="s">
        <v>13629</v>
      </c>
      <c r="D1893" s="2" t="str">
        <f t="shared" ref="D1893:E1893" si="1891">TRIM(B1893)</f>
        <v>Texas</v>
      </c>
      <c r="E1893" s="2" t="str">
        <f t="shared" si="1891"/>
        <v>Highlands</v>
      </c>
    </row>
    <row r="1894" spans="1:5">
      <c r="A1894" s="111" t="s">
        <v>13631</v>
      </c>
      <c r="B1894" s="111" t="s">
        <v>1373</v>
      </c>
      <c r="C1894" s="111" t="s">
        <v>11978</v>
      </c>
      <c r="D1894" s="2" t="str">
        <f t="shared" ref="D1894:E1894" si="1892">TRIM(B1894)</f>
        <v>Texas</v>
      </c>
      <c r="E1894" s="2" t="str">
        <f t="shared" si="1892"/>
        <v>Keene</v>
      </c>
    </row>
    <row r="1895" spans="1:5">
      <c r="A1895" s="111" t="s">
        <v>13633</v>
      </c>
      <c r="B1895" s="111" t="s">
        <v>1373</v>
      </c>
      <c r="C1895" s="112" t="s">
        <v>13634</v>
      </c>
      <c r="D1895" s="2" t="str">
        <f t="shared" ref="D1895:E1895" si="1893">TRIM(B1895)</f>
        <v>Texas</v>
      </c>
      <c r="E1895" s="2" t="str">
        <f t="shared" si="1893"/>
        <v>Round Rock</v>
      </c>
    </row>
    <row r="1896" spans="1:5">
      <c r="A1896" s="111" t="s">
        <v>11898</v>
      </c>
      <c r="B1896" s="111" t="s">
        <v>1373</v>
      </c>
      <c r="C1896" s="111" t="s">
        <v>368</v>
      </c>
      <c r="D1896" s="2" t="str">
        <f t="shared" ref="D1896:E1896" si="1894">TRIM(B1896)</f>
        <v>Texas</v>
      </c>
      <c r="E1896" s="2" t="str">
        <f t="shared" si="1894"/>
        <v>Houston</v>
      </c>
    </row>
    <row r="1897" spans="1:5">
      <c r="A1897" s="111" t="s">
        <v>13636</v>
      </c>
      <c r="B1897" s="111" t="s">
        <v>1373</v>
      </c>
      <c r="C1897" s="111" t="s">
        <v>12840</v>
      </c>
      <c r="D1897" s="2" t="str">
        <f t="shared" ref="D1897:E1897" si="1895">TRIM(B1897)</f>
        <v>Texas</v>
      </c>
      <c r="E1897" s="2" t="str">
        <f t="shared" si="1895"/>
        <v>El Paso</v>
      </c>
    </row>
    <row r="1898" spans="1:5">
      <c r="A1898" s="111" t="s">
        <v>13638</v>
      </c>
      <c r="B1898" s="111" t="s">
        <v>1373</v>
      </c>
      <c r="C1898" s="111" t="s">
        <v>13639</v>
      </c>
      <c r="D1898" s="2" t="str">
        <f t="shared" ref="D1898:E1898" si="1896">TRIM(B1898)</f>
        <v>Texas</v>
      </c>
      <c r="E1898" s="2" t="str">
        <f t="shared" si="1896"/>
        <v>Kennedale</v>
      </c>
    </row>
    <row r="1899" spans="1:5">
      <c r="A1899" s="111" t="s">
        <v>13641</v>
      </c>
      <c r="B1899" s="111" t="s">
        <v>1373</v>
      </c>
      <c r="C1899" s="111" t="s">
        <v>13642</v>
      </c>
      <c r="D1899" s="2" t="str">
        <f t="shared" ref="D1899:E1899" si="1897">TRIM(B1899)</f>
        <v>Texas</v>
      </c>
      <c r="E1899" s="2" t="str">
        <f t="shared" si="1897"/>
        <v>Fort Worth</v>
      </c>
    </row>
    <row r="1900" spans="1:5">
      <c r="A1900" s="111" t="s">
        <v>13644</v>
      </c>
      <c r="B1900" s="111" t="s">
        <v>1373</v>
      </c>
      <c r="C1900" s="111" t="s">
        <v>252</v>
      </c>
      <c r="D1900" s="2" t="str">
        <f t="shared" ref="D1900:E1900" si="1898">TRIM(B1900)</f>
        <v>Texas</v>
      </c>
      <c r="E1900" s="2" t="str">
        <f t="shared" si="1898"/>
        <v>Dallas</v>
      </c>
    </row>
    <row r="1901" spans="1:5">
      <c r="A1901" s="111" t="s">
        <v>13646</v>
      </c>
      <c r="B1901" s="111" t="s">
        <v>1373</v>
      </c>
      <c r="C1901" s="111" t="s">
        <v>13647</v>
      </c>
      <c r="D1901" s="2" t="str">
        <f t="shared" ref="D1901:E1901" si="1899">TRIM(B1901)</f>
        <v>Texas</v>
      </c>
      <c r="E1901" s="2" t="str">
        <f t="shared" si="1899"/>
        <v>Sugar Land</v>
      </c>
    </row>
    <row r="1902" spans="1:5">
      <c r="A1902" s="111" t="s">
        <v>13649</v>
      </c>
      <c r="B1902" s="111" t="s">
        <v>1373</v>
      </c>
      <c r="C1902" s="111" t="s">
        <v>13651</v>
      </c>
      <c r="D1902" s="2" t="str">
        <f t="shared" ref="D1902:E1902" si="1900">TRIM(B1902)</f>
        <v>Texas</v>
      </c>
      <c r="E1902" s="2" t="str">
        <f t="shared" si="1900"/>
        <v>Boerne</v>
      </c>
    </row>
    <row r="1903" spans="1:5">
      <c r="A1903" s="111" t="s">
        <v>13653</v>
      </c>
      <c r="B1903" s="111" t="s">
        <v>1373</v>
      </c>
      <c r="C1903" s="111" t="s">
        <v>13655</v>
      </c>
      <c r="D1903" s="2" t="str">
        <f t="shared" ref="D1903:E1903" si="1901">TRIM(B1903)</f>
        <v>Texas</v>
      </c>
      <c r="E1903" s="2" t="str">
        <f t="shared" si="1901"/>
        <v>Tyler</v>
      </c>
    </row>
    <row r="1904" spans="1:5">
      <c r="A1904" s="111" t="s">
        <v>13657</v>
      </c>
      <c r="B1904" s="111" t="s">
        <v>1373</v>
      </c>
      <c r="C1904" s="111" t="s">
        <v>1048</v>
      </c>
      <c r="D1904" s="2" t="str">
        <f t="shared" ref="D1904:E1904" si="1902">TRIM(B1904)</f>
        <v>Texas</v>
      </c>
      <c r="E1904" s="2" t="str">
        <f t="shared" si="1902"/>
        <v>Arlington</v>
      </c>
    </row>
    <row r="1905" spans="1:5">
      <c r="A1905" s="111" t="s">
        <v>13662</v>
      </c>
      <c r="B1905" s="111" t="s">
        <v>1373</v>
      </c>
      <c r="C1905" s="111" t="s">
        <v>1478</v>
      </c>
      <c r="D1905" s="2" t="str">
        <f t="shared" ref="D1905:E1905" si="1903">TRIM(B1905)</f>
        <v>Texas</v>
      </c>
      <c r="E1905" s="2" t="str">
        <f t="shared" si="1903"/>
        <v>Addison</v>
      </c>
    </row>
    <row r="1906" spans="1:5">
      <c r="A1906" s="111" t="s">
        <v>13664</v>
      </c>
      <c r="B1906" s="111" t="s">
        <v>1373</v>
      </c>
      <c r="C1906" s="111" t="s">
        <v>13612</v>
      </c>
      <c r="D1906" s="2" t="str">
        <f t="shared" ref="D1906:E1906" si="1904">TRIM(B1906)</f>
        <v>Texas</v>
      </c>
      <c r="E1906" s="2" t="str">
        <f t="shared" si="1904"/>
        <v>Fredericksburg</v>
      </c>
    </row>
    <row r="1907" spans="1:5">
      <c r="A1907" s="111" t="s">
        <v>13668</v>
      </c>
      <c r="B1907" s="111" t="s">
        <v>1373</v>
      </c>
      <c r="C1907" s="111" t="s">
        <v>574</v>
      </c>
      <c r="D1907" s="2" t="str">
        <f t="shared" ref="D1907:E1907" si="1905">TRIM(B1907)</f>
        <v>Texas</v>
      </c>
      <c r="E1907" s="2" t="str">
        <f t="shared" si="1905"/>
        <v>Austin</v>
      </c>
    </row>
    <row r="1908" spans="1:5">
      <c r="A1908" s="111" t="s">
        <v>13671</v>
      </c>
      <c r="B1908" s="111" t="s">
        <v>1373</v>
      </c>
      <c r="C1908" s="111" t="s">
        <v>574</v>
      </c>
      <c r="D1908" s="2" t="str">
        <f t="shared" ref="D1908:E1908" si="1906">TRIM(B1908)</f>
        <v>Texas</v>
      </c>
      <c r="E1908" s="2" t="str">
        <f t="shared" si="1906"/>
        <v>Austin</v>
      </c>
    </row>
    <row r="1909" spans="1:5">
      <c r="A1909" s="111" t="s">
        <v>13673</v>
      </c>
      <c r="B1909" s="111" t="s">
        <v>1373</v>
      </c>
      <c r="C1909" s="111" t="s">
        <v>574</v>
      </c>
      <c r="D1909" s="2" t="str">
        <f t="shared" ref="D1909:E1909" si="1907">TRIM(B1909)</f>
        <v>Texas</v>
      </c>
      <c r="E1909" s="2" t="str">
        <f t="shared" si="1907"/>
        <v>Austin</v>
      </c>
    </row>
    <row r="1910" spans="1:5">
      <c r="A1910" s="111" t="s">
        <v>13675</v>
      </c>
      <c r="B1910" s="111" t="s">
        <v>1373</v>
      </c>
      <c r="C1910" s="111" t="s">
        <v>368</v>
      </c>
      <c r="D1910" s="2" t="str">
        <f t="shared" ref="D1910:E1910" si="1908">TRIM(B1910)</f>
        <v>Texas</v>
      </c>
      <c r="E1910" s="2" t="str">
        <f t="shared" si="1908"/>
        <v>Houston</v>
      </c>
    </row>
    <row r="1911" spans="1:5">
      <c r="A1911" s="111" t="s">
        <v>13678</v>
      </c>
      <c r="B1911" s="111" t="s">
        <v>1373</v>
      </c>
      <c r="C1911" s="111" t="s">
        <v>12840</v>
      </c>
      <c r="D1911" s="2" t="str">
        <f t="shared" ref="D1911:E1911" si="1909">TRIM(B1911)</f>
        <v>Texas</v>
      </c>
      <c r="E1911" s="2" t="str">
        <f t="shared" si="1909"/>
        <v>El Paso</v>
      </c>
    </row>
    <row r="1912" spans="1:5">
      <c r="A1912" s="111" t="s">
        <v>13680</v>
      </c>
      <c r="B1912" s="111" t="s">
        <v>1373</v>
      </c>
      <c r="C1912" s="111" t="s">
        <v>7891</v>
      </c>
      <c r="D1912" s="2" t="str">
        <f t="shared" ref="D1912:E1912" si="1910">TRIM(B1912)</f>
        <v>Texas</v>
      </c>
      <c r="E1912" s="2" t="str">
        <f t="shared" si="1910"/>
        <v>Jefferson</v>
      </c>
    </row>
    <row r="1913" spans="1:5">
      <c r="A1913" s="111" t="s">
        <v>13683</v>
      </c>
      <c r="B1913" s="111" t="s">
        <v>1373</v>
      </c>
      <c r="C1913" s="111" t="s">
        <v>709</v>
      </c>
      <c r="D1913" s="2" t="str">
        <f t="shared" ref="D1913:E1913" si="1911">TRIM(B1913)</f>
        <v>Texas</v>
      </c>
      <c r="E1913" s="2" t="str">
        <f t="shared" si="1911"/>
        <v>Plano</v>
      </c>
    </row>
    <row r="1914" spans="1:5">
      <c r="A1914" s="111" t="s">
        <v>13685</v>
      </c>
      <c r="B1914" s="111" t="s">
        <v>1373</v>
      </c>
      <c r="C1914" s="111" t="s">
        <v>13686</v>
      </c>
      <c r="D1914" s="2" t="str">
        <f t="shared" ref="D1914:E1914" si="1912">TRIM(B1914)</f>
        <v>Texas</v>
      </c>
      <c r="E1914" s="2" t="str">
        <f t="shared" si="1912"/>
        <v>Mission</v>
      </c>
    </row>
    <row r="1915" spans="1:5">
      <c r="A1915" s="111" t="s">
        <v>13685</v>
      </c>
      <c r="B1915" s="111" t="s">
        <v>1373</v>
      </c>
      <c r="C1915" s="111" t="s">
        <v>13686</v>
      </c>
      <c r="D1915" s="2" t="str">
        <f t="shared" ref="D1915:E1915" si="1913">TRIM(B1915)</f>
        <v>Texas</v>
      </c>
      <c r="E1915" s="2" t="str">
        <f t="shared" si="1913"/>
        <v>Mission</v>
      </c>
    </row>
    <row r="1916" spans="1:5">
      <c r="A1916" s="111" t="s">
        <v>13690</v>
      </c>
      <c r="B1916" s="111" t="s">
        <v>1373</v>
      </c>
      <c r="C1916" s="111" t="s">
        <v>372</v>
      </c>
      <c r="D1916" s="2" t="str">
        <f t="shared" ref="D1916:E1916" si="1914">TRIM(B1916)</f>
        <v>Texas</v>
      </c>
      <c r="E1916" s="2" t="str">
        <f t="shared" si="1914"/>
        <v>Lubbock</v>
      </c>
    </row>
    <row r="1917" spans="1:5">
      <c r="A1917" s="111" t="s">
        <v>13692</v>
      </c>
      <c r="B1917" s="111" t="s">
        <v>1373</v>
      </c>
      <c r="C1917" s="111" t="s">
        <v>368</v>
      </c>
      <c r="D1917" s="2" t="str">
        <f t="shared" ref="D1917:E1917" si="1915">TRIM(B1917)</f>
        <v>Texas</v>
      </c>
      <c r="E1917" s="2" t="str">
        <f t="shared" si="1915"/>
        <v>Houston</v>
      </c>
    </row>
    <row r="1918" spans="1:5">
      <c r="A1918" s="111" t="s">
        <v>13693</v>
      </c>
      <c r="B1918" s="111" t="s">
        <v>1373</v>
      </c>
      <c r="C1918" s="112" t="s">
        <v>252</v>
      </c>
      <c r="D1918" s="2" t="str">
        <f t="shared" ref="D1918:E1918" si="1916">TRIM(B1918)</f>
        <v>Texas</v>
      </c>
      <c r="E1918" s="2" t="str">
        <f t="shared" si="1916"/>
        <v>Dallas</v>
      </c>
    </row>
    <row r="1919" spans="1:5">
      <c r="A1919" s="111" t="s">
        <v>13696</v>
      </c>
      <c r="B1919" s="111" t="s">
        <v>1373</v>
      </c>
      <c r="C1919" s="111" t="s">
        <v>252</v>
      </c>
      <c r="D1919" s="2" t="str">
        <f t="shared" ref="D1919:E1919" si="1917">TRIM(B1919)</f>
        <v>Texas</v>
      </c>
      <c r="E1919" s="2" t="str">
        <f t="shared" si="1917"/>
        <v>Dallas</v>
      </c>
    </row>
    <row r="1920" spans="1:5">
      <c r="A1920" s="111" t="s">
        <v>13698</v>
      </c>
      <c r="B1920" s="111" t="s">
        <v>1373</v>
      </c>
      <c r="C1920" s="111" t="s">
        <v>13699</v>
      </c>
      <c r="D1920" s="2" t="str">
        <f t="shared" ref="D1920:E1920" si="1918">TRIM(B1920)</f>
        <v>Texas</v>
      </c>
      <c r="E1920" s="2" t="str">
        <f t="shared" si="1918"/>
        <v>Waco</v>
      </c>
    </row>
    <row r="1921" spans="1:5">
      <c r="A1921" s="111" t="s">
        <v>13702</v>
      </c>
      <c r="B1921" s="111" t="s">
        <v>1373</v>
      </c>
      <c r="C1921" s="111" t="s">
        <v>13704</v>
      </c>
      <c r="D1921" s="2" t="str">
        <f t="shared" ref="D1921:E1921" si="1919">TRIM(B1921)</f>
        <v>Texas</v>
      </c>
      <c r="E1921" s="2" t="str">
        <f t="shared" si="1919"/>
        <v>Bulverde</v>
      </c>
    </row>
    <row r="1922" spans="1:5">
      <c r="A1922" s="111" t="s">
        <v>9070</v>
      </c>
      <c r="B1922" s="111" t="s">
        <v>1373</v>
      </c>
      <c r="C1922" s="111" t="s">
        <v>13706</v>
      </c>
      <c r="D1922" s="2" t="str">
        <f t="shared" ref="D1922:E1922" si="1920">TRIM(B1922)</f>
        <v>Texas</v>
      </c>
      <c r="E1922" s="2" t="str">
        <f t="shared" si="1920"/>
        <v>Marble Falls</v>
      </c>
    </row>
    <row r="1923" spans="1:5">
      <c r="A1923" s="111" t="s">
        <v>13708</v>
      </c>
      <c r="B1923" s="111" t="s">
        <v>1373</v>
      </c>
      <c r="C1923" s="111" t="s">
        <v>12840</v>
      </c>
      <c r="D1923" s="2" t="str">
        <f t="shared" ref="D1923:E1923" si="1921">TRIM(B1923)</f>
        <v>Texas</v>
      </c>
      <c r="E1923" s="2" t="str">
        <f t="shared" si="1921"/>
        <v>El Paso</v>
      </c>
    </row>
    <row r="1924" spans="1:5">
      <c r="A1924" s="111" t="s">
        <v>13711</v>
      </c>
      <c r="B1924" s="111" t="s">
        <v>1373</v>
      </c>
      <c r="C1924" s="111" t="s">
        <v>13712</v>
      </c>
      <c r="D1924" s="2" t="str">
        <f t="shared" ref="D1924:E1924" si="1922">TRIM(B1924)</f>
        <v>Texas</v>
      </c>
      <c r="E1924" s="2" t="str">
        <f t="shared" si="1922"/>
        <v>Harlingen</v>
      </c>
    </row>
    <row r="1925" spans="1:5">
      <c r="A1925" s="111" t="s">
        <v>13714</v>
      </c>
      <c r="B1925" s="111" t="s">
        <v>1373</v>
      </c>
      <c r="C1925" s="111" t="s">
        <v>368</v>
      </c>
      <c r="D1925" s="2" t="str">
        <f t="shared" ref="D1925:E1925" si="1923">TRIM(B1925)</f>
        <v>Texas</v>
      </c>
      <c r="E1925" s="2" t="str">
        <f t="shared" si="1923"/>
        <v>Houston</v>
      </c>
    </row>
    <row r="1926" spans="1:5">
      <c r="A1926" s="111" t="s">
        <v>13716</v>
      </c>
      <c r="B1926" s="111" t="s">
        <v>1373</v>
      </c>
      <c r="C1926" s="111" t="s">
        <v>1265</v>
      </c>
      <c r="D1926" s="2" t="str">
        <f t="shared" ref="D1926:E1926" si="1924">TRIM(B1926)</f>
        <v>Texas</v>
      </c>
      <c r="E1926" s="2" t="str">
        <f t="shared" si="1924"/>
        <v>Katy</v>
      </c>
    </row>
    <row r="1927" spans="1:5">
      <c r="A1927" s="111" t="s">
        <v>13717</v>
      </c>
      <c r="B1927" s="111" t="s">
        <v>1373</v>
      </c>
      <c r="C1927" s="111" t="s">
        <v>252</v>
      </c>
      <c r="D1927" s="2" t="str">
        <f t="shared" ref="D1927:E1927" si="1925">TRIM(B1927)</f>
        <v>Texas</v>
      </c>
      <c r="E1927" s="2" t="str">
        <f t="shared" si="1925"/>
        <v>Dallas</v>
      </c>
    </row>
    <row r="1928" spans="1:5">
      <c r="A1928" s="111" t="s">
        <v>13718</v>
      </c>
      <c r="B1928" s="111" t="s">
        <v>1373</v>
      </c>
      <c r="C1928" s="111" t="s">
        <v>13719</v>
      </c>
      <c r="D1928" s="2" t="str">
        <f t="shared" ref="D1928:E1928" si="1926">TRIM(B1928)</f>
        <v>Texas</v>
      </c>
      <c r="E1928" s="2" t="str">
        <f t="shared" si="1926"/>
        <v>Granbury</v>
      </c>
    </row>
    <row r="1929" spans="1:5">
      <c r="A1929" s="111" t="s">
        <v>13720</v>
      </c>
      <c r="B1929" s="111" t="s">
        <v>1373</v>
      </c>
      <c r="C1929" s="111" t="s">
        <v>1048</v>
      </c>
      <c r="D1929" s="2" t="str">
        <f t="shared" ref="D1929:E1929" si="1927">TRIM(B1929)</f>
        <v>Texas</v>
      </c>
      <c r="E1929" s="2" t="str">
        <f t="shared" si="1927"/>
        <v>Arlington</v>
      </c>
    </row>
    <row r="1930" spans="1:5">
      <c r="A1930" s="111" t="s">
        <v>13722</v>
      </c>
      <c r="B1930" s="111" t="s">
        <v>1373</v>
      </c>
      <c r="C1930" s="112" t="s">
        <v>13723</v>
      </c>
      <c r="D1930" s="2" t="str">
        <f t="shared" ref="D1930:E1930" si="1928">TRIM(B1930)</f>
        <v>Texas</v>
      </c>
      <c r="E1930" s="2" t="str">
        <f t="shared" si="1928"/>
        <v>Galveston</v>
      </c>
    </row>
    <row r="1931" spans="1:5">
      <c r="A1931" s="111" t="s">
        <v>13725</v>
      </c>
      <c r="B1931" s="111" t="s">
        <v>1373</v>
      </c>
      <c r="C1931" s="111" t="s">
        <v>13726</v>
      </c>
      <c r="D1931" s="2" t="str">
        <f t="shared" ref="D1931:E1931" si="1929">TRIM(B1931)</f>
        <v>Texas</v>
      </c>
      <c r="E1931" s="2" t="str">
        <f t="shared" si="1929"/>
        <v>Pharr</v>
      </c>
    </row>
    <row r="1932" spans="1:5">
      <c r="A1932" s="111" t="s">
        <v>13728</v>
      </c>
      <c r="B1932" s="111" t="s">
        <v>1373</v>
      </c>
      <c r="C1932" s="111" t="s">
        <v>87</v>
      </c>
      <c r="D1932" s="2" t="str">
        <f t="shared" ref="D1932:E1932" si="1930">TRIM(B1932)</f>
        <v>Texas</v>
      </c>
      <c r="E1932" s="2" t="str">
        <f t="shared" si="1930"/>
        <v>Richardson</v>
      </c>
    </row>
    <row r="1933" spans="1:5">
      <c r="A1933" s="111" t="s">
        <v>13731</v>
      </c>
      <c r="B1933" s="111" t="s">
        <v>1373</v>
      </c>
      <c r="C1933" s="111" t="s">
        <v>12840</v>
      </c>
      <c r="D1933" s="2" t="str">
        <f t="shared" ref="D1933:E1933" si="1931">TRIM(B1933)</f>
        <v>Texas</v>
      </c>
      <c r="E1933" s="2" t="str">
        <f t="shared" si="1931"/>
        <v>El Paso</v>
      </c>
    </row>
    <row r="1934" spans="1:5">
      <c r="A1934" s="111" t="s">
        <v>13734</v>
      </c>
      <c r="B1934" s="111" t="s">
        <v>1373</v>
      </c>
      <c r="C1934" s="111" t="s">
        <v>13735</v>
      </c>
      <c r="D1934" s="2" t="str">
        <f t="shared" ref="D1934:E1934" si="1932">TRIM(B1934)</f>
        <v>Texas</v>
      </c>
      <c r="E1934" s="2" t="str">
        <f t="shared" si="1932"/>
        <v>Nacogdoches</v>
      </c>
    </row>
    <row r="1935" spans="1:5">
      <c r="A1935" s="111" t="s">
        <v>13739</v>
      </c>
      <c r="B1935" s="111" t="s">
        <v>1373</v>
      </c>
      <c r="C1935" s="111" t="s">
        <v>574</v>
      </c>
      <c r="D1935" s="2" t="str">
        <f t="shared" ref="D1935:E1935" si="1933">TRIM(B1935)</f>
        <v>Texas</v>
      </c>
      <c r="E1935" s="2" t="str">
        <f t="shared" si="1933"/>
        <v>Austin</v>
      </c>
    </row>
    <row r="1936" spans="1:5">
      <c r="A1936" s="111" t="s">
        <v>13741</v>
      </c>
      <c r="B1936" s="111" t="s">
        <v>1373</v>
      </c>
      <c r="C1936" s="111" t="s">
        <v>13742</v>
      </c>
      <c r="D1936" s="2" t="str">
        <f t="shared" ref="D1936:E1936" si="1934">TRIM(B1936)</f>
        <v>Texas</v>
      </c>
      <c r="E1936" s="2" t="str">
        <f t="shared" si="1934"/>
        <v>Cameron</v>
      </c>
    </row>
    <row r="1937" spans="1:5">
      <c r="A1937" s="111" t="s">
        <v>13744</v>
      </c>
      <c r="B1937" s="111" t="s">
        <v>1373</v>
      </c>
      <c r="C1937" s="111" t="s">
        <v>2157</v>
      </c>
      <c r="D1937" s="2" t="str">
        <f t="shared" ref="D1937:E1937" si="1935">TRIM(B1937)</f>
        <v>Texas</v>
      </c>
      <c r="E1937" s="2" t="str">
        <f t="shared" si="1935"/>
        <v>Selma</v>
      </c>
    </row>
    <row r="1938" spans="1:5">
      <c r="A1938" s="111" t="s">
        <v>13746</v>
      </c>
      <c r="B1938" s="111" t="s">
        <v>1373</v>
      </c>
      <c r="C1938" s="111" t="s">
        <v>368</v>
      </c>
      <c r="D1938" s="2" t="str">
        <f t="shared" ref="D1938:E1938" si="1936">TRIM(B1938)</f>
        <v>Texas</v>
      </c>
      <c r="E1938" s="2" t="str">
        <f t="shared" si="1936"/>
        <v>Houston</v>
      </c>
    </row>
    <row r="1939" spans="1:5">
      <c r="A1939" s="111" t="s">
        <v>13748</v>
      </c>
      <c r="B1939" s="111" t="s">
        <v>1373</v>
      </c>
      <c r="C1939" s="111" t="s">
        <v>87</v>
      </c>
      <c r="D1939" s="2" t="str">
        <f t="shared" ref="D1939:E1939" si="1937">TRIM(B1939)</f>
        <v>Texas</v>
      </c>
      <c r="E1939" s="2" t="str">
        <f t="shared" si="1937"/>
        <v>Richardson</v>
      </c>
    </row>
    <row r="1940" spans="1:5">
      <c r="A1940" s="111" t="s">
        <v>13750</v>
      </c>
      <c r="B1940" s="111" t="s">
        <v>1373</v>
      </c>
      <c r="C1940" s="111" t="s">
        <v>368</v>
      </c>
      <c r="D1940" s="2" t="str">
        <f t="shared" ref="D1940:E1940" si="1938">TRIM(B1940)</f>
        <v>Texas</v>
      </c>
      <c r="E1940" s="2" t="str">
        <f t="shared" si="1938"/>
        <v>Houston</v>
      </c>
    </row>
    <row r="1941" spans="1:5">
      <c r="A1941" s="111" t="s">
        <v>13753</v>
      </c>
      <c r="B1941" s="111" t="s">
        <v>1373</v>
      </c>
      <c r="C1941" s="111" t="s">
        <v>808</v>
      </c>
      <c r="D1941" s="2" t="str">
        <f t="shared" ref="D1941:E1941" si="1939">TRIM(B1941)</f>
        <v>Texas</v>
      </c>
      <c r="E1941" s="2" t="str">
        <f t="shared" si="1939"/>
        <v>Denton</v>
      </c>
    </row>
    <row r="1942" spans="1:5">
      <c r="A1942" s="111" t="s">
        <v>13756</v>
      </c>
      <c r="B1942" s="111" t="s">
        <v>1373</v>
      </c>
      <c r="C1942" s="111" t="s">
        <v>10084</v>
      </c>
      <c r="D1942" s="2" t="str">
        <f t="shared" ref="D1942:E1942" si="1940">TRIM(B1942)</f>
        <v>Texas</v>
      </c>
      <c r="E1942" s="2" t="str">
        <f t="shared" si="1940"/>
        <v>Seminole</v>
      </c>
    </row>
    <row r="1943" spans="1:5">
      <c r="A1943" s="111" t="s">
        <v>13756</v>
      </c>
      <c r="B1943" s="111" t="s">
        <v>1373</v>
      </c>
      <c r="C1943" s="111" t="s">
        <v>10084</v>
      </c>
      <c r="D1943" s="2" t="str">
        <f t="shared" ref="D1943:E1943" si="1941">TRIM(B1943)</f>
        <v>Texas</v>
      </c>
      <c r="E1943" s="2" t="str">
        <f t="shared" si="1941"/>
        <v>Seminole</v>
      </c>
    </row>
    <row r="1944" spans="1:5">
      <c r="A1944" s="111" t="s">
        <v>13761</v>
      </c>
      <c r="B1944" s="111" t="s">
        <v>1373</v>
      </c>
      <c r="C1944" s="111" t="s">
        <v>486</v>
      </c>
      <c r="D1944" s="2" t="str">
        <f t="shared" ref="D1944:E1944" si="1942">TRIM(B1944)</f>
        <v>Texas</v>
      </c>
      <c r="E1944" s="2" t="str">
        <f t="shared" si="1942"/>
        <v>Pasadena</v>
      </c>
    </row>
    <row r="1945" spans="1:5">
      <c r="A1945" s="111" t="s">
        <v>13763</v>
      </c>
      <c r="B1945" s="111" t="s">
        <v>1373</v>
      </c>
      <c r="C1945" s="111" t="s">
        <v>709</v>
      </c>
      <c r="D1945" s="2" t="str">
        <f t="shared" ref="D1945:E1945" si="1943">TRIM(B1945)</f>
        <v>Texas</v>
      </c>
      <c r="E1945" s="2" t="str">
        <f t="shared" si="1943"/>
        <v>Plano</v>
      </c>
    </row>
    <row r="1946" spans="1:5">
      <c r="A1946" s="111" t="s">
        <v>13765</v>
      </c>
      <c r="B1946" s="111" t="s">
        <v>1373</v>
      </c>
      <c r="C1946" s="111" t="s">
        <v>372</v>
      </c>
      <c r="D1946" s="2" t="str">
        <f t="shared" ref="D1946:E1946" si="1944">TRIM(B1946)</f>
        <v>Texas</v>
      </c>
      <c r="E1946" s="2" t="str">
        <f t="shared" si="1944"/>
        <v>Lubbock</v>
      </c>
    </row>
    <row r="1947" spans="1:5">
      <c r="A1947" s="111" t="s">
        <v>13768</v>
      </c>
      <c r="B1947" s="111" t="s">
        <v>1373</v>
      </c>
      <c r="C1947" s="111" t="s">
        <v>368</v>
      </c>
      <c r="D1947" s="2" t="str">
        <f t="shared" ref="D1947:E1947" si="1945">TRIM(B1947)</f>
        <v>Texas</v>
      </c>
      <c r="E1947" s="2" t="str">
        <f t="shared" si="1945"/>
        <v>Houston</v>
      </c>
    </row>
    <row r="1948" spans="1:5">
      <c r="A1948" s="111" t="s">
        <v>10634</v>
      </c>
      <c r="B1948" s="111" t="s">
        <v>1373</v>
      </c>
      <c r="C1948" s="111" t="s">
        <v>13642</v>
      </c>
      <c r="D1948" s="2" t="str">
        <f t="shared" ref="D1948:E1948" si="1946">TRIM(B1948)</f>
        <v>Texas</v>
      </c>
      <c r="E1948" s="2" t="str">
        <f t="shared" si="1946"/>
        <v>Fort Worth</v>
      </c>
    </row>
    <row r="1949" spans="1:5">
      <c r="A1949" s="111" t="s">
        <v>13771</v>
      </c>
      <c r="B1949" s="111" t="s">
        <v>1373</v>
      </c>
      <c r="C1949" s="111" t="s">
        <v>13773</v>
      </c>
      <c r="D1949" s="2" t="str">
        <f t="shared" ref="D1949:E1949" si="1947">TRIM(B1949)</f>
        <v>Texas</v>
      </c>
      <c r="E1949" s="2" t="str">
        <f t="shared" si="1947"/>
        <v>Corpus Christi</v>
      </c>
    </row>
    <row r="1950" spans="1:5">
      <c r="A1950" s="111" t="s">
        <v>13775</v>
      </c>
      <c r="B1950" s="111" t="s">
        <v>1373</v>
      </c>
      <c r="C1950" s="111" t="s">
        <v>1265</v>
      </c>
      <c r="D1950" s="2" t="str">
        <f t="shared" ref="D1950:E1950" si="1948">TRIM(B1950)</f>
        <v>Texas</v>
      </c>
      <c r="E1950" s="2" t="str">
        <f t="shared" si="1948"/>
        <v>Katy</v>
      </c>
    </row>
    <row r="1951" spans="1:5">
      <c r="A1951" s="111" t="s">
        <v>9604</v>
      </c>
      <c r="B1951" s="111" t="s">
        <v>1373</v>
      </c>
      <c r="C1951" s="111" t="s">
        <v>426</v>
      </c>
      <c r="D1951" s="2" t="str">
        <f t="shared" ref="D1951:E1951" si="1949">TRIM(B1951)</f>
        <v>Texas</v>
      </c>
      <c r="E1951" s="2" t="str">
        <f t="shared" si="1949"/>
        <v>Brownsville</v>
      </c>
    </row>
    <row r="1952" spans="1:5">
      <c r="A1952" s="111" t="s">
        <v>9606</v>
      </c>
      <c r="B1952" s="111" t="s">
        <v>1373</v>
      </c>
      <c r="C1952" s="111" t="s">
        <v>13780</v>
      </c>
      <c r="D1952" s="2" t="str">
        <f t="shared" ref="D1952:E1952" si="1950">TRIM(B1952)</f>
        <v>Texas</v>
      </c>
      <c r="E1952" s="2" t="str">
        <f t="shared" si="1950"/>
        <v>Victoria</v>
      </c>
    </row>
    <row r="1953" spans="1:5">
      <c r="A1953" s="76" t="s">
        <v>13781</v>
      </c>
      <c r="B1953" s="111" t="s">
        <v>1373</v>
      </c>
      <c r="C1953" s="111" t="s">
        <v>252</v>
      </c>
      <c r="D1953" s="2" t="str">
        <f t="shared" ref="D1953:E1953" si="1951">TRIM(B1953)</f>
        <v>Texas</v>
      </c>
      <c r="E1953" s="2" t="str">
        <f t="shared" si="1951"/>
        <v>Dallas</v>
      </c>
    </row>
    <row r="1954" spans="1:5">
      <c r="A1954" s="76" t="s">
        <v>13784</v>
      </c>
      <c r="B1954" s="111" t="s">
        <v>1373</v>
      </c>
      <c r="C1954" s="111" t="s">
        <v>251</v>
      </c>
      <c r="D1954" s="2" t="str">
        <f t="shared" ref="D1954:E1954" si="1952">TRIM(B1954)</f>
        <v>Texas</v>
      </c>
      <c r="E1954" s="2" t="str">
        <f t="shared" si="1952"/>
        <v>San Antonio</v>
      </c>
    </row>
    <row r="1955" spans="1:5">
      <c r="A1955" s="76" t="s">
        <v>13786</v>
      </c>
      <c r="B1955" s="111" t="s">
        <v>1373</v>
      </c>
      <c r="C1955" s="111" t="s">
        <v>368</v>
      </c>
      <c r="D1955" s="2" t="str">
        <f t="shared" ref="D1955:E1955" si="1953">TRIM(B1955)</f>
        <v>Texas</v>
      </c>
      <c r="E1955" s="2" t="str">
        <f t="shared" si="1953"/>
        <v>Houston</v>
      </c>
    </row>
    <row r="1956" spans="1:5">
      <c r="A1956" s="76" t="s">
        <v>13788</v>
      </c>
      <c r="B1956" s="111" t="s">
        <v>1373</v>
      </c>
      <c r="C1956" s="111" t="s">
        <v>1048</v>
      </c>
      <c r="D1956" s="2" t="str">
        <f t="shared" ref="D1956:E1956" si="1954">TRIM(B1956)</f>
        <v>Texas</v>
      </c>
      <c r="E1956" s="2" t="str">
        <f t="shared" si="1954"/>
        <v>Arlington</v>
      </c>
    </row>
    <row r="1957" spans="1:5">
      <c r="A1957" s="76" t="s">
        <v>13791</v>
      </c>
      <c r="B1957" s="111" t="s">
        <v>1373</v>
      </c>
      <c r="C1957" s="111" t="s">
        <v>13642</v>
      </c>
      <c r="D1957" s="2" t="str">
        <f t="shared" ref="D1957:E1957" si="1955">TRIM(B1957)</f>
        <v>Texas</v>
      </c>
      <c r="E1957" s="2" t="str">
        <f t="shared" si="1955"/>
        <v>Fort Worth</v>
      </c>
    </row>
    <row r="1958" spans="1:5">
      <c r="A1958" s="111" t="s">
        <v>11845</v>
      </c>
      <c r="B1958" s="111" t="s">
        <v>1373</v>
      </c>
      <c r="C1958" s="111" t="s">
        <v>368</v>
      </c>
      <c r="D1958" s="2" t="str">
        <f t="shared" ref="D1958:E1958" si="1956">TRIM(B1958)</f>
        <v>Texas</v>
      </c>
      <c r="E1958" s="2" t="str">
        <f t="shared" si="1956"/>
        <v>Houston</v>
      </c>
    </row>
    <row r="1959" spans="1:5">
      <c r="A1959" s="111" t="s">
        <v>13796</v>
      </c>
      <c r="B1959" s="111" t="s">
        <v>1373</v>
      </c>
      <c r="C1959" s="111" t="s">
        <v>368</v>
      </c>
      <c r="D1959" s="2" t="str">
        <f t="shared" ref="D1959:E1959" si="1957">TRIM(B1959)</f>
        <v>Texas</v>
      </c>
      <c r="E1959" s="2" t="str">
        <f t="shared" si="1957"/>
        <v>Houston</v>
      </c>
    </row>
    <row r="1960" spans="1:5">
      <c r="A1960" s="111" t="s">
        <v>13798</v>
      </c>
      <c r="B1960" s="111" t="s">
        <v>1373</v>
      </c>
      <c r="C1960" s="111" t="s">
        <v>11978</v>
      </c>
      <c r="D1960" s="2" t="str">
        <f t="shared" ref="D1960:E1960" si="1958">TRIM(B1960)</f>
        <v>Texas</v>
      </c>
      <c r="E1960" s="2" t="str">
        <f t="shared" si="1958"/>
        <v>Keene</v>
      </c>
    </row>
    <row r="1961" spans="1:5">
      <c r="A1961" s="111" t="s">
        <v>13801</v>
      </c>
      <c r="B1961" s="111" t="s">
        <v>1373</v>
      </c>
      <c r="C1961" s="111" t="s">
        <v>1048</v>
      </c>
      <c r="D1961" s="2" t="str">
        <f t="shared" ref="D1961:E1961" si="1959">TRIM(B1961)</f>
        <v>Texas</v>
      </c>
      <c r="E1961" s="2" t="str">
        <f t="shared" si="1959"/>
        <v>Arlington</v>
      </c>
    </row>
    <row r="1962" spans="1:5">
      <c r="A1962" s="111" t="s">
        <v>13805</v>
      </c>
      <c r="B1962" s="111" t="s">
        <v>1373</v>
      </c>
      <c r="C1962" s="111" t="s">
        <v>368</v>
      </c>
      <c r="D1962" s="2" t="str">
        <f t="shared" ref="D1962:E1962" si="1960">TRIM(B1962)</f>
        <v>Texas</v>
      </c>
      <c r="E1962" s="2" t="str">
        <f t="shared" si="1960"/>
        <v>Houston</v>
      </c>
    </row>
    <row r="1963" spans="1:5">
      <c r="A1963" s="111" t="s">
        <v>13807</v>
      </c>
      <c r="B1963" s="111" t="s">
        <v>1373</v>
      </c>
      <c r="C1963" s="111" t="s">
        <v>13808</v>
      </c>
      <c r="D1963" s="2" t="str">
        <f t="shared" ref="D1963:E1963" si="1961">TRIM(B1963)</f>
        <v>Texas</v>
      </c>
      <c r="E1963" s="2" t="str">
        <f t="shared" si="1961"/>
        <v>Bullard</v>
      </c>
    </row>
    <row r="1964" spans="1:5">
      <c r="A1964" s="111" t="s">
        <v>13812</v>
      </c>
      <c r="B1964" s="111" t="s">
        <v>1373</v>
      </c>
      <c r="C1964" s="111" t="s">
        <v>252</v>
      </c>
      <c r="D1964" s="2" t="str">
        <f t="shared" ref="D1964:E1964" si="1962">TRIM(B1964)</f>
        <v>Texas</v>
      </c>
      <c r="E1964" s="2" t="str">
        <f t="shared" si="1962"/>
        <v>Dallas</v>
      </c>
    </row>
    <row r="1965" spans="1:5">
      <c r="A1965" s="111" t="s">
        <v>13816</v>
      </c>
      <c r="B1965" s="111" t="s">
        <v>1373</v>
      </c>
      <c r="C1965" s="111" t="s">
        <v>13817</v>
      </c>
      <c r="D1965" s="2" t="str">
        <f t="shared" ref="D1965:E1965" si="1963">TRIM(B1965)</f>
        <v>Texas</v>
      </c>
      <c r="E1965" s="2" t="str">
        <f t="shared" si="1963"/>
        <v>Southlake</v>
      </c>
    </row>
    <row r="1966" spans="1:5">
      <c r="A1966" s="111" t="s">
        <v>13820</v>
      </c>
      <c r="B1966" s="111" t="s">
        <v>1373</v>
      </c>
      <c r="C1966" s="111" t="s">
        <v>4797</v>
      </c>
      <c r="D1966" s="2" t="str">
        <f t="shared" ref="D1966:E1966" si="1964">TRIM(B1966)</f>
        <v>Texas</v>
      </c>
      <c r="E1966" s="2" t="str">
        <f t="shared" si="1964"/>
        <v>Cypress</v>
      </c>
    </row>
    <row r="1967" spans="1:5">
      <c r="A1967" s="111" t="s">
        <v>13822</v>
      </c>
      <c r="B1967" s="111" t="s">
        <v>1373</v>
      </c>
      <c r="C1967" s="111" t="s">
        <v>368</v>
      </c>
      <c r="D1967" s="2" t="str">
        <f t="shared" ref="D1967:E1967" si="1965">TRIM(B1967)</f>
        <v>Texas</v>
      </c>
      <c r="E1967" s="2" t="str">
        <f t="shared" si="1965"/>
        <v>Houston</v>
      </c>
    </row>
    <row r="1968" spans="1:5">
      <c r="A1968" s="111" t="s">
        <v>13825</v>
      </c>
      <c r="B1968" s="111" t="s">
        <v>1373</v>
      </c>
      <c r="C1968" s="111" t="s">
        <v>13826</v>
      </c>
      <c r="D1968" s="2" t="str">
        <f t="shared" ref="D1968:E1968" si="1966">TRIM(B1968)</f>
        <v>Texas</v>
      </c>
      <c r="E1968" s="2" t="str">
        <f t="shared" si="1966"/>
        <v>Heath</v>
      </c>
    </row>
    <row r="1969" spans="1:5">
      <c r="A1969" s="111" t="s">
        <v>13827</v>
      </c>
      <c r="B1969" s="111" t="s">
        <v>1373</v>
      </c>
      <c r="C1969" s="111" t="s">
        <v>368</v>
      </c>
      <c r="D1969" s="2" t="str">
        <f t="shared" ref="D1969:E1969" si="1967">TRIM(B1969)</f>
        <v>Texas</v>
      </c>
      <c r="E1969" s="2" t="str">
        <f t="shared" si="1967"/>
        <v>Houston</v>
      </c>
    </row>
    <row r="1970" spans="1:5">
      <c r="A1970" s="111" t="s">
        <v>13830</v>
      </c>
      <c r="B1970" s="111" t="s">
        <v>1373</v>
      </c>
      <c r="C1970" s="111" t="s">
        <v>13726</v>
      </c>
      <c r="D1970" s="2" t="str">
        <f t="shared" ref="D1970:E1970" si="1968">TRIM(B1970)</f>
        <v>Texas</v>
      </c>
      <c r="E1970" s="2" t="str">
        <f t="shared" si="1968"/>
        <v>Pharr</v>
      </c>
    </row>
    <row r="1971" spans="1:5">
      <c r="A1971" s="111" t="s">
        <v>13832</v>
      </c>
      <c r="B1971" s="111" t="s">
        <v>1373</v>
      </c>
      <c r="C1971" s="111" t="s">
        <v>368</v>
      </c>
      <c r="D1971" s="2" t="str">
        <f t="shared" ref="D1971:E1971" si="1969">TRIM(B1971)</f>
        <v>Texas</v>
      </c>
      <c r="E1971" s="2" t="str">
        <f t="shared" si="1969"/>
        <v>Houston</v>
      </c>
    </row>
    <row r="1972" spans="1:5">
      <c r="A1972" s="111" t="s">
        <v>13836</v>
      </c>
      <c r="B1972" s="111" t="s">
        <v>1373</v>
      </c>
      <c r="C1972" s="111" t="s">
        <v>13837</v>
      </c>
      <c r="D1972" s="2" t="str">
        <f t="shared" ref="D1972:E1972" si="1970">TRIM(B1972)</f>
        <v>Texas</v>
      </c>
      <c r="E1972" s="2" t="str">
        <f t="shared" si="1970"/>
        <v>Tomball</v>
      </c>
    </row>
    <row r="1973" spans="1:5">
      <c r="A1973" s="111" t="s">
        <v>13839</v>
      </c>
      <c r="B1973" s="111" t="s">
        <v>1373</v>
      </c>
      <c r="C1973" s="111" t="s">
        <v>4784</v>
      </c>
      <c r="D1973" s="2" t="str">
        <f t="shared" ref="D1973:E1973" si="1971">TRIM(B1973)</f>
        <v>Texas</v>
      </c>
      <c r="E1973" s="2" t="str">
        <f t="shared" si="1971"/>
        <v>Crockett</v>
      </c>
    </row>
    <row r="1974" spans="1:5">
      <c r="A1974" s="111" t="s">
        <v>13841</v>
      </c>
      <c r="B1974" s="111" t="s">
        <v>1373</v>
      </c>
      <c r="C1974" s="111" t="s">
        <v>13647</v>
      </c>
      <c r="D1974" s="2" t="str">
        <f t="shared" ref="D1974:E1974" si="1972">TRIM(B1974)</f>
        <v>Texas</v>
      </c>
      <c r="E1974" s="2" t="str">
        <f t="shared" si="1972"/>
        <v>Sugar Land</v>
      </c>
    </row>
    <row r="1975" spans="1:5">
      <c r="A1975" s="111" t="s">
        <v>13843</v>
      </c>
      <c r="B1975" s="111" t="s">
        <v>1373</v>
      </c>
      <c r="C1975" s="111" t="s">
        <v>368</v>
      </c>
      <c r="D1975" s="2" t="str">
        <f t="shared" ref="D1975:E1975" si="1973">TRIM(B1975)</f>
        <v>Texas</v>
      </c>
      <c r="E1975" s="2" t="str">
        <f t="shared" si="1973"/>
        <v>Houston</v>
      </c>
    </row>
    <row r="1976" spans="1:5">
      <c r="A1976" s="111" t="s">
        <v>13846</v>
      </c>
      <c r="B1976" s="111" t="s">
        <v>1373</v>
      </c>
      <c r="C1976" s="111" t="s">
        <v>252</v>
      </c>
      <c r="D1976" s="2" t="str">
        <f t="shared" ref="D1976:E1976" si="1974">TRIM(B1976)</f>
        <v>Texas</v>
      </c>
      <c r="E1976" s="2" t="str">
        <f t="shared" si="1974"/>
        <v>Dallas</v>
      </c>
    </row>
    <row r="1977" spans="1:5">
      <c r="A1977" s="111" t="s">
        <v>13849</v>
      </c>
      <c r="B1977" s="111" t="s">
        <v>1373</v>
      </c>
      <c r="C1977" s="111" t="s">
        <v>13699</v>
      </c>
      <c r="D1977" s="2" t="str">
        <f t="shared" ref="D1977:E1977" si="1975">TRIM(B1977)</f>
        <v>Texas</v>
      </c>
      <c r="E1977" s="2" t="str">
        <f t="shared" si="1975"/>
        <v>Waco</v>
      </c>
    </row>
    <row r="1978" spans="1:5">
      <c r="A1978" s="111" t="s">
        <v>13850</v>
      </c>
      <c r="B1978" s="111" t="s">
        <v>1373</v>
      </c>
      <c r="C1978" s="111" t="s">
        <v>13851</v>
      </c>
      <c r="D1978" s="2" t="str">
        <f t="shared" ref="D1978:E1978" si="1976">TRIM(B1978)</f>
        <v>Texas</v>
      </c>
      <c r="E1978" s="2" t="str">
        <f t="shared" si="1976"/>
        <v>Brownwood</v>
      </c>
    </row>
    <row r="1979" spans="1:5">
      <c r="A1979" s="111" t="s">
        <v>13852</v>
      </c>
      <c r="B1979" s="111" t="s">
        <v>1373</v>
      </c>
      <c r="C1979" s="111" t="s">
        <v>368</v>
      </c>
      <c r="D1979" s="2" t="str">
        <f t="shared" ref="D1979:E1979" si="1977">TRIM(B1979)</f>
        <v>Texas</v>
      </c>
      <c r="E1979" s="2" t="str">
        <f t="shared" si="1977"/>
        <v>Houston</v>
      </c>
    </row>
    <row r="1980" spans="1:5">
      <c r="A1980" s="111" t="s">
        <v>13855</v>
      </c>
      <c r="B1980" s="111" t="s">
        <v>1373</v>
      </c>
      <c r="C1980" s="111" t="s">
        <v>252</v>
      </c>
      <c r="D1980" s="2" t="str">
        <f t="shared" ref="D1980:E1980" si="1978">TRIM(B1980)</f>
        <v>Texas</v>
      </c>
      <c r="E1980" s="2" t="str">
        <f t="shared" si="1978"/>
        <v>Dallas</v>
      </c>
    </row>
    <row r="1981" spans="1:5">
      <c r="A1981" s="111" t="s">
        <v>13857</v>
      </c>
      <c r="B1981" s="111" t="s">
        <v>1373</v>
      </c>
      <c r="C1981" s="111" t="s">
        <v>709</v>
      </c>
      <c r="D1981" s="2" t="str">
        <f t="shared" ref="D1981:E1981" si="1979">TRIM(B1981)</f>
        <v>Texas</v>
      </c>
      <c r="E1981" s="2" t="str">
        <f t="shared" si="1979"/>
        <v>Plano</v>
      </c>
    </row>
    <row r="1982" spans="1:5">
      <c r="A1982" s="111" t="s">
        <v>13860</v>
      </c>
      <c r="B1982" s="111" t="s">
        <v>1374</v>
      </c>
      <c r="C1982" s="111" t="s">
        <v>13861</v>
      </c>
      <c r="D1982" s="2" t="str">
        <f t="shared" ref="D1982:E1982" si="1980">TRIM(B1982)</f>
        <v>Utah</v>
      </c>
      <c r="E1982" s="2" t="str">
        <f t="shared" si="1980"/>
        <v>Erda</v>
      </c>
    </row>
    <row r="1983" spans="1:5">
      <c r="A1983" s="111" t="s">
        <v>13863</v>
      </c>
      <c r="B1983" s="111" t="s">
        <v>1374</v>
      </c>
      <c r="C1983" s="111" t="s">
        <v>13864</v>
      </c>
      <c r="D1983" s="2" t="str">
        <f t="shared" ref="D1983:E1983" si="1981">TRIM(B1983)</f>
        <v>Utah</v>
      </c>
      <c r="E1983" s="2" t="str">
        <f t="shared" si="1981"/>
        <v>Lehi</v>
      </c>
    </row>
    <row r="1984" spans="1:5">
      <c r="A1984" s="111" t="s">
        <v>13867</v>
      </c>
      <c r="B1984" s="111" t="s">
        <v>1374</v>
      </c>
      <c r="C1984" s="111" t="s">
        <v>13868</v>
      </c>
      <c r="D1984" s="2" t="str">
        <f t="shared" ref="D1984:E1984" si="1982">TRIM(B1984)</f>
        <v>Utah</v>
      </c>
      <c r="E1984" s="2" t="str">
        <f t="shared" si="1982"/>
        <v>South Jordan</v>
      </c>
    </row>
    <row r="1985" spans="1:5">
      <c r="A1985" s="111" t="s">
        <v>13871</v>
      </c>
      <c r="B1985" s="111" t="s">
        <v>1374</v>
      </c>
      <c r="C1985" s="111" t="s">
        <v>13873</v>
      </c>
      <c r="D1985" s="2" t="str">
        <f t="shared" ref="D1985:E1985" si="1983">TRIM(B1985)</f>
        <v>Utah</v>
      </c>
      <c r="E1985" s="2" t="str">
        <f t="shared" si="1983"/>
        <v>American Fork</v>
      </c>
    </row>
    <row r="1986" spans="1:5">
      <c r="A1986" s="111" t="s">
        <v>13874</v>
      </c>
      <c r="B1986" s="111" t="s">
        <v>1374</v>
      </c>
      <c r="C1986" s="111" t="s">
        <v>13875</v>
      </c>
      <c r="D1986" s="2" t="str">
        <f t="shared" ref="D1986:E1986" si="1984">TRIM(B1986)</f>
        <v>Utah</v>
      </c>
      <c r="E1986" s="2" t="str">
        <f t="shared" si="1984"/>
        <v>Toquerville</v>
      </c>
    </row>
    <row r="1987" spans="1:5">
      <c r="A1987" s="111" t="s">
        <v>13874</v>
      </c>
      <c r="B1987" s="111" t="s">
        <v>1374</v>
      </c>
      <c r="C1987" s="111" t="s">
        <v>13875</v>
      </c>
      <c r="D1987" s="2" t="str">
        <f t="shared" ref="D1987:E1987" si="1985">TRIM(B1987)</f>
        <v>Utah</v>
      </c>
      <c r="E1987" s="2" t="str">
        <f t="shared" si="1985"/>
        <v>Toquerville</v>
      </c>
    </row>
    <row r="1988" spans="1:5">
      <c r="A1988" s="111" t="s">
        <v>13877</v>
      </c>
      <c r="B1988" s="111" t="s">
        <v>1374</v>
      </c>
      <c r="C1988" s="111" t="s">
        <v>12859</v>
      </c>
      <c r="D1988" s="2" t="str">
        <f t="shared" ref="D1988:E1988" si="1986">TRIM(B1988)</f>
        <v>Utah</v>
      </c>
      <c r="E1988" s="2" t="str">
        <f t="shared" si="1986"/>
        <v>Richfield</v>
      </c>
    </row>
    <row r="1989" spans="1:5">
      <c r="A1989" s="111" t="s">
        <v>13879</v>
      </c>
      <c r="B1989" s="111" t="s">
        <v>1374</v>
      </c>
      <c r="C1989" s="111" t="s">
        <v>411</v>
      </c>
      <c r="D1989" s="2" t="str">
        <f t="shared" ref="D1989:E1989" si="1987">TRIM(B1989)</f>
        <v>Utah</v>
      </c>
      <c r="E1989" s="2" t="str">
        <f t="shared" si="1987"/>
        <v>Springville</v>
      </c>
    </row>
    <row r="1990" spans="1:5">
      <c r="A1990" s="111" t="s">
        <v>13880</v>
      </c>
      <c r="B1990" s="111" t="s">
        <v>1374</v>
      </c>
      <c r="C1990" s="111" t="s">
        <v>13882</v>
      </c>
      <c r="D1990" s="2" t="str">
        <f t="shared" ref="D1990:E1990" si="1988">TRIM(B1990)</f>
        <v>Utah</v>
      </c>
      <c r="E1990" s="2" t="str">
        <f t="shared" si="1988"/>
        <v>Murray</v>
      </c>
    </row>
    <row r="1991" spans="1:5">
      <c r="A1991" s="111" t="s">
        <v>13884</v>
      </c>
      <c r="B1991" s="111" t="s">
        <v>1374</v>
      </c>
      <c r="C1991" s="111" t="s">
        <v>13885</v>
      </c>
      <c r="D1991" s="2" t="str">
        <f t="shared" ref="D1991:E1991" si="1989">TRIM(B1991)</f>
        <v>Utah</v>
      </c>
      <c r="E1991" s="2" t="str">
        <f t="shared" si="1989"/>
        <v>Cedar City</v>
      </c>
    </row>
    <row r="1992" spans="1:5">
      <c r="A1992" s="111" t="s">
        <v>13889</v>
      </c>
      <c r="B1992" s="111" t="s">
        <v>1374</v>
      </c>
      <c r="C1992" s="111" t="s">
        <v>13891</v>
      </c>
      <c r="D1992" s="2" t="str">
        <f t="shared" ref="D1992:E1992" si="1990">TRIM(B1992)</f>
        <v>Utah</v>
      </c>
      <c r="E1992" s="2" t="str">
        <f t="shared" si="1990"/>
        <v>Salt Lake City</v>
      </c>
    </row>
    <row r="1993" spans="1:5">
      <c r="A1993" s="111" t="s">
        <v>13893</v>
      </c>
      <c r="B1993" s="111" t="s">
        <v>1374</v>
      </c>
      <c r="C1993" s="111" t="s">
        <v>13895</v>
      </c>
      <c r="D1993" s="2" t="str">
        <f t="shared" ref="D1993:E1993" si="1991">TRIM(B1993)</f>
        <v>Utah</v>
      </c>
      <c r="E1993" s="2" t="str">
        <f t="shared" si="1991"/>
        <v>Sandy</v>
      </c>
    </row>
    <row r="1994" spans="1:5">
      <c r="A1994" s="111" t="s">
        <v>13897</v>
      </c>
      <c r="B1994" s="111" t="s">
        <v>1374</v>
      </c>
      <c r="C1994" s="111" t="s">
        <v>398</v>
      </c>
      <c r="D1994" s="2" t="str">
        <f t="shared" ref="D1994:E1994" si="1992">TRIM(B1994)</f>
        <v>Utah</v>
      </c>
      <c r="E1994" s="2" t="str">
        <f t="shared" si="1992"/>
        <v>Mount Pleasant</v>
      </c>
    </row>
    <row r="1995" spans="1:5">
      <c r="A1995" s="111" t="s">
        <v>13899</v>
      </c>
      <c r="B1995" s="111" t="s">
        <v>1374</v>
      </c>
      <c r="C1995" s="111" t="s">
        <v>472</v>
      </c>
      <c r="D1995" s="2" t="str">
        <f t="shared" ref="D1995:E1995" si="1993">TRIM(B1995)</f>
        <v>Utah</v>
      </c>
      <c r="E1995" s="2" t="str">
        <f t="shared" si="1993"/>
        <v>Huntsville</v>
      </c>
    </row>
    <row r="1996" spans="1:5">
      <c r="A1996" s="111" t="s">
        <v>13902</v>
      </c>
      <c r="B1996" s="111" t="s">
        <v>1374</v>
      </c>
      <c r="C1996" s="111" t="s">
        <v>7778</v>
      </c>
      <c r="D1996" s="2" t="str">
        <f t="shared" ref="D1996:E1996" si="1994">TRIM(B1996)</f>
        <v>Utah</v>
      </c>
      <c r="E1996" s="2" t="str">
        <f t="shared" si="1994"/>
        <v>Delta</v>
      </c>
    </row>
    <row r="1997" spans="1:5">
      <c r="A1997" s="111" t="s">
        <v>13417</v>
      </c>
      <c r="B1997" s="111" t="s">
        <v>1374</v>
      </c>
      <c r="C1997" s="111" t="s">
        <v>13905</v>
      </c>
      <c r="D1997" s="2" t="str">
        <f t="shared" ref="D1997:E1997" si="1995">TRIM(B1997)</f>
        <v>Utah</v>
      </c>
      <c r="E1997" s="2" t="str">
        <f t="shared" si="1995"/>
        <v>St George</v>
      </c>
    </row>
    <row r="1998" spans="1:5">
      <c r="A1998" s="111" t="s">
        <v>13908</v>
      </c>
      <c r="B1998" s="111" t="s">
        <v>1375</v>
      </c>
      <c r="C1998" s="111" t="s">
        <v>8540</v>
      </c>
      <c r="D1998" s="2" t="str">
        <f t="shared" ref="D1998:E1998" si="1996">TRIM(B1998)</f>
        <v>Vermont</v>
      </c>
      <c r="E1998" s="2" t="str">
        <f t="shared" si="1996"/>
        <v>Manchester</v>
      </c>
    </row>
    <row r="1999" spans="1:5">
      <c r="A1999" s="111" t="s">
        <v>13910</v>
      </c>
      <c r="B1999" s="111" t="s">
        <v>1375</v>
      </c>
      <c r="C1999" s="113" t="s">
        <v>13911</v>
      </c>
      <c r="D1999" s="2" t="str">
        <f t="shared" ref="D1999:E1999" si="1997">TRIM(B1999)</f>
        <v>Vermont</v>
      </c>
      <c r="E1999" s="2" t="str">
        <f t="shared" si="1997"/>
        <v>Westminster Station</v>
      </c>
    </row>
    <row r="2000" spans="1:5">
      <c r="A2000" s="111" t="s">
        <v>13913</v>
      </c>
      <c r="B2000" s="111" t="s">
        <v>1375</v>
      </c>
      <c r="C2000" s="111" t="s">
        <v>13914</v>
      </c>
      <c r="D2000" s="2" t="str">
        <f t="shared" ref="D2000:E2000" si="1998">TRIM(B2000)</f>
        <v>Vermont</v>
      </c>
      <c r="E2000" s="2" t="str">
        <f t="shared" si="1998"/>
        <v>East Burke</v>
      </c>
    </row>
    <row r="2001" spans="1:5">
      <c r="A2001" s="111" t="s">
        <v>13917</v>
      </c>
      <c r="B2001" s="111" t="s">
        <v>1375</v>
      </c>
      <c r="C2001" s="111" t="s">
        <v>13918</v>
      </c>
      <c r="D2001" s="2" t="str">
        <f t="shared" ref="D2001:E2001" si="1999">TRIM(B2001)</f>
        <v>Vermont</v>
      </c>
      <c r="E2001" s="2" t="str">
        <f t="shared" si="1999"/>
        <v>Lyndon Center</v>
      </c>
    </row>
    <row r="2002" spans="1:5">
      <c r="A2002" s="111" t="s">
        <v>13139</v>
      </c>
      <c r="B2002" s="111" t="s">
        <v>1375</v>
      </c>
      <c r="C2002" s="111" t="s">
        <v>13922</v>
      </c>
      <c r="D2002" s="2" t="str">
        <f t="shared" ref="D2002:E2002" si="2000">TRIM(B2002)</f>
        <v>Vermont</v>
      </c>
      <c r="E2002" s="2" t="str">
        <f t="shared" si="2000"/>
        <v>Rutland</v>
      </c>
    </row>
    <row r="2003" spans="1:5">
      <c r="A2003" s="111" t="s">
        <v>13924</v>
      </c>
      <c r="B2003" s="111" t="s">
        <v>1375</v>
      </c>
      <c r="C2003" s="111" t="s">
        <v>1211</v>
      </c>
      <c r="D2003" s="2" t="str">
        <f t="shared" ref="D2003:E2003" si="2001">TRIM(B2003)</f>
        <v>Vermont</v>
      </c>
      <c r="E2003" s="2" t="str">
        <f t="shared" si="2001"/>
        <v>South Burlington</v>
      </c>
    </row>
    <row r="2004" spans="1:5">
      <c r="A2004" s="111" t="s">
        <v>13926</v>
      </c>
      <c r="B2004" s="111" t="s">
        <v>1375</v>
      </c>
      <c r="C2004" s="111" t="s">
        <v>428</v>
      </c>
      <c r="D2004" s="2" t="str">
        <f t="shared" ref="D2004:E2004" si="2002">TRIM(B2004)</f>
        <v>Vermont</v>
      </c>
      <c r="E2004" s="2" t="str">
        <f t="shared" si="2002"/>
        <v>Sharon</v>
      </c>
    </row>
    <row r="2005" spans="1:5">
      <c r="A2005" s="111" t="s">
        <v>13929</v>
      </c>
      <c r="B2005" s="111" t="s">
        <v>1375</v>
      </c>
      <c r="C2005" s="111" t="s">
        <v>13930</v>
      </c>
      <c r="D2005" s="2" t="str">
        <f t="shared" ref="D2005:E2005" si="2003">TRIM(B2005)</f>
        <v>Vermont</v>
      </c>
      <c r="E2005" s="2" t="str">
        <f t="shared" si="2003"/>
        <v>Morgan</v>
      </c>
    </row>
    <row r="2006" spans="1:5">
      <c r="A2006" s="111" t="s">
        <v>13932</v>
      </c>
      <c r="B2006" s="111" t="s">
        <v>1376</v>
      </c>
      <c r="C2006" s="114" t="s">
        <v>13934</v>
      </c>
      <c r="D2006" s="2" t="str">
        <f t="shared" ref="D2006:E2006" si="2004">TRIM(B2006)</f>
        <v>Virginia</v>
      </c>
      <c r="E2006" s="2" t="str">
        <f t="shared" si="2004"/>
        <v>Amelia Court House</v>
      </c>
    </row>
    <row r="2007" spans="1:5">
      <c r="A2007" s="111" t="s">
        <v>13937</v>
      </c>
      <c r="B2007" s="111" t="s">
        <v>1376</v>
      </c>
      <c r="C2007" s="111" t="s">
        <v>657</v>
      </c>
      <c r="D2007" s="2" t="str">
        <f t="shared" ref="D2007:E2007" si="2005">TRIM(B2007)</f>
        <v>Virginia</v>
      </c>
      <c r="E2007" s="2" t="str">
        <f t="shared" si="2005"/>
        <v>Richmond</v>
      </c>
    </row>
    <row r="2008" spans="1:5">
      <c r="A2008" s="111" t="s">
        <v>13939</v>
      </c>
      <c r="B2008" s="111" t="s">
        <v>1376</v>
      </c>
      <c r="C2008" s="111" t="s">
        <v>13940</v>
      </c>
      <c r="D2008" s="2" t="str">
        <f t="shared" ref="D2008:E2008" si="2006">TRIM(B2008)</f>
        <v>Virginia</v>
      </c>
      <c r="E2008" s="2" t="str">
        <f t="shared" si="2006"/>
        <v>Gladys</v>
      </c>
    </row>
    <row r="2009" spans="1:5">
      <c r="A2009" s="111" t="s">
        <v>13942</v>
      </c>
      <c r="B2009" s="111" t="s">
        <v>1376</v>
      </c>
      <c r="C2009" s="111" t="s">
        <v>281</v>
      </c>
      <c r="D2009" s="2" t="str">
        <f t="shared" ref="D2009:E2009" si="2007">TRIM(B2009)</f>
        <v>Virginia</v>
      </c>
      <c r="E2009" s="2" t="str">
        <f t="shared" si="2007"/>
        <v>Norfolk</v>
      </c>
    </row>
    <row r="2010" spans="1:5">
      <c r="A2010" s="111" t="s">
        <v>13945</v>
      </c>
      <c r="B2010" s="111" t="s">
        <v>1376</v>
      </c>
      <c r="C2010" s="111" t="s">
        <v>831</v>
      </c>
      <c r="D2010" s="2" t="str">
        <f t="shared" ref="D2010:E2010" si="2008">TRIM(B2010)</f>
        <v>Virginia</v>
      </c>
      <c r="E2010" s="2" t="str">
        <f t="shared" si="2008"/>
        <v>Alexandria</v>
      </c>
    </row>
    <row r="2011" spans="1:5">
      <c r="A2011" s="111" t="s">
        <v>13947</v>
      </c>
      <c r="B2011" s="111" t="s">
        <v>1376</v>
      </c>
      <c r="C2011" s="111" t="s">
        <v>13905</v>
      </c>
      <c r="D2011" s="2" t="str">
        <f t="shared" ref="D2011:E2011" si="2009">TRIM(B2011)</f>
        <v>Virginia</v>
      </c>
      <c r="E2011" s="2" t="str">
        <f t="shared" si="2009"/>
        <v>St George</v>
      </c>
    </row>
    <row r="2012" spans="1:5">
      <c r="A2012" s="111" t="s">
        <v>13950</v>
      </c>
      <c r="B2012" s="111" t="s">
        <v>1376</v>
      </c>
      <c r="C2012" s="111" t="s">
        <v>13951</v>
      </c>
      <c r="D2012" s="2" t="str">
        <f t="shared" ref="D2012:E2012" si="2010">TRIM(B2012)</f>
        <v>Virginia</v>
      </c>
      <c r="E2012" s="2" t="str">
        <f t="shared" si="2010"/>
        <v>Exmore</v>
      </c>
    </row>
    <row r="2013" spans="1:5">
      <c r="A2013" s="111" t="s">
        <v>13953</v>
      </c>
      <c r="B2013" s="111" t="s">
        <v>1376</v>
      </c>
      <c r="C2013" s="111" t="s">
        <v>421</v>
      </c>
      <c r="D2013" s="2" t="str">
        <f t="shared" ref="D2013:E2013" si="2011">TRIM(B2013)</f>
        <v>Virginia</v>
      </c>
      <c r="E2013" s="2" t="str">
        <f t="shared" si="2011"/>
        <v>Lawrenceville</v>
      </c>
    </row>
    <row r="2014" spans="1:5">
      <c r="A2014" s="111" t="s">
        <v>13955</v>
      </c>
      <c r="B2014" s="111" t="s">
        <v>1376</v>
      </c>
      <c r="C2014" s="111" t="s">
        <v>267</v>
      </c>
      <c r="D2014" s="2" t="str">
        <f t="shared" ref="D2014:E2014" si="2012">TRIM(B2014)</f>
        <v>Virginia</v>
      </c>
      <c r="E2014" s="2" t="str">
        <f t="shared" si="2012"/>
        <v>Virginia Beach</v>
      </c>
    </row>
    <row r="2015" spans="1:5">
      <c r="A2015" s="111" t="s">
        <v>13957</v>
      </c>
      <c r="B2015" s="111" t="s">
        <v>1376</v>
      </c>
      <c r="C2015" s="111" t="s">
        <v>477</v>
      </c>
      <c r="D2015" s="2" t="str">
        <f t="shared" ref="D2015:E2015" si="2013">TRIM(B2015)</f>
        <v>Virginia</v>
      </c>
      <c r="E2015" s="2" t="str">
        <f t="shared" si="2013"/>
        <v>Martinsville</v>
      </c>
    </row>
    <row r="2016" spans="1:5">
      <c r="A2016" s="111" t="s">
        <v>13959</v>
      </c>
      <c r="B2016" s="111" t="s">
        <v>1376</v>
      </c>
      <c r="C2016" s="112" t="s">
        <v>12220</v>
      </c>
      <c r="D2016" s="2" t="str">
        <f t="shared" ref="D2016:E2016" si="2014">TRIM(B2016)</f>
        <v>Virginia</v>
      </c>
      <c r="E2016" s="2" t="str">
        <f t="shared" si="2014"/>
        <v>Chatham</v>
      </c>
    </row>
    <row r="2017" spans="1:5">
      <c r="A2017" s="111" t="s">
        <v>12027</v>
      </c>
      <c r="B2017" s="111" t="s">
        <v>1376</v>
      </c>
      <c r="C2017" s="111" t="s">
        <v>657</v>
      </c>
      <c r="D2017" s="2" t="str">
        <f t="shared" ref="D2017:E2017" si="2015">TRIM(B2017)</f>
        <v>Virginia</v>
      </c>
      <c r="E2017" s="2" t="str">
        <f t="shared" si="2015"/>
        <v>Richmond</v>
      </c>
    </row>
    <row r="2018" spans="1:5">
      <c r="A2018" s="111" t="s">
        <v>13964</v>
      </c>
      <c r="B2018" s="111" t="s">
        <v>1376</v>
      </c>
      <c r="C2018" s="111" t="s">
        <v>2129</v>
      </c>
      <c r="D2018" s="2" t="str">
        <f t="shared" ref="D2018:E2018" si="2016">TRIM(B2018)</f>
        <v>Virginia</v>
      </c>
      <c r="E2018" s="2" t="str">
        <f t="shared" si="2016"/>
        <v>Roanoke</v>
      </c>
    </row>
    <row r="2019" spans="1:5">
      <c r="A2019" s="111" t="s">
        <v>13967</v>
      </c>
      <c r="B2019" s="111" t="s">
        <v>1376</v>
      </c>
      <c r="C2019" s="111" t="s">
        <v>13968</v>
      </c>
      <c r="D2019" s="2" t="str">
        <f t="shared" ref="D2019:E2019" si="2017">TRIM(B2019)</f>
        <v>Virginia</v>
      </c>
      <c r="E2019" s="2" t="str">
        <f t="shared" si="2017"/>
        <v>Harrisonburg</v>
      </c>
    </row>
    <row r="2020" spans="1:5">
      <c r="A2020" s="111" t="s">
        <v>13970</v>
      </c>
      <c r="B2020" s="111" t="s">
        <v>1376</v>
      </c>
      <c r="C2020" s="111" t="s">
        <v>10314</v>
      </c>
      <c r="D2020" s="2" t="str">
        <f t="shared" ref="D2020:E2020" si="2018">TRIM(B2020)</f>
        <v>Virginia</v>
      </c>
      <c r="E2020" s="2" t="str">
        <f t="shared" si="2018"/>
        <v>Waynesboro</v>
      </c>
    </row>
    <row r="2021" spans="1:5">
      <c r="A2021" s="111" t="s">
        <v>13971</v>
      </c>
      <c r="B2021" s="111" t="s">
        <v>1376</v>
      </c>
      <c r="C2021" s="112" t="s">
        <v>13972</v>
      </c>
      <c r="D2021" s="2" t="str">
        <f t="shared" ref="D2021:E2021" si="2019">TRIM(B2021)</f>
        <v>Virginia</v>
      </c>
      <c r="E2021" s="2" t="str">
        <f t="shared" si="2019"/>
        <v>Fork Union</v>
      </c>
    </row>
    <row r="2022" spans="1:5">
      <c r="A2022" s="111" t="s">
        <v>13973</v>
      </c>
      <c r="B2022" s="111" t="s">
        <v>1376</v>
      </c>
      <c r="C2022" s="111" t="s">
        <v>13612</v>
      </c>
      <c r="D2022" s="2" t="str">
        <f t="shared" ref="D2022:E2022" si="2020">TRIM(B2022)</f>
        <v>Virginia</v>
      </c>
      <c r="E2022" s="2" t="str">
        <f t="shared" si="2020"/>
        <v>Fredericksburg</v>
      </c>
    </row>
    <row r="2023" spans="1:5">
      <c r="A2023" s="111" t="s">
        <v>13976</v>
      </c>
      <c r="B2023" s="111" t="s">
        <v>1376</v>
      </c>
      <c r="C2023" s="111" t="s">
        <v>13977</v>
      </c>
      <c r="D2023" s="2" t="str">
        <f t="shared" ref="D2023:E2023" si="2021">TRIM(B2023)</f>
        <v>Virginia</v>
      </c>
      <c r="E2023" s="2" t="str">
        <f t="shared" si="2021"/>
        <v>Farmville</v>
      </c>
    </row>
    <row r="2024" spans="1:5">
      <c r="A2024" s="111" t="s">
        <v>13980</v>
      </c>
      <c r="B2024" s="111" t="s">
        <v>1376</v>
      </c>
      <c r="C2024" s="111" t="s">
        <v>831</v>
      </c>
      <c r="D2024" s="2" t="str">
        <f t="shared" ref="D2024:E2024" si="2022">TRIM(B2024)</f>
        <v>Virginia</v>
      </c>
      <c r="E2024" s="2" t="str">
        <f t="shared" si="2022"/>
        <v>Alexandria</v>
      </c>
    </row>
    <row r="2025" spans="1:5">
      <c r="A2025" s="111" t="s">
        <v>13982</v>
      </c>
      <c r="B2025" s="111" t="s">
        <v>1376</v>
      </c>
      <c r="C2025" s="111" t="s">
        <v>13984</v>
      </c>
      <c r="D2025" s="2" t="str">
        <f t="shared" ref="D2025:E2025" si="2023">TRIM(B2025)</f>
        <v>Virginia</v>
      </c>
      <c r="E2025" s="2" t="str">
        <f t="shared" si="2023"/>
        <v>Stafford</v>
      </c>
    </row>
    <row r="2026" spans="1:5">
      <c r="A2026" s="111" t="s">
        <v>13986</v>
      </c>
      <c r="B2026" s="111" t="s">
        <v>1376</v>
      </c>
      <c r="C2026" s="111" t="s">
        <v>3620</v>
      </c>
      <c r="D2026" s="2" t="str">
        <f t="shared" ref="D2026:E2026" si="2024">TRIM(B2026)</f>
        <v>Virginia</v>
      </c>
      <c r="E2026" s="2" t="str">
        <f t="shared" si="2024"/>
        <v>Berryville</v>
      </c>
    </row>
    <row r="2027" spans="1:5">
      <c r="A2027" s="111" t="s">
        <v>13987</v>
      </c>
      <c r="B2027" s="111" t="s">
        <v>1376</v>
      </c>
      <c r="C2027" s="111" t="s">
        <v>13989</v>
      </c>
      <c r="D2027" s="2" t="str">
        <f t="shared" ref="D2027:E2027" si="2025">TRIM(B2027)</f>
        <v>Virginia</v>
      </c>
      <c r="E2027" s="2" t="str">
        <f t="shared" si="2025"/>
        <v>Newport News</v>
      </c>
    </row>
    <row r="2028" spans="1:5">
      <c r="A2028" s="111" t="s">
        <v>13991</v>
      </c>
      <c r="B2028" s="111" t="s">
        <v>1376</v>
      </c>
      <c r="C2028" s="111" t="s">
        <v>12220</v>
      </c>
      <c r="D2028" s="2" t="str">
        <f t="shared" ref="D2028:E2028" si="2026">TRIM(B2028)</f>
        <v>Virginia</v>
      </c>
      <c r="E2028" s="2" t="str">
        <f t="shared" si="2026"/>
        <v>Chatham</v>
      </c>
    </row>
    <row r="2029" spans="1:5">
      <c r="A2029" s="111" t="s">
        <v>13994</v>
      </c>
      <c r="B2029" s="111" t="s">
        <v>1376</v>
      </c>
      <c r="C2029" s="111" t="s">
        <v>10280</v>
      </c>
      <c r="D2029" s="2" t="str">
        <f t="shared" ref="D2029:E2029" si="2027">TRIM(B2029)</f>
        <v>Virginia</v>
      </c>
      <c r="E2029" s="2" t="str">
        <f t="shared" si="2027"/>
        <v>Warrenton</v>
      </c>
    </row>
    <row r="2030" spans="1:5">
      <c r="A2030" s="111" t="s">
        <v>13997</v>
      </c>
      <c r="B2030" s="111" t="s">
        <v>1376</v>
      </c>
      <c r="C2030" s="111" t="s">
        <v>451</v>
      </c>
      <c r="D2030" s="2" t="str">
        <f t="shared" ref="D2030:E2030" si="2028">TRIM(B2030)</f>
        <v>Virginia</v>
      </c>
      <c r="E2030" s="2" t="str">
        <f t="shared" si="2028"/>
        <v>Salem</v>
      </c>
    </row>
    <row r="2031" spans="1:5">
      <c r="A2031" s="111" t="s">
        <v>13999</v>
      </c>
      <c r="B2031" s="111" t="s">
        <v>1376</v>
      </c>
      <c r="C2031" s="111" t="s">
        <v>14001</v>
      </c>
      <c r="D2031" s="2" t="str">
        <f t="shared" ref="D2031:E2031" si="2029">TRIM(B2031)</f>
        <v>Virginia</v>
      </c>
      <c r="E2031" s="2" t="str">
        <f t="shared" si="2029"/>
        <v>Herndon</v>
      </c>
    </row>
    <row r="2032" spans="1:5">
      <c r="A2032" s="111" t="s">
        <v>14002</v>
      </c>
      <c r="B2032" s="111" t="s">
        <v>1376</v>
      </c>
      <c r="C2032" s="111" t="s">
        <v>281</v>
      </c>
      <c r="D2032" s="2" t="str">
        <f t="shared" ref="D2032:E2032" si="2030">TRIM(B2032)</f>
        <v>Virginia</v>
      </c>
      <c r="E2032" s="2" t="str">
        <f t="shared" si="2030"/>
        <v>Norfolk</v>
      </c>
    </row>
    <row r="2033" spans="1:5">
      <c r="A2033" s="111" t="s">
        <v>14004</v>
      </c>
      <c r="B2033" s="111" t="s">
        <v>1376</v>
      </c>
      <c r="C2033" s="111" t="s">
        <v>14005</v>
      </c>
      <c r="D2033" s="2" t="str">
        <f t="shared" ref="D2033:E2033" si="2031">TRIM(B2033)</f>
        <v>Virginia</v>
      </c>
      <c r="E2033" s="2" t="str">
        <f t="shared" si="2031"/>
        <v>Lynchburg</v>
      </c>
    </row>
    <row r="2034" spans="1:5">
      <c r="A2034" s="111" t="s">
        <v>14009</v>
      </c>
      <c r="B2034" s="111" t="s">
        <v>1376</v>
      </c>
      <c r="C2034" s="111" t="s">
        <v>10324</v>
      </c>
      <c r="D2034" s="2" t="str">
        <f t="shared" ref="D2034:E2034" si="2032">TRIM(B2034)</f>
        <v>Virginia</v>
      </c>
      <c r="E2034" s="2" t="str">
        <f t="shared" si="2032"/>
        <v>Ashburn</v>
      </c>
    </row>
    <row r="2035" spans="1:5">
      <c r="A2035" s="111" t="s">
        <v>14011</v>
      </c>
      <c r="B2035" s="111" t="s">
        <v>1376</v>
      </c>
      <c r="C2035" s="111" t="s">
        <v>8792</v>
      </c>
      <c r="D2035" s="2" t="str">
        <f t="shared" ref="D2035:E2035" si="2033">TRIM(B2035)</f>
        <v>Virginia</v>
      </c>
      <c r="E2035" s="2" t="str">
        <f t="shared" si="2033"/>
        <v>Woodstock</v>
      </c>
    </row>
    <row r="2036" spans="1:5">
      <c r="A2036" s="111" t="s">
        <v>14014</v>
      </c>
      <c r="B2036" s="111" t="s">
        <v>1376</v>
      </c>
      <c r="C2036" s="111" t="s">
        <v>8785</v>
      </c>
      <c r="D2036" s="2" t="str">
        <f t="shared" ref="D2036:E2036" si="2034">TRIM(B2036)</f>
        <v>Virginia</v>
      </c>
      <c r="E2036" s="2" t="str">
        <f t="shared" si="2034"/>
        <v>Woodbridge</v>
      </c>
    </row>
    <row r="2037" spans="1:5">
      <c r="A2037" s="111" t="s">
        <v>14016</v>
      </c>
      <c r="B2037" s="111" t="s">
        <v>1376</v>
      </c>
      <c r="C2037" s="111" t="s">
        <v>14017</v>
      </c>
      <c r="D2037" s="2" t="str">
        <f t="shared" ref="D2037:E2037" si="2035">TRIM(B2037)</f>
        <v>Virginia</v>
      </c>
      <c r="E2037" s="2" t="str">
        <f t="shared" si="2035"/>
        <v>Charlottesville</v>
      </c>
    </row>
    <row r="2038" spans="1:5">
      <c r="A2038" s="111" t="s">
        <v>14020</v>
      </c>
      <c r="B2038" s="111" t="s">
        <v>1376</v>
      </c>
      <c r="C2038" s="111" t="s">
        <v>13329</v>
      </c>
      <c r="D2038" s="2" t="str">
        <f t="shared" ref="D2038:E2038" si="2036">TRIM(B2038)</f>
        <v>Virginia</v>
      </c>
      <c r="E2038" s="2" t="str">
        <f t="shared" si="2036"/>
        <v>Midlothian</v>
      </c>
    </row>
    <row r="2039" spans="1:5">
      <c r="A2039" s="111" t="s">
        <v>14022</v>
      </c>
      <c r="B2039" s="111" t="s">
        <v>1376</v>
      </c>
      <c r="C2039" s="111" t="s">
        <v>14023</v>
      </c>
      <c r="D2039" s="2" t="str">
        <f t="shared" ref="D2039:E2039" si="2037">TRIM(B2039)</f>
        <v>Virginia</v>
      </c>
      <c r="E2039" s="2" t="str">
        <f t="shared" si="2037"/>
        <v>Grundy</v>
      </c>
    </row>
    <row r="2040" spans="1:5">
      <c r="A2040" s="111" t="s">
        <v>14025</v>
      </c>
      <c r="B2040" s="111" t="s">
        <v>1376</v>
      </c>
      <c r="C2040" s="111" t="s">
        <v>1255</v>
      </c>
      <c r="D2040" s="2" t="str">
        <f t="shared" ref="D2040:E2040" si="2038">TRIM(B2040)</f>
        <v>Virginia</v>
      </c>
      <c r="E2040" s="2" t="str">
        <f t="shared" si="2038"/>
        <v>Suffolk</v>
      </c>
    </row>
    <row r="2041" spans="1:5">
      <c r="A2041" s="111" t="s">
        <v>14027</v>
      </c>
      <c r="B2041" s="111" t="s">
        <v>1376</v>
      </c>
      <c r="C2041" s="111" t="s">
        <v>14028</v>
      </c>
      <c r="D2041" s="2" t="str">
        <f t="shared" ref="D2041:E2041" si="2039">TRIM(B2041)</f>
        <v>Virginia</v>
      </c>
      <c r="E2041" s="2" t="str">
        <f t="shared" si="2039"/>
        <v>Sandston</v>
      </c>
    </row>
    <row r="2042" spans="1:5">
      <c r="A2042" s="111" t="s">
        <v>14029</v>
      </c>
      <c r="B2042" s="111" t="s">
        <v>1376</v>
      </c>
      <c r="C2042" s="111" t="s">
        <v>281</v>
      </c>
      <c r="D2042" s="2" t="str">
        <f t="shared" ref="D2042:E2042" si="2040">TRIM(B2042)</f>
        <v>Virginia</v>
      </c>
      <c r="E2042" s="2" t="str">
        <f t="shared" si="2040"/>
        <v>Norfolk</v>
      </c>
    </row>
    <row r="2043" spans="1:5">
      <c r="A2043" s="111" t="s">
        <v>14031</v>
      </c>
      <c r="B2043" s="111" t="s">
        <v>1376</v>
      </c>
      <c r="C2043" s="111" t="s">
        <v>281</v>
      </c>
      <c r="D2043" s="2" t="str">
        <f t="shared" ref="D2043:E2043" si="2041">TRIM(B2043)</f>
        <v>Virginia</v>
      </c>
      <c r="E2043" s="2" t="str">
        <f t="shared" si="2041"/>
        <v>Norfolk</v>
      </c>
    </row>
    <row r="2044" spans="1:5">
      <c r="A2044" s="111" t="s">
        <v>14034</v>
      </c>
      <c r="B2044" s="111" t="s">
        <v>1376</v>
      </c>
      <c r="C2044" s="111" t="s">
        <v>2129</v>
      </c>
      <c r="D2044" s="2" t="str">
        <f t="shared" ref="D2044:E2044" si="2042">TRIM(B2044)</f>
        <v>Virginia</v>
      </c>
      <c r="E2044" s="2" t="str">
        <f t="shared" si="2042"/>
        <v>Roanoke</v>
      </c>
    </row>
    <row r="2045" spans="1:5">
      <c r="A2045" s="111" t="s">
        <v>14038</v>
      </c>
      <c r="B2045" s="111" t="s">
        <v>1376</v>
      </c>
      <c r="C2045" s="111" t="s">
        <v>14039</v>
      </c>
      <c r="D2045" s="2" t="str">
        <f t="shared" ref="D2045:E2045" si="2043">TRIM(B2045)</f>
        <v>Virginia</v>
      </c>
      <c r="E2045" s="2" t="str">
        <f t="shared" si="2043"/>
        <v>Aroda</v>
      </c>
    </row>
    <row r="2046" spans="1:5">
      <c r="A2046" s="111" t="s">
        <v>11722</v>
      </c>
      <c r="B2046" s="111" t="s">
        <v>1376</v>
      </c>
      <c r="C2046" s="111" t="s">
        <v>14040</v>
      </c>
      <c r="D2046" s="2" t="str">
        <f t="shared" ref="D2046:E2046" si="2044">TRIM(B2046)</f>
        <v>Virginia</v>
      </c>
      <c r="E2046" s="2" t="str">
        <f t="shared" si="2044"/>
        <v>Mouth Of Wilson</v>
      </c>
    </row>
    <row r="2047" spans="1:5">
      <c r="A2047" s="111" t="s">
        <v>14043</v>
      </c>
      <c r="B2047" s="111" t="s">
        <v>1376</v>
      </c>
      <c r="C2047" s="111" t="s">
        <v>14044</v>
      </c>
      <c r="D2047" s="2" t="str">
        <f t="shared" ref="D2047:E2047" si="2045">TRIM(B2047)</f>
        <v>Virginia</v>
      </c>
      <c r="E2047" s="2" t="str">
        <f t="shared" si="2045"/>
        <v>Oakton</v>
      </c>
    </row>
    <row r="2048" spans="1:5">
      <c r="A2048" s="111" t="s">
        <v>14046</v>
      </c>
      <c r="B2048" s="111" t="s">
        <v>1376</v>
      </c>
      <c r="C2048" s="111" t="s">
        <v>558</v>
      </c>
      <c r="D2048" s="2" t="str">
        <f t="shared" ref="D2048:E2048" si="2046">TRIM(B2048)</f>
        <v>Virginia</v>
      </c>
      <c r="E2048" s="2" t="str">
        <f t="shared" si="2046"/>
        <v>Williamsburg</v>
      </c>
    </row>
    <row r="2049" spans="1:5">
      <c r="A2049" s="111" t="s">
        <v>14048</v>
      </c>
      <c r="B2049" s="111" t="s">
        <v>1376</v>
      </c>
      <c r="C2049" s="111" t="s">
        <v>14017</v>
      </c>
      <c r="D2049" s="2" t="str">
        <f t="shared" ref="D2049:E2049" si="2047">TRIM(B2049)</f>
        <v>Virginia</v>
      </c>
      <c r="E2049" s="2" t="str">
        <f t="shared" si="2047"/>
        <v>Charlottesville</v>
      </c>
    </row>
    <row r="2050" spans="1:5">
      <c r="A2050" s="111" t="s">
        <v>14051</v>
      </c>
      <c r="B2050" s="111" t="s">
        <v>1376</v>
      </c>
      <c r="C2050" s="111" t="s">
        <v>657</v>
      </c>
      <c r="D2050" s="2" t="str">
        <f t="shared" ref="D2050:E2050" si="2048">TRIM(B2050)</f>
        <v>Virginia</v>
      </c>
      <c r="E2050" s="2" t="str">
        <f t="shared" si="2048"/>
        <v>Richmond</v>
      </c>
    </row>
    <row r="2051" spans="1:5">
      <c r="A2051" s="111" t="s">
        <v>14053</v>
      </c>
      <c r="B2051" s="111" t="s">
        <v>1376</v>
      </c>
      <c r="C2051" s="111" t="s">
        <v>11397</v>
      </c>
      <c r="D2051" s="2" t="str">
        <f t="shared" ref="D2051:E2051" si="2049">TRIM(B2051)</f>
        <v>Virginia</v>
      </c>
      <c r="E2051" s="2" t="str">
        <f t="shared" si="2049"/>
        <v>Vienna</v>
      </c>
    </row>
    <row r="2052" spans="1:5">
      <c r="A2052" s="111" t="s">
        <v>14056</v>
      </c>
      <c r="B2052" s="111" t="s">
        <v>1376</v>
      </c>
      <c r="C2052" s="111" t="s">
        <v>14057</v>
      </c>
      <c r="D2052" s="2" t="str">
        <f t="shared" ref="D2052:E2052" si="2050">TRIM(B2052)</f>
        <v>Virginia</v>
      </c>
      <c r="E2052" s="2" t="str">
        <f t="shared" si="2050"/>
        <v>Manassas</v>
      </c>
    </row>
    <row r="2053" spans="1:5">
      <c r="A2053" s="111" t="s">
        <v>14060</v>
      </c>
      <c r="B2053" s="111" t="s">
        <v>1376</v>
      </c>
      <c r="C2053" s="111" t="s">
        <v>2023</v>
      </c>
      <c r="D2053" s="2" t="str">
        <f t="shared" ref="D2053:E2053" si="2051">TRIM(B2053)</f>
        <v>Virginia</v>
      </c>
      <c r="E2053" s="2" t="str">
        <f t="shared" si="2051"/>
        <v>New Market</v>
      </c>
    </row>
    <row r="2054" spans="1:5">
      <c r="A2054" s="111" t="s">
        <v>14063</v>
      </c>
      <c r="B2054" s="111" t="s">
        <v>1376</v>
      </c>
      <c r="C2054" s="111" t="s">
        <v>1655</v>
      </c>
      <c r="D2054" s="2" t="str">
        <f t="shared" ref="D2054:E2054" si="2052">TRIM(B2054)</f>
        <v>Virginia</v>
      </c>
      <c r="E2054" s="2" t="str">
        <f t="shared" si="2052"/>
        <v>Courtland</v>
      </c>
    </row>
    <row r="2055" spans="1:5">
      <c r="A2055" s="76" t="s">
        <v>14065</v>
      </c>
      <c r="B2055" s="111" t="s">
        <v>1376</v>
      </c>
      <c r="C2055" s="111" t="s">
        <v>14017</v>
      </c>
      <c r="D2055" s="2" t="str">
        <f t="shared" ref="D2055:E2055" si="2053">TRIM(B2055)</f>
        <v>Virginia</v>
      </c>
      <c r="E2055" s="2" t="str">
        <f t="shared" si="2053"/>
        <v>Charlottesville</v>
      </c>
    </row>
    <row r="2056" spans="1:5">
      <c r="A2056" s="111" t="s">
        <v>14066</v>
      </c>
      <c r="B2056" s="111" t="s">
        <v>1376</v>
      </c>
      <c r="C2056" s="111" t="s">
        <v>603</v>
      </c>
      <c r="D2056" s="2" t="str">
        <f t="shared" ref="D2056:E2056" si="2054">TRIM(B2056)</f>
        <v>Virginia</v>
      </c>
      <c r="E2056" s="2" t="str">
        <f t="shared" si="2054"/>
        <v>Fairfax</v>
      </c>
    </row>
    <row r="2057" spans="1:5">
      <c r="A2057" s="111" t="s">
        <v>14069</v>
      </c>
      <c r="B2057" s="111" t="s">
        <v>1376</v>
      </c>
      <c r="C2057" s="111" t="s">
        <v>657</v>
      </c>
      <c r="D2057" s="2" t="str">
        <f t="shared" ref="D2057:E2057" si="2055">TRIM(B2057)</f>
        <v>Virginia</v>
      </c>
      <c r="E2057" s="2" t="str">
        <f t="shared" si="2055"/>
        <v>Richmond</v>
      </c>
    </row>
    <row r="2058" spans="1:5">
      <c r="A2058" s="111" t="s">
        <v>14072</v>
      </c>
      <c r="B2058" s="111" t="s">
        <v>1376</v>
      </c>
      <c r="C2058" s="111" t="s">
        <v>657</v>
      </c>
      <c r="D2058" s="2" t="str">
        <f t="shared" ref="D2058:E2058" si="2056">TRIM(B2058)</f>
        <v>Virginia</v>
      </c>
      <c r="E2058" s="2" t="str">
        <f t="shared" si="2056"/>
        <v>Richmond</v>
      </c>
    </row>
    <row r="2059" spans="1:5">
      <c r="A2059" s="76" t="s">
        <v>14073</v>
      </c>
      <c r="B2059" s="111" t="s">
        <v>1376</v>
      </c>
      <c r="C2059" s="111" t="s">
        <v>14074</v>
      </c>
      <c r="D2059" s="2" t="str">
        <f t="shared" ref="D2059:E2059" si="2057">TRIM(B2059)</f>
        <v>Virginia</v>
      </c>
      <c r="E2059" s="2" t="str">
        <f t="shared" si="2057"/>
        <v>Tappahannock</v>
      </c>
    </row>
    <row r="2060" spans="1:5">
      <c r="A2060" s="111" t="s">
        <v>10957</v>
      </c>
      <c r="B2060" s="111" t="s">
        <v>1376</v>
      </c>
      <c r="C2060" s="111" t="s">
        <v>13612</v>
      </c>
      <c r="D2060" s="2" t="str">
        <f t="shared" ref="D2060:E2060" si="2058">TRIM(B2060)</f>
        <v>Virginia</v>
      </c>
      <c r="E2060" s="2" t="str">
        <f t="shared" si="2058"/>
        <v>Fredericksburg</v>
      </c>
    </row>
    <row r="2061" spans="1:5">
      <c r="A2061" s="111" t="s">
        <v>14079</v>
      </c>
      <c r="B2061" s="111" t="s">
        <v>1376</v>
      </c>
      <c r="C2061" s="111" t="s">
        <v>14080</v>
      </c>
      <c r="D2061" s="2" t="str">
        <f t="shared" ref="D2061:E2061" si="2059">TRIM(B2061)</f>
        <v>Virginia</v>
      </c>
      <c r="E2061" s="2" t="str">
        <f t="shared" si="2059"/>
        <v>Chesapeake</v>
      </c>
    </row>
    <row r="2062" spans="1:5">
      <c r="A2062" s="111" t="s">
        <v>14082</v>
      </c>
      <c r="B2062" s="111" t="s">
        <v>1376</v>
      </c>
      <c r="C2062" s="111" t="s">
        <v>14017</v>
      </c>
      <c r="D2062" s="2" t="str">
        <f t="shared" ref="D2062:E2062" si="2060">TRIM(B2062)</f>
        <v>Virginia</v>
      </c>
      <c r="E2062" s="2" t="str">
        <f t="shared" si="2060"/>
        <v>Charlottesville</v>
      </c>
    </row>
    <row r="2063" spans="1:5">
      <c r="A2063" s="111" t="s">
        <v>14086</v>
      </c>
      <c r="B2063" s="111" t="s">
        <v>1376</v>
      </c>
      <c r="C2063" s="111" t="s">
        <v>14087</v>
      </c>
      <c r="D2063" s="2" t="str">
        <f t="shared" ref="D2063:E2063" si="2061">TRIM(B2063)</f>
        <v>Virginia</v>
      </c>
      <c r="E2063" s="2" t="str">
        <f t="shared" si="2061"/>
        <v>Ruther Glen</v>
      </c>
    </row>
    <row r="2064" spans="1:5">
      <c r="A2064" s="111" t="s">
        <v>14089</v>
      </c>
      <c r="B2064" s="111" t="s">
        <v>1376</v>
      </c>
      <c r="C2064" s="111" t="s">
        <v>14090</v>
      </c>
      <c r="D2064" s="2" t="str">
        <f t="shared" ref="D2064:E2064" si="2062">TRIM(B2064)</f>
        <v>Virginia</v>
      </c>
      <c r="E2064" s="2" t="str">
        <f t="shared" si="2062"/>
        <v>Mclean</v>
      </c>
    </row>
    <row r="2065" spans="1:5">
      <c r="A2065" s="111" t="s">
        <v>14091</v>
      </c>
      <c r="B2065" s="111" t="s">
        <v>1376</v>
      </c>
      <c r="C2065" s="111" t="s">
        <v>603</v>
      </c>
      <c r="D2065" s="2" t="str">
        <f t="shared" ref="D2065:E2065" si="2063">TRIM(B2065)</f>
        <v>Virginia</v>
      </c>
      <c r="E2065" s="2" t="str">
        <f t="shared" si="2063"/>
        <v>Fairfax</v>
      </c>
    </row>
    <row r="2066" spans="1:5">
      <c r="A2066" s="111" t="s">
        <v>14092</v>
      </c>
      <c r="B2066" s="111" t="s">
        <v>1376</v>
      </c>
      <c r="C2066" s="111" t="s">
        <v>657</v>
      </c>
      <c r="D2066" s="2" t="str">
        <f t="shared" ref="D2066:E2066" si="2064">TRIM(B2066)</f>
        <v>Virginia</v>
      </c>
      <c r="E2066" s="2" t="str">
        <f t="shared" si="2064"/>
        <v>Richmond</v>
      </c>
    </row>
    <row r="2067" spans="1:5">
      <c r="A2067" s="111" t="s">
        <v>14095</v>
      </c>
      <c r="B2067" s="111" t="s">
        <v>1376</v>
      </c>
      <c r="C2067" s="111" t="s">
        <v>14096</v>
      </c>
      <c r="D2067" s="2" t="str">
        <f t="shared" ref="D2067:E2067" si="2065">TRIM(B2067)</f>
        <v>Virginia</v>
      </c>
      <c r="E2067" s="2" t="str">
        <f t="shared" si="2065"/>
        <v>Wakefield</v>
      </c>
    </row>
    <row r="2068" spans="1:5">
      <c r="A2068" s="111" t="s">
        <v>14097</v>
      </c>
      <c r="B2068" s="111" t="s">
        <v>1376</v>
      </c>
      <c r="C2068" s="111" t="s">
        <v>14080</v>
      </c>
      <c r="D2068" s="2" t="str">
        <f t="shared" ref="D2068:E2068" si="2066">TRIM(B2068)</f>
        <v>Virginia</v>
      </c>
      <c r="E2068" s="2" t="str">
        <f t="shared" si="2066"/>
        <v>Chesapeake</v>
      </c>
    </row>
    <row r="2069" spans="1:5">
      <c r="A2069" s="111" t="s">
        <v>12981</v>
      </c>
      <c r="B2069" s="111" t="s">
        <v>1376</v>
      </c>
      <c r="C2069" s="111" t="s">
        <v>657</v>
      </c>
      <c r="D2069" s="2" t="str">
        <f t="shared" ref="D2069:E2069" si="2067">TRIM(B2069)</f>
        <v>Virginia</v>
      </c>
      <c r="E2069" s="2" t="str">
        <f t="shared" si="2067"/>
        <v>Richmond</v>
      </c>
    </row>
    <row r="2070" spans="1:5">
      <c r="A2070" s="111" t="s">
        <v>14099</v>
      </c>
      <c r="B2070" s="111" t="s">
        <v>1376</v>
      </c>
      <c r="C2070" s="111" t="s">
        <v>10324</v>
      </c>
      <c r="D2070" s="2" t="str">
        <f t="shared" ref="D2070:E2070" si="2068">TRIM(B2070)</f>
        <v>Virginia</v>
      </c>
      <c r="E2070" s="2" t="str">
        <f t="shared" si="2068"/>
        <v>Ashburn</v>
      </c>
    </row>
    <row r="2071" spans="1:5">
      <c r="A2071" s="111" t="s">
        <v>14100</v>
      </c>
      <c r="B2071" s="111" t="s">
        <v>1376</v>
      </c>
      <c r="C2071" s="111" t="s">
        <v>267</v>
      </c>
      <c r="D2071" s="2" t="str">
        <f t="shared" ref="D2071:E2071" si="2069">TRIM(B2071)</f>
        <v>Virginia</v>
      </c>
      <c r="E2071" s="2" t="str">
        <f t="shared" si="2069"/>
        <v>Virginia Beach</v>
      </c>
    </row>
    <row r="2072" spans="1:5">
      <c r="A2072" s="111" t="s">
        <v>14103</v>
      </c>
      <c r="B2072" s="111" t="s">
        <v>1376</v>
      </c>
      <c r="C2072" s="111" t="s">
        <v>14104</v>
      </c>
      <c r="D2072" s="2" t="str">
        <f t="shared" ref="D2072:E2072" si="2070">TRIM(B2072)</f>
        <v>Virginia</v>
      </c>
      <c r="E2072" s="2" t="str">
        <f t="shared" si="2070"/>
        <v>Flint Hill</v>
      </c>
    </row>
    <row r="2073" spans="1:5">
      <c r="A2073" s="111" t="s">
        <v>14107</v>
      </c>
      <c r="B2073" s="111" t="s">
        <v>1376</v>
      </c>
      <c r="C2073" s="111" t="s">
        <v>14108</v>
      </c>
      <c r="D2073" s="2" t="str">
        <f t="shared" ref="D2073:E2073" si="2071">TRIM(B2073)</f>
        <v>Virginia</v>
      </c>
      <c r="E2073" s="2" t="str">
        <f t="shared" si="2071"/>
        <v>The Plains</v>
      </c>
    </row>
    <row r="2074" spans="1:5">
      <c r="A2074" s="111" t="s">
        <v>14109</v>
      </c>
      <c r="B2074" s="111" t="s">
        <v>1376</v>
      </c>
      <c r="C2074" s="111" t="s">
        <v>558</v>
      </c>
      <c r="D2074" s="2" t="str">
        <f t="shared" ref="D2074:E2074" si="2072">TRIM(B2074)</f>
        <v>Virginia</v>
      </c>
      <c r="E2074" s="2" t="str">
        <f t="shared" si="2072"/>
        <v>Williamsburg</v>
      </c>
    </row>
    <row r="2075" spans="1:5">
      <c r="A2075" s="111" t="s">
        <v>14111</v>
      </c>
      <c r="B2075" s="111" t="s">
        <v>1376</v>
      </c>
      <c r="C2075" s="113" t="s">
        <v>14112</v>
      </c>
      <c r="D2075" s="2" t="str">
        <f t="shared" ref="D2075:E2075" si="2073">TRIM(B2075)</f>
        <v>Virginia</v>
      </c>
      <c r="E2075" s="2" t="str">
        <f t="shared" si="2073"/>
        <v>Woodberry Forest</v>
      </c>
    </row>
    <row r="2076" spans="1:5">
      <c r="A2076" s="111" t="s">
        <v>14113</v>
      </c>
      <c r="B2076" s="111" t="s">
        <v>276</v>
      </c>
      <c r="C2076" s="111" t="s">
        <v>14114</v>
      </c>
      <c r="D2076" s="2" t="str">
        <f t="shared" ref="D2076:E2076" si="2074">TRIM(B2076)</f>
        <v>Washington</v>
      </c>
      <c r="E2076" s="2" t="str">
        <f t="shared" si="2074"/>
        <v>Woodinville</v>
      </c>
    </row>
    <row r="2077" spans="1:5">
      <c r="A2077" s="111" t="s">
        <v>14115</v>
      </c>
      <c r="B2077" s="111" t="s">
        <v>276</v>
      </c>
      <c r="C2077" s="111" t="s">
        <v>14116</v>
      </c>
      <c r="D2077" s="2" t="str">
        <f t="shared" ref="D2077:E2077" si="2075">TRIM(B2077)</f>
        <v>Washington</v>
      </c>
      <c r="E2077" s="2" t="str">
        <f t="shared" si="2075"/>
        <v>Tukwila</v>
      </c>
    </row>
    <row r="2078" spans="1:5">
      <c r="A2078" s="111" t="s">
        <v>14117</v>
      </c>
      <c r="B2078" s="111" t="s">
        <v>276</v>
      </c>
      <c r="C2078" s="111" t="s">
        <v>386</v>
      </c>
      <c r="D2078" s="2" t="str">
        <f t="shared" ref="D2078:E2078" si="2076">TRIM(B2078)</f>
        <v>Washington</v>
      </c>
      <c r="E2078" s="2" t="str">
        <f t="shared" si="2076"/>
        <v>Tacoma</v>
      </c>
    </row>
    <row r="2079" spans="1:5">
      <c r="A2079" s="111" t="s">
        <v>14120</v>
      </c>
      <c r="B2079" s="111" t="s">
        <v>276</v>
      </c>
      <c r="C2079" s="111" t="s">
        <v>11340</v>
      </c>
      <c r="D2079" s="2" t="str">
        <f t="shared" ref="D2079:E2079" si="2077">TRIM(B2079)</f>
        <v>Washington</v>
      </c>
      <c r="E2079" s="2" t="str">
        <f t="shared" si="2077"/>
        <v>Everett</v>
      </c>
    </row>
    <row r="2080" spans="1:5">
      <c r="A2080" s="111" t="s">
        <v>14121</v>
      </c>
      <c r="B2080" s="111" t="s">
        <v>276</v>
      </c>
      <c r="C2080" s="111" t="s">
        <v>386</v>
      </c>
      <c r="D2080" s="2" t="str">
        <f t="shared" ref="D2080:E2080" si="2078">TRIM(B2080)</f>
        <v>Washington</v>
      </c>
      <c r="E2080" s="2" t="str">
        <f t="shared" si="2078"/>
        <v>Tacoma</v>
      </c>
    </row>
    <row r="2081" spans="1:5">
      <c r="A2081" s="111" t="s">
        <v>14126</v>
      </c>
      <c r="B2081" s="111" t="s">
        <v>276</v>
      </c>
      <c r="C2081" s="111" t="s">
        <v>926</v>
      </c>
      <c r="D2081" s="2" t="str">
        <f t="shared" ref="D2081:E2081" si="2079">TRIM(B2081)</f>
        <v>Washington</v>
      </c>
      <c r="E2081" s="2" t="str">
        <f t="shared" si="2079"/>
        <v>Seattle</v>
      </c>
    </row>
    <row r="2082" spans="1:5">
      <c r="A2082" s="111" t="s">
        <v>14130</v>
      </c>
      <c r="B2082" s="111" t="s">
        <v>276</v>
      </c>
      <c r="C2082" s="111" t="s">
        <v>14131</v>
      </c>
      <c r="D2082" s="2" t="str">
        <f t="shared" ref="D2082:E2082" si="2080">TRIM(B2082)</f>
        <v>Washington</v>
      </c>
      <c r="E2082" s="2" t="str">
        <f t="shared" si="2080"/>
        <v>Issaquah</v>
      </c>
    </row>
    <row r="2083" spans="1:5">
      <c r="A2083" s="111" t="s">
        <v>14133</v>
      </c>
      <c r="B2083" s="111" t="s">
        <v>276</v>
      </c>
      <c r="C2083" s="111" t="s">
        <v>14134</v>
      </c>
      <c r="D2083" s="2" t="str">
        <f t="shared" ref="D2083:E2083" si="2081">TRIM(B2083)</f>
        <v>Washington</v>
      </c>
      <c r="E2083" s="2" t="str">
        <f t="shared" si="2081"/>
        <v>Bremerton</v>
      </c>
    </row>
    <row r="2084" spans="1:5">
      <c r="A2084" s="111" t="s">
        <v>14136</v>
      </c>
      <c r="B2084" s="111" t="s">
        <v>276</v>
      </c>
      <c r="C2084" s="111" t="s">
        <v>926</v>
      </c>
      <c r="D2084" s="2" t="str">
        <f t="shared" ref="D2084:E2084" si="2082">TRIM(B2084)</f>
        <v>Washington</v>
      </c>
      <c r="E2084" s="2" t="str">
        <f t="shared" si="2082"/>
        <v>Seattle</v>
      </c>
    </row>
    <row r="2085" spans="1:5">
      <c r="A2085" s="111" t="s">
        <v>14139</v>
      </c>
      <c r="B2085" s="111" t="s">
        <v>276</v>
      </c>
      <c r="C2085" s="112" t="s">
        <v>14141</v>
      </c>
      <c r="D2085" s="2" t="str">
        <f t="shared" ref="D2085:E2085" si="2083">TRIM(B2085)</f>
        <v>Washington</v>
      </c>
      <c r="E2085" s="2" t="str">
        <f t="shared" si="2083"/>
        <v>Reardon</v>
      </c>
    </row>
    <row r="2086" spans="1:5">
      <c r="A2086" s="111" t="s">
        <v>14143</v>
      </c>
      <c r="B2086" s="111" t="s">
        <v>276</v>
      </c>
      <c r="C2086" s="111" t="s">
        <v>926</v>
      </c>
      <c r="D2086" s="2" t="str">
        <f t="shared" ref="D2086:E2086" si="2084">TRIM(B2086)</f>
        <v>Washington</v>
      </c>
      <c r="E2086" s="2" t="str">
        <f t="shared" si="2084"/>
        <v>Seattle</v>
      </c>
    </row>
    <row r="2087" spans="1:5">
      <c r="A2087" s="111" t="s">
        <v>14146</v>
      </c>
      <c r="B2087" s="111" t="s">
        <v>276</v>
      </c>
      <c r="C2087" s="111" t="s">
        <v>13151</v>
      </c>
      <c r="D2087" s="2" t="str">
        <f t="shared" ref="D2087:E2087" si="2085">TRIM(B2087)</f>
        <v>Washington</v>
      </c>
      <c r="E2087" s="2" t="str">
        <f t="shared" si="2085"/>
        <v>Kirkland</v>
      </c>
    </row>
    <row r="2088" spans="1:5">
      <c r="A2088" s="111" t="s">
        <v>14148</v>
      </c>
      <c r="B2088" s="111" t="s">
        <v>276</v>
      </c>
      <c r="C2088" s="111" t="s">
        <v>14149</v>
      </c>
      <c r="D2088" s="2" t="str">
        <f t="shared" ref="D2088:E2088" si="2086">TRIM(B2088)</f>
        <v>Washington</v>
      </c>
      <c r="E2088" s="2" t="str">
        <f t="shared" si="2086"/>
        <v>Spokane</v>
      </c>
    </row>
    <row r="2089" spans="1:5">
      <c r="A2089" s="111" t="s">
        <v>14152</v>
      </c>
      <c r="B2089" s="111" t="s">
        <v>276</v>
      </c>
      <c r="C2089" s="111" t="s">
        <v>14153</v>
      </c>
      <c r="D2089" s="2" t="str">
        <f t="shared" ref="D2089:E2089" si="2087">TRIM(B2089)</f>
        <v>Washington</v>
      </c>
      <c r="E2089" s="2" t="str">
        <f t="shared" si="2087"/>
        <v>Bellingham</v>
      </c>
    </row>
    <row r="2090" spans="1:5">
      <c r="A2090" s="111" t="s">
        <v>14156</v>
      </c>
      <c r="B2090" s="111" t="s">
        <v>276</v>
      </c>
      <c r="C2090" s="111" t="s">
        <v>1048</v>
      </c>
      <c r="D2090" s="2" t="str">
        <f t="shared" ref="D2090:E2090" si="2088">TRIM(B2090)</f>
        <v>Washington</v>
      </c>
      <c r="E2090" s="2" t="str">
        <f t="shared" si="2088"/>
        <v>Arlington</v>
      </c>
    </row>
    <row r="2091" spans="1:5">
      <c r="A2091" s="111" t="s">
        <v>14158</v>
      </c>
      <c r="B2091" s="111" t="s">
        <v>276</v>
      </c>
      <c r="C2091" s="111" t="s">
        <v>14159</v>
      </c>
      <c r="D2091" s="2" t="str">
        <f t="shared" ref="D2091:E2091" si="2089">TRIM(B2091)</f>
        <v>Washington</v>
      </c>
      <c r="E2091" s="2" t="str">
        <f t="shared" si="2089"/>
        <v>Bellevue</v>
      </c>
    </row>
    <row r="2092" spans="1:5">
      <c r="A2092" s="111" t="s">
        <v>14161</v>
      </c>
      <c r="B2092" s="111" t="s">
        <v>276</v>
      </c>
      <c r="C2092" s="111" t="s">
        <v>14149</v>
      </c>
      <c r="D2092" s="2" t="str">
        <f t="shared" ref="D2092:E2092" si="2090">TRIM(B2092)</f>
        <v>Washington</v>
      </c>
      <c r="E2092" s="2" t="str">
        <f t="shared" si="2090"/>
        <v>Spokane</v>
      </c>
    </row>
    <row r="2093" spans="1:5">
      <c r="A2093" s="111" t="s">
        <v>11092</v>
      </c>
      <c r="B2093" s="111" t="s">
        <v>276</v>
      </c>
      <c r="C2093" s="111" t="s">
        <v>305</v>
      </c>
      <c r="D2093" s="2" t="str">
        <f t="shared" ref="D2093:E2093" si="2091">TRIM(B2093)</f>
        <v>Washington</v>
      </c>
      <c r="E2093" s="2" t="str">
        <f t="shared" si="2091"/>
        <v>Marysville</v>
      </c>
    </row>
    <row r="2094" spans="1:5">
      <c r="A2094" s="111" t="s">
        <v>14164</v>
      </c>
      <c r="B2094" s="111" t="s">
        <v>276</v>
      </c>
      <c r="C2094" s="111" t="s">
        <v>14159</v>
      </c>
      <c r="D2094" s="2" t="str">
        <f t="shared" ref="D2094:E2094" si="2092">TRIM(B2094)</f>
        <v>Washington</v>
      </c>
      <c r="E2094" s="2" t="str">
        <f t="shared" si="2092"/>
        <v>Bellevue</v>
      </c>
    </row>
    <row r="2095" spans="1:5">
      <c r="A2095" s="76" t="s">
        <v>14166</v>
      </c>
      <c r="B2095" s="111" t="s">
        <v>276</v>
      </c>
      <c r="C2095" s="111" t="s">
        <v>14167</v>
      </c>
      <c r="D2095" s="2" t="str">
        <f t="shared" ref="D2095:E2095" si="2093">TRIM(B2095)</f>
        <v>Washington</v>
      </c>
      <c r="E2095" s="2" t="str">
        <f t="shared" si="2093"/>
        <v>Shoreline</v>
      </c>
    </row>
    <row r="2096" spans="1:5">
      <c r="A2096" s="111" t="s">
        <v>9396</v>
      </c>
      <c r="B2096" s="111" t="s">
        <v>276</v>
      </c>
      <c r="C2096" s="111" t="s">
        <v>14170</v>
      </c>
      <c r="D2096" s="2" t="str">
        <f t="shared" ref="D2096:E2096" si="2094">TRIM(B2096)</f>
        <v>Washington</v>
      </c>
      <c r="E2096" s="2" t="str">
        <f t="shared" si="2094"/>
        <v>Union Gap</v>
      </c>
    </row>
    <row r="2097" spans="1:5">
      <c r="A2097" s="111" t="s">
        <v>14172</v>
      </c>
      <c r="B2097" s="111" t="s">
        <v>276</v>
      </c>
      <c r="C2097" s="111" t="s">
        <v>4078</v>
      </c>
      <c r="D2097" s="2" t="str">
        <f t="shared" ref="D2097:E2097" si="2095">TRIM(B2097)</f>
        <v>Washington</v>
      </c>
      <c r="E2097" s="2" t="str">
        <f t="shared" si="2095"/>
        <v>Newport</v>
      </c>
    </row>
    <row r="2098" spans="1:5">
      <c r="A2098" s="111" t="s">
        <v>14175</v>
      </c>
      <c r="B2098" s="111" t="s">
        <v>276</v>
      </c>
      <c r="C2098" s="111" t="s">
        <v>14177</v>
      </c>
      <c r="D2098" s="2" t="str">
        <f t="shared" ref="D2098:E2098" si="2096">TRIM(B2098)</f>
        <v>Washington</v>
      </c>
      <c r="E2098" s="2" t="str">
        <f t="shared" si="2096"/>
        <v>Marlin</v>
      </c>
    </row>
    <row r="2099" spans="1:5">
      <c r="A2099" s="111" t="s">
        <v>14179</v>
      </c>
      <c r="B2099" s="111" t="s">
        <v>276</v>
      </c>
      <c r="C2099" s="111" t="s">
        <v>14114</v>
      </c>
      <c r="D2099" s="2" t="str">
        <f t="shared" ref="D2099:E2099" si="2097">TRIM(B2099)</f>
        <v>Washington</v>
      </c>
      <c r="E2099" s="2" t="str">
        <f t="shared" si="2097"/>
        <v>Woodinville</v>
      </c>
    </row>
    <row r="2100" spans="1:5">
      <c r="A2100" s="111" t="s">
        <v>14180</v>
      </c>
      <c r="B2100" s="111" t="s">
        <v>276</v>
      </c>
      <c r="C2100" s="111" t="s">
        <v>926</v>
      </c>
      <c r="D2100" s="2" t="str">
        <f t="shared" ref="D2100:E2100" si="2098">TRIM(B2100)</f>
        <v>Washington</v>
      </c>
      <c r="E2100" s="2" t="str">
        <f t="shared" si="2098"/>
        <v>Seattle</v>
      </c>
    </row>
    <row r="2101" spans="1:5">
      <c r="A2101" s="111" t="s">
        <v>13172</v>
      </c>
      <c r="B2101" s="111" t="s">
        <v>276</v>
      </c>
      <c r="C2101" s="111" t="s">
        <v>14182</v>
      </c>
      <c r="D2101" s="2" t="str">
        <f t="shared" ref="D2101:E2101" si="2099">TRIM(B2101)</f>
        <v>Washington</v>
      </c>
      <c r="E2101" s="2" t="str">
        <f t="shared" si="2099"/>
        <v>Lacey</v>
      </c>
    </row>
    <row r="2102" spans="1:5">
      <c r="A2102" s="111" t="s">
        <v>14183</v>
      </c>
      <c r="B2102" s="111" t="s">
        <v>276</v>
      </c>
      <c r="C2102" s="111" t="s">
        <v>926</v>
      </c>
      <c r="D2102" s="2" t="str">
        <f t="shared" ref="D2102:E2102" si="2100">TRIM(B2102)</f>
        <v>Washington</v>
      </c>
      <c r="E2102" s="2" t="str">
        <f t="shared" si="2100"/>
        <v>Seattle</v>
      </c>
    </row>
    <row r="2103" spans="1:5">
      <c r="A2103" s="111" t="s">
        <v>14185</v>
      </c>
      <c r="B2103" s="111" t="s">
        <v>276</v>
      </c>
      <c r="C2103" s="111" t="s">
        <v>14187</v>
      </c>
      <c r="D2103" s="2" t="str">
        <f t="shared" ref="D2103:E2103" si="2101">TRIM(B2103)</f>
        <v>Washington</v>
      </c>
      <c r="E2103" s="2" t="str">
        <f t="shared" si="2101"/>
        <v>Prosser</v>
      </c>
    </row>
    <row r="2104" spans="1:5">
      <c r="A2104" s="76" t="s">
        <v>14189</v>
      </c>
      <c r="B2104" s="111" t="s">
        <v>276</v>
      </c>
      <c r="C2104" s="111" t="s">
        <v>14149</v>
      </c>
      <c r="D2104" s="2" t="str">
        <f t="shared" ref="D2104:E2104" si="2102">TRIM(B2104)</f>
        <v>Washington</v>
      </c>
      <c r="E2104" s="2" t="str">
        <f t="shared" si="2102"/>
        <v>Spokane</v>
      </c>
    </row>
    <row r="2105" spans="1:5">
      <c r="A2105" s="76" t="s">
        <v>9616</v>
      </c>
      <c r="B2105" s="111" t="s">
        <v>276</v>
      </c>
      <c r="C2105" s="111" t="s">
        <v>14149</v>
      </c>
      <c r="D2105" s="2" t="str">
        <f t="shared" ref="D2105:E2105" si="2103">TRIM(B2105)</f>
        <v>Washington</v>
      </c>
      <c r="E2105" s="2" t="str">
        <f t="shared" si="2103"/>
        <v>Spokane</v>
      </c>
    </row>
    <row r="2106" spans="1:5">
      <c r="A2106" s="111" t="s">
        <v>14193</v>
      </c>
      <c r="B2106" s="111" t="s">
        <v>276</v>
      </c>
      <c r="C2106" s="112" t="s">
        <v>926</v>
      </c>
      <c r="D2106" s="2" t="str">
        <f t="shared" ref="D2106:E2106" si="2104">TRIM(B2106)</f>
        <v>Washington</v>
      </c>
      <c r="E2106" s="2" t="str">
        <f t="shared" si="2104"/>
        <v>Seattle</v>
      </c>
    </row>
    <row r="2107" spans="1:5">
      <c r="A2107" s="111" t="s">
        <v>14196</v>
      </c>
      <c r="B2107" s="111" t="s">
        <v>276</v>
      </c>
      <c r="C2107" s="111" t="s">
        <v>14197</v>
      </c>
      <c r="D2107" s="2" t="str">
        <f t="shared" ref="D2107:E2107" si="2105">TRIM(B2107)</f>
        <v>Washington</v>
      </c>
      <c r="E2107" s="2" t="str">
        <f t="shared" si="2105"/>
        <v>Redmond</v>
      </c>
    </row>
    <row r="2108" spans="1:5">
      <c r="A2108" s="111" t="s">
        <v>14200</v>
      </c>
      <c r="B2108" s="111" t="s">
        <v>276</v>
      </c>
      <c r="C2108" s="111" t="s">
        <v>926</v>
      </c>
      <c r="D2108" s="2" t="str">
        <f t="shared" ref="D2108:E2108" si="2106">TRIM(B2108)</f>
        <v>Washington</v>
      </c>
      <c r="E2108" s="2" t="str">
        <f t="shared" si="2106"/>
        <v>Seattle</v>
      </c>
    </row>
    <row r="2109" spans="1:5">
      <c r="A2109" s="111" t="s">
        <v>14202</v>
      </c>
      <c r="B2109" s="111" t="s">
        <v>276</v>
      </c>
      <c r="C2109" s="111" t="s">
        <v>926</v>
      </c>
      <c r="D2109" s="2" t="str">
        <f t="shared" ref="D2109:E2109" si="2107">TRIM(B2109)</f>
        <v>Washington</v>
      </c>
      <c r="E2109" s="2" t="str">
        <f t="shared" si="2107"/>
        <v>Seattle</v>
      </c>
    </row>
    <row r="2110" spans="1:5">
      <c r="A2110" s="111" t="s">
        <v>14204</v>
      </c>
      <c r="B2110" s="111" t="s">
        <v>276</v>
      </c>
      <c r="C2110" s="111" t="s">
        <v>14205</v>
      </c>
      <c r="D2110" s="2" t="str">
        <f t="shared" ref="D2110:E2110" si="2108">TRIM(B2110)</f>
        <v>Washington</v>
      </c>
      <c r="E2110" s="2" t="str">
        <f t="shared" si="2108"/>
        <v>Spokane Valley</v>
      </c>
    </row>
    <row r="2111" spans="1:5">
      <c r="A2111" s="111" t="s">
        <v>14208</v>
      </c>
      <c r="B2111" s="111" t="s">
        <v>276</v>
      </c>
      <c r="C2111" s="111" t="s">
        <v>14197</v>
      </c>
      <c r="D2111" s="2" t="str">
        <f t="shared" ref="D2111:E2111" si="2109">TRIM(B2111)</f>
        <v>Washington</v>
      </c>
      <c r="E2111" s="2" t="str">
        <f t="shared" si="2109"/>
        <v>Redmond</v>
      </c>
    </row>
    <row r="2112" spans="1:5">
      <c r="A2112" s="111" t="s">
        <v>14210</v>
      </c>
      <c r="B2112" s="111" t="s">
        <v>276</v>
      </c>
      <c r="C2112" s="111" t="s">
        <v>14212</v>
      </c>
      <c r="D2112" s="2" t="str">
        <f t="shared" ref="D2112:E2112" si="2110">TRIM(B2112)</f>
        <v>Washington</v>
      </c>
      <c r="E2112" s="2" t="str">
        <f t="shared" si="2110"/>
        <v>Wenatchee</v>
      </c>
    </row>
    <row r="2113" spans="1:5">
      <c r="A2113" s="111" t="s">
        <v>14214</v>
      </c>
      <c r="B2113" s="111" t="s">
        <v>276</v>
      </c>
      <c r="C2113" s="111" t="s">
        <v>14216</v>
      </c>
      <c r="D2113" s="2" t="str">
        <f t="shared" ref="D2113:E2113" si="2111">TRIM(B2113)</f>
        <v>Washington</v>
      </c>
      <c r="E2113" s="2" t="str">
        <f t="shared" si="2111"/>
        <v>Pasco</v>
      </c>
    </row>
    <row r="2114" spans="1:5">
      <c r="A2114" s="111" t="s">
        <v>14217</v>
      </c>
      <c r="B2114" s="111" t="s">
        <v>276</v>
      </c>
      <c r="C2114" s="111" t="s">
        <v>926</v>
      </c>
      <c r="D2114" s="2" t="str">
        <f t="shared" ref="D2114:E2114" si="2112">TRIM(B2114)</f>
        <v>Washington</v>
      </c>
      <c r="E2114" s="2" t="str">
        <f t="shared" si="2112"/>
        <v>Seattle</v>
      </c>
    </row>
    <row r="2115" spans="1:5">
      <c r="A2115" s="111" t="s">
        <v>14219</v>
      </c>
      <c r="B2115" s="111" t="s">
        <v>276</v>
      </c>
      <c r="C2115" s="111" t="s">
        <v>14220</v>
      </c>
      <c r="D2115" s="2" t="str">
        <f t="shared" ref="D2115:E2115" si="2113">TRIM(B2115)</f>
        <v>Washington</v>
      </c>
      <c r="E2115" s="2" t="str">
        <f t="shared" si="2113"/>
        <v>Spangle</v>
      </c>
    </row>
    <row r="2116" spans="1:5">
      <c r="A2116" s="111" t="s">
        <v>14221</v>
      </c>
      <c r="B2116" s="111" t="s">
        <v>276</v>
      </c>
      <c r="C2116" s="111" t="s">
        <v>14224</v>
      </c>
      <c r="D2116" s="2" t="str">
        <f t="shared" ref="D2116:E2116" si="2114">TRIM(B2116)</f>
        <v>Washington</v>
      </c>
      <c r="E2116" s="2" t="str">
        <f t="shared" si="2114"/>
        <v>College Place</v>
      </c>
    </row>
    <row r="2117" spans="1:5">
      <c r="A2117" s="111" t="s">
        <v>9466</v>
      </c>
      <c r="B2117" s="111" t="s">
        <v>1377</v>
      </c>
      <c r="C2117" s="111" t="s">
        <v>4697</v>
      </c>
      <c r="D2117" s="2" t="str">
        <f t="shared" ref="D2117:E2117" si="2115">TRIM(B2117)</f>
        <v>West Virginia</v>
      </c>
      <c r="E2117" s="2" t="str">
        <f t="shared" si="2115"/>
        <v>Clarksburg</v>
      </c>
    </row>
    <row r="2118" spans="1:5">
      <c r="A2118" s="111" t="s">
        <v>14226</v>
      </c>
      <c r="B2118" s="111" t="s">
        <v>1377</v>
      </c>
      <c r="C2118" s="111" t="s">
        <v>507</v>
      </c>
      <c r="D2118" s="2" t="str">
        <f t="shared" ref="D2118:E2118" si="2116">TRIM(B2118)</f>
        <v>West Virginia</v>
      </c>
      <c r="E2118" s="2" t="str">
        <f t="shared" si="2116"/>
        <v>Wheeling</v>
      </c>
    </row>
    <row r="2119" spans="1:5">
      <c r="A2119" s="111" t="s">
        <v>14228</v>
      </c>
      <c r="B2119" s="111" t="s">
        <v>1377</v>
      </c>
      <c r="C2119" s="111" t="s">
        <v>14229</v>
      </c>
      <c r="D2119" s="2" t="str">
        <f t="shared" ref="D2119:E2119" si="2117">TRIM(B2119)</f>
        <v>West Virginia</v>
      </c>
      <c r="E2119" s="2" t="str">
        <f t="shared" si="2117"/>
        <v>Weirton</v>
      </c>
    </row>
    <row r="2120" spans="1:5">
      <c r="A2120" s="111" t="s">
        <v>12577</v>
      </c>
      <c r="B2120" s="111" t="s">
        <v>1378</v>
      </c>
      <c r="C2120" s="111" t="s">
        <v>459</v>
      </c>
      <c r="D2120" s="2" t="str">
        <f t="shared" ref="D2120:E2120" si="2118">TRIM(B2120)</f>
        <v>Wisconsin</v>
      </c>
      <c r="E2120" s="2" t="str">
        <f t="shared" si="2118"/>
        <v>Milwaukee</v>
      </c>
    </row>
    <row r="2121" spans="1:5">
      <c r="A2121" s="111" t="s">
        <v>9163</v>
      </c>
      <c r="B2121" s="111" t="s">
        <v>1378</v>
      </c>
      <c r="C2121" s="111" t="s">
        <v>14234</v>
      </c>
      <c r="D2121" s="2" t="str">
        <f t="shared" ref="D2121:E2121" si="2119">TRIM(B2121)</f>
        <v>Wisconsin</v>
      </c>
      <c r="E2121" s="2" t="str">
        <f t="shared" si="2119"/>
        <v>La Crosse</v>
      </c>
    </row>
    <row r="2122" spans="1:5">
      <c r="A2122" s="111" t="s">
        <v>10805</v>
      </c>
      <c r="B2122" s="111" t="s">
        <v>1378</v>
      </c>
      <c r="C2122" s="113" t="s">
        <v>14237</v>
      </c>
      <c r="D2122" s="2" t="str">
        <f t="shared" ref="D2122:E2122" si="2120">TRIM(B2122)</f>
        <v>Wisconsin</v>
      </c>
      <c r="E2122" s="2" t="str">
        <f t="shared" si="2120"/>
        <v>Wisconsin Rapids</v>
      </c>
    </row>
    <row r="2123" spans="1:5">
      <c r="A2123" s="111" t="s">
        <v>14238</v>
      </c>
      <c r="B2123" s="111" t="s">
        <v>1378</v>
      </c>
      <c r="C2123" s="111" t="s">
        <v>459</v>
      </c>
      <c r="D2123" s="2" t="str">
        <f t="shared" ref="D2123:E2123" si="2121">TRIM(B2123)</f>
        <v>Wisconsin</v>
      </c>
      <c r="E2123" s="2" t="str">
        <f t="shared" si="2121"/>
        <v>Milwaukee</v>
      </c>
    </row>
    <row r="2124" spans="1:5">
      <c r="A2124" s="111" t="s">
        <v>14240</v>
      </c>
      <c r="B2124" s="111" t="s">
        <v>1378</v>
      </c>
      <c r="C2124" s="111" t="s">
        <v>459</v>
      </c>
      <c r="D2124" s="2" t="str">
        <f t="shared" ref="D2124:E2124" si="2122">TRIM(B2124)</f>
        <v>Wisconsin</v>
      </c>
      <c r="E2124" s="2" t="str">
        <f t="shared" si="2122"/>
        <v>Milwaukee</v>
      </c>
    </row>
    <row r="2125" spans="1:5">
      <c r="A2125" s="111" t="s">
        <v>14243</v>
      </c>
      <c r="B2125" s="111" t="s">
        <v>1378</v>
      </c>
      <c r="C2125" s="111" t="s">
        <v>459</v>
      </c>
      <c r="D2125" s="2" t="str">
        <f t="shared" ref="D2125:E2125" si="2123">TRIM(B2125)</f>
        <v>Wisconsin</v>
      </c>
      <c r="E2125" s="2" t="str">
        <f t="shared" si="2123"/>
        <v>Milwaukee</v>
      </c>
    </row>
    <row r="2126" spans="1:5">
      <c r="A2126" s="111" t="s">
        <v>14244</v>
      </c>
      <c r="B2126" s="111" t="s">
        <v>1378</v>
      </c>
      <c r="C2126" s="111" t="s">
        <v>459</v>
      </c>
      <c r="D2126" s="2" t="str">
        <f t="shared" ref="D2126:E2126" si="2124">TRIM(B2126)</f>
        <v>Wisconsin</v>
      </c>
      <c r="E2126" s="2" t="str">
        <f t="shared" si="2124"/>
        <v>Milwaukee</v>
      </c>
    </row>
    <row r="2127" spans="1:5">
      <c r="A2127" s="111" t="s">
        <v>14246</v>
      </c>
      <c r="B2127" s="111" t="s">
        <v>1378</v>
      </c>
      <c r="C2127" s="111" t="s">
        <v>488</v>
      </c>
      <c r="D2127" s="2" t="str">
        <f t="shared" ref="D2127:E2127" si="2125">TRIM(B2127)</f>
        <v>Wisconsin</v>
      </c>
      <c r="E2127" s="2" t="str">
        <f t="shared" si="2125"/>
        <v>Madison</v>
      </c>
    </row>
    <row r="2128" spans="1:5">
      <c r="A2128" s="111" t="s">
        <v>14248</v>
      </c>
      <c r="B2128" s="111" t="s">
        <v>1378</v>
      </c>
      <c r="C2128" s="111" t="s">
        <v>14250</v>
      </c>
      <c r="D2128" s="2" t="str">
        <f t="shared" ref="D2128:E2128" si="2126">TRIM(B2128)</f>
        <v>Wisconsin</v>
      </c>
      <c r="E2128" s="2" t="str">
        <f t="shared" si="2126"/>
        <v>Oshkosh</v>
      </c>
    </row>
    <row r="2129" spans="1:5">
      <c r="A2129" s="111" t="s">
        <v>14252</v>
      </c>
      <c r="B2129" s="111" t="s">
        <v>1378</v>
      </c>
      <c r="C2129" s="111" t="s">
        <v>1269</v>
      </c>
      <c r="D2129" s="2" t="str">
        <f t="shared" ref="D2129:E2129" si="2127">TRIM(B2129)</f>
        <v>Wisconsin</v>
      </c>
      <c r="E2129" s="2" t="str">
        <f t="shared" si="2127"/>
        <v>Onalaska</v>
      </c>
    </row>
    <row r="2130" spans="1:5">
      <c r="A2130" s="111" t="s">
        <v>14254</v>
      </c>
      <c r="B2130" s="111" t="s">
        <v>1378</v>
      </c>
      <c r="C2130" s="111" t="s">
        <v>8737</v>
      </c>
      <c r="D2130" s="2" t="str">
        <f t="shared" ref="D2130:E2130" si="2128">TRIM(B2130)</f>
        <v>Wisconsin</v>
      </c>
      <c r="E2130" s="2" t="str">
        <f t="shared" si="2128"/>
        <v>Watertown</v>
      </c>
    </row>
    <row r="2131" spans="1:5">
      <c r="A2131" s="111" t="s">
        <v>14256</v>
      </c>
      <c r="B2131" s="111" t="s">
        <v>1378</v>
      </c>
      <c r="C2131" s="111" t="s">
        <v>8912</v>
      </c>
      <c r="D2131" s="2" t="str">
        <f t="shared" ref="D2131:E2131" si="2129">TRIM(B2131)</f>
        <v>Wisconsin</v>
      </c>
      <c r="E2131" s="2" t="str">
        <f t="shared" si="2129"/>
        <v>Waunakee</v>
      </c>
    </row>
    <row r="2132" spans="1:5">
      <c r="A2132" s="111" t="s">
        <v>14258</v>
      </c>
      <c r="B2132" s="111" t="s">
        <v>1378</v>
      </c>
      <c r="C2132" s="111" t="s">
        <v>3286</v>
      </c>
      <c r="D2132" s="2" t="str">
        <f t="shared" ref="D2132:E2132" si="2130">TRIM(B2132)</f>
        <v>Wisconsin</v>
      </c>
      <c r="E2132" s="2" t="str">
        <f t="shared" si="2130"/>
        <v>Superior</v>
      </c>
    </row>
    <row r="2133" spans="1:5">
      <c r="A2133" s="111" t="s">
        <v>11462</v>
      </c>
      <c r="B2133" s="111" t="s">
        <v>1378</v>
      </c>
      <c r="C2133" s="111" t="s">
        <v>511</v>
      </c>
      <c r="D2133" s="2" t="str">
        <f t="shared" ref="D2133:E2133" si="2131">TRIM(B2133)</f>
        <v>Wisconsin</v>
      </c>
      <c r="E2133" s="2" t="str">
        <f t="shared" si="2131"/>
        <v>Greendale</v>
      </c>
    </row>
    <row r="2134" spans="1:5">
      <c r="A2134" s="111" t="s">
        <v>14261</v>
      </c>
      <c r="B2134" s="111" t="s">
        <v>1378</v>
      </c>
      <c r="C2134" s="111" t="s">
        <v>14263</v>
      </c>
      <c r="D2134" s="2" t="str">
        <f t="shared" ref="D2134:E2134" si="2132">TRIM(B2134)</f>
        <v>Wisconsin</v>
      </c>
      <c r="E2134" s="2" t="str">
        <f t="shared" si="2132"/>
        <v>Ladysmith</v>
      </c>
    </row>
    <row r="2135" spans="1:5">
      <c r="A2135" s="111" t="s">
        <v>14264</v>
      </c>
      <c r="B2135" s="111" t="s">
        <v>1378</v>
      </c>
      <c r="C2135" s="111" t="s">
        <v>14266</v>
      </c>
      <c r="D2135" s="2" t="str">
        <f t="shared" ref="D2135:E2135" si="2133">TRIM(B2135)</f>
        <v>Wisconsin</v>
      </c>
      <c r="E2135" s="2" t="str">
        <f t="shared" si="2133"/>
        <v>Green Bay</v>
      </c>
    </row>
    <row r="2136" spans="1:5">
      <c r="A2136" s="111" t="s">
        <v>14268</v>
      </c>
      <c r="B2136" s="111" t="s">
        <v>1378</v>
      </c>
      <c r="C2136" s="111" t="s">
        <v>14266</v>
      </c>
      <c r="D2136" s="2" t="str">
        <f t="shared" ref="D2136:E2136" si="2134">TRIM(B2136)</f>
        <v>Wisconsin</v>
      </c>
      <c r="E2136" s="2" t="str">
        <f t="shared" si="2134"/>
        <v>Green Bay</v>
      </c>
    </row>
    <row r="2137" spans="1:5">
      <c r="A2137" s="111" t="s">
        <v>14270</v>
      </c>
      <c r="B2137" s="111" t="s">
        <v>1378</v>
      </c>
      <c r="C2137" s="111" t="s">
        <v>14271</v>
      </c>
      <c r="D2137" s="2" t="str">
        <f t="shared" ref="D2137:E2137" si="2135">TRIM(B2137)</f>
        <v>Wisconsin</v>
      </c>
      <c r="E2137" s="2" t="str">
        <f t="shared" si="2135"/>
        <v>Eau Claire</v>
      </c>
    </row>
    <row r="2138" spans="1:5">
      <c r="A2138" s="111" t="s">
        <v>10716</v>
      </c>
      <c r="B2138" s="111" t="s">
        <v>1378</v>
      </c>
      <c r="C2138" s="111" t="s">
        <v>14273</v>
      </c>
      <c r="D2138" s="2" t="str">
        <f t="shared" ref="D2138:E2138" si="2136">TRIM(B2138)</f>
        <v>Wisconsin</v>
      </c>
      <c r="E2138" s="2" t="str">
        <f t="shared" si="2136"/>
        <v>Manitowoc</v>
      </c>
    </row>
    <row r="2139" spans="1:5">
      <c r="A2139" s="111" t="s">
        <v>14276</v>
      </c>
      <c r="B2139" s="111" t="s">
        <v>1378</v>
      </c>
      <c r="C2139" s="111" t="s">
        <v>459</v>
      </c>
      <c r="D2139" s="2" t="str">
        <f t="shared" ref="D2139:E2139" si="2137">TRIM(B2139)</f>
        <v>Wisconsin</v>
      </c>
      <c r="E2139" s="2" t="str">
        <f t="shared" si="2137"/>
        <v>Milwaukee</v>
      </c>
    </row>
    <row r="2140" spans="1:5">
      <c r="A2140" s="111" t="s">
        <v>14279</v>
      </c>
      <c r="B2140" s="111" t="s">
        <v>1378</v>
      </c>
      <c r="C2140" s="111" t="s">
        <v>488</v>
      </c>
      <c r="D2140" s="2" t="str">
        <f t="shared" ref="D2140:E2140" si="2138">TRIM(B2140)</f>
        <v>Wisconsin</v>
      </c>
      <c r="E2140" s="2" t="str">
        <f t="shared" si="2138"/>
        <v>Madison</v>
      </c>
    </row>
    <row r="2141" spans="1:5">
      <c r="A2141" s="111" t="s">
        <v>14281</v>
      </c>
      <c r="B2141" s="111" t="s">
        <v>1378</v>
      </c>
      <c r="C2141" s="111" t="s">
        <v>459</v>
      </c>
      <c r="D2141" s="2" t="str">
        <f t="shared" ref="D2141:E2141" si="2139">TRIM(B2141)</f>
        <v>Wisconsin</v>
      </c>
      <c r="E2141" s="2" t="str">
        <f t="shared" si="2139"/>
        <v>Milwaukee</v>
      </c>
    </row>
    <row r="2142" spans="1:5">
      <c r="A2142" s="111" t="s">
        <v>14284</v>
      </c>
      <c r="B2142" s="111" t="s">
        <v>1378</v>
      </c>
      <c r="C2142" s="111" t="s">
        <v>1832</v>
      </c>
      <c r="D2142" s="2" t="str">
        <f t="shared" ref="D2142:E2142" si="2140">TRIM(B2142)</f>
        <v>Wisconsin</v>
      </c>
      <c r="E2142" s="2" t="str">
        <f t="shared" si="2140"/>
        <v>Hartford</v>
      </c>
    </row>
    <row r="2143" spans="1:5">
      <c r="A2143" s="111" t="s">
        <v>14286</v>
      </c>
      <c r="B2143" s="111" t="s">
        <v>1378</v>
      </c>
      <c r="C2143" s="111" t="s">
        <v>459</v>
      </c>
      <c r="D2143" s="2" t="str">
        <f t="shared" ref="D2143:E2143" si="2141">TRIM(B2143)</f>
        <v>Wisconsin</v>
      </c>
      <c r="E2143" s="2" t="str">
        <f t="shared" si="2141"/>
        <v>Milwaukee</v>
      </c>
    </row>
    <row r="2144" spans="1:5">
      <c r="A2144" s="76" t="s">
        <v>14288</v>
      </c>
      <c r="B2144" s="111" t="s">
        <v>1378</v>
      </c>
      <c r="C2144" s="111" t="s">
        <v>14289</v>
      </c>
      <c r="D2144" s="2" t="str">
        <f t="shared" ref="D2144:E2144" si="2142">TRIM(B2144)</f>
        <v>Wisconsin</v>
      </c>
      <c r="E2144" s="2" t="str">
        <f t="shared" si="2142"/>
        <v>Delafield</v>
      </c>
    </row>
    <row r="2145" spans="1:5">
      <c r="A2145" s="111" t="s">
        <v>14291</v>
      </c>
      <c r="B2145" s="111" t="s">
        <v>1378</v>
      </c>
      <c r="C2145" s="111" t="s">
        <v>14292</v>
      </c>
      <c r="D2145" s="2" t="str">
        <f t="shared" ref="D2145:E2145" si="2143">TRIM(B2145)</f>
        <v>Wisconsin</v>
      </c>
      <c r="E2145" s="2" t="str">
        <f t="shared" si="2143"/>
        <v>Mount Calvary</v>
      </c>
    </row>
    <row r="2146" spans="1:5">
      <c r="A2146" s="111" t="s">
        <v>12713</v>
      </c>
      <c r="B2146" s="111" t="s">
        <v>1378</v>
      </c>
      <c r="C2146" s="111" t="s">
        <v>1179</v>
      </c>
      <c r="D2146" s="2" t="str">
        <f t="shared" ref="D2146:E2146" si="2144">TRIM(B2146)</f>
        <v>Wisconsin</v>
      </c>
      <c r="E2146" s="2" t="str">
        <f t="shared" si="2144"/>
        <v>Neenah</v>
      </c>
    </row>
    <row r="2147" spans="1:5">
      <c r="A2147" s="111" t="s">
        <v>14294</v>
      </c>
      <c r="B2147" s="111" t="s">
        <v>1378</v>
      </c>
      <c r="C2147" s="111" t="s">
        <v>482</v>
      </c>
      <c r="D2147" s="2" t="str">
        <f t="shared" ref="D2147:E2147" si="2145">TRIM(B2147)</f>
        <v>Wisconsin</v>
      </c>
      <c r="E2147" s="2" t="str">
        <f t="shared" si="2145"/>
        <v>Fond Du Lac</v>
      </c>
    </row>
    <row r="2148" spans="1:5">
      <c r="A2148" s="111" t="s">
        <v>14297</v>
      </c>
      <c r="B2148" s="111" t="s">
        <v>1378</v>
      </c>
      <c r="C2148" s="111" t="s">
        <v>14298</v>
      </c>
      <c r="D2148" s="2" t="str">
        <f t="shared" ref="D2148:E2148" si="2146">TRIM(B2148)</f>
        <v>Wisconsin</v>
      </c>
      <c r="E2148" s="2" t="str">
        <f t="shared" si="2146"/>
        <v>Marinette</v>
      </c>
    </row>
    <row r="2149" spans="1:5">
      <c r="A2149" s="111" t="s">
        <v>14297</v>
      </c>
      <c r="B2149" s="111" t="s">
        <v>1378</v>
      </c>
      <c r="C2149" s="111" t="s">
        <v>14301</v>
      </c>
      <c r="D2149" s="2" t="str">
        <f t="shared" ref="D2149:E2149" si="2147">TRIM(B2149)</f>
        <v>Wisconsin</v>
      </c>
      <c r="E2149" s="2" t="str">
        <f t="shared" si="2147"/>
        <v>Peshtigo</v>
      </c>
    </row>
    <row r="2150" spans="1:5">
      <c r="A2150" s="111" t="s">
        <v>14304</v>
      </c>
      <c r="B2150" s="111" t="s">
        <v>1378</v>
      </c>
      <c r="C2150" s="111" t="s">
        <v>459</v>
      </c>
      <c r="D2150" s="2" t="str">
        <f t="shared" ref="D2150:E2150" si="2148">TRIM(B2150)</f>
        <v>Wisconsin</v>
      </c>
      <c r="E2150" s="2" t="str">
        <f t="shared" si="2148"/>
        <v>Milwaukee</v>
      </c>
    </row>
    <row r="2151" spans="1:5">
      <c r="A2151" s="111" t="s">
        <v>14306</v>
      </c>
      <c r="B2151" s="111" t="s">
        <v>1378</v>
      </c>
      <c r="C2151" s="111" t="s">
        <v>14307</v>
      </c>
      <c r="D2151" s="2" t="str">
        <f t="shared" ref="D2151:E2151" si="2149">TRIM(B2151)</f>
        <v>Wisconsin</v>
      </c>
      <c r="E2151" s="2" t="str">
        <f t="shared" si="2149"/>
        <v>Hartland</v>
      </c>
    </row>
    <row r="2152" spans="1:5">
      <c r="A2152" s="111" t="s">
        <v>14308</v>
      </c>
      <c r="B2152" s="111" t="s">
        <v>1378</v>
      </c>
      <c r="C2152" s="111" t="s">
        <v>459</v>
      </c>
      <c r="D2152" s="2" t="str">
        <f t="shared" ref="D2152:E2152" si="2150">TRIM(B2152)</f>
        <v>Wisconsin</v>
      </c>
      <c r="E2152" s="2" t="str">
        <f t="shared" si="2150"/>
        <v>Milwaukee</v>
      </c>
    </row>
    <row r="2153" spans="1:5">
      <c r="A2153" s="111" t="s">
        <v>14310</v>
      </c>
      <c r="B2153" s="111" t="s">
        <v>1378</v>
      </c>
      <c r="C2153" s="111" t="s">
        <v>138</v>
      </c>
      <c r="D2153" s="2" t="str">
        <f t="shared" ref="D2153:E2153" si="2151">TRIM(B2153)</f>
        <v>Wisconsin</v>
      </c>
      <c r="E2153" s="2" t="str">
        <f t="shared" si="2151"/>
        <v>Columbus</v>
      </c>
    </row>
    <row r="2154" spans="1:5">
      <c r="A2154" s="111" t="s">
        <v>9842</v>
      </c>
      <c r="B2154" s="111" t="s">
        <v>1378</v>
      </c>
      <c r="C2154" s="111" t="s">
        <v>335</v>
      </c>
      <c r="D2154" s="2" t="str">
        <f t="shared" ref="D2154:E2154" si="2152">TRIM(B2154)</f>
        <v>Wisconsin</v>
      </c>
      <c r="E2154" s="2" t="str">
        <f t="shared" si="2152"/>
        <v>Appleton</v>
      </c>
    </row>
    <row r="2155" spans="1:5">
      <c r="A2155" s="111" t="s">
        <v>14312</v>
      </c>
      <c r="B2155" s="111" t="s">
        <v>1380</v>
      </c>
      <c r="C2155" s="111" t="s">
        <v>297</v>
      </c>
      <c r="D2155" s="2" t="str">
        <f t="shared" ref="D2155:E2155" si="2153">TRIM(B2155)</f>
        <v>Wyoming</v>
      </c>
      <c r="E2155" s="2" t="str">
        <f t="shared" si="2153"/>
        <v>Jackson</v>
      </c>
    </row>
    <row r="2156" spans="1:5">
      <c r="A2156" s="111" t="s">
        <v>14314</v>
      </c>
      <c r="B2156" s="111" t="s">
        <v>1380</v>
      </c>
      <c r="C2156" s="111" t="s">
        <v>4278</v>
      </c>
      <c r="D2156" s="2" t="str">
        <f t="shared" ref="D2156:E2156" si="2154">TRIM(B2156)</f>
        <v>Wyoming</v>
      </c>
      <c r="E2156" s="2" t="str">
        <f t="shared" si="2154"/>
        <v>Wilson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Form Responses 1</vt:lpstr>
      <vt:lpstr>Official Testing</vt:lpstr>
      <vt:lpstr>Messy Testing Concepts</vt:lpstr>
      <vt:lpstr>Top Schools by Region</vt:lpstr>
      <vt:lpstr>Leaving the StateInternational</vt:lpstr>
      <vt:lpstr>Top 250 HS</vt:lpstr>
      <vt:lpstr>Top 1500 HS LatitudeLongitude</vt:lpstr>
      <vt:lpstr>State Abbreviations</vt:lpstr>
      <vt:lpstr>Public Schools</vt:lpstr>
      <vt:lpstr>Private Schools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Arvind Kalyan</cp:lastModifiedBy>
  <dcterms:modified xsi:type="dcterms:W3CDTF">2020-06-24T02:17:47Z</dcterms:modified>
</cp:coreProperties>
</file>